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9"/>
  <workbookPr codeName="ThisWorkbook"/>
  <mc:AlternateContent xmlns:mc="http://schemas.openxmlformats.org/markup-compatibility/2006">
    <mc:Choice Requires="x15">
      <x15ac:absPath xmlns:x15ac="http://schemas.microsoft.com/office/spreadsheetml/2010/11/ac" url="G:\Valuation\TY 2025\Residential\Res Model Information\Moxee\"/>
    </mc:Choice>
  </mc:AlternateContent>
  <xr:revisionPtr revIDLastSave="0" documentId="13_ncr:1_{081850AF-BCAC-4499-A0BF-7961377B1591}" xr6:coauthVersionLast="47" xr6:coauthVersionMax="47" xr10:uidLastSave="{00000000-0000-0000-0000-000000000000}"/>
  <bookViews>
    <workbookView xWindow="22692" yWindow="3528" windowWidth="19512" windowHeight="18600" xr2:uid="{00000000-000D-0000-FFFF-FFFF00000000}"/>
  </bookViews>
  <sheets>
    <sheet name="Lookups" sheetId="2" r:id="rId1"/>
    <sheet name="Pivots" sheetId="4" r:id="rId2"/>
    <sheet name="Moxee Model TY 2025 Final" sheetId="1" r:id="rId3"/>
    <sheet name="Inventory" sheetId="5" r:id="rId4"/>
    <sheet name="Mult Res" sheetId="6" r:id="rId5"/>
    <sheet name="Ratio Study" sheetId="8" r:id="rId6"/>
    <sheet name="Trimmed Sales" sheetId="3" state="hidden" r:id="rId7"/>
  </sheets>
  <externalReferences>
    <externalReference r:id="rId8"/>
  </externalReferences>
  <calcPr calcId="191028"/>
  <pivotCaches>
    <pivotCache cacheId="3723" r:id="rId9"/>
    <pivotCache cacheId="3724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L2" i="5" l="1"/>
  <c r="BL3" i="5"/>
  <c r="BL4" i="5"/>
  <c r="BL5" i="5"/>
  <c r="BL6" i="5"/>
  <c r="BL7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L34" i="5"/>
  <c r="BL35" i="5"/>
  <c r="BL36" i="5"/>
  <c r="BL37" i="5"/>
  <c r="BL38" i="5"/>
  <c r="BL39" i="5"/>
  <c r="BL40" i="5"/>
  <c r="BL41" i="5"/>
  <c r="BL42" i="5"/>
  <c r="BL43" i="5"/>
  <c r="BL44" i="5"/>
  <c r="BL45" i="5"/>
  <c r="BL46" i="5"/>
  <c r="BL47" i="5"/>
  <c r="BL48" i="5"/>
  <c r="BL49" i="5"/>
  <c r="BL50" i="5"/>
  <c r="BL51" i="5"/>
  <c r="BL52" i="5"/>
  <c r="BL53" i="5"/>
  <c r="BL54" i="5"/>
  <c r="BL55" i="5"/>
  <c r="BL56" i="5"/>
  <c r="BL57" i="5"/>
  <c r="BL58" i="5"/>
  <c r="BL59" i="5"/>
  <c r="BL60" i="5"/>
  <c r="BL61" i="5"/>
  <c r="BL62" i="5"/>
  <c r="BL63" i="5"/>
  <c r="BL64" i="5"/>
  <c r="BL65" i="5"/>
  <c r="BL66" i="5"/>
  <c r="BL67" i="5"/>
  <c r="BL68" i="5"/>
  <c r="BL69" i="5"/>
  <c r="BL70" i="5"/>
  <c r="BL71" i="5"/>
  <c r="BL72" i="5"/>
  <c r="BL73" i="5"/>
  <c r="BL74" i="5"/>
  <c r="BL75" i="5"/>
  <c r="BL76" i="5"/>
  <c r="BL77" i="5"/>
  <c r="BL78" i="5"/>
  <c r="BL79" i="5"/>
  <c r="BL80" i="5"/>
  <c r="BL81" i="5"/>
  <c r="BL82" i="5"/>
  <c r="BL83" i="5"/>
  <c r="BL84" i="5"/>
  <c r="BL85" i="5"/>
  <c r="BL86" i="5"/>
  <c r="BL87" i="5"/>
  <c r="BL88" i="5"/>
  <c r="BL89" i="5"/>
  <c r="BL90" i="5"/>
  <c r="BL91" i="5"/>
  <c r="BL92" i="5"/>
  <c r="BL93" i="5"/>
  <c r="BL94" i="5"/>
  <c r="BL95" i="5"/>
  <c r="BL96" i="5"/>
  <c r="BL97" i="5"/>
  <c r="BL98" i="5"/>
  <c r="BL99" i="5"/>
  <c r="BL100" i="5"/>
  <c r="BL101" i="5"/>
  <c r="BL102" i="5"/>
  <c r="BL103" i="5"/>
  <c r="BL104" i="5"/>
  <c r="BL105" i="5"/>
  <c r="BL106" i="5"/>
  <c r="BL107" i="5"/>
  <c r="BL108" i="5"/>
  <c r="BL109" i="5"/>
  <c r="BL110" i="5"/>
  <c r="BL111" i="5"/>
  <c r="BL112" i="5"/>
  <c r="BL113" i="5"/>
  <c r="BL114" i="5"/>
  <c r="BL115" i="5"/>
  <c r="BL116" i="5"/>
  <c r="BL117" i="5"/>
  <c r="BL118" i="5"/>
  <c r="BL119" i="5"/>
  <c r="BL120" i="5"/>
  <c r="BL121" i="5"/>
  <c r="BL122" i="5"/>
  <c r="BL123" i="5"/>
  <c r="BL124" i="5"/>
  <c r="BL125" i="5"/>
  <c r="BL126" i="5"/>
  <c r="BL127" i="5"/>
  <c r="BL128" i="5"/>
  <c r="BL129" i="5"/>
  <c r="BL130" i="5"/>
  <c r="BL131" i="5"/>
  <c r="BL132" i="5"/>
  <c r="BL133" i="5"/>
  <c r="BL134" i="5"/>
  <c r="BL135" i="5"/>
  <c r="BL136" i="5"/>
  <c r="BL137" i="5"/>
  <c r="BL138" i="5"/>
  <c r="BL139" i="5"/>
  <c r="BL140" i="5"/>
  <c r="BL141" i="5"/>
  <c r="BL142" i="5"/>
  <c r="BL143" i="5"/>
  <c r="BL144" i="5"/>
  <c r="BL145" i="5"/>
  <c r="BL146" i="5"/>
  <c r="BL147" i="5"/>
  <c r="BL148" i="5"/>
  <c r="BL149" i="5"/>
  <c r="BL150" i="5"/>
  <c r="BL151" i="5"/>
  <c r="BL152" i="5"/>
  <c r="BL153" i="5"/>
  <c r="BL154" i="5"/>
  <c r="BL155" i="5"/>
  <c r="BL156" i="5"/>
  <c r="BL157" i="5"/>
  <c r="BL158" i="5"/>
  <c r="BL159" i="5"/>
  <c r="BL160" i="5"/>
  <c r="BL161" i="5"/>
  <c r="BL162" i="5"/>
  <c r="BL163" i="5"/>
  <c r="BL164" i="5"/>
  <c r="BL165" i="5"/>
  <c r="BL166" i="5"/>
  <c r="BL167" i="5"/>
  <c r="BL168" i="5"/>
  <c r="BL169" i="5"/>
  <c r="BL170" i="5"/>
  <c r="BL171" i="5"/>
  <c r="BL172" i="5"/>
  <c r="BL173" i="5"/>
  <c r="BL174" i="5"/>
  <c r="BL175" i="5"/>
  <c r="BL176" i="5"/>
  <c r="BL177" i="5"/>
  <c r="BL178" i="5"/>
  <c r="BL179" i="5"/>
  <c r="BL180" i="5"/>
  <c r="BL181" i="5"/>
  <c r="BL182" i="5"/>
  <c r="BL183" i="5"/>
  <c r="BL184" i="5"/>
  <c r="BL185" i="5"/>
  <c r="BL186" i="5"/>
  <c r="BL187" i="5"/>
  <c r="BL188" i="5"/>
  <c r="BL189" i="5"/>
  <c r="BL190" i="5"/>
  <c r="BL191" i="5"/>
  <c r="BL192" i="5"/>
  <c r="BL193" i="5"/>
  <c r="BL194" i="5"/>
  <c r="BL195" i="5"/>
  <c r="BL196" i="5"/>
  <c r="BL197" i="5"/>
  <c r="BL198" i="5"/>
  <c r="BL199" i="5"/>
  <c r="BL200" i="5"/>
  <c r="BL201" i="5"/>
  <c r="BL202" i="5"/>
  <c r="BL203" i="5"/>
  <c r="BL204" i="5"/>
  <c r="BL205" i="5"/>
  <c r="BL206" i="5"/>
  <c r="BL207" i="5"/>
  <c r="BL208" i="5"/>
  <c r="BL209" i="5"/>
  <c r="BL210" i="5"/>
  <c r="BL211" i="5"/>
  <c r="BL212" i="5"/>
  <c r="BL213" i="5"/>
  <c r="BL214" i="5"/>
  <c r="BL215" i="5"/>
  <c r="BL216" i="5"/>
  <c r="BL217" i="5"/>
  <c r="BL218" i="5"/>
  <c r="BL219" i="5"/>
  <c r="BL220" i="5"/>
  <c r="BL221" i="5"/>
  <c r="BL222" i="5"/>
  <c r="BL223" i="5"/>
  <c r="BL224" i="5"/>
  <c r="BL225" i="5"/>
  <c r="BL226" i="5"/>
  <c r="BL227" i="5"/>
  <c r="BL228" i="5"/>
  <c r="BL229" i="5"/>
  <c r="BL230" i="5"/>
  <c r="BL231" i="5"/>
  <c r="BL232" i="5"/>
  <c r="BL233" i="5"/>
  <c r="BL234" i="5"/>
  <c r="BL235" i="5"/>
  <c r="BL236" i="5"/>
  <c r="BL237" i="5"/>
  <c r="BL238" i="5"/>
  <c r="BL239" i="5"/>
  <c r="BL240" i="5"/>
  <c r="BL241" i="5"/>
  <c r="BL242" i="5"/>
  <c r="BL243" i="5"/>
  <c r="BL244" i="5"/>
  <c r="BL245" i="5"/>
  <c r="BL246" i="5"/>
  <c r="BL247" i="5"/>
  <c r="BL248" i="5"/>
  <c r="BL249" i="5"/>
  <c r="BL250" i="5"/>
  <c r="BL251" i="5"/>
  <c r="BL252" i="5"/>
  <c r="BL253" i="5"/>
  <c r="BL254" i="5"/>
  <c r="BL255" i="5"/>
  <c r="BL256" i="5"/>
  <c r="BL257" i="5"/>
  <c r="BL258" i="5"/>
  <c r="BL259" i="5"/>
  <c r="BL260" i="5"/>
  <c r="BL261" i="5"/>
  <c r="BL262" i="5"/>
  <c r="BL263" i="5"/>
  <c r="BL264" i="5"/>
  <c r="BL265" i="5"/>
  <c r="BL266" i="5"/>
  <c r="BL267" i="5"/>
  <c r="BL268" i="5"/>
  <c r="BL269" i="5"/>
  <c r="BL270" i="5"/>
  <c r="BL271" i="5"/>
  <c r="BL272" i="5"/>
  <c r="BL273" i="5"/>
  <c r="BL274" i="5"/>
  <c r="BL275" i="5"/>
  <c r="BL276" i="5"/>
  <c r="BL277" i="5"/>
  <c r="BL278" i="5"/>
  <c r="BL279" i="5"/>
  <c r="BL280" i="5"/>
  <c r="BL281" i="5"/>
  <c r="BL282" i="5"/>
  <c r="BL283" i="5"/>
  <c r="BL284" i="5"/>
  <c r="BL285" i="5"/>
  <c r="BL286" i="5"/>
  <c r="BL287" i="5"/>
  <c r="BL288" i="5"/>
  <c r="BL289" i="5"/>
  <c r="BL290" i="5"/>
  <c r="BL291" i="5"/>
  <c r="BL292" i="5"/>
  <c r="BL293" i="5"/>
  <c r="BL294" i="5"/>
  <c r="BL295" i="5"/>
  <c r="BL296" i="5"/>
  <c r="BL297" i="5"/>
  <c r="BL298" i="5"/>
  <c r="BL299" i="5"/>
  <c r="BL300" i="5"/>
  <c r="BL301" i="5"/>
  <c r="BL302" i="5"/>
  <c r="BL303" i="5"/>
  <c r="BL304" i="5"/>
  <c r="BL305" i="5"/>
  <c r="BL306" i="5"/>
  <c r="BL307" i="5"/>
  <c r="BL308" i="5"/>
  <c r="BL309" i="5"/>
  <c r="BL310" i="5"/>
  <c r="BL311" i="5"/>
  <c r="BL312" i="5"/>
  <c r="BL313" i="5"/>
  <c r="BL314" i="5"/>
  <c r="BL315" i="5"/>
  <c r="BL316" i="5"/>
  <c r="BL317" i="5"/>
  <c r="BL318" i="5"/>
  <c r="BL319" i="5"/>
  <c r="BL320" i="5"/>
  <c r="BL321" i="5"/>
  <c r="BL322" i="5"/>
  <c r="BL323" i="5"/>
  <c r="BL324" i="5"/>
  <c r="BL325" i="5"/>
  <c r="BL326" i="5"/>
  <c r="BL327" i="5"/>
  <c r="BL328" i="5"/>
  <c r="BL329" i="5"/>
  <c r="BL330" i="5"/>
  <c r="BL331" i="5"/>
  <c r="BL332" i="5"/>
  <c r="BL333" i="5"/>
  <c r="BL334" i="5"/>
  <c r="BL335" i="5"/>
  <c r="BL336" i="5"/>
  <c r="BL337" i="5"/>
  <c r="BL338" i="5"/>
  <c r="BL339" i="5"/>
  <c r="BL340" i="5"/>
  <c r="BL341" i="5"/>
  <c r="BL342" i="5"/>
  <c r="BL343" i="5"/>
  <c r="BL344" i="5"/>
  <c r="BL345" i="5"/>
  <c r="BL346" i="5"/>
  <c r="BL347" i="5"/>
  <c r="BL348" i="5"/>
  <c r="BL349" i="5"/>
  <c r="BL350" i="5"/>
  <c r="BL351" i="5"/>
  <c r="BL352" i="5"/>
  <c r="BL353" i="5"/>
  <c r="BL354" i="5"/>
  <c r="BL355" i="5"/>
  <c r="BL356" i="5"/>
  <c r="BL357" i="5"/>
  <c r="BL358" i="5"/>
  <c r="BL359" i="5"/>
  <c r="BL360" i="5"/>
  <c r="BL361" i="5"/>
  <c r="BL362" i="5"/>
  <c r="BL363" i="5"/>
  <c r="BL364" i="5"/>
  <c r="BL365" i="5"/>
  <c r="BL366" i="5"/>
  <c r="BL367" i="5"/>
  <c r="BL368" i="5"/>
  <c r="BL369" i="5"/>
  <c r="BL370" i="5"/>
  <c r="BL371" i="5"/>
  <c r="BL372" i="5"/>
  <c r="BL373" i="5"/>
  <c r="BL374" i="5"/>
  <c r="BL375" i="5"/>
  <c r="BL376" i="5"/>
  <c r="BL377" i="5"/>
  <c r="BL378" i="5"/>
  <c r="BL379" i="5"/>
  <c r="BL380" i="5"/>
  <c r="BL381" i="5"/>
  <c r="BL382" i="5"/>
  <c r="BL383" i="5"/>
  <c r="BL384" i="5"/>
  <c r="BL385" i="5"/>
  <c r="BL386" i="5"/>
  <c r="BL387" i="5"/>
  <c r="BL388" i="5"/>
  <c r="BL389" i="5"/>
  <c r="BL390" i="5"/>
  <c r="BL391" i="5"/>
  <c r="BL392" i="5"/>
  <c r="BL393" i="5"/>
  <c r="BL394" i="5"/>
  <c r="BL395" i="5"/>
  <c r="BL396" i="5"/>
  <c r="BL397" i="5"/>
  <c r="BL398" i="5"/>
  <c r="BL399" i="5"/>
  <c r="BL400" i="5"/>
  <c r="BL401" i="5"/>
  <c r="BL402" i="5"/>
  <c r="BL403" i="5"/>
  <c r="BL404" i="5"/>
  <c r="BL405" i="5"/>
  <c r="BL406" i="5"/>
  <c r="BL407" i="5"/>
  <c r="BL408" i="5"/>
  <c r="BL409" i="5"/>
  <c r="BL410" i="5"/>
  <c r="BL411" i="5"/>
  <c r="BL412" i="5"/>
  <c r="BL413" i="5"/>
  <c r="BL414" i="5"/>
  <c r="BL415" i="5"/>
  <c r="BL416" i="5"/>
  <c r="BL417" i="5"/>
  <c r="BL418" i="5"/>
  <c r="BL419" i="5"/>
  <c r="BL420" i="5"/>
  <c r="BL421" i="5"/>
  <c r="BL422" i="5"/>
  <c r="BL423" i="5"/>
  <c r="BL424" i="5"/>
  <c r="BL425" i="5"/>
  <c r="BL426" i="5"/>
  <c r="BL427" i="5"/>
  <c r="BL428" i="5"/>
  <c r="BL429" i="5"/>
  <c r="BL430" i="5"/>
  <c r="BL431" i="5"/>
  <c r="BL432" i="5"/>
  <c r="BL433" i="5"/>
  <c r="BL434" i="5"/>
  <c r="BL435" i="5"/>
  <c r="BL436" i="5"/>
  <c r="BL437" i="5"/>
  <c r="BL438" i="5"/>
  <c r="BL439" i="5"/>
  <c r="BL440" i="5"/>
  <c r="BL441" i="5"/>
  <c r="BL442" i="5"/>
  <c r="BL443" i="5"/>
  <c r="BL444" i="5"/>
  <c r="BL445" i="5"/>
  <c r="BL446" i="5"/>
  <c r="BL447" i="5"/>
  <c r="BL448" i="5"/>
  <c r="BL449" i="5"/>
  <c r="BL450" i="5"/>
  <c r="BL451" i="5"/>
  <c r="BL452" i="5"/>
  <c r="BL453" i="5"/>
  <c r="BL454" i="5"/>
  <c r="BL455" i="5"/>
  <c r="BL456" i="5"/>
  <c r="BL457" i="5"/>
  <c r="BL458" i="5"/>
  <c r="BL459" i="5"/>
  <c r="BL460" i="5"/>
  <c r="BL461" i="5"/>
  <c r="BL462" i="5"/>
  <c r="BL463" i="5"/>
  <c r="BL464" i="5"/>
  <c r="BL465" i="5"/>
  <c r="BL466" i="5"/>
  <c r="BL467" i="5"/>
  <c r="BL468" i="5"/>
  <c r="BL469" i="5"/>
  <c r="BL470" i="5"/>
  <c r="BL471" i="5"/>
  <c r="BL472" i="5"/>
  <c r="BL473" i="5"/>
  <c r="BL474" i="5"/>
  <c r="BL475" i="5"/>
  <c r="BL476" i="5"/>
  <c r="BL477" i="5"/>
  <c r="BL478" i="5"/>
  <c r="BL479" i="5"/>
  <c r="BL480" i="5"/>
  <c r="BL481" i="5"/>
  <c r="BL482" i="5"/>
  <c r="BL483" i="5"/>
  <c r="BL484" i="5"/>
  <c r="BL485" i="5"/>
  <c r="BL486" i="5"/>
  <c r="BL487" i="5"/>
  <c r="BL488" i="5"/>
  <c r="BL489" i="5"/>
  <c r="BL490" i="5"/>
  <c r="BL491" i="5"/>
  <c r="BL492" i="5"/>
  <c r="BL493" i="5"/>
  <c r="BL494" i="5"/>
  <c r="BL495" i="5"/>
  <c r="BL496" i="5"/>
  <c r="BL497" i="5"/>
  <c r="BL498" i="5"/>
  <c r="BL499" i="5"/>
  <c r="BL500" i="5"/>
  <c r="BL501" i="5"/>
  <c r="BL502" i="5"/>
  <c r="BL503" i="5"/>
  <c r="BL504" i="5"/>
  <c r="BL505" i="5"/>
  <c r="BL506" i="5"/>
  <c r="BL507" i="5"/>
  <c r="BL508" i="5"/>
  <c r="BL509" i="5"/>
  <c r="BL510" i="5"/>
  <c r="BL511" i="5"/>
  <c r="BL512" i="5"/>
  <c r="BL513" i="5"/>
  <c r="BL514" i="5"/>
  <c r="BL515" i="5"/>
  <c r="BL516" i="5"/>
  <c r="BL517" i="5"/>
  <c r="BL518" i="5"/>
  <c r="BL519" i="5"/>
  <c r="BL520" i="5"/>
  <c r="BL521" i="5"/>
  <c r="BL522" i="5"/>
  <c r="BL523" i="5"/>
  <c r="BL524" i="5"/>
  <c r="BL525" i="5"/>
  <c r="BL526" i="5"/>
  <c r="BL527" i="5"/>
  <c r="BL528" i="5"/>
  <c r="BL529" i="5"/>
  <c r="BL530" i="5"/>
  <c r="BL531" i="5"/>
  <c r="BL532" i="5"/>
  <c r="BL533" i="5"/>
  <c r="BL534" i="5"/>
  <c r="BL535" i="5"/>
  <c r="BL536" i="5"/>
  <c r="BL537" i="5"/>
  <c r="BL538" i="5"/>
  <c r="BL539" i="5"/>
  <c r="BL540" i="5"/>
  <c r="BL541" i="5"/>
  <c r="BL542" i="5"/>
  <c r="BL543" i="5"/>
  <c r="BL544" i="5"/>
  <c r="BL545" i="5"/>
  <c r="BL546" i="5"/>
  <c r="BL547" i="5"/>
  <c r="BL548" i="5"/>
  <c r="BL549" i="5"/>
  <c r="BL550" i="5"/>
  <c r="BL551" i="5"/>
  <c r="BL552" i="5"/>
  <c r="BL553" i="5"/>
  <c r="BL554" i="5"/>
  <c r="BL555" i="5"/>
  <c r="BL556" i="5"/>
  <c r="BL557" i="5"/>
  <c r="BL558" i="5"/>
  <c r="BL559" i="5"/>
  <c r="BL560" i="5"/>
  <c r="BL561" i="5"/>
  <c r="BL562" i="5"/>
  <c r="BL563" i="5"/>
  <c r="BL564" i="5"/>
  <c r="BL565" i="5"/>
  <c r="BL566" i="5"/>
  <c r="BL567" i="5"/>
  <c r="BL568" i="5"/>
  <c r="BL569" i="5"/>
  <c r="BL570" i="5"/>
  <c r="BL571" i="5"/>
  <c r="BL572" i="5"/>
  <c r="BL573" i="5"/>
  <c r="BL574" i="5"/>
  <c r="BL575" i="5"/>
  <c r="BL576" i="5"/>
  <c r="BL577" i="5"/>
  <c r="BL578" i="5"/>
  <c r="BL579" i="5"/>
  <c r="BL580" i="5"/>
  <c r="BL581" i="5"/>
  <c r="BL582" i="5"/>
  <c r="BL583" i="5"/>
  <c r="BL584" i="5"/>
  <c r="BL585" i="5"/>
  <c r="BL586" i="5"/>
  <c r="BL587" i="5"/>
  <c r="BL588" i="5"/>
  <c r="BL589" i="5"/>
  <c r="BL590" i="5"/>
  <c r="BL591" i="5"/>
  <c r="BL592" i="5"/>
  <c r="BL593" i="5"/>
  <c r="BL594" i="5"/>
  <c r="BL595" i="5"/>
  <c r="BL596" i="5"/>
  <c r="BL597" i="5"/>
  <c r="BL598" i="5"/>
  <c r="BL599" i="5"/>
  <c r="BL600" i="5"/>
  <c r="BL601" i="5"/>
  <c r="BL602" i="5"/>
  <c r="BL603" i="5"/>
  <c r="BL604" i="5"/>
  <c r="BL605" i="5"/>
  <c r="BL606" i="5"/>
  <c r="BL607" i="5"/>
  <c r="BL608" i="5"/>
  <c r="BL609" i="5"/>
  <c r="BL610" i="5"/>
  <c r="BL611" i="5"/>
  <c r="BL612" i="5"/>
  <c r="BL613" i="5"/>
  <c r="BL614" i="5"/>
  <c r="BL615" i="5"/>
  <c r="BL616" i="5"/>
  <c r="BL617" i="5"/>
  <c r="BL618" i="5"/>
  <c r="BL619" i="5"/>
  <c r="BL620" i="5"/>
  <c r="BL621" i="5"/>
  <c r="BL622" i="5"/>
  <c r="BL623" i="5"/>
  <c r="BL624" i="5"/>
  <c r="BL625" i="5"/>
  <c r="BL626" i="5"/>
  <c r="BL627" i="5"/>
  <c r="BL628" i="5"/>
  <c r="BL629" i="5"/>
  <c r="BL630" i="5"/>
  <c r="BL631" i="5"/>
  <c r="BL632" i="5"/>
  <c r="BL633" i="5"/>
  <c r="BL634" i="5"/>
  <c r="BL635" i="5"/>
  <c r="BL636" i="5"/>
  <c r="BL637" i="5"/>
  <c r="BL638" i="5"/>
  <c r="BL639" i="5"/>
  <c r="BL640" i="5"/>
  <c r="BL641" i="5"/>
  <c r="BL642" i="5"/>
  <c r="BL643" i="5"/>
  <c r="BL644" i="5"/>
  <c r="BL645" i="5"/>
  <c r="BL646" i="5"/>
  <c r="BL647" i="5"/>
  <c r="BL648" i="5"/>
  <c r="BL649" i="5"/>
  <c r="BL650" i="5"/>
  <c r="BL651" i="5"/>
  <c r="BL652" i="5"/>
  <c r="BL653" i="5"/>
  <c r="BL654" i="5"/>
  <c r="BL655" i="5"/>
  <c r="BL656" i="5"/>
  <c r="BL657" i="5"/>
  <c r="BL658" i="5"/>
  <c r="BL659" i="5"/>
  <c r="BL660" i="5"/>
  <c r="BL661" i="5"/>
  <c r="BL662" i="5"/>
  <c r="BL663" i="5"/>
  <c r="BL664" i="5"/>
  <c r="BL665" i="5"/>
  <c r="BL666" i="5"/>
  <c r="BL667" i="5"/>
  <c r="BL668" i="5"/>
  <c r="BL669" i="5"/>
  <c r="BL670" i="5"/>
  <c r="BL671" i="5"/>
  <c r="BL672" i="5"/>
  <c r="BL673" i="5"/>
  <c r="BL674" i="5"/>
  <c r="BL675" i="5"/>
  <c r="BL676" i="5"/>
  <c r="BL677" i="5"/>
  <c r="BL678" i="5"/>
  <c r="BL679" i="5"/>
  <c r="BL680" i="5"/>
  <c r="BL681" i="5"/>
  <c r="BL682" i="5"/>
  <c r="BL683" i="5"/>
  <c r="BL684" i="5"/>
  <c r="BL685" i="5"/>
  <c r="BL686" i="5"/>
  <c r="BL687" i="5"/>
  <c r="BL688" i="5"/>
  <c r="BL689" i="5"/>
  <c r="BL690" i="5"/>
  <c r="BL691" i="5"/>
  <c r="BL692" i="5"/>
  <c r="BL693" i="5"/>
  <c r="BL694" i="5"/>
  <c r="BL695" i="5"/>
  <c r="BL696" i="5"/>
  <c r="BL697" i="5"/>
  <c r="BL698" i="5"/>
  <c r="BL699" i="5"/>
  <c r="BL700" i="5"/>
  <c r="BL701" i="5"/>
  <c r="BL702" i="5"/>
  <c r="BL703" i="5"/>
  <c r="BL704" i="5"/>
  <c r="BL705" i="5"/>
  <c r="BL706" i="5"/>
  <c r="BL707" i="5"/>
  <c r="BL708" i="5"/>
  <c r="BL709" i="5"/>
  <c r="BL710" i="5"/>
  <c r="BL711" i="5"/>
  <c r="BL712" i="5"/>
  <c r="BL713" i="5"/>
  <c r="BL714" i="5"/>
  <c r="BL715" i="5"/>
  <c r="BL716" i="5"/>
  <c r="BL717" i="5"/>
  <c r="BL718" i="5"/>
  <c r="BL719" i="5"/>
  <c r="BL720" i="5"/>
  <c r="BL721" i="5"/>
  <c r="BL722" i="5"/>
  <c r="BL723" i="5"/>
  <c r="BL724" i="5"/>
  <c r="BL725" i="5"/>
  <c r="BL726" i="5"/>
  <c r="BL727" i="5"/>
  <c r="BL728" i="5"/>
  <c r="BL729" i="5"/>
  <c r="BL730" i="5"/>
  <c r="BL731" i="5"/>
  <c r="BL732" i="5"/>
  <c r="BL733" i="5"/>
  <c r="BL734" i="5"/>
  <c r="BL735" i="5"/>
  <c r="BL736" i="5"/>
  <c r="BL737" i="5"/>
  <c r="BL738" i="5"/>
  <c r="BL739" i="5"/>
  <c r="BL740" i="5"/>
  <c r="BL741" i="5"/>
  <c r="BL742" i="5"/>
  <c r="BL743" i="5"/>
  <c r="BL744" i="5"/>
  <c r="BL745" i="5"/>
  <c r="BL746" i="5"/>
  <c r="BL747" i="5"/>
  <c r="BL748" i="5"/>
  <c r="BL749" i="5"/>
  <c r="BL750" i="5"/>
  <c r="BL751" i="5"/>
  <c r="BL752" i="5"/>
  <c r="BL753" i="5"/>
  <c r="BL754" i="5"/>
  <c r="BL755" i="5"/>
  <c r="BL756" i="5"/>
  <c r="BL757" i="5"/>
  <c r="BL758" i="5"/>
  <c r="BL759" i="5"/>
  <c r="BL760" i="5"/>
  <c r="BL761" i="5"/>
  <c r="BL762" i="5"/>
  <c r="BL763" i="5"/>
  <c r="BL764" i="5"/>
  <c r="BL765" i="5"/>
  <c r="BL766" i="5"/>
  <c r="BL767" i="5"/>
  <c r="BL768" i="5"/>
  <c r="BL769" i="5"/>
  <c r="BL770" i="5"/>
  <c r="BL771" i="5"/>
  <c r="BL772" i="5"/>
  <c r="BL773" i="5"/>
  <c r="BL774" i="5"/>
  <c r="BL775" i="5"/>
  <c r="BL776" i="5"/>
  <c r="BL777" i="5"/>
  <c r="BL778" i="5"/>
  <c r="BL779" i="5"/>
  <c r="BL780" i="5"/>
  <c r="BL781" i="5"/>
  <c r="BL782" i="5"/>
  <c r="BL783" i="5"/>
  <c r="BL784" i="5"/>
  <c r="BL785" i="5"/>
  <c r="BL786" i="5"/>
  <c r="BL787" i="5"/>
  <c r="BL788" i="5"/>
  <c r="BL789" i="5"/>
  <c r="BL790" i="5"/>
  <c r="BL791" i="5"/>
  <c r="BL792" i="5"/>
  <c r="BL793" i="5"/>
  <c r="BL794" i="5"/>
  <c r="BL795" i="5"/>
  <c r="BL796" i="5"/>
  <c r="BL797" i="5"/>
  <c r="BL798" i="5"/>
  <c r="BL799" i="5"/>
  <c r="BL800" i="5"/>
  <c r="BL801" i="5"/>
  <c r="BL802" i="5"/>
  <c r="BL803" i="5"/>
  <c r="BL804" i="5"/>
  <c r="BL805" i="5"/>
  <c r="BL806" i="5"/>
  <c r="BL807" i="5"/>
  <c r="BL808" i="5"/>
  <c r="BL809" i="5"/>
  <c r="BL810" i="5"/>
  <c r="BL811" i="5"/>
  <c r="BL812" i="5"/>
  <c r="BL813" i="5"/>
  <c r="BL814" i="5"/>
  <c r="BL815" i="5"/>
  <c r="BL816" i="5"/>
  <c r="BL817" i="5"/>
  <c r="BL818" i="5"/>
  <c r="BL819" i="5"/>
  <c r="BL820" i="5"/>
  <c r="BL821" i="5"/>
  <c r="BL822" i="5"/>
  <c r="BL823" i="5"/>
  <c r="BL824" i="5"/>
  <c r="BL825" i="5"/>
  <c r="BL826" i="5"/>
  <c r="BL827" i="5"/>
  <c r="BL828" i="5"/>
  <c r="BL829" i="5"/>
  <c r="BL830" i="5"/>
  <c r="BL831" i="5"/>
  <c r="BL832" i="5"/>
  <c r="BL833" i="5"/>
  <c r="BL834" i="5"/>
  <c r="BL835" i="5"/>
  <c r="BL836" i="5"/>
  <c r="BL837" i="5"/>
  <c r="BL838" i="5"/>
  <c r="BL839" i="5"/>
  <c r="BL840" i="5"/>
  <c r="BL841" i="5"/>
  <c r="BL842" i="5"/>
  <c r="BL843" i="5"/>
  <c r="BL844" i="5"/>
  <c r="BL845" i="5"/>
  <c r="BL846" i="5"/>
  <c r="BL847" i="5"/>
  <c r="BL848" i="5"/>
  <c r="BL849" i="5"/>
  <c r="BL850" i="5"/>
  <c r="BL851" i="5"/>
  <c r="BL852" i="5"/>
  <c r="BL853" i="5"/>
  <c r="BL854" i="5"/>
  <c r="BL855" i="5"/>
  <c r="BL856" i="5"/>
  <c r="BL857" i="5"/>
  <c r="BL858" i="5"/>
  <c r="BL859" i="5"/>
  <c r="BL860" i="5"/>
  <c r="BL861" i="5"/>
  <c r="BL862" i="5"/>
  <c r="BL863" i="5"/>
  <c r="BL864" i="5"/>
  <c r="BL865" i="5"/>
  <c r="BL866" i="5"/>
  <c r="BL867" i="5"/>
  <c r="BL868" i="5"/>
  <c r="BL869" i="5"/>
  <c r="BL870" i="5"/>
  <c r="BL871" i="5"/>
  <c r="BL872" i="5"/>
  <c r="BL873" i="5"/>
  <c r="BL874" i="5"/>
  <c r="BL875" i="5"/>
  <c r="BL876" i="5"/>
  <c r="BL877" i="5"/>
  <c r="BL878" i="5"/>
  <c r="BL879" i="5"/>
  <c r="BL880" i="5"/>
  <c r="BL881" i="5"/>
  <c r="BL882" i="5"/>
  <c r="BL883" i="5"/>
  <c r="BL884" i="5"/>
  <c r="BL885" i="5"/>
  <c r="BL886" i="5"/>
  <c r="BL887" i="5"/>
  <c r="BL888" i="5"/>
  <c r="BL889" i="5"/>
  <c r="BL890" i="5"/>
  <c r="BL891" i="5"/>
  <c r="BL892" i="5"/>
  <c r="BL893" i="5"/>
  <c r="BL894" i="5"/>
  <c r="BL895" i="5"/>
  <c r="BL896" i="5"/>
  <c r="BL897" i="5"/>
  <c r="BL898" i="5"/>
  <c r="BL899" i="5"/>
  <c r="BL900" i="5"/>
  <c r="BL901" i="5"/>
  <c r="BL902" i="5"/>
  <c r="BL903" i="5"/>
  <c r="BL904" i="5"/>
  <c r="BL905" i="5"/>
  <c r="BL906" i="5"/>
  <c r="BL907" i="5"/>
  <c r="BL908" i="5"/>
  <c r="BL909" i="5"/>
  <c r="BL910" i="5"/>
  <c r="BL911" i="5"/>
  <c r="BL912" i="5"/>
  <c r="BL913" i="5"/>
  <c r="BL914" i="5"/>
  <c r="BL915" i="5"/>
  <c r="BL916" i="5"/>
  <c r="BL917" i="5"/>
  <c r="BL918" i="5"/>
  <c r="BL919" i="5"/>
  <c r="BL920" i="5"/>
  <c r="BL921" i="5"/>
  <c r="BL922" i="5"/>
  <c r="BL923" i="5"/>
  <c r="BL924" i="5"/>
  <c r="BL925" i="5"/>
  <c r="BL926" i="5"/>
  <c r="BL927" i="5"/>
  <c r="BL928" i="5"/>
  <c r="BL929" i="5"/>
  <c r="BL930" i="5"/>
  <c r="BL931" i="5"/>
  <c r="BL932" i="5"/>
  <c r="BL933" i="5"/>
  <c r="BL934" i="5"/>
  <c r="BL935" i="5"/>
  <c r="BL936" i="5"/>
  <c r="BL937" i="5"/>
  <c r="BL938" i="5"/>
  <c r="BL939" i="5"/>
  <c r="BL940" i="5"/>
  <c r="BL941" i="5"/>
  <c r="BL942" i="5"/>
  <c r="BL943" i="5"/>
  <c r="BL944" i="5"/>
  <c r="BL945" i="5"/>
  <c r="BL946" i="5"/>
  <c r="BL947" i="5"/>
  <c r="BL948" i="5"/>
  <c r="BL949" i="5"/>
  <c r="BL950" i="5"/>
  <c r="BL951" i="5"/>
  <c r="BL952" i="5"/>
  <c r="BL953" i="5"/>
  <c r="BL954" i="5"/>
  <c r="BL955" i="5"/>
  <c r="BL956" i="5"/>
  <c r="BL957" i="5"/>
  <c r="BL958" i="5"/>
  <c r="BL959" i="5"/>
  <c r="BL960" i="5"/>
  <c r="BL961" i="5"/>
  <c r="BL962" i="5"/>
  <c r="BL963" i="5"/>
  <c r="BL964" i="5"/>
  <c r="BL965" i="5"/>
  <c r="BL966" i="5"/>
  <c r="BL967" i="5"/>
  <c r="BL968" i="5"/>
  <c r="BL969" i="5"/>
  <c r="BL970" i="5"/>
  <c r="BL971" i="5"/>
  <c r="BL972" i="5"/>
  <c r="BL973" i="5"/>
  <c r="BL974" i="5"/>
  <c r="BL975" i="5"/>
  <c r="BL976" i="5"/>
  <c r="BL977" i="5"/>
  <c r="BL978" i="5"/>
  <c r="BL979" i="5"/>
  <c r="BL980" i="5"/>
  <c r="BL981" i="5"/>
  <c r="BL982" i="5"/>
  <c r="BL983" i="5"/>
  <c r="BL984" i="5"/>
  <c r="BL985" i="5"/>
  <c r="BL986" i="5"/>
  <c r="BL987" i="5"/>
  <c r="BL988" i="5"/>
  <c r="BL989" i="5"/>
  <c r="BL990" i="5"/>
  <c r="BL991" i="5"/>
  <c r="BL992" i="5"/>
  <c r="BL993" i="5"/>
  <c r="BL994" i="5"/>
  <c r="BL995" i="5"/>
  <c r="BL996" i="5"/>
  <c r="BL997" i="5"/>
  <c r="BL998" i="5"/>
  <c r="BL999" i="5"/>
  <c r="BL1000" i="5"/>
  <c r="BL1001" i="5"/>
  <c r="BL1002" i="5"/>
  <c r="BL1003" i="5"/>
  <c r="BL1004" i="5"/>
  <c r="BL1005" i="5"/>
  <c r="BL1006" i="5"/>
  <c r="BL1007" i="5"/>
  <c r="BL1008" i="5"/>
  <c r="BL1009" i="5"/>
  <c r="BL1010" i="5"/>
  <c r="BL1011" i="5"/>
  <c r="BL1012" i="5"/>
  <c r="BL1013" i="5"/>
  <c r="BL1014" i="5"/>
  <c r="BL1015" i="5"/>
  <c r="BL1016" i="5"/>
  <c r="BL1017" i="5"/>
  <c r="BL1018" i="5"/>
  <c r="BL1019" i="5"/>
  <c r="BL1020" i="5"/>
  <c r="BL1021" i="5"/>
  <c r="BL1022" i="5"/>
  <c r="BL1023" i="5"/>
  <c r="BL1024" i="5"/>
  <c r="BL1025" i="5"/>
  <c r="BL1026" i="5"/>
  <c r="BL1027" i="5"/>
  <c r="BL1028" i="5"/>
  <c r="BL1029" i="5"/>
  <c r="BL1030" i="5"/>
  <c r="BL1031" i="5"/>
  <c r="BL1032" i="5"/>
  <c r="BL1033" i="5"/>
  <c r="BL1034" i="5"/>
  <c r="BL1035" i="5"/>
  <c r="BL1036" i="5"/>
  <c r="BL1037" i="5"/>
  <c r="BL1038" i="5"/>
  <c r="BL1039" i="5"/>
  <c r="BL1040" i="5"/>
  <c r="BL1041" i="5"/>
  <c r="BL1042" i="5"/>
  <c r="BL1043" i="5"/>
  <c r="BL1044" i="5"/>
  <c r="BL1045" i="5"/>
  <c r="BL1046" i="5"/>
  <c r="BL1047" i="5"/>
  <c r="BL1048" i="5"/>
  <c r="BL1049" i="5"/>
  <c r="BL1050" i="5"/>
  <c r="BL1051" i="5"/>
  <c r="BL1052" i="5"/>
  <c r="BL1053" i="5"/>
  <c r="BL1054" i="5"/>
  <c r="BL1055" i="5"/>
  <c r="BL1056" i="5"/>
  <c r="BL1057" i="5"/>
  <c r="BL1058" i="5"/>
  <c r="BL1059" i="5"/>
  <c r="BL1060" i="5"/>
  <c r="BL1061" i="5"/>
  <c r="BL1062" i="5"/>
  <c r="BL1063" i="5"/>
  <c r="BL1064" i="5"/>
  <c r="BL1065" i="5"/>
  <c r="BL1066" i="5"/>
  <c r="BL1067" i="5"/>
  <c r="BL1068" i="5"/>
  <c r="BL1069" i="5"/>
  <c r="BL1070" i="5"/>
  <c r="BL1071" i="5"/>
  <c r="BL1072" i="5"/>
  <c r="BL1073" i="5"/>
  <c r="BL1074" i="5"/>
  <c r="BL1075" i="5"/>
  <c r="BL1076" i="5"/>
  <c r="BL1077" i="5"/>
  <c r="BL1078" i="5"/>
  <c r="BL1079" i="5"/>
  <c r="BL1080" i="5"/>
  <c r="BL1081" i="5"/>
  <c r="BL1082" i="5"/>
  <c r="BL1083" i="5"/>
  <c r="BL1084" i="5"/>
  <c r="BL1085" i="5"/>
  <c r="BL1086" i="5"/>
  <c r="BL1087" i="5"/>
  <c r="BL1088" i="5"/>
  <c r="BL1089" i="5"/>
  <c r="BL1090" i="5"/>
  <c r="BL1091" i="5"/>
  <c r="BL1092" i="5"/>
  <c r="BL1093" i="5"/>
  <c r="BL1094" i="5"/>
  <c r="BL1095" i="5"/>
  <c r="BL1096" i="5"/>
  <c r="BL1097" i="5"/>
  <c r="BL1098" i="5"/>
  <c r="BL1099" i="5"/>
  <c r="BL1100" i="5"/>
  <c r="BL1101" i="5"/>
  <c r="BL1102" i="5"/>
  <c r="BL1103" i="5"/>
  <c r="BL1104" i="5"/>
  <c r="BL1105" i="5"/>
  <c r="BL1106" i="5"/>
  <c r="BL1107" i="5"/>
  <c r="BL1108" i="5"/>
  <c r="BL1109" i="5"/>
  <c r="BL1110" i="5"/>
  <c r="BL1111" i="5"/>
  <c r="BL1112" i="5"/>
  <c r="BL1113" i="5"/>
  <c r="BL1114" i="5"/>
  <c r="BL1115" i="5"/>
  <c r="BL1116" i="5"/>
  <c r="BL1117" i="5"/>
  <c r="BL1118" i="5"/>
  <c r="BL1119" i="5"/>
  <c r="BL1120" i="5"/>
  <c r="BL1121" i="5"/>
  <c r="BL1122" i="5"/>
  <c r="BL1123" i="5"/>
  <c r="BL1124" i="5"/>
  <c r="BL1125" i="5"/>
  <c r="BL1126" i="5"/>
  <c r="BL1127" i="5"/>
  <c r="BL1128" i="5"/>
  <c r="BL1129" i="5"/>
  <c r="BL1130" i="5"/>
  <c r="BL1131" i="5"/>
  <c r="BL1132" i="5"/>
  <c r="BL1133" i="5"/>
  <c r="BL1134" i="5"/>
  <c r="BL1135" i="5"/>
  <c r="BL1136" i="5"/>
  <c r="BL1137" i="5"/>
  <c r="BL1138" i="5"/>
  <c r="BL1139" i="5"/>
  <c r="BL1140" i="5"/>
  <c r="BL1141" i="5"/>
  <c r="BL1142" i="5"/>
  <c r="BL1143" i="5"/>
  <c r="BL1144" i="5"/>
  <c r="BL1145" i="5"/>
  <c r="BL1146" i="5"/>
  <c r="BL1147" i="5"/>
  <c r="BL1148" i="5"/>
  <c r="BL1149" i="5"/>
  <c r="BL1150" i="5"/>
  <c r="BL1151" i="5"/>
  <c r="BL1152" i="5"/>
  <c r="BL1153" i="5"/>
  <c r="BL1154" i="5"/>
  <c r="BL1155" i="5"/>
  <c r="BL1156" i="5"/>
  <c r="BL1157" i="5"/>
  <c r="BL1158" i="5"/>
  <c r="BL1159" i="5"/>
  <c r="BL1160" i="5"/>
  <c r="BL1161" i="5"/>
  <c r="BL1162" i="5"/>
  <c r="BL1163" i="5"/>
  <c r="BL1164" i="5"/>
  <c r="BL1165" i="5"/>
  <c r="BL1166" i="5"/>
  <c r="BL1167" i="5"/>
  <c r="BL1168" i="5"/>
  <c r="BL1169" i="5"/>
  <c r="BL1170" i="5"/>
  <c r="BL1171" i="5"/>
  <c r="BL1172" i="5"/>
  <c r="BL1173" i="5"/>
  <c r="BL1174" i="5"/>
  <c r="BL1175" i="5"/>
  <c r="BL1176" i="5"/>
  <c r="BL1177" i="5"/>
  <c r="BL1178" i="5"/>
  <c r="BL1179" i="5"/>
  <c r="BL1180" i="5"/>
  <c r="BL1181" i="5"/>
  <c r="BL1182" i="5"/>
  <c r="BL1183" i="5"/>
  <c r="BL1184" i="5"/>
  <c r="BL1185" i="5"/>
  <c r="BL1186" i="5"/>
  <c r="BL1187" i="5"/>
  <c r="BL1188" i="5"/>
  <c r="BL1189" i="5"/>
  <c r="BL1190" i="5"/>
  <c r="BL1191" i="5"/>
  <c r="BL1192" i="5"/>
  <c r="BL1193" i="5"/>
  <c r="BL1194" i="5"/>
  <c r="BL1195" i="5"/>
  <c r="BL1196" i="5"/>
  <c r="BL1197" i="5"/>
  <c r="BL1198" i="5"/>
  <c r="BL1199" i="5"/>
  <c r="BL1200" i="5"/>
  <c r="BL1201" i="5"/>
  <c r="BL1202" i="5"/>
  <c r="BL1203" i="5"/>
  <c r="BL1204" i="5"/>
  <c r="BL1205" i="5"/>
  <c r="BL1206" i="5"/>
  <c r="BL1207" i="5"/>
  <c r="BL1208" i="5"/>
  <c r="BL1209" i="5"/>
  <c r="BL1210" i="5"/>
  <c r="BL1211" i="5"/>
  <c r="BL1212" i="5"/>
  <c r="BL1213" i="5"/>
  <c r="BL1214" i="5"/>
  <c r="BL1215" i="5"/>
  <c r="BL1216" i="5"/>
  <c r="BL1217" i="5"/>
  <c r="BL1218" i="5"/>
  <c r="BL1219" i="5"/>
  <c r="BL1220" i="5"/>
  <c r="BL1221" i="5"/>
  <c r="BL1222" i="5"/>
  <c r="BL1223" i="5"/>
  <c r="BL1224" i="5"/>
  <c r="BL1225" i="5"/>
  <c r="BL1226" i="5"/>
  <c r="BL1227" i="5"/>
  <c r="BL1228" i="5"/>
  <c r="BL1229" i="5"/>
  <c r="BL1230" i="5"/>
  <c r="BL1231" i="5"/>
  <c r="BL1232" i="5"/>
  <c r="BL1233" i="5"/>
  <c r="BL1234" i="5"/>
  <c r="BL1235" i="5"/>
  <c r="BL1236" i="5"/>
  <c r="BL1237" i="5"/>
  <c r="BL1238" i="5"/>
  <c r="BL1239" i="5"/>
  <c r="BL1240" i="5"/>
  <c r="BL1241" i="5"/>
  <c r="BL1242" i="5"/>
  <c r="BL1243" i="5"/>
  <c r="BL1244" i="5"/>
  <c r="BL1245" i="5"/>
  <c r="BL1246" i="5"/>
  <c r="BL1247" i="5"/>
  <c r="BL1248" i="5"/>
  <c r="BL1249" i="5"/>
  <c r="BL1250" i="5"/>
  <c r="BL1251" i="5"/>
  <c r="BL1252" i="5"/>
  <c r="BL1253" i="5"/>
  <c r="BL1254" i="5"/>
  <c r="BL1255" i="5"/>
  <c r="BL1256" i="5"/>
  <c r="BL1257" i="5"/>
  <c r="BL1258" i="5"/>
  <c r="BL1259" i="5"/>
  <c r="BL1260" i="5"/>
  <c r="BL1261" i="5"/>
  <c r="BL1262" i="5"/>
  <c r="BL1263" i="5"/>
  <c r="BL1264" i="5"/>
  <c r="BL1265" i="5"/>
  <c r="BL1266" i="5"/>
  <c r="BL1267" i="5"/>
  <c r="BL1268" i="5"/>
  <c r="BL1269" i="5"/>
  <c r="BL1270" i="5"/>
  <c r="BL1271" i="5"/>
  <c r="BL1272" i="5"/>
  <c r="BL1273" i="5"/>
  <c r="BL1274" i="5"/>
  <c r="BL1275" i="5"/>
  <c r="BL1276" i="5"/>
  <c r="BL1277" i="5"/>
  <c r="BL1278" i="5"/>
  <c r="BL1279" i="5"/>
  <c r="BL1280" i="5"/>
  <c r="BL1281" i="5"/>
  <c r="BL1282" i="5"/>
  <c r="BL1283" i="5"/>
  <c r="BL1284" i="5"/>
  <c r="BL1285" i="5"/>
  <c r="BL1286" i="5"/>
  <c r="BL1287" i="5"/>
  <c r="BL1288" i="5"/>
  <c r="BL1289" i="5"/>
  <c r="BL1290" i="5"/>
  <c r="BL1291" i="5"/>
  <c r="BL1292" i="5"/>
  <c r="BL1293" i="5"/>
  <c r="BL1294" i="5"/>
  <c r="BL1295" i="5"/>
  <c r="BL1296" i="5"/>
  <c r="BL1297" i="5"/>
  <c r="BL1298" i="5"/>
  <c r="BL1299" i="5"/>
  <c r="BL1300" i="5"/>
  <c r="BL1301" i="5"/>
  <c r="BL1302" i="5"/>
  <c r="BL1303" i="5"/>
  <c r="BL1304" i="5"/>
  <c r="BL1305" i="5"/>
  <c r="BL1306" i="5"/>
  <c r="BL1307" i="5"/>
  <c r="BL1308" i="5"/>
  <c r="BL1309" i="5"/>
  <c r="BL1310" i="5"/>
  <c r="BL1311" i="5"/>
  <c r="BL1312" i="5"/>
  <c r="BL1313" i="5"/>
  <c r="BL1314" i="5"/>
  <c r="BL1315" i="5"/>
  <c r="BL1316" i="5"/>
  <c r="BL1317" i="5"/>
  <c r="BL1318" i="5"/>
  <c r="BL1319" i="5"/>
  <c r="BL1320" i="5"/>
  <c r="BL1321" i="5"/>
  <c r="BL1322" i="5"/>
  <c r="BL1323" i="5"/>
  <c r="BL1324" i="5"/>
  <c r="BL1325" i="5"/>
  <c r="BL1326" i="5"/>
  <c r="BL1327" i="5"/>
  <c r="BL1328" i="5"/>
  <c r="BL1329" i="5"/>
  <c r="BL1330" i="5"/>
  <c r="BL1331" i="5"/>
  <c r="BL1332" i="5"/>
  <c r="BL1333" i="5"/>
  <c r="BL1334" i="5"/>
  <c r="BL1335" i="5"/>
  <c r="BL1336" i="5"/>
  <c r="BL1337" i="5"/>
  <c r="BL1338" i="5"/>
  <c r="BL1339" i="5"/>
  <c r="BL1340" i="5"/>
  <c r="BL1341" i="5"/>
  <c r="BL1342" i="5"/>
  <c r="BL1343" i="5"/>
  <c r="BL1344" i="5"/>
  <c r="BL1345" i="5"/>
  <c r="BL1346" i="5"/>
  <c r="BL1347" i="5"/>
  <c r="BL1348" i="5"/>
  <c r="BL1349" i="5"/>
  <c r="BL1350" i="5"/>
  <c r="BL1351" i="5"/>
  <c r="BL1352" i="5"/>
  <c r="BL1353" i="5"/>
  <c r="BL1354" i="5"/>
  <c r="BL1355" i="5"/>
  <c r="BL1356" i="5"/>
  <c r="BL1357" i="5"/>
  <c r="BL1358" i="5"/>
  <c r="BL1359" i="5"/>
  <c r="BL1360" i="5"/>
  <c r="BL1361" i="5"/>
  <c r="BL1362" i="5"/>
  <c r="BL1363" i="5"/>
  <c r="BL1364" i="5"/>
  <c r="BL1365" i="5"/>
  <c r="BL1366" i="5"/>
  <c r="BL1367" i="5"/>
  <c r="BL1368" i="5"/>
  <c r="BL1369" i="5"/>
  <c r="BL1370" i="5"/>
  <c r="BL1371" i="5"/>
  <c r="BL1372" i="5"/>
  <c r="BL1373" i="5"/>
  <c r="BL1374" i="5"/>
  <c r="BL1375" i="5"/>
  <c r="BL1376" i="5"/>
  <c r="BL1377" i="5"/>
  <c r="BL1378" i="5"/>
  <c r="BL1379" i="5"/>
  <c r="BL1380" i="5"/>
  <c r="BL1381" i="5"/>
  <c r="BL1382" i="5"/>
  <c r="BL1383" i="5"/>
  <c r="BL1384" i="5"/>
  <c r="BL1385" i="5"/>
  <c r="BL1386" i="5"/>
  <c r="BL1387" i="5"/>
  <c r="BL1388" i="5"/>
  <c r="BL1389" i="5"/>
  <c r="BL1390" i="5"/>
  <c r="BL1391" i="5"/>
  <c r="BL1392" i="5"/>
  <c r="BL1393" i="5"/>
  <c r="BL1394" i="5"/>
  <c r="BL1395" i="5"/>
  <c r="BL1396" i="5"/>
  <c r="BL1397" i="5"/>
  <c r="BL1398" i="5"/>
  <c r="BL1399" i="5"/>
  <c r="BL1400" i="5"/>
  <c r="BL1401" i="5"/>
  <c r="BL1402" i="5"/>
  <c r="BL1403" i="5"/>
  <c r="BL1404" i="5"/>
  <c r="BA1403" i="5"/>
  <c r="BK2" i="5"/>
  <c r="BK3" i="5"/>
  <c r="BK4" i="5"/>
  <c r="BK5" i="5"/>
  <c r="BK6" i="5"/>
  <c r="BK7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K49" i="5"/>
  <c r="BK50" i="5"/>
  <c r="BK51" i="5"/>
  <c r="BK52" i="5"/>
  <c r="BK53" i="5"/>
  <c r="BK54" i="5"/>
  <c r="BK55" i="5"/>
  <c r="BK56" i="5"/>
  <c r="BK57" i="5"/>
  <c r="BK58" i="5"/>
  <c r="BK59" i="5"/>
  <c r="BK60" i="5"/>
  <c r="BK61" i="5"/>
  <c r="BK62" i="5"/>
  <c r="BK63" i="5"/>
  <c r="BK64" i="5"/>
  <c r="BK65" i="5"/>
  <c r="BK66" i="5"/>
  <c r="BK67" i="5"/>
  <c r="BK68" i="5"/>
  <c r="BK69" i="5"/>
  <c r="BK70" i="5"/>
  <c r="BK71" i="5"/>
  <c r="BK72" i="5"/>
  <c r="BK73" i="5"/>
  <c r="BK74" i="5"/>
  <c r="BK75" i="5"/>
  <c r="BK76" i="5"/>
  <c r="BK77" i="5"/>
  <c r="BK78" i="5"/>
  <c r="BK79" i="5"/>
  <c r="BK80" i="5"/>
  <c r="BK81" i="5"/>
  <c r="BK82" i="5"/>
  <c r="BK83" i="5"/>
  <c r="BK84" i="5"/>
  <c r="BK85" i="5"/>
  <c r="BK86" i="5"/>
  <c r="BK87" i="5"/>
  <c r="BK88" i="5"/>
  <c r="BK89" i="5"/>
  <c r="BK90" i="5"/>
  <c r="BK91" i="5"/>
  <c r="BK92" i="5"/>
  <c r="BK93" i="5"/>
  <c r="BK94" i="5"/>
  <c r="BK95" i="5"/>
  <c r="BK96" i="5"/>
  <c r="BK97" i="5"/>
  <c r="BK98" i="5"/>
  <c r="BK99" i="5"/>
  <c r="BK100" i="5"/>
  <c r="BK101" i="5"/>
  <c r="BK102" i="5"/>
  <c r="BK103" i="5"/>
  <c r="BK104" i="5"/>
  <c r="BK105" i="5"/>
  <c r="BK106" i="5"/>
  <c r="BK107" i="5"/>
  <c r="BK108" i="5"/>
  <c r="BK109" i="5"/>
  <c r="BK110" i="5"/>
  <c r="BK111" i="5"/>
  <c r="BK112" i="5"/>
  <c r="BK113" i="5"/>
  <c r="BK114" i="5"/>
  <c r="BK115" i="5"/>
  <c r="BK116" i="5"/>
  <c r="BK117" i="5"/>
  <c r="BK118" i="5"/>
  <c r="BK119" i="5"/>
  <c r="BK120" i="5"/>
  <c r="BK121" i="5"/>
  <c r="BK122" i="5"/>
  <c r="BK123" i="5"/>
  <c r="BK124" i="5"/>
  <c r="BK125" i="5"/>
  <c r="BK126" i="5"/>
  <c r="BK127" i="5"/>
  <c r="BK128" i="5"/>
  <c r="BK129" i="5"/>
  <c r="BK130" i="5"/>
  <c r="BK131" i="5"/>
  <c r="BK132" i="5"/>
  <c r="BK133" i="5"/>
  <c r="BK134" i="5"/>
  <c r="BK135" i="5"/>
  <c r="BK136" i="5"/>
  <c r="BK137" i="5"/>
  <c r="BK138" i="5"/>
  <c r="BK139" i="5"/>
  <c r="BK140" i="5"/>
  <c r="BK141" i="5"/>
  <c r="BK142" i="5"/>
  <c r="BK143" i="5"/>
  <c r="BK144" i="5"/>
  <c r="BK145" i="5"/>
  <c r="BK146" i="5"/>
  <c r="BK147" i="5"/>
  <c r="BK148" i="5"/>
  <c r="BK149" i="5"/>
  <c r="BK150" i="5"/>
  <c r="BK151" i="5"/>
  <c r="BK152" i="5"/>
  <c r="BK153" i="5"/>
  <c r="BK154" i="5"/>
  <c r="BK155" i="5"/>
  <c r="BK156" i="5"/>
  <c r="BK157" i="5"/>
  <c r="BK158" i="5"/>
  <c r="BK159" i="5"/>
  <c r="BK160" i="5"/>
  <c r="BK161" i="5"/>
  <c r="BK162" i="5"/>
  <c r="BK163" i="5"/>
  <c r="BK164" i="5"/>
  <c r="BK165" i="5"/>
  <c r="BK166" i="5"/>
  <c r="BK167" i="5"/>
  <c r="BK168" i="5"/>
  <c r="BK169" i="5"/>
  <c r="BK170" i="5"/>
  <c r="BK171" i="5"/>
  <c r="BK172" i="5"/>
  <c r="BK173" i="5"/>
  <c r="BK174" i="5"/>
  <c r="BK175" i="5"/>
  <c r="BK176" i="5"/>
  <c r="BK177" i="5"/>
  <c r="BK178" i="5"/>
  <c r="BK179" i="5"/>
  <c r="BK180" i="5"/>
  <c r="BK181" i="5"/>
  <c r="BK182" i="5"/>
  <c r="BK183" i="5"/>
  <c r="BK184" i="5"/>
  <c r="BK185" i="5"/>
  <c r="BK186" i="5"/>
  <c r="BK187" i="5"/>
  <c r="BK188" i="5"/>
  <c r="BK189" i="5"/>
  <c r="BK190" i="5"/>
  <c r="BK191" i="5"/>
  <c r="BK192" i="5"/>
  <c r="BK193" i="5"/>
  <c r="BK194" i="5"/>
  <c r="BK195" i="5"/>
  <c r="BK196" i="5"/>
  <c r="BK197" i="5"/>
  <c r="BK198" i="5"/>
  <c r="BK199" i="5"/>
  <c r="BK200" i="5"/>
  <c r="BK201" i="5"/>
  <c r="BK202" i="5"/>
  <c r="BK203" i="5"/>
  <c r="BK204" i="5"/>
  <c r="BK205" i="5"/>
  <c r="BK206" i="5"/>
  <c r="BK207" i="5"/>
  <c r="BK208" i="5"/>
  <c r="BK209" i="5"/>
  <c r="BK210" i="5"/>
  <c r="BK211" i="5"/>
  <c r="BK212" i="5"/>
  <c r="BK213" i="5"/>
  <c r="BK214" i="5"/>
  <c r="BK215" i="5"/>
  <c r="BK216" i="5"/>
  <c r="BK217" i="5"/>
  <c r="BK218" i="5"/>
  <c r="BK219" i="5"/>
  <c r="BK220" i="5"/>
  <c r="BK221" i="5"/>
  <c r="BK222" i="5"/>
  <c r="BK223" i="5"/>
  <c r="BK224" i="5"/>
  <c r="BK225" i="5"/>
  <c r="BK226" i="5"/>
  <c r="BK227" i="5"/>
  <c r="BK228" i="5"/>
  <c r="BK229" i="5"/>
  <c r="BK230" i="5"/>
  <c r="BK231" i="5"/>
  <c r="BK232" i="5"/>
  <c r="BK233" i="5"/>
  <c r="BK234" i="5"/>
  <c r="BK235" i="5"/>
  <c r="BK236" i="5"/>
  <c r="BK237" i="5"/>
  <c r="BK238" i="5"/>
  <c r="BK239" i="5"/>
  <c r="BK240" i="5"/>
  <c r="BK241" i="5"/>
  <c r="BK242" i="5"/>
  <c r="BK243" i="5"/>
  <c r="BK244" i="5"/>
  <c r="BK245" i="5"/>
  <c r="BK246" i="5"/>
  <c r="BK247" i="5"/>
  <c r="BK248" i="5"/>
  <c r="BK249" i="5"/>
  <c r="BK250" i="5"/>
  <c r="BK251" i="5"/>
  <c r="BK252" i="5"/>
  <c r="BK253" i="5"/>
  <c r="BK254" i="5"/>
  <c r="BK255" i="5"/>
  <c r="BK256" i="5"/>
  <c r="BK257" i="5"/>
  <c r="BK258" i="5"/>
  <c r="BK259" i="5"/>
  <c r="BK260" i="5"/>
  <c r="BK261" i="5"/>
  <c r="BK262" i="5"/>
  <c r="BK263" i="5"/>
  <c r="BK264" i="5"/>
  <c r="BK265" i="5"/>
  <c r="BK266" i="5"/>
  <c r="BK267" i="5"/>
  <c r="BK268" i="5"/>
  <c r="BK269" i="5"/>
  <c r="BK270" i="5"/>
  <c r="BK271" i="5"/>
  <c r="BK272" i="5"/>
  <c r="BK273" i="5"/>
  <c r="BK274" i="5"/>
  <c r="BK275" i="5"/>
  <c r="BK276" i="5"/>
  <c r="BK277" i="5"/>
  <c r="BK278" i="5"/>
  <c r="BK279" i="5"/>
  <c r="BK280" i="5"/>
  <c r="BK281" i="5"/>
  <c r="BK282" i="5"/>
  <c r="BK283" i="5"/>
  <c r="BK284" i="5"/>
  <c r="BK285" i="5"/>
  <c r="BK286" i="5"/>
  <c r="BK287" i="5"/>
  <c r="BK288" i="5"/>
  <c r="BK289" i="5"/>
  <c r="BK290" i="5"/>
  <c r="BK291" i="5"/>
  <c r="BK292" i="5"/>
  <c r="BK293" i="5"/>
  <c r="BK294" i="5"/>
  <c r="BK295" i="5"/>
  <c r="BK296" i="5"/>
  <c r="BK297" i="5"/>
  <c r="BK298" i="5"/>
  <c r="BK299" i="5"/>
  <c r="BK300" i="5"/>
  <c r="BK301" i="5"/>
  <c r="BK302" i="5"/>
  <c r="BK303" i="5"/>
  <c r="BK304" i="5"/>
  <c r="BK305" i="5"/>
  <c r="BK306" i="5"/>
  <c r="BK307" i="5"/>
  <c r="BK308" i="5"/>
  <c r="BK309" i="5"/>
  <c r="BK310" i="5"/>
  <c r="BK311" i="5"/>
  <c r="BK312" i="5"/>
  <c r="BK313" i="5"/>
  <c r="BK314" i="5"/>
  <c r="BK315" i="5"/>
  <c r="BK316" i="5"/>
  <c r="BK317" i="5"/>
  <c r="BK318" i="5"/>
  <c r="BK319" i="5"/>
  <c r="BK320" i="5"/>
  <c r="BK321" i="5"/>
  <c r="BK322" i="5"/>
  <c r="BK323" i="5"/>
  <c r="BK324" i="5"/>
  <c r="BK325" i="5"/>
  <c r="BK326" i="5"/>
  <c r="BK327" i="5"/>
  <c r="BK328" i="5"/>
  <c r="BK329" i="5"/>
  <c r="BK330" i="5"/>
  <c r="BK331" i="5"/>
  <c r="BK332" i="5"/>
  <c r="BK333" i="5"/>
  <c r="BK334" i="5"/>
  <c r="BK335" i="5"/>
  <c r="BK336" i="5"/>
  <c r="BK337" i="5"/>
  <c r="BK338" i="5"/>
  <c r="BK339" i="5"/>
  <c r="BK340" i="5"/>
  <c r="BK341" i="5"/>
  <c r="BK342" i="5"/>
  <c r="BK343" i="5"/>
  <c r="BK344" i="5"/>
  <c r="BK345" i="5"/>
  <c r="BK346" i="5"/>
  <c r="BK347" i="5"/>
  <c r="BK348" i="5"/>
  <c r="BK349" i="5"/>
  <c r="BK350" i="5"/>
  <c r="BK351" i="5"/>
  <c r="BK352" i="5"/>
  <c r="BK353" i="5"/>
  <c r="BK354" i="5"/>
  <c r="BK355" i="5"/>
  <c r="BK356" i="5"/>
  <c r="BK357" i="5"/>
  <c r="BK358" i="5"/>
  <c r="BK359" i="5"/>
  <c r="BK360" i="5"/>
  <c r="BK361" i="5"/>
  <c r="BK362" i="5"/>
  <c r="BK363" i="5"/>
  <c r="BK364" i="5"/>
  <c r="BK365" i="5"/>
  <c r="BK366" i="5"/>
  <c r="BK367" i="5"/>
  <c r="BK368" i="5"/>
  <c r="BK369" i="5"/>
  <c r="BK370" i="5"/>
  <c r="BK371" i="5"/>
  <c r="BK372" i="5"/>
  <c r="BK373" i="5"/>
  <c r="BK374" i="5"/>
  <c r="BK375" i="5"/>
  <c r="BK376" i="5"/>
  <c r="BK377" i="5"/>
  <c r="BK378" i="5"/>
  <c r="BK379" i="5"/>
  <c r="BK380" i="5"/>
  <c r="BK381" i="5"/>
  <c r="BK382" i="5"/>
  <c r="BK383" i="5"/>
  <c r="BK384" i="5"/>
  <c r="BK385" i="5"/>
  <c r="BK386" i="5"/>
  <c r="BK387" i="5"/>
  <c r="BK388" i="5"/>
  <c r="BK389" i="5"/>
  <c r="BK390" i="5"/>
  <c r="BK391" i="5"/>
  <c r="BK392" i="5"/>
  <c r="BK393" i="5"/>
  <c r="BK394" i="5"/>
  <c r="BK395" i="5"/>
  <c r="BK396" i="5"/>
  <c r="BK397" i="5"/>
  <c r="BK398" i="5"/>
  <c r="BK399" i="5"/>
  <c r="BK400" i="5"/>
  <c r="BK401" i="5"/>
  <c r="BK402" i="5"/>
  <c r="BK403" i="5"/>
  <c r="BK404" i="5"/>
  <c r="BK405" i="5"/>
  <c r="BK406" i="5"/>
  <c r="BK407" i="5"/>
  <c r="BK408" i="5"/>
  <c r="BK409" i="5"/>
  <c r="BK410" i="5"/>
  <c r="BK411" i="5"/>
  <c r="BK412" i="5"/>
  <c r="BK413" i="5"/>
  <c r="BK414" i="5"/>
  <c r="BK415" i="5"/>
  <c r="BK416" i="5"/>
  <c r="BK417" i="5"/>
  <c r="BK418" i="5"/>
  <c r="BK419" i="5"/>
  <c r="BK420" i="5"/>
  <c r="BK421" i="5"/>
  <c r="BK422" i="5"/>
  <c r="BK423" i="5"/>
  <c r="BK424" i="5"/>
  <c r="BK425" i="5"/>
  <c r="BK426" i="5"/>
  <c r="BK427" i="5"/>
  <c r="BK428" i="5"/>
  <c r="BK429" i="5"/>
  <c r="BK430" i="5"/>
  <c r="BK431" i="5"/>
  <c r="BK432" i="5"/>
  <c r="BK433" i="5"/>
  <c r="BK434" i="5"/>
  <c r="BK435" i="5"/>
  <c r="BK436" i="5"/>
  <c r="BK437" i="5"/>
  <c r="BK438" i="5"/>
  <c r="BK439" i="5"/>
  <c r="BK440" i="5"/>
  <c r="BK441" i="5"/>
  <c r="BK442" i="5"/>
  <c r="BK443" i="5"/>
  <c r="BK444" i="5"/>
  <c r="BK445" i="5"/>
  <c r="BK446" i="5"/>
  <c r="BK447" i="5"/>
  <c r="BK448" i="5"/>
  <c r="BK449" i="5"/>
  <c r="BK450" i="5"/>
  <c r="BK451" i="5"/>
  <c r="BK452" i="5"/>
  <c r="BK453" i="5"/>
  <c r="BK454" i="5"/>
  <c r="BK455" i="5"/>
  <c r="BK456" i="5"/>
  <c r="BK457" i="5"/>
  <c r="BK458" i="5"/>
  <c r="BK459" i="5"/>
  <c r="BK460" i="5"/>
  <c r="BK461" i="5"/>
  <c r="BK462" i="5"/>
  <c r="BK463" i="5"/>
  <c r="BK464" i="5"/>
  <c r="BK465" i="5"/>
  <c r="BK466" i="5"/>
  <c r="BK467" i="5"/>
  <c r="BK468" i="5"/>
  <c r="BK469" i="5"/>
  <c r="BK470" i="5"/>
  <c r="BK471" i="5"/>
  <c r="BK472" i="5"/>
  <c r="BK473" i="5"/>
  <c r="BK474" i="5"/>
  <c r="BK475" i="5"/>
  <c r="BK476" i="5"/>
  <c r="BK477" i="5"/>
  <c r="BK478" i="5"/>
  <c r="BK479" i="5"/>
  <c r="BK480" i="5"/>
  <c r="BK481" i="5"/>
  <c r="BK482" i="5"/>
  <c r="BK483" i="5"/>
  <c r="BK484" i="5"/>
  <c r="BK485" i="5"/>
  <c r="BK486" i="5"/>
  <c r="BK487" i="5"/>
  <c r="BK488" i="5"/>
  <c r="BK489" i="5"/>
  <c r="BK490" i="5"/>
  <c r="BK491" i="5"/>
  <c r="BK492" i="5"/>
  <c r="BK493" i="5"/>
  <c r="BK494" i="5"/>
  <c r="BK495" i="5"/>
  <c r="BK496" i="5"/>
  <c r="BK497" i="5"/>
  <c r="BK498" i="5"/>
  <c r="BK499" i="5"/>
  <c r="BK500" i="5"/>
  <c r="BK501" i="5"/>
  <c r="BK502" i="5"/>
  <c r="BK503" i="5"/>
  <c r="BK504" i="5"/>
  <c r="BK505" i="5"/>
  <c r="BK506" i="5"/>
  <c r="BK507" i="5"/>
  <c r="BK508" i="5"/>
  <c r="BK509" i="5"/>
  <c r="BK510" i="5"/>
  <c r="BK511" i="5"/>
  <c r="BK512" i="5"/>
  <c r="BK513" i="5"/>
  <c r="BK514" i="5"/>
  <c r="BK515" i="5"/>
  <c r="BK516" i="5"/>
  <c r="BK517" i="5"/>
  <c r="BK518" i="5"/>
  <c r="BK519" i="5"/>
  <c r="BK520" i="5"/>
  <c r="BK521" i="5"/>
  <c r="BK522" i="5"/>
  <c r="BK523" i="5"/>
  <c r="BK524" i="5"/>
  <c r="BK525" i="5"/>
  <c r="BK526" i="5"/>
  <c r="BK527" i="5"/>
  <c r="BK528" i="5"/>
  <c r="BK529" i="5"/>
  <c r="BK530" i="5"/>
  <c r="BK531" i="5"/>
  <c r="BK532" i="5"/>
  <c r="BK533" i="5"/>
  <c r="BK534" i="5"/>
  <c r="BK535" i="5"/>
  <c r="BK536" i="5"/>
  <c r="BK537" i="5"/>
  <c r="BK538" i="5"/>
  <c r="BK539" i="5"/>
  <c r="BK540" i="5"/>
  <c r="BK541" i="5"/>
  <c r="BK542" i="5"/>
  <c r="BK543" i="5"/>
  <c r="BK544" i="5"/>
  <c r="BK545" i="5"/>
  <c r="BK546" i="5"/>
  <c r="BK547" i="5"/>
  <c r="BK548" i="5"/>
  <c r="BK549" i="5"/>
  <c r="BK550" i="5"/>
  <c r="BK551" i="5"/>
  <c r="BK552" i="5"/>
  <c r="BK553" i="5"/>
  <c r="BK554" i="5"/>
  <c r="BK555" i="5"/>
  <c r="BK556" i="5"/>
  <c r="BK557" i="5"/>
  <c r="BK558" i="5"/>
  <c r="BK559" i="5"/>
  <c r="BK560" i="5"/>
  <c r="BK561" i="5"/>
  <c r="BK562" i="5"/>
  <c r="BK563" i="5"/>
  <c r="BK564" i="5"/>
  <c r="BK565" i="5"/>
  <c r="BK566" i="5"/>
  <c r="BK567" i="5"/>
  <c r="BK568" i="5"/>
  <c r="BK569" i="5"/>
  <c r="BK570" i="5"/>
  <c r="BK571" i="5"/>
  <c r="BK572" i="5"/>
  <c r="BK573" i="5"/>
  <c r="BK574" i="5"/>
  <c r="BK575" i="5"/>
  <c r="BK576" i="5"/>
  <c r="BK577" i="5"/>
  <c r="BK578" i="5"/>
  <c r="BK579" i="5"/>
  <c r="BK580" i="5"/>
  <c r="BK581" i="5"/>
  <c r="BK582" i="5"/>
  <c r="BK583" i="5"/>
  <c r="BK584" i="5"/>
  <c r="BK585" i="5"/>
  <c r="BK586" i="5"/>
  <c r="BK587" i="5"/>
  <c r="BK588" i="5"/>
  <c r="BK589" i="5"/>
  <c r="BK590" i="5"/>
  <c r="BK591" i="5"/>
  <c r="BK592" i="5"/>
  <c r="BK593" i="5"/>
  <c r="BK594" i="5"/>
  <c r="BK595" i="5"/>
  <c r="BK596" i="5"/>
  <c r="BK597" i="5"/>
  <c r="BK598" i="5"/>
  <c r="BK599" i="5"/>
  <c r="BK600" i="5"/>
  <c r="BK601" i="5"/>
  <c r="BK602" i="5"/>
  <c r="BK603" i="5"/>
  <c r="BK604" i="5"/>
  <c r="BK605" i="5"/>
  <c r="BK606" i="5"/>
  <c r="BK607" i="5"/>
  <c r="BK608" i="5"/>
  <c r="BK609" i="5"/>
  <c r="BK610" i="5"/>
  <c r="BK611" i="5"/>
  <c r="BK612" i="5"/>
  <c r="BK613" i="5"/>
  <c r="BK614" i="5"/>
  <c r="BK615" i="5"/>
  <c r="BK616" i="5"/>
  <c r="BK617" i="5"/>
  <c r="BK618" i="5"/>
  <c r="BK619" i="5"/>
  <c r="BK620" i="5"/>
  <c r="BK621" i="5"/>
  <c r="BK622" i="5"/>
  <c r="BK623" i="5"/>
  <c r="BK624" i="5"/>
  <c r="BK625" i="5"/>
  <c r="BK626" i="5"/>
  <c r="BK627" i="5"/>
  <c r="BK628" i="5"/>
  <c r="BK629" i="5"/>
  <c r="BK630" i="5"/>
  <c r="BK631" i="5"/>
  <c r="BK632" i="5"/>
  <c r="BK633" i="5"/>
  <c r="BK634" i="5"/>
  <c r="BK635" i="5"/>
  <c r="BK636" i="5"/>
  <c r="BK637" i="5"/>
  <c r="BK638" i="5"/>
  <c r="BK639" i="5"/>
  <c r="BK640" i="5"/>
  <c r="BK641" i="5"/>
  <c r="BK642" i="5"/>
  <c r="BK643" i="5"/>
  <c r="BK644" i="5"/>
  <c r="BK645" i="5"/>
  <c r="BK646" i="5"/>
  <c r="BK647" i="5"/>
  <c r="BK648" i="5"/>
  <c r="BK649" i="5"/>
  <c r="BK650" i="5"/>
  <c r="BK651" i="5"/>
  <c r="BK652" i="5"/>
  <c r="BK653" i="5"/>
  <c r="BK654" i="5"/>
  <c r="BK655" i="5"/>
  <c r="BK656" i="5"/>
  <c r="BK657" i="5"/>
  <c r="BK658" i="5"/>
  <c r="BK659" i="5"/>
  <c r="BK660" i="5"/>
  <c r="BK661" i="5"/>
  <c r="BK662" i="5"/>
  <c r="BK663" i="5"/>
  <c r="BK664" i="5"/>
  <c r="BK665" i="5"/>
  <c r="BK666" i="5"/>
  <c r="BK667" i="5"/>
  <c r="BK668" i="5"/>
  <c r="BK669" i="5"/>
  <c r="BK670" i="5"/>
  <c r="BK671" i="5"/>
  <c r="BK672" i="5"/>
  <c r="BK673" i="5"/>
  <c r="BK674" i="5"/>
  <c r="BK675" i="5"/>
  <c r="BK676" i="5"/>
  <c r="BK677" i="5"/>
  <c r="BK678" i="5"/>
  <c r="BK679" i="5"/>
  <c r="BK680" i="5"/>
  <c r="BK681" i="5"/>
  <c r="BK682" i="5"/>
  <c r="BK683" i="5"/>
  <c r="BK684" i="5"/>
  <c r="BK685" i="5"/>
  <c r="BK686" i="5"/>
  <c r="BK687" i="5"/>
  <c r="BK688" i="5"/>
  <c r="BK689" i="5"/>
  <c r="BK690" i="5"/>
  <c r="BK691" i="5"/>
  <c r="BK692" i="5"/>
  <c r="BK693" i="5"/>
  <c r="BK694" i="5"/>
  <c r="BK695" i="5"/>
  <c r="BK696" i="5"/>
  <c r="BK697" i="5"/>
  <c r="BK698" i="5"/>
  <c r="BK699" i="5"/>
  <c r="BK700" i="5"/>
  <c r="BK701" i="5"/>
  <c r="BK702" i="5"/>
  <c r="BK703" i="5"/>
  <c r="BK704" i="5"/>
  <c r="BK705" i="5"/>
  <c r="BK706" i="5"/>
  <c r="BK707" i="5"/>
  <c r="BK708" i="5"/>
  <c r="BK709" i="5"/>
  <c r="BK710" i="5"/>
  <c r="BK711" i="5"/>
  <c r="BK712" i="5"/>
  <c r="BK713" i="5"/>
  <c r="BK714" i="5"/>
  <c r="BK715" i="5"/>
  <c r="BK716" i="5"/>
  <c r="BK717" i="5"/>
  <c r="BK718" i="5"/>
  <c r="BK719" i="5"/>
  <c r="BK720" i="5"/>
  <c r="BK721" i="5"/>
  <c r="BK722" i="5"/>
  <c r="BK723" i="5"/>
  <c r="BK724" i="5"/>
  <c r="BK725" i="5"/>
  <c r="BK726" i="5"/>
  <c r="BK727" i="5"/>
  <c r="BK728" i="5"/>
  <c r="BK729" i="5"/>
  <c r="BK730" i="5"/>
  <c r="BK731" i="5"/>
  <c r="BK732" i="5"/>
  <c r="BK733" i="5"/>
  <c r="BK734" i="5"/>
  <c r="BK735" i="5"/>
  <c r="BK736" i="5"/>
  <c r="BK737" i="5"/>
  <c r="BK738" i="5"/>
  <c r="BK739" i="5"/>
  <c r="BK740" i="5"/>
  <c r="BK741" i="5"/>
  <c r="BK742" i="5"/>
  <c r="BK743" i="5"/>
  <c r="BK744" i="5"/>
  <c r="BK745" i="5"/>
  <c r="BK746" i="5"/>
  <c r="BK747" i="5"/>
  <c r="BK748" i="5"/>
  <c r="BK749" i="5"/>
  <c r="BK750" i="5"/>
  <c r="BK751" i="5"/>
  <c r="BK752" i="5"/>
  <c r="BK753" i="5"/>
  <c r="BK754" i="5"/>
  <c r="BK755" i="5"/>
  <c r="BK756" i="5"/>
  <c r="BK757" i="5"/>
  <c r="BK758" i="5"/>
  <c r="BK759" i="5"/>
  <c r="BK760" i="5"/>
  <c r="BK761" i="5"/>
  <c r="BK762" i="5"/>
  <c r="BK763" i="5"/>
  <c r="BK764" i="5"/>
  <c r="BK765" i="5"/>
  <c r="BK766" i="5"/>
  <c r="BK767" i="5"/>
  <c r="BK768" i="5"/>
  <c r="BK769" i="5"/>
  <c r="BK770" i="5"/>
  <c r="BK771" i="5"/>
  <c r="BK772" i="5"/>
  <c r="BK773" i="5"/>
  <c r="BK774" i="5"/>
  <c r="BK775" i="5"/>
  <c r="BK776" i="5"/>
  <c r="BK777" i="5"/>
  <c r="BK778" i="5"/>
  <c r="BK779" i="5"/>
  <c r="BK780" i="5"/>
  <c r="BK781" i="5"/>
  <c r="BK782" i="5"/>
  <c r="BK783" i="5"/>
  <c r="BK784" i="5"/>
  <c r="BK785" i="5"/>
  <c r="BK786" i="5"/>
  <c r="BK787" i="5"/>
  <c r="BK788" i="5"/>
  <c r="BK789" i="5"/>
  <c r="BK790" i="5"/>
  <c r="BK791" i="5"/>
  <c r="BK792" i="5"/>
  <c r="BK793" i="5"/>
  <c r="BK794" i="5"/>
  <c r="BK795" i="5"/>
  <c r="BK796" i="5"/>
  <c r="BK797" i="5"/>
  <c r="BK798" i="5"/>
  <c r="BK799" i="5"/>
  <c r="BK800" i="5"/>
  <c r="BK801" i="5"/>
  <c r="BK802" i="5"/>
  <c r="BK803" i="5"/>
  <c r="BK804" i="5"/>
  <c r="BK805" i="5"/>
  <c r="BK806" i="5"/>
  <c r="BK807" i="5"/>
  <c r="BK808" i="5"/>
  <c r="BK809" i="5"/>
  <c r="BK810" i="5"/>
  <c r="BK811" i="5"/>
  <c r="BK812" i="5"/>
  <c r="BK813" i="5"/>
  <c r="BK814" i="5"/>
  <c r="BK815" i="5"/>
  <c r="BK816" i="5"/>
  <c r="BK817" i="5"/>
  <c r="BK818" i="5"/>
  <c r="BK819" i="5"/>
  <c r="BK820" i="5"/>
  <c r="BK821" i="5"/>
  <c r="BK822" i="5"/>
  <c r="BK823" i="5"/>
  <c r="BK824" i="5"/>
  <c r="BK825" i="5"/>
  <c r="BK826" i="5"/>
  <c r="BK827" i="5"/>
  <c r="BK828" i="5"/>
  <c r="BK829" i="5"/>
  <c r="BK830" i="5"/>
  <c r="BK831" i="5"/>
  <c r="BK832" i="5"/>
  <c r="BK833" i="5"/>
  <c r="BK834" i="5"/>
  <c r="BK835" i="5"/>
  <c r="BK836" i="5"/>
  <c r="BK837" i="5"/>
  <c r="BK838" i="5"/>
  <c r="BK839" i="5"/>
  <c r="BK840" i="5"/>
  <c r="BK841" i="5"/>
  <c r="BK842" i="5"/>
  <c r="BK843" i="5"/>
  <c r="BK844" i="5"/>
  <c r="BK845" i="5"/>
  <c r="BK846" i="5"/>
  <c r="BK847" i="5"/>
  <c r="BK848" i="5"/>
  <c r="BK849" i="5"/>
  <c r="BK850" i="5"/>
  <c r="BK851" i="5"/>
  <c r="BK852" i="5"/>
  <c r="BK853" i="5"/>
  <c r="BK854" i="5"/>
  <c r="BK855" i="5"/>
  <c r="BK856" i="5"/>
  <c r="BK857" i="5"/>
  <c r="BK858" i="5"/>
  <c r="BK859" i="5"/>
  <c r="BK860" i="5"/>
  <c r="BK861" i="5"/>
  <c r="BK862" i="5"/>
  <c r="BK863" i="5"/>
  <c r="BK864" i="5"/>
  <c r="BK865" i="5"/>
  <c r="BK866" i="5"/>
  <c r="BK867" i="5"/>
  <c r="BK868" i="5"/>
  <c r="BK869" i="5"/>
  <c r="BK870" i="5"/>
  <c r="BK871" i="5"/>
  <c r="BK872" i="5"/>
  <c r="BK873" i="5"/>
  <c r="BK874" i="5"/>
  <c r="BK875" i="5"/>
  <c r="BK876" i="5"/>
  <c r="BK877" i="5"/>
  <c r="BK878" i="5"/>
  <c r="BK879" i="5"/>
  <c r="BK880" i="5"/>
  <c r="BK881" i="5"/>
  <c r="BK882" i="5"/>
  <c r="BK883" i="5"/>
  <c r="BK884" i="5"/>
  <c r="BK885" i="5"/>
  <c r="BK886" i="5"/>
  <c r="BK887" i="5"/>
  <c r="BK888" i="5"/>
  <c r="BK889" i="5"/>
  <c r="BK890" i="5"/>
  <c r="BK891" i="5"/>
  <c r="BK892" i="5"/>
  <c r="BK893" i="5"/>
  <c r="BK894" i="5"/>
  <c r="BK895" i="5"/>
  <c r="BK896" i="5"/>
  <c r="BK897" i="5"/>
  <c r="BK898" i="5"/>
  <c r="BK899" i="5"/>
  <c r="BK900" i="5"/>
  <c r="BK901" i="5"/>
  <c r="BK902" i="5"/>
  <c r="BK903" i="5"/>
  <c r="BK904" i="5"/>
  <c r="BK905" i="5"/>
  <c r="BK906" i="5"/>
  <c r="BK907" i="5"/>
  <c r="BK908" i="5"/>
  <c r="BK909" i="5"/>
  <c r="BK910" i="5"/>
  <c r="BK911" i="5"/>
  <c r="BK912" i="5"/>
  <c r="BK913" i="5"/>
  <c r="BK914" i="5"/>
  <c r="BK915" i="5"/>
  <c r="BK916" i="5"/>
  <c r="BK917" i="5"/>
  <c r="BK918" i="5"/>
  <c r="BK919" i="5"/>
  <c r="BK920" i="5"/>
  <c r="BK921" i="5"/>
  <c r="BK922" i="5"/>
  <c r="BK923" i="5"/>
  <c r="BK924" i="5"/>
  <c r="BK925" i="5"/>
  <c r="BK926" i="5"/>
  <c r="BK927" i="5"/>
  <c r="BK928" i="5"/>
  <c r="BK929" i="5"/>
  <c r="BK930" i="5"/>
  <c r="BK931" i="5"/>
  <c r="BK932" i="5"/>
  <c r="BK933" i="5"/>
  <c r="BK934" i="5"/>
  <c r="BK935" i="5"/>
  <c r="BK936" i="5"/>
  <c r="BK937" i="5"/>
  <c r="BK938" i="5"/>
  <c r="BK939" i="5"/>
  <c r="BK940" i="5"/>
  <c r="BK941" i="5"/>
  <c r="BK942" i="5"/>
  <c r="BK943" i="5"/>
  <c r="BK944" i="5"/>
  <c r="BK945" i="5"/>
  <c r="BK946" i="5"/>
  <c r="BK947" i="5"/>
  <c r="BK948" i="5"/>
  <c r="BK949" i="5"/>
  <c r="BK950" i="5"/>
  <c r="BK951" i="5"/>
  <c r="BK952" i="5"/>
  <c r="BK953" i="5"/>
  <c r="BK954" i="5"/>
  <c r="BK955" i="5"/>
  <c r="BK956" i="5"/>
  <c r="BK957" i="5"/>
  <c r="BK958" i="5"/>
  <c r="BK959" i="5"/>
  <c r="BK960" i="5"/>
  <c r="BK961" i="5"/>
  <c r="BK962" i="5"/>
  <c r="BK963" i="5"/>
  <c r="BK964" i="5"/>
  <c r="BK965" i="5"/>
  <c r="BK966" i="5"/>
  <c r="BK967" i="5"/>
  <c r="BK968" i="5"/>
  <c r="BK969" i="5"/>
  <c r="BK970" i="5"/>
  <c r="BK971" i="5"/>
  <c r="BK972" i="5"/>
  <c r="BK973" i="5"/>
  <c r="BK974" i="5"/>
  <c r="BK975" i="5"/>
  <c r="BK976" i="5"/>
  <c r="BK977" i="5"/>
  <c r="BK978" i="5"/>
  <c r="BK979" i="5"/>
  <c r="BK980" i="5"/>
  <c r="BK981" i="5"/>
  <c r="BK982" i="5"/>
  <c r="BK983" i="5"/>
  <c r="BK984" i="5"/>
  <c r="BK985" i="5"/>
  <c r="BK986" i="5"/>
  <c r="BK987" i="5"/>
  <c r="BK988" i="5"/>
  <c r="BK989" i="5"/>
  <c r="BK990" i="5"/>
  <c r="BK991" i="5"/>
  <c r="BK992" i="5"/>
  <c r="BK993" i="5"/>
  <c r="BK994" i="5"/>
  <c r="BK995" i="5"/>
  <c r="BK996" i="5"/>
  <c r="BK997" i="5"/>
  <c r="BK998" i="5"/>
  <c r="BK999" i="5"/>
  <c r="BK1000" i="5"/>
  <c r="BK1001" i="5"/>
  <c r="BK1002" i="5"/>
  <c r="BK1003" i="5"/>
  <c r="BK1004" i="5"/>
  <c r="BK1005" i="5"/>
  <c r="BK1006" i="5"/>
  <c r="BK1007" i="5"/>
  <c r="BK1008" i="5"/>
  <c r="BK1009" i="5"/>
  <c r="BK1010" i="5"/>
  <c r="BK1011" i="5"/>
  <c r="BK1012" i="5"/>
  <c r="BK1013" i="5"/>
  <c r="BK1014" i="5"/>
  <c r="BK1015" i="5"/>
  <c r="BK1016" i="5"/>
  <c r="BK1017" i="5"/>
  <c r="BK1018" i="5"/>
  <c r="BK1019" i="5"/>
  <c r="BK1020" i="5"/>
  <c r="BK1021" i="5"/>
  <c r="BK1022" i="5"/>
  <c r="BK1023" i="5"/>
  <c r="BK1024" i="5"/>
  <c r="BK1025" i="5"/>
  <c r="BK1026" i="5"/>
  <c r="BK1027" i="5"/>
  <c r="BK1028" i="5"/>
  <c r="BK1029" i="5"/>
  <c r="BK1030" i="5"/>
  <c r="BK1031" i="5"/>
  <c r="BK1032" i="5"/>
  <c r="BK1033" i="5"/>
  <c r="BK1034" i="5"/>
  <c r="BK1035" i="5"/>
  <c r="BK1036" i="5"/>
  <c r="BK1037" i="5"/>
  <c r="BK1038" i="5"/>
  <c r="BK1039" i="5"/>
  <c r="BK1040" i="5"/>
  <c r="BK1041" i="5"/>
  <c r="BK1042" i="5"/>
  <c r="BK1043" i="5"/>
  <c r="BK1044" i="5"/>
  <c r="BK1045" i="5"/>
  <c r="BK1046" i="5"/>
  <c r="BK1047" i="5"/>
  <c r="BK1048" i="5"/>
  <c r="BK1049" i="5"/>
  <c r="BK1050" i="5"/>
  <c r="BK1051" i="5"/>
  <c r="BK1052" i="5"/>
  <c r="BK1053" i="5"/>
  <c r="BK1054" i="5"/>
  <c r="BK1055" i="5"/>
  <c r="BK1056" i="5"/>
  <c r="BK1057" i="5"/>
  <c r="BK1058" i="5"/>
  <c r="BK1059" i="5"/>
  <c r="BK1060" i="5"/>
  <c r="BK1061" i="5"/>
  <c r="BK1062" i="5"/>
  <c r="BK1063" i="5"/>
  <c r="BK1064" i="5"/>
  <c r="BK1065" i="5"/>
  <c r="BK1066" i="5"/>
  <c r="BK1067" i="5"/>
  <c r="BK1068" i="5"/>
  <c r="BK1069" i="5"/>
  <c r="BK1070" i="5"/>
  <c r="BK1071" i="5"/>
  <c r="BK1072" i="5"/>
  <c r="BK1073" i="5"/>
  <c r="BK1074" i="5"/>
  <c r="BK1075" i="5"/>
  <c r="BK1076" i="5"/>
  <c r="BK1077" i="5"/>
  <c r="BK1078" i="5"/>
  <c r="BK1079" i="5"/>
  <c r="BK1080" i="5"/>
  <c r="BK1081" i="5"/>
  <c r="BK1082" i="5"/>
  <c r="BK1083" i="5"/>
  <c r="BK1084" i="5"/>
  <c r="BK1085" i="5"/>
  <c r="BK1086" i="5"/>
  <c r="BK1087" i="5"/>
  <c r="BK1088" i="5"/>
  <c r="BK1089" i="5"/>
  <c r="BK1090" i="5"/>
  <c r="BK1091" i="5"/>
  <c r="BK1092" i="5"/>
  <c r="BK1093" i="5"/>
  <c r="BK1094" i="5"/>
  <c r="BK1095" i="5"/>
  <c r="BK1096" i="5"/>
  <c r="BK1097" i="5"/>
  <c r="BK1098" i="5"/>
  <c r="BK1099" i="5"/>
  <c r="BK1100" i="5"/>
  <c r="BK1101" i="5"/>
  <c r="BK1102" i="5"/>
  <c r="BK1103" i="5"/>
  <c r="BK1104" i="5"/>
  <c r="BK1105" i="5"/>
  <c r="BK1106" i="5"/>
  <c r="BK1107" i="5"/>
  <c r="BK1108" i="5"/>
  <c r="BK1109" i="5"/>
  <c r="BK1110" i="5"/>
  <c r="BK1111" i="5"/>
  <c r="BK1112" i="5"/>
  <c r="BK1113" i="5"/>
  <c r="BK1114" i="5"/>
  <c r="BK1115" i="5"/>
  <c r="BK1116" i="5"/>
  <c r="BK1117" i="5"/>
  <c r="BK1118" i="5"/>
  <c r="BK1119" i="5"/>
  <c r="BK1120" i="5"/>
  <c r="BK1121" i="5"/>
  <c r="BK1122" i="5"/>
  <c r="BK1123" i="5"/>
  <c r="BK1124" i="5"/>
  <c r="BK1125" i="5"/>
  <c r="BK1126" i="5"/>
  <c r="BK1127" i="5"/>
  <c r="BK1128" i="5"/>
  <c r="BK1129" i="5"/>
  <c r="BK1130" i="5"/>
  <c r="BK1131" i="5"/>
  <c r="BK1132" i="5"/>
  <c r="BK1133" i="5"/>
  <c r="BK1134" i="5"/>
  <c r="BK1135" i="5"/>
  <c r="BK1136" i="5"/>
  <c r="BK1137" i="5"/>
  <c r="BK1138" i="5"/>
  <c r="BK1139" i="5"/>
  <c r="BK1140" i="5"/>
  <c r="BK1141" i="5"/>
  <c r="BK1142" i="5"/>
  <c r="BK1143" i="5"/>
  <c r="BK1144" i="5"/>
  <c r="BK1145" i="5"/>
  <c r="BK1146" i="5"/>
  <c r="BK1147" i="5"/>
  <c r="BK1148" i="5"/>
  <c r="BK1149" i="5"/>
  <c r="BK1150" i="5"/>
  <c r="BK1151" i="5"/>
  <c r="BK1152" i="5"/>
  <c r="BK1153" i="5"/>
  <c r="BK1154" i="5"/>
  <c r="BK1155" i="5"/>
  <c r="BK1156" i="5"/>
  <c r="BK1157" i="5"/>
  <c r="BK1158" i="5"/>
  <c r="BK1159" i="5"/>
  <c r="BK1160" i="5"/>
  <c r="BK1161" i="5"/>
  <c r="BK1162" i="5"/>
  <c r="BK1163" i="5"/>
  <c r="BK1164" i="5"/>
  <c r="BK1165" i="5"/>
  <c r="BK1166" i="5"/>
  <c r="BK1167" i="5"/>
  <c r="BK1168" i="5"/>
  <c r="BK1169" i="5"/>
  <c r="BK1170" i="5"/>
  <c r="BK1171" i="5"/>
  <c r="BK1172" i="5"/>
  <c r="BK1173" i="5"/>
  <c r="BK1174" i="5"/>
  <c r="BK1175" i="5"/>
  <c r="BK1176" i="5"/>
  <c r="BK1177" i="5"/>
  <c r="BK1178" i="5"/>
  <c r="BK1179" i="5"/>
  <c r="BK1180" i="5"/>
  <c r="BK1181" i="5"/>
  <c r="BK1182" i="5"/>
  <c r="BK1183" i="5"/>
  <c r="BK1184" i="5"/>
  <c r="BK1185" i="5"/>
  <c r="BK1186" i="5"/>
  <c r="BK1187" i="5"/>
  <c r="BK1188" i="5"/>
  <c r="BK1189" i="5"/>
  <c r="BK1190" i="5"/>
  <c r="BK1191" i="5"/>
  <c r="BK1192" i="5"/>
  <c r="BK1193" i="5"/>
  <c r="BK1194" i="5"/>
  <c r="BK1195" i="5"/>
  <c r="BK1196" i="5"/>
  <c r="BK1197" i="5"/>
  <c r="BK1198" i="5"/>
  <c r="BK1199" i="5"/>
  <c r="BK1200" i="5"/>
  <c r="BK1201" i="5"/>
  <c r="BK1202" i="5"/>
  <c r="BK1203" i="5"/>
  <c r="BK1204" i="5"/>
  <c r="BK1205" i="5"/>
  <c r="BK1206" i="5"/>
  <c r="BK1207" i="5"/>
  <c r="BK1208" i="5"/>
  <c r="BK1209" i="5"/>
  <c r="BK1210" i="5"/>
  <c r="BK1211" i="5"/>
  <c r="BK1212" i="5"/>
  <c r="BK1213" i="5"/>
  <c r="BK1214" i="5"/>
  <c r="BK1215" i="5"/>
  <c r="BK1216" i="5"/>
  <c r="BK1217" i="5"/>
  <c r="BK1218" i="5"/>
  <c r="BK1219" i="5"/>
  <c r="BK1220" i="5"/>
  <c r="BK1221" i="5"/>
  <c r="BK1222" i="5"/>
  <c r="BK1223" i="5"/>
  <c r="BK1224" i="5"/>
  <c r="BK1225" i="5"/>
  <c r="BK1226" i="5"/>
  <c r="BK1227" i="5"/>
  <c r="BK1228" i="5"/>
  <c r="BK1229" i="5"/>
  <c r="BK1230" i="5"/>
  <c r="BK1231" i="5"/>
  <c r="BK1232" i="5"/>
  <c r="BK1233" i="5"/>
  <c r="BK1234" i="5"/>
  <c r="BK1235" i="5"/>
  <c r="BK1236" i="5"/>
  <c r="BK1237" i="5"/>
  <c r="BK1238" i="5"/>
  <c r="BK1239" i="5"/>
  <c r="BK1240" i="5"/>
  <c r="BK1241" i="5"/>
  <c r="BK1242" i="5"/>
  <c r="BK1243" i="5"/>
  <c r="BK1244" i="5"/>
  <c r="BK1245" i="5"/>
  <c r="BK1246" i="5"/>
  <c r="BK1247" i="5"/>
  <c r="BK1248" i="5"/>
  <c r="BK1249" i="5"/>
  <c r="BK1250" i="5"/>
  <c r="BK1251" i="5"/>
  <c r="BK1252" i="5"/>
  <c r="BK1253" i="5"/>
  <c r="BK1254" i="5"/>
  <c r="BK1255" i="5"/>
  <c r="BK1256" i="5"/>
  <c r="BK1257" i="5"/>
  <c r="BK1258" i="5"/>
  <c r="BK1259" i="5"/>
  <c r="BK1260" i="5"/>
  <c r="BK1261" i="5"/>
  <c r="BK1262" i="5"/>
  <c r="BK1263" i="5"/>
  <c r="BK1264" i="5"/>
  <c r="BK1265" i="5"/>
  <c r="BK1266" i="5"/>
  <c r="BK1267" i="5"/>
  <c r="BK1268" i="5"/>
  <c r="BK1269" i="5"/>
  <c r="BK1270" i="5"/>
  <c r="BK1271" i="5"/>
  <c r="BK1272" i="5"/>
  <c r="BK1273" i="5"/>
  <c r="BK1274" i="5"/>
  <c r="BK1275" i="5"/>
  <c r="BK1276" i="5"/>
  <c r="BK1277" i="5"/>
  <c r="BK1278" i="5"/>
  <c r="BK1279" i="5"/>
  <c r="BK1280" i="5"/>
  <c r="BK1281" i="5"/>
  <c r="BK1282" i="5"/>
  <c r="BK1283" i="5"/>
  <c r="BK1284" i="5"/>
  <c r="BK1285" i="5"/>
  <c r="BK1286" i="5"/>
  <c r="BK1287" i="5"/>
  <c r="BK1288" i="5"/>
  <c r="BK1289" i="5"/>
  <c r="BK1290" i="5"/>
  <c r="BK1291" i="5"/>
  <c r="BK1292" i="5"/>
  <c r="BK1293" i="5"/>
  <c r="BK1294" i="5"/>
  <c r="BK1295" i="5"/>
  <c r="BK1296" i="5"/>
  <c r="BK1297" i="5"/>
  <c r="BK1298" i="5"/>
  <c r="BK1299" i="5"/>
  <c r="BK1300" i="5"/>
  <c r="BK1301" i="5"/>
  <c r="BK1302" i="5"/>
  <c r="BK1303" i="5"/>
  <c r="BK1304" i="5"/>
  <c r="BK1305" i="5"/>
  <c r="BK1306" i="5"/>
  <c r="BK1307" i="5"/>
  <c r="BK1308" i="5"/>
  <c r="BK1309" i="5"/>
  <c r="BK1310" i="5"/>
  <c r="BK1311" i="5"/>
  <c r="BK1312" i="5"/>
  <c r="BK1313" i="5"/>
  <c r="BK1314" i="5"/>
  <c r="BK1315" i="5"/>
  <c r="BK1316" i="5"/>
  <c r="BK1317" i="5"/>
  <c r="BK1318" i="5"/>
  <c r="BK1319" i="5"/>
  <c r="BK1320" i="5"/>
  <c r="BK1321" i="5"/>
  <c r="BK1322" i="5"/>
  <c r="BK1323" i="5"/>
  <c r="BK1324" i="5"/>
  <c r="BK1325" i="5"/>
  <c r="BK1326" i="5"/>
  <c r="BK1327" i="5"/>
  <c r="BK1328" i="5"/>
  <c r="BK1329" i="5"/>
  <c r="BK1330" i="5"/>
  <c r="BK1331" i="5"/>
  <c r="BK1332" i="5"/>
  <c r="BK1333" i="5"/>
  <c r="BK1334" i="5"/>
  <c r="BK1335" i="5"/>
  <c r="BK1336" i="5"/>
  <c r="BK1337" i="5"/>
  <c r="BK1338" i="5"/>
  <c r="BK1339" i="5"/>
  <c r="BK1340" i="5"/>
  <c r="BK1341" i="5"/>
  <c r="BK1342" i="5"/>
  <c r="BK1343" i="5"/>
  <c r="BK1344" i="5"/>
  <c r="BK1345" i="5"/>
  <c r="BK1346" i="5"/>
  <c r="BK1347" i="5"/>
  <c r="BK1348" i="5"/>
  <c r="BK1349" i="5"/>
  <c r="BK1350" i="5"/>
  <c r="BK1351" i="5"/>
  <c r="BK1352" i="5"/>
  <c r="BK1353" i="5"/>
  <c r="BK1354" i="5"/>
  <c r="BK1355" i="5"/>
  <c r="BK1356" i="5"/>
  <c r="BK1357" i="5"/>
  <c r="BK1358" i="5"/>
  <c r="BK1359" i="5"/>
  <c r="BK1360" i="5"/>
  <c r="BK1361" i="5"/>
  <c r="BK1362" i="5"/>
  <c r="BK1363" i="5"/>
  <c r="BK1364" i="5"/>
  <c r="BK1365" i="5"/>
  <c r="BK1366" i="5"/>
  <c r="BK1367" i="5"/>
  <c r="BK1368" i="5"/>
  <c r="BK1369" i="5"/>
  <c r="BK1370" i="5"/>
  <c r="BK1371" i="5"/>
  <c r="BK1372" i="5"/>
  <c r="BK1373" i="5"/>
  <c r="BK1374" i="5"/>
  <c r="BK1375" i="5"/>
  <c r="BK1376" i="5"/>
  <c r="BK1377" i="5"/>
  <c r="BK1378" i="5"/>
  <c r="BK1379" i="5"/>
  <c r="BK1380" i="5"/>
  <c r="BK1381" i="5"/>
  <c r="BK1382" i="5"/>
  <c r="BK1383" i="5"/>
  <c r="BK1384" i="5"/>
  <c r="BK1385" i="5"/>
  <c r="BK1386" i="5"/>
  <c r="BK1387" i="5"/>
  <c r="BK1388" i="5"/>
  <c r="BK1389" i="5"/>
  <c r="BK1390" i="5"/>
  <c r="BK1391" i="5"/>
  <c r="BK1392" i="5"/>
  <c r="BK1393" i="5"/>
  <c r="BK1394" i="5"/>
  <c r="BK1395" i="5"/>
  <c r="BK1396" i="5"/>
  <c r="BK1397" i="5"/>
  <c r="BK1398" i="5"/>
  <c r="BK1399" i="5"/>
  <c r="BK1400" i="5"/>
  <c r="BK1401" i="5"/>
  <c r="BK1402" i="5"/>
  <c r="BK1403" i="5"/>
  <c r="BK1404" i="5"/>
  <c r="BJ1403" i="5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BH23" i="6" l="1"/>
  <c r="BG23" i="6"/>
  <c r="BF23" i="6"/>
  <c r="BE23" i="6"/>
  <c r="BD23" i="6"/>
  <c r="AZ23" i="6"/>
  <c r="AY23" i="6"/>
  <c r="AX23" i="6"/>
  <c r="AW23" i="6"/>
  <c r="AV23" i="6"/>
  <c r="AT23" i="6"/>
  <c r="AS23" i="6"/>
  <c r="AQ23" i="6"/>
  <c r="AP23" i="6"/>
  <c r="Y23" i="6"/>
  <c r="X23" i="6"/>
  <c r="P23" i="6"/>
  <c r="O23" i="6"/>
  <c r="BH22" i="6"/>
  <c r="BG22" i="6"/>
  <c r="BF22" i="6"/>
  <c r="BE22" i="6"/>
  <c r="BD22" i="6"/>
  <c r="AZ22" i="6"/>
  <c r="AY22" i="6"/>
  <c r="AX22" i="6"/>
  <c r="AW22" i="6"/>
  <c r="AV22" i="6"/>
  <c r="AT22" i="6"/>
  <c r="AS22" i="6"/>
  <c r="AQ22" i="6"/>
  <c r="AP22" i="6"/>
  <c r="Y22" i="6"/>
  <c r="X22" i="6"/>
  <c r="P22" i="6"/>
  <c r="O22" i="6"/>
  <c r="BH21" i="6"/>
  <c r="BG21" i="6"/>
  <c r="BF21" i="6"/>
  <c r="BE21" i="6"/>
  <c r="BD21" i="6"/>
  <c r="AZ21" i="6"/>
  <c r="AY21" i="6"/>
  <c r="AX21" i="6"/>
  <c r="AW21" i="6"/>
  <c r="AV21" i="6"/>
  <c r="AT21" i="6"/>
  <c r="AS21" i="6"/>
  <c r="AQ21" i="6"/>
  <c r="AP21" i="6"/>
  <c r="Y21" i="6"/>
  <c r="X21" i="6"/>
  <c r="P21" i="6"/>
  <c r="O21" i="6"/>
  <c r="BH20" i="6"/>
  <c r="BG20" i="6"/>
  <c r="BF20" i="6"/>
  <c r="BE20" i="6"/>
  <c r="BD20" i="6"/>
  <c r="AZ20" i="6"/>
  <c r="AY20" i="6"/>
  <c r="AX20" i="6"/>
  <c r="AW20" i="6"/>
  <c r="AV20" i="6"/>
  <c r="AT20" i="6"/>
  <c r="AS20" i="6"/>
  <c r="AQ20" i="6"/>
  <c r="AP20" i="6"/>
  <c r="Y20" i="6"/>
  <c r="X20" i="6"/>
  <c r="P20" i="6"/>
  <c r="O20" i="6"/>
  <c r="D5" i="8"/>
  <c r="D3" i="8"/>
  <c r="D4" i="8"/>
  <c r="F4" i="8" s="1"/>
  <c r="K332" i="8"/>
  <c r="L332" i="8" s="1"/>
  <c r="M332" i="8" s="1"/>
  <c r="I332" i="8"/>
  <c r="J332" i="8" s="1"/>
  <c r="K331" i="8"/>
  <c r="L331" i="8" s="1"/>
  <c r="M331" i="8" s="1"/>
  <c r="I331" i="8"/>
  <c r="J331" i="8" s="1"/>
  <c r="K330" i="8"/>
  <c r="L330" i="8" s="1"/>
  <c r="M330" i="8" s="1"/>
  <c r="I330" i="8"/>
  <c r="J330" i="8" s="1"/>
  <c r="K329" i="8"/>
  <c r="L329" i="8" s="1"/>
  <c r="M329" i="8" s="1"/>
  <c r="I329" i="8"/>
  <c r="J329" i="8" s="1"/>
  <c r="K328" i="8"/>
  <c r="L328" i="8" s="1"/>
  <c r="M328" i="8" s="1"/>
  <c r="I328" i="8"/>
  <c r="J328" i="8" s="1"/>
  <c r="K327" i="8"/>
  <c r="L327" i="8" s="1"/>
  <c r="M327" i="8" s="1"/>
  <c r="I327" i="8"/>
  <c r="J327" i="8" s="1"/>
  <c r="L326" i="8"/>
  <c r="M326" i="8" s="1"/>
  <c r="K326" i="8"/>
  <c r="I326" i="8"/>
  <c r="J326" i="8" s="1"/>
  <c r="K325" i="8"/>
  <c r="L325" i="8" s="1"/>
  <c r="M325" i="8" s="1"/>
  <c r="I325" i="8"/>
  <c r="J325" i="8" s="1"/>
  <c r="K324" i="8"/>
  <c r="L324" i="8" s="1"/>
  <c r="M324" i="8" s="1"/>
  <c r="I324" i="8"/>
  <c r="J324" i="8" s="1"/>
  <c r="K323" i="8"/>
  <c r="L323" i="8" s="1"/>
  <c r="M323" i="8" s="1"/>
  <c r="I323" i="8"/>
  <c r="J323" i="8" s="1"/>
  <c r="K322" i="8"/>
  <c r="L322" i="8" s="1"/>
  <c r="M322" i="8" s="1"/>
  <c r="I322" i="8"/>
  <c r="J322" i="8" s="1"/>
  <c r="K321" i="8"/>
  <c r="L321" i="8" s="1"/>
  <c r="M321" i="8" s="1"/>
  <c r="I321" i="8"/>
  <c r="J321" i="8" s="1"/>
  <c r="K320" i="8"/>
  <c r="L320" i="8" s="1"/>
  <c r="M320" i="8" s="1"/>
  <c r="I320" i="8"/>
  <c r="J320" i="8" s="1"/>
  <c r="K319" i="8"/>
  <c r="L319" i="8" s="1"/>
  <c r="M319" i="8" s="1"/>
  <c r="I319" i="8"/>
  <c r="J319" i="8" s="1"/>
  <c r="K318" i="8"/>
  <c r="L318" i="8" s="1"/>
  <c r="M318" i="8" s="1"/>
  <c r="I318" i="8"/>
  <c r="J318" i="8" s="1"/>
  <c r="K317" i="8"/>
  <c r="L317" i="8" s="1"/>
  <c r="M317" i="8" s="1"/>
  <c r="I317" i="8"/>
  <c r="J317" i="8" s="1"/>
  <c r="K316" i="8"/>
  <c r="L316" i="8" s="1"/>
  <c r="M316" i="8" s="1"/>
  <c r="I316" i="8"/>
  <c r="J316" i="8" s="1"/>
  <c r="K315" i="8"/>
  <c r="L315" i="8" s="1"/>
  <c r="M315" i="8" s="1"/>
  <c r="I315" i="8"/>
  <c r="J315" i="8" s="1"/>
  <c r="K314" i="8"/>
  <c r="L314" i="8" s="1"/>
  <c r="M314" i="8" s="1"/>
  <c r="I314" i="8"/>
  <c r="J314" i="8" s="1"/>
  <c r="K313" i="8"/>
  <c r="L313" i="8" s="1"/>
  <c r="M313" i="8" s="1"/>
  <c r="I313" i="8"/>
  <c r="J313" i="8" s="1"/>
  <c r="K312" i="8"/>
  <c r="L312" i="8" s="1"/>
  <c r="M312" i="8" s="1"/>
  <c r="I312" i="8"/>
  <c r="J312" i="8" s="1"/>
  <c r="K311" i="8"/>
  <c r="L311" i="8" s="1"/>
  <c r="M311" i="8" s="1"/>
  <c r="I311" i="8"/>
  <c r="J311" i="8" s="1"/>
  <c r="K310" i="8"/>
  <c r="L310" i="8" s="1"/>
  <c r="M310" i="8" s="1"/>
  <c r="I310" i="8"/>
  <c r="J310" i="8" s="1"/>
  <c r="K309" i="8"/>
  <c r="L309" i="8" s="1"/>
  <c r="M309" i="8" s="1"/>
  <c r="I309" i="8"/>
  <c r="J309" i="8" s="1"/>
  <c r="K308" i="8"/>
  <c r="L308" i="8" s="1"/>
  <c r="M308" i="8" s="1"/>
  <c r="I308" i="8"/>
  <c r="J308" i="8" s="1"/>
  <c r="K307" i="8"/>
  <c r="L307" i="8" s="1"/>
  <c r="M307" i="8" s="1"/>
  <c r="I307" i="8"/>
  <c r="J307" i="8" s="1"/>
  <c r="K306" i="8"/>
  <c r="L306" i="8" s="1"/>
  <c r="M306" i="8" s="1"/>
  <c r="I306" i="8"/>
  <c r="J306" i="8" s="1"/>
  <c r="K305" i="8"/>
  <c r="L305" i="8" s="1"/>
  <c r="M305" i="8" s="1"/>
  <c r="I305" i="8"/>
  <c r="J305" i="8" s="1"/>
  <c r="K304" i="8"/>
  <c r="L304" i="8" s="1"/>
  <c r="M304" i="8" s="1"/>
  <c r="I304" i="8"/>
  <c r="J304" i="8" s="1"/>
  <c r="K303" i="8"/>
  <c r="L303" i="8" s="1"/>
  <c r="M303" i="8" s="1"/>
  <c r="I303" i="8"/>
  <c r="J303" i="8" s="1"/>
  <c r="K302" i="8"/>
  <c r="L302" i="8" s="1"/>
  <c r="M302" i="8" s="1"/>
  <c r="I302" i="8"/>
  <c r="J302" i="8" s="1"/>
  <c r="K301" i="8"/>
  <c r="L301" i="8" s="1"/>
  <c r="M301" i="8" s="1"/>
  <c r="I301" i="8"/>
  <c r="J301" i="8" s="1"/>
  <c r="K300" i="8"/>
  <c r="L300" i="8" s="1"/>
  <c r="M300" i="8" s="1"/>
  <c r="I300" i="8"/>
  <c r="J300" i="8" s="1"/>
  <c r="K299" i="8"/>
  <c r="L299" i="8" s="1"/>
  <c r="M299" i="8" s="1"/>
  <c r="I299" i="8"/>
  <c r="J299" i="8" s="1"/>
  <c r="K298" i="8"/>
  <c r="L298" i="8" s="1"/>
  <c r="M298" i="8" s="1"/>
  <c r="I298" i="8"/>
  <c r="J298" i="8" s="1"/>
  <c r="K297" i="8"/>
  <c r="L297" i="8" s="1"/>
  <c r="M297" i="8" s="1"/>
  <c r="I297" i="8"/>
  <c r="J297" i="8" s="1"/>
  <c r="K296" i="8"/>
  <c r="L296" i="8" s="1"/>
  <c r="M296" i="8" s="1"/>
  <c r="I296" i="8"/>
  <c r="J296" i="8" s="1"/>
  <c r="K295" i="8"/>
  <c r="L295" i="8" s="1"/>
  <c r="M295" i="8" s="1"/>
  <c r="I295" i="8"/>
  <c r="J295" i="8" s="1"/>
  <c r="K294" i="8"/>
  <c r="L294" i="8" s="1"/>
  <c r="M294" i="8" s="1"/>
  <c r="I294" i="8"/>
  <c r="J294" i="8" s="1"/>
  <c r="K293" i="8"/>
  <c r="L293" i="8" s="1"/>
  <c r="M293" i="8" s="1"/>
  <c r="I293" i="8"/>
  <c r="J293" i="8" s="1"/>
  <c r="K292" i="8"/>
  <c r="L292" i="8" s="1"/>
  <c r="M292" i="8" s="1"/>
  <c r="I292" i="8"/>
  <c r="J292" i="8" s="1"/>
  <c r="K291" i="8"/>
  <c r="L291" i="8" s="1"/>
  <c r="M291" i="8" s="1"/>
  <c r="I291" i="8"/>
  <c r="J291" i="8" s="1"/>
  <c r="K290" i="8"/>
  <c r="L290" i="8" s="1"/>
  <c r="M290" i="8" s="1"/>
  <c r="I290" i="8"/>
  <c r="J290" i="8" s="1"/>
  <c r="K289" i="8"/>
  <c r="L289" i="8" s="1"/>
  <c r="M289" i="8" s="1"/>
  <c r="I289" i="8"/>
  <c r="J289" i="8" s="1"/>
  <c r="K288" i="8"/>
  <c r="L288" i="8" s="1"/>
  <c r="M288" i="8" s="1"/>
  <c r="I288" i="8"/>
  <c r="J288" i="8" s="1"/>
  <c r="K287" i="8"/>
  <c r="L287" i="8" s="1"/>
  <c r="M287" i="8" s="1"/>
  <c r="I287" i="8"/>
  <c r="J287" i="8" s="1"/>
  <c r="K286" i="8"/>
  <c r="L286" i="8" s="1"/>
  <c r="M286" i="8" s="1"/>
  <c r="I286" i="8"/>
  <c r="J286" i="8" s="1"/>
  <c r="K285" i="8"/>
  <c r="L285" i="8" s="1"/>
  <c r="M285" i="8" s="1"/>
  <c r="I285" i="8"/>
  <c r="J285" i="8" s="1"/>
  <c r="K284" i="8"/>
  <c r="L284" i="8" s="1"/>
  <c r="M284" i="8" s="1"/>
  <c r="I284" i="8"/>
  <c r="J284" i="8" s="1"/>
  <c r="K283" i="8"/>
  <c r="L283" i="8" s="1"/>
  <c r="M283" i="8" s="1"/>
  <c r="I283" i="8"/>
  <c r="J283" i="8" s="1"/>
  <c r="K282" i="8"/>
  <c r="L282" i="8" s="1"/>
  <c r="M282" i="8" s="1"/>
  <c r="I282" i="8"/>
  <c r="J282" i="8" s="1"/>
  <c r="K281" i="8"/>
  <c r="L281" i="8" s="1"/>
  <c r="M281" i="8" s="1"/>
  <c r="I281" i="8"/>
  <c r="J281" i="8" s="1"/>
  <c r="K280" i="8"/>
  <c r="L280" i="8" s="1"/>
  <c r="M280" i="8" s="1"/>
  <c r="I280" i="8"/>
  <c r="J280" i="8" s="1"/>
  <c r="K279" i="8"/>
  <c r="L279" i="8" s="1"/>
  <c r="M279" i="8" s="1"/>
  <c r="I279" i="8"/>
  <c r="J279" i="8" s="1"/>
  <c r="K278" i="8"/>
  <c r="L278" i="8" s="1"/>
  <c r="M278" i="8" s="1"/>
  <c r="I278" i="8"/>
  <c r="J278" i="8" s="1"/>
  <c r="K277" i="8"/>
  <c r="L277" i="8" s="1"/>
  <c r="M277" i="8" s="1"/>
  <c r="I277" i="8"/>
  <c r="J277" i="8" s="1"/>
  <c r="K276" i="8"/>
  <c r="L276" i="8" s="1"/>
  <c r="M276" i="8" s="1"/>
  <c r="I276" i="8"/>
  <c r="J276" i="8" s="1"/>
  <c r="K275" i="8"/>
  <c r="L275" i="8" s="1"/>
  <c r="M275" i="8" s="1"/>
  <c r="I275" i="8"/>
  <c r="J275" i="8" s="1"/>
  <c r="K274" i="8"/>
  <c r="L274" i="8" s="1"/>
  <c r="M274" i="8" s="1"/>
  <c r="I274" i="8"/>
  <c r="J274" i="8" s="1"/>
  <c r="K273" i="8"/>
  <c r="L273" i="8" s="1"/>
  <c r="M273" i="8" s="1"/>
  <c r="I273" i="8"/>
  <c r="J273" i="8" s="1"/>
  <c r="K272" i="8"/>
  <c r="L272" i="8" s="1"/>
  <c r="M272" i="8" s="1"/>
  <c r="I272" i="8"/>
  <c r="J272" i="8" s="1"/>
  <c r="K271" i="8"/>
  <c r="L271" i="8" s="1"/>
  <c r="M271" i="8" s="1"/>
  <c r="I271" i="8"/>
  <c r="J271" i="8" s="1"/>
  <c r="K270" i="8"/>
  <c r="L270" i="8" s="1"/>
  <c r="M270" i="8" s="1"/>
  <c r="I270" i="8"/>
  <c r="J270" i="8" s="1"/>
  <c r="K269" i="8"/>
  <c r="L269" i="8" s="1"/>
  <c r="M269" i="8" s="1"/>
  <c r="I269" i="8"/>
  <c r="J269" i="8" s="1"/>
  <c r="K268" i="8"/>
  <c r="L268" i="8" s="1"/>
  <c r="M268" i="8" s="1"/>
  <c r="I268" i="8"/>
  <c r="J268" i="8" s="1"/>
  <c r="K267" i="8"/>
  <c r="L267" i="8" s="1"/>
  <c r="M267" i="8" s="1"/>
  <c r="I267" i="8"/>
  <c r="J267" i="8" s="1"/>
  <c r="K266" i="8"/>
  <c r="L266" i="8" s="1"/>
  <c r="M266" i="8" s="1"/>
  <c r="I266" i="8"/>
  <c r="J266" i="8" s="1"/>
  <c r="K265" i="8"/>
  <c r="L265" i="8" s="1"/>
  <c r="M265" i="8" s="1"/>
  <c r="I265" i="8"/>
  <c r="J265" i="8" s="1"/>
  <c r="K264" i="8"/>
  <c r="L264" i="8" s="1"/>
  <c r="M264" i="8" s="1"/>
  <c r="I264" i="8"/>
  <c r="J264" i="8" s="1"/>
  <c r="K263" i="8"/>
  <c r="L263" i="8" s="1"/>
  <c r="M263" i="8" s="1"/>
  <c r="I263" i="8"/>
  <c r="J263" i="8" s="1"/>
  <c r="K262" i="8"/>
  <c r="L262" i="8" s="1"/>
  <c r="M262" i="8" s="1"/>
  <c r="I262" i="8"/>
  <c r="J262" i="8" s="1"/>
  <c r="K261" i="8"/>
  <c r="L261" i="8" s="1"/>
  <c r="M261" i="8" s="1"/>
  <c r="I261" i="8"/>
  <c r="J261" i="8" s="1"/>
  <c r="K260" i="8"/>
  <c r="L260" i="8" s="1"/>
  <c r="M260" i="8" s="1"/>
  <c r="I260" i="8"/>
  <c r="J260" i="8" s="1"/>
  <c r="K259" i="8"/>
  <c r="L259" i="8" s="1"/>
  <c r="M259" i="8" s="1"/>
  <c r="I259" i="8"/>
  <c r="J259" i="8" s="1"/>
  <c r="K258" i="8"/>
  <c r="L258" i="8" s="1"/>
  <c r="M258" i="8" s="1"/>
  <c r="I258" i="8"/>
  <c r="J258" i="8" s="1"/>
  <c r="K257" i="8"/>
  <c r="L257" i="8" s="1"/>
  <c r="M257" i="8" s="1"/>
  <c r="I257" i="8"/>
  <c r="J257" i="8" s="1"/>
  <c r="K256" i="8"/>
  <c r="L256" i="8" s="1"/>
  <c r="M256" i="8" s="1"/>
  <c r="I256" i="8"/>
  <c r="J256" i="8" s="1"/>
  <c r="K255" i="8"/>
  <c r="L255" i="8" s="1"/>
  <c r="M255" i="8" s="1"/>
  <c r="I255" i="8"/>
  <c r="J255" i="8" s="1"/>
  <c r="K254" i="8"/>
  <c r="L254" i="8" s="1"/>
  <c r="M254" i="8" s="1"/>
  <c r="I254" i="8"/>
  <c r="J254" i="8" s="1"/>
  <c r="K253" i="8"/>
  <c r="L253" i="8" s="1"/>
  <c r="M253" i="8" s="1"/>
  <c r="I253" i="8"/>
  <c r="J253" i="8" s="1"/>
  <c r="K252" i="8"/>
  <c r="L252" i="8" s="1"/>
  <c r="M252" i="8" s="1"/>
  <c r="I252" i="8"/>
  <c r="J252" i="8" s="1"/>
  <c r="K251" i="8"/>
  <c r="L251" i="8" s="1"/>
  <c r="M251" i="8" s="1"/>
  <c r="I251" i="8"/>
  <c r="J251" i="8" s="1"/>
  <c r="K250" i="8"/>
  <c r="L250" i="8" s="1"/>
  <c r="M250" i="8" s="1"/>
  <c r="I250" i="8"/>
  <c r="J250" i="8" s="1"/>
  <c r="K249" i="8"/>
  <c r="L249" i="8" s="1"/>
  <c r="M249" i="8" s="1"/>
  <c r="I249" i="8"/>
  <c r="J249" i="8" s="1"/>
  <c r="K248" i="8"/>
  <c r="L248" i="8" s="1"/>
  <c r="M248" i="8" s="1"/>
  <c r="I248" i="8"/>
  <c r="J248" i="8" s="1"/>
  <c r="K247" i="8"/>
  <c r="L247" i="8" s="1"/>
  <c r="M247" i="8" s="1"/>
  <c r="I247" i="8"/>
  <c r="J247" i="8" s="1"/>
  <c r="L246" i="8"/>
  <c r="M246" i="8" s="1"/>
  <c r="K246" i="8"/>
  <c r="I246" i="8"/>
  <c r="J246" i="8" s="1"/>
  <c r="K245" i="8"/>
  <c r="L245" i="8" s="1"/>
  <c r="M245" i="8" s="1"/>
  <c r="I245" i="8"/>
  <c r="J245" i="8" s="1"/>
  <c r="K244" i="8"/>
  <c r="L244" i="8" s="1"/>
  <c r="M244" i="8" s="1"/>
  <c r="I244" i="8"/>
  <c r="J244" i="8" s="1"/>
  <c r="K243" i="8"/>
  <c r="L243" i="8" s="1"/>
  <c r="M243" i="8" s="1"/>
  <c r="I243" i="8"/>
  <c r="J243" i="8" s="1"/>
  <c r="K242" i="8"/>
  <c r="L242" i="8" s="1"/>
  <c r="M242" i="8" s="1"/>
  <c r="I242" i="8"/>
  <c r="J242" i="8" s="1"/>
  <c r="K241" i="8"/>
  <c r="L241" i="8" s="1"/>
  <c r="M241" i="8" s="1"/>
  <c r="I241" i="8"/>
  <c r="J241" i="8" s="1"/>
  <c r="K240" i="8"/>
  <c r="L240" i="8" s="1"/>
  <c r="M240" i="8" s="1"/>
  <c r="I240" i="8"/>
  <c r="J240" i="8" s="1"/>
  <c r="K239" i="8"/>
  <c r="L239" i="8" s="1"/>
  <c r="M239" i="8" s="1"/>
  <c r="I239" i="8"/>
  <c r="J239" i="8" s="1"/>
  <c r="L238" i="8"/>
  <c r="M238" i="8" s="1"/>
  <c r="K238" i="8"/>
  <c r="I238" i="8"/>
  <c r="J238" i="8" s="1"/>
  <c r="K237" i="8"/>
  <c r="L237" i="8" s="1"/>
  <c r="M237" i="8" s="1"/>
  <c r="I237" i="8"/>
  <c r="J237" i="8" s="1"/>
  <c r="K236" i="8"/>
  <c r="L236" i="8" s="1"/>
  <c r="M236" i="8" s="1"/>
  <c r="I236" i="8"/>
  <c r="J236" i="8" s="1"/>
  <c r="K235" i="8"/>
  <c r="L235" i="8" s="1"/>
  <c r="M235" i="8" s="1"/>
  <c r="I235" i="8"/>
  <c r="J235" i="8" s="1"/>
  <c r="K234" i="8"/>
  <c r="L234" i="8" s="1"/>
  <c r="M234" i="8" s="1"/>
  <c r="I234" i="8"/>
  <c r="J234" i="8" s="1"/>
  <c r="K233" i="8"/>
  <c r="L233" i="8" s="1"/>
  <c r="M233" i="8" s="1"/>
  <c r="I233" i="8"/>
  <c r="J233" i="8" s="1"/>
  <c r="K232" i="8"/>
  <c r="L232" i="8" s="1"/>
  <c r="M232" i="8" s="1"/>
  <c r="I232" i="8"/>
  <c r="J232" i="8" s="1"/>
  <c r="K231" i="8"/>
  <c r="L231" i="8" s="1"/>
  <c r="M231" i="8" s="1"/>
  <c r="I231" i="8"/>
  <c r="J231" i="8" s="1"/>
  <c r="K230" i="8"/>
  <c r="L230" i="8" s="1"/>
  <c r="M230" i="8" s="1"/>
  <c r="I230" i="8"/>
  <c r="J230" i="8" s="1"/>
  <c r="K229" i="8"/>
  <c r="L229" i="8" s="1"/>
  <c r="M229" i="8" s="1"/>
  <c r="I229" i="8"/>
  <c r="J229" i="8" s="1"/>
  <c r="K228" i="8"/>
  <c r="L228" i="8" s="1"/>
  <c r="M228" i="8" s="1"/>
  <c r="I228" i="8"/>
  <c r="J228" i="8" s="1"/>
  <c r="L227" i="8"/>
  <c r="M227" i="8" s="1"/>
  <c r="K227" i="8"/>
  <c r="I227" i="8"/>
  <c r="J227" i="8" s="1"/>
  <c r="K226" i="8"/>
  <c r="L226" i="8" s="1"/>
  <c r="M226" i="8" s="1"/>
  <c r="I226" i="8"/>
  <c r="J226" i="8" s="1"/>
  <c r="L225" i="8"/>
  <c r="M225" i="8" s="1"/>
  <c r="K225" i="8"/>
  <c r="I225" i="8"/>
  <c r="J225" i="8" s="1"/>
  <c r="K224" i="8"/>
  <c r="L224" i="8" s="1"/>
  <c r="M224" i="8" s="1"/>
  <c r="I224" i="8"/>
  <c r="J224" i="8" s="1"/>
  <c r="K223" i="8"/>
  <c r="L223" i="8" s="1"/>
  <c r="M223" i="8" s="1"/>
  <c r="I223" i="8"/>
  <c r="J223" i="8" s="1"/>
  <c r="K222" i="8"/>
  <c r="L222" i="8" s="1"/>
  <c r="M222" i="8" s="1"/>
  <c r="I222" i="8"/>
  <c r="J222" i="8" s="1"/>
  <c r="K221" i="8"/>
  <c r="L221" i="8" s="1"/>
  <c r="M221" i="8" s="1"/>
  <c r="I221" i="8"/>
  <c r="J221" i="8" s="1"/>
  <c r="K220" i="8"/>
  <c r="L220" i="8" s="1"/>
  <c r="M220" i="8" s="1"/>
  <c r="I220" i="8"/>
  <c r="J220" i="8" s="1"/>
  <c r="K219" i="8"/>
  <c r="L219" i="8" s="1"/>
  <c r="M219" i="8" s="1"/>
  <c r="I219" i="8"/>
  <c r="J219" i="8" s="1"/>
  <c r="K218" i="8"/>
  <c r="L218" i="8" s="1"/>
  <c r="M218" i="8" s="1"/>
  <c r="I218" i="8"/>
  <c r="J218" i="8" s="1"/>
  <c r="K217" i="8"/>
  <c r="L217" i="8" s="1"/>
  <c r="M217" i="8" s="1"/>
  <c r="I217" i="8"/>
  <c r="J217" i="8" s="1"/>
  <c r="K216" i="8"/>
  <c r="L216" i="8" s="1"/>
  <c r="M216" i="8" s="1"/>
  <c r="I216" i="8"/>
  <c r="J216" i="8" s="1"/>
  <c r="K215" i="8"/>
  <c r="L215" i="8" s="1"/>
  <c r="M215" i="8" s="1"/>
  <c r="I215" i="8"/>
  <c r="J215" i="8" s="1"/>
  <c r="K214" i="8"/>
  <c r="L214" i="8" s="1"/>
  <c r="M214" i="8" s="1"/>
  <c r="I214" i="8"/>
  <c r="J214" i="8" s="1"/>
  <c r="K213" i="8"/>
  <c r="L213" i="8" s="1"/>
  <c r="M213" i="8" s="1"/>
  <c r="I213" i="8"/>
  <c r="J213" i="8" s="1"/>
  <c r="K212" i="8"/>
  <c r="L212" i="8" s="1"/>
  <c r="M212" i="8" s="1"/>
  <c r="I212" i="8"/>
  <c r="J212" i="8" s="1"/>
  <c r="K211" i="8"/>
  <c r="L211" i="8" s="1"/>
  <c r="M211" i="8" s="1"/>
  <c r="I211" i="8"/>
  <c r="J211" i="8" s="1"/>
  <c r="K210" i="8"/>
  <c r="L210" i="8" s="1"/>
  <c r="M210" i="8" s="1"/>
  <c r="I210" i="8"/>
  <c r="J210" i="8" s="1"/>
  <c r="L209" i="8"/>
  <c r="M209" i="8" s="1"/>
  <c r="K209" i="8"/>
  <c r="I209" i="8"/>
  <c r="J209" i="8" s="1"/>
  <c r="K208" i="8"/>
  <c r="L208" i="8" s="1"/>
  <c r="M208" i="8" s="1"/>
  <c r="I208" i="8"/>
  <c r="J208" i="8" s="1"/>
  <c r="K207" i="8"/>
  <c r="L207" i="8" s="1"/>
  <c r="M207" i="8" s="1"/>
  <c r="I207" i="8"/>
  <c r="J207" i="8" s="1"/>
  <c r="K206" i="8"/>
  <c r="L206" i="8" s="1"/>
  <c r="M206" i="8" s="1"/>
  <c r="I206" i="8"/>
  <c r="J206" i="8" s="1"/>
  <c r="K205" i="8"/>
  <c r="L205" i="8" s="1"/>
  <c r="M205" i="8" s="1"/>
  <c r="I205" i="8"/>
  <c r="J205" i="8" s="1"/>
  <c r="K204" i="8"/>
  <c r="L204" i="8" s="1"/>
  <c r="M204" i="8" s="1"/>
  <c r="I204" i="8"/>
  <c r="J204" i="8" s="1"/>
  <c r="K203" i="8"/>
  <c r="L203" i="8" s="1"/>
  <c r="M203" i="8" s="1"/>
  <c r="I203" i="8"/>
  <c r="J203" i="8" s="1"/>
  <c r="K202" i="8"/>
  <c r="L202" i="8" s="1"/>
  <c r="M202" i="8" s="1"/>
  <c r="I202" i="8"/>
  <c r="J202" i="8" s="1"/>
  <c r="K201" i="8"/>
  <c r="L201" i="8" s="1"/>
  <c r="M201" i="8" s="1"/>
  <c r="I201" i="8"/>
  <c r="J201" i="8" s="1"/>
  <c r="K200" i="8"/>
  <c r="L200" i="8" s="1"/>
  <c r="M200" i="8" s="1"/>
  <c r="I200" i="8"/>
  <c r="J200" i="8" s="1"/>
  <c r="K199" i="8"/>
  <c r="L199" i="8" s="1"/>
  <c r="M199" i="8" s="1"/>
  <c r="I199" i="8"/>
  <c r="J199" i="8" s="1"/>
  <c r="K198" i="8"/>
  <c r="L198" i="8" s="1"/>
  <c r="M198" i="8" s="1"/>
  <c r="I198" i="8"/>
  <c r="J198" i="8" s="1"/>
  <c r="K197" i="8"/>
  <c r="L197" i="8" s="1"/>
  <c r="M197" i="8" s="1"/>
  <c r="I197" i="8"/>
  <c r="J197" i="8" s="1"/>
  <c r="K196" i="8"/>
  <c r="L196" i="8" s="1"/>
  <c r="M196" i="8" s="1"/>
  <c r="I196" i="8"/>
  <c r="J196" i="8" s="1"/>
  <c r="K195" i="8"/>
  <c r="L195" i="8" s="1"/>
  <c r="M195" i="8" s="1"/>
  <c r="I195" i="8"/>
  <c r="J195" i="8" s="1"/>
  <c r="K194" i="8"/>
  <c r="L194" i="8" s="1"/>
  <c r="M194" i="8" s="1"/>
  <c r="I194" i="8"/>
  <c r="J194" i="8" s="1"/>
  <c r="K193" i="8"/>
  <c r="L193" i="8" s="1"/>
  <c r="M193" i="8" s="1"/>
  <c r="I193" i="8"/>
  <c r="J193" i="8" s="1"/>
  <c r="K192" i="8"/>
  <c r="L192" i="8" s="1"/>
  <c r="M192" i="8" s="1"/>
  <c r="I192" i="8"/>
  <c r="J192" i="8" s="1"/>
  <c r="K191" i="8"/>
  <c r="L191" i="8" s="1"/>
  <c r="M191" i="8" s="1"/>
  <c r="I191" i="8"/>
  <c r="J191" i="8" s="1"/>
  <c r="K190" i="8"/>
  <c r="L190" i="8" s="1"/>
  <c r="M190" i="8" s="1"/>
  <c r="I190" i="8"/>
  <c r="J190" i="8" s="1"/>
  <c r="K189" i="8"/>
  <c r="L189" i="8" s="1"/>
  <c r="M189" i="8" s="1"/>
  <c r="I189" i="8"/>
  <c r="J189" i="8" s="1"/>
  <c r="K188" i="8"/>
  <c r="L188" i="8" s="1"/>
  <c r="M188" i="8" s="1"/>
  <c r="I188" i="8"/>
  <c r="J188" i="8" s="1"/>
  <c r="K187" i="8"/>
  <c r="L187" i="8" s="1"/>
  <c r="M187" i="8" s="1"/>
  <c r="I187" i="8"/>
  <c r="J187" i="8" s="1"/>
  <c r="K186" i="8"/>
  <c r="L186" i="8" s="1"/>
  <c r="M186" i="8" s="1"/>
  <c r="I186" i="8"/>
  <c r="J186" i="8" s="1"/>
  <c r="K185" i="8"/>
  <c r="L185" i="8" s="1"/>
  <c r="M185" i="8" s="1"/>
  <c r="I185" i="8"/>
  <c r="J185" i="8" s="1"/>
  <c r="K184" i="8"/>
  <c r="L184" i="8" s="1"/>
  <c r="M184" i="8" s="1"/>
  <c r="I184" i="8"/>
  <c r="J184" i="8" s="1"/>
  <c r="K183" i="8"/>
  <c r="L183" i="8" s="1"/>
  <c r="M183" i="8" s="1"/>
  <c r="I183" i="8"/>
  <c r="J183" i="8" s="1"/>
  <c r="K182" i="8"/>
  <c r="L182" i="8" s="1"/>
  <c r="M182" i="8" s="1"/>
  <c r="I182" i="8"/>
  <c r="J182" i="8" s="1"/>
  <c r="K181" i="8"/>
  <c r="L181" i="8" s="1"/>
  <c r="M181" i="8" s="1"/>
  <c r="I181" i="8"/>
  <c r="J181" i="8" s="1"/>
  <c r="K180" i="8"/>
  <c r="L180" i="8" s="1"/>
  <c r="M180" i="8" s="1"/>
  <c r="I180" i="8"/>
  <c r="J180" i="8" s="1"/>
  <c r="K179" i="8"/>
  <c r="L179" i="8" s="1"/>
  <c r="M179" i="8" s="1"/>
  <c r="I179" i="8"/>
  <c r="J179" i="8" s="1"/>
  <c r="K178" i="8"/>
  <c r="L178" i="8" s="1"/>
  <c r="M178" i="8" s="1"/>
  <c r="I178" i="8"/>
  <c r="J178" i="8" s="1"/>
  <c r="K177" i="8"/>
  <c r="L177" i="8" s="1"/>
  <c r="M177" i="8" s="1"/>
  <c r="I177" i="8"/>
  <c r="J177" i="8" s="1"/>
  <c r="K176" i="8"/>
  <c r="L176" i="8" s="1"/>
  <c r="M176" i="8" s="1"/>
  <c r="I176" i="8"/>
  <c r="J176" i="8" s="1"/>
  <c r="K175" i="8"/>
  <c r="L175" i="8" s="1"/>
  <c r="M175" i="8" s="1"/>
  <c r="I175" i="8"/>
  <c r="J175" i="8" s="1"/>
  <c r="K174" i="8"/>
  <c r="L174" i="8" s="1"/>
  <c r="M174" i="8" s="1"/>
  <c r="I174" i="8"/>
  <c r="J174" i="8" s="1"/>
  <c r="K173" i="8"/>
  <c r="L173" i="8" s="1"/>
  <c r="M173" i="8" s="1"/>
  <c r="I173" i="8"/>
  <c r="J173" i="8" s="1"/>
  <c r="K172" i="8"/>
  <c r="L172" i="8" s="1"/>
  <c r="M172" i="8" s="1"/>
  <c r="I172" i="8"/>
  <c r="J172" i="8" s="1"/>
  <c r="K171" i="8"/>
  <c r="L171" i="8" s="1"/>
  <c r="M171" i="8" s="1"/>
  <c r="I171" i="8"/>
  <c r="J171" i="8" s="1"/>
  <c r="K170" i="8"/>
  <c r="L170" i="8" s="1"/>
  <c r="M170" i="8" s="1"/>
  <c r="I170" i="8"/>
  <c r="J170" i="8" s="1"/>
  <c r="K169" i="8"/>
  <c r="L169" i="8" s="1"/>
  <c r="M169" i="8" s="1"/>
  <c r="I169" i="8"/>
  <c r="J169" i="8" s="1"/>
  <c r="K168" i="8"/>
  <c r="L168" i="8" s="1"/>
  <c r="M168" i="8" s="1"/>
  <c r="I168" i="8"/>
  <c r="J168" i="8" s="1"/>
  <c r="K167" i="8"/>
  <c r="L167" i="8" s="1"/>
  <c r="M167" i="8" s="1"/>
  <c r="I167" i="8"/>
  <c r="J167" i="8" s="1"/>
  <c r="K166" i="8"/>
  <c r="L166" i="8" s="1"/>
  <c r="M166" i="8" s="1"/>
  <c r="I166" i="8"/>
  <c r="J166" i="8" s="1"/>
  <c r="K165" i="8"/>
  <c r="L165" i="8" s="1"/>
  <c r="M165" i="8" s="1"/>
  <c r="I165" i="8"/>
  <c r="J165" i="8" s="1"/>
  <c r="K164" i="8"/>
  <c r="L164" i="8" s="1"/>
  <c r="M164" i="8" s="1"/>
  <c r="I164" i="8"/>
  <c r="J164" i="8" s="1"/>
  <c r="K163" i="8"/>
  <c r="L163" i="8" s="1"/>
  <c r="M163" i="8" s="1"/>
  <c r="I163" i="8"/>
  <c r="J163" i="8" s="1"/>
  <c r="K162" i="8"/>
  <c r="L162" i="8" s="1"/>
  <c r="M162" i="8" s="1"/>
  <c r="I162" i="8"/>
  <c r="J162" i="8" s="1"/>
  <c r="K161" i="8"/>
  <c r="L161" i="8" s="1"/>
  <c r="M161" i="8" s="1"/>
  <c r="I161" i="8"/>
  <c r="J161" i="8" s="1"/>
  <c r="K160" i="8"/>
  <c r="L160" i="8" s="1"/>
  <c r="M160" i="8" s="1"/>
  <c r="I160" i="8"/>
  <c r="J160" i="8" s="1"/>
  <c r="K159" i="8"/>
  <c r="L159" i="8" s="1"/>
  <c r="M159" i="8" s="1"/>
  <c r="I159" i="8"/>
  <c r="J159" i="8" s="1"/>
  <c r="K158" i="8"/>
  <c r="L158" i="8" s="1"/>
  <c r="M158" i="8" s="1"/>
  <c r="I158" i="8"/>
  <c r="J158" i="8" s="1"/>
  <c r="K157" i="8"/>
  <c r="L157" i="8" s="1"/>
  <c r="M157" i="8" s="1"/>
  <c r="I157" i="8"/>
  <c r="J157" i="8" s="1"/>
  <c r="K156" i="8"/>
  <c r="L156" i="8" s="1"/>
  <c r="M156" i="8" s="1"/>
  <c r="I156" i="8"/>
  <c r="J156" i="8" s="1"/>
  <c r="K155" i="8"/>
  <c r="L155" i="8" s="1"/>
  <c r="M155" i="8" s="1"/>
  <c r="I155" i="8"/>
  <c r="J155" i="8" s="1"/>
  <c r="K154" i="8"/>
  <c r="L154" i="8" s="1"/>
  <c r="M154" i="8" s="1"/>
  <c r="I154" i="8"/>
  <c r="J154" i="8" s="1"/>
  <c r="K153" i="8"/>
  <c r="L153" i="8" s="1"/>
  <c r="M153" i="8" s="1"/>
  <c r="I153" i="8"/>
  <c r="J153" i="8" s="1"/>
  <c r="K152" i="8"/>
  <c r="L152" i="8" s="1"/>
  <c r="M152" i="8" s="1"/>
  <c r="I152" i="8"/>
  <c r="J152" i="8" s="1"/>
  <c r="K151" i="8"/>
  <c r="L151" i="8" s="1"/>
  <c r="M151" i="8" s="1"/>
  <c r="I151" i="8"/>
  <c r="J151" i="8" s="1"/>
  <c r="K150" i="8"/>
  <c r="L150" i="8" s="1"/>
  <c r="M150" i="8" s="1"/>
  <c r="I150" i="8"/>
  <c r="J150" i="8" s="1"/>
  <c r="K149" i="8"/>
  <c r="L149" i="8" s="1"/>
  <c r="M149" i="8" s="1"/>
  <c r="I149" i="8"/>
  <c r="J149" i="8" s="1"/>
  <c r="K148" i="8"/>
  <c r="L148" i="8" s="1"/>
  <c r="M148" i="8" s="1"/>
  <c r="I148" i="8"/>
  <c r="J148" i="8" s="1"/>
  <c r="K147" i="8"/>
  <c r="L147" i="8" s="1"/>
  <c r="M147" i="8" s="1"/>
  <c r="I147" i="8"/>
  <c r="J147" i="8" s="1"/>
  <c r="K146" i="8"/>
  <c r="L146" i="8" s="1"/>
  <c r="M146" i="8" s="1"/>
  <c r="I146" i="8"/>
  <c r="J146" i="8" s="1"/>
  <c r="K145" i="8"/>
  <c r="L145" i="8" s="1"/>
  <c r="M145" i="8" s="1"/>
  <c r="I145" i="8"/>
  <c r="J145" i="8" s="1"/>
  <c r="K144" i="8"/>
  <c r="L144" i="8" s="1"/>
  <c r="M144" i="8" s="1"/>
  <c r="I144" i="8"/>
  <c r="J144" i="8" s="1"/>
  <c r="K143" i="8"/>
  <c r="L143" i="8" s="1"/>
  <c r="M143" i="8" s="1"/>
  <c r="I143" i="8"/>
  <c r="J143" i="8" s="1"/>
  <c r="K142" i="8"/>
  <c r="L142" i="8" s="1"/>
  <c r="M142" i="8" s="1"/>
  <c r="I142" i="8"/>
  <c r="J142" i="8" s="1"/>
  <c r="K141" i="8"/>
  <c r="L141" i="8" s="1"/>
  <c r="M141" i="8" s="1"/>
  <c r="I141" i="8"/>
  <c r="J141" i="8" s="1"/>
  <c r="K140" i="8"/>
  <c r="L140" i="8" s="1"/>
  <c r="M140" i="8" s="1"/>
  <c r="I140" i="8"/>
  <c r="J140" i="8" s="1"/>
  <c r="K139" i="8"/>
  <c r="L139" i="8" s="1"/>
  <c r="M139" i="8" s="1"/>
  <c r="I139" i="8"/>
  <c r="J139" i="8" s="1"/>
  <c r="K138" i="8"/>
  <c r="L138" i="8" s="1"/>
  <c r="M138" i="8" s="1"/>
  <c r="I138" i="8"/>
  <c r="J138" i="8" s="1"/>
  <c r="K137" i="8"/>
  <c r="L137" i="8" s="1"/>
  <c r="M137" i="8" s="1"/>
  <c r="I137" i="8"/>
  <c r="J137" i="8" s="1"/>
  <c r="K136" i="8"/>
  <c r="L136" i="8" s="1"/>
  <c r="M136" i="8" s="1"/>
  <c r="I136" i="8"/>
  <c r="J136" i="8" s="1"/>
  <c r="K135" i="8"/>
  <c r="L135" i="8" s="1"/>
  <c r="M135" i="8" s="1"/>
  <c r="I135" i="8"/>
  <c r="J135" i="8" s="1"/>
  <c r="K134" i="8"/>
  <c r="L134" i="8" s="1"/>
  <c r="M134" i="8" s="1"/>
  <c r="I134" i="8"/>
  <c r="J134" i="8" s="1"/>
  <c r="K133" i="8"/>
  <c r="L133" i="8" s="1"/>
  <c r="M133" i="8" s="1"/>
  <c r="I133" i="8"/>
  <c r="J133" i="8" s="1"/>
  <c r="K132" i="8"/>
  <c r="L132" i="8" s="1"/>
  <c r="M132" i="8" s="1"/>
  <c r="I132" i="8"/>
  <c r="J132" i="8" s="1"/>
  <c r="K131" i="8"/>
  <c r="L131" i="8" s="1"/>
  <c r="M131" i="8" s="1"/>
  <c r="I131" i="8"/>
  <c r="J131" i="8" s="1"/>
  <c r="K130" i="8"/>
  <c r="L130" i="8" s="1"/>
  <c r="M130" i="8" s="1"/>
  <c r="I130" i="8"/>
  <c r="J130" i="8" s="1"/>
  <c r="K129" i="8"/>
  <c r="L129" i="8" s="1"/>
  <c r="M129" i="8" s="1"/>
  <c r="I129" i="8"/>
  <c r="J129" i="8" s="1"/>
  <c r="K128" i="8"/>
  <c r="L128" i="8" s="1"/>
  <c r="M128" i="8" s="1"/>
  <c r="I128" i="8"/>
  <c r="J128" i="8" s="1"/>
  <c r="K127" i="8"/>
  <c r="L127" i="8" s="1"/>
  <c r="M127" i="8" s="1"/>
  <c r="I127" i="8"/>
  <c r="J127" i="8" s="1"/>
  <c r="K126" i="8"/>
  <c r="L126" i="8" s="1"/>
  <c r="M126" i="8" s="1"/>
  <c r="I126" i="8"/>
  <c r="J126" i="8" s="1"/>
  <c r="K125" i="8"/>
  <c r="L125" i="8" s="1"/>
  <c r="M125" i="8" s="1"/>
  <c r="I125" i="8"/>
  <c r="J125" i="8" s="1"/>
  <c r="K124" i="8"/>
  <c r="L124" i="8" s="1"/>
  <c r="M124" i="8" s="1"/>
  <c r="I124" i="8"/>
  <c r="J124" i="8" s="1"/>
  <c r="K123" i="8"/>
  <c r="L123" i="8" s="1"/>
  <c r="M123" i="8" s="1"/>
  <c r="I123" i="8"/>
  <c r="J123" i="8" s="1"/>
  <c r="K122" i="8"/>
  <c r="L122" i="8" s="1"/>
  <c r="M122" i="8" s="1"/>
  <c r="I122" i="8"/>
  <c r="J122" i="8" s="1"/>
  <c r="K121" i="8"/>
  <c r="L121" i="8" s="1"/>
  <c r="M121" i="8" s="1"/>
  <c r="I121" i="8"/>
  <c r="J121" i="8" s="1"/>
  <c r="K120" i="8"/>
  <c r="L120" i="8" s="1"/>
  <c r="M120" i="8" s="1"/>
  <c r="I120" i="8"/>
  <c r="J120" i="8" s="1"/>
  <c r="K119" i="8"/>
  <c r="L119" i="8" s="1"/>
  <c r="M119" i="8" s="1"/>
  <c r="I119" i="8"/>
  <c r="J119" i="8" s="1"/>
  <c r="K118" i="8"/>
  <c r="L118" i="8" s="1"/>
  <c r="M118" i="8" s="1"/>
  <c r="I118" i="8"/>
  <c r="J118" i="8" s="1"/>
  <c r="K117" i="8"/>
  <c r="L117" i="8" s="1"/>
  <c r="M117" i="8" s="1"/>
  <c r="I117" i="8"/>
  <c r="J117" i="8" s="1"/>
  <c r="K116" i="8"/>
  <c r="L116" i="8" s="1"/>
  <c r="M116" i="8" s="1"/>
  <c r="I116" i="8"/>
  <c r="J116" i="8" s="1"/>
  <c r="K115" i="8"/>
  <c r="L115" i="8" s="1"/>
  <c r="M115" i="8" s="1"/>
  <c r="I115" i="8"/>
  <c r="J115" i="8" s="1"/>
  <c r="K114" i="8"/>
  <c r="L114" i="8" s="1"/>
  <c r="M114" i="8" s="1"/>
  <c r="I114" i="8"/>
  <c r="J114" i="8" s="1"/>
  <c r="K113" i="8"/>
  <c r="L113" i="8" s="1"/>
  <c r="M113" i="8" s="1"/>
  <c r="I113" i="8"/>
  <c r="J113" i="8" s="1"/>
  <c r="K112" i="8"/>
  <c r="L112" i="8" s="1"/>
  <c r="M112" i="8" s="1"/>
  <c r="I112" i="8"/>
  <c r="J112" i="8" s="1"/>
  <c r="K111" i="8"/>
  <c r="L111" i="8" s="1"/>
  <c r="M111" i="8" s="1"/>
  <c r="I111" i="8"/>
  <c r="J111" i="8" s="1"/>
  <c r="K110" i="8"/>
  <c r="L110" i="8" s="1"/>
  <c r="M110" i="8" s="1"/>
  <c r="I110" i="8"/>
  <c r="J110" i="8" s="1"/>
  <c r="K109" i="8"/>
  <c r="L109" i="8" s="1"/>
  <c r="M109" i="8" s="1"/>
  <c r="I109" i="8"/>
  <c r="J109" i="8" s="1"/>
  <c r="K108" i="8"/>
  <c r="L108" i="8" s="1"/>
  <c r="M108" i="8" s="1"/>
  <c r="I108" i="8"/>
  <c r="J108" i="8" s="1"/>
  <c r="K107" i="8"/>
  <c r="L107" i="8" s="1"/>
  <c r="M107" i="8" s="1"/>
  <c r="I107" i="8"/>
  <c r="J107" i="8" s="1"/>
  <c r="K106" i="8"/>
  <c r="L106" i="8" s="1"/>
  <c r="M106" i="8" s="1"/>
  <c r="I106" i="8"/>
  <c r="J106" i="8" s="1"/>
  <c r="K105" i="8"/>
  <c r="L105" i="8" s="1"/>
  <c r="M105" i="8" s="1"/>
  <c r="I105" i="8"/>
  <c r="J105" i="8" s="1"/>
  <c r="K104" i="8"/>
  <c r="L104" i="8" s="1"/>
  <c r="M104" i="8" s="1"/>
  <c r="I104" i="8"/>
  <c r="J104" i="8" s="1"/>
  <c r="K103" i="8"/>
  <c r="L103" i="8" s="1"/>
  <c r="M103" i="8" s="1"/>
  <c r="I103" i="8"/>
  <c r="J103" i="8" s="1"/>
  <c r="K102" i="8"/>
  <c r="L102" i="8" s="1"/>
  <c r="M102" i="8" s="1"/>
  <c r="I102" i="8"/>
  <c r="J102" i="8" s="1"/>
  <c r="K101" i="8"/>
  <c r="L101" i="8" s="1"/>
  <c r="M101" i="8" s="1"/>
  <c r="I101" i="8"/>
  <c r="J101" i="8" s="1"/>
  <c r="K100" i="8"/>
  <c r="L100" i="8" s="1"/>
  <c r="M100" i="8" s="1"/>
  <c r="I100" i="8"/>
  <c r="J100" i="8" s="1"/>
  <c r="K99" i="8"/>
  <c r="L99" i="8" s="1"/>
  <c r="M99" i="8" s="1"/>
  <c r="I99" i="8"/>
  <c r="J99" i="8" s="1"/>
  <c r="K98" i="8"/>
  <c r="L98" i="8" s="1"/>
  <c r="M98" i="8" s="1"/>
  <c r="I98" i="8"/>
  <c r="J98" i="8" s="1"/>
  <c r="K97" i="8"/>
  <c r="L97" i="8" s="1"/>
  <c r="M97" i="8" s="1"/>
  <c r="I97" i="8"/>
  <c r="J97" i="8" s="1"/>
  <c r="K96" i="8"/>
  <c r="L96" i="8" s="1"/>
  <c r="M96" i="8" s="1"/>
  <c r="I96" i="8"/>
  <c r="J96" i="8" s="1"/>
  <c r="K95" i="8"/>
  <c r="L95" i="8" s="1"/>
  <c r="M95" i="8" s="1"/>
  <c r="I95" i="8"/>
  <c r="J95" i="8" s="1"/>
  <c r="K94" i="8"/>
  <c r="L94" i="8" s="1"/>
  <c r="M94" i="8" s="1"/>
  <c r="I94" i="8"/>
  <c r="J94" i="8" s="1"/>
  <c r="K93" i="8"/>
  <c r="L93" i="8" s="1"/>
  <c r="M93" i="8" s="1"/>
  <c r="I93" i="8"/>
  <c r="J93" i="8" s="1"/>
  <c r="K92" i="8"/>
  <c r="L92" i="8" s="1"/>
  <c r="M92" i="8" s="1"/>
  <c r="I92" i="8"/>
  <c r="J92" i="8" s="1"/>
  <c r="K91" i="8"/>
  <c r="L91" i="8" s="1"/>
  <c r="M91" i="8" s="1"/>
  <c r="I91" i="8"/>
  <c r="J91" i="8" s="1"/>
  <c r="K90" i="8"/>
  <c r="L90" i="8" s="1"/>
  <c r="M90" i="8" s="1"/>
  <c r="I90" i="8"/>
  <c r="J90" i="8" s="1"/>
  <c r="K89" i="8"/>
  <c r="L89" i="8" s="1"/>
  <c r="M89" i="8" s="1"/>
  <c r="I89" i="8"/>
  <c r="J89" i="8" s="1"/>
  <c r="K88" i="8"/>
  <c r="L88" i="8" s="1"/>
  <c r="M88" i="8" s="1"/>
  <c r="I88" i="8"/>
  <c r="J88" i="8" s="1"/>
  <c r="K87" i="8"/>
  <c r="L87" i="8" s="1"/>
  <c r="M87" i="8" s="1"/>
  <c r="I87" i="8"/>
  <c r="J87" i="8" s="1"/>
  <c r="K86" i="8"/>
  <c r="L86" i="8" s="1"/>
  <c r="M86" i="8" s="1"/>
  <c r="I86" i="8"/>
  <c r="J86" i="8" s="1"/>
  <c r="K85" i="8"/>
  <c r="L85" i="8" s="1"/>
  <c r="M85" i="8" s="1"/>
  <c r="I85" i="8"/>
  <c r="J85" i="8" s="1"/>
  <c r="K84" i="8"/>
  <c r="L84" i="8" s="1"/>
  <c r="M84" i="8" s="1"/>
  <c r="I84" i="8"/>
  <c r="J84" i="8" s="1"/>
  <c r="K83" i="8"/>
  <c r="L83" i="8" s="1"/>
  <c r="M83" i="8" s="1"/>
  <c r="I83" i="8"/>
  <c r="J83" i="8" s="1"/>
  <c r="K82" i="8"/>
  <c r="L82" i="8" s="1"/>
  <c r="M82" i="8" s="1"/>
  <c r="I82" i="8"/>
  <c r="J82" i="8" s="1"/>
  <c r="K81" i="8"/>
  <c r="L81" i="8" s="1"/>
  <c r="M81" i="8" s="1"/>
  <c r="I81" i="8"/>
  <c r="J81" i="8" s="1"/>
  <c r="K80" i="8"/>
  <c r="L80" i="8" s="1"/>
  <c r="M80" i="8" s="1"/>
  <c r="I80" i="8"/>
  <c r="J80" i="8" s="1"/>
  <c r="K79" i="8"/>
  <c r="L79" i="8" s="1"/>
  <c r="M79" i="8" s="1"/>
  <c r="I79" i="8"/>
  <c r="J79" i="8" s="1"/>
  <c r="K78" i="8"/>
  <c r="L78" i="8" s="1"/>
  <c r="M78" i="8" s="1"/>
  <c r="I78" i="8"/>
  <c r="J78" i="8" s="1"/>
  <c r="K77" i="8"/>
  <c r="L77" i="8" s="1"/>
  <c r="M77" i="8" s="1"/>
  <c r="I77" i="8"/>
  <c r="J77" i="8" s="1"/>
  <c r="K76" i="8"/>
  <c r="L76" i="8" s="1"/>
  <c r="M76" i="8" s="1"/>
  <c r="I76" i="8"/>
  <c r="J76" i="8" s="1"/>
  <c r="K75" i="8"/>
  <c r="L75" i="8" s="1"/>
  <c r="M75" i="8" s="1"/>
  <c r="I75" i="8"/>
  <c r="J75" i="8" s="1"/>
  <c r="K74" i="8"/>
  <c r="L74" i="8" s="1"/>
  <c r="M74" i="8" s="1"/>
  <c r="I74" i="8"/>
  <c r="J74" i="8" s="1"/>
  <c r="K73" i="8"/>
  <c r="L73" i="8" s="1"/>
  <c r="M73" i="8" s="1"/>
  <c r="I73" i="8"/>
  <c r="J73" i="8" s="1"/>
  <c r="K72" i="8"/>
  <c r="L72" i="8" s="1"/>
  <c r="M72" i="8" s="1"/>
  <c r="I72" i="8"/>
  <c r="J72" i="8" s="1"/>
  <c r="K71" i="8"/>
  <c r="L71" i="8" s="1"/>
  <c r="M71" i="8" s="1"/>
  <c r="I71" i="8"/>
  <c r="J71" i="8" s="1"/>
  <c r="K70" i="8"/>
  <c r="L70" i="8" s="1"/>
  <c r="M70" i="8" s="1"/>
  <c r="I70" i="8"/>
  <c r="J70" i="8" s="1"/>
  <c r="K69" i="8"/>
  <c r="L69" i="8" s="1"/>
  <c r="M69" i="8" s="1"/>
  <c r="I69" i="8"/>
  <c r="J69" i="8" s="1"/>
  <c r="K68" i="8"/>
  <c r="L68" i="8" s="1"/>
  <c r="M68" i="8" s="1"/>
  <c r="I68" i="8"/>
  <c r="J68" i="8" s="1"/>
  <c r="K67" i="8"/>
  <c r="L67" i="8" s="1"/>
  <c r="M67" i="8" s="1"/>
  <c r="I67" i="8"/>
  <c r="J67" i="8" s="1"/>
  <c r="K66" i="8"/>
  <c r="L66" i="8" s="1"/>
  <c r="M66" i="8" s="1"/>
  <c r="I66" i="8"/>
  <c r="J66" i="8" s="1"/>
  <c r="K65" i="8"/>
  <c r="L65" i="8" s="1"/>
  <c r="M65" i="8" s="1"/>
  <c r="I65" i="8"/>
  <c r="J65" i="8" s="1"/>
  <c r="K64" i="8"/>
  <c r="L64" i="8" s="1"/>
  <c r="M64" i="8" s="1"/>
  <c r="I64" i="8"/>
  <c r="J64" i="8" s="1"/>
  <c r="K63" i="8"/>
  <c r="L63" i="8" s="1"/>
  <c r="M63" i="8" s="1"/>
  <c r="I63" i="8"/>
  <c r="J63" i="8" s="1"/>
  <c r="K62" i="8"/>
  <c r="L62" i="8" s="1"/>
  <c r="M62" i="8" s="1"/>
  <c r="I62" i="8"/>
  <c r="J62" i="8" s="1"/>
  <c r="K61" i="8"/>
  <c r="L61" i="8" s="1"/>
  <c r="M61" i="8" s="1"/>
  <c r="I61" i="8"/>
  <c r="J61" i="8" s="1"/>
  <c r="K60" i="8"/>
  <c r="L60" i="8" s="1"/>
  <c r="M60" i="8" s="1"/>
  <c r="I60" i="8"/>
  <c r="J60" i="8" s="1"/>
  <c r="K59" i="8"/>
  <c r="L59" i="8" s="1"/>
  <c r="M59" i="8" s="1"/>
  <c r="I59" i="8"/>
  <c r="J59" i="8" s="1"/>
  <c r="K58" i="8"/>
  <c r="L58" i="8" s="1"/>
  <c r="M58" i="8" s="1"/>
  <c r="I58" i="8"/>
  <c r="J58" i="8" s="1"/>
  <c r="K57" i="8"/>
  <c r="L57" i="8" s="1"/>
  <c r="M57" i="8" s="1"/>
  <c r="I57" i="8"/>
  <c r="J57" i="8" s="1"/>
  <c r="K56" i="8"/>
  <c r="L56" i="8" s="1"/>
  <c r="M56" i="8" s="1"/>
  <c r="I56" i="8"/>
  <c r="J56" i="8" s="1"/>
  <c r="K55" i="8"/>
  <c r="L55" i="8" s="1"/>
  <c r="M55" i="8" s="1"/>
  <c r="I55" i="8"/>
  <c r="J55" i="8" s="1"/>
  <c r="K54" i="8"/>
  <c r="L54" i="8" s="1"/>
  <c r="M54" i="8" s="1"/>
  <c r="I54" i="8"/>
  <c r="J54" i="8" s="1"/>
  <c r="K53" i="8"/>
  <c r="L53" i="8" s="1"/>
  <c r="M53" i="8" s="1"/>
  <c r="I53" i="8"/>
  <c r="J53" i="8" s="1"/>
  <c r="K52" i="8"/>
  <c r="L52" i="8" s="1"/>
  <c r="M52" i="8" s="1"/>
  <c r="I52" i="8"/>
  <c r="J52" i="8" s="1"/>
  <c r="L51" i="8"/>
  <c r="M51" i="8" s="1"/>
  <c r="K51" i="8"/>
  <c r="I51" i="8"/>
  <c r="J51" i="8" s="1"/>
  <c r="K50" i="8"/>
  <c r="L50" i="8" s="1"/>
  <c r="M50" i="8" s="1"/>
  <c r="I50" i="8"/>
  <c r="J50" i="8" s="1"/>
  <c r="K49" i="8"/>
  <c r="L49" i="8" s="1"/>
  <c r="M49" i="8" s="1"/>
  <c r="I49" i="8"/>
  <c r="J49" i="8" s="1"/>
  <c r="K48" i="8"/>
  <c r="L48" i="8" s="1"/>
  <c r="M48" i="8" s="1"/>
  <c r="I48" i="8"/>
  <c r="J48" i="8" s="1"/>
  <c r="K47" i="8"/>
  <c r="L47" i="8" s="1"/>
  <c r="M47" i="8" s="1"/>
  <c r="I47" i="8"/>
  <c r="J47" i="8" s="1"/>
  <c r="K46" i="8"/>
  <c r="L46" i="8" s="1"/>
  <c r="M46" i="8" s="1"/>
  <c r="I46" i="8"/>
  <c r="J46" i="8" s="1"/>
  <c r="K45" i="8"/>
  <c r="L45" i="8" s="1"/>
  <c r="M45" i="8" s="1"/>
  <c r="I45" i="8"/>
  <c r="J45" i="8" s="1"/>
  <c r="K44" i="8"/>
  <c r="L44" i="8" s="1"/>
  <c r="M44" i="8" s="1"/>
  <c r="I44" i="8"/>
  <c r="J44" i="8" s="1"/>
  <c r="K43" i="8"/>
  <c r="L43" i="8" s="1"/>
  <c r="M43" i="8" s="1"/>
  <c r="I43" i="8"/>
  <c r="J43" i="8" s="1"/>
  <c r="K42" i="8"/>
  <c r="L42" i="8" s="1"/>
  <c r="M42" i="8" s="1"/>
  <c r="I42" i="8"/>
  <c r="J42" i="8" s="1"/>
  <c r="K41" i="8"/>
  <c r="L41" i="8" s="1"/>
  <c r="M41" i="8" s="1"/>
  <c r="I41" i="8"/>
  <c r="J41" i="8" s="1"/>
  <c r="K40" i="8"/>
  <c r="L40" i="8" s="1"/>
  <c r="M40" i="8" s="1"/>
  <c r="I40" i="8"/>
  <c r="J40" i="8" s="1"/>
  <c r="K39" i="8"/>
  <c r="L39" i="8" s="1"/>
  <c r="M39" i="8" s="1"/>
  <c r="I39" i="8"/>
  <c r="J39" i="8" s="1"/>
  <c r="K38" i="8"/>
  <c r="L38" i="8" s="1"/>
  <c r="M38" i="8" s="1"/>
  <c r="I38" i="8"/>
  <c r="J38" i="8" s="1"/>
  <c r="K37" i="8"/>
  <c r="L37" i="8" s="1"/>
  <c r="M37" i="8" s="1"/>
  <c r="I37" i="8"/>
  <c r="J37" i="8" s="1"/>
  <c r="K36" i="8"/>
  <c r="L36" i="8" s="1"/>
  <c r="M36" i="8" s="1"/>
  <c r="I36" i="8"/>
  <c r="J36" i="8" s="1"/>
  <c r="K35" i="8"/>
  <c r="L35" i="8" s="1"/>
  <c r="M35" i="8" s="1"/>
  <c r="I35" i="8"/>
  <c r="J35" i="8" s="1"/>
  <c r="K34" i="8"/>
  <c r="L34" i="8" s="1"/>
  <c r="M34" i="8" s="1"/>
  <c r="I34" i="8"/>
  <c r="J34" i="8" s="1"/>
  <c r="K33" i="8"/>
  <c r="L33" i="8" s="1"/>
  <c r="M33" i="8" s="1"/>
  <c r="I33" i="8"/>
  <c r="J33" i="8" s="1"/>
  <c r="K32" i="8"/>
  <c r="L32" i="8" s="1"/>
  <c r="M32" i="8" s="1"/>
  <c r="I32" i="8"/>
  <c r="J32" i="8" s="1"/>
  <c r="K31" i="8"/>
  <c r="L31" i="8" s="1"/>
  <c r="M31" i="8" s="1"/>
  <c r="I31" i="8"/>
  <c r="J31" i="8" s="1"/>
  <c r="K30" i="8"/>
  <c r="L30" i="8" s="1"/>
  <c r="M30" i="8" s="1"/>
  <c r="I30" i="8"/>
  <c r="J30" i="8" s="1"/>
  <c r="K29" i="8"/>
  <c r="L29" i="8" s="1"/>
  <c r="M29" i="8" s="1"/>
  <c r="I29" i="8"/>
  <c r="J29" i="8" s="1"/>
  <c r="L28" i="8"/>
  <c r="M28" i="8" s="1"/>
  <c r="K28" i="8"/>
  <c r="I28" i="8"/>
  <c r="J28" i="8" s="1"/>
  <c r="K27" i="8"/>
  <c r="L27" i="8" s="1"/>
  <c r="M27" i="8" s="1"/>
  <c r="I27" i="8"/>
  <c r="J27" i="8" s="1"/>
  <c r="K26" i="8"/>
  <c r="L26" i="8" s="1"/>
  <c r="M26" i="8" s="1"/>
  <c r="I26" i="8"/>
  <c r="J26" i="8" s="1"/>
  <c r="K25" i="8"/>
  <c r="L25" i="8" s="1"/>
  <c r="M25" i="8" s="1"/>
  <c r="I25" i="8"/>
  <c r="J25" i="8" s="1"/>
  <c r="K24" i="8"/>
  <c r="L24" i="8" s="1"/>
  <c r="M24" i="8" s="1"/>
  <c r="I24" i="8"/>
  <c r="J24" i="8" s="1"/>
  <c r="K23" i="8"/>
  <c r="L23" i="8" s="1"/>
  <c r="M23" i="8" s="1"/>
  <c r="I23" i="8"/>
  <c r="J23" i="8" s="1"/>
  <c r="K22" i="8"/>
  <c r="L22" i="8" s="1"/>
  <c r="M22" i="8" s="1"/>
  <c r="I22" i="8"/>
  <c r="J22" i="8" s="1"/>
  <c r="K21" i="8"/>
  <c r="L21" i="8" s="1"/>
  <c r="M21" i="8" s="1"/>
  <c r="I21" i="8"/>
  <c r="J21" i="8" s="1"/>
  <c r="K20" i="8"/>
  <c r="L20" i="8" s="1"/>
  <c r="M20" i="8" s="1"/>
  <c r="I20" i="8"/>
  <c r="J20" i="8" s="1"/>
  <c r="K19" i="8"/>
  <c r="L19" i="8" s="1"/>
  <c r="M19" i="8" s="1"/>
  <c r="I19" i="8"/>
  <c r="J19" i="8" s="1"/>
  <c r="K18" i="8"/>
  <c r="L18" i="8" s="1"/>
  <c r="M18" i="8" s="1"/>
  <c r="I18" i="8"/>
  <c r="J18" i="8" s="1"/>
  <c r="K17" i="8"/>
  <c r="L17" i="8" s="1"/>
  <c r="M17" i="8" s="1"/>
  <c r="I17" i="8"/>
  <c r="J17" i="8" s="1"/>
  <c r="A17" i="8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K16" i="8"/>
  <c r="L16" i="8" s="1"/>
  <c r="M16" i="8" s="1"/>
  <c r="I16" i="8"/>
  <c r="J16" i="8" s="1"/>
  <c r="A16" i="8"/>
  <c r="K15" i="8"/>
  <c r="L15" i="8" s="1"/>
  <c r="M15" i="8" s="1"/>
  <c r="I15" i="8"/>
  <c r="J15" i="8" s="1"/>
  <c r="A15" i="8"/>
  <c r="K14" i="8"/>
  <c r="L14" i="8" s="1"/>
  <c r="M14" i="8" s="1"/>
  <c r="I14" i="8"/>
  <c r="J14" i="8" s="1"/>
  <c r="F2" i="8"/>
  <c r="N230" i="8" s="1"/>
  <c r="F10" i="8" l="1"/>
  <c r="N34" i="8"/>
  <c r="N65" i="8"/>
  <c r="N22" i="8"/>
  <c r="N51" i="8"/>
  <c r="N56" i="8"/>
  <c r="N82" i="8"/>
  <c r="N99" i="8"/>
  <c r="N311" i="8"/>
  <c r="N43" i="8"/>
  <c r="N23" i="8"/>
  <c r="N71" i="8"/>
  <c r="N80" i="8"/>
  <c r="N16" i="8"/>
  <c r="N49" i="8"/>
  <c r="N141" i="8"/>
  <c r="N100" i="8"/>
  <c r="N28" i="8"/>
  <c r="N41" i="8"/>
  <c r="N58" i="8"/>
  <c r="N81" i="8"/>
  <c r="N147" i="8"/>
  <c r="N44" i="8"/>
  <c r="N50" i="8"/>
  <c r="N153" i="8"/>
  <c r="N218" i="8"/>
  <c r="N35" i="8"/>
  <c r="N135" i="8"/>
  <c r="N36" i="8"/>
  <c r="N121" i="8"/>
  <c r="N17" i="8"/>
  <c r="N89" i="8"/>
  <c r="N174" i="8"/>
  <c r="N30" i="8"/>
  <c r="N70" i="8"/>
  <c r="N27" i="8"/>
  <c r="N57" i="8"/>
  <c r="N20" i="8"/>
  <c r="N42" i="8"/>
  <c r="N94" i="8"/>
  <c r="N107" i="8"/>
  <c r="D2" i="8"/>
  <c r="D6" i="8" s="1"/>
  <c r="N18" i="8"/>
  <c r="N25" i="8"/>
  <c r="N39" i="8"/>
  <c r="N72" i="8"/>
  <c r="N78" i="8"/>
  <c r="N87" i="8"/>
  <c r="N127" i="8"/>
  <c r="N163" i="8"/>
  <c r="N331" i="8"/>
  <c r="N315" i="8"/>
  <c r="N299" i="8"/>
  <c r="N279" i="8"/>
  <c r="N277" i="8"/>
  <c r="N247" i="8"/>
  <c r="N326" i="8"/>
  <c r="N317" i="8"/>
  <c r="N310" i="8"/>
  <c r="N301" i="8"/>
  <c r="N294" i="8"/>
  <c r="N285" i="8"/>
  <c r="N319" i="8"/>
  <c r="N303" i="8"/>
  <c r="N287" i="8"/>
  <c r="N266" i="8"/>
  <c r="N264" i="8"/>
  <c r="N252" i="8"/>
  <c r="N328" i="8"/>
  <c r="N312" i="8"/>
  <c r="N296" i="8"/>
  <c r="N270" i="8"/>
  <c r="N268" i="8"/>
  <c r="N250" i="8"/>
  <c r="N330" i="8"/>
  <c r="N321" i="8"/>
  <c r="N314" i="8"/>
  <c r="N305" i="8"/>
  <c r="N298" i="8"/>
  <c r="N323" i="8"/>
  <c r="N307" i="8"/>
  <c r="N291" i="8"/>
  <c r="N278" i="8"/>
  <c r="N276" i="8"/>
  <c r="N255" i="8"/>
  <c r="N248" i="8"/>
  <c r="N243" i="8"/>
  <c r="N239" i="8"/>
  <c r="N320" i="8"/>
  <c r="N304" i="8"/>
  <c r="N288" i="8"/>
  <c r="N271" i="8"/>
  <c r="N269" i="8"/>
  <c r="N329" i="8"/>
  <c r="N322" i="8"/>
  <c r="N313" i="8"/>
  <c r="N306" i="8"/>
  <c r="N297" i="8"/>
  <c r="N290" i="8"/>
  <c r="N275" i="8"/>
  <c r="N273" i="8"/>
  <c r="N286" i="8"/>
  <c r="N249" i="8"/>
  <c r="N244" i="8"/>
  <c r="N237" i="8"/>
  <c r="N229" i="8"/>
  <c r="N221" i="8"/>
  <c r="N213" i="8"/>
  <c r="N205" i="8"/>
  <c r="N197" i="8"/>
  <c r="N189" i="8"/>
  <c r="N181" i="8"/>
  <c r="N332" i="8"/>
  <c r="N325" i="8"/>
  <c r="N300" i="8"/>
  <c r="N293" i="8"/>
  <c r="N289" i="8"/>
  <c r="N283" i="8"/>
  <c r="N259" i="8"/>
  <c r="N246" i="8"/>
  <c r="N242" i="8"/>
  <c r="N280" i="8"/>
  <c r="N267" i="8"/>
  <c r="N256" i="8"/>
  <c r="N251" i="8"/>
  <c r="N232" i="8"/>
  <c r="N224" i="8"/>
  <c r="N216" i="8"/>
  <c r="N208" i="8"/>
  <c r="N200" i="8"/>
  <c r="N192" i="8"/>
  <c r="N184" i="8"/>
  <c r="N176" i="8"/>
  <c r="N172" i="8"/>
  <c r="N168" i="8"/>
  <c r="N164" i="8"/>
  <c r="N240" i="8"/>
  <c r="N235" i="8"/>
  <c r="N227" i="8"/>
  <c r="N219" i="8"/>
  <c r="N211" i="8"/>
  <c r="N203" i="8"/>
  <c r="N195" i="8"/>
  <c r="N187" i="8"/>
  <c r="N179" i="8"/>
  <c r="N327" i="8"/>
  <c r="N324" i="8"/>
  <c r="N295" i="8"/>
  <c r="N292" i="8"/>
  <c r="N261" i="8"/>
  <c r="N253" i="8"/>
  <c r="N302" i="8"/>
  <c r="N282" i="8"/>
  <c r="N272" i="8"/>
  <c r="N263" i="8"/>
  <c r="N258" i="8"/>
  <c r="N245" i="8"/>
  <c r="N233" i="8"/>
  <c r="N225" i="8"/>
  <c r="N217" i="8"/>
  <c r="N209" i="8"/>
  <c r="N201" i="8"/>
  <c r="N193" i="8"/>
  <c r="N185" i="8"/>
  <c r="N177" i="8"/>
  <c r="N260" i="8"/>
  <c r="N231" i="8"/>
  <c r="N223" i="8"/>
  <c r="N215" i="8"/>
  <c r="N207" i="8"/>
  <c r="N199" i="8"/>
  <c r="N191" i="8"/>
  <c r="N183" i="8"/>
  <c r="N318" i="8"/>
  <c r="N196" i="8"/>
  <c r="N165" i="8"/>
  <c r="N284" i="8"/>
  <c r="N234" i="8"/>
  <c r="N222" i="8"/>
  <c r="N210" i="8"/>
  <c r="N198" i="8"/>
  <c r="N188" i="8"/>
  <c r="N171" i="8"/>
  <c r="N169" i="8"/>
  <c r="N97" i="8"/>
  <c r="N262" i="8"/>
  <c r="N175" i="8"/>
  <c r="N173" i="8"/>
  <c r="N95" i="8"/>
  <c r="N88" i="8"/>
  <c r="N76" i="8"/>
  <c r="N309" i="8"/>
  <c r="N190" i="8"/>
  <c r="N180" i="8"/>
  <c r="N93" i="8"/>
  <c r="N254" i="8"/>
  <c r="N238" i="8"/>
  <c r="N236" i="8"/>
  <c r="N212" i="8"/>
  <c r="N162" i="8"/>
  <c r="N160" i="8"/>
  <c r="N158" i="8"/>
  <c r="N156" i="8"/>
  <c r="N154" i="8"/>
  <c r="N152" i="8"/>
  <c r="N150" i="8"/>
  <c r="N148" i="8"/>
  <c r="N146" i="8"/>
  <c r="N144" i="8"/>
  <c r="N142" i="8"/>
  <c r="N140" i="8"/>
  <c r="N138" i="8"/>
  <c r="N136" i="8"/>
  <c r="N134" i="8"/>
  <c r="N132" i="8"/>
  <c r="N130" i="8"/>
  <c r="N128" i="8"/>
  <c r="N126" i="8"/>
  <c r="N124" i="8"/>
  <c r="N122" i="8"/>
  <c r="N120" i="8"/>
  <c r="N118" i="8"/>
  <c r="N116" i="8"/>
  <c r="N114" i="8"/>
  <c r="N112" i="8"/>
  <c r="N110" i="8"/>
  <c r="N108" i="8"/>
  <c r="N106" i="8"/>
  <c r="N104" i="8"/>
  <c r="N102" i="8"/>
  <c r="N86" i="8"/>
  <c r="N265" i="8"/>
  <c r="N241" i="8"/>
  <c r="N226" i="8"/>
  <c r="N214" i="8"/>
  <c r="N202" i="8"/>
  <c r="N182" i="8"/>
  <c r="N316" i="8"/>
  <c r="N308" i="8"/>
  <c r="N274" i="8"/>
  <c r="N166" i="8"/>
  <c r="N98" i="8"/>
  <c r="N84" i="8"/>
  <c r="N69" i="8"/>
  <c r="N61" i="8"/>
  <c r="N53" i="8"/>
  <c r="N45" i="8"/>
  <c r="N37" i="8"/>
  <c r="N29" i="8"/>
  <c r="N21" i="8"/>
  <c r="N15" i="8"/>
  <c r="N32" i="8"/>
  <c r="N46" i="8"/>
  <c r="N60" i="8"/>
  <c r="N67" i="8"/>
  <c r="N74" i="8"/>
  <c r="N92" i="8"/>
  <c r="N113" i="8"/>
  <c r="N55" i="8"/>
  <c r="N85" i="8"/>
  <c r="N119" i="8"/>
  <c r="N133" i="8"/>
  <c r="N157" i="8"/>
  <c r="N178" i="8"/>
  <c r="N206" i="8"/>
  <c r="N48" i="8"/>
  <c r="N62" i="8"/>
  <c r="N83" i="8"/>
  <c r="N90" i="8"/>
  <c r="N105" i="8"/>
  <c r="N139" i="8"/>
  <c r="N145" i="8"/>
  <c r="N151" i="8"/>
  <c r="N194" i="8"/>
  <c r="N111" i="8"/>
  <c r="N125" i="8"/>
  <c r="N228" i="8"/>
  <c r="N257" i="8"/>
  <c r="N31" i="8"/>
  <c r="N64" i="8"/>
  <c r="N131" i="8"/>
  <c r="N161" i="8"/>
  <c r="N167" i="8"/>
  <c r="N14" i="8"/>
  <c r="N24" i="8"/>
  <c r="N38" i="8"/>
  <c r="N52" i="8"/>
  <c r="N59" i="8"/>
  <c r="N66" i="8"/>
  <c r="N73" i="8"/>
  <c r="N79" i="8"/>
  <c r="N103" i="8"/>
  <c r="N117" i="8"/>
  <c r="N155" i="8"/>
  <c r="N170" i="8"/>
  <c r="N204" i="8"/>
  <c r="N281" i="8"/>
  <c r="N19" i="8"/>
  <c r="N26" i="8"/>
  <c r="N33" i="8"/>
  <c r="N47" i="8"/>
  <c r="N75" i="8"/>
  <c r="N77" i="8"/>
  <c r="N123" i="8"/>
  <c r="N137" i="8"/>
  <c r="N143" i="8"/>
  <c r="N149" i="8"/>
  <c r="N186" i="8"/>
  <c r="N40" i="8"/>
  <c r="N54" i="8"/>
  <c r="N68" i="8"/>
  <c r="N96" i="8"/>
  <c r="N109" i="8"/>
  <c r="N220" i="8"/>
  <c r="N63" i="8"/>
  <c r="N91" i="8"/>
  <c r="N101" i="8"/>
  <c r="N115" i="8"/>
  <c r="N129" i="8"/>
  <c r="N159" i="8"/>
  <c r="D7" i="8" l="1"/>
  <c r="F6" i="8"/>
  <c r="D1" i="8"/>
  <c r="F3" i="8"/>
  <c r="D10" i="8"/>
  <c r="O329" i="8" l="1"/>
  <c r="P329" i="8" s="1"/>
  <c r="O325" i="8"/>
  <c r="P325" i="8" s="1"/>
  <c r="O321" i="8"/>
  <c r="P321" i="8" s="1"/>
  <c r="O317" i="8"/>
  <c r="P317" i="8" s="1"/>
  <c r="O313" i="8"/>
  <c r="P313" i="8" s="1"/>
  <c r="O309" i="8"/>
  <c r="P309" i="8" s="1"/>
  <c r="O305" i="8"/>
  <c r="P305" i="8" s="1"/>
  <c r="O301" i="8"/>
  <c r="P301" i="8" s="1"/>
  <c r="O297" i="8"/>
  <c r="P297" i="8" s="1"/>
  <c r="O293" i="8"/>
  <c r="P293" i="8" s="1"/>
  <c r="O289" i="8"/>
  <c r="P289" i="8" s="1"/>
  <c r="O285" i="8"/>
  <c r="P285" i="8" s="1"/>
  <c r="O281" i="8"/>
  <c r="P281" i="8" s="1"/>
  <c r="O277" i="8"/>
  <c r="P277" i="8" s="1"/>
  <c r="O273" i="8"/>
  <c r="P273" i="8" s="1"/>
  <c r="O269" i="8"/>
  <c r="P269" i="8" s="1"/>
  <c r="O265" i="8"/>
  <c r="P265" i="8" s="1"/>
  <c r="O261" i="8"/>
  <c r="P261" i="8" s="1"/>
  <c r="O257" i="8"/>
  <c r="P257" i="8" s="1"/>
  <c r="O330" i="8"/>
  <c r="P330" i="8" s="1"/>
  <c r="O326" i="8"/>
  <c r="P326" i="8" s="1"/>
  <c r="O322" i="8"/>
  <c r="P322" i="8" s="1"/>
  <c r="O318" i="8"/>
  <c r="P318" i="8" s="1"/>
  <c r="O314" i="8"/>
  <c r="P314" i="8" s="1"/>
  <c r="O310" i="8"/>
  <c r="P310" i="8" s="1"/>
  <c r="O306" i="8"/>
  <c r="P306" i="8" s="1"/>
  <c r="O302" i="8"/>
  <c r="P302" i="8" s="1"/>
  <c r="O298" i="8"/>
  <c r="P298" i="8" s="1"/>
  <c r="O294" i="8"/>
  <c r="P294" i="8" s="1"/>
  <c r="O290" i="8"/>
  <c r="P290" i="8" s="1"/>
  <c r="O286" i="8"/>
  <c r="P286" i="8" s="1"/>
  <c r="O282" i="8"/>
  <c r="P282" i="8" s="1"/>
  <c r="O278" i="8"/>
  <c r="P278" i="8" s="1"/>
  <c r="O274" i="8"/>
  <c r="P274" i="8" s="1"/>
  <c r="O270" i="8"/>
  <c r="P270" i="8" s="1"/>
  <c r="O266" i="8"/>
  <c r="P266" i="8" s="1"/>
  <c r="O262" i="8"/>
  <c r="P262" i="8" s="1"/>
  <c r="O258" i="8"/>
  <c r="P258" i="8" s="1"/>
  <c r="O332" i="8"/>
  <c r="P332" i="8" s="1"/>
  <c r="O328" i="8"/>
  <c r="P328" i="8" s="1"/>
  <c r="O324" i="8"/>
  <c r="P324" i="8" s="1"/>
  <c r="O320" i="8"/>
  <c r="P320" i="8" s="1"/>
  <c r="O316" i="8"/>
  <c r="P316" i="8" s="1"/>
  <c r="O312" i="8"/>
  <c r="P312" i="8" s="1"/>
  <c r="O308" i="8"/>
  <c r="P308" i="8" s="1"/>
  <c r="O304" i="8"/>
  <c r="P304" i="8" s="1"/>
  <c r="O300" i="8"/>
  <c r="P300" i="8" s="1"/>
  <c r="O296" i="8"/>
  <c r="P296" i="8" s="1"/>
  <c r="O292" i="8"/>
  <c r="P292" i="8" s="1"/>
  <c r="O288" i="8"/>
  <c r="P288" i="8" s="1"/>
  <c r="O283" i="8"/>
  <c r="P283" i="8" s="1"/>
  <c r="O256" i="8"/>
  <c r="P256" i="8" s="1"/>
  <c r="O254" i="8"/>
  <c r="P254" i="8" s="1"/>
  <c r="O319" i="8"/>
  <c r="P319" i="8" s="1"/>
  <c r="O303" i="8"/>
  <c r="P303" i="8" s="1"/>
  <c r="O287" i="8"/>
  <c r="P287" i="8" s="1"/>
  <c r="O268" i="8"/>
  <c r="P268" i="8" s="1"/>
  <c r="O250" i="8"/>
  <c r="P250" i="8" s="1"/>
  <c r="O272" i="8"/>
  <c r="P272" i="8" s="1"/>
  <c r="O323" i="8"/>
  <c r="P323" i="8" s="1"/>
  <c r="O307" i="8"/>
  <c r="P307" i="8" s="1"/>
  <c r="O291" i="8"/>
  <c r="P291" i="8" s="1"/>
  <c r="O280" i="8"/>
  <c r="P280" i="8" s="1"/>
  <c r="O259" i="8"/>
  <c r="P259" i="8" s="1"/>
  <c r="O246" i="8"/>
  <c r="P246" i="8" s="1"/>
  <c r="O275" i="8"/>
  <c r="P275" i="8" s="1"/>
  <c r="O249" i="8"/>
  <c r="P249" i="8" s="1"/>
  <c r="O331" i="8"/>
  <c r="P331" i="8" s="1"/>
  <c r="O315" i="8"/>
  <c r="P315" i="8" s="1"/>
  <c r="O299" i="8"/>
  <c r="P299" i="8" s="1"/>
  <c r="O279" i="8"/>
  <c r="P279" i="8" s="1"/>
  <c r="O242" i="8"/>
  <c r="P242" i="8" s="1"/>
  <c r="O267" i="8"/>
  <c r="P267" i="8" s="1"/>
  <c r="O251" i="8"/>
  <c r="P251" i="8" s="1"/>
  <c r="O232" i="8"/>
  <c r="P232" i="8" s="1"/>
  <c r="O224" i="8"/>
  <c r="P224" i="8" s="1"/>
  <c r="O216" i="8"/>
  <c r="P216" i="8" s="1"/>
  <c r="O208" i="8"/>
  <c r="P208" i="8" s="1"/>
  <c r="O200" i="8"/>
  <c r="P200" i="8" s="1"/>
  <c r="O192" i="8"/>
  <c r="P192" i="8" s="1"/>
  <c r="O184" i="8"/>
  <c r="P184" i="8" s="1"/>
  <c r="O176" i="8"/>
  <c r="P176" i="8" s="1"/>
  <c r="O172" i="8"/>
  <c r="P172" i="8" s="1"/>
  <c r="O168" i="8"/>
  <c r="P168" i="8" s="1"/>
  <c r="O164" i="8"/>
  <c r="P164" i="8" s="1"/>
  <c r="O160" i="8"/>
  <c r="P160" i="8" s="1"/>
  <c r="O156" i="8"/>
  <c r="P156" i="8" s="1"/>
  <c r="O152" i="8"/>
  <c r="P152" i="8" s="1"/>
  <c r="O148" i="8"/>
  <c r="P148" i="8" s="1"/>
  <c r="O144" i="8"/>
  <c r="P144" i="8" s="1"/>
  <c r="O140" i="8"/>
  <c r="P140" i="8" s="1"/>
  <c r="O136" i="8"/>
  <c r="P136" i="8" s="1"/>
  <c r="O132" i="8"/>
  <c r="P132" i="8" s="1"/>
  <c r="O128" i="8"/>
  <c r="P128" i="8" s="1"/>
  <c r="O124" i="8"/>
  <c r="P124" i="8" s="1"/>
  <c r="O120" i="8"/>
  <c r="P120" i="8" s="1"/>
  <c r="O116" i="8"/>
  <c r="P116" i="8" s="1"/>
  <c r="O112" i="8"/>
  <c r="P112" i="8" s="1"/>
  <c r="O108" i="8"/>
  <c r="P108" i="8" s="1"/>
  <c r="O104" i="8"/>
  <c r="P104" i="8" s="1"/>
  <c r="O100" i="8"/>
  <c r="P100" i="8" s="1"/>
  <c r="O96" i="8"/>
  <c r="P96" i="8" s="1"/>
  <c r="O264" i="8"/>
  <c r="P264" i="8" s="1"/>
  <c r="O240" i="8"/>
  <c r="P240" i="8" s="1"/>
  <c r="O235" i="8"/>
  <c r="P235" i="8" s="1"/>
  <c r="O227" i="8"/>
  <c r="P227" i="8" s="1"/>
  <c r="O219" i="8"/>
  <c r="P219" i="8" s="1"/>
  <c r="O211" i="8"/>
  <c r="P211" i="8" s="1"/>
  <c r="O203" i="8"/>
  <c r="P203" i="8" s="1"/>
  <c r="O195" i="8"/>
  <c r="P195" i="8" s="1"/>
  <c r="O187" i="8"/>
  <c r="P187" i="8" s="1"/>
  <c r="O179" i="8"/>
  <c r="P179" i="8" s="1"/>
  <c r="O327" i="8"/>
  <c r="P327" i="8" s="1"/>
  <c r="O295" i="8"/>
  <c r="P295" i="8" s="1"/>
  <c r="O253" i="8"/>
  <c r="P253" i="8" s="1"/>
  <c r="O248" i="8"/>
  <c r="P248" i="8" s="1"/>
  <c r="O276" i="8"/>
  <c r="P276" i="8" s="1"/>
  <c r="O238" i="8"/>
  <c r="P238" i="8" s="1"/>
  <c r="O230" i="8"/>
  <c r="P230" i="8" s="1"/>
  <c r="O222" i="8"/>
  <c r="P222" i="8" s="1"/>
  <c r="O214" i="8"/>
  <c r="P214" i="8" s="1"/>
  <c r="O206" i="8"/>
  <c r="P206" i="8" s="1"/>
  <c r="O198" i="8"/>
  <c r="P198" i="8" s="1"/>
  <c r="O190" i="8"/>
  <c r="P190" i="8" s="1"/>
  <c r="O182" i="8"/>
  <c r="P182" i="8" s="1"/>
  <c r="O173" i="8"/>
  <c r="P173" i="8" s="1"/>
  <c r="O169" i="8"/>
  <c r="P169" i="8" s="1"/>
  <c r="O165" i="8"/>
  <c r="P165" i="8" s="1"/>
  <c r="O161" i="8"/>
  <c r="P161" i="8" s="1"/>
  <c r="O157" i="8"/>
  <c r="P157" i="8" s="1"/>
  <c r="O153" i="8"/>
  <c r="P153" i="8" s="1"/>
  <c r="O149" i="8"/>
  <c r="P149" i="8" s="1"/>
  <c r="O145" i="8"/>
  <c r="P145" i="8" s="1"/>
  <c r="O141" i="8"/>
  <c r="P141" i="8" s="1"/>
  <c r="O137" i="8"/>
  <c r="P137" i="8" s="1"/>
  <c r="O133" i="8"/>
  <c r="P133" i="8" s="1"/>
  <c r="O129" i="8"/>
  <c r="P129" i="8" s="1"/>
  <c r="O125" i="8"/>
  <c r="P125" i="8" s="1"/>
  <c r="O121" i="8"/>
  <c r="P121" i="8" s="1"/>
  <c r="O117" i="8"/>
  <c r="P117" i="8" s="1"/>
  <c r="O113" i="8"/>
  <c r="P113" i="8" s="1"/>
  <c r="O109" i="8"/>
  <c r="P109" i="8" s="1"/>
  <c r="O105" i="8"/>
  <c r="P105" i="8" s="1"/>
  <c r="O101" i="8"/>
  <c r="P101" i="8" s="1"/>
  <c r="O97" i="8"/>
  <c r="P97" i="8" s="1"/>
  <c r="O93" i="8"/>
  <c r="P93" i="8" s="1"/>
  <c r="O89" i="8"/>
  <c r="P89" i="8" s="1"/>
  <c r="O85" i="8"/>
  <c r="P85" i="8" s="1"/>
  <c r="O81" i="8"/>
  <c r="P81" i="8" s="1"/>
  <c r="O77" i="8"/>
  <c r="P77" i="8" s="1"/>
  <c r="O263" i="8"/>
  <c r="P263" i="8" s="1"/>
  <c r="O255" i="8"/>
  <c r="P255" i="8" s="1"/>
  <c r="O243" i="8"/>
  <c r="P243" i="8" s="1"/>
  <c r="O311" i="8"/>
  <c r="P311" i="8" s="1"/>
  <c r="O284" i="8"/>
  <c r="P284" i="8" s="1"/>
  <c r="O252" i="8"/>
  <c r="P252" i="8" s="1"/>
  <c r="O239" i="8"/>
  <c r="P239" i="8" s="1"/>
  <c r="O220" i="8"/>
  <c r="P220" i="8" s="1"/>
  <c r="O193" i="8"/>
  <c r="P193" i="8" s="1"/>
  <c r="O178" i="8"/>
  <c r="P178" i="8" s="1"/>
  <c r="O167" i="8"/>
  <c r="P167" i="8" s="1"/>
  <c r="O271" i="8"/>
  <c r="P271" i="8" s="1"/>
  <c r="O247" i="8"/>
  <c r="P247" i="8" s="1"/>
  <c r="O217" i="8"/>
  <c r="P217" i="8" s="1"/>
  <c r="O185" i="8"/>
  <c r="P185" i="8" s="1"/>
  <c r="O175" i="8"/>
  <c r="P175" i="8" s="1"/>
  <c r="O95" i="8"/>
  <c r="P95" i="8" s="1"/>
  <c r="O88" i="8"/>
  <c r="P88" i="8" s="1"/>
  <c r="O244" i="8"/>
  <c r="P244" i="8" s="1"/>
  <c r="O229" i="8"/>
  <c r="P229" i="8" s="1"/>
  <c r="O205" i="8"/>
  <c r="P205" i="8" s="1"/>
  <c r="O180" i="8"/>
  <c r="P180" i="8" s="1"/>
  <c r="O236" i="8"/>
  <c r="P236" i="8" s="1"/>
  <c r="O212" i="8"/>
  <c r="P212" i="8" s="1"/>
  <c r="O177" i="8"/>
  <c r="P177" i="8" s="1"/>
  <c r="O162" i="8"/>
  <c r="P162" i="8" s="1"/>
  <c r="O158" i="8"/>
  <c r="P158" i="8" s="1"/>
  <c r="O154" i="8"/>
  <c r="P154" i="8" s="1"/>
  <c r="O150" i="8"/>
  <c r="P150" i="8" s="1"/>
  <c r="O146" i="8"/>
  <c r="P146" i="8" s="1"/>
  <c r="O142" i="8"/>
  <c r="P142" i="8" s="1"/>
  <c r="O138" i="8"/>
  <c r="P138" i="8" s="1"/>
  <c r="O134" i="8"/>
  <c r="P134" i="8" s="1"/>
  <c r="O130" i="8"/>
  <c r="P130" i="8" s="1"/>
  <c r="O126" i="8"/>
  <c r="P126" i="8" s="1"/>
  <c r="O122" i="8"/>
  <c r="P122" i="8" s="1"/>
  <c r="O118" i="8"/>
  <c r="P118" i="8" s="1"/>
  <c r="O114" i="8"/>
  <c r="P114" i="8" s="1"/>
  <c r="O110" i="8"/>
  <c r="P110" i="8" s="1"/>
  <c r="O106" i="8"/>
  <c r="P106" i="8" s="1"/>
  <c r="O102" i="8"/>
  <c r="P102" i="8" s="1"/>
  <c r="O86" i="8"/>
  <c r="P86" i="8" s="1"/>
  <c r="O241" i="8"/>
  <c r="P241" i="8" s="1"/>
  <c r="O231" i="8"/>
  <c r="P231" i="8" s="1"/>
  <c r="O226" i="8"/>
  <c r="P226" i="8" s="1"/>
  <c r="O207" i="8"/>
  <c r="P207" i="8" s="1"/>
  <c r="O202" i="8"/>
  <c r="P202" i="8" s="1"/>
  <c r="O91" i="8"/>
  <c r="P91" i="8" s="1"/>
  <c r="O79" i="8"/>
  <c r="P79" i="8" s="1"/>
  <c r="O233" i="8"/>
  <c r="P233" i="8" s="1"/>
  <c r="O209" i="8"/>
  <c r="P209" i="8" s="1"/>
  <c r="O166" i="8"/>
  <c r="P166" i="8" s="1"/>
  <c r="O221" i="8"/>
  <c r="P221" i="8" s="1"/>
  <c r="O197" i="8"/>
  <c r="P197" i="8" s="1"/>
  <c r="O72" i="8"/>
  <c r="P72" i="8" s="1"/>
  <c r="O64" i="8"/>
  <c r="P64" i="8" s="1"/>
  <c r="O56" i="8"/>
  <c r="P56" i="8" s="1"/>
  <c r="O48" i="8"/>
  <c r="P48" i="8" s="1"/>
  <c r="O40" i="8"/>
  <c r="P40" i="8" s="1"/>
  <c r="O32" i="8"/>
  <c r="P32" i="8" s="1"/>
  <c r="O24" i="8"/>
  <c r="P24" i="8" s="1"/>
  <c r="O68" i="8"/>
  <c r="P68" i="8" s="1"/>
  <c r="O54" i="8"/>
  <c r="P54" i="8" s="1"/>
  <c r="O21" i="8"/>
  <c r="P21" i="8" s="1"/>
  <c r="O37" i="8"/>
  <c r="P37" i="8" s="1"/>
  <c r="O23" i="8"/>
  <c r="P23" i="8" s="1"/>
  <c r="O115" i="8"/>
  <c r="P115" i="8" s="1"/>
  <c r="O84" i="8"/>
  <c r="P84" i="8" s="1"/>
  <c r="O16" i="8"/>
  <c r="P16" i="8" s="1"/>
  <c r="O223" i="8"/>
  <c r="P223" i="8" s="1"/>
  <c r="O201" i="8"/>
  <c r="P201" i="8" s="1"/>
  <c r="O186" i="8"/>
  <c r="P186" i="8" s="1"/>
  <c r="O183" i="8"/>
  <c r="P183" i="8" s="1"/>
  <c r="O143" i="8"/>
  <c r="P143" i="8" s="1"/>
  <c r="O123" i="8"/>
  <c r="P123" i="8" s="1"/>
  <c r="O75" i="8"/>
  <c r="P75" i="8" s="1"/>
  <c r="O61" i="8"/>
  <c r="P61" i="8" s="1"/>
  <c r="O47" i="8"/>
  <c r="P47" i="8" s="1"/>
  <c r="O33" i="8"/>
  <c r="P33" i="8" s="1"/>
  <c r="O26" i="8"/>
  <c r="P26" i="8" s="1"/>
  <c r="O19" i="8"/>
  <c r="P19" i="8" s="1"/>
  <c r="O245" i="8"/>
  <c r="P245" i="8" s="1"/>
  <c r="O204" i="8"/>
  <c r="P204" i="8" s="1"/>
  <c r="O189" i="8"/>
  <c r="P189" i="8" s="1"/>
  <c r="O170" i="8"/>
  <c r="P170" i="8" s="1"/>
  <c r="O155" i="8"/>
  <c r="P155" i="8" s="1"/>
  <c r="O103" i="8"/>
  <c r="P103" i="8" s="1"/>
  <c r="O73" i="8"/>
  <c r="P73" i="8" s="1"/>
  <c r="O66" i="8"/>
  <c r="P66" i="8" s="1"/>
  <c r="O59" i="8"/>
  <c r="P59" i="8" s="1"/>
  <c r="O52" i="8"/>
  <c r="P52" i="8" s="1"/>
  <c r="O38" i="8"/>
  <c r="P38" i="8" s="1"/>
  <c r="O14" i="8"/>
  <c r="P14" i="8" s="1"/>
  <c r="O70" i="8"/>
  <c r="P70" i="8" s="1"/>
  <c r="O225" i="8"/>
  <c r="P225" i="8" s="1"/>
  <c r="O131" i="8"/>
  <c r="P131" i="8" s="1"/>
  <c r="O98" i="8"/>
  <c r="P98" i="8" s="1"/>
  <c r="O45" i="8"/>
  <c r="P45" i="8" s="1"/>
  <c r="O31" i="8"/>
  <c r="P31" i="8" s="1"/>
  <c r="O62" i="8"/>
  <c r="P62" i="8" s="1"/>
  <c r="O94" i="8"/>
  <c r="P94" i="8" s="1"/>
  <c r="O228" i="8"/>
  <c r="P228" i="8" s="1"/>
  <c r="O210" i="8"/>
  <c r="P210" i="8" s="1"/>
  <c r="O111" i="8"/>
  <c r="P111" i="8" s="1"/>
  <c r="O71" i="8"/>
  <c r="P71" i="8" s="1"/>
  <c r="O57" i="8"/>
  <c r="P57" i="8" s="1"/>
  <c r="O50" i="8"/>
  <c r="P50" i="8" s="1"/>
  <c r="O43" i="8"/>
  <c r="P43" i="8" s="1"/>
  <c r="O36" i="8"/>
  <c r="P36" i="8" s="1"/>
  <c r="O22" i="8"/>
  <c r="P22" i="8" s="1"/>
  <c r="O17" i="8"/>
  <c r="P17" i="8" s="1"/>
  <c r="O99" i="8"/>
  <c r="P99" i="8" s="1"/>
  <c r="O82" i="8"/>
  <c r="P82" i="8" s="1"/>
  <c r="O49" i="8"/>
  <c r="P49" i="8" s="1"/>
  <c r="O194" i="8"/>
  <c r="P194" i="8" s="1"/>
  <c r="O188" i="8"/>
  <c r="P188" i="8" s="1"/>
  <c r="O151" i="8"/>
  <c r="P151" i="8" s="1"/>
  <c r="O139" i="8"/>
  <c r="P139" i="8" s="1"/>
  <c r="O90" i="8"/>
  <c r="P90" i="8" s="1"/>
  <c r="O83" i="8"/>
  <c r="P83" i="8" s="1"/>
  <c r="O29" i="8"/>
  <c r="P29" i="8" s="1"/>
  <c r="O159" i="8"/>
  <c r="P159" i="8" s="1"/>
  <c r="O234" i="8"/>
  <c r="P234" i="8" s="1"/>
  <c r="O213" i="8"/>
  <c r="P213" i="8" s="1"/>
  <c r="O191" i="8"/>
  <c r="P191" i="8" s="1"/>
  <c r="O119" i="8"/>
  <c r="P119" i="8" s="1"/>
  <c r="O69" i="8"/>
  <c r="P69" i="8" s="1"/>
  <c r="O55" i="8"/>
  <c r="P55" i="8" s="1"/>
  <c r="O41" i="8"/>
  <c r="P41" i="8" s="1"/>
  <c r="O34" i="8"/>
  <c r="P34" i="8" s="1"/>
  <c r="O27" i="8"/>
  <c r="P27" i="8" s="1"/>
  <c r="O20" i="8"/>
  <c r="P20" i="8" s="1"/>
  <c r="O199" i="8"/>
  <c r="P199" i="8" s="1"/>
  <c r="O42" i="8"/>
  <c r="P42" i="8" s="1"/>
  <c r="O28" i="8"/>
  <c r="P28" i="8" s="1"/>
  <c r="O260" i="8"/>
  <c r="P260" i="8" s="1"/>
  <c r="O92" i="8"/>
  <c r="P92" i="8" s="1"/>
  <c r="O74" i="8"/>
  <c r="P74" i="8" s="1"/>
  <c r="O67" i="8"/>
  <c r="P67" i="8" s="1"/>
  <c r="O60" i="8"/>
  <c r="P60" i="8" s="1"/>
  <c r="O46" i="8"/>
  <c r="P46" i="8" s="1"/>
  <c r="O15" i="8"/>
  <c r="P15" i="8" s="1"/>
  <c r="O63" i="8"/>
  <c r="P63" i="8" s="1"/>
  <c r="O237" i="8"/>
  <c r="P237" i="8" s="1"/>
  <c r="O163" i="8"/>
  <c r="P163" i="8" s="1"/>
  <c r="O127" i="8"/>
  <c r="P127" i="8" s="1"/>
  <c r="O87" i="8"/>
  <c r="P87" i="8" s="1"/>
  <c r="O78" i="8"/>
  <c r="P78" i="8" s="1"/>
  <c r="O76" i="8"/>
  <c r="P76" i="8" s="1"/>
  <c r="O53" i="8"/>
  <c r="P53" i="8" s="1"/>
  <c r="O39" i="8"/>
  <c r="P39" i="8" s="1"/>
  <c r="O25" i="8"/>
  <c r="P25" i="8" s="1"/>
  <c r="O18" i="8"/>
  <c r="P18" i="8" s="1"/>
  <c r="O196" i="8"/>
  <c r="P196" i="8" s="1"/>
  <c r="O174" i="8"/>
  <c r="P174" i="8" s="1"/>
  <c r="O218" i="8"/>
  <c r="P218" i="8" s="1"/>
  <c r="O215" i="8"/>
  <c r="P215" i="8" s="1"/>
  <c r="O181" i="8"/>
  <c r="P181" i="8" s="1"/>
  <c r="O171" i="8"/>
  <c r="P171" i="8" s="1"/>
  <c r="O147" i="8"/>
  <c r="P147" i="8" s="1"/>
  <c r="O107" i="8"/>
  <c r="P107" i="8" s="1"/>
  <c r="O80" i="8"/>
  <c r="P80" i="8" s="1"/>
  <c r="O65" i="8"/>
  <c r="P65" i="8" s="1"/>
  <c r="O58" i="8"/>
  <c r="P58" i="8" s="1"/>
  <c r="O51" i="8"/>
  <c r="P51" i="8" s="1"/>
  <c r="O44" i="8"/>
  <c r="P44" i="8" s="1"/>
  <c r="O30" i="8"/>
  <c r="P30" i="8" s="1"/>
  <c r="O135" i="8"/>
  <c r="P135" i="8" s="1"/>
  <c r="O35" i="8"/>
  <c r="P35" i="8" s="1"/>
  <c r="F8" i="8"/>
  <c r="F7" i="8" l="1"/>
  <c r="F9" i="8"/>
  <c r="BH15" i="6" l="1"/>
  <c r="BG15" i="6"/>
  <c r="BF15" i="6"/>
  <c r="BE15" i="6"/>
  <c r="BD15" i="6"/>
  <c r="AZ15" i="6"/>
  <c r="AY15" i="6"/>
  <c r="AX15" i="6"/>
  <c r="AW15" i="6"/>
  <c r="AV15" i="6"/>
  <c r="AT15" i="6"/>
  <c r="AS15" i="6"/>
  <c r="AQ15" i="6"/>
  <c r="AP15" i="6"/>
  <c r="Y15" i="6"/>
  <c r="X15" i="6"/>
  <c r="P15" i="6"/>
  <c r="O15" i="6"/>
  <c r="BH14" i="6"/>
  <c r="BG14" i="6"/>
  <c r="BF14" i="6"/>
  <c r="BE14" i="6"/>
  <c r="BD14" i="6"/>
  <c r="AZ14" i="6"/>
  <c r="AY14" i="6"/>
  <c r="AX14" i="6"/>
  <c r="AW14" i="6"/>
  <c r="AV14" i="6"/>
  <c r="AT14" i="6"/>
  <c r="AS14" i="6"/>
  <c r="AQ14" i="6"/>
  <c r="AP14" i="6"/>
  <c r="Y14" i="6"/>
  <c r="X14" i="6"/>
  <c r="P14" i="6"/>
  <c r="O14" i="6"/>
  <c r="BH13" i="6"/>
  <c r="BG13" i="6"/>
  <c r="BF13" i="6"/>
  <c r="BE13" i="6"/>
  <c r="BD13" i="6"/>
  <c r="AZ13" i="6"/>
  <c r="AY13" i="6"/>
  <c r="AX13" i="6"/>
  <c r="AW13" i="6"/>
  <c r="AV13" i="6"/>
  <c r="AT13" i="6"/>
  <c r="AS13" i="6"/>
  <c r="AQ13" i="6"/>
  <c r="AP13" i="6"/>
  <c r="Y13" i="6"/>
  <c r="X13" i="6"/>
  <c r="P13" i="6"/>
  <c r="O13" i="6"/>
  <c r="BH12" i="6"/>
  <c r="BG12" i="6"/>
  <c r="BF12" i="6"/>
  <c r="BE12" i="6"/>
  <c r="BD12" i="6"/>
  <c r="AZ12" i="6"/>
  <c r="AY12" i="6"/>
  <c r="AX12" i="6"/>
  <c r="AW12" i="6"/>
  <c r="AV12" i="6"/>
  <c r="AT12" i="6"/>
  <c r="AS12" i="6"/>
  <c r="AQ12" i="6"/>
  <c r="AP12" i="6"/>
  <c r="Y12" i="6"/>
  <c r="X12" i="6"/>
  <c r="P12" i="6"/>
  <c r="O12" i="6"/>
  <c r="BH11" i="6"/>
  <c r="BG11" i="6"/>
  <c r="BF11" i="6"/>
  <c r="BE11" i="6"/>
  <c r="BD11" i="6"/>
  <c r="AZ11" i="6"/>
  <c r="AY11" i="6"/>
  <c r="AX11" i="6"/>
  <c r="AW11" i="6"/>
  <c r="AV11" i="6"/>
  <c r="AT11" i="6"/>
  <c r="AS11" i="6"/>
  <c r="AQ11" i="6"/>
  <c r="AP11" i="6"/>
  <c r="Y11" i="6"/>
  <c r="X11" i="6"/>
  <c r="P11" i="6"/>
  <c r="O11" i="6"/>
  <c r="BH10" i="6"/>
  <c r="BG10" i="6"/>
  <c r="BF10" i="6"/>
  <c r="BE10" i="6"/>
  <c r="BD10" i="6"/>
  <c r="AZ10" i="6"/>
  <c r="AY10" i="6"/>
  <c r="AX10" i="6"/>
  <c r="AW10" i="6"/>
  <c r="AV10" i="6"/>
  <c r="AT10" i="6"/>
  <c r="AS10" i="6"/>
  <c r="AQ10" i="6"/>
  <c r="AP10" i="6"/>
  <c r="Y10" i="6"/>
  <c r="X10" i="6"/>
  <c r="P10" i="6"/>
  <c r="O10" i="6"/>
  <c r="C10" i="6"/>
  <c r="BH9" i="6"/>
  <c r="BG9" i="6"/>
  <c r="BF9" i="6"/>
  <c r="BE9" i="6"/>
  <c r="BD9" i="6"/>
  <c r="AZ9" i="6"/>
  <c r="AY9" i="6"/>
  <c r="AX9" i="6"/>
  <c r="AW9" i="6"/>
  <c r="AV9" i="6"/>
  <c r="AT9" i="6"/>
  <c r="AS9" i="6"/>
  <c r="AQ9" i="6"/>
  <c r="AP9" i="6"/>
  <c r="Y9" i="6"/>
  <c r="X9" i="6"/>
  <c r="P9" i="6"/>
  <c r="O9" i="6"/>
  <c r="BH8" i="6"/>
  <c r="BG8" i="6"/>
  <c r="BF8" i="6"/>
  <c r="BE8" i="6"/>
  <c r="BD8" i="6"/>
  <c r="AZ8" i="6"/>
  <c r="AY8" i="6"/>
  <c r="AX8" i="6"/>
  <c r="AW8" i="6"/>
  <c r="AV8" i="6"/>
  <c r="AT8" i="6"/>
  <c r="AS8" i="6"/>
  <c r="AQ8" i="6"/>
  <c r="AP8" i="6"/>
  <c r="Y8" i="6"/>
  <c r="X8" i="6"/>
  <c r="P8" i="6"/>
  <c r="O8" i="6"/>
  <c r="BH7" i="6"/>
  <c r="BG7" i="6"/>
  <c r="BF7" i="6"/>
  <c r="BE7" i="6"/>
  <c r="BD7" i="6"/>
  <c r="AZ7" i="6"/>
  <c r="AY7" i="6"/>
  <c r="AX7" i="6"/>
  <c r="AW7" i="6"/>
  <c r="AV7" i="6"/>
  <c r="AT7" i="6"/>
  <c r="AS7" i="6"/>
  <c r="AQ7" i="6"/>
  <c r="AP7" i="6"/>
  <c r="Y7" i="6"/>
  <c r="X7" i="6"/>
  <c r="P7" i="6"/>
  <c r="O7" i="6"/>
  <c r="BH6" i="6"/>
  <c r="BG6" i="6"/>
  <c r="BF6" i="6"/>
  <c r="BE6" i="6"/>
  <c r="BD6" i="6"/>
  <c r="AZ6" i="6"/>
  <c r="AY6" i="6"/>
  <c r="AX6" i="6"/>
  <c r="AW6" i="6"/>
  <c r="AV6" i="6"/>
  <c r="AT6" i="6"/>
  <c r="AS6" i="6"/>
  <c r="AQ6" i="6"/>
  <c r="AP6" i="6"/>
  <c r="Y6" i="6"/>
  <c r="X6" i="6"/>
  <c r="P6" i="6"/>
  <c r="O6" i="6"/>
  <c r="BH5" i="6"/>
  <c r="BG5" i="6"/>
  <c r="BF5" i="6"/>
  <c r="BE5" i="6"/>
  <c r="BD5" i="6"/>
  <c r="AZ5" i="6"/>
  <c r="AY5" i="6"/>
  <c r="AX5" i="6"/>
  <c r="AW5" i="6"/>
  <c r="AV5" i="6"/>
  <c r="AT5" i="6"/>
  <c r="AS5" i="6"/>
  <c r="AQ5" i="6"/>
  <c r="AP5" i="6"/>
  <c r="Y5" i="6"/>
  <c r="X5" i="6"/>
  <c r="P5" i="6"/>
  <c r="O5" i="6"/>
  <c r="BH4" i="6"/>
  <c r="BG4" i="6"/>
  <c r="BF4" i="6"/>
  <c r="BE4" i="6"/>
  <c r="BD4" i="6"/>
  <c r="AZ4" i="6"/>
  <c r="AY4" i="6"/>
  <c r="AX4" i="6"/>
  <c r="AW4" i="6"/>
  <c r="AV4" i="6"/>
  <c r="AT4" i="6"/>
  <c r="AS4" i="6"/>
  <c r="AQ4" i="6"/>
  <c r="AP4" i="6"/>
  <c r="Y4" i="6"/>
  <c r="X4" i="6"/>
  <c r="P4" i="6"/>
  <c r="O4" i="6"/>
  <c r="BH3" i="6"/>
  <c r="BG3" i="6"/>
  <c r="BF3" i="6"/>
  <c r="BE3" i="6"/>
  <c r="BD3" i="6"/>
  <c r="AZ3" i="6"/>
  <c r="AY3" i="6"/>
  <c r="AX3" i="6"/>
  <c r="AW3" i="6"/>
  <c r="AV3" i="6"/>
  <c r="AT3" i="6"/>
  <c r="AS3" i="6"/>
  <c r="AQ3" i="6"/>
  <c r="AP3" i="6"/>
  <c r="Y3" i="6"/>
  <c r="X3" i="6"/>
  <c r="P3" i="6"/>
  <c r="O3" i="6"/>
  <c r="C3" i="6"/>
  <c r="BH2" i="6"/>
  <c r="BG2" i="6"/>
  <c r="BF2" i="6"/>
  <c r="BE2" i="6"/>
  <c r="BD2" i="6"/>
  <c r="AZ2" i="6"/>
  <c r="AY2" i="6"/>
  <c r="AX2" i="6"/>
  <c r="AW2" i="6"/>
  <c r="AV2" i="6"/>
  <c r="AT2" i="6"/>
  <c r="AS2" i="6"/>
  <c r="AQ2" i="6"/>
  <c r="AP2" i="6"/>
  <c r="Y2" i="6"/>
  <c r="X2" i="6"/>
  <c r="P2" i="6"/>
  <c r="O2" i="6"/>
  <c r="C2" i="6"/>
  <c r="BI1375" i="5"/>
  <c r="BI1380" i="5"/>
  <c r="BI1386" i="5"/>
  <c r="BI1381" i="5"/>
  <c r="BI1377" i="5"/>
  <c r="BI1383" i="5"/>
  <c r="BI1385" i="5"/>
  <c r="BI1384" i="5"/>
  <c r="BI1376" i="5"/>
  <c r="BI1378" i="5"/>
  <c r="BI1379" i="5"/>
  <c r="BI1382" i="5"/>
  <c r="BI1387" i="5"/>
  <c r="BI1388" i="5"/>
  <c r="BI1389" i="5"/>
  <c r="BI1390" i="5"/>
  <c r="BI1404" i="5"/>
  <c r="BH59" i="5"/>
  <c r="BH262" i="5"/>
  <c r="BH263" i="5"/>
  <c r="BH627" i="5"/>
  <c r="BH1127" i="5"/>
  <c r="BH1140" i="5"/>
  <c r="BH1200" i="5"/>
  <c r="BH1382" i="5"/>
  <c r="BF59" i="5"/>
  <c r="BF264" i="5"/>
  <c r="BF263" i="5"/>
  <c r="BF628" i="5"/>
  <c r="BF627" i="5"/>
  <c r="BF1035" i="5"/>
  <c r="BF1140" i="5"/>
  <c r="AZ3" i="5"/>
  <c r="AZ2" i="5"/>
  <c r="AZ31" i="5"/>
  <c r="AZ32" i="5"/>
  <c r="AZ50" i="5"/>
  <c r="AZ43" i="5"/>
  <c r="AZ48" i="5"/>
  <c r="AZ18" i="5"/>
  <c r="AZ36" i="5"/>
  <c r="AZ33" i="5"/>
  <c r="AZ11" i="5"/>
  <c r="AZ19" i="5"/>
  <c r="AZ10" i="5"/>
  <c r="AZ37" i="5"/>
  <c r="AZ38" i="5"/>
  <c r="AZ42" i="5"/>
  <c r="AZ29" i="5"/>
  <c r="AZ9" i="5"/>
  <c r="AZ39" i="5"/>
  <c r="AZ7" i="5"/>
  <c r="AZ35" i="5"/>
  <c r="AZ44" i="5"/>
  <c r="AZ52" i="5"/>
  <c r="AZ40" i="5"/>
  <c r="AZ34" i="5"/>
  <c r="AZ27" i="5"/>
  <c r="AZ28" i="5"/>
  <c r="AZ41" i="5"/>
  <c r="AZ47" i="5"/>
  <c r="AZ20" i="5"/>
  <c r="AZ21" i="5"/>
  <c r="AZ8" i="5"/>
  <c r="AZ22" i="5"/>
  <c r="AZ23" i="5"/>
  <c r="AZ24" i="5"/>
  <c r="AZ30" i="5"/>
  <c r="AZ25" i="5"/>
  <c r="AZ46" i="5"/>
  <c r="AZ49" i="5"/>
  <c r="AZ26" i="5"/>
  <c r="AZ51" i="5"/>
  <c r="AZ54" i="5"/>
  <c r="AZ57" i="5"/>
  <c r="AZ56" i="5"/>
  <c r="AZ4" i="5"/>
  <c r="AZ15" i="5"/>
  <c r="AZ16" i="5"/>
  <c r="AZ55" i="5"/>
  <c r="AZ12" i="5"/>
  <c r="AZ13" i="5"/>
  <c r="AZ14" i="5"/>
  <c r="AZ58" i="5"/>
  <c r="AZ5" i="5"/>
  <c r="AZ17" i="5"/>
  <c r="AZ45" i="5"/>
  <c r="AZ6" i="5"/>
  <c r="AZ53" i="5"/>
  <c r="AZ59" i="5"/>
  <c r="AZ67" i="5"/>
  <c r="AZ82" i="5"/>
  <c r="AZ83" i="5"/>
  <c r="AZ84" i="5"/>
  <c r="AZ88" i="5"/>
  <c r="AZ76" i="5"/>
  <c r="AZ77" i="5"/>
  <c r="AZ167" i="5"/>
  <c r="AZ97" i="5"/>
  <c r="AZ106" i="5"/>
  <c r="AZ123" i="5"/>
  <c r="AZ134" i="5"/>
  <c r="AZ135" i="5"/>
  <c r="AZ90" i="5"/>
  <c r="AZ86" i="5"/>
  <c r="AZ91" i="5"/>
  <c r="AZ78" i="5"/>
  <c r="AZ85" i="5"/>
  <c r="AZ70" i="5"/>
  <c r="AZ92" i="5"/>
  <c r="AZ68" i="5"/>
  <c r="AZ100" i="5"/>
  <c r="AZ99" i="5"/>
  <c r="AZ128" i="5"/>
  <c r="AZ126" i="5"/>
  <c r="AZ129" i="5"/>
  <c r="AZ138" i="5"/>
  <c r="AZ75" i="5"/>
  <c r="AZ80" i="5"/>
  <c r="AZ81" i="5"/>
  <c r="AZ93" i="5"/>
  <c r="AZ87" i="5"/>
  <c r="AZ94" i="5"/>
  <c r="AZ66" i="5"/>
  <c r="AZ89" i="5"/>
  <c r="AZ131" i="5"/>
  <c r="AZ95" i="5"/>
  <c r="AZ79" i="5"/>
  <c r="AZ149" i="5"/>
  <c r="AZ145" i="5"/>
  <c r="AZ96" i="5"/>
  <c r="AZ101" i="5"/>
  <c r="AZ105" i="5"/>
  <c r="AZ114" i="5"/>
  <c r="AZ112" i="5"/>
  <c r="AZ117" i="5"/>
  <c r="AZ110" i="5"/>
  <c r="AZ118" i="5"/>
  <c r="AZ148" i="5"/>
  <c r="AZ153" i="5"/>
  <c r="AZ163" i="5"/>
  <c r="AZ143" i="5"/>
  <c r="AZ152" i="5"/>
  <c r="AZ65" i="5"/>
  <c r="AZ113" i="5"/>
  <c r="AZ119" i="5"/>
  <c r="AZ108" i="5"/>
  <c r="AZ125" i="5"/>
  <c r="AZ142" i="5"/>
  <c r="AZ102" i="5"/>
  <c r="AZ116" i="5"/>
  <c r="AZ107" i="5"/>
  <c r="AZ120" i="5"/>
  <c r="AZ124" i="5"/>
  <c r="AZ127" i="5"/>
  <c r="AZ132" i="5"/>
  <c r="AZ139" i="5"/>
  <c r="AZ146" i="5"/>
  <c r="AZ151" i="5"/>
  <c r="AZ154" i="5"/>
  <c r="AZ156" i="5"/>
  <c r="AZ155" i="5"/>
  <c r="AZ157" i="5"/>
  <c r="AZ160" i="5"/>
  <c r="AZ164" i="5"/>
  <c r="AZ162" i="5"/>
  <c r="AZ144" i="5"/>
  <c r="AZ159" i="5"/>
  <c r="AZ60" i="5"/>
  <c r="AZ61" i="5"/>
  <c r="AZ63" i="5"/>
  <c r="AZ73" i="5"/>
  <c r="AZ69" i="5"/>
  <c r="AZ72" i="5"/>
  <c r="AZ64" i="5"/>
  <c r="AZ74" i="5"/>
  <c r="AZ121" i="5"/>
  <c r="AZ165" i="5"/>
  <c r="AZ111" i="5"/>
  <c r="AZ137" i="5"/>
  <c r="AZ147" i="5"/>
  <c r="AZ150" i="5"/>
  <c r="AZ166" i="5"/>
  <c r="AZ168" i="5"/>
  <c r="AZ98" i="5"/>
  <c r="AZ104" i="5"/>
  <c r="AZ109" i="5"/>
  <c r="AZ136" i="5"/>
  <c r="AZ161" i="5"/>
  <c r="AZ130" i="5"/>
  <c r="AZ169" i="5"/>
  <c r="AZ103" i="5"/>
  <c r="AZ115" i="5"/>
  <c r="AZ122" i="5"/>
  <c r="AZ133" i="5"/>
  <c r="AZ141" i="5"/>
  <c r="AZ158" i="5"/>
  <c r="AZ71" i="5"/>
  <c r="AZ62" i="5"/>
  <c r="AZ140" i="5"/>
  <c r="AZ175" i="5"/>
  <c r="AZ181" i="5"/>
  <c r="AZ170" i="5"/>
  <c r="AZ174" i="5"/>
  <c r="AZ173" i="5"/>
  <c r="AZ178" i="5"/>
  <c r="AZ172" i="5"/>
  <c r="AZ177" i="5"/>
  <c r="AZ179" i="5"/>
  <c r="AZ180" i="5"/>
  <c r="AZ183" i="5"/>
  <c r="AZ182" i="5"/>
  <c r="AZ176" i="5"/>
  <c r="AZ171" i="5"/>
  <c r="AZ198" i="5"/>
  <c r="AZ223" i="5"/>
  <c r="AZ224" i="5"/>
  <c r="AZ188" i="5"/>
  <c r="AZ189" i="5"/>
  <c r="AZ190" i="5"/>
  <c r="AZ191" i="5"/>
  <c r="AZ202" i="5"/>
  <c r="AZ210" i="5"/>
  <c r="AZ214" i="5"/>
  <c r="AZ226" i="5"/>
  <c r="AZ192" i="5"/>
  <c r="AZ203" i="5"/>
  <c r="AZ196" i="5"/>
  <c r="AZ215" i="5"/>
  <c r="AZ229" i="5"/>
  <c r="AZ187" i="5"/>
  <c r="AZ194" i="5"/>
  <c r="AZ195" i="5"/>
  <c r="AZ197" i="5"/>
  <c r="AZ200" i="5"/>
  <c r="AZ201" i="5"/>
  <c r="AZ199" i="5"/>
  <c r="AZ221" i="5"/>
  <c r="AZ236" i="5"/>
  <c r="AZ193" i="5"/>
  <c r="AZ185" i="5"/>
  <c r="AZ207" i="5"/>
  <c r="AZ213" i="5"/>
  <c r="AZ211" i="5"/>
  <c r="AZ222" i="5"/>
  <c r="AZ205" i="5"/>
  <c r="AZ216" i="5"/>
  <c r="AZ206" i="5"/>
  <c r="AZ235" i="5"/>
  <c r="AZ219" i="5"/>
  <c r="AZ204" i="5"/>
  <c r="AZ233" i="5"/>
  <c r="AZ237" i="5"/>
  <c r="AZ184" i="5"/>
  <c r="AZ186" i="5"/>
  <c r="AZ212" i="5"/>
  <c r="AZ220" i="5"/>
  <c r="AZ231" i="5"/>
  <c r="AZ208" i="5"/>
  <c r="AZ209" i="5"/>
  <c r="AZ228" i="5"/>
  <c r="AZ234" i="5"/>
  <c r="AZ218" i="5"/>
  <c r="AZ227" i="5"/>
  <c r="AZ230" i="5"/>
  <c r="AZ225" i="5"/>
  <c r="AZ232" i="5"/>
  <c r="AZ217" i="5"/>
  <c r="AZ238" i="5"/>
  <c r="AZ241" i="5"/>
  <c r="AZ244" i="5"/>
  <c r="AZ254" i="5"/>
  <c r="AZ257" i="5"/>
  <c r="AZ239" i="5"/>
  <c r="AZ249" i="5"/>
  <c r="AZ248" i="5"/>
  <c r="AZ240" i="5"/>
  <c r="AZ259" i="5"/>
  <c r="AZ242" i="5"/>
  <c r="AZ250" i="5"/>
  <c r="AZ252" i="5"/>
  <c r="AZ255" i="5"/>
  <c r="AZ266" i="5"/>
  <c r="AZ246" i="5"/>
  <c r="AZ256" i="5"/>
  <c r="AZ243" i="5"/>
  <c r="AZ261" i="5"/>
  <c r="AZ247" i="5"/>
  <c r="AZ251" i="5"/>
  <c r="AZ245" i="5"/>
  <c r="AZ265" i="5"/>
  <c r="AZ253" i="5"/>
  <c r="AZ258" i="5"/>
  <c r="AZ264" i="5"/>
  <c r="AZ260" i="5"/>
  <c r="AZ262" i="5"/>
  <c r="AZ263" i="5"/>
  <c r="AZ273" i="5"/>
  <c r="AZ267" i="5"/>
  <c r="AZ274" i="5"/>
  <c r="AZ275" i="5"/>
  <c r="AZ280" i="5"/>
  <c r="AZ278" i="5"/>
  <c r="AZ268" i="5"/>
  <c r="AZ270" i="5"/>
  <c r="AZ281" i="5"/>
  <c r="AZ272" i="5"/>
  <c r="AZ271" i="5"/>
  <c r="AZ282" i="5"/>
  <c r="AZ277" i="5"/>
  <c r="AZ279" i="5"/>
  <c r="AZ276" i="5"/>
  <c r="AZ269" i="5"/>
  <c r="AZ289" i="5"/>
  <c r="AZ291" i="5"/>
  <c r="AZ292" i="5"/>
  <c r="AZ293" i="5"/>
  <c r="AZ294" i="5"/>
  <c r="AZ295" i="5"/>
  <c r="AZ308" i="5"/>
  <c r="AZ318" i="5"/>
  <c r="AZ319" i="5"/>
  <c r="AZ296" i="5"/>
  <c r="AZ297" i="5"/>
  <c r="AZ298" i="5"/>
  <c r="AZ299" i="5"/>
  <c r="AZ306" i="5"/>
  <c r="AZ304" i="5"/>
  <c r="AZ283" i="5"/>
  <c r="AZ284" i="5"/>
  <c r="AZ317" i="5"/>
  <c r="AZ301" i="5"/>
  <c r="AZ314" i="5"/>
  <c r="AZ315" i="5"/>
  <c r="AZ321" i="5"/>
  <c r="AZ312" i="5"/>
  <c r="AZ313" i="5"/>
  <c r="AZ310" i="5"/>
  <c r="AZ311" i="5"/>
  <c r="AZ322" i="5"/>
  <c r="AZ316" i="5"/>
  <c r="AZ287" i="5"/>
  <c r="AZ286" i="5"/>
  <c r="AZ290" i="5"/>
  <c r="AZ285" i="5"/>
  <c r="AZ288" i="5"/>
  <c r="AZ305" i="5"/>
  <c r="AZ303" i="5"/>
  <c r="AZ320" i="5"/>
  <c r="AZ300" i="5"/>
  <c r="AZ302" i="5"/>
  <c r="AZ309" i="5"/>
  <c r="AZ307" i="5"/>
  <c r="AZ331" i="5"/>
  <c r="AZ332" i="5"/>
  <c r="AZ330" i="5"/>
  <c r="AZ329" i="5"/>
  <c r="AZ327" i="5"/>
  <c r="AZ326" i="5"/>
  <c r="AZ323" i="5"/>
  <c r="AZ325" i="5"/>
  <c r="AZ328" i="5"/>
  <c r="AZ324" i="5"/>
  <c r="AZ336" i="5"/>
  <c r="AZ345" i="5"/>
  <c r="AZ343" i="5"/>
  <c r="AZ339" i="5"/>
  <c r="AZ349" i="5"/>
  <c r="AZ344" i="5"/>
  <c r="AZ341" i="5"/>
  <c r="AZ333" i="5"/>
  <c r="AZ348" i="5"/>
  <c r="AZ334" i="5"/>
  <c r="AZ346" i="5"/>
  <c r="AZ337" i="5"/>
  <c r="AZ340" i="5"/>
  <c r="AZ347" i="5"/>
  <c r="AZ338" i="5"/>
  <c r="AZ335" i="5"/>
  <c r="AZ342" i="5"/>
  <c r="AZ351" i="5"/>
  <c r="AZ350" i="5"/>
  <c r="AZ352" i="5"/>
  <c r="AZ359" i="5"/>
  <c r="AZ355" i="5"/>
  <c r="AZ373" i="5"/>
  <c r="AZ357" i="5"/>
  <c r="AZ369" i="5"/>
  <c r="AZ360" i="5"/>
  <c r="AZ361" i="5"/>
  <c r="AZ371" i="5"/>
  <c r="AZ370" i="5"/>
  <c r="AZ358" i="5"/>
  <c r="AZ374" i="5"/>
  <c r="AZ378" i="5"/>
  <c r="AZ375" i="5"/>
  <c r="AZ366" i="5"/>
  <c r="AZ364" i="5"/>
  <c r="AZ365" i="5"/>
  <c r="AZ376" i="5"/>
  <c r="AZ377" i="5"/>
  <c r="AZ356" i="5"/>
  <c r="AZ353" i="5"/>
  <c r="AZ363" i="5"/>
  <c r="AZ354" i="5"/>
  <c r="AZ368" i="5"/>
  <c r="AZ367" i="5"/>
  <c r="AZ372" i="5"/>
  <c r="AZ362" i="5"/>
  <c r="AZ380" i="5"/>
  <c r="AZ383" i="5"/>
  <c r="AZ379" i="5"/>
  <c r="AZ381" i="5"/>
  <c r="AZ387" i="5"/>
  <c r="AZ395" i="5"/>
  <c r="AZ396" i="5"/>
  <c r="AZ391" i="5"/>
  <c r="AZ392" i="5"/>
  <c r="AZ394" i="5"/>
  <c r="AZ386" i="5"/>
  <c r="AZ385" i="5"/>
  <c r="AZ399" i="5"/>
  <c r="AZ398" i="5"/>
  <c r="AZ384" i="5"/>
  <c r="AZ388" i="5"/>
  <c r="AZ397" i="5"/>
  <c r="AZ382" i="5"/>
  <c r="AZ393" i="5"/>
  <c r="AZ400" i="5"/>
  <c r="AZ389" i="5"/>
  <c r="AZ390" i="5"/>
  <c r="AZ401" i="5"/>
  <c r="AZ410" i="5"/>
  <c r="AZ411" i="5"/>
  <c r="AZ412" i="5"/>
  <c r="AZ413" i="5"/>
  <c r="AZ432" i="5"/>
  <c r="AZ416" i="5"/>
  <c r="AZ414" i="5"/>
  <c r="AZ417" i="5"/>
  <c r="AZ428" i="5"/>
  <c r="AZ423" i="5"/>
  <c r="AZ430" i="5"/>
  <c r="AZ408" i="5"/>
  <c r="AZ409" i="5"/>
  <c r="AZ431" i="5"/>
  <c r="AZ403" i="5"/>
  <c r="AZ404" i="5"/>
  <c r="AZ415" i="5"/>
  <c r="AZ419" i="5"/>
  <c r="AZ429" i="5"/>
  <c r="AZ435" i="5"/>
  <c r="AZ402" i="5"/>
  <c r="AZ418" i="5"/>
  <c r="AZ406" i="5"/>
  <c r="AZ421" i="5"/>
  <c r="AZ420" i="5"/>
  <c r="AZ434" i="5"/>
  <c r="AZ422" i="5"/>
  <c r="AZ424" i="5"/>
  <c r="AZ433" i="5"/>
  <c r="AZ405" i="5"/>
  <c r="AZ407" i="5"/>
  <c r="AZ427" i="5"/>
  <c r="AZ426" i="5"/>
  <c r="AZ425" i="5"/>
  <c r="AZ446" i="5"/>
  <c r="AZ447" i="5"/>
  <c r="AZ468" i="5"/>
  <c r="AZ471" i="5"/>
  <c r="AZ472" i="5"/>
  <c r="AZ448" i="5"/>
  <c r="AZ453" i="5"/>
  <c r="AZ449" i="5"/>
  <c r="AZ454" i="5"/>
  <c r="AZ455" i="5"/>
  <c r="AZ474" i="5"/>
  <c r="AZ440" i="5"/>
  <c r="AZ437" i="5"/>
  <c r="AZ456" i="5"/>
  <c r="AZ452" i="5"/>
  <c r="AZ444" i="5"/>
  <c r="AZ445" i="5"/>
  <c r="AZ450" i="5"/>
  <c r="AZ439" i="5"/>
  <c r="AZ467" i="5"/>
  <c r="AZ469" i="5"/>
  <c r="AZ451" i="5"/>
  <c r="AZ436" i="5"/>
  <c r="AZ470" i="5"/>
  <c r="AZ438" i="5"/>
  <c r="AZ459" i="5"/>
  <c r="AZ460" i="5"/>
  <c r="AZ463" i="5"/>
  <c r="AZ475" i="5"/>
  <c r="AZ461" i="5"/>
  <c r="AZ441" i="5"/>
  <c r="AZ457" i="5"/>
  <c r="AZ458" i="5"/>
  <c r="AZ442" i="5"/>
  <c r="AZ464" i="5"/>
  <c r="AZ462" i="5"/>
  <c r="AZ473" i="5"/>
  <c r="AZ465" i="5"/>
  <c r="AZ466" i="5"/>
  <c r="AZ476" i="5"/>
  <c r="AZ443" i="5"/>
  <c r="AZ485" i="5"/>
  <c r="AZ489" i="5"/>
  <c r="AZ488" i="5"/>
  <c r="AZ491" i="5"/>
  <c r="AZ478" i="5"/>
  <c r="AZ479" i="5"/>
  <c r="AZ511" i="5"/>
  <c r="AZ496" i="5"/>
  <c r="AZ498" i="5"/>
  <c r="AZ490" i="5"/>
  <c r="AZ499" i="5"/>
  <c r="AZ492" i="5"/>
  <c r="AZ512" i="5"/>
  <c r="AZ500" i="5"/>
  <c r="AZ501" i="5"/>
  <c r="AZ493" i="5"/>
  <c r="AZ508" i="5"/>
  <c r="AZ509" i="5"/>
  <c r="AZ484" i="5"/>
  <c r="AZ497" i="5"/>
  <c r="AZ480" i="5"/>
  <c r="AZ494" i="5"/>
  <c r="AZ502" i="5"/>
  <c r="AZ507" i="5"/>
  <c r="AZ506" i="5"/>
  <c r="AZ514" i="5"/>
  <c r="AZ504" i="5"/>
  <c r="AZ487" i="5"/>
  <c r="AZ510" i="5"/>
  <c r="AZ503" i="5"/>
  <c r="AZ515" i="5"/>
  <c r="AZ481" i="5"/>
  <c r="AZ505" i="5"/>
  <c r="AZ495" i="5"/>
  <c r="AZ486" i="5"/>
  <c r="AZ513" i="5"/>
  <c r="AZ483" i="5"/>
  <c r="AZ482" i="5"/>
  <c r="AZ477" i="5"/>
  <c r="AZ607" i="5"/>
  <c r="AZ615" i="5"/>
  <c r="AZ616" i="5"/>
  <c r="AZ624" i="5"/>
  <c r="AZ549" i="5"/>
  <c r="AZ603" i="5"/>
  <c r="AZ561" i="5"/>
  <c r="AZ526" i="5"/>
  <c r="AZ523" i="5"/>
  <c r="AZ562" i="5"/>
  <c r="AZ558" i="5"/>
  <c r="AZ557" i="5"/>
  <c r="AZ563" i="5"/>
  <c r="AZ524" i="5"/>
  <c r="AZ606" i="5"/>
  <c r="AZ614" i="5"/>
  <c r="AZ621" i="5"/>
  <c r="AZ559" i="5"/>
  <c r="AZ577" i="5"/>
  <c r="AZ548" i="5"/>
  <c r="AZ576" i="5"/>
  <c r="AZ580" i="5"/>
  <c r="AZ544" i="5"/>
  <c r="AZ529" i="5"/>
  <c r="AZ564" i="5"/>
  <c r="AZ581" i="5"/>
  <c r="AZ534" i="5"/>
  <c r="AZ568" i="5"/>
  <c r="AZ569" i="5"/>
  <c r="AZ535" i="5"/>
  <c r="AZ578" i="5"/>
  <c r="AZ560" i="5"/>
  <c r="AZ566" i="5"/>
  <c r="AZ530" i="5"/>
  <c r="AZ533" i="5"/>
  <c r="AZ582" i="5"/>
  <c r="AZ608" i="5"/>
  <c r="AZ585" i="5"/>
  <c r="AZ528" i="5"/>
  <c r="AZ583" i="5"/>
  <c r="AZ574" i="5"/>
  <c r="AZ610" i="5"/>
  <c r="AZ537" i="5"/>
  <c r="AZ546" i="5"/>
  <c r="AZ527" i="5"/>
  <c r="AZ538" i="5"/>
  <c r="AZ579" i="5"/>
  <c r="AZ602" i="5"/>
  <c r="AZ575" i="5"/>
  <c r="AZ536" i="5"/>
  <c r="AZ587" i="5"/>
  <c r="AZ540" i="5"/>
  <c r="AZ586" i="5"/>
  <c r="AZ531" i="5"/>
  <c r="AZ588" i="5"/>
  <c r="AZ601" i="5"/>
  <c r="AZ622" i="5"/>
  <c r="AZ589" i="5"/>
  <c r="AZ626" i="5"/>
  <c r="AZ612" i="5"/>
  <c r="AZ516" i="5"/>
  <c r="AZ543" i="5"/>
  <c r="AZ520" i="5"/>
  <c r="AZ550" i="5"/>
  <c r="AZ545" i="5"/>
  <c r="AZ604" i="5"/>
  <c r="AZ554" i="5"/>
  <c r="AZ605" i="5"/>
  <c r="AZ567" i="5"/>
  <c r="AZ590" i="5"/>
  <c r="AZ591" i="5"/>
  <c r="AZ592" i="5"/>
  <c r="AZ541" i="5"/>
  <c r="AZ593" i="5"/>
  <c r="AZ594" i="5"/>
  <c r="AZ595" i="5"/>
  <c r="AZ596" i="5"/>
  <c r="AZ597" i="5"/>
  <c r="AZ539" i="5"/>
  <c r="AZ620" i="5"/>
  <c r="AZ619" i="5"/>
  <c r="AZ625" i="5"/>
  <c r="AZ584" i="5"/>
  <c r="AZ525" i="5"/>
  <c r="AZ565" i="5"/>
  <c r="AZ570" i="5"/>
  <c r="AZ571" i="5"/>
  <c r="AZ552" i="5"/>
  <c r="AZ572" i="5"/>
  <c r="AZ521" i="5"/>
  <c r="AZ532" i="5"/>
  <c r="AZ573" i="5"/>
  <c r="AZ599" i="5"/>
  <c r="AZ600" i="5"/>
  <c r="AZ609" i="5"/>
  <c r="AZ618" i="5"/>
  <c r="AZ617" i="5"/>
  <c r="AZ611" i="5"/>
  <c r="AZ623" i="5"/>
  <c r="AZ518" i="5"/>
  <c r="AZ517" i="5"/>
  <c r="AZ542" i="5"/>
  <c r="AZ553" i="5"/>
  <c r="AZ522" i="5"/>
  <c r="AZ547" i="5"/>
  <c r="AZ555" i="5"/>
  <c r="AZ613" i="5"/>
  <c r="AZ556" i="5"/>
  <c r="AZ598" i="5"/>
  <c r="AZ519" i="5"/>
  <c r="AZ551" i="5"/>
  <c r="AZ628" i="5"/>
  <c r="AZ627" i="5"/>
  <c r="AZ630" i="5"/>
  <c r="AZ648" i="5"/>
  <c r="AZ629" i="5"/>
  <c r="AZ657" i="5"/>
  <c r="AZ658" i="5"/>
  <c r="AZ647" i="5"/>
  <c r="AZ660" i="5"/>
  <c r="AZ698" i="5"/>
  <c r="AZ669" i="5"/>
  <c r="AZ674" i="5"/>
  <c r="AZ670" i="5"/>
  <c r="AZ667" i="5"/>
  <c r="AZ675" i="5"/>
  <c r="AZ653" i="5"/>
  <c r="AZ664" i="5"/>
  <c r="AZ666" i="5"/>
  <c r="AZ631" i="5"/>
  <c r="AZ682" i="5"/>
  <c r="AZ680" i="5"/>
  <c r="AZ663" i="5"/>
  <c r="AZ681" i="5"/>
  <c r="AZ668" i="5"/>
  <c r="AZ671" i="5"/>
  <c r="AZ676" i="5"/>
  <c r="AZ700" i="5"/>
  <c r="AZ665" i="5"/>
  <c r="AZ659" i="5"/>
  <c r="AZ693" i="5"/>
  <c r="AZ686" i="5"/>
  <c r="AZ683" i="5"/>
  <c r="AZ684" i="5"/>
  <c r="AZ685" i="5"/>
  <c r="AZ651" i="5"/>
  <c r="AZ696" i="5"/>
  <c r="AZ697" i="5"/>
  <c r="AZ661" i="5"/>
  <c r="AZ662" i="5"/>
  <c r="AZ677" i="5"/>
  <c r="AZ644" i="5"/>
  <c r="AZ645" i="5"/>
  <c r="AZ638" i="5"/>
  <c r="AZ678" i="5"/>
  <c r="AZ679" i="5"/>
  <c r="AZ640" i="5"/>
  <c r="AZ672" i="5"/>
  <c r="AZ639" i="5"/>
  <c r="AZ641" i="5"/>
  <c r="AZ673" i="5"/>
  <c r="AZ689" i="5"/>
  <c r="AZ695" i="5"/>
  <c r="AZ634" i="5"/>
  <c r="AZ643" i="5"/>
  <c r="AZ646" i="5"/>
  <c r="AZ649" i="5"/>
  <c r="AZ650" i="5"/>
  <c r="AZ635" i="5"/>
  <c r="AZ655" i="5"/>
  <c r="AZ632" i="5"/>
  <c r="AZ687" i="5"/>
  <c r="AZ690" i="5"/>
  <c r="AZ688" i="5"/>
  <c r="AZ699" i="5"/>
  <c r="AZ633" i="5"/>
  <c r="AZ637" i="5"/>
  <c r="AZ652" i="5"/>
  <c r="AZ642" i="5"/>
  <c r="AZ656" i="5"/>
  <c r="AZ654" i="5"/>
  <c r="AZ636" i="5"/>
  <c r="AZ691" i="5"/>
  <c r="AZ692" i="5"/>
  <c r="AZ694" i="5"/>
  <c r="AZ739" i="5"/>
  <c r="AZ810" i="5"/>
  <c r="AZ837" i="5"/>
  <c r="AZ738" i="5"/>
  <c r="AZ754" i="5"/>
  <c r="AZ755" i="5"/>
  <c r="AZ740" i="5"/>
  <c r="AZ790" i="5"/>
  <c r="AZ803" i="5"/>
  <c r="AZ801" i="5"/>
  <c r="AZ802" i="5"/>
  <c r="AZ804" i="5"/>
  <c r="AZ757" i="5"/>
  <c r="AZ805" i="5"/>
  <c r="AZ746" i="5"/>
  <c r="AZ743" i="5"/>
  <c r="AZ748" i="5"/>
  <c r="AZ769" i="5"/>
  <c r="AZ765" i="5"/>
  <c r="AZ742" i="5"/>
  <c r="AZ701" i="5"/>
  <c r="AZ703" i="5"/>
  <c r="AZ744" i="5"/>
  <c r="AZ767" i="5"/>
  <c r="AZ735" i="5"/>
  <c r="AZ751" i="5"/>
  <c r="AZ745" i="5"/>
  <c r="AZ709" i="5"/>
  <c r="AZ820" i="5"/>
  <c r="AZ809" i="5"/>
  <c r="AZ788" i="5"/>
  <c r="AZ814" i="5"/>
  <c r="AZ816" i="5"/>
  <c r="AZ852" i="5"/>
  <c r="AZ853" i="5"/>
  <c r="AZ855" i="5"/>
  <c r="AZ719" i="5"/>
  <c r="AZ747" i="5"/>
  <c r="AZ821" i="5"/>
  <c r="AZ808" i="5"/>
  <c r="AZ834" i="5"/>
  <c r="AZ839" i="5"/>
  <c r="AZ829" i="5"/>
  <c r="AZ838" i="5"/>
  <c r="AZ727" i="5"/>
  <c r="AZ763" i="5"/>
  <c r="AZ730" i="5"/>
  <c r="AZ764" i="5"/>
  <c r="AZ818" i="5"/>
  <c r="AZ812" i="5"/>
  <c r="AZ817" i="5"/>
  <c r="AZ768" i="5"/>
  <c r="AZ758" i="5"/>
  <c r="AZ752" i="5"/>
  <c r="AZ822" i="5"/>
  <c r="AZ749" i="5"/>
  <c r="AZ766" i="5"/>
  <c r="AZ811" i="5"/>
  <c r="AZ807" i="5"/>
  <c r="AZ819" i="5"/>
  <c r="AZ756" i="5"/>
  <c r="AZ714" i="5"/>
  <c r="AZ773" i="5"/>
  <c r="AZ827" i="5"/>
  <c r="AZ787" i="5"/>
  <c r="AZ830" i="5"/>
  <c r="AZ849" i="5"/>
  <c r="AZ750" i="5"/>
  <c r="AZ759" i="5"/>
  <c r="AZ741" i="5"/>
  <c r="AZ796" i="5"/>
  <c r="AZ806" i="5"/>
  <c r="AZ813" i="5"/>
  <c r="AZ831" i="5"/>
  <c r="AZ835" i="5"/>
  <c r="AZ836" i="5"/>
  <c r="AZ851" i="5"/>
  <c r="AZ856" i="5"/>
  <c r="AZ774" i="5"/>
  <c r="AZ724" i="5"/>
  <c r="AZ716" i="5"/>
  <c r="AZ715" i="5"/>
  <c r="AZ775" i="5"/>
  <c r="AZ722" i="5"/>
  <c r="AZ776" i="5"/>
  <c r="AZ723" i="5"/>
  <c r="AZ780" i="5"/>
  <c r="AZ828" i="5"/>
  <c r="AZ854" i="5"/>
  <c r="AZ857" i="5"/>
  <c r="AZ737" i="5"/>
  <c r="AZ753" i="5"/>
  <c r="AZ717" i="5"/>
  <c r="AZ770" i="5"/>
  <c r="AZ771" i="5"/>
  <c r="AZ736" i="5"/>
  <c r="AZ760" i="5"/>
  <c r="AZ708" i="5"/>
  <c r="AZ711" i="5"/>
  <c r="AZ710" i="5"/>
  <c r="AZ761" i="5"/>
  <c r="AZ726" i="5"/>
  <c r="AZ721" i="5"/>
  <c r="AZ772" i="5"/>
  <c r="AZ712" i="5"/>
  <c r="AZ720" i="5"/>
  <c r="AZ713" i="5"/>
  <c r="AZ728" i="5"/>
  <c r="AZ762" i="5"/>
  <c r="AZ781" i="5"/>
  <c r="AZ783" i="5"/>
  <c r="AZ782" i="5"/>
  <c r="AZ823" i="5"/>
  <c r="AZ824" i="5"/>
  <c r="AZ784" i="5"/>
  <c r="AZ825" i="5"/>
  <c r="AZ785" i="5"/>
  <c r="AZ789" i="5"/>
  <c r="AZ786" i="5"/>
  <c r="AZ826" i="5"/>
  <c r="AZ815" i="5"/>
  <c r="AZ833" i="5"/>
  <c r="AZ840" i="5"/>
  <c r="AZ841" i="5"/>
  <c r="AZ846" i="5"/>
  <c r="AZ844" i="5"/>
  <c r="AZ847" i="5"/>
  <c r="AZ850" i="5"/>
  <c r="AZ848" i="5"/>
  <c r="AZ706" i="5"/>
  <c r="AZ731" i="5"/>
  <c r="AZ704" i="5"/>
  <c r="AZ705" i="5"/>
  <c r="AZ729" i="5"/>
  <c r="AZ725" i="5"/>
  <c r="AZ732" i="5"/>
  <c r="AZ733" i="5"/>
  <c r="AZ718" i="5"/>
  <c r="AZ707" i="5"/>
  <c r="AZ734" i="5"/>
  <c r="AZ799" i="5"/>
  <c r="AZ793" i="5"/>
  <c r="AZ794" i="5"/>
  <c r="AZ778" i="5"/>
  <c r="AZ779" i="5"/>
  <c r="AZ800" i="5"/>
  <c r="AZ777" i="5"/>
  <c r="AZ797" i="5"/>
  <c r="AZ791" i="5"/>
  <c r="AZ795" i="5"/>
  <c r="AZ845" i="5"/>
  <c r="AZ842" i="5"/>
  <c r="AZ843" i="5"/>
  <c r="AZ702" i="5"/>
  <c r="AZ792" i="5"/>
  <c r="AZ798" i="5"/>
  <c r="AZ832" i="5"/>
  <c r="AZ858" i="5"/>
  <c r="AZ911" i="5"/>
  <c r="AZ912" i="5"/>
  <c r="AZ932" i="5"/>
  <c r="AZ933" i="5"/>
  <c r="AZ859" i="5"/>
  <c r="AZ869" i="5"/>
  <c r="AZ913" i="5"/>
  <c r="AZ934" i="5"/>
  <c r="AZ870" i="5"/>
  <c r="AZ935" i="5"/>
  <c r="AZ897" i="5"/>
  <c r="AZ914" i="5"/>
  <c r="AZ1006" i="5"/>
  <c r="AZ1007" i="5"/>
  <c r="AZ999" i="5"/>
  <c r="AZ1022" i="5"/>
  <c r="AZ937" i="5"/>
  <c r="AZ917" i="5"/>
  <c r="AZ1000" i="5"/>
  <c r="AZ1008" i="5"/>
  <c r="AZ1001" i="5"/>
  <c r="AZ915" i="5"/>
  <c r="AZ916" i="5"/>
  <c r="AZ874" i="5"/>
  <c r="AZ1026" i="5"/>
  <c r="AZ871" i="5"/>
  <c r="AZ920" i="5"/>
  <c r="AZ1011" i="5"/>
  <c r="AZ941" i="5"/>
  <c r="AZ921" i="5"/>
  <c r="AZ919" i="5"/>
  <c r="AZ922" i="5"/>
  <c r="AZ872" i="5"/>
  <c r="AZ960" i="5"/>
  <c r="AZ877" i="5"/>
  <c r="AZ949" i="5"/>
  <c r="AZ923" i="5"/>
  <c r="AZ950" i="5"/>
  <c r="AZ924" i="5"/>
  <c r="AZ951" i="5"/>
  <c r="AZ925" i="5"/>
  <c r="AZ952" i="5"/>
  <c r="AZ953" i="5"/>
  <c r="AZ926" i="5"/>
  <c r="AZ927" i="5"/>
  <c r="AZ942" i="5"/>
  <c r="AZ954" i="5"/>
  <c r="AZ961" i="5"/>
  <c r="AZ955" i="5"/>
  <c r="AZ928" i="5"/>
  <c r="AZ929" i="5"/>
  <c r="AZ956" i="5"/>
  <c r="AZ957" i="5"/>
  <c r="AZ930" i="5"/>
  <c r="AZ931" i="5"/>
  <c r="AZ1002" i="5"/>
  <c r="AZ979" i="5"/>
  <c r="AZ1003" i="5"/>
  <c r="AZ1013" i="5"/>
  <c r="AZ1004" i="5"/>
  <c r="AZ989" i="5"/>
  <c r="AZ1005" i="5"/>
  <c r="AZ1023" i="5"/>
  <c r="AZ1028" i="5"/>
  <c r="AZ1027" i="5"/>
  <c r="AZ890" i="5"/>
  <c r="AZ888" i="5"/>
  <c r="AZ882" i="5"/>
  <c r="AZ896" i="5"/>
  <c r="AZ878" i="5"/>
  <c r="AZ1012" i="5"/>
  <c r="AZ875" i="5"/>
  <c r="AZ880" i="5"/>
  <c r="AZ1025" i="5"/>
  <c r="AZ861" i="5"/>
  <c r="AZ962" i="5"/>
  <c r="AZ963" i="5"/>
  <c r="AZ936" i="5"/>
  <c r="AZ1014" i="5"/>
  <c r="AZ1015" i="5"/>
  <c r="AZ1029" i="5"/>
  <c r="AZ946" i="5"/>
  <c r="AZ943" i="5"/>
  <c r="AZ973" i="5"/>
  <c r="AZ944" i="5"/>
  <c r="AZ883" i="5"/>
  <c r="AZ974" i="5"/>
  <c r="AZ975" i="5"/>
  <c r="AZ881" i="5"/>
  <c r="AZ977" i="5"/>
  <c r="AZ976" i="5"/>
  <c r="AZ947" i="5"/>
  <c r="AZ945" i="5"/>
  <c r="AZ981" i="5"/>
  <c r="AZ986" i="5"/>
  <c r="AZ1020" i="5"/>
  <c r="AZ1030" i="5"/>
  <c r="AZ958" i="5"/>
  <c r="AZ918" i="5"/>
  <c r="AZ959" i="5"/>
  <c r="AZ895" i="5"/>
  <c r="AZ884" i="5"/>
  <c r="AZ873" i="5"/>
  <c r="AZ1019" i="5"/>
  <c r="AZ964" i="5"/>
  <c r="AZ898" i="5"/>
  <c r="AZ965" i="5"/>
  <c r="AZ876" i="5"/>
  <c r="AZ938" i="5"/>
  <c r="AZ891" i="5"/>
  <c r="AZ939" i="5"/>
  <c r="AZ966" i="5"/>
  <c r="AZ967" i="5"/>
  <c r="AZ968" i="5"/>
  <c r="AZ948" i="5"/>
  <c r="AZ969" i="5"/>
  <c r="AZ879" i="5"/>
  <c r="AZ892" i="5"/>
  <c r="AZ972" i="5"/>
  <c r="AZ970" i="5"/>
  <c r="AZ894" i="5"/>
  <c r="AZ893" i="5"/>
  <c r="AZ940" i="5"/>
  <c r="AZ971" i="5"/>
  <c r="AZ889" i="5"/>
  <c r="AZ987" i="5"/>
  <c r="AZ1016" i="5"/>
  <c r="AZ982" i="5"/>
  <c r="AZ1017" i="5"/>
  <c r="AZ985" i="5"/>
  <c r="AZ1009" i="5"/>
  <c r="AZ1010" i="5"/>
  <c r="AZ1018" i="5"/>
  <c r="AZ984" i="5"/>
  <c r="AZ980" i="5"/>
  <c r="AZ860" i="5"/>
  <c r="AZ909" i="5"/>
  <c r="AZ903" i="5"/>
  <c r="AZ904" i="5"/>
  <c r="AZ899" i="5"/>
  <c r="AZ885" i="5"/>
  <c r="AZ910" i="5"/>
  <c r="AZ886" i="5"/>
  <c r="AZ862" i="5"/>
  <c r="AZ866" i="5"/>
  <c r="AZ863" i="5"/>
  <c r="AZ864" i="5"/>
  <c r="AZ865" i="5"/>
  <c r="AZ905" i="5"/>
  <c r="AZ901" i="5"/>
  <c r="AZ867" i="5"/>
  <c r="AZ906" i="5"/>
  <c r="AZ902" i="5"/>
  <c r="AZ907" i="5"/>
  <c r="AZ887" i="5"/>
  <c r="AZ900" i="5"/>
  <c r="AZ988" i="5"/>
  <c r="AZ978" i="5"/>
  <c r="AZ993" i="5"/>
  <c r="AZ995" i="5"/>
  <c r="AZ994" i="5"/>
  <c r="AZ996" i="5"/>
  <c r="AZ992" i="5"/>
  <c r="AZ990" i="5"/>
  <c r="AZ991" i="5"/>
  <c r="AZ997" i="5"/>
  <c r="AZ998" i="5"/>
  <c r="AZ983" i="5"/>
  <c r="AZ1021" i="5"/>
  <c r="AZ1024" i="5"/>
  <c r="AZ908" i="5"/>
  <c r="AZ868" i="5"/>
  <c r="AZ1031" i="5"/>
  <c r="AZ1032" i="5"/>
  <c r="AZ1033" i="5"/>
  <c r="AZ1034" i="5"/>
  <c r="AZ1035" i="5"/>
  <c r="AZ1036" i="5"/>
  <c r="AZ1037" i="5"/>
  <c r="AZ1038" i="5"/>
  <c r="AZ1040" i="5"/>
  <c r="AZ1039" i="5"/>
  <c r="AZ1041" i="5"/>
  <c r="AZ1042" i="5"/>
  <c r="AZ1045" i="5"/>
  <c r="AZ1043" i="5"/>
  <c r="AZ1046" i="5"/>
  <c r="AZ1044" i="5"/>
  <c r="AZ1048" i="5"/>
  <c r="AZ1049" i="5"/>
  <c r="AZ1047" i="5"/>
  <c r="AZ1052" i="5"/>
  <c r="AZ1051" i="5"/>
  <c r="AZ1054" i="5"/>
  <c r="AZ1050" i="5"/>
  <c r="AZ1053" i="5"/>
  <c r="AZ1058" i="5"/>
  <c r="AZ1056" i="5"/>
  <c r="AZ1055" i="5"/>
  <c r="AZ1060" i="5"/>
  <c r="AZ1059" i="5"/>
  <c r="AZ1057" i="5"/>
  <c r="AZ1061" i="5"/>
  <c r="AZ1062" i="5"/>
  <c r="AZ1064" i="5"/>
  <c r="AZ1063" i="5"/>
  <c r="AZ1066" i="5"/>
  <c r="AZ1065" i="5"/>
  <c r="AZ1068" i="5"/>
  <c r="AZ1067" i="5"/>
  <c r="AZ1073" i="5"/>
  <c r="AZ1072" i="5"/>
  <c r="AZ1069" i="5"/>
  <c r="AZ1071" i="5"/>
  <c r="AZ1070" i="5"/>
  <c r="AZ1074" i="5"/>
  <c r="AZ1075" i="5"/>
  <c r="AZ1079" i="5"/>
  <c r="AZ1078" i="5"/>
  <c r="AZ1077" i="5"/>
  <c r="AZ1081" i="5"/>
  <c r="AZ1076" i="5"/>
  <c r="AZ1082" i="5"/>
  <c r="AZ1080" i="5"/>
  <c r="AZ1084" i="5"/>
  <c r="AZ1086" i="5"/>
  <c r="AZ1085" i="5"/>
  <c r="AZ1088" i="5"/>
  <c r="AZ1089" i="5"/>
  <c r="AZ1083" i="5"/>
  <c r="AZ1087" i="5"/>
  <c r="AZ1090" i="5"/>
  <c r="AZ1091" i="5"/>
  <c r="AZ1092" i="5"/>
  <c r="AZ1094" i="5"/>
  <c r="AZ1095" i="5"/>
  <c r="AZ1093" i="5"/>
  <c r="AZ1096" i="5"/>
  <c r="AZ1097" i="5"/>
  <c r="AZ1099" i="5"/>
  <c r="AZ1101" i="5"/>
  <c r="AZ1098" i="5"/>
  <c r="AZ1100" i="5"/>
  <c r="AZ1102" i="5"/>
  <c r="AZ1103" i="5"/>
  <c r="AZ1104" i="5"/>
  <c r="AZ1105" i="5"/>
  <c r="AZ1106" i="5"/>
  <c r="AZ1107" i="5"/>
  <c r="AZ1108" i="5"/>
  <c r="AZ1110" i="5"/>
  <c r="AZ1111" i="5"/>
  <c r="AZ1109" i="5"/>
  <c r="AZ1113" i="5"/>
  <c r="AZ1112" i="5"/>
  <c r="AZ1114" i="5"/>
  <c r="AZ1117" i="5"/>
  <c r="AZ1115" i="5"/>
  <c r="AZ1116" i="5"/>
  <c r="AZ1119" i="5"/>
  <c r="AZ1118" i="5"/>
  <c r="AZ1120" i="5"/>
  <c r="AZ1122" i="5"/>
  <c r="AZ1121" i="5"/>
  <c r="AZ1123" i="5"/>
  <c r="AZ1124" i="5"/>
  <c r="AZ1125" i="5"/>
  <c r="AZ1126" i="5"/>
  <c r="AZ1127" i="5"/>
  <c r="AZ1129" i="5"/>
  <c r="AZ1128" i="5"/>
  <c r="AZ1130" i="5"/>
  <c r="AZ1131" i="5"/>
  <c r="AZ1134" i="5"/>
  <c r="AZ1132" i="5"/>
  <c r="AZ1133" i="5"/>
  <c r="AZ1135" i="5"/>
  <c r="AZ1137" i="5"/>
  <c r="AZ1138" i="5"/>
  <c r="AZ1139" i="5"/>
  <c r="AZ1141" i="5"/>
  <c r="AZ1136" i="5"/>
  <c r="AZ1140" i="5"/>
  <c r="AZ1162" i="5"/>
  <c r="AZ1143" i="5"/>
  <c r="AZ1149" i="5"/>
  <c r="AZ1153" i="5"/>
  <c r="AZ1152" i="5"/>
  <c r="AZ1155" i="5"/>
  <c r="AZ1150" i="5"/>
  <c r="AZ1158" i="5"/>
  <c r="AZ1157" i="5"/>
  <c r="AZ1147" i="5"/>
  <c r="AZ1145" i="5"/>
  <c r="AZ1163" i="5"/>
  <c r="AZ1159" i="5"/>
  <c r="AZ1142" i="5"/>
  <c r="AZ1151" i="5"/>
  <c r="AZ1156" i="5"/>
  <c r="AZ1164" i="5"/>
  <c r="AZ1148" i="5"/>
  <c r="AZ1144" i="5"/>
  <c r="AZ1146" i="5"/>
  <c r="AZ1154" i="5"/>
  <c r="AZ1160" i="5"/>
  <c r="AZ1161" i="5"/>
  <c r="AZ1171" i="5"/>
  <c r="AZ1166" i="5"/>
  <c r="AZ1176" i="5"/>
  <c r="AZ1175" i="5"/>
  <c r="AZ1170" i="5"/>
  <c r="AZ1169" i="5"/>
  <c r="AZ1167" i="5"/>
  <c r="AZ1168" i="5"/>
  <c r="AZ1174" i="5"/>
  <c r="AZ1173" i="5"/>
  <c r="AZ1179" i="5"/>
  <c r="AZ1172" i="5"/>
  <c r="AZ1165" i="5"/>
  <c r="AZ1177" i="5"/>
  <c r="AZ1178" i="5"/>
  <c r="AZ1182" i="5"/>
  <c r="AZ1181" i="5"/>
  <c r="AZ1186" i="5"/>
  <c r="AZ1180" i="5"/>
  <c r="AZ1183" i="5"/>
  <c r="AZ1185" i="5"/>
  <c r="AZ1184" i="5"/>
  <c r="AZ1188" i="5"/>
  <c r="AZ1192" i="5"/>
  <c r="AZ1190" i="5"/>
  <c r="AZ1194" i="5"/>
  <c r="AZ1187" i="5"/>
  <c r="AZ1193" i="5"/>
  <c r="AZ1191" i="5"/>
  <c r="AZ1189" i="5"/>
  <c r="AZ1196" i="5"/>
  <c r="AZ1195" i="5"/>
  <c r="AZ1198" i="5"/>
  <c r="AZ1197" i="5"/>
  <c r="AZ1199" i="5"/>
  <c r="AZ1201" i="5"/>
  <c r="AZ1202" i="5"/>
  <c r="AZ1200" i="5"/>
  <c r="AZ1203" i="5"/>
  <c r="AZ1204" i="5"/>
  <c r="AZ1206" i="5"/>
  <c r="AZ1205" i="5"/>
  <c r="AZ1207" i="5"/>
  <c r="AZ1208" i="5"/>
  <c r="AZ1213" i="5"/>
  <c r="AZ1209" i="5"/>
  <c r="AZ1210" i="5"/>
  <c r="AZ1214" i="5"/>
  <c r="AZ1211" i="5"/>
  <c r="AZ1212" i="5"/>
  <c r="AZ1215" i="5"/>
  <c r="AZ1216" i="5"/>
  <c r="AZ1218" i="5"/>
  <c r="AZ1217" i="5"/>
  <c r="AZ1224" i="5"/>
  <c r="AZ1222" i="5"/>
  <c r="AZ1219" i="5"/>
  <c r="AZ1223" i="5"/>
  <c r="AZ1221" i="5"/>
  <c r="AZ1225" i="5"/>
  <c r="AZ1220" i="5"/>
  <c r="AZ1226" i="5"/>
  <c r="AZ1227" i="5"/>
  <c r="AZ1228" i="5"/>
  <c r="AZ1229" i="5"/>
  <c r="AZ1230" i="5"/>
  <c r="AZ1232" i="5"/>
  <c r="AZ1231" i="5"/>
  <c r="AZ1233" i="5"/>
  <c r="AZ1236" i="5"/>
  <c r="AZ1235" i="5"/>
  <c r="AZ1234" i="5"/>
  <c r="AZ1239" i="5"/>
  <c r="AZ1238" i="5"/>
  <c r="AZ1237" i="5"/>
  <c r="AZ1240" i="5"/>
  <c r="AZ1241" i="5"/>
  <c r="AZ1242" i="5"/>
  <c r="AZ1243" i="5"/>
  <c r="AZ1245" i="5"/>
  <c r="AZ1244" i="5"/>
  <c r="AZ1247" i="5"/>
  <c r="AZ1246" i="5"/>
  <c r="AZ1249" i="5"/>
  <c r="AZ1248" i="5"/>
  <c r="AZ1250" i="5"/>
  <c r="AZ1251" i="5"/>
  <c r="AZ1268" i="5"/>
  <c r="AZ1258" i="5"/>
  <c r="AZ1261" i="5"/>
  <c r="AZ1256" i="5"/>
  <c r="AZ1254" i="5"/>
  <c r="AZ1263" i="5"/>
  <c r="AZ1257" i="5"/>
  <c r="AZ1267" i="5"/>
  <c r="AZ1255" i="5"/>
  <c r="AZ1262" i="5"/>
  <c r="AZ1270" i="5"/>
  <c r="AZ1252" i="5"/>
  <c r="AZ1260" i="5"/>
  <c r="AZ1264" i="5"/>
  <c r="AZ1269" i="5"/>
  <c r="AZ1274" i="5"/>
  <c r="AZ1265" i="5"/>
  <c r="AZ1271" i="5"/>
  <c r="AZ1272" i="5"/>
  <c r="AZ1266" i="5"/>
  <c r="AZ1259" i="5"/>
  <c r="AZ1275" i="5"/>
  <c r="AZ1253" i="5"/>
  <c r="AZ1273" i="5"/>
  <c r="AZ1276" i="5"/>
  <c r="AZ1278" i="5"/>
  <c r="AZ1277" i="5"/>
  <c r="AZ1280" i="5"/>
  <c r="AZ1288" i="5"/>
  <c r="AZ1286" i="5"/>
  <c r="AZ1284" i="5"/>
  <c r="AZ1281" i="5"/>
  <c r="AZ1279" i="5"/>
  <c r="AZ1285" i="5"/>
  <c r="AZ1283" i="5"/>
  <c r="AZ1287" i="5"/>
  <c r="AZ1282" i="5"/>
  <c r="AZ1289" i="5"/>
  <c r="AZ1290" i="5"/>
  <c r="AZ1313" i="5"/>
  <c r="AZ1299" i="5"/>
  <c r="AZ1308" i="5"/>
  <c r="AZ1293" i="5"/>
  <c r="AZ1297" i="5"/>
  <c r="AZ1300" i="5"/>
  <c r="AZ1298" i="5"/>
  <c r="AZ1291" i="5"/>
  <c r="AZ1301" i="5"/>
  <c r="AZ1302" i="5"/>
  <c r="AZ1292" i="5"/>
  <c r="AZ1304" i="5"/>
  <c r="AZ1309" i="5"/>
  <c r="AZ1303" i="5"/>
  <c r="AZ1310" i="5"/>
  <c r="AZ1296" i="5"/>
  <c r="AZ1295" i="5"/>
  <c r="AZ1306" i="5"/>
  <c r="AZ1314" i="5"/>
  <c r="AZ1305" i="5"/>
  <c r="AZ1312" i="5"/>
  <c r="AZ1315" i="5"/>
  <c r="AZ1311" i="5"/>
  <c r="AZ1294" i="5"/>
  <c r="AZ1307" i="5"/>
  <c r="AZ1328" i="5"/>
  <c r="AZ1318" i="5"/>
  <c r="AZ1316" i="5"/>
  <c r="AZ1319" i="5"/>
  <c r="AZ1323" i="5"/>
  <c r="AZ1321" i="5"/>
  <c r="AZ1317" i="5"/>
  <c r="AZ1324" i="5"/>
  <c r="AZ1320" i="5"/>
  <c r="AZ1326" i="5"/>
  <c r="AZ1322" i="5"/>
  <c r="AZ1329" i="5"/>
  <c r="AZ1330" i="5"/>
  <c r="AZ1325" i="5"/>
  <c r="AZ1327" i="5"/>
  <c r="AZ1331" i="5"/>
  <c r="AZ1347" i="5"/>
  <c r="AZ1343" i="5"/>
  <c r="AZ1341" i="5"/>
  <c r="AZ1352" i="5"/>
  <c r="AZ1335" i="5"/>
  <c r="AZ1344" i="5"/>
  <c r="AZ1348" i="5"/>
  <c r="AZ1354" i="5"/>
  <c r="AZ1349" i="5"/>
  <c r="AZ1336" i="5"/>
  <c r="AZ1359" i="5"/>
  <c r="AZ1340" i="5"/>
  <c r="AZ1342" i="5"/>
  <c r="AZ1350" i="5"/>
  <c r="AZ1353" i="5"/>
  <c r="AZ1346" i="5"/>
  <c r="AZ1337" i="5"/>
  <c r="AZ1333" i="5"/>
  <c r="AZ1356" i="5"/>
  <c r="AZ1345" i="5"/>
  <c r="AZ1334" i="5"/>
  <c r="AZ1358" i="5"/>
  <c r="AZ1360" i="5"/>
  <c r="AZ1332" i="5"/>
  <c r="AZ1355" i="5"/>
  <c r="AZ1338" i="5"/>
  <c r="AZ1339" i="5"/>
  <c r="AZ1351" i="5"/>
  <c r="AZ1361" i="5"/>
  <c r="AZ1357" i="5"/>
  <c r="AZ1367" i="5"/>
  <c r="AZ1362" i="5"/>
  <c r="AZ1369" i="5"/>
  <c r="AZ1370" i="5"/>
  <c r="AZ1363" i="5"/>
  <c r="AZ1368" i="5"/>
  <c r="AZ1372" i="5"/>
  <c r="AZ1365" i="5"/>
  <c r="AZ1374" i="5"/>
  <c r="AZ1364" i="5"/>
  <c r="AZ1371" i="5"/>
  <c r="AZ1366" i="5"/>
  <c r="AZ1373" i="5"/>
  <c r="AZ1375" i="5"/>
  <c r="AZ1380" i="5"/>
  <c r="AZ1386" i="5"/>
  <c r="AZ1381" i="5"/>
  <c r="AZ1377" i="5"/>
  <c r="AZ1383" i="5"/>
  <c r="AZ1385" i="5"/>
  <c r="AZ1384" i="5"/>
  <c r="AZ1376" i="5"/>
  <c r="AZ1378" i="5"/>
  <c r="AZ1379" i="5"/>
  <c r="AZ1382" i="5"/>
  <c r="AZ1387" i="5"/>
  <c r="AZ1388" i="5"/>
  <c r="AZ1389" i="5"/>
  <c r="AZ1390" i="5"/>
  <c r="AZ1392" i="5"/>
  <c r="AZ1391" i="5"/>
  <c r="AZ1393" i="5"/>
  <c r="AZ1394" i="5"/>
  <c r="AZ1395" i="5"/>
  <c r="AZ1396" i="5"/>
  <c r="AZ1398" i="5"/>
  <c r="AZ1397" i="5"/>
  <c r="AZ1399" i="5"/>
  <c r="AZ1400" i="5"/>
  <c r="AZ1401" i="5"/>
  <c r="AZ1402" i="5"/>
  <c r="AZ1403" i="5"/>
  <c r="AZ1404" i="5"/>
  <c r="AY3" i="5"/>
  <c r="AY2" i="5"/>
  <c r="AY31" i="5"/>
  <c r="AY32" i="5"/>
  <c r="AY50" i="5"/>
  <c r="AY43" i="5"/>
  <c r="AY48" i="5"/>
  <c r="AY18" i="5"/>
  <c r="AY36" i="5"/>
  <c r="AY33" i="5"/>
  <c r="AY11" i="5"/>
  <c r="AY19" i="5"/>
  <c r="AY10" i="5"/>
  <c r="AY37" i="5"/>
  <c r="AY38" i="5"/>
  <c r="AY42" i="5"/>
  <c r="AY29" i="5"/>
  <c r="AY9" i="5"/>
  <c r="AY39" i="5"/>
  <c r="AY7" i="5"/>
  <c r="AY35" i="5"/>
  <c r="AY44" i="5"/>
  <c r="AY52" i="5"/>
  <c r="AY40" i="5"/>
  <c r="AY34" i="5"/>
  <c r="AY27" i="5"/>
  <c r="AY28" i="5"/>
  <c r="AY41" i="5"/>
  <c r="AY47" i="5"/>
  <c r="AY20" i="5"/>
  <c r="AY21" i="5"/>
  <c r="AY8" i="5"/>
  <c r="AY22" i="5"/>
  <c r="AY23" i="5"/>
  <c r="AY24" i="5"/>
  <c r="AY30" i="5"/>
  <c r="AY25" i="5"/>
  <c r="AY46" i="5"/>
  <c r="AY49" i="5"/>
  <c r="AY26" i="5"/>
  <c r="AY51" i="5"/>
  <c r="AY54" i="5"/>
  <c r="AY57" i="5"/>
  <c r="AY56" i="5"/>
  <c r="AY4" i="5"/>
  <c r="AY15" i="5"/>
  <c r="AY16" i="5"/>
  <c r="AY55" i="5"/>
  <c r="AY12" i="5"/>
  <c r="AY13" i="5"/>
  <c r="AY14" i="5"/>
  <c r="AY58" i="5"/>
  <c r="AY5" i="5"/>
  <c r="AY17" i="5"/>
  <c r="AY45" i="5"/>
  <c r="AY6" i="5"/>
  <c r="AY53" i="5"/>
  <c r="AY59" i="5"/>
  <c r="AY67" i="5"/>
  <c r="AY82" i="5"/>
  <c r="AY83" i="5"/>
  <c r="AY84" i="5"/>
  <c r="AY88" i="5"/>
  <c r="AY76" i="5"/>
  <c r="AY77" i="5"/>
  <c r="AY167" i="5"/>
  <c r="AY97" i="5"/>
  <c r="AY106" i="5"/>
  <c r="AY123" i="5"/>
  <c r="AY134" i="5"/>
  <c r="AY135" i="5"/>
  <c r="AY90" i="5"/>
  <c r="AY86" i="5"/>
  <c r="AY91" i="5"/>
  <c r="AY78" i="5"/>
  <c r="AY85" i="5"/>
  <c r="AY70" i="5"/>
  <c r="AY92" i="5"/>
  <c r="AY68" i="5"/>
  <c r="AY100" i="5"/>
  <c r="AY99" i="5"/>
  <c r="AY128" i="5"/>
  <c r="AY126" i="5"/>
  <c r="AY129" i="5"/>
  <c r="AY138" i="5"/>
  <c r="AY75" i="5"/>
  <c r="AY80" i="5"/>
  <c r="AY81" i="5"/>
  <c r="AY93" i="5"/>
  <c r="AY87" i="5"/>
  <c r="AY94" i="5"/>
  <c r="AY66" i="5"/>
  <c r="AY89" i="5"/>
  <c r="AY131" i="5"/>
  <c r="AY95" i="5"/>
  <c r="AY79" i="5"/>
  <c r="AY149" i="5"/>
  <c r="AY145" i="5"/>
  <c r="AY96" i="5"/>
  <c r="AY101" i="5"/>
  <c r="AY105" i="5"/>
  <c r="AY114" i="5"/>
  <c r="AY112" i="5"/>
  <c r="AY117" i="5"/>
  <c r="AY110" i="5"/>
  <c r="AY118" i="5"/>
  <c r="AY148" i="5"/>
  <c r="AY153" i="5"/>
  <c r="AY163" i="5"/>
  <c r="AY143" i="5"/>
  <c r="AY152" i="5"/>
  <c r="AY65" i="5"/>
  <c r="AY113" i="5"/>
  <c r="AY119" i="5"/>
  <c r="AY108" i="5"/>
  <c r="AY125" i="5"/>
  <c r="AY142" i="5"/>
  <c r="AY102" i="5"/>
  <c r="AY116" i="5"/>
  <c r="AY107" i="5"/>
  <c r="AY120" i="5"/>
  <c r="AY124" i="5"/>
  <c r="AY127" i="5"/>
  <c r="AY132" i="5"/>
  <c r="AY139" i="5"/>
  <c r="AY146" i="5"/>
  <c r="AY151" i="5"/>
  <c r="AY154" i="5"/>
  <c r="AY156" i="5"/>
  <c r="AY155" i="5"/>
  <c r="AY157" i="5"/>
  <c r="AY160" i="5"/>
  <c r="AY164" i="5"/>
  <c r="AY162" i="5"/>
  <c r="AY144" i="5"/>
  <c r="AY159" i="5"/>
  <c r="AY60" i="5"/>
  <c r="AY61" i="5"/>
  <c r="AY63" i="5"/>
  <c r="AY73" i="5"/>
  <c r="AY69" i="5"/>
  <c r="AY72" i="5"/>
  <c r="AY64" i="5"/>
  <c r="AY74" i="5"/>
  <c r="AY121" i="5"/>
  <c r="AY165" i="5"/>
  <c r="AY111" i="5"/>
  <c r="AY137" i="5"/>
  <c r="AY147" i="5"/>
  <c r="AY150" i="5"/>
  <c r="AY166" i="5"/>
  <c r="AY168" i="5"/>
  <c r="AY98" i="5"/>
  <c r="AY104" i="5"/>
  <c r="AY109" i="5"/>
  <c r="AY136" i="5"/>
  <c r="AY161" i="5"/>
  <c r="AY130" i="5"/>
  <c r="AY169" i="5"/>
  <c r="AY103" i="5"/>
  <c r="AY115" i="5"/>
  <c r="AY122" i="5"/>
  <c r="AY133" i="5"/>
  <c r="AY141" i="5"/>
  <c r="AY158" i="5"/>
  <c r="AY71" i="5"/>
  <c r="AY62" i="5"/>
  <c r="AY140" i="5"/>
  <c r="AY175" i="5"/>
  <c r="AY181" i="5"/>
  <c r="AY170" i="5"/>
  <c r="AY174" i="5"/>
  <c r="AY173" i="5"/>
  <c r="AY178" i="5"/>
  <c r="AY172" i="5"/>
  <c r="AY177" i="5"/>
  <c r="AY179" i="5"/>
  <c r="AY180" i="5"/>
  <c r="AY183" i="5"/>
  <c r="AY182" i="5"/>
  <c r="AY176" i="5"/>
  <c r="AY171" i="5"/>
  <c r="AY198" i="5"/>
  <c r="AY223" i="5"/>
  <c r="AY224" i="5"/>
  <c r="AY188" i="5"/>
  <c r="AY189" i="5"/>
  <c r="AY190" i="5"/>
  <c r="AY191" i="5"/>
  <c r="AY202" i="5"/>
  <c r="AY210" i="5"/>
  <c r="AY214" i="5"/>
  <c r="AY226" i="5"/>
  <c r="AY192" i="5"/>
  <c r="AY203" i="5"/>
  <c r="AY196" i="5"/>
  <c r="AY215" i="5"/>
  <c r="AY229" i="5"/>
  <c r="AY187" i="5"/>
  <c r="AY194" i="5"/>
  <c r="AY195" i="5"/>
  <c r="AY197" i="5"/>
  <c r="AY200" i="5"/>
  <c r="AY201" i="5"/>
  <c r="AY199" i="5"/>
  <c r="AY221" i="5"/>
  <c r="AY236" i="5"/>
  <c r="AY193" i="5"/>
  <c r="AY185" i="5"/>
  <c r="AY207" i="5"/>
  <c r="AY213" i="5"/>
  <c r="AY211" i="5"/>
  <c r="AY222" i="5"/>
  <c r="AY205" i="5"/>
  <c r="AY216" i="5"/>
  <c r="AY206" i="5"/>
  <c r="AY235" i="5"/>
  <c r="AY219" i="5"/>
  <c r="AY204" i="5"/>
  <c r="AY233" i="5"/>
  <c r="AY237" i="5"/>
  <c r="AY184" i="5"/>
  <c r="AY186" i="5"/>
  <c r="AY212" i="5"/>
  <c r="AY220" i="5"/>
  <c r="AY231" i="5"/>
  <c r="AY208" i="5"/>
  <c r="AY209" i="5"/>
  <c r="AY228" i="5"/>
  <c r="AY234" i="5"/>
  <c r="AY218" i="5"/>
  <c r="AY227" i="5"/>
  <c r="AY230" i="5"/>
  <c r="AY225" i="5"/>
  <c r="AY232" i="5"/>
  <c r="AY217" i="5"/>
  <c r="AY238" i="5"/>
  <c r="AY241" i="5"/>
  <c r="AY244" i="5"/>
  <c r="AY254" i="5"/>
  <c r="AY257" i="5"/>
  <c r="AY239" i="5"/>
  <c r="AY249" i="5"/>
  <c r="AY248" i="5"/>
  <c r="AY240" i="5"/>
  <c r="AY259" i="5"/>
  <c r="AY242" i="5"/>
  <c r="AY250" i="5"/>
  <c r="AY252" i="5"/>
  <c r="AY255" i="5"/>
  <c r="AY266" i="5"/>
  <c r="AY246" i="5"/>
  <c r="AY256" i="5"/>
  <c r="AY243" i="5"/>
  <c r="AY261" i="5"/>
  <c r="AY247" i="5"/>
  <c r="AY251" i="5"/>
  <c r="AY245" i="5"/>
  <c r="AY265" i="5"/>
  <c r="AY253" i="5"/>
  <c r="AY258" i="5"/>
  <c r="AY264" i="5"/>
  <c r="AY260" i="5"/>
  <c r="AY262" i="5"/>
  <c r="AY263" i="5"/>
  <c r="AY273" i="5"/>
  <c r="AY267" i="5"/>
  <c r="AY274" i="5"/>
  <c r="AY275" i="5"/>
  <c r="AY280" i="5"/>
  <c r="AY278" i="5"/>
  <c r="AY268" i="5"/>
  <c r="AY270" i="5"/>
  <c r="AY281" i="5"/>
  <c r="AY272" i="5"/>
  <c r="AY271" i="5"/>
  <c r="AY282" i="5"/>
  <c r="AY277" i="5"/>
  <c r="AY279" i="5"/>
  <c r="AY276" i="5"/>
  <c r="AY269" i="5"/>
  <c r="AY289" i="5"/>
  <c r="AY291" i="5"/>
  <c r="AY292" i="5"/>
  <c r="AY293" i="5"/>
  <c r="AY294" i="5"/>
  <c r="AY295" i="5"/>
  <c r="AY308" i="5"/>
  <c r="AY318" i="5"/>
  <c r="AY319" i="5"/>
  <c r="AY296" i="5"/>
  <c r="AY297" i="5"/>
  <c r="AY298" i="5"/>
  <c r="AY299" i="5"/>
  <c r="AY306" i="5"/>
  <c r="AY304" i="5"/>
  <c r="AY283" i="5"/>
  <c r="AY284" i="5"/>
  <c r="AY317" i="5"/>
  <c r="AY301" i="5"/>
  <c r="AY314" i="5"/>
  <c r="AY315" i="5"/>
  <c r="AY321" i="5"/>
  <c r="AY312" i="5"/>
  <c r="AY313" i="5"/>
  <c r="AY310" i="5"/>
  <c r="AY311" i="5"/>
  <c r="AY322" i="5"/>
  <c r="AY316" i="5"/>
  <c r="AY287" i="5"/>
  <c r="AY286" i="5"/>
  <c r="AY290" i="5"/>
  <c r="AY285" i="5"/>
  <c r="AY288" i="5"/>
  <c r="AY305" i="5"/>
  <c r="AY303" i="5"/>
  <c r="AY320" i="5"/>
  <c r="AY300" i="5"/>
  <c r="AY302" i="5"/>
  <c r="AY309" i="5"/>
  <c r="AY307" i="5"/>
  <c r="AY331" i="5"/>
  <c r="AY332" i="5"/>
  <c r="AY330" i="5"/>
  <c r="AY329" i="5"/>
  <c r="AY327" i="5"/>
  <c r="AY326" i="5"/>
  <c r="AY323" i="5"/>
  <c r="AY325" i="5"/>
  <c r="AY328" i="5"/>
  <c r="AY324" i="5"/>
  <c r="AY336" i="5"/>
  <c r="AY345" i="5"/>
  <c r="AY343" i="5"/>
  <c r="AY339" i="5"/>
  <c r="AY349" i="5"/>
  <c r="AY344" i="5"/>
  <c r="AY341" i="5"/>
  <c r="AY333" i="5"/>
  <c r="AY348" i="5"/>
  <c r="AY334" i="5"/>
  <c r="AY346" i="5"/>
  <c r="AY337" i="5"/>
  <c r="AY340" i="5"/>
  <c r="AY347" i="5"/>
  <c r="AY338" i="5"/>
  <c r="AY335" i="5"/>
  <c r="AY342" i="5"/>
  <c r="AY351" i="5"/>
  <c r="AY350" i="5"/>
  <c r="AY352" i="5"/>
  <c r="AY359" i="5"/>
  <c r="AY355" i="5"/>
  <c r="AY373" i="5"/>
  <c r="AY357" i="5"/>
  <c r="AY369" i="5"/>
  <c r="AY360" i="5"/>
  <c r="AY361" i="5"/>
  <c r="AY371" i="5"/>
  <c r="AY370" i="5"/>
  <c r="AY358" i="5"/>
  <c r="AY374" i="5"/>
  <c r="AY378" i="5"/>
  <c r="AY375" i="5"/>
  <c r="AY366" i="5"/>
  <c r="AY364" i="5"/>
  <c r="AY365" i="5"/>
  <c r="AY376" i="5"/>
  <c r="AY377" i="5"/>
  <c r="AY356" i="5"/>
  <c r="AY353" i="5"/>
  <c r="AY363" i="5"/>
  <c r="AY354" i="5"/>
  <c r="AY368" i="5"/>
  <c r="AY367" i="5"/>
  <c r="AY372" i="5"/>
  <c r="AY362" i="5"/>
  <c r="AY380" i="5"/>
  <c r="AY383" i="5"/>
  <c r="AY379" i="5"/>
  <c r="AY381" i="5"/>
  <c r="AY387" i="5"/>
  <c r="AY395" i="5"/>
  <c r="AY396" i="5"/>
  <c r="AY391" i="5"/>
  <c r="AY392" i="5"/>
  <c r="AY394" i="5"/>
  <c r="AY386" i="5"/>
  <c r="AY385" i="5"/>
  <c r="AY399" i="5"/>
  <c r="AY398" i="5"/>
  <c r="AY384" i="5"/>
  <c r="AY388" i="5"/>
  <c r="AY397" i="5"/>
  <c r="AY382" i="5"/>
  <c r="AY393" i="5"/>
  <c r="AY400" i="5"/>
  <c r="AY389" i="5"/>
  <c r="AY390" i="5"/>
  <c r="AY401" i="5"/>
  <c r="AY410" i="5"/>
  <c r="AY411" i="5"/>
  <c r="AY412" i="5"/>
  <c r="AY413" i="5"/>
  <c r="AY432" i="5"/>
  <c r="AY416" i="5"/>
  <c r="AY414" i="5"/>
  <c r="AY417" i="5"/>
  <c r="AY428" i="5"/>
  <c r="AY423" i="5"/>
  <c r="AY430" i="5"/>
  <c r="AY408" i="5"/>
  <c r="AY409" i="5"/>
  <c r="AY431" i="5"/>
  <c r="AY403" i="5"/>
  <c r="AY404" i="5"/>
  <c r="AY415" i="5"/>
  <c r="AY419" i="5"/>
  <c r="AY429" i="5"/>
  <c r="AY435" i="5"/>
  <c r="AY402" i="5"/>
  <c r="AY418" i="5"/>
  <c r="AY406" i="5"/>
  <c r="AY421" i="5"/>
  <c r="AY420" i="5"/>
  <c r="AY434" i="5"/>
  <c r="AY422" i="5"/>
  <c r="AY424" i="5"/>
  <c r="AY433" i="5"/>
  <c r="AY405" i="5"/>
  <c r="AY407" i="5"/>
  <c r="AY427" i="5"/>
  <c r="AY426" i="5"/>
  <c r="AY425" i="5"/>
  <c r="AY446" i="5"/>
  <c r="AY447" i="5"/>
  <c r="AY468" i="5"/>
  <c r="AY471" i="5"/>
  <c r="AY472" i="5"/>
  <c r="AY448" i="5"/>
  <c r="AY453" i="5"/>
  <c r="AY449" i="5"/>
  <c r="AY454" i="5"/>
  <c r="AY455" i="5"/>
  <c r="AY474" i="5"/>
  <c r="AY440" i="5"/>
  <c r="AY437" i="5"/>
  <c r="AY456" i="5"/>
  <c r="AY452" i="5"/>
  <c r="AY444" i="5"/>
  <c r="AY445" i="5"/>
  <c r="AY450" i="5"/>
  <c r="AY439" i="5"/>
  <c r="AY467" i="5"/>
  <c r="AY469" i="5"/>
  <c r="AY451" i="5"/>
  <c r="AY436" i="5"/>
  <c r="AY470" i="5"/>
  <c r="AY438" i="5"/>
  <c r="AY459" i="5"/>
  <c r="AY460" i="5"/>
  <c r="AY463" i="5"/>
  <c r="AY475" i="5"/>
  <c r="AY461" i="5"/>
  <c r="AY441" i="5"/>
  <c r="AY457" i="5"/>
  <c r="AY458" i="5"/>
  <c r="AY442" i="5"/>
  <c r="AY464" i="5"/>
  <c r="AY462" i="5"/>
  <c r="AY473" i="5"/>
  <c r="AY465" i="5"/>
  <c r="AY466" i="5"/>
  <c r="AY476" i="5"/>
  <c r="AY443" i="5"/>
  <c r="AY485" i="5"/>
  <c r="AY489" i="5"/>
  <c r="AY488" i="5"/>
  <c r="AY491" i="5"/>
  <c r="AY478" i="5"/>
  <c r="AY479" i="5"/>
  <c r="AY511" i="5"/>
  <c r="AY496" i="5"/>
  <c r="AY498" i="5"/>
  <c r="AY490" i="5"/>
  <c r="AY499" i="5"/>
  <c r="AY492" i="5"/>
  <c r="AY512" i="5"/>
  <c r="AY500" i="5"/>
  <c r="AY501" i="5"/>
  <c r="AY493" i="5"/>
  <c r="AY508" i="5"/>
  <c r="AY509" i="5"/>
  <c r="AY484" i="5"/>
  <c r="AY497" i="5"/>
  <c r="AY480" i="5"/>
  <c r="AY494" i="5"/>
  <c r="AY502" i="5"/>
  <c r="AY507" i="5"/>
  <c r="AY506" i="5"/>
  <c r="AY514" i="5"/>
  <c r="AY504" i="5"/>
  <c r="AY487" i="5"/>
  <c r="AY510" i="5"/>
  <c r="AY503" i="5"/>
  <c r="AY515" i="5"/>
  <c r="AY481" i="5"/>
  <c r="AY505" i="5"/>
  <c r="AY495" i="5"/>
  <c r="AY486" i="5"/>
  <c r="AY513" i="5"/>
  <c r="AY483" i="5"/>
  <c r="AY482" i="5"/>
  <c r="AY477" i="5"/>
  <c r="AY607" i="5"/>
  <c r="AY615" i="5"/>
  <c r="AY616" i="5"/>
  <c r="AY624" i="5"/>
  <c r="AY549" i="5"/>
  <c r="AY603" i="5"/>
  <c r="AY561" i="5"/>
  <c r="AY526" i="5"/>
  <c r="AY523" i="5"/>
  <c r="AY562" i="5"/>
  <c r="AY558" i="5"/>
  <c r="AY557" i="5"/>
  <c r="AY563" i="5"/>
  <c r="AY524" i="5"/>
  <c r="AY606" i="5"/>
  <c r="AY614" i="5"/>
  <c r="AY621" i="5"/>
  <c r="AY559" i="5"/>
  <c r="AY577" i="5"/>
  <c r="AY548" i="5"/>
  <c r="AY576" i="5"/>
  <c r="AY580" i="5"/>
  <c r="AY544" i="5"/>
  <c r="AY529" i="5"/>
  <c r="AY564" i="5"/>
  <c r="AY581" i="5"/>
  <c r="AY534" i="5"/>
  <c r="AY568" i="5"/>
  <c r="AY569" i="5"/>
  <c r="AY535" i="5"/>
  <c r="AY578" i="5"/>
  <c r="AY560" i="5"/>
  <c r="AY566" i="5"/>
  <c r="AY530" i="5"/>
  <c r="AY533" i="5"/>
  <c r="AY582" i="5"/>
  <c r="AY608" i="5"/>
  <c r="AY585" i="5"/>
  <c r="AY528" i="5"/>
  <c r="AY583" i="5"/>
  <c r="AY574" i="5"/>
  <c r="AY610" i="5"/>
  <c r="AY537" i="5"/>
  <c r="AY546" i="5"/>
  <c r="AY527" i="5"/>
  <c r="AY538" i="5"/>
  <c r="AY579" i="5"/>
  <c r="AY602" i="5"/>
  <c r="AY575" i="5"/>
  <c r="AY536" i="5"/>
  <c r="AY587" i="5"/>
  <c r="AY540" i="5"/>
  <c r="AY586" i="5"/>
  <c r="AY531" i="5"/>
  <c r="AY588" i="5"/>
  <c r="AY601" i="5"/>
  <c r="AY622" i="5"/>
  <c r="AY589" i="5"/>
  <c r="AY626" i="5"/>
  <c r="AY612" i="5"/>
  <c r="AY516" i="5"/>
  <c r="AY543" i="5"/>
  <c r="AY520" i="5"/>
  <c r="AY550" i="5"/>
  <c r="AY545" i="5"/>
  <c r="AY604" i="5"/>
  <c r="AY554" i="5"/>
  <c r="AY605" i="5"/>
  <c r="AY567" i="5"/>
  <c r="AY590" i="5"/>
  <c r="AY591" i="5"/>
  <c r="AY592" i="5"/>
  <c r="AY541" i="5"/>
  <c r="AY593" i="5"/>
  <c r="AY594" i="5"/>
  <c r="AY595" i="5"/>
  <c r="AY596" i="5"/>
  <c r="AY597" i="5"/>
  <c r="AY539" i="5"/>
  <c r="AY620" i="5"/>
  <c r="AY619" i="5"/>
  <c r="AY625" i="5"/>
  <c r="AY584" i="5"/>
  <c r="AY525" i="5"/>
  <c r="AY565" i="5"/>
  <c r="AY570" i="5"/>
  <c r="AY571" i="5"/>
  <c r="AY552" i="5"/>
  <c r="AY572" i="5"/>
  <c r="AY521" i="5"/>
  <c r="AY532" i="5"/>
  <c r="AY573" i="5"/>
  <c r="AY599" i="5"/>
  <c r="AY600" i="5"/>
  <c r="AY609" i="5"/>
  <c r="AY618" i="5"/>
  <c r="AY617" i="5"/>
  <c r="AY611" i="5"/>
  <c r="AY623" i="5"/>
  <c r="AY518" i="5"/>
  <c r="AY517" i="5"/>
  <c r="AY542" i="5"/>
  <c r="AY553" i="5"/>
  <c r="AY522" i="5"/>
  <c r="AY547" i="5"/>
  <c r="AY555" i="5"/>
  <c r="AY613" i="5"/>
  <c r="AY556" i="5"/>
  <c r="AY598" i="5"/>
  <c r="AY519" i="5"/>
  <c r="AY551" i="5"/>
  <c r="AY628" i="5"/>
  <c r="AY627" i="5"/>
  <c r="AY630" i="5"/>
  <c r="AY648" i="5"/>
  <c r="AY629" i="5"/>
  <c r="AY657" i="5"/>
  <c r="AY658" i="5"/>
  <c r="AY647" i="5"/>
  <c r="AY660" i="5"/>
  <c r="AY698" i="5"/>
  <c r="AY669" i="5"/>
  <c r="AY674" i="5"/>
  <c r="AY670" i="5"/>
  <c r="AY667" i="5"/>
  <c r="AY675" i="5"/>
  <c r="AY653" i="5"/>
  <c r="AY664" i="5"/>
  <c r="AY666" i="5"/>
  <c r="AY631" i="5"/>
  <c r="AY682" i="5"/>
  <c r="AY680" i="5"/>
  <c r="AY663" i="5"/>
  <c r="AY681" i="5"/>
  <c r="AY668" i="5"/>
  <c r="AY671" i="5"/>
  <c r="AY676" i="5"/>
  <c r="AY700" i="5"/>
  <c r="AY665" i="5"/>
  <c r="AY659" i="5"/>
  <c r="AY693" i="5"/>
  <c r="AY686" i="5"/>
  <c r="AY683" i="5"/>
  <c r="AY684" i="5"/>
  <c r="AY685" i="5"/>
  <c r="AY651" i="5"/>
  <c r="AY696" i="5"/>
  <c r="AY697" i="5"/>
  <c r="AY661" i="5"/>
  <c r="AY662" i="5"/>
  <c r="AY677" i="5"/>
  <c r="AY644" i="5"/>
  <c r="AY645" i="5"/>
  <c r="AY638" i="5"/>
  <c r="AY678" i="5"/>
  <c r="AY679" i="5"/>
  <c r="AY640" i="5"/>
  <c r="AY672" i="5"/>
  <c r="AY639" i="5"/>
  <c r="AY641" i="5"/>
  <c r="AY673" i="5"/>
  <c r="AY689" i="5"/>
  <c r="AY695" i="5"/>
  <c r="AY634" i="5"/>
  <c r="AY643" i="5"/>
  <c r="AY646" i="5"/>
  <c r="AY649" i="5"/>
  <c r="AY650" i="5"/>
  <c r="AY635" i="5"/>
  <c r="AY655" i="5"/>
  <c r="AY632" i="5"/>
  <c r="AY687" i="5"/>
  <c r="AY690" i="5"/>
  <c r="AY688" i="5"/>
  <c r="AY699" i="5"/>
  <c r="AY633" i="5"/>
  <c r="AY637" i="5"/>
  <c r="AY652" i="5"/>
  <c r="AY642" i="5"/>
  <c r="AY656" i="5"/>
  <c r="AY654" i="5"/>
  <c r="AY636" i="5"/>
  <c r="AY691" i="5"/>
  <c r="AY692" i="5"/>
  <c r="AY694" i="5"/>
  <c r="AY739" i="5"/>
  <c r="AY810" i="5"/>
  <c r="AY837" i="5"/>
  <c r="AY738" i="5"/>
  <c r="AY754" i="5"/>
  <c r="AY755" i="5"/>
  <c r="AY740" i="5"/>
  <c r="AY790" i="5"/>
  <c r="AY803" i="5"/>
  <c r="AY801" i="5"/>
  <c r="AY802" i="5"/>
  <c r="AY804" i="5"/>
  <c r="AY757" i="5"/>
  <c r="AY805" i="5"/>
  <c r="AY746" i="5"/>
  <c r="AY743" i="5"/>
  <c r="AY748" i="5"/>
  <c r="AY769" i="5"/>
  <c r="AY765" i="5"/>
  <c r="AY742" i="5"/>
  <c r="AY701" i="5"/>
  <c r="AY703" i="5"/>
  <c r="AY744" i="5"/>
  <c r="AY767" i="5"/>
  <c r="AY735" i="5"/>
  <c r="AY751" i="5"/>
  <c r="AY745" i="5"/>
  <c r="AY709" i="5"/>
  <c r="AY820" i="5"/>
  <c r="AY809" i="5"/>
  <c r="AY788" i="5"/>
  <c r="AY814" i="5"/>
  <c r="AY816" i="5"/>
  <c r="AY852" i="5"/>
  <c r="AY853" i="5"/>
  <c r="AY855" i="5"/>
  <c r="AY719" i="5"/>
  <c r="AY747" i="5"/>
  <c r="AY821" i="5"/>
  <c r="AY808" i="5"/>
  <c r="AY834" i="5"/>
  <c r="AY839" i="5"/>
  <c r="AY829" i="5"/>
  <c r="AY838" i="5"/>
  <c r="AY727" i="5"/>
  <c r="AY763" i="5"/>
  <c r="AY730" i="5"/>
  <c r="AY764" i="5"/>
  <c r="AY818" i="5"/>
  <c r="AY812" i="5"/>
  <c r="AY817" i="5"/>
  <c r="AY768" i="5"/>
  <c r="AY758" i="5"/>
  <c r="AY752" i="5"/>
  <c r="AY822" i="5"/>
  <c r="AY749" i="5"/>
  <c r="AY766" i="5"/>
  <c r="AY811" i="5"/>
  <c r="AY807" i="5"/>
  <c r="AY819" i="5"/>
  <c r="AY756" i="5"/>
  <c r="AY714" i="5"/>
  <c r="AY773" i="5"/>
  <c r="AY827" i="5"/>
  <c r="AY787" i="5"/>
  <c r="AY830" i="5"/>
  <c r="AY849" i="5"/>
  <c r="AY750" i="5"/>
  <c r="AY759" i="5"/>
  <c r="AY741" i="5"/>
  <c r="AY796" i="5"/>
  <c r="AY806" i="5"/>
  <c r="AY813" i="5"/>
  <c r="AY831" i="5"/>
  <c r="AY835" i="5"/>
  <c r="AY836" i="5"/>
  <c r="AY851" i="5"/>
  <c r="AY856" i="5"/>
  <c r="AY774" i="5"/>
  <c r="AY724" i="5"/>
  <c r="AY716" i="5"/>
  <c r="AY715" i="5"/>
  <c r="AY775" i="5"/>
  <c r="AY722" i="5"/>
  <c r="AY776" i="5"/>
  <c r="AY723" i="5"/>
  <c r="AY780" i="5"/>
  <c r="AY828" i="5"/>
  <c r="AY854" i="5"/>
  <c r="AY857" i="5"/>
  <c r="AY737" i="5"/>
  <c r="AY753" i="5"/>
  <c r="AY717" i="5"/>
  <c r="AY770" i="5"/>
  <c r="AY771" i="5"/>
  <c r="AY736" i="5"/>
  <c r="AY760" i="5"/>
  <c r="AY708" i="5"/>
  <c r="AY711" i="5"/>
  <c r="AY710" i="5"/>
  <c r="AY761" i="5"/>
  <c r="AY726" i="5"/>
  <c r="AY721" i="5"/>
  <c r="AY772" i="5"/>
  <c r="AY712" i="5"/>
  <c r="AY720" i="5"/>
  <c r="AY713" i="5"/>
  <c r="AY728" i="5"/>
  <c r="AY762" i="5"/>
  <c r="AY781" i="5"/>
  <c r="AY783" i="5"/>
  <c r="AY782" i="5"/>
  <c r="AY823" i="5"/>
  <c r="AY824" i="5"/>
  <c r="AY784" i="5"/>
  <c r="AY825" i="5"/>
  <c r="AY785" i="5"/>
  <c r="AY789" i="5"/>
  <c r="AY786" i="5"/>
  <c r="AY826" i="5"/>
  <c r="AY815" i="5"/>
  <c r="AY833" i="5"/>
  <c r="AY840" i="5"/>
  <c r="AY841" i="5"/>
  <c r="AY846" i="5"/>
  <c r="AY844" i="5"/>
  <c r="AY847" i="5"/>
  <c r="AY850" i="5"/>
  <c r="AY848" i="5"/>
  <c r="AY706" i="5"/>
  <c r="AY731" i="5"/>
  <c r="AY704" i="5"/>
  <c r="AY705" i="5"/>
  <c r="AY729" i="5"/>
  <c r="AY725" i="5"/>
  <c r="AY732" i="5"/>
  <c r="AY733" i="5"/>
  <c r="AY718" i="5"/>
  <c r="AY707" i="5"/>
  <c r="AY734" i="5"/>
  <c r="AY799" i="5"/>
  <c r="AY793" i="5"/>
  <c r="AY794" i="5"/>
  <c r="AY778" i="5"/>
  <c r="AY779" i="5"/>
  <c r="AY800" i="5"/>
  <c r="AY777" i="5"/>
  <c r="AY797" i="5"/>
  <c r="AY791" i="5"/>
  <c r="AY795" i="5"/>
  <c r="AY845" i="5"/>
  <c r="AY842" i="5"/>
  <c r="AY843" i="5"/>
  <c r="AY702" i="5"/>
  <c r="AY792" i="5"/>
  <c r="AY798" i="5"/>
  <c r="AY832" i="5"/>
  <c r="AY858" i="5"/>
  <c r="AY911" i="5"/>
  <c r="AY912" i="5"/>
  <c r="AY932" i="5"/>
  <c r="AY933" i="5"/>
  <c r="AY859" i="5"/>
  <c r="AY869" i="5"/>
  <c r="AY913" i="5"/>
  <c r="AY934" i="5"/>
  <c r="AY870" i="5"/>
  <c r="AY935" i="5"/>
  <c r="AY897" i="5"/>
  <c r="AY914" i="5"/>
  <c r="AY1006" i="5"/>
  <c r="AY1007" i="5"/>
  <c r="AY999" i="5"/>
  <c r="AY1022" i="5"/>
  <c r="AY937" i="5"/>
  <c r="AY917" i="5"/>
  <c r="AY1000" i="5"/>
  <c r="AY1008" i="5"/>
  <c r="AY1001" i="5"/>
  <c r="AY915" i="5"/>
  <c r="AY916" i="5"/>
  <c r="AY874" i="5"/>
  <c r="AY1026" i="5"/>
  <c r="AY871" i="5"/>
  <c r="AY920" i="5"/>
  <c r="AY1011" i="5"/>
  <c r="AY941" i="5"/>
  <c r="AY921" i="5"/>
  <c r="AY919" i="5"/>
  <c r="AY922" i="5"/>
  <c r="AY872" i="5"/>
  <c r="AY960" i="5"/>
  <c r="AY877" i="5"/>
  <c r="AY949" i="5"/>
  <c r="AY923" i="5"/>
  <c r="AY950" i="5"/>
  <c r="AY924" i="5"/>
  <c r="AY951" i="5"/>
  <c r="AY925" i="5"/>
  <c r="AY952" i="5"/>
  <c r="AY953" i="5"/>
  <c r="AY926" i="5"/>
  <c r="AY927" i="5"/>
  <c r="AY942" i="5"/>
  <c r="AY954" i="5"/>
  <c r="AY961" i="5"/>
  <c r="AY955" i="5"/>
  <c r="AY928" i="5"/>
  <c r="AY929" i="5"/>
  <c r="AY956" i="5"/>
  <c r="AY957" i="5"/>
  <c r="AY930" i="5"/>
  <c r="AY931" i="5"/>
  <c r="AY1002" i="5"/>
  <c r="AY979" i="5"/>
  <c r="AY1003" i="5"/>
  <c r="AY1013" i="5"/>
  <c r="AY1004" i="5"/>
  <c r="AY989" i="5"/>
  <c r="AY1005" i="5"/>
  <c r="AY1023" i="5"/>
  <c r="AY1028" i="5"/>
  <c r="AY1027" i="5"/>
  <c r="AY890" i="5"/>
  <c r="AY888" i="5"/>
  <c r="AY882" i="5"/>
  <c r="AY896" i="5"/>
  <c r="AY878" i="5"/>
  <c r="AY1012" i="5"/>
  <c r="AY875" i="5"/>
  <c r="AY880" i="5"/>
  <c r="AY1025" i="5"/>
  <c r="AY861" i="5"/>
  <c r="AY962" i="5"/>
  <c r="AY963" i="5"/>
  <c r="AY936" i="5"/>
  <c r="AY1014" i="5"/>
  <c r="AY1015" i="5"/>
  <c r="AY1029" i="5"/>
  <c r="AY946" i="5"/>
  <c r="AY943" i="5"/>
  <c r="AY973" i="5"/>
  <c r="AY944" i="5"/>
  <c r="AY883" i="5"/>
  <c r="AY974" i="5"/>
  <c r="AY975" i="5"/>
  <c r="AY881" i="5"/>
  <c r="AY977" i="5"/>
  <c r="AY976" i="5"/>
  <c r="AY947" i="5"/>
  <c r="AY945" i="5"/>
  <c r="AY981" i="5"/>
  <c r="AY986" i="5"/>
  <c r="AY1020" i="5"/>
  <c r="AY1030" i="5"/>
  <c r="AY958" i="5"/>
  <c r="AY918" i="5"/>
  <c r="AY959" i="5"/>
  <c r="AY895" i="5"/>
  <c r="AY884" i="5"/>
  <c r="AY873" i="5"/>
  <c r="AY1019" i="5"/>
  <c r="AY964" i="5"/>
  <c r="AY898" i="5"/>
  <c r="AY965" i="5"/>
  <c r="AY876" i="5"/>
  <c r="AY938" i="5"/>
  <c r="AY891" i="5"/>
  <c r="AY939" i="5"/>
  <c r="AY966" i="5"/>
  <c r="AY967" i="5"/>
  <c r="AY968" i="5"/>
  <c r="AY948" i="5"/>
  <c r="AY969" i="5"/>
  <c r="AY879" i="5"/>
  <c r="AY892" i="5"/>
  <c r="AY972" i="5"/>
  <c r="AY970" i="5"/>
  <c r="AY894" i="5"/>
  <c r="AY893" i="5"/>
  <c r="AY940" i="5"/>
  <c r="AY971" i="5"/>
  <c r="AY889" i="5"/>
  <c r="AY987" i="5"/>
  <c r="AY1016" i="5"/>
  <c r="AY982" i="5"/>
  <c r="AY1017" i="5"/>
  <c r="AY985" i="5"/>
  <c r="AY1009" i="5"/>
  <c r="AY1010" i="5"/>
  <c r="AY1018" i="5"/>
  <c r="AY984" i="5"/>
  <c r="AY980" i="5"/>
  <c r="AY860" i="5"/>
  <c r="AY909" i="5"/>
  <c r="AY903" i="5"/>
  <c r="AY904" i="5"/>
  <c r="AY899" i="5"/>
  <c r="AY885" i="5"/>
  <c r="AY910" i="5"/>
  <c r="AY886" i="5"/>
  <c r="AY862" i="5"/>
  <c r="AY866" i="5"/>
  <c r="AY863" i="5"/>
  <c r="AY864" i="5"/>
  <c r="AY865" i="5"/>
  <c r="AY905" i="5"/>
  <c r="AY901" i="5"/>
  <c r="AY867" i="5"/>
  <c r="AY906" i="5"/>
  <c r="AY902" i="5"/>
  <c r="AY907" i="5"/>
  <c r="AY887" i="5"/>
  <c r="AY900" i="5"/>
  <c r="AY988" i="5"/>
  <c r="AY978" i="5"/>
  <c r="AY993" i="5"/>
  <c r="AY995" i="5"/>
  <c r="AY994" i="5"/>
  <c r="AY996" i="5"/>
  <c r="AY992" i="5"/>
  <c r="AY990" i="5"/>
  <c r="AY991" i="5"/>
  <c r="AY997" i="5"/>
  <c r="AY998" i="5"/>
  <c r="AY983" i="5"/>
  <c r="AY1021" i="5"/>
  <c r="AY1024" i="5"/>
  <c r="AY908" i="5"/>
  <c r="AY868" i="5"/>
  <c r="AY1031" i="5"/>
  <c r="AY1032" i="5"/>
  <c r="AY1033" i="5"/>
  <c r="AY1034" i="5"/>
  <c r="AY1035" i="5"/>
  <c r="AY1036" i="5"/>
  <c r="AY1037" i="5"/>
  <c r="AY1038" i="5"/>
  <c r="AY1040" i="5"/>
  <c r="AY1039" i="5"/>
  <c r="AY1041" i="5"/>
  <c r="AY1042" i="5"/>
  <c r="AY1045" i="5"/>
  <c r="AY1043" i="5"/>
  <c r="AY1046" i="5"/>
  <c r="AY1044" i="5"/>
  <c r="AY1048" i="5"/>
  <c r="AY1049" i="5"/>
  <c r="AY1047" i="5"/>
  <c r="AY1052" i="5"/>
  <c r="AY1051" i="5"/>
  <c r="AY1054" i="5"/>
  <c r="AY1050" i="5"/>
  <c r="AY1053" i="5"/>
  <c r="AY1058" i="5"/>
  <c r="AY1056" i="5"/>
  <c r="AY1055" i="5"/>
  <c r="AY1060" i="5"/>
  <c r="AY1059" i="5"/>
  <c r="AY1057" i="5"/>
  <c r="AY1061" i="5"/>
  <c r="AY1062" i="5"/>
  <c r="AY1064" i="5"/>
  <c r="AY1063" i="5"/>
  <c r="AY1066" i="5"/>
  <c r="AY1065" i="5"/>
  <c r="AY1068" i="5"/>
  <c r="AY1067" i="5"/>
  <c r="AY1073" i="5"/>
  <c r="AY1072" i="5"/>
  <c r="AY1069" i="5"/>
  <c r="AY1071" i="5"/>
  <c r="AY1070" i="5"/>
  <c r="AY1074" i="5"/>
  <c r="AY1075" i="5"/>
  <c r="AY1079" i="5"/>
  <c r="AY1078" i="5"/>
  <c r="AY1077" i="5"/>
  <c r="AY1081" i="5"/>
  <c r="AY1076" i="5"/>
  <c r="AY1082" i="5"/>
  <c r="AY1080" i="5"/>
  <c r="AY1084" i="5"/>
  <c r="AY1086" i="5"/>
  <c r="AY1085" i="5"/>
  <c r="AY1088" i="5"/>
  <c r="AY1089" i="5"/>
  <c r="AY1083" i="5"/>
  <c r="AY1087" i="5"/>
  <c r="AY1090" i="5"/>
  <c r="AY1091" i="5"/>
  <c r="AY1092" i="5"/>
  <c r="AY1094" i="5"/>
  <c r="AY1095" i="5"/>
  <c r="AY1093" i="5"/>
  <c r="AY1096" i="5"/>
  <c r="AY1097" i="5"/>
  <c r="AY1099" i="5"/>
  <c r="AY1101" i="5"/>
  <c r="AY1098" i="5"/>
  <c r="AY1100" i="5"/>
  <c r="AY1102" i="5"/>
  <c r="AY1103" i="5"/>
  <c r="AY1104" i="5"/>
  <c r="AY1105" i="5"/>
  <c r="AY1106" i="5"/>
  <c r="AY1107" i="5"/>
  <c r="AY1108" i="5"/>
  <c r="AY1110" i="5"/>
  <c r="AY1111" i="5"/>
  <c r="AY1109" i="5"/>
  <c r="AY1113" i="5"/>
  <c r="AY1112" i="5"/>
  <c r="AY1114" i="5"/>
  <c r="AY1117" i="5"/>
  <c r="AY1115" i="5"/>
  <c r="AY1116" i="5"/>
  <c r="AY1119" i="5"/>
  <c r="AY1118" i="5"/>
  <c r="AY1120" i="5"/>
  <c r="AY1122" i="5"/>
  <c r="AY1121" i="5"/>
  <c r="AY1123" i="5"/>
  <c r="AY1124" i="5"/>
  <c r="AY1125" i="5"/>
  <c r="AY1126" i="5"/>
  <c r="AY1127" i="5"/>
  <c r="AY1129" i="5"/>
  <c r="AY1128" i="5"/>
  <c r="AY1130" i="5"/>
  <c r="AY1131" i="5"/>
  <c r="AY1134" i="5"/>
  <c r="AY1132" i="5"/>
  <c r="AY1133" i="5"/>
  <c r="AY1135" i="5"/>
  <c r="AY1137" i="5"/>
  <c r="AY1138" i="5"/>
  <c r="AY1139" i="5"/>
  <c r="AY1141" i="5"/>
  <c r="AY1136" i="5"/>
  <c r="AY1140" i="5"/>
  <c r="AY1162" i="5"/>
  <c r="AY1143" i="5"/>
  <c r="AY1149" i="5"/>
  <c r="AY1153" i="5"/>
  <c r="AY1152" i="5"/>
  <c r="AY1155" i="5"/>
  <c r="AY1150" i="5"/>
  <c r="AY1158" i="5"/>
  <c r="AY1157" i="5"/>
  <c r="AY1147" i="5"/>
  <c r="AY1145" i="5"/>
  <c r="AY1163" i="5"/>
  <c r="AY1159" i="5"/>
  <c r="AY1142" i="5"/>
  <c r="AY1151" i="5"/>
  <c r="AY1156" i="5"/>
  <c r="AY1164" i="5"/>
  <c r="AY1148" i="5"/>
  <c r="AY1144" i="5"/>
  <c r="AY1146" i="5"/>
  <c r="AY1154" i="5"/>
  <c r="AY1160" i="5"/>
  <c r="AY1161" i="5"/>
  <c r="AY1171" i="5"/>
  <c r="AY1166" i="5"/>
  <c r="AY1176" i="5"/>
  <c r="AY1175" i="5"/>
  <c r="AY1170" i="5"/>
  <c r="AY1169" i="5"/>
  <c r="AY1167" i="5"/>
  <c r="AY1168" i="5"/>
  <c r="AY1174" i="5"/>
  <c r="AY1173" i="5"/>
  <c r="AY1179" i="5"/>
  <c r="AY1172" i="5"/>
  <c r="AY1165" i="5"/>
  <c r="AY1177" i="5"/>
  <c r="AY1178" i="5"/>
  <c r="AY1182" i="5"/>
  <c r="AY1181" i="5"/>
  <c r="AY1186" i="5"/>
  <c r="AY1180" i="5"/>
  <c r="AY1183" i="5"/>
  <c r="AY1185" i="5"/>
  <c r="AY1184" i="5"/>
  <c r="AY1188" i="5"/>
  <c r="AY1192" i="5"/>
  <c r="AY1190" i="5"/>
  <c r="AY1194" i="5"/>
  <c r="AY1187" i="5"/>
  <c r="AY1193" i="5"/>
  <c r="AY1191" i="5"/>
  <c r="AY1189" i="5"/>
  <c r="AY1196" i="5"/>
  <c r="AY1195" i="5"/>
  <c r="AY1198" i="5"/>
  <c r="AY1197" i="5"/>
  <c r="AY1199" i="5"/>
  <c r="AY1201" i="5"/>
  <c r="AY1202" i="5"/>
  <c r="AY1200" i="5"/>
  <c r="AY1203" i="5"/>
  <c r="AY1204" i="5"/>
  <c r="AY1206" i="5"/>
  <c r="AY1205" i="5"/>
  <c r="AY1207" i="5"/>
  <c r="AY1208" i="5"/>
  <c r="AY1213" i="5"/>
  <c r="AY1209" i="5"/>
  <c r="AY1210" i="5"/>
  <c r="AY1214" i="5"/>
  <c r="AY1211" i="5"/>
  <c r="AY1212" i="5"/>
  <c r="AY1215" i="5"/>
  <c r="AY1216" i="5"/>
  <c r="AY1218" i="5"/>
  <c r="AY1217" i="5"/>
  <c r="AY1224" i="5"/>
  <c r="AY1222" i="5"/>
  <c r="AY1219" i="5"/>
  <c r="AY1223" i="5"/>
  <c r="AY1221" i="5"/>
  <c r="AY1225" i="5"/>
  <c r="AY1220" i="5"/>
  <c r="AY1226" i="5"/>
  <c r="AY1227" i="5"/>
  <c r="AY1228" i="5"/>
  <c r="AY1229" i="5"/>
  <c r="AY1230" i="5"/>
  <c r="AY1232" i="5"/>
  <c r="AY1231" i="5"/>
  <c r="AY1233" i="5"/>
  <c r="AY1236" i="5"/>
  <c r="AY1235" i="5"/>
  <c r="AY1234" i="5"/>
  <c r="AY1239" i="5"/>
  <c r="AY1238" i="5"/>
  <c r="AY1237" i="5"/>
  <c r="AY1240" i="5"/>
  <c r="AY1241" i="5"/>
  <c r="AY1242" i="5"/>
  <c r="AY1243" i="5"/>
  <c r="AY1245" i="5"/>
  <c r="AY1244" i="5"/>
  <c r="AY1247" i="5"/>
  <c r="AY1246" i="5"/>
  <c r="AY1249" i="5"/>
  <c r="AY1248" i="5"/>
  <c r="AY1250" i="5"/>
  <c r="AY1251" i="5"/>
  <c r="AY1268" i="5"/>
  <c r="AY1258" i="5"/>
  <c r="AY1261" i="5"/>
  <c r="AY1256" i="5"/>
  <c r="AY1254" i="5"/>
  <c r="AY1263" i="5"/>
  <c r="AY1257" i="5"/>
  <c r="AY1267" i="5"/>
  <c r="AY1255" i="5"/>
  <c r="AY1262" i="5"/>
  <c r="AY1270" i="5"/>
  <c r="AY1252" i="5"/>
  <c r="AY1260" i="5"/>
  <c r="AY1264" i="5"/>
  <c r="AY1269" i="5"/>
  <c r="AY1274" i="5"/>
  <c r="AY1265" i="5"/>
  <c r="AY1271" i="5"/>
  <c r="AY1272" i="5"/>
  <c r="AY1266" i="5"/>
  <c r="AY1259" i="5"/>
  <c r="AY1275" i="5"/>
  <c r="AY1253" i="5"/>
  <c r="AY1273" i="5"/>
  <c r="AY1276" i="5"/>
  <c r="AY1278" i="5"/>
  <c r="AY1277" i="5"/>
  <c r="AY1280" i="5"/>
  <c r="AY1288" i="5"/>
  <c r="AY1286" i="5"/>
  <c r="AY1284" i="5"/>
  <c r="AY1281" i="5"/>
  <c r="AY1279" i="5"/>
  <c r="AY1285" i="5"/>
  <c r="AY1283" i="5"/>
  <c r="AY1287" i="5"/>
  <c r="AY1282" i="5"/>
  <c r="AY1289" i="5"/>
  <c r="AY1290" i="5"/>
  <c r="AY1313" i="5"/>
  <c r="AY1299" i="5"/>
  <c r="AY1308" i="5"/>
  <c r="AY1293" i="5"/>
  <c r="AY1297" i="5"/>
  <c r="AY1300" i="5"/>
  <c r="AY1298" i="5"/>
  <c r="AY1291" i="5"/>
  <c r="AY1301" i="5"/>
  <c r="AY1302" i="5"/>
  <c r="AY1292" i="5"/>
  <c r="AY1304" i="5"/>
  <c r="AY1309" i="5"/>
  <c r="AY1303" i="5"/>
  <c r="AY1310" i="5"/>
  <c r="AY1296" i="5"/>
  <c r="AY1295" i="5"/>
  <c r="AY1306" i="5"/>
  <c r="AY1314" i="5"/>
  <c r="AY1305" i="5"/>
  <c r="AY1312" i="5"/>
  <c r="AY1315" i="5"/>
  <c r="AY1311" i="5"/>
  <c r="AY1294" i="5"/>
  <c r="AY1307" i="5"/>
  <c r="AY1328" i="5"/>
  <c r="AY1318" i="5"/>
  <c r="AY1316" i="5"/>
  <c r="AY1319" i="5"/>
  <c r="AY1323" i="5"/>
  <c r="AY1321" i="5"/>
  <c r="AY1317" i="5"/>
  <c r="AY1324" i="5"/>
  <c r="AY1320" i="5"/>
  <c r="AY1326" i="5"/>
  <c r="AY1322" i="5"/>
  <c r="AY1329" i="5"/>
  <c r="AY1330" i="5"/>
  <c r="AY1325" i="5"/>
  <c r="AY1327" i="5"/>
  <c r="AY1331" i="5"/>
  <c r="AY1347" i="5"/>
  <c r="AY1343" i="5"/>
  <c r="AY1341" i="5"/>
  <c r="AY1352" i="5"/>
  <c r="AY1335" i="5"/>
  <c r="AY1344" i="5"/>
  <c r="AY1348" i="5"/>
  <c r="AY1354" i="5"/>
  <c r="AY1349" i="5"/>
  <c r="AY1336" i="5"/>
  <c r="AY1359" i="5"/>
  <c r="AY1340" i="5"/>
  <c r="AY1342" i="5"/>
  <c r="AY1350" i="5"/>
  <c r="AY1353" i="5"/>
  <c r="AY1346" i="5"/>
  <c r="AY1337" i="5"/>
  <c r="AY1333" i="5"/>
  <c r="AY1356" i="5"/>
  <c r="AY1345" i="5"/>
  <c r="AY1334" i="5"/>
  <c r="AY1358" i="5"/>
  <c r="AY1360" i="5"/>
  <c r="AY1332" i="5"/>
  <c r="AY1355" i="5"/>
  <c r="AY1338" i="5"/>
  <c r="AY1339" i="5"/>
  <c r="AY1351" i="5"/>
  <c r="AY1361" i="5"/>
  <c r="AY1357" i="5"/>
  <c r="AY1367" i="5"/>
  <c r="AY1362" i="5"/>
  <c r="AY1369" i="5"/>
  <c r="AY1370" i="5"/>
  <c r="AY1363" i="5"/>
  <c r="AY1368" i="5"/>
  <c r="AY1372" i="5"/>
  <c r="AY1365" i="5"/>
  <c r="AY1374" i="5"/>
  <c r="AY1364" i="5"/>
  <c r="AY1371" i="5"/>
  <c r="AY1366" i="5"/>
  <c r="AY1373" i="5"/>
  <c r="AY1375" i="5"/>
  <c r="AY1380" i="5"/>
  <c r="AY1386" i="5"/>
  <c r="AY1381" i="5"/>
  <c r="AY1377" i="5"/>
  <c r="AY1383" i="5"/>
  <c r="AY1385" i="5"/>
  <c r="AY1384" i="5"/>
  <c r="AY1376" i="5"/>
  <c r="AY1378" i="5"/>
  <c r="AY1379" i="5"/>
  <c r="AY1382" i="5"/>
  <c r="AY1387" i="5"/>
  <c r="AY1388" i="5"/>
  <c r="AY1389" i="5"/>
  <c r="AY1390" i="5"/>
  <c r="AY1392" i="5"/>
  <c r="AY1391" i="5"/>
  <c r="AY1393" i="5"/>
  <c r="AY1394" i="5"/>
  <c r="AY1395" i="5"/>
  <c r="AY1396" i="5"/>
  <c r="AY1398" i="5"/>
  <c r="AY1397" i="5"/>
  <c r="AY1399" i="5"/>
  <c r="AY1400" i="5"/>
  <c r="AY1401" i="5"/>
  <c r="AY1402" i="5"/>
  <c r="AY1403" i="5"/>
  <c r="AY1404" i="5"/>
  <c r="AX2" i="5"/>
  <c r="AX3" i="5"/>
  <c r="AX31" i="5"/>
  <c r="AX32" i="5"/>
  <c r="AX50" i="5"/>
  <c r="AX43" i="5"/>
  <c r="AX48" i="5"/>
  <c r="AX18" i="5"/>
  <c r="AX36" i="5"/>
  <c r="AX33" i="5"/>
  <c r="AX11" i="5"/>
  <c r="AX19" i="5"/>
  <c r="AX10" i="5"/>
  <c r="AX37" i="5"/>
  <c r="AX38" i="5"/>
  <c r="AX42" i="5"/>
  <c r="AX29" i="5"/>
  <c r="AX9" i="5"/>
  <c r="AX39" i="5"/>
  <c r="AX7" i="5"/>
  <c r="AX35" i="5"/>
  <c r="AX44" i="5"/>
  <c r="AX52" i="5"/>
  <c r="AX40" i="5"/>
  <c r="AX34" i="5"/>
  <c r="AX27" i="5"/>
  <c r="AX28" i="5"/>
  <c r="AX41" i="5"/>
  <c r="AX47" i="5"/>
  <c r="AX20" i="5"/>
  <c r="AX21" i="5"/>
  <c r="AX8" i="5"/>
  <c r="AX22" i="5"/>
  <c r="AX23" i="5"/>
  <c r="AX24" i="5"/>
  <c r="AX30" i="5"/>
  <c r="AX25" i="5"/>
  <c r="AX46" i="5"/>
  <c r="AX49" i="5"/>
  <c r="AX26" i="5"/>
  <c r="AX51" i="5"/>
  <c r="AX54" i="5"/>
  <c r="AX57" i="5"/>
  <c r="AX56" i="5"/>
  <c r="AX4" i="5"/>
  <c r="AX15" i="5"/>
  <c r="AX16" i="5"/>
  <c r="AX55" i="5"/>
  <c r="AX12" i="5"/>
  <c r="AX13" i="5"/>
  <c r="AX14" i="5"/>
  <c r="AX58" i="5"/>
  <c r="AX5" i="5"/>
  <c r="AX17" i="5"/>
  <c r="AX45" i="5"/>
  <c r="AX6" i="5"/>
  <c r="AX53" i="5"/>
  <c r="AX59" i="5"/>
  <c r="AX67" i="5"/>
  <c r="AX82" i="5"/>
  <c r="AX83" i="5"/>
  <c r="AX84" i="5"/>
  <c r="AX88" i="5"/>
  <c r="AX76" i="5"/>
  <c r="AX77" i="5"/>
  <c r="AX167" i="5"/>
  <c r="AX97" i="5"/>
  <c r="AX106" i="5"/>
  <c r="AX123" i="5"/>
  <c r="AX134" i="5"/>
  <c r="AX135" i="5"/>
  <c r="AX90" i="5"/>
  <c r="AX86" i="5"/>
  <c r="AX91" i="5"/>
  <c r="AX78" i="5"/>
  <c r="AX85" i="5"/>
  <c r="AX70" i="5"/>
  <c r="AX92" i="5"/>
  <c r="AX68" i="5"/>
  <c r="AX100" i="5"/>
  <c r="AX99" i="5"/>
  <c r="AX128" i="5"/>
  <c r="AX126" i="5"/>
  <c r="AX129" i="5"/>
  <c r="AX138" i="5"/>
  <c r="AX75" i="5"/>
  <c r="AX80" i="5"/>
  <c r="AX81" i="5"/>
  <c r="AX93" i="5"/>
  <c r="AX87" i="5"/>
  <c r="AX94" i="5"/>
  <c r="AX66" i="5"/>
  <c r="AX89" i="5"/>
  <c r="AX131" i="5"/>
  <c r="AX95" i="5"/>
  <c r="AX79" i="5"/>
  <c r="AX149" i="5"/>
  <c r="AX145" i="5"/>
  <c r="AX96" i="5"/>
  <c r="AX101" i="5"/>
  <c r="AX105" i="5"/>
  <c r="AX114" i="5"/>
  <c r="AX112" i="5"/>
  <c r="AX117" i="5"/>
  <c r="AX110" i="5"/>
  <c r="AX118" i="5"/>
  <c r="AX148" i="5"/>
  <c r="AX153" i="5"/>
  <c r="AX163" i="5"/>
  <c r="AX143" i="5"/>
  <c r="AX152" i="5"/>
  <c r="AX65" i="5"/>
  <c r="AX113" i="5"/>
  <c r="AX119" i="5"/>
  <c r="AX108" i="5"/>
  <c r="AX125" i="5"/>
  <c r="AX142" i="5"/>
  <c r="AX102" i="5"/>
  <c r="AX116" i="5"/>
  <c r="AX107" i="5"/>
  <c r="AX120" i="5"/>
  <c r="AX124" i="5"/>
  <c r="AX127" i="5"/>
  <c r="AX132" i="5"/>
  <c r="AX139" i="5"/>
  <c r="AX146" i="5"/>
  <c r="AX151" i="5"/>
  <c r="AX154" i="5"/>
  <c r="AX156" i="5"/>
  <c r="AX155" i="5"/>
  <c r="AX157" i="5"/>
  <c r="AX160" i="5"/>
  <c r="AX164" i="5"/>
  <c r="AX162" i="5"/>
  <c r="AX144" i="5"/>
  <c r="AX159" i="5"/>
  <c r="AX60" i="5"/>
  <c r="AX61" i="5"/>
  <c r="AX63" i="5"/>
  <c r="AX73" i="5"/>
  <c r="AX69" i="5"/>
  <c r="AX72" i="5"/>
  <c r="AX64" i="5"/>
  <c r="AX74" i="5"/>
  <c r="AX121" i="5"/>
  <c r="AX165" i="5"/>
  <c r="AX111" i="5"/>
  <c r="AX137" i="5"/>
  <c r="AX147" i="5"/>
  <c r="AX150" i="5"/>
  <c r="AX166" i="5"/>
  <c r="AX168" i="5"/>
  <c r="AX98" i="5"/>
  <c r="AX104" i="5"/>
  <c r="AX109" i="5"/>
  <c r="AX136" i="5"/>
  <c r="AX161" i="5"/>
  <c r="AX130" i="5"/>
  <c r="AX169" i="5"/>
  <c r="AX103" i="5"/>
  <c r="AX115" i="5"/>
  <c r="AX122" i="5"/>
  <c r="AX133" i="5"/>
  <c r="AX141" i="5"/>
  <c r="AX158" i="5"/>
  <c r="AX71" i="5"/>
  <c r="AX62" i="5"/>
  <c r="AX140" i="5"/>
  <c r="AX175" i="5"/>
  <c r="AX181" i="5"/>
  <c r="AX170" i="5"/>
  <c r="AX174" i="5"/>
  <c r="AX173" i="5"/>
  <c r="AX178" i="5"/>
  <c r="AX172" i="5"/>
  <c r="AX177" i="5"/>
  <c r="AX179" i="5"/>
  <c r="AX180" i="5"/>
  <c r="AX183" i="5"/>
  <c r="AX182" i="5"/>
  <c r="AX176" i="5"/>
  <c r="AX171" i="5"/>
  <c r="AX198" i="5"/>
  <c r="AX223" i="5"/>
  <c r="AX224" i="5"/>
  <c r="AX188" i="5"/>
  <c r="AX189" i="5"/>
  <c r="AX190" i="5"/>
  <c r="AX191" i="5"/>
  <c r="AX202" i="5"/>
  <c r="AX210" i="5"/>
  <c r="AX214" i="5"/>
  <c r="AX226" i="5"/>
  <c r="AX192" i="5"/>
  <c r="AX203" i="5"/>
  <c r="AX196" i="5"/>
  <c r="AX215" i="5"/>
  <c r="AX229" i="5"/>
  <c r="AX187" i="5"/>
  <c r="AX194" i="5"/>
  <c r="AX195" i="5"/>
  <c r="AX197" i="5"/>
  <c r="AX200" i="5"/>
  <c r="AX201" i="5"/>
  <c r="AX199" i="5"/>
  <c r="AX221" i="5"/>
  <c r="AX236" i="5"/>
  <c r="AX193" i="5"/>
  <c r="AX185" i="5"/>
  <c r="AX207" i="5"/>
  <c r="AX213" i="5"/>
  <c r="AX211" i="5"/>
  <c r="AX222" i="5"/>
  <c r="AX205" i="5"/>
  <c r="AX216" i="5"/>
  <c r="AX206" i="5"/>
  <c r="AX235" i="5"/>
  <c r="AX219" i="5"/>
  <c r="AX204" i="5"/>
  <c r="AX233" i="5"/>
  <c r="AX237" i="5"/>
  <c r="AX184" i="5"/>
  <c r="AX186" i="5"/>
  <c r="AX212" i="5"/>
  <c r="AX220" i="5"/>
  <c r="AX231" i="5"/>
  <c r="AX208" i="5"/>
  <c r="AX209" i="5"/>
  <c r="AX228" i="5"/>
  <c r="AX234" i="5"/>
  <c r="AX218" i="5"/>
  <c r="AX227" i="5"/>
  <c r="AX230" i="5"/>
  <c r="AX225" i="5"/>
  <c r="AX232" i="5"/>
  <c r="AX217" i="5"/>
  <c r="AX238" i="5"/>
  <c r="AX241" i="5"/>
  <c r="AX244" i="5"/>
  <c r="AX254" i="5"/>
  <c r="AX257" i="5"/>
  <c r="AX239" i="5"/>
  <c r="AX249" i="5"/>
  <c r="AX248" i="5"/>
  <c r="AX240" i="5"/>
  <c r="AX259" i="5"/>
  <c r="AX242" i="5"/>
  <c r="AX250" i="5"/>
  <c r="AX252" i="5"/>
  <c r="AX255" i="5"/>
  <c r="AX266" i="5"/>
  <c r="AX246" i="5"/>
  <c r="AX256" i="5"/>
  <c r="AX243" i="5"/>
  <c r="AX261" i="5"/>
  <c r="AX247" i="5"/>
  <c r="AX251" i="5"/>
  <c r="AX245" i="5"/>
  <c r="AX265" i="5"/>
  <c r="AX253" i="5"/>
  <c r="AX258" i="5"/>
  <c r="AX264" i="5"/>
  <c r="AX260" i="5"/>
  <c r="AX262" i="5"/>
  <c r="AX263" i="5"/>
  <c r="AX273" i="5"/>
  <c r="AX267" i="5"/>
  <c r="AX274" i="5"/>
  <c r="AX275" i="5"/>
  <c r="AX280" i="5"/>
  <c r="AX278" i="5"/>
  <c r="AX268" i="5"/>
  <c r="AX270" i="5"/>
  <c r="AX281" i="5"/>
  <c r="AX272" i="5"/>
  <c r="AX271" i="5"/>
  <c r="AX282" i="5"/>
  <c r="AX277" i="5"/>
  <c r="AX279" i="5"/>
  <c r="AX276" i="5"/>
  <c r="AX269" i="5"/>
  <c r="AX289" i="5"/>
  <c r="AX291" i="5"/>
  <c r="AX292" i="5"/>
  <c r="AX293" i="5"/>
  <c r="AX294" i="5"/>
  <c r="AX295" i="5"/>
  <c r="AX308" i="5"/>
  <c r="AX318" i="5"/>
  <c r="AX319" i="5"/>
  <c r="AX296" i="5"/>
  <c r="AX297" i="5"/>
  <c r="AX298" i="5"/>
  <c r="AX299" i="5"/>
  <c r="AX306" i="5"/>
  <c r="AX304" i="5"/>
  <c r="AX283" i="5"/>
  <c r="AX284" i="5"/>
  <c r="AX317" i="5"/>
  <c r="AX301" i="5"/>
  <c r="AX314" i="5"/>
  <c r="AX315" i="5"/>
  <c r="AX321" i="5"/>
  <c r="AX312" i="5"/>
  <c r="AX313" i="5"/>
  <c r="AX310" i="5"/>
  <c r="AX311" i="5"/>
  <c r="AX322" i="5"/>
  <c r="AX316" i="5"/>
  <c r="AX287" i="5"/>
  <c r="AX286" i="5"/>
  <c r="AX290" i="5"/>
  <c r="AX285" i="5"/>
  <c r="AX288" i="5"/>
  <c r="AX305" i="5"/>
  <c r="AX303" i="5"/>
  <c r="AX320" i="5"/>
  <c r="AX300" i="5"/>
  <c r="AX302" i="5"/>
  <c r="AX309" i="5"/>
  <c r="AX307" i="5"/>
  <c r="AX331" i="5"/>
  <c r="AX332" i="5"/>
  <c r="AX330" i="5"/>
  <c r="AX329" i="5"/>
  <c r="AX327" i="5"/>
  <c r="AX326" i="5"/>
  <c r="AX323" i="5"/>
  <c r="AX325" i="5"/>
  <c r="AX328" i="5"/>
  <c r="AX324" i="5"/>
  <c r="AX336" i="5"/>
  <c r="AX345" i="5"/>
  <c r="AX343" i="5"/>
  <c r="AX339" i="5"/>
  <c r="AX349" i="5"/>
  <c r="AX344" i="5"/>
  <c r="AX341" i="5"/>
  <c r="AX333" i="5"/>
  <c r="AX348" i="5"/>
  <c r="AX334" i="5"/>
  <c r="AX346" i="5"/>
  <c r="AX337" i="5"/>
  <c r="AX340" i="5"/>
  <c r="AX347" i="5"/>
  <c r="AX338" i="5"/>
  <c r="AX335" i="5"/>
  <c r="AX342" i="5"/>
  <c r="AX351" i="5"/>
  <c r="AX350" i="5"/>
  <c r="AX352" i="5"/>
  <c r="AX359" i="5"/>
  <c r="AX355" i="5"/>
  <c r="AX373" i="5"/>
  <c r="AX357" i="5"/>
  <c r="AX369" i="5"/>
  <c r="AX360" i="5"/>
  <c r="AX361" i="5"/>
  <c r="AX371" i="5"/>
  <c r="AX370" i="5"/>
  <c r="AX358" i="5"/>
  <c r="AX374" i="5"/>
  <c r="AX378" i="5"/>
  <c r="AX375" i="5"/>
  <c r="AX366" i="5"/>
  <c r="AX364" i="5"/>
  <c r="AX365" i="5"/>
  <c r="AX376" i="5"/>
  <c r="AX377" i="5"/>
  <c r="AX356" i="5"/>
  <c r="AX353" i="5"/>
  <c r="AX363" i="5"/>
  <c r="AX354" i="5"/>
  <c r="AX368" i="5"/>
  <c r="AX367" i="5"/>
  <c r="AX372" i="5"/>
  <c r="AX362" i="5"/>
  <c r="AX380" i="5"/>
  <c r="AX383" i="5"/>
  <c r="AX379" i="5"/>
  <c r="AX381" i="5"/>
  <c r="AX387" i="5"/>
  <c r="AX395" i="5"/>
  <c r="AX396" i="5"/>
  <c r="AX391" i="5"/>
  <c r="AX392" i="5"/>
  <c r="AX394" i="5"/>
  <c r="AX386" i="5"/>
  <c r="AX385" i="5"/>
  <c r="AX399" i="5"/>
  <c r="AX398" i="5"/>
  <c r="AX384" i="5"/>
  <c r="AX388" i="5"/>
  <c r="AX397" i="5"/>
  <c r="AX382" i="5"/>
  <c r="AX393" i="5"/>
  <c r="AX400" i="5"/>
  <c r="AX389" i="5"/>
  <c r="AX390" i="5"/>
  <c r="AX401" i="5"/>
  <c r="AX410" i="5"/>
  <c r="AX411" i="5"/>
  <c r="AX412" i="5"/>
  <c r="AX413" i="5"/>
  <c r="AX432" i="5"/>
  <c r="AX416" i="5"/>
  <c r="AX414" i="5"/>
  <c r="AX417" i="5"/>
  <c r="AX428" i="5"/>
  <c r="AX423" i="5"/>
  <c r="AX430" i="5"/>
  <c r="AX408" i="5"/>
  <c r="AX409" i="5"/>
  <c r="AX431" i="5"/>
  <c r="AX403" i="5"/>
  <c r="AX404" i="5"/>
  <c r="AX415" i="5"/>
  <c r="AX419" i="5"/>
  <c r="AX429" i="5"/>
  <c r="AX435" i="5"/>
  <c r="AX402" i="5"/>
  <c r="AX418" i="5"/>
  <c r="AX406" i="5"/>
  <c r="AX421" i="5"/>
  <c r="AX420" i="5"/>
  <c r="AX434" i="5"/>
  <c r="AX422" i="5"/>
  <c r="AX424" i="5"/>
  <c r="AX433" i="5"/>
  <c r="AX405" i="5"/>
  <c r="AX407" i="5"/>
  <c r="AX427" i="5"/>
  <c r="AX426" i="5"/>
  <c r="AX425" i="5"/>
  <c r="AX446" i="5"/>
  <c r="AX447" i="5"/>
  <c r="AX468" i="5"/>
  <c r="AX471" i="5"/>
  <c r="AX472" i="5"/>
  <c r="AX448" i="5"/>
  <c r="AX453" i="5"/>
  <c r="AX449" i="5"/>
  <c r="AX454" i="5"/>
  <c r="AX455" i="5"/>
  <c r="AX474" i="5"/>
  <c r="AX440" i="5"/>
  <c r="AX437" i="5"/>
  <c r="AX456" i="5"/>
  <c r="AX452" i="5"/>
  <c r="AX444" i="5"/>
  <c r="AX445" i="5"/>
  <c r="AX450" i="5"/>
  <c r="AX439" i="5"/>
  <c r="AX467" i="5"/>
  <c r="AX469" i="5"/>
  <c r="AX451" i="5"/>
  <c r="AX436" i="5"/>
  <c r="AX470" i="5"/>
  <c r="AX438" i="5"/>
  <c r="AX459" i="5"/>
  <c r="AX460" i="5"/>
  <c r="AX463" i="5"/>
  <c r="AX475" i="5"/>
  <c r="AX461" i="5"/>
  <c r="AX441" i="5"/>
  <c r="AX457" i="5"/>
  <c r="AX458" i="5"/>
  <c r="AX442" i="5"/>
  <c r="AX464" i="5"/>
  <c r="AX462" i="5"/>
  <c r="AX473" i="5"/>
  <c r="AX465" i="5"/>
  <c r="AX466" i="5"/>
  <c r="AX476" i="5"/>
  <c r="AX443" i="5"/>
  <c r="AX485" i="5"/>
  <c r="AX489" i="5"/>
  <c r="AX488" i="5"/>
  <c r="AX491" i="5"/>
  <c r="AX478" i="5"/>
  <c r="AX479" i="5"/>
  <c r="AX511" i="5"/>
  <c r="AX496" i="5"/>
  <c r="AX498" i="5"/>
  <c r="AX490" i="5"/>
  <c r="AX499" i="5"/>
  <c r="AX492" i="5"/>
  <c r="AX512" i="5"/>
  <c r="AX500" i="5"/>
  <c r="AX501" i="5"/>
  <c r="AX493" i="5"/>
  <c r="AX508" i="5"/>
  <c r="AX509" i="5"/>
  <c r="AX484" i="5"/>
  <c r="AX497" i="5"/>
  <c r="AX480" i="5"/>
  <c r="AX494" i="5"/>
  <c r="AX502" i="5"/>
  <c r="AX507" i="5"/>
  <c r="AX506" i="5"/>
  <c r="AX514" i="5"/>
  <c r="AX504" i="5"/>
  <c r="AX487" i="5"/>
  <c r="AX510" i="5"/>
  <c r="AX503" i="5"/>
  <c r="AX515" i="5"/>
  <c r="AX481" i="5"/>
  <c r="AX505" i="5"/>
  <c r="AX495" i="5"/>
  <c r="AX486" i="5"/>
  <c r="AX513" i="5"/>
  <c r="AX483" i="5"/>
  <c r="AX482" i="5"/>
  <c r="AX477" i="5"/>
  <c r="AX607" i="5"/>
  <c r="AX615" i="5"/>
  <c r="AX616" i="5"/>
  <c r="AX624" i="5"/>
  <c r="AX549" i="5"/>
  <c r="AX603" i="5"/>
  <c r="AX561" i="5"/>
  <c r="AX526" i="5"/>
  <c r="AX523" i="5"/>
  <c r="AX562" i="5"/>
  <c r="AX558" i="5"/>
  <c r="AX557" i="5"/>
  <c r="AX563" i="5"/>
  <c r="AX524" i="5"/>
  <c r="AX606" i="5"/>
  <c r="AX614" i="5"/>
  <c r="AX621" i="5"/>
  <c r="AX559" i="5"/>
  <c r="AX577" i="5"/>
  <c r="AX548" i="5"/>
  <c r="AX576" i="5"/>
  <c r="AX580" i="5"/>
  <c r="AX544" i="5"/>
  <c r="AX529" i="5"/>
  <c r="AX564" i="5"/>
  <c r="AX581" i="5"/>
  <c r="AX534" i="5"/>
  <c r="AX568" i="5"/>
  <c r="AX569" i="5"/>
  <c r="AX535" i="5"/>
  <c r="AX578" i="5"/>
  <c r="AX560" i="5"/>
  <c r="AX566" i="5"/>
  <c r="AX530" i="5"/>
  <c r="AX533" i="5"/>
  <c r="AX582" i="5"/>
  <c r="AX608" i="5"/>
  <c r="AX585" i="5"/>
  <c r="AX528" i="5"/>
  <c r="AX583" i="5"/>
  <c r="AX574" i="5"/>
  <c r="AX610" i="5"/>
  <c r="AX537" i="5"/>
  <c r="AX546" i="5"/>
  <c r="AX527" i="5"/>
  <c r="AX538" i="5"/>
  <c r="AX579" i="5"/>
  <c r="AX602" i="5"/>
  <c r="AX575" i="5"/>
  <c r="AX536" i="5"/>
  <c r="AX587" i="5"/>
  <c r="AX540" i="5"/>
  <c r="AX586" i="5"/>
  <c r="AX531" i="5"/>
  <c r="AX588" i="5"/>
  <c r="AX601" i="5"/>
  <c r="AX622" i="5"/>
  <c r="AX589" i="5"/>
  <c r="AX626" i="5"/>
  <c r="AX612" i="5"/>
  <c r="AX516" i="5"/>
  <c r="AX543" i="5"/>
  <c r="AX520" i="5"/>
  <c r="AX550" i="5"/>
  <c r="AX545" i="5"/>
  <c r="AX604" i="5"/>
  <c r="AX554" i="5"/>
  <c r="AX605" i="5"/>
  <c r="AX567" i="5"/>
  <c r="AX590" i="5"/>
  <c r="AX591" i="5"/>
  <c r="AX592" i="5"/>
  <c r="AX541" i="5"/>
  <c r="AX593" i="5"/>
  <c r="AX594" i="5"/>
  <c r="AX595" i="5"/>
  <c r="AX596" i="5"/>
  <c r="AX597" i="5"/>
  <c r="AX539" i="5"/>
  <c r="AX620" i="5"/>
  <c r="AX619" i="5"/>
  <c r="AX625" i="5"/>
  <c r="AX584" i="5"/>
  <c r="AX525" i="5"/>
  <c r="AX565" i="5"/>
  <c r="AX570" i="5"/>
  <c r="AX571" i="5"/>
  <c r="AX552" i="5"/>
  <c r="AX572" i="5"/>
  <c r="AX521" i="5"/>
  <c r="AX532" i="5"/>
  <c r="AX573" i="5"/>
  <c r="AX599" i="5"/>
  <c r="AX600" i="5"/>
  <c r="AX609" i="5"/>
  <c r="AX618" i="5"/>
  <c r="AX617" i="5"/>
  <c r="AX611" i="5"/>
  <c r="AX623" i="5"/>
  <c r="AX518" i="5"/>
  <c r="AX517" i="5"/>
  <c r="AX542" i="5"/>
  <c r="AX553" i="5"/>
  <c r="AX522" i="5"/>
  <c r="AX547" i="5"/>
  <c r="AX555" i="5"/>
  <c r="AX613" i="5"/>
  <c r="AX556" i="5"/>
  <c r="AX598" i="5"/>
  <c r="AX519" i="5"/>
  <c r="AX551" i="5"/>
  <c r="AX628" i="5"/>
  <c r="AX627" i="5"/>
  <c r="AX630" i="5"/>
  <c r="AX648" i="5"/>
  <c r="AX629" i="5"/>
  <c r="AX657" i="5"/>
  <c r="AX658" i="5"/>
  <c r="AX647" i="5"/>
  <c r="AX660" i="5"/>
  <c r="AX698" i="5"/>
  <c r="AX669" i="5"/>
  <c r="AX674" i="5"/>
  <c r="AX670" i="5"/>
  <c r="AX667" i="5"/>
  <c r="AX675" i="5"/>
  <c r="AX653" i="5"/>
  <c r="AX664" i="5"/>
  <c r="AX666" i="5"/>
  <c r="AX631" i="5"/>
  <c r="AX682" i="5"/>
  <c r="AX680" i="5"/>
  <c r="AX663" i="5"/>
  <c r="AX681" i="5"/>
  <c r="AX668" i="5"/>
  <c r="AX671" i="5"/>
  <c r="AX676" i="5"/>
  <c r="AX700" i="5"/>
  <c r="AX665" i="5"/>
  <c r="AX659" i="5"/>
  <c r="AX693" i="5"/>
  <c r="AX686" i="5"/>
  <c r="AX683" i="5"/>
  <c r="AX684" i="5"/>
  <c r="AX685" i="5"/>
  <c r="AX651" i="5"/>
  <c r="AX696" i="5"/>
  <c r="AX697" i="5"/>
  <c r="AX661" i="5"/>
  <c r="AX662" i="5"/>
  <c r="AX677" i="5"/>
  <c r="AX644" i="5"/>
  <c r="AX645" i="5"/>
  <c r="AX638" i="5"/>
  <c r="AX678" i="5"/>
  <c r="AX679" i="5"/>
  <c r="AX640" i="5"/>
  <c r="AX672" i="5"/>
  <c r="AX639" i="5"/>
  <c r="AX641" i="5"/>
  <c r="AX673" i="5"/>
  <c r="AX689" i="5"/>
  <c r="AX695" i="5"/>
  <c r="AX634" i="5"/>
  <c r="AX643" i="5"/>
  <c r="AX646" i="5"/>
  <c r="AX649" i="5"/>
  <c r="AX650" i="5"/>
  <c r="AX635" i="5"/>
  <c r="AX655" i="5"/>
  <c r="AX632" i="5"/>
  <c r="AX687" i="5"/>
  <c r="AX690" i="5"/>
  <c r="AX688" i="5"/>
  <c r="AX699" i="5"/>
  <c r="AX633" i="5"/>
  <c r="AX637" i="5"/>
  <c r="AX652" i="5"/>
  <c r="AX642" i="5"/>
  <c r="AX656" i="5"/>
  <c r="AX654" i="5"/>
  <c r="AX636" i="5"/>
  <c r="AX691" i="5"/>
  <c r="AX692" i="5"/>
  <c r="AX694" i="5"/>
  <c r="AX739" i="5"/>
  <c r="AX810" i="5"/>
  <c r="AX837" i="5"/>
  <c r="AX738" i="5"/>
  <c r="AX754" i="5"/>
  <c r="AX755" i="5"/>
  <c r="AX740" i="5"/>
  <c r="AX790" i="5"/>
  <c r="AX803" i="5"/>
  <c r="AX801" i="5"/>
  <c r="AX802" i="5"/>
  <c r="AX804" i="5"/>
  <c r="AX757" i="5"/>
  <c r="AX805" i="5"/>
  <c r="AX746" i="5"/>
  <c r="AX743" i="5"/>
  <c r="AX748" i="5"/>
  <c r="AX769" i="5"/>
  <c r="AX765" i="5"/>
  <c r="AX742" i="5"/>
  <c r="AX701" i="5"/>
  <c r="AX703" i="5"/>
  <c r="AX744" i="5"/>
  <c r="AX767" i="5"/>
  <c r="AX735" i="5"/>
  <c r="AX751" i="5"/>
  <c r="AX745" i="5"/>
  <c r="AX709" i="5"/>
  <c r="AX820" i="5"/>
  <c r="AX809" i="5"/>
  <c r="AX788" i="5"/>
  <c r="AX814" i="5"/>
  <c r="AX816" i="5"/>
  <c r="AX852" i="5"/>
  <c r="AX853" i="5"/>
  <c r="AX855" i="5"/>
  <c r="AX719" i="5"/>
  <c r="AX747" i="5"/>
  <c r="AX821" i="5"/>
  <c r="AX808" i="5"/>
  <c r="AX834" i="5"/>
  <c r="AX839" i="5"/>
  <c r="AX829" i="5"/>
  <c r="AX838" i="5"/>
  <c r="AX727" i="5"/>
  <c r="AX763" i="5"/>
  <c r="AX730" i="5"/>
  <c r="AX764" i="5"/>
  <c r="AX818" i="5"/>
  <c r="AX812" i="5"/>
  <c r="AX817" i="5"/>
  <c r="AX768" i="5"/>
  <c r="AX758" i="5"/>
  <c r="AX752" i="5"/>
  <c r="AX822" i="5"/>
  <c r="AX749" i="5"/>
  <c r="AX766" i="5"/>
  <c r="AX811" i="5"/>
  <c r="AX807" i="5"/>
  <c r="AX819" i="5"/>
  <c r="AX756" i="5"/>
  <c r="AX714" i="5"/>
  <c r="AX773" i="5"/>
  <c r="AX827" i="5"/>
  <c r="AX787" i="5"/>
  <c r="AX830" i="5"/>
  <c r="AX849" i="5"/>
  <c r="AX750" i="5"/>
  <c r="AX759" i="5"/>
  <c r="AX741" i="5"/>
  <c r="AX796" i="5"/>
  <c r="AX806" i="5"/>
  <c r="AX813" i="5"/>
  <c r="AX831" i="5"/>
  <c r="AX835" i="5"/>
  <c r="AX836" i="5"/>
  <c r="AX851" i="5"/>
  <c r="AX856" i="5"/>
  <c r="AX774" i="5"/>
  <c r="AX724" i="5"/>
  <c r="AX716" i="5"/>
  <c r="AX715" i="5"/>
  <c r="AX775" i="5"/>
  <c r="AX722" i="5"/>
  <c r="AX776" i="5"/>
  <c r="AX723" i="5"/>
  <c r="AX780" i="5"/>
  <c r="AX828" i="5"/>
  <c r="AX854" i="5"/>
  <c r="AX857" i="5"/>
  <c r="AX737" i="5"/>
  <c r="AX753" i="5"/>
  <c r="AX717" i="5"/>
  <c r="AX770" i="5"/>
  <c r="AX771" i="5"/>
  <c r="AX736" i="5"/>
  <c r="AX760" i="5"/>
  <c r="AX708" i="5"/>
  <c r="AX711" i="5"/>
  <c r="AX710" i="5"/>
  <c r="AX761" i="5"/>
  <c r="AX726" i="5"/>
  <c r="AX721" i="5"/>
  <c r="AX772" i="5"/>
  <c r="AX712" i="5"/>
  <c r="AX720" i="5"/>
  <c r="AX713" i="5"/>
  <c r="AX728" i="5"/>
  <c r="AX762" i="5"/>
  <c r="AX781" i="5"/>
  <c r="AX783" i="5"/>
  <c r="AX782" i="5"/>
  <c r="AX823" i="5"/>
  <c r="AX824" i="5"/>
  <c r="AX784" i="5"/>
  <c r="AX825" i="5"/>
  <c r="AX785" i="5"/>
  <c r="AX789" i="5"/>
  <c r="AX786" i="5"/>
  <c r="AX826" i="5"/>
  <c r="AX815" i="5"/>
  <c r="AX833" i="5"/>
  <c r="AX840" i="5"/>
  <c r="AX841" i="5"/>
  <c r="AX846" i="5"/>
  <c r="AX844" i="5"/>
  <c r="AX847" i="5"/>
  <c r="AX850" i="5"/>
  <c r="AX848" i="5"/>
  <c r="AX706" i="5"/>
  <c r="AX731" i="5"/>
  <c r="AX704" i="5"/>
  <c r="AX705" i="5"/>
  <c r="AX729" i="5"/>
  <c r="AX725" i="5"/>
  <c r="AX732" i="5"/>
  <c r="AX733" i="5"/>
  <c r="AX718" i="5"/>
  <c r="AX707" i="5"/>
  <c r="AX734" i="5"/>
  <c r="AX799" i="5"/>
  <c r="AX793" i="5"/>
  <c r="AX794" i="5"/>
  <c r="AX778" i="5"/>
  <c r="AX779" i="5"/>
  <c r="AX800" i="5"/>
  <c r="AX777" i="5"/>
  <c r="AX797" i="5"/>
  <c r="AX791" i="5"/>
  <c r="AX795" i="5"/>
  <c r="AX845" i="5"/>
  <c r="AX842" i="5"/>
  <c r="AX843" i="5"/>
  <c r="AX702" i="5"/>
  <c r="AX792" i="5"/>
  <c r="AX798" i="5"/>
  <c r="AX832" i="5"/>
  <c r="AX858" i="5"/>
  <c r="AX911" i="5"/>
  <c r="AX912" i="5"/>
  <c r="AX932" i="5"/>
  <c r="AX933" i="5"/>
  <c r="AX859" i="5"/>
  <c r="AX869" i="5"/>
  <c r="AX913" i="5"/>
  <c r="AX934" i="5"/>
  <c r="AX870" i="5"/>
  <c r="AX935" i="5"/>
  <c r="AX897" i="5"/>
  <c r="AX914" i="5"/>
  <c r="AX1006" i="5"/>
  <c r="AX1007" i="5"/>
  <c r="AX999" i="5"/>
  <c r="AX1022" i="5"/>
  <c r="AX937" i="5"/>
  <c r="AX917" i="5"/>
  <c r="AX1000" i="5"/>
  <c r="AX1008" i="5"/>
  <c r="AX1001" i="5"/>
  <c r="AX915" i="5"/>
  <c r="AX916" i="5"/>
  <c r="AX874" i="5"/>
  <c r="AX1026" i="5"/>
  <c r="AX871" i="5"/>
  <c r="AX920" i="5"/>
  <c r="AX1011" i="5"/>
  <c r="AX941" i="5"/>
  <c r="AX921" i="5"/>
  <c r="AX919" i="5"/>
  <c r="AX922" i="5"/>
  <c r="AX872" i="5"/>
  <c r="AX960" i="5"/>
  <c r="AX877" i="5"/>
  <c r="AX949" i="5"/>
  <c r="AX923" i="5"/>
  <c r="AX950" i="5"/>
  <c r="AX924" i="5"/>
  <c r="AX951" i="5"/>
  <c r="AX925" i="5"/>
  <c r="AX952" i="5"/>
  <c r="AX953" i="5"/>
  <c r="AX926" i="5"/>
  <c r="AX927" i="5"/>
  <c r="AX942" i="5"/>
  <c r="AX954" i="5"/>
  <c r="AX961" i="5"/>
  <c r="AX955" i="5"/>
  <c r="AX928" i="5"/>
  <c r="AX929" i="5"/>
  <c r="AX956" i="5"/>
  <c r="AX957" i="5"/>
  <c r="AX930" i="5"/>
  <c r="AX931" i="5"/>
  <c r="AX1002" i="5"/>
  <c r="AX979" i="5"/>
  <c r="AX1003" i="5"/>
  <c r="AX1013" i="5"/>
  <c r="AX1004" i="5"/>
  <c r="AX989" i="5"/>
  <c r="AX1005" i="5"/>
  <c r="AX1023" i="5"/>
  <c r="AX1028" i="5"/>
  <c r="AX1027" i="5"/>
  <c r="AX890" i="5"/>
  <c r="AX888" i="5"/>
  <c r="AX882" i="5"/>
  <c r="AX896" i="5"/>
  <c r="AX878" i="5"/>
  <c r="AX1012" i="5"/>
  <c r="AX875" i="5"/>
  <c r="AX880" i="5"/>
  <c r="AX1025" i="5"/>
  <c r="AX861" i="5"/>
  <c r="AX962" i="5"/>
  <c r="AX963" i="5"/>
  <c r="AX936" i="5"/>
  <c r="AX1014" i="5"/>
  <c r="AX1015" i="5"/>
  <c r="AX1029" i="5"/>
  <c r="AX946" i="5"/>
  <c r="AX943" i="5"/>
  <c r="AX973" i="5"/>
  <c r="AX944" i="5"/>
  <c r="AX883" i="5"/>
  <c r="AX974" i="5"/>
  <c r="AX975" i="5"/>
  <c r="AX881" i="5"/>
  <c r="AX977" i="5"/>
  <c r="AX976" i="5"/>
  <c r="AX947" i="5"/>
  <c r="AX945" i="5"/>
  <c r="AX981" i="5"/>
  <c r="AX986" i="5"/>
  <c r="AX1020" i="5"/>
  <c r="AX1030" i="5"/>
  <c r="AX958" i="5"/>
  <c r="AX918" i="5"/>
  <c r="AX959" i="5"/>
  <c r="AX895" i="5"/>
  <c r="AX884" i="5"/>
  <c r="AX873" i="5"/>
  <c r="AX1019" i="5"/>
  <c r="AX964" i="5"/>
  <c r="AX898" i="5"/>
  <c r="AX965" i="5"/>
  <c r="AX876" i="5"/>
  <c r="AX938" i="5"/>
  <c r="AX891" i="5"/>
  <c r="AX939" i="5"/>
  <c r="AX966" i="5"/>
  <c r="AX967" i="5"/>
  <c r="AX968" i="5"/>
  <c r="AX948" i="5"/>
  <c r="AX969" i="5"/>
  <c r="AX879" i="5"/>
  <c r="AX892" i="5"/>
  <c r="AX972" i="5"/>
  <c r="AX970" i="5"/>
  <c r="AX894" i="5"/>
  <c r="AX893" i="5"/>
  <c r="AX940" i="5"/>
  <c r="AX971" i="5"/>
  <c r="AX889" i="5"/>
  <c r="AX987" i="5"/>
  <c r="AX1016" i="5"/>
  <c r="AX982" i="5"/>
  <c r="AX1017" i="5"/>
  <c r="AX985" i="5"/>
  <c r="AX1009" i="5"/>
  <c r="AX1010" i="5"/>
  <c r="AX1018" i="5"/>
  <c r="AX984" i="5"/>
  <c r="AX980" i="5"/>
  <c r="AX860" i="5"/>
  <c r="AX909" i="5"/>
  <c r="AX903" i="5"/>
  <c r="AX904" i="5"/>
  <c r="AX899" i="5"/>
  <c r="AX885" i="5"/>
  <c r="AX910" i="5"/>
  <c r="AX886" i="5"/>
  <c r="AX862" i="5"/>
  <c r="AX866" i="5"/>
  <c r="AX863" i="5"/>
  <c r="AX864" i="5"/>
  <c r="AX865" i="5"/>
  <c r="AX905" i="5"/>
  <c r="AX901" i="5"/>
  <c r="AX867" i="5"/>
  <c r="AX906" i="5"/>
  <c r="AX902" i="5"/>
  <c r="AX907" i="5"/>
  <c r="AX887" i="5"/>
  <c r="AX900" i="5"/>
  <c r="AX988" i="5"/>
  <c r="AX978" i="5"/>
  <c r="AX993" i="5"/>
  <c r="AX995" i="5"/>
  <c r="AX994" i="5"/>
  <c r="AX996" i="5"/>
  <c r="AX992" i="5"/>
  <c r="AX990" i="5"/>
  <c r="AX991" i="5"/>
  <c r="AX997" i="5"/>
  <c r="AX998" i="5"/>
  <c r="AX983" i="5"/>
  <c r="AX1021" i="5"/>
  <c r="AX1024" i="5"/>
  <c r="AX908" i="5"/>
  <c r="AX868" i="5"/>
  <c r="AX1031" i="5"/>
  <c r="AX1032" i="5"/>
  <c r="AX1033" i="5"/>
  <c r="AX1034" i="5"/>
  <c r="AX1035" i="5"/>
  <c r="AX1036" i="5"/>
  <c r="AX1037" i="5"/>
  <c r="AX1038" i="5"/>
  <c r="AX1040" i="5"/>
  <c r="AX1039" i="5"/>
  <c r="AX1041" i="5"/>
  <c r="AX1042" i="5"/>
  <c r="AX1045" i="5"/>
  <c r="AX1043" i="5"/>
  <c r="AX1046" i="5"/>
  <c r="AX1044" i="5"/>
  <c r="AX1048" i="5"/>
  <c r="AX1049" i="5"/>
  <c r="AX1047" i="5"/>
  <c r="AX1052" i="5"/>
  <c r="AX1051" i="5"/>
  <c r="AX1054" i="5"/>
  <c r="AX1050" i="5"/>
  <c r="AX1053" i="5"/>
  <c r="AX1058" i="5"/>
  <c r="AX1056" i="5"/>
  <c r="AX1055" i="5"/>
  <c r="AX1060" i="5"/>
  <c r="AX1059" i="5"/>
  <c r="AX1057" i="5"/>
  <c r="AX1061" i="5"/>
  <c r="AX1062" i="5"/>
  <c r="AX1064" i="5"/>
  <c r="AX1063" i="5"/>
  <c r="AX1066" i="5"/>
  <c r="AX1065" i="5"/>
  <c r="AX1068" i="5"/>
  <c r="AX1067" i="5"/>
  <c r="AX1073" i="5"/>
  <c r="AX1072" i="5"/>
  <c r="AX1069" i="5"/>
  <c r="AX1071" i="5"/>
  <c r="AX1070" i="5"/>
  <c r="AX1074" i="5"/>
  <c r="AX1075" i="5"/>
  <c r="AX1079" i="5"/>
  <c r="AX1078" i="5"/>
  <c r="AX1077" i="5"/>
  <c r="AX1081" i="5"/>
  <c r="AX1076" i="5"/>
  <c r="AX1082" i="5"/>
  <c r="AX1080" i="5"/>
  <c r="AX1084" i="5"/>
  <c r="AX1086" i="5"/>
  <c r="AX1085" i="5"/>
  <c r="AX1088" i="5"/>
  <c r="AX1089" i="5"/>
  <c r="AX1083" i="5"/>
  <c r="AX1087" i="5"/>
  <c r="AX1090" i="5"/>
  <c r="AX1091" i="5"/>
  <c r="AX1092" i="5"/>
  <c r="AX1094" i="5"/>
  <c r="AX1095" i="5"/>
  <c r="AX1093" i="5"/>
  <c r="AX1096" i="5"/>
  <c r="AX1097" i="5"/>
  <c r="AX1099" i="5"/>
  <c r="AX1101" i="5"/>
  <c r="AX1098" i="5"/>
  <c r="AX1100" i="5"/>
  <c r="AX1102" i="5"/>
  <c r="AX1103" i="5"/>
  <c r="AX1104" i="5"/>
  <c r="AX1105" i="5"/>
  <c r="AX1106" i="5"/>
  <c r="AX1107" i="5"/>
  <c r="AX1108" i="5"/>
  <c r="AX1110" i="5"/>
  <c r="AX1111" i="5"/>
  <c r="AX1109" i="5"/>
  <c r="AX1113" i="5"/>
  <c r="AX1112" i="5"/>
  <c r="AX1114" i="5"/>
  <c r="AX1117" i="5"/>
  <c r="AX1115" i="5"/>
  <c r="AX1116" i="5"/>
  <c r="AX1119" i="5"/>
  <c r="AX1118" i="5"/>
  <c r="AX1120" i="5"/>
  <c r="AX1122" i="5"/>
  <c r="AX1121" i="5"/>
  <c r="AX1123" i="5"/>
  <c r="AX1124" i="5"/>
  <c r="AX1125" i="5"/>
  <c r="AX1126" i="5"/>
  <c r="AX1127" i="5"/>
  <c r="AX1129" i="5"/>
  <c r="AX1128" i="5"/>
  <c r="AX1130" i="5"/>
  <c r="AX1131" i="5"/>
  <c r="AX1134" i="5"/>
  <c r="AX1132" i="5"/>
  <c r="AX1133" i="5"/>
  <c r="AX1135" i="5"/>
  <c r="AX1137" i="5"/>
  <c r="AX1138" i="5"/>
  <c r="AX1139" i="5"/>
  <c r="AX1141" i="5"/>
  <c r="AX1136" i="5"/>
  <c r="AX1140" i="5"/>
  <c r="AX1162" i="5"/>
  <c r="AX1143" i="5"/>
  <c r="AX1149" i="5"/>
  <c r="AX1153" i="5"/>
  <c r="AX1152" i="5"/>
  <c r="AX1155" i="5"/>
  <c r="AX1150" i="5"/>
  <c r="AX1158" i="5"/>
  <c r="AX1157" i="5"/>
  <c r="AX1147" i="5"/>
  <c r="AX1145" i="5"/>
  <c r="AX1163" i="5"/>
  <c r="AX1159" i="5"/>
  <c r="AX1142" i="5"/>
  <c r="AX1151" i="5"/>
  <c r="AX1156" i="5"/>
  <c r="AX1164" i="5"/>
  <c r="AX1148" i="5"/>
  <c r="AX1144" i="5"/>
  <c r="AX1146" i="5"/>
  <c r="AX1154" i="5"/>
  <c r="AX1160" i="5"/>
  <c r="AX1161" i="5"/>
  <c r="AX1171" i="5"/>
  <c r="AX1166" i="5"/>
  <c r="AX1176" i="5"/>
  <c r="AX1175" i="5"/>
  <c r="AX1170" i="5"/>
  <c r="AX1169" i="5"/>
  <c r="AX1167" i="5"/>
  <c r="AX1168" i="5"/>
  <c r="AX1174" i="5"/>
  <c r="AX1173" i="5"/>
  <c r="AX1179" i="5"/>
  <c r="AX1172" i="5"/>
  <c r="AX1165" i="5"/>
  <c r="AX1177" i="5"/>
  <c r="AX1178" i="5"/>
  <c r="AX1182" i="5"/>
  <c r="AX1181" i="5"/>
  <c r="AX1186" i="5"/>
  <c r="AX1180" i="5"/>
  <c r="AX1183" i="5"/>
  <c r="AX1185" i="5"/>
  <c r="AX1184" i="5"/>
  <c r="AX1188" i="5"/>
  <c r="AX1192" i="5"/>
  <c r="AX1190" i="5"/>
  <c r="AX1194" i="5"/>
  <c r="AX1187" i="5"/>
  <c r="AX1193" i="5"/>
  <c r="AX1191" i="5"/>
  <c r="AX1189" i="5"/>
  <c r="AX1196" i="5"/>
  <c r="AX1195" i="5"/>
  <c r="AX1198" i="5"/>
  <c r="AX1197" i="5"/>
  <c r="AX1199" i="5"/>
  <c r="AX1201" i="5"/>
  <c r="AX1202" i="5"/>
  <c r="AX1200" i="5"/>
  <c r="AX1203" i="5"/>
  <c r="AX1204" i="5"/>
  <c r="AX1206" i="5"/>
  <c r="AX1205" i="5"/>
  <c r="AX1207" i="5"/>
  <c r="AX1208" i="5"/>
  <c r="AX1213" i="5"/>
  <c r="AX1209" i="5"/>
  <c r="AX1210" i="5"/>
  <c r="AX1214" i="5"/>
  <c r="AX1211" i="5"/>
  <c r="AX1212" i="5"/>
  <c r="AX1215" i="5"/>
  <c r="AX1216" i="5"/>
  <c r="AX1218" i="5"/>
  <c r="AX1217" i="5"/>
  <c r="AX1224" i="5"/>
  <c r="AX1222" i="5"/>
  <c r="AX1219" i="5"/>
  <c r="AX1223" i="5"/>
  <c r="AX1221" i="5"/>
  <c r="AX1225" i="5"/>
  <c r="AX1220" i="5"/>
  <c r="AX1226" i="5"/>
  <c r="AX1227" i="5"/>
  <c r="AX1228" i="5"/>
  <c r="AX1229" i="5"/>
  <c r="AX1230" i="5"/>
  <c r="AX1232" i="5"/>
  <c r="AX1231" i="5"/>
  <c r="AX1233" i="5"/>
  <c r="AX1236" i="5"/>
  <c r="AX1235" i="5"/>
  <c r="AX1234" i="5"/>
  <c r="AX1239" i="5"/>
  <c r="AX1238" i="5"/>
  <c r="AX1237" i="5"/>
  <c r="AX1240" i="5"/>
  <c r="AX1241" i="5"/>
  <c r="AX1242" i="5"/>
  <c r="AX1243" i="5"/>
  <c r="AX1245" i="5"/>
  <c r="AX1244" i="5"/>
  <c r="AX1247" i="5"/>
  <c r="AX1246" i="5"/>
  <c r="AX1249" i="5"/>
  <c r="AX1248" i="5"/>
  <c r="AX1250" i="5"/>
  <c r="AX1251" i="5"/>
  <c r="AX1268" i="5"/>
  <c r="AX1258" i="5"/>
  <c r="AX1261" i="5"/>
  <c r="AX1256" i="5"/>
  <c r="AX1254" i="5"/>
  <c r="AX1263" i="5"/>
  <c r="AX1257" i="5"/>
  <c r="AX1267" i="5"/>
  <c r="AX1255" i="5"/>
  <c r="AX1262" i="5"/>
  <c r="AX1270" i="5"/>
  <c r="AX1252" i="5"/>
  <c r="AX1260" i="5"/>
  <c r="AX1264" i="5"/>
  <c r="AX1269" i="5"/>
  <c r="AX1274" i="5"/>
  <c r="AX1265" i="5"/>
  <c r="AX1271" i="5"/>
  <c r="AX1272" i="5"/>
  <c r="AX1266" i="5"/>
  <c r="AX1259" i="5"/>
  <c r="AX1275" i="5"/>
  <c r="AX1253" i="5"/>
  <c r="AX1273" i="5"/>
  <c r="AX1276" i="5"/>
  <c r="AX1278" i="5"/>
  <c r="AX1277" i="5"/>
  <c r="AX1280" i="5"/>
  <c r="AX1288" i="5"/>
  <c r="AX1286" i="5"/>
  <c r="AX1284" i="5"/>
  <c r="AX1281" i="5"/>
  <c r="AX1279" i="5"/>
  <c r="AX1285" i="5"/>
  <c r="AX1283" i="5"/>
  <c r="AX1287" i="5"/>
  <c r="AX1282" i="5"/>
  <c r="AX1289" i="5"/>
  <c r="AX1290" i="5"/>
  <c r="AX1313" i="5"/>
  <c r="AX1299" i="5"/>
  <c r="AX1308" i="5"/>
  <c r="AX1293" i="5"/>
  <c r="AX1297" i="5"/>
  <c r="AX1300" i="5"/>
  <c r="AX1298" i="5"/>
  <c r="AX1291" i="5"/>
  <c r="AX1301" i="5"/>
  <c r="AX1302" i="5"/>
  <c r="AX1292" i="5"/>
  <c r="AX1304" i="5"/>
  <c r="AX1309" i="5"/>
  <c r="AX1303" i="5"/>
  <c r="AX1310" i="5"/>
  <c r="AX1296" i="5"/>
  <c r="AX1295" i="5"/>
  <c r="AX1306" i="5"/>
  <c r="AX1314" i="5"/>
  <c r="AX1305" i="5"/>
  <c r="AX1312" i="5"/>
  <c r="AX1315" i="5"/>
  <c r="AX1311" i="5"/>
  <c r="AX1294" i="5"/>
  <c r="AX1307" i="5"/>
  <c r="AX1328" i="5"/>
  <c r="AX1318" i="5"/>
  <c r="AX1316" i="5"/>
  <c r="AX1319" i="5"/>
  <c r="AX1323" i="5"/>
  <c r="AX1321" i="5"/>
  <c r="AX1317" i="5"/>
  <c r="AX1324" i="5"/>
  <c r="AX1320" i="5"/>
  <c r="AX1326" i="5"/>
  <c r="AX1322" i="5"/>
  <c r="AX1329" i="5"/>
  <c r="AX1330" i="5"/>
  <c r="AX1325" i="5"/>
  <c r="AX1327" i="5"/>
  <c r="AX1331" i="5"/>
  <c r="AX1347" i="5"/>
  <c r="AX1343" i="5"/>
  <c r="AX1341" i="5"/>
  <c r="AX1352" i="5"/>
  <c r="AX1335" i="5"/>
  <c r="AX1344" i="5"/>
  <c r="AX1348" i="5"/>
  <c r="AX1354" i="5"/>
  <c r="AX1349" i="5"/>
  <c r="AX1336" i="5"/>
  <c r="AX1359" i="5"/>
  <c r="AX1340" i="5"/>
  <c r="AX1342" i="5"/>
  <c r="AX1350" i="5"/>
  <c r="AX1353" i="5"/>
  <c r="AX1346" i="5"/>
  <c r="AX1337" i="5"/>
  <c r="AX1333" i="5"/>
  <c r="AX1356" i="5"/>
  <c r="AX1345" i="5"/>
  <c r="AX1334" i="5"/>
  <c r="AX1358" i="5"/>
  <c r="AX1360" i="5"/>
  <c r="AX1332" i="5"/>
  <c r="AX1355" i="5"/>
  <c r="AX1338" i="5"/>
  <c r="AX1339" i="5"/>
  <c r="AX1351" i="5"/>
  <c r="AX1361" i="5"/>
  <c r="AX1357" i="5"/>
  <c r="AX1367" i="5"/>
  <c r="AX1362" i="5"/>
  <c r="AX1369" i="5"/>
  <c r="AX1370" i="5"/>
  <c r="AX1363" i="5"/>
  <c r="AX1368" i="5"/>
  <c r="AX1372" i="5"/>
  <c r="AX1365" i="5"/>
  <c r="AX1374" i="5"/>
  <c r="AX1364" i="5"/>
  <c r="AX1371" i="5"/>
  <c r="AX1366" i="5"/>
  <c r="AX1373" i="5"/>
  <c r="AX1375" i="5"/>
  <c r="AX1380" i="5"/>
  <c r="AX1386" i="5"/>
  <c r="AX1381" i="5"/>
  <c r="AX1377" i="5"/>
  <c r="AX1383" i="5"/>
  <c r="AX1385" i="5"/>
  <c r="AX1384" i="5"/>
  <c r="AX1376" i="5"/>
  <c r="AX1378" i="5"/>
  <c r="AX1379" i="5"/>
  <c r="AX1382" i="5"/>
  <c r="AX1387" i="5"/>
  <c r="AX1388" i="5"/>
  <c r="AX1389" i="5"/>
  <c r="AX1390" i="5"/>
  <c r="AX1392" i="5"/>
  <c r="AX1391" i="5"/>
  <c r="AX1393" i="5"/>
  <c r="AX1394" i="5"/>
  <c r="AX1395" i="5"/>
  <c r="AX1396" i="5"/>
  <c r="AX1398" i="5"/>
  <c r="AX1397" i="5"/>
  <c r="AX1399" i="5"/>
  <c r="AX1400" i="5"/>
  <c r="AX1401" i="5"/>
  <c r="AX1402" i="5"/>
  <c r="AX1403" i="5"/>
  <c r="AX1404" i="5"/>
  <c r="AW3" i="5"/>
  <c r="AW2" i="5"/>
  <c r="AW31" i="5"/>
  <c r="AW32" i="5"/>
  <c r="AW50" i="5"/>
  <c r="AW43" i="5"/>
  <c r="AW48" i="5"/>
  <c r="AW18" i="5"/>
  <c r="AW36" i="5"/>
  <c r="AW33" i="5"/>
  <c r="AW11" i="5"/>
  <c r="AW19" i="5"/>
  <c r="AW10" i="5"/>
  <c r="AW37" i="5"/>
  <c r="AW38" i="5"/>
  <c r="AW42" i="5"/>
  <c r="AW29" i="5"/>
  <c r="AW9" i="5"/>
  <c r="AW39" i="5"/>
  <c r="AW7" i="5"/>
  <c r="AW35" i="5"/>
  <c r="AW44" i="5"/>
  <c r="AW52" i="5"/>
  <c r="AW40" i="5"/>
  <c r="AW34" i="5"/>
  <c r="AW27" i="5"/>
  <c r="AW28" i="5"/>
  <c r="AW41" i="5"/>
  <c r="AW47" i="5"/>
  <c r="AW20" i="5"/>
  <c r="AW21" i="5"/>
  <c r="AW8" i="5"/>
  <c r="AW22" i="5"/>
  <c r="AW23" i="5"/>
  <c r="AW24" i="5"/>
  <c r="AW30" i="5"/>
  <c r="AW25" i="5"/>
  <c r="AW46" i="5"/>
  <c r="AW49" i="5"/>
  <c r="AW26" i="5"/>
  <c r="AW51" i="5"/>
  <c r="AW54" i="5"/>
  <c r="AW57" i="5"/>
  <c r="AW56" i="5"/>
  <c r="AW4" i="5"/>
  <c r="AW15" i="5"/>
  <c r="AW16" i="5"/>
  <c r="AW55" i="5"/>
  <c r="AW12" i="5"/>
  <c r="AW13" i="5"/>
  <c r="AW14" i="5"/>
  <c r="AW58" i="5"/>
  <c r="AW5" i="5"/>
  <c r="AW17" i="5"/>
  <c r="AW45" i="5"/>
  <c r="AW6" i="5"/>
  <c r="AW53" i="5"/>
  <c r="AW59" i="5"/>
  <c r="AW67" i="5"/>
  <c r="AW82" i="5"/>
  <c r="AW83" i="5"/>
  <c r="AW84" i="5"/>
  <c r="AW88" i="5"/>
  <c r="AW76" i="5"/>
  <c r="AW77" i="5"/>
  <c r="AW167" i="5"/>
  <c r="AW97" i="5"/>
  <c r="AW106" i="5"/>
  <c r="AW123" i="5"/>
  <c r="AW134" i="5"/>
  <c r="AW135" i="5"/>
  <c r="AW90" i="5"/>
  <c r="AW86" i="5"/>
  <c r="AW91" i="5"/>
  <c r="AW78" i="5"/>
  <c r="AW85" i="5"/>
  <c r="AW70" i="5"/>
  <c r="AW92" i="5"/>
  <c r="AW68" i="5"/>
  <c r="AW100" i="5"/>
  <c r="AW99" i="5"/>
  <c r="AW128" i="5"/>
  <c r="AW126" i="5"/>
  <c r="AW129" i="5"/>
  <c r="AW138" i="5"/>
  <c r="AW75" i="5"/>
  <c r="AW80" i="5"/>
  <c r="AW81" i="5"/>
  <c r="AW93" i="5"/>
  <c r="AW87" i="5"/>
  <c r="AW94" i="5"/>
  <c r="AW66" i="5"/>
  <c r="AW89" i="5"/>
  <c r="AW131" i="5"/>
  <c r="AW95" i="5"/>
  <c r="AW79" i="5"/>
  <c r="AW149" i="5"/>
  <c r="AW145" i="5"/>
  <c r="AW96" i="5"/>
  <c r="AW101" i="5"/>
  <c r="AW105" i="5"/>
  <c r="AW114" i="5"/>
  <c r="AW112" i="5"/>
  <c r="AW117" i="5"/>
  <c r="AW110" i="5"/>
  <c r="AW118" i="5"/>
  <c r="AW148" i="5"/>
  <c r="AW153" i="5"/>
  <c r="AW163" i="5"/>
  <c r="AW143" i="5"/>
  <c r="AW152" i="5"/>
  <c r="AW65" i="5"/>
  <c r="AW113" i="5"/>
  <c r="AW119" i="5"/>
  <c r="AW108" i="5"/>
  <c r="AW125" i="5"/>
  <c r="AW142" i="5"/>
  <c r="AW102" i="5"/>
  <c r="AW116" i="5"/>
  <c r="AW107" i="5"/>
  <c r="AW120" i="5"/>
  <c r="AW124" i="5"/>
  <c r="AW127" i="5"/>
  <c r="AW132" i="5"/>
  <c r="AW139" i="5"/>
  <c r="AW146" i="5"/>
  <c r="AW151" i="5"/>
  <c r="AW154" i="5"/>
  <c r="AW156" i="5"/>
  <c r="AW155" i="5"/>
  <c r="AW157" i="5"/>
  <c r="AW160" i="5"/>
  <c r="AW164" i="5"/>
  <c r="AW162" i="5"/>
  <c r="AW144" i="5"/>
  <c r="AW159" i="5"/>
  <c r="AW60" i="5"/>
  <c r="AW61" i="5"/>
  <c r="AW63" i="5"/>
  <c r="AW73" i="5"/>
  <c r="AW69" i="5"/>
  <c r="AW72" i="5"/>
  <c r="AW64" i="5"/>
  <c r="AW74" i="5"/>
  <c r="AW121" i="5"/>
  <c r="AW165" i="5"/>
  <c r="AW111" i="5"/>
  <c r="AW137" i="5"/>
  <c r="AW147" i="5"/>
  <c r="AW150" i="5"/>
  <c r="AW166" i="5"/>
  <c r="AW168" i="5"/>
  <c r="AW98" i="5"/>
  <c r="AW104" i="5"/>
  <c r="AW109" i="5"/>
  <c r="AW136" i="5"/>
  <c r="AW161" i="5"/>
  <c r="AW130" i="5"/>
  <c r="AW169" i="5"/>
  <c r="AW103" i="5"/>
  <c r="AW115" i="5"/>
  <c r="AW122" i="5"/>
  <c r="AW133" i="5"/>
  <c r="AW141" i="5"/>
  <c r="AW158" i="5"/>
  <c r="AW71" i="5"/>
  <c r="AW62" i="5"/>
  <c r="AW140" i="5"/>
  <c r="AW175" i="5"/>
  <c r="AW181" i="5"/>
  <c r="AW170" i="5"/>
  <c r="AW174" i="5"/>
  <c r="AW173" i="5"/>
  <c r="AW178" i="5"/>
  <c r="AW172" i="5"/>
  <c r="AW177" i="5"/>
  <c r="AW179" i="5"/>
  <c r="AW180" i="5"/>
  <c r="AW183" i="5"/>
  <c r="AW182" i="5"/>
  <c r="AW176" i="5"/>
  <c r="AW171" i="5"/>
  <c r="AW198" i="5"/>
  <c r="AW223" i="5"/>
  <c r="AW224" i="5"/>
  <c r="AW188" i="5"/>
  <c r="AW189" i="5"/>
  <c r="AW190" i="5"/>
  <c r="AW191" i="5"/>
  <c r="AW202" i="5"/>
  <c r="AW210" i="5"/>
  <c r="AW214" i="5"/>
  <c r="AW226" i="5"/>
  <c r="AW192" i="5"/>
  <c r="AW203" i="5"/>
  <c r="AW196" i="5"/>
  <c r="AW215" i="5"/>
  <c r="AW229" i="5"/>
  <c r="AW187" i="5"/>
  <c r="AW194" i="5"/>
  <c r="AW195" i="5"/>
  <c r="AW197" i="5"/>
  <c r="AW200" i="5"/>
  <c r="AW201" i="5"/>
  <c r="AW199" i="5"/>
  <c r="AW221" i="5"/>
  <c r="AW236" i="5"/>
  <c r="AW193" i="5"/>
  <c r="AW185" i="5"/>
  <c r="AW207" i="5"/>
  <c r="AW213" i="5"/>
  <c r="AW211" i="5"/>
  <c r="AW222" i="5"/>
  <c r="AW205" i="5"/>
  <c r="AW216" i="5"/>
  <c r="AW206" i="5"/>
  <c r="AW235" i="5"/>
  <c r="AW219" i="5"/>
  <c r="AW204" i="5"/>
  <c r="AW233" i="5"/>
  <c r="AW237" i="5"/>
  <c r="AW184" i="5"/>
  <c r="AW186" i="5"/>
  <c r="AW212" i="5"/>
  <c r="AW220" i="5"/>
  <c r="AW231" i="5"/>
  <c r="AW208" i="5"/>
  <c r="AW209" i="5"/>
  <c r="AW228" i="5"/>
  <c r="AW234" i="5"/>
  <c r="AW218" i="5"/>
  <c r="AW227" i="5"/>
  <c r="AW230" i="5"/>
  <c r="AW225" i="5"/>
  <c r="AW232" i="5"/>
  <c r="AW217" i="5"/>
  <c r="AW238" i="5"/>
  <c r="AW241" i="5"/>
  <c r="AW244" i="5"/>
  <c r="AW254" i="5"/>
  <c r="AW257" i="5"/>
  <c r="AW239" i="5"/>
  <c r="AW249" i="5"/>
  <c r="AW248" i="5"/>
  <c r="AW240" i="5"/>
  <c r="AW259" i="5"/>
  <c r="AW242" i="5"/>
  <c r="AW250" i="5"/>
  <c r="AW252" i="5"/>
  <c r="AW255" i="5"/>
  <c r="AW266" i="5"/>
  <c r="AW246" i="5"/>
  <c r="AW256" i="5"/>
  <c r="AW243" i="5"/>
  <c r="AW261" i="5"/>
  <c r="AW247" i="5"/>
  <c r="AW251" i="5"/>
  <c r="AW245" i="5"/>
  <c r="AW265" i="5"/>
  <c r="AW253" i="5"/>
  <c r="AW258" i="5"/>
  <c r="AW264" i="5"/>
  <c r="AW260" i="5"/>
  <c r="AW262" i="5"/>
  <c r="AW263" i="5"/>
  <c r="AW273" i="5"/>
  <c r="AW267" i="5"/>
  <c r="AW274" i="5"/>
  <c r="AW275" i="5"/>
  <c r="AW280" i="5"/>
  <c r="AW278" i="5"/>
  <c r="AW268" i="5"/>
  <c r="AW270" i="5"/>
  <c r="AW281" i="5"/>
  <c r="AW272" i="5"/>
  <c r="AW271" i="5"/>
  <c r="AW282" i="5"/>
  <c r="AW277" i="5"/>
  <c r="AW279" i="5"/>
  <c r="AW276" i="5"/>
  <c r="AW269" i="5"/>
  <c r="AW289" i="5"/>
  <c r="AW291" i="5"/>
  <c r="AW292" i="5"/>
  <c r="AW293" i="5"/>
  <c r="AW294" i="5"/>
  <c r="AW295" i="5"/>
  <c r="AW308" i="5"/>
  <c r="AW318" i="5"/>
  <c r="AW319" i="5"/>
  <c r="AW296" i="5"/>
  <c r="AW297" i="5"/>
  <c r="AW298" i="5"/>
  <c r="AW299" i="5"/>
  <c r="AW306" i="5"/>
  <c r="AW304" i="5"/>
  <c r="AW283" i="5"/>
  <c r="AW284" i="5"/>
  <c r="AW317" i="5"/>
  <c r="AW301" i="5"/>
  <c r="AW314" i="5"/>
  <c r="AW315" i="5"/>
  <c r="AW321" i="5"/>
  <c r="AW312" i="5"/>
  <c r="AW313" i="5"/>
  <c r="AW310" i="5"/>
  <c r="AW311" i="5"/>
  <c r="AW322" i="5"/>
  <c r="AW316" i="5"/>
  <c r="AW287" i="5"/>
  <c r="AW286" i="5"/>
  <c r="AW290" i="5"/>
  <c r="AW285" i="5"/>
  <c r="AW288" i="5"/>
  <c r="AW305" i="5"/>
  <c r="AW303" i="5"/>
  <c r="AW320" i="5"/>
  <c r="AW300" i="5"/>
  <c r="AW302" i="5"/>
  <c r="AW309" i="5"/>
  <c r="AW307" i="5"/>
  <c r="AW331" i="5"/>
  <c r="AW332" i="5"/>
  <c r="AW330" i="5"/>
  <c r="AW329" i="5"/>
  <c r="AW327" i="5"/>
  <c r="AW326" i="5"/>
  <c r="AW323" i="5"/>
  <c r="AW325" i="5"/>
  <c r="AW328" i="5"/>
  <c r="AW324" i="5"/>
  <c r="AW336" i="5"/>
  <c r="AW345" i="5"/>
  <c r="AW343" i="5"/>
  <c r="AW339" i="5"/>
  <c r="AW349" i="5"/>
  <c r="AW344" i="5"/>
  <c r="AW341" i="5"/>
  <c r="AW333" i="5"/>
  <c r="AW348" i="5"/>
  <c r="AW334" i="5"/>
  <c r="AW346" i="5"/>
  <c r="AW337" i="5"/>
  <c r="AW340" i="5"/>
  <c r="AW347" i="5"/>
  <c r="AW338" i="5"/>
  <c r="AW335" i="5"/>
  <c r="AW342" i="5"/>
  <c r="AW351" i="5"/>
  <c r="AW350" i="5"/>
  <c r="AW352" i="5"/>
  <c r="AW359" i="5"/>
  <c r="AW355" i="5"/>
  <c r="AW373" i="5"/>
  <c r="AW357" i="5"/>
  <c r="AW369" i="5"/>
  <c r="AW360" i="5"/>
  <c r="AW361" i="5"/>
  <c r="AW371" i="5"/>
  <c r="AW370" i="5"/>
  <c r="AW358" i="5"/>
  <c r="AW374" i="5"/>
  <c r="AW378" i="5"/>
  <c r="AW375" i="5"/>
  <c r="AW366" i="5"/>
  <c r="AW364" i="5"/>
  <c r="AW365" i="5"/>
  <c r="AW376" i="5"/>
  <c r="AW377" i="5"/>
  <c r="AW356" i="5"/>
  <c r="AW353" i="5"/>
  <c r="AW363" i="5"/>
  <c r="AW354" i="5"/>
  <c r="AW368" i="5"/>
  <c r="AW367" i="5"/>
  <c r="AW372" i="5"/>
  <c r="AW362" i="5"/>
  <c r="AW380" i="5"/>
  <c r="AW383" i="5"/>
  <c r="AW379" i="5"/>
  <c r="AW381" i="5"/>
  <c r="AW387" i="5"/>
  <c r="AW395" i="5"/>
  <c r="AW396" i="5"/>
  <c r="AW391" i="5"/>
  <c r="AW392" i="5"/>
  <c r="AW394" i="5"/>
  <c r="AW386" i="5"/>
  <c r="AW385" i="5"/>
  <c r="AW399" i="5"/>
  <c r="AW398" i="5"/>
  <c r="AW384" i="5"/>
  <c r="AW388" i="5"/>
  <c r="AW397" i="5"/>
  <c r="AW382" i="5"/>
  <c r="AW393" i="5"/>
  <c r="AW400" i="5"/>
  <c r="AW389" i="5"/>
  <c r="AW390" i="5"/>
  <c r="AW401" i="5"/>
  <c r="AW410" i="5"/>
  <c r="AW411" i="5"/>
  <c r="AW412" i="5"/>
  <c r="AW413" i="5"/>
  <c r="AW432" i="5"/>
  <c r="AW416" i="5"/>
  <c r="AW414" i="5"/>
  <c r="AW417" i="5"/>
  <c r="AW428" i="5"/>
  <c r="AW423" i="5"/>
  <c r="AW430" i="5"/>
  <c r="AW408" i="5"/>
  <c r="AW409" i="5"/>
  <c r="AW431" i="5"/>
  <c r="AW403" i="5"/>
  <c r="AW404" i="5"/>
  <c r="AW415" i="5"/>
  <c r="AW419" i="5"/>
  <c r="AW429" i="5"/>
  <c r="AW435" i="5"/>
  <c r="AW402" i="5"/>
  <c r="AW418" i="5"/>
  <c r="AW406" i="5"/>
  <c r="AW421" i="5"/>
  <c r="AW420" i="5"/>
  <c r="AW434" i="5"/>
  <c r="AW422" i="5"/>
  <c r="AW424" i="5"/>
  <c r="AW433" i="5"/>
  <c r="AW405" i="5"/>
  <c r="AW407" i="5"/>
  <c r="AW427" i="5"/>
  <c r="AW426" i="5"/>
  <c r="AW425" i="5"/>
  <c r="AW446" i="5"/>
  <c r="AW447" i="5"/>
  <c r="AW468" i="5"/>
  <c r="AW471" i="5"/>
  <c r="AW472" i="5"/>
  <c r="AW448" i="5"/>
  <c r="AW453" i="5"/>
  <c r="AW449" i="5"/>
  <c r="AW454" i="5"/>
  <c r="AW455" i="5"/>
  <c r="AW474" i="5"/>
  <c r="AW440" i="5"/>
  <c r="AW437" i="5"/>
  <c r="AW456" i="5"/>
  <c r="AW452" i="5"/>
  <c r="AW444" i="5"/>
  <c r="AW445" i="5"/>
  <c r="AW450" i="5"/>
  <c r="AW439" i="5"/>
  <c r="AW467" i="5"/>
  <c r="AW469" i="5"/>
  <c r="AW451" i="5"/>
  <c r="AW436" i="5"/>
  <c r="AW470" i="5"/>
  <c r="AW438" i="5"/>
  <c r="AW459" i="5"/>
  <c r="AW460" i="5"/>
  <c r="AW463" i="5"/>
  <c r="AW475" i="5"/>
  <c r="AW461" i="5"/>
  <c r="AW441" i="5"/>
  <c r="AW457" i="5"/>
  <c r="AW458" i="5"/>
  <c r="AW442" i="5"/>
  <c r="AW464" i="5"/>
  <c r="AW462" i="5"/>
  <c r="AW473" i="5"/>
  <c r="AW465" i="5"/>
  <c r="AW466" i="5"/>
  <c r="AW476" i="5"/>
  <c r="AW443" i="5"/>
  <c r="AW485" i="5"/>
  <c r="AW489" i="5"/>
  <c r="AW488" i="5"/>
  <c r="AW491" i="5"/>
  <c r="AW478" i="5"/>
  <c r="AW479" i="5"/>
  <c r="AW511" i="5"/>
  <c r="AW496" i="5"/>
  <c r="AW498" i="5"/>
  <c r="AW490" i="5"/>
  <c r="AW499" i="5"/>
  <c r="AW492" i="5"/>
  <c r="AW512" i="5"/>
  <c r="AW500" i="5"/>
  <c r="AW501" i="5"/>
  <c r="AW493" i="5"/>
  <c r="AW508" i="5"/>
  <c r="AW509" i="5"/>
  <c r="AW484" i="5"/>
  <c r="AW497" i="5"/>
  <c r="AW480" i="5"/>
  <c r="AW494" i="5"/>
  <c r="AW502" i="5"/>
  <c r="AW507" i="5"/>
  <c r="AW506" i="5"/>
  <c r="AW514" i="5"/>
  <c r="AW504" i="5"/>
  <c r="AW487" i="5"/>
  <c r="AW510" i="5"/>
  <c r="AW503" i="5"/>
  <c r="AW515" i="5"/>
  <c r="AW481" i="5"/>
  <c r="AW505" i="5"/>
  <c r="AW495" i="5"/>
  <c r="AW486" i="5"/>
  <c r="AW513" i="5"/>
  <c r="AW483" i="5"/>
  <c r="AW482" i="5"/>
  <c r="AW477" i="5"/>
  <c r="AW607" i="5"/>
  <c r="AW615" i="5"/>
  <c r="AW616" i="5"/>
  <c r="AW624" i="5"/>
  <c r="AW549" i="5"/>
  <c r="AW603" i="5"/>
  <c r="AW561" i="5"/>
  <c r="AW526" i="5"/>
  <c r="AW523" i="5"/>
  <c r="AW562" i="5"/>
  <c r="AW558" i="5"/>
  <c r="AW557" i="5"/>
  <c r="AW563" i="5"/>
  <c r="AW524" i="5"/>
  <c r="AW606" i="5"/>
  <c r="AW614" i="5"/>
  <c r="AW621" i="5"/>
  <c r="AW559" i="5"/>
  <c r="AW577" i="5"/>
  <c r="AW548" i="5"/>
  <c r="AW576" i="5"/>
  <c r="AW580" i="5"/>
  <c r="AW544" i="5"/>
  <c r="AW529" i="5"/>
  <c r="AW564" i="5"/>
  <c r="AW581" i="5"/>
  <c r="AW534" i="5"/>
  <c r="AW568" i="5"/>
  <c r="AW569" i="5"/>
  <c r="AW535" i="5"/>
  <c r="AW578" i="5"/>
  <c r="AW560" i="5"/>
  <c r="AW566" i="5"/>
  <c r="AW530" i="5"/>
  <c r="AW533" i="5"/>
  <c r="AW582" i="5"/>
  <c r="AW608" i="5"/>
  <c r="AW585" i="5"/>
  <c r="AW528" i="5"/>
  <c r="AW583" i="5"/>
  <c r="AW574" i="5"/>
  <c r="AW610" i="5"/>
  <c r="AW537" i="5"/>
  <c r="AW546" i="5"/>
  <c r="AW527" i="5"/>
  <c r="AW538" i="5"/>
  <c r="AW579" i="5"/>
  <c r="AW602" i="5"/>
  <c r="AW575" i="5"/>
  <c r="AW536" i="5"/>
  <c r="AW587" i="5"/>
  <c r="AW540" i="5"/>
  <c r="AW586" i="5"/>
  <c r="AW531" i="5"/>
  <c r="AW588" i="5"/>
  <c r="AW601" i="5"/>
  <c r="AW622" i="5"/>
  <c r="AW589" i="5"/>
  <c r="AW626" i="5"/>
  <c r="AW612" i="5"/>
  <c r="AW516" i="5"/>
  <c r="AW543" i="5"/>
  <c r="AW520" i="5"/>
  <c r="AW550" i="5"/>
  <c r="AW545" i="5"/>
  <c r="AW604" i="5"/>
  <c r="AW554" i="5"/>
  <c r="AW605" i="5"/>
  <c r="AW567" i="5"/>
  <c r="AW590" i="5"/>
  <c r="AW591" i="5"/>
  <c r="AW592" i="5"/>
  <c r="AW541" i="5"/>
  <c r="AW593" i="5"/>
  <c r="AW594" i="5"/>
  <c r="AW595" i="5"/>
  <c r="AW596" i="5"/>
  <c r="AW597" i="5"/>
  <c r="AW539" i="5"/>
  <c r="AW620" i="5"/>
  <c r="AW619" i="5"/>
  <c r="AW625" i="5"/>
  <c r="AW584" i="5"/>
  <c r="AW525" i="5"/>
  <c r="AW565" i="5"/>
  <c r="AW570" i="5"/>
  <c r="AW571" i="5"/>
  <c r="AW552" i="5"/>
  <c r="AW572" i="5"/>
  <c r="AW521" i="5"/>
  <c r="AW532" i="5"/>
  <c r="AW573" i="5"/>
  <c r="AW599" i="5"/>
  <c r="AW600" i="5"/>
  <c r="AW609" i="5"/>
  <c r="AW618" i="5"/>
  <c r="AW617" i="5"/>
  <c r="AW611" i="5"/>
  <c r="AW623" i="5"/>
  <c r="AW518" i="5"/>
  <c r="AW517" i="5"/>
  <c r="AW542" i="5"/>
  <c r="AW553" i="5"/>
  <c r="AW522" i="5"/>
  <c r="AW547" i="5"/>
  <c r="AW555" i="5"/>
  <c r="AW613" i="5"/>
  <c r="AW556" i="5"/>
  <c r="AW598" i="5"/>
  <c r="AW519" i="5"/>
  <c r="AW551" i="5"/>
  <c r="AW628" i="5"/>
  <c r="AW627" i="5"/>
  <c r="AW630" i="5"/>
  <c r="AW648" i="5"/>
  <c r="AW629" i="5"/>
  <c r="AW657" i="5"/>
  <c r="AW658" i="5"/>
  <c r="AW647" i="5"/>
  <c r="AW660" i="5"/>
  <c r="AW698" i="5"/>
  <c r="AW669" i="5"/>
  <c r="AW674" i="5"/>
  <c r="AW670" i="5"/>
  <c r="AW667" i="5"/>
  <c r="AW675" i="5"/>
  <c r="AW653" i="5"/>
  <c r="AW664" i="5"/>
  <c r="AW666" i="5"/>
  <c r="AW631" i="5"/>
  <c r="AW682" i="5"/>
  <c r="AW680" i="5"/>
  <c r="AW663" i="5"/>
  <c r="AW681" i="5"/>
  <c r="AW668" i="5"/>
  <c r="AW671" i="5"/>
  <c r="AW676" i="5"/>
  <c r="AW700" i="5"/>
  <c r="AW665" i="5"/>
  <c r="AW659" i="5"/>
  <c r="AW693" i="5"/>
  <c r="AW686" i="5"/>
  <c r="AW683" i="5"/>
  <c r="AW684" i="5"/>
  <c r="AW685" i="5"/>
  <c r="AW651" i="5"/>
  <c r="AW696" i="5"/>
  <c r="AW697" i="5"/>
  <c r="AW661" i="5"/>
  <c r="AW662" i="5"/>
  <c r="AW677" i="5"/>
  <c r="AW644" i="5"/>
  <c r="AW645" i="5"/>
  <c r="AW638" i="5"/>
  <c r="AW678" i="5"/>
  <c r="AW679" i="5"/>
  <c r="AW640" i="5"/>
  <c r="AW672" i="5"/>
  <c r="AW639" i="5"/>
  <c r="AW641" i="5"/>
  <c r="AW673" i="5"/>
  <c r="AW689" i="5"/>
  <c r="AW695" i="5"/>
  <c r="AW634" i="5"/>
  <c r="AW643" i="5"/>
  <c r="AW646" i="5"/>
  <c r="AW649" i="5"/>
  <c r="AW650" i="5"/>
  <c r="AW635" i="5"/>
  <c r="AW655" i="5"/>
  <c r="AW632" i="5"/>
  <c r="AW687" i="5"/>
  <c r="AW690" i="5"/>
  <c r="AW688" i="5"/>
  <c r="AW699" i="5"/>
  <c r="AW633" i="5"/>
  <c r="AW637" i="5"/>
  <c r="AW652" i="5"/>
  <c r="AW642" i="5"/>
  <c r="AW656" i="5"/>
  <c r="AW654" i="5"/>
  <c r="AW636" i="5"/>
  <c r="AW691" i="5"/>
  <c r="AW692" i="5"/>
  <c r="AW694" i="5"/>
  <c r="AW739" i="5"/>
  <c r="AW810" i="5"/>
  <c r="AW837" i="5"/>
  <c r="AW738" i="5"/>
  <c r="AW754" i="5"/>
  <c r="AW755" i="5"/>
  <c r="AW740" i="5"/>
  <c r="AW790" i="5"/>
  <c r="AW803" i="5"/>
  <c r="AW801" i="5"/>
  <c r="AW802" i="5"/>
  <c r="AW804" i="5"/>
  <c r="AW757" i="5"/>
  <c r="AW805" i="5"/>
  <c r="AW746" i="5"/>
  <c r="AW743" i="5"/>
  <c r="AW748" i="5"/>
  <c r="AW769" i="5"/>
  <c r="AW765" i="5"/>
  <c r="AW742" i="5"/>
  <c r="AW701" i="5"/>
  <c r="AW703" i="5"/>
  <c r="AW744" i="5"/>
  <c r="AW767" i="5"/>
  <c r="AW735" i="5"/>
  <c r="AW751" i="5"/>
  <c r="AW745" i="5"/>
  <c r="AW709" i="5"/>
  <c r="AW820" i="5"/>
  <c r="AW809" i="5"/>
  <c r="AW788" i="5"/>
  <c r="AW814" i="5"/>
  <c r="AW816" i="5"/>
  <c r="AW852" i="5"/>
  <c r="AW853" i="5"/>
  <c r="AW855" i="5"/>
  <c r="AW719" i="5"/>
  <c r="AW747" i="5"/>
  <c r="AW821" i="5"/>
  <c r="AW808" i="5"/>
  <c r="AW834" i="5"/>
  <c r="AW839" i="5"/>
  <c r="AW829" i="5"/>
  <c r="AW838" i="5"/>
  <c r="AW727" i="5"/>
  <c r="AW763" i="5"/>
  <c r="AW730" i="5"/>
  <c r="AW764" i="5"/>
  <c r="AW818" i="5"/>
  <c r="AW812" i="5"/>
  <c r="AW817" i="5"/>
  <c r="AW768" i="5"/>
  <c r="AW758" i="5"/>
  <c r="AW752" i="5"/>
  <c r="AW822" i="5"/>
  <c r="AW749" i="5"/>
  <c r="AW766" i="5"/>
  <c r="AW811" i="5"/>
  <c r="AW807" i="5"/>
  <c r="AW819" i="5"/>
  <c r="AW756" i="5"/>
  <c r="AW714" i="5"/>
  <c r="AW773" i="5"/>
  <c r="AW827" i="5"/>
  <c r="AW787" i="5"/>
  <c r="AW830" i="5"/>
  <c r="AW849" i="5"/>
  <c r="AW750" i="5"/>
  <c r="AW759" i="5"/>
  <c r="AW741" i="5"/>
  <c r="AW796" i="5"/>
  <c r="AW806" i="5"/>
  <c r="AW813" i="5"/>
  <c r="AW831" i="5"/>
  <c r="AW835" i="5"/>
  <c r="AW836" i="5"/>
  <c r="AW851" i="5"/>
  <c r="AW856" i="5"/>
  <c r="AW774" i="5"/>
  <c r="AW724" i="5"/>
  <c r="AW716" i="5"/>
  <c r="AW715" i="5"/>
  <c r="AW775" i="5"/>
  <c r="AW722" i="5"/>
  <c r="AW776" i="5"/>
  <c r="AW723" i="5"/>
  <c r="AW780" i="5"/>
  <c r="AW828" i="5"/>
  <c r="AW854" i="5"/>
  <c r="AW857" i="5"/>
  <c r="AW737" i="5"/>
  <c r="AW753" i="5"/>
  <c r="AW717" i="5"/>
  <c r="AW770" i="5"/>
  <c r="AW771" i="5"/>
  <c r="AW736" i="5"/>
  <c r="AW760" i="5"/>
  <c r="AW708" i="5"/>
  <c r="AW711" i="5"/>
  <c r="AW710" i="5"/>
  <c r="AW761" i="5"/>
  <c r="AW726" i="5"/>
  <c r="AW721" i="5"/>
  <c r="AW772" i="5"/>
  <c r="AW712" i="5"/>
  <c r="AW720" i="5"/>
  <c r="AW713" i="5"/>
  <c r="AW728" i="5"/>
  <c r="AW762" i="5"/>
  <c r="AW781" i="5"/>
  <c r="AW783" i="5"/>
  <c r="AW782" i="5"/>
  <c r="AW823" i="5"/>
  <c r="AW824" i="5"/>
  <c r="AW784" i="5"/>
  <c r="AW825" i="5"/>
  <c r="AW785" i="5"/>
  <c r="AW789" i="5"/>
  <c r="AW786" i="5"/>
  <c r="AW826" i="5"/>
  <c r="AW815" i="5"/>
  <c r="AW833" i="5"/>
  <c r="AW840" i="5"/>
  <c r="AW841" i="5"/>
  <c r="AW846" i="5"/>
  <c r="AW844" i="5"/>
  <c r="AW847" i="5"/>
  <c r="AW850" i="5"/>
  <c r="AW848" i="5"/>
  <c r="AW706" i="5"/>
  <c r="AW731" i="5"/>
  <c r="AW704" i="5"/>
  <c r="AW705" i="5"/>
  <c r="AW729" i="5"/>
  <c r="AW725" i="5"/>
  <c r="AW732" i="5"/>
  <c r="AW733" i="5"/>
  <c r="AW718" i="5"/>
  <c r="AW707" i="5"/>
  <c r="AW734" i="5"/>
  <c r="AW799" i="5"/>
  <c r="AW793" i="5"/>
  <c r="AW794" i="5"/>
  <c r="AW778" i="5"/>
  <c r="AW779" i="5"/>
  <c r="AW800" i="5"/>
  <c r="AW777" i="5"/>
  <c r="AW797" i="5"/>
  <c r="AW791" i="5"/>
  <c r="AW795" i="5"/>
  <c r="AW845" i="5"/>
  <c r="AW842" i="5"/>
  <c r="AW843" i="5"/>
  <c r="AW702" i="5"/>
  <c r="AW792" i="5"/>
  <c r="AW798" i="5"/>
  <c r="AW832" i="5"/>
  <c r="AW858" i="5"/>
  <c r="AW911" i="5"/>
  <c r="AW912" i="5"/>
  <c r="AW932" i="5"/>
  <c r="AW933" i="5"/>
  <c r="AW859" i="5"/>
  <c r="AW869" i="5"/>
  <c r="AW913" i="5"/>
  <c r="AW934" i="5"/>
  <c r="AW870" i="5"/>
  <c r="AW935" i="5"/>
  <c r="AW897" i="5"/>
  <c r="AW914" i="5"/>
  <c r="AW1006" i="5"/>
  <c r="AW1007" i="5"/>
  <c r="AW999" i="5"/>
  <c r="AW1022" i="5"/>
  <c r="AW937" i="5"/>
  <c r="AW917" i="5"/>
  <c r="AW1000" i="5"/>
  <c r="AW1008" i="5"/>
  <c r="AW1001" i="5"/>
  <c r="AW915" i="5"/>
  <c r="AW916" i="5"/>
  <c r="AW874" i="5"/>
  <c r="AW1026" i="5"/>
  <c r="AW871" i="5"/>
  <c r="AW920" i="5"/>
  <c r="AW1011" i="5"/>
  <c r="AW941" i="5"/>
  <c r="AW921" i="5"/>
  <c r="AW919" i="5"/>
  <c r="AW922" i="5"/>
  <c r="AW872" i="5"/>
  <c r="AW960" i="5"/>
  <c r="AW877" i="5"/>
  <c r="AW949" i="5"/>
  <c r="AW923" i="5"/>
  <c r="AW950" i="5"/>
  <c r="AW924" i="5"/>
  <c r="AW951" i="5"/>
  <c r="AW925" i="5"/>
  <c r="AW952" i="5"/>
  <c r="AW953" i="5"/>
  <c r="AW926" i="5"/>
  <c r="AW927" i="5"/>
  <c r="AW942" i="5"/>
  <c r="AW954" i="5"/>
  <c r="AW961" i="5"/>
  <c r="AW955" i="5"/>
  <c r="AW928" i="5"/>
  <c r="AW929" i="5"/>
  <c r="AW956" i="5"/>
  <c r="AW957" i="5"/>
  <c r="AW930" i="5"/>
  <c r="AW931" i="5"/>
  <c r="AW1002" i="5"/>
  <c r="AW979" i="5"/>
  <c r="AW1003" i="5"/>
  <c r="AW1013" i="5"/>
  <c r="AW1004" i="5"/>
  <c r="AW989" i="5"/>
  <c r="AW1005" i="5"/>
  <c r="AW1023" i="5"/>
  <c r="AW1028" i="5"/>
  <c r="AW1027" i="5"/>
  <c r="AW890" i="5"/>
  <c r="AW888" i="5"/>
  <c r="AW882" i="5"/>
  <c r="AW896" i="5"/>
  <c r="AW878" i="5"/>
  <c r="AW1012" i="5"/>
  <c r="AW875" i="5"/>
  <c r="AW880" i="5"/>
  <c r="AW1025" i="5"/>
  <c r="AW861" i="5"/>
  <c r="AW962" i="5"/>
  <c r="AW963" i="5"/>
  <c r="AW936" i="5"/>
  <c r="AW1014" i="5"/>
  <c r="AW1015" i="5"/>
  <c r="AW1029" i="5"/>
  <c r="AW946" i="5"/>
  <c r="AW943" i="5"/>
  <c r="AW973" i="5"/>
  <c r="AW944" i="5"/>
  <c r="AW883" i="5"/>
  <c r="AW974" i="5"/>
  <c r="AW975" i="5"/>
  <c r="AW881" i="5"/>
  <c r="AW977" i="5"/>
  <c r="AW976" i="5"/>
  <c r="AW947" i="5"/>
  <c r="AW945" i="5"/>
  <c r="AW981" i="5"/>
  <c r="AW986" i="5"/>
  <c r="AW1020" i="5"/>
  <c r="AW1030" i="5"/>
  <c r="AW958" i="5"/>
  <c r="AW918" i="5"/>
  <c r="AW959" i="5"/>
  <c r="AW895" i="5"/>
  <c r="AW884" i="5"/>
  <c r="AW873" i="5"/>
  <c r="AW1019" i="5"/>
  <c r="AW964" i="5"/>
  <c r="AW898" i="5"/>
  <c r="AW965" i="5"/>
  <c r="AW876" i="5"/>
  <c r="AW938" i="5"/>
  <c r="AW891" i="5"/>
  <c r="AW939" i="5"/>
  <c r="AW966" i="5"/>
  <c r="AW967" i="5"/>
  <c r="AW968" i="5"/>
  <c r="AW948" i="5"/>
  <c r="AW969" i="5"/>
  <c r="AW879" i="5"/>
  <c r="AW892" i="5"/>
  <c r="AW972" i="5"/>
  <c r="AW970" i="5"/>
  <c r="AW894" i="5"/>
  <c r="AW893" i="5"/>
  <c r="AW940" i="5"/>
  <c r="AW971" i="5"/>
  <c r="AW889" i="5"/>
  <c r="AW987" i="5"/>
  <c r="AW1016" i="5"/>
  <c r="AW982" i="5"/>
  <c r="AW1017" i="5"/>
  <c r="AW985" i="5"/>
  <c r="AW1009" i="5"/>
  <c r="AW1010" i="5"/>
  <c r="AW1018" i="5"/>
  <c r="AW984" i="5"/>
  <c r="AW980" i="5"/>
  <c r="AW860" i="5"/>
  <c r="AW909" i="5"/>
  <c r="AW903" i="5"/>
  <c r="AW904" i="5"/>
  <c r="AW899" i="5"/>
  <c r="AW885" i="5"/>
  <c r="AW910" i="5"/>
  <c r="AW886" i="5"/>
  <c r="AW862" i="5"/>
  <c r="AW866" i="5"/>
  <c r="AW863" i="5"/>
  <c r="AW864" i="5"/>
  <c r="AW865" i="5"/>
  <c r="AW905" i="5"/>
  <c r="AW901" i="5"/>
  <c r="AW867" i="5"/>
  <c r="AW906" i="5"/>
  <c r="AW902" i="5"/>
  <c r="AW907" i="5"/>
  <c r="AW887" i="5"/>
  <c r="AW900" i="5"/>
  <c r="AW988" i="5"/>
  <c r="AW978" i="5"/>
  <c r="AW993" i="5"/>
  <c r="AW995" i="5"/>
  <c r="AW994" i="5"/>
  <c r="AW996" i="5"/>
  <c r="AW992" i="5"/>
  <c r="AW990" i="5"/>
  <c r="AW991" i="5"/>
  <c r="AW997" i="5"/>
  <c r="AW998" i="5"/>
  <c r="AW983" i="5"/>
  <c r="AW1021" i="5"/>
  <c r="AW1024" i="5"/>
  <c r="AW908" i="5"/>
  <c r="AW868" i="5"/>
  <c r="AW1031" i="5"/>
  <c r="AW1032" i="5"/>
  <c r="AW1033" i="5"/>
  <c r="AW1034" i="5"/>
  <c r="AW1035" i="5"/>
  <c r="AW1036" i="5"/>
  <c r="AW1037" i="5"/>
  <c r="AW1038" i="5"/>
  <c r="AW1040" i="5"/>
  <c r="AW1039" i="5"/>
  <c r="AW1041" i="5"/>
  <c r="AW1042" i="5"/>
  <c r="AW1045" i="5"/>
  <c r="AW1043" i="5"/>
  <c r="AW1046" i="5"/>
  <c r="AW1044" i="5"/>
  <c r="AW1048" i="5"/>
  <c r="AW1049" i="5"/>
  <c r="AW1047" i="5"/>
  <c r="AW1052" i="5"/>
  <c r="AW1051" i="5"/>
  <c r="AW1054" i="5"/>
  <c r="AW1050" i="5"/>
  <c r="AW1053" i="5"/>
  <c r="AW1058" i="5"/>
  <c r="AW1056" i="5"/>
  <c r="AW1055" i="5"/>
  <c r="AW1060" i="5"/>
  <c r="AW1059" i="5"/>
  <c r="AW1057" i="5"/>
  <c r="AW1061" i="5"/>
  <c r="AW1062" i="5"/>
  <c r="AW1064" i="5"/>
  <c r="AW1063" i="5"/>
  <c r="AW1066" i="5"/>
  <c r="AW1065" i="5"/>
  <c r="AW1068" i="5"/>
  <c r="AW1067" i="5"/>
  <c r="AW1073" i="5"/>
  <c r="AW1072" i="5"/>
  <c r="AW1069" i="5"/>
  <c r="AW1071" i="5"/>
  <c r="AW1070" i="5"/>
  <c r="AW1074" i="5"/>
  <c r="AW1075" i="5"/>
  <c r="AW1079" i="5"/>
  <c r="AW1078" i="5"/>
  <c r="AW1077" i="5"/>
  <c r="AW1081" i="5"/>
  <c r="AW1076" i="5"/>
  <c r="AW1082" i="5"/>
  <c r="AW1080" i="5"/>
  <c r="AW1084" i="5"/>
  <c r="AW1086" i="5"/>
  <c r="AW1085" i="5"/>
  <c r="AW1088" i="5"/>
  <c r="AW1089" i="5"/>
  <c r="AW1083" i="5"/>
  <c r="AW1087" i="5"/>
  <c r="AW1090" i="5"/>
  <c r="AW1091" i="5"/>
  <c r="AW1092" i="5"/>
  <c r="AW1094" i="5"/>
  <c r="AW1095" i="5"/>
  <c r="AW1093" i="5"/>
  <c r="AW1096" i="5"/>
  <c r="AW1097" i="5"/>
  <c r="AW1099" i="5"/>
  <c r="AW1101" i="5"/>
  <c r="AW1098" i="5"/>
  <c r="AW1100" i="5"/>
  <c r="AW1102" i="5"/>
  <c r="AW1103" i="5"/>
  <c r="AW1104" i="5"/>
  <c r="AW1105" i="5"/>
  <c r="AW1106" i="5"/>
  <c r="AW1107" i="5"/>
  <c r="AW1108" i="5"/>
  <c r="AW1110" i="5"/>
  <c r="AW1111" i="5"/>
  <c r="AW1109" i="5"/>
  <c r="AW1113" i="5"/>
  <c r="AW1112" i="5"/>
  <c r="AW1114" i="5"/>
  <c r="AW1117" i="5"/>
  <c r="AW1115" i="5"/>
  <c r="AW1116" i="5"/>
  <c r="AW1119" i="5"/>
  <c r="AW1118" i="5"/>
  <c r="AW1120" i="5"/>
  <c r="AW1122" i="5"/>
  <c r="AW1121" i="5"/>
  <c r="AW1123" i="5"/>
  <c r="AW1124" i="5"/>
  <c r="AW1125" i="5"/>
  <c r="AW1126" i="5"/>
  <c r="AW1127" i="5"/>
  <c r="AW1129" i="5"/>
  <c r="AW1128" i="5"/>
  <c r="AW1130" i="5"/>
  <c r="AW1131" i="5"/>
  <c r="AW1134" i="5"/>
  <c r="AW1132" i="5"/>
  <c r="AW1133" i="5"/>
  <c r="AW1135" i="5"/>
  <c r="AW1137" i="5"/>
  <c r="AW1138" i="5"/>
  <c r="AW1139" i="5"/>
  <c r="AW1141" i="5"/>
  <c r="AW1136" i="5"/>
  <c r="AW1140" i="5"/>
  <c r="AW1162" i="5"/>
  <c r="AW1143" i="5"/>
  <c r="AW1149" i="5"/>
  <c r="AW1153" i="5"/>
  <c r="AW1152" i="5"/>
  <c r="AW1155" i="5"/>
  <c r="AW1150" i="5"/>
  <c r="AW1158" i="5"/>
  <c r="AW1157" i="5"/>
  <c r="AW1147" i="5"/>
  <c r="AW1145" i="5"/>
  <c r="AW1163" i="5"/>
  <c r="AW1159" i="5"/>
  <c r="AW1142" i="5"/>
  <c r="AW1151" i="5"/>
  <c r="AW1156" i="5"/>
  <c r="AW1164" i="5"/>
  <c r="AW1148" i="5"/>
  <c r="AW1144" i="5"/>
  <c r="AW1146" i="5"/>
  <c r="AW1154" i="5"/>
  <c r="AW1160" i="5"/>
  <c r="AW1161" i="5"/>
  <c r="AW1171" i="5"/>
  <c r="AW1166" i="5"/>
  <c r="AW1176" i="5"/>
  <c r="AW1175" i="5"/>
  <c r="AW1170" i="5"/>
  <c r="AW1169" i="5"/>
  <c r="AW1167" i="5"/>
  <c r="AW1168" i="5"/>
  <c r="AW1174" i="5"/>
  <c r="AW1173" i="5"/>
  <c r="AW1179" i="5"/>
  <c r="AW1172" i="5"/>
  <c r="AW1165" i="5"/>
  <c r="AW1177" i="5"/>
  <c r="AW1178" i="5"/>
  <c r="AW1182" i="5"/>
  <c r="AW1181" i="5"/>
  <c r="AW1186" i="5"/>
  <c r="AW1180" i="5"/>
  <c r="AW1183" i="5"/>
  <c r="AW1185" i="5"/>
  <c r="AW1184" i="5"/>
  <c r="AW1188" i="5"/>
  <c r="AW1192" i="5"/>
  <c r="AW1190" i="5"/>
  <c r="AW1194" i="5"/>
  <c r="AW1187" i="5"/>
  <c r="AW1193" i="5"/>
  <c r="AW1191" i="5"/>
  <c r="AW1189" i="5"/>
  <c r="AW1196" i="5"/>
  <c r="AW1195" i="5"/>
  <c r="AW1198" i="5"/>
  <c r="AW1197" i="5"/>
  <c r="AW1199" i="5"/>
  <c r="AW1201" i="5"/>
  <c r="AW1202" i="5"/>
  <c r="AW1200" i="5"/>
  <c r="AW1203" i="5"/>
  <c r="AW1204" i="5"/>
  <c r="AW1206" i="5"/>
  <c r="AW1205" i="5"/>
  <c r="AW1207" i="5"/>
  <c r="AW1208" i="5"/>
  <c r="AW1213" i="5"/>
  <c r="AW1209" i="5"/>
  <c r="AW1210" i="5"/>
  <c r="AW1214" i="5"/>
  <c r="AW1211" i="5"/>
  <c r="AW1212" i="5"/>
  <c r="AW1215" i="5"/>
  <c r="AW1216" i="5"/>
  <c r="AW1218" i="5"/>
  <c r="AW1217" i="5"/>
  <c r="AW1224" i="5"/>
  <c r="AW1222" i="5"/>
  <c r="AW1219" i="5"/>
  <c r="AW1223" i="5"/>
  <c r="AW1221" i="5"/>
  <c r="AW1225" i="5"/>
  <c r="AW1220" i="5"/>
  <c r="AW1226" i="5"/>
  <c r="AW1227" i="5"/>
  <c r="AW1228" i="5"/>
  <c r="AW1229" i="5"/>
  <c r="AW1230" i="5"/>
  <c r="AW1232" i="5"/>
  <c r="AW1231" i="5"/>
  <c r="AW1233" i="5"/>
  <c r="AW1236" i="5"/>
  <c r="AW1235" i="5"/>
  <c r="AW1234" i="5"/>
  <c r="AW1239" i="5"/>
  <c r="AW1238" i="5"/>
  <c r="AW1237" i="5"/>
  <c r="AW1240" i="5"/>
  <c r="AW1241" i="5"/>
  <c r="AW1242" i="5"/>
  <c r="AW1243" i="5"/>
  <c r="AW1245" i="5"/>
  <c r="AW1244" i="5"/>
  <c r="AW1247" i="5"/>
  <c r="AW1246" i="5"/>
  <c r="AW1249" i="5"/>
  <c r="AW1248" i="5"/>
  <c r="AW1250" i="5"/>
  <c r="AW1251" i="5"/>
  <c r="AW1268" i="5"/>
  <c r="AW1258" i="5"/>
  <c r="AW1261" i="5"/>
  <c r="AW1256" i="5"/>
  <c r="AW1254" i="5"/>
  <c r="AW1263" i="5"/>
  <c r="AW1257" i="5"/>
  <c r="AW1267" i="5"/>
  <c r="AW1255" i="5"/>
  <c r="AW1262" i="5"/>
  <c r="AW1270" i="5"/>
  <c r="AW1252" i="5"/>
  <c r="AW1260" i="5"/>
  <c r="AW1264" i="5"/>
  <c r="AW1269" i="5"/>
  <c r="AW1274" i="5"/>
  <c r="AW1265" i="5"/>
  <c r="AW1271" i="5"/>
  <c r="AW1272" i="5"/>
  <c r="AW1266" i="5"/>
  <c r="AW1259" i="5"/>
  <c r="AW1275" i="5"/>
  <c r="AW1253" i="5"/>
  <c r="AW1273" i="5"/>
  <c r="AW1276" i="5"/>
  <c r="AW1278" i="5"/>
  <c r="AW1277" i="5"/>
  <c r="AW1280" i="5"/>
  <c r="AW1288" i="5"/>
  <c r="AW1286" i="5"/>
  <c r="AW1284" i="5"/>
  <c r="AW1281" i="5"/>
  <c r="AW1279" i="5"/>
  <c r="AW1285" i="5"/>
  <c r="AW1283" i="5"/>
  <c r="AW1287" i="5"/>
  <c r="AW1282" i="5"/>
  <c r="AW1289" i="5"/>
  <c r="AW1290" i="5"/>
  <c r="AW1313" i="5"/>
  <c r="AW1299" i="5"/>
  <c r="AW1308" i="5"/>
  <c r="AW1293" i="5"/>
  <c r="AW1297" i="5"/>
  <c r="AW1300" i="5"/>
  <c r="AW1298" i="5"/>
  <c r="AW1291" i="5"/>
  <c r="AW1301" i="5"/>
  <c r="AW1302" i="5"/>
  <c r="AW1292" i="5"/>
  <c r="AW1304" i="5"/>
  <c r="AW1309" i="5"/>
  <c r="AW1303" i="5"/>
  <c r="AW1310" i="5"/>
  <c r="AW1296" i="5"/>
  <c r="AW1295" i="5"/>
  <c r="AW1306" i="5"/>
  <c r="AW1314" i="5"/>
  <c r="AW1305" i="5"/>
  <c r="AW1312" i="5"/>
  <c r="AW1315" i="5"/>
  <c r="AW1311" i="5"/>
  <c r="AW1294" i="5"/>
  <c r="AW1307" i="5"/>
  <c r="AW1328" i="5"/>
  <c r="AW1318" i="5"/>
  <c r="AW1316" i="5"/>
  <c r="AW1319" i="5"/>
  <c r="AW1323" i="5"/>
  <c r="AW1321" i="5"/>
  <c r="AW1317" i="5"/>
  <c r="AW1324" i="5"/>
  <c r="AW1320" i="5"/>
  <c r="AW1326" i="5"/>
  <c r="AW1322" i="5"/>
  <c r="AW1329" i="5"/>
  <c r="AW1330" i="5"/>
  <c r="AW1325" i="5"/>
  <c r="AW1327" i="5"/>
  <c r="AW1331" i="5"/>
  <c r="AW1347" i="5"/>
  <c r="AW1343" i="5"/>
  <c r="AW1341" i="5"/>
  <c r="AW1352" i="5"/>
  <c r="AW1335" i="5"/>
  <c r="AW1344" i="5"/>
  <c r="AW1348" i="5"/>
  <c r="AW1354" i="5"/>
  <c r="AW1349" i="5"/>
  <c r="AW1336" i="5"/>
  <c r="AW1359" i="5"/>
  <c r="AW1340" i="5"/>
  <c r="AW1342" i="5"/>
  <c r="AW1350" i="5"/>
  <c r="AW1353" i="5"/>
  <c r="AW1346" i="5"/>
  <c r="AW1337" i="5"/>
  <c r="AW1333" i="5"/>
  <c r="AW1356" i="5"/>
  <c r="AW1345" i="5"/>
  <c r="AW1334" i="5"/>
  <c r="AW1358" i="5"/>
  <c r="AW1360" i="5"/>
  <c r="AW1332" i="5"/>
  <c r="AW1355" i="5"/>
  <c r="AW1338" i="5"/>
  <c r="AW1339" i="5"/>
  <c r="AW1351" i="5"/>
  <c r="AW1361" i="5"/>
  <c r="AW1357" i="5"/>
  <c r="AW1367" i="5"/>
  <c r="AW1362" i="5"/>
  <c r="AW1369" i="5"/>
  <c r="AW1370" i="5"/>
  <c r="AW1363" i="5"/>
  <c r="AW1368" i="5"/>
  <c r="AW1372" i="5"/>
  <c r="AW1365" i="5"/>
  <c r="AW1374" i="5"/>
  <c r="AW1364" i="5"/>
  <c r="AW1371" i="5"/>
  <c r="AW1366" i="5"/>
  <c r="AW1373" i="5"/>
  <c r="AW1375" i="5"/>
  <c r="AW1380" i="5"/>
  <c r="AW1386" i="5"/>
  <c r="AW1381" i="5"/>
  <c r="AW1377" i="5"/>
  <c r="AW1383" i="5"/>
  <c r="AW1385" i="5"/>
  <c r="AW1384" i="5"/>
  <c r="AW1376" i="5"/>
  <c r="AW1378" i="5"/>
  <c r="AW1379" i="5"/>
  <c r="AW1382" i="5"/>
  <c r="AW1387" i="5"/>
  <c r="AW1388" i="5"/>
  <c r="AW1389" i="5"/>
  <c r="AW1390" i="5"/>
  <c r="AW1392" i="5"/>
  <c r="AW1391" i="5"/>
  <c r="AW1393" i="5"/>
  <c r="AW1394" i="5"/>
  <c r="AW1395" i="5"/>
  <c r="AW1396" i="5"/>
  <c r="AW1398" i="5"/>
  <c r="AW1397" i="5"/>
  <c r="AW1399" i="5"/>
  <c r="AW1400" i="5"/>
  <c r="AW1401" i="5"/>
  <c r="AW1402" i="5"/>
  <c r="AW1403" i="5"/>
  <c r="AW1404" i="5"/>
  <c r="AV3" i="5"/>
  <c r="AV2" i="5"/>
  <c r="AV31" i="5"/>
  <c r="AV32" i="5"/>
  <c r="AV50" i="5"/>
  <c r="AV43" i="5"/>
  <c r="AV48" i="5"/>
  <c r="AV18" i="5"/>
  <c r="AV36" i="5"/>
  <c r="AV33" i="5"/>
  <c r="AV11" i="5"/>
  <c r="AV19" i="5"/>
  <c r="AV10" i="5"/>
  <c r="AV37" i="5"/>
  <c r="AV38" i="5"/>
  <c r="AV42" i="5"/>
  <c r="AV29" i="5"/>
  <c r="AV9" i="5"/>
  <c r="AV39" i="5"/>
  <c r="AV7" i="5"/>
  <c r="AV35" i="5"/>
  <c r="AV44" i="5"/>
  <c r="AV52" i="5"/>
  <c r="AV40" i="5"/>
  <c r="AV34" i="5"/>
  <c r="AV27" i="5"/>
  <c r="AV28" i="5"/>
  <c r="AV41" i="5"/>
  <c r="AV47" i="5"/>
  <c r="AV20" i="5"/>
  <c r="AV21" i="5"/>
  <c r="AV8" i="5"/>
  <c r="AV22" i="5"/>
  <c r="AV23" i="5"/>
  <c r="AV24" i="5"/>
  <c r="AV30" i="5"/>
  <c r="AV25" i="5"/>
  <c r="AV46" i="5"/>
  <c r="AV49" i="5"/>
  <c r="AV26" i="5"/>
  <c r="AV51" i="5"/>
  <c r="AV54" i="5"/>
  <c r="AV57" i="5"/>
  <c r="AV56" i="5"/>
  <c r="AV4" i="5"/>
  <c r="AV15" i="5"/>
  <c r="AV16" i="5"/>
  <c r="AV55" i="5"/>
  <c r="AV12" i="5"/>
  <c r="AV13" i="5"/>
  <c r="AV14" i="5"/>
  <c r="AV58" i="5"/>
  <c r="AV5" i="5"/>
  <c r="AV17" i="5"/>
  <c r="AV45" i="5"/>
  <c r="AV6" i="5"/>
  <c r="AV53" i="5"/>
  <c r="AV59" i="5"/>
  <c r="AV67" i="5"/>
  <c r="AV82" i="5"/>
  <c r="AV83" i="5"/>
  <c r="AV84" i="5"/>
  <c r="AV88" i="5"/>
  <c r="AV76" i="5"/>
  <c r="AV77" i="5"/>
  <c r="AV167" i="5"/>
  <c r="AV97" i="5"/>
  <c r="AV106" i="5"/>
  <c r="AV123" i="5"/>
  <c r="AV134" i="5"/>
  <c r="AV135" i="5"/>
  <c r="AV90" i="5"/>
  <c r="AV86" i="5"/>
  <c r="AV91" i="5"/>
  <c r="AV78" i="5"/>
  <c r="AV85" i="5"/>
  <c r="AV70" i="5"/>
  <c r="AV92" i="5"/>
  <c r="AV68" i="5"/>
  <c r="AV100" i="5"/>
  <c r="AV99" i="5"/>
  <c r="AV128" i="5"/>
  <c r="AV126" i="5"/>
  <c r="AV129" i="5"/>
  <c r="AV138" i="5"/>
  <c r="AV75" i="5"/>
  <c r="AV80" i="5"/>
  <c r="AV81" i="5"/>
  <c r="AV93" i="5"/>
  <c r="AV87" i="5"/>
  <c r="AV94" i="5"/>
  <c r="AV66" i="5"/>
  <c r="AV89" i="5"/>
  <c r="AV131" i="5"/>
  <c r="AV95" i="5"/>
  <c r="AV79" i="5"/>
  <c r="AV149" i="5"/>
  <c r="AV145" i="5"/>
  <c r="AV96" i="5"/>
  <c r="AV101" i="5"/>
  <c r="AV105" i="5"/>
  <c r="AV114" i="5"/>
  <c r="AV112" i="5"/>
  <c r="AV117" i="5"/>
  <c r="AV110" i="5"/>
  <c r="AV118" i="5"/>
  <c r="AV148" i="5"/>
  <c r="AV153" i="5"/>
  <c r="AV163" i="5"/>
  <c r="AV143" i="5"/>
  <c r="AV152" i="5"/>
  <c r="AV65" i="5"/>
  <c r="AV113" i="5"/>
  <c r="AV119" i="5"/>
  <c r="AV108" i="5"/>
  <c r="AV125" i="5"/>
  <c r="AV142" i="5"/>
  <c r="AV102" i="5"/>
  <c r="AV116" i="5"/>
  <c r="AV107" i="5"/>
  <c r="AV120" i="5"/>
  <c r="AV124" i="5"/>
  <c r="AV127" i="5"/>
  <c r="AV132" i="5"/>
  <c r="AV139" i="5"/>
  <c r="AV146" i="5"/>
  <c r="AV151" i="5"/>
  <c r="AV154" i="5"/>
  <c r="AV156" i="5"/>
  <c r="AV155" i="5"/>
  <c r="AV157" i="5"/>
  <c r="AV160" i="5"/>
  <c r="AV164" i="5"/>
  <c r="AV162" i="5"/>
  <c r="AV144" i="5"/>
  <c r="AV159" i="5"/>
  <c r="AV60" i="5"/>
  <c r="AV61" i="5"/>
  <c r="AV63" i="5"/>
  <c r="AV73" i="5"/>
  <c r="AV69" i="5"/>
  <c r="AV72" i="5"/>
  <c r="AV64" i="5"/>
  <c r="AV74" i="5"/>
  <c r="AV121" i="5"/>
  <c r="AV165" i="5"/>
  <c r="AV111" i="5"/>
  <c r="AV137" i="5"/>
  <c r="AV147" i="5"/>
  <c r="AV150" i="5"/>
  <c r="AV166" i="5"/>
  <c r="AV168" i="5"/>
  <c r="AV98" i="5"/>
  <c r="AV104" i="5"/>
  <c r="AV109" i="5"/>
  <c r="AV136" i="5"/>
  <c r="AV161" i="5"/>
  <c r="AV130" i="5"/>
  <c r="AV169" i="5"/>
  <c r="AV103" i="5"/>
  <c r="AV115" i="5"/>
  <c r="AV122" i="5"/>
  <c r="AV133" i="5"/>
  <c r="AV141" i="5"/>
  <c r="AV158" i="5"/>
  <c r="AV71" i="5"/>
  <c r="AV62" i="5"/>
  <c r="AV140" i="5"/>
  <c r="AV175" i="5"/>
  <c r="AV181" i="5"/>
  <c r="AV170" i="5"/>
  <c r="AV174" i="5"/>
  <c r="AV173" i="5"/>
  <c r="AV178" i="5"/>
  <c r="AV172" i="5"/>
  <c r="AV177" i="5"/>
  <c r="AV179" i="5"/>
  <c r="AV180" i="5"/>
  <c r="AV183" i="5"/>
  <c r="AV182" i="5"/>
  <c r="AV176" i="5"/>
  <c r="AV171" i="5"/>
  <c r="AV198" i="5"/>
  <c r="AV223" i="5"/>
  <c r="AV224" i="5"/>
  <c r="AV188" i="5"/>
  <c r="AV189" i="5"/>
  <c r="AV190" i="5"/>
  <c r="AV191" i="5"/>
  <c r="AV202" i="5"/>
  <c r="AV210" i="5"/>
  <c r="AV214" i="5"/>
  <c r="AV226" i="5"/>
  <c r="AV192" i="5"/>
  <c r="AV203" i="5"/>
  <c r="AV196" i="5"/>
  <c r="AV215" i="5"/>
  <c r="AV229" i="5"/>
  <c r="AV187" i="5"/>
  <c r="AV194" i="5"/>
  <c r="AV195" i="5"/>
  <c r="AV197" i="5"/>
  <c r="AV200" i="5"/>
  <c r="AV201" i="5"/>
  <c r="AV199" i="5"/>
  <c r="AV221" i="5"/>
  <c r="AV236" i="5"/>
  <c r="AV193" i="5"/>
  <c r="AV185" i="5"/>
  <c r="AV207" i="5"/>
  <c r="AV213" i="5"/>
  <c r="AV211" i="5"/>
  <c r="AV222" i="5"/>
  <c r="AV205" i="5"/>
  <c r="AV216" i="5"/>
  <c r="AV206" i="5"/>
  <c r="AV235" i="5"/>
  <c r="AV219" i="5"/>
  <c r="AV204" i="5"/>
  <c r="AV233" i="5"/>
  <c r="AV237" i="5"/>
  <c r="AV184" i="5"/>
  <c r="AV186" i="5"/>
  <c r="AV212" i="5"/>
  <c r="AV220" i="5"/>
  <c r="AV231" i="5"/>
  <c r="AV208" i="5"/>
  <c r="AV209" i="5"/>
  <c r="AV228" i="5"/>
  <c r="AV234" i="5"/>
  <c r="AV218" i="5"/>
  <c r="AV227" i="5"/>
  <c r="AV230" i="5"/>
  <c r="AV225" i="5"/>
  <c r="AV232" i="5"/>
  <c r="AV217" i="5"/>
  <c r="AV238" i="5"/>
  <c r="AV241" i="5"/>
  <c r="AV244" i="5"/>
  <c r="AV254" i="5"/>
  <c r="AV257" i="5"/>
  <c r="AV239" i="5"/>
  <c r="AV249" i="5"/>
  <c r="AV248" i="5"/>
  <c r="AV240" i="5"/>
  <c r="AV259" i="5"/>
  <c r="AV242" i="5"/>
  <c r="AV250" i="5"/>
  <c r="AV252" i="5"/>
  <c r="AV255" i="5"/>
  <c r="AV266" i="5"/>
  <c r="AV246" i="5"/>
  <c r="AV256" i="5"/>
  <c r="AV243" i="5"/>
  <c r="AV261" i="5"/>
  <c r="AV247" i="5"/>
  <c r="AV251" i="5"/>
  <c r="AV245" i="5"/>
  <c r="AV265" i="5"/>
  <c r="AV253" i="5"/>
  <c r="AV258" i="5"/>
  <c r="AV264" i="5"/>
  <c r="AV260" i="5"/>
  <c r="AV262" i="5"/>
  <c r="AV263" i="5"/>
  <c r="AV273" i="5"/>
  <c r="AV267" i="5"/>
  <c r="AV274" i="5"/>
  <c r="AV275" i="5"/>
  <c r="AV280" i="5"/>
  <c r="AV278" i="5"/>
  <c r="AV268" i="5"/>
  <c r="AV270" i="5"/>
  <c r="AV281" i="5"/>
  <c r="AV272" i="5"/>
  <c r="AV271" i="5"/>
  <c r="AV282" i="5"/>
  <c r="AV277" i="5"/>
  <c r="AV279" i="5"/>
  <c r="AV276" i="5"/>
  <c r="AV269" i="5"/>
  <c r="AV289" i="5"/>
  <c r="AV291" i="5"/>
  <c r="AV292" i="5"/>
  <c r="AV293" i="5"/>
  <c r="AV294" i="5"/>
  <c r="AV295" i="5"/>
  <c r="AV308" i="5"/>
  <c r="AV318" i="5"/>
  <c r="AV319" i="5"/>
  <c r="AV296" i="5"/>
  <c r="AV297" i="5"/>
  <c r="AV298" i="5"/>
  <c r="AV299" i="5"/>
  <c r="AV306" i="5"/>
  <c r="AV304" i="5"/>
  <c r="AV283" i="5"/>
  <c r="AV284" i="5"/>
  <c r="AV317" i="5"/>
  <c r="AV301" i="5"/>
  <c r="AV314" i="5"/>
  <c r="AV315" i="5"/>
  <c r="AV321" i="5"/>
  <c r="AV312" i="5"/>
  <c r="AV313" i="5"/>
  <c r="AV310" i="5"/>
  <c r="AV311" i="5"/>
  <c r="AV322" i="5"/>
  <c r="AV316" i="5"/>
  <c r="AV287" i="5"/>
  <c r="AV286" i="5"/>
  <c r="AV290" i="5"/>
  <c r="AV285" i="5"/>
  <c r="AV288" i="5"/>
  <c r="AV305" i="5"/>
  <c r="AV303" i="5"/>
  <c r="AV320" i="5"/>
  <c r="AV300" i="5"/>
  <c r="AV302" i="5"/>
  <c r="AV309" i="5"/>
  <c r="AV307" i="5"/>
  <c r="AV331" i="5"/>
  <c r="AV332" i="5"/>
  <c r="AV330" i="5"/>
  <c r="AV329" i="5"/>
  <c r="AV327" i="5"/>
  <c r="AV326" i="5"/>
  <c r="AV323" i="5"/>
  <c r="AV325" i="5"/>
  <c r="AV328" i="5"/>
  <c r="AV324" i="5"/>
  <c r="AV336" i="5"/>
  <c r="AV345" i="5"/>
  <c r="AV343" i="5"/>
  <c r="AV339" i="5"/>
  <c r="AV349" i="5"/>
  <c r="AV344" i="5"/>
  <c r="AV341" i="5"/>
  <c r="AV333" i="5"/>
  <c r="AV348" i="5"/>
  <c r="AV334" i="5"/>
  <c r="AV346" i="5"/>
  <c r="AV337" i="5"/>
  <c r="AV340" i="5"/>
  <c r="AV347" i="5"/>
  <c r="AV338" i="5"/>
  <c r="AV335" i="5"/>
  <c r="AV342" i="5"/>
  <c r="AV351" i="5"/>
  <c r="AV350" i="5"/>
  <c r="AV352" i="5"/>
  <c r="AV359" i="5"/>
  <c r="AV355" i="5"/>
  <c r="AV373" i="5"/>
  <c r="AV357" i="5"/>
  <c r="AV369" i="5"/>
  <c r="AV360" i="5"/>
  <c r="AV361" i="5"/>
  <c r="AV371" i="5"/>
  <c r="AV370" i="5"/>
  <c r="AV358" i="5"/>
  <c r="AV374" i="5"/>
  <c r="AV378" i="5"/>
  <c r="AV375" i="5"/>
  <c r="AV366" i="5"/>
  <c r="AV364" i="5"/>
  <c r="AV365" i="5"/>
  <c r="AV376" i="5"/>
  <c r="AV377" i="5"/>
  <c r="AV356" i="5"/>
  <c r="AV353" i="5"/>
  <c r="AV363" i="5"/>
  <c r="AV354" i="5"/>
  <c r="AV368" i="5"/>
  <c r="AV367" i="5"/>
  <c r="AV372" i="5"/>
  <c r="AV362" i="5"/>
  <c r="AV380" i="5"/>
  <c r="AV383" i="5"/>
  <c r="AV379" i="5"/>
  <c r="AV381" i="5"/>
  <c r="AV387" i="5"/>
  <c r="AV395" i="5"/>
  <c r="AV396" i="5"/>
  <c r="AV391" i="5"/>
  <c r="AV392" i="5"/>
  <c r="AV394" i="5"/>
  <c r="AV386" i="5"/>
  <c r="AV385" i="5"/>
  <c r="AV399" i="5"/>
  <c r="AV398" i="5"/>
  <c r="AV384" i="5"/>
  <c r="AV388" i="5"/>
  <c r="AV397" i="5"/>
  <c r="AV382" i="5"/>
  <c r="AV393" i="5"/>
  <c r="AV400" i="5"/>
  <c r="AV389" i="5"/>
  <c r="AV390" i="5"/>
  <c r="AV401" i="5"/>
  <c r="AV410" i="5"/>
  <c r="AV411" i="5"/>
  <c r="AV412" i="5"/>
  <c r="AV413" i="5"/>
  <c r="AV432" i="5"/>
  <c r="AV416" i="5"/>
  <c r="AV414" i="5"/>
  <c r="AV417" i="5"/>
  <c r="AV428" i="5"/>
  <c r="AV423" i="5"/>
  <c r="AV430" i="5"/>
  <c r="AV408" i="5"/>
  <c r="AV409" i="5"/>
  <c r="AV431" i="5"/>
  <c r="AV403" i="5"/>
  <c r="AV404" i="5"/>
  <c r="AV415" i="5"/>
  <c r="AV419" i="5"/>
  <c r="AV429" i="5"/>
  <c r="AV435" i="5"/>
  <c r="AV402" i="5"/>
  <c r="AV418" i="5"/>
  <c r="AV406" i="5"/>
  <c r="AV421" i="5"/>
  <c r="AV420" i="5"/>
  <c r="AV434" i="5"/>
  <c r="AV422" i="5"/>
  <c r="AV424" i="5"/>
  <c r="AV433" i="5"/>
  <c r="AV405" i="5"/>
  <c r="AV407" i="5"/>
  <c r="AV427" i="5"/>
  <c r="AV426" i="5"/>
  <c r="AV425" i="5"/>
  <c r="AV446" i="5"/>
  <c r="AV447" i="5"/>
  <c r="AV468" i="5"/>
  <c r="AV471" i="5"/>
  <c r="AV472" i="5"/>
  <c r="AV448" i="5"/>
  <c r="AV453" i="5"/>
  <c r="AV449" i="5"/>
  <c r="AV454" i="5"/>
  <c r="AV455" i="5"/>
  <c r="AV474" i="5"/>
  <c r="AV440" i="5"/>
  <c r="AV437" i="5"/>
  <c r="AV456" i="5"/>
  <c r="AV452" i="5"/>
  <c r="AV444" i="5"/>
  <c r="AV445" i="5"/>
  <c r="AV450" i="5"/>
  <c r="AV439" i="5"/>
  <c r="AV467" i="5"/>
  <c r="AV469" i="5"/>
  <c r="AV451" i="5"/>
  <c r="AV436" i="5"/>
  <c r="AV470" i="5"/>
  <c r="AV438" i="5"/>
  <c r="AV459" i="5"/>
  <c r="AV460" i="5"/>
  <c r="AV463" i="5"/>
  <c r="AV475" i="5"/>
  <c r="AV461" i="5"/>
  <c r="AV441" i="5"/>
  <c r="AV457" i="5"/>
  <c r="AV458" i="5"/>
  <c r="AV442" i="5"/>
  <c r="AV464" i="5"/>
  <c r="AV462" i="5"/>
  <c r="AV473" i="5"/>
  <c r="AV465" i="5"/>
  <c r="AV466" i="5"/>
  <c r="AV476" i="5"/>
  <c r="AV443" i="5"/>
  <c r="AV485" i="5"/>
  <c r="AV489" i="5"/>
  <c r="AV488" i="5"/>
  <c r="AV491" i="5"/>
  <c r="AV478" i="5"/>
  <c r="AV479" i="5"/>
  <c r="AV511" i="5"/>
  <c r="AV496" i="5"/>
  <c r="AV498" i="5"/>
  <c r="AV490" i="5"/>
  <c r="AV499" i="5"/>
  <c r="AV492" i="5"/>
  <c r="AV512" i="5"/>
  <c r="AV500" i="5"/>
  <c r="AV501" i="5"/>
  <c r="AV493" i="5"/>
  <c r="AV508" i="5"/>
  <c r="AV509" i="5"/>
  <c r="AV484" i="5"/>
  <c r="AV497" i="5"/>
  <c r="AV480" i="5"/>
  <c r="AV494" i="5"/>
  <c r="AV502" i="5"/>
  <c r="AV507" i="5"/>
  <c r="AV506" i="5"/>
  <c r="AV514" i="5"/>
  <c r="AV504" i="5"/>
  <c r="AV487" i="5"/>
  <c r="AV510" i="5"/>
  <c r="AV503" i="5"/>
  <c r="AV515" i="5"/>
  <c r="AV481" i="5"/>
  <c r="AV505" i="5"/>
  <c r="AV495" i="5"/>
  <c r="AV486" i="5"/>
  <c r="AV513" i="5"/>
  <c r="AV483" i="5"/>
  <c r="AV482" i="5"/>
  <c r="AV477" i="5"/>
  <c r="AV607" i="5"/>
  <c r="AV615" i="5"/>
  <c r="AV616" i="5"/>
  <c r="AV624" i="5"/>
  <c r="AV549" i="5"/>
  <c r="AV603" i="5"/>
  <c r="AV561" i="5"/>
  <c r="AV526" i="5"/>
  <c r="AV523" i="5"/>
  <c r="AV562" i="5"/>
  <c r="AV558" i="5"/>
  <c r="AV557" i="5"/>
  <c r="AV563" i="5"/>
  <c r="AV524" i="5"/>
  <c r="AV606" i="5"/>
  <c r="AV614" i="5"/>
  <c r="AV621" i="5"/>
  <c r="AV559" i="5"/>
  <c r="AV577" i="5"/>
  <c r="AV548" i="5"/>
  <c r="AV576" i="5"/>
  <c r="AV580" i="5"/>
  <c r="AV544" i="5"/>
  <c r="AV529" i="5"/>
  <c r="AV564" i="5"/>
  <c r="AV581" i="5"/>
  <c r="AV534" i="5"/>
  <c r="AV568" i="5"/>
  <c r="AV569" i="5"/>
  <c r="AV535" i="5"/>
  <c r="AV578" i="5"/>
  <c r="AV560" i="5"/>
  <c r="AV566" i="5"/>
  <c r="AV530" i="5"/>
  <c r="AV533" i="5"/>
  <c r="AV582" i="5"/>
  <c r="AV608" i="5"/>
  <c r="AV585" i="5"/>
  <c r="AV528" i="5"/>
  <c r="AV583" i="5"/>
  <c r="AV574" i="5"/>
  <c r="AV610" i="5"/>
  <c r="AV537" i="5"/>
  <c r="AV546" i="5"/>
  <c r="AV527" i="5"/>
  <c r="AV538" i="5"/>
  <c r="AV579" i="5"/>
  <c r="AV602" i="5"/>
  <c r="AV575" i="5"/>
  <c r="AV536" i="5"/>
  <c r="AV587" i="5"/>
  <c r="AV540" i="5"/>
  <c r="AV586" i="5"/>
  <c r="AV531" i="5"/>
  <c r="AV588" i="5"/>
  <c r="AV601" i="5"/>
  <c r="AV622" i="5"/>
  <c r="AV589" i="5"/>
  <c r="AV626" i="5"/>
  <c r="AV612" i="5"/>
  <c r="AV516" i="5"/>
  <c r="AV543" i="5"/>
  <c r="AV520" i="5"/>
  <c r="AV550" i="5"/>
  <c r="AV545" i="5"/>
  <c r="AV604" i="5"/>
  <c r="AV554" i="5"/>
  <c r="AV605" i="5"/>
  <c r="AV567" i="5"/>
  <c r="AV590" i="5"/>
  <c r="AV591" i="5"/>
  <c r="AV592" i="5"/>
  <c r="AV541" i="5"/>
  <c r="AV593" i="5"/>
  <c r="AV594" i="5"/>
  <c r="AV595" i="5"/>
  <c r="AV596" i="5"/>
  <c r="AV597" i="5"/>
  <c r="AV539" i="5"/>
  <c r="AV620" i="5"/>
  <c r="AV619" i="5"/>
  <c r="AV625" i="5"/>
  <c r="AV584" i="5"/>
  <c r="AV525" i="5"/>
  <c r="AV565" i="5"/>
  <c r="AV570" i="5"/>
  <c r="AV571" i="5"/>
  <c r="AV552" i="5"/>
  <c r="AV572" i="5"/>
  <c r="AV521" i="5"/>
  <c r="AV532" i="5"/>
  <c r="AV573" i="5"/>
  <c r="AV599" i="5"/>
  <c r="AV600" i="5"/>
  <c r="AV609" i="5"/>
  <c r="AV618" i="5"/>
  <c r="AV617" i="5"/>
  <c r="AV611" i="5"/>
  <c r="AV623" i="5"/>
  <c r="AV518" i="5"/>
  <c r="AV517" i="5"/>
  <c r="AV542" i="5"/>
  <c r="AV553" i="5"/>
  <c r="AV522" i="5"/>
  <c r="AV547" i="5"/>
  <c r="AV555" i="5"/>
  <c r="AV613" i="5"/>
  <c r="AV556" i="5"/>
  <c r="AV598" i="5"/>
  <c r="AV519" i="5"/>
  <c r="AV551" i="5"/>
  <c r="AV628" i="5"/>
  <c r="AV627" i="5"/>
  <c r="AV630" i="5"/>
  <c r="AV648" i="5"/>
  <c r="AV629" i="5"/>
  <c r="AV657" i="5"/>
  <c r="AV658" i="5"/>
  <c r="AV647" i="5"/>
  <c r="AV660" i="5"/>
  <c r="AV698" i="5"/>
  <c r="AV669" i="5"/>
  <c r="AV674" i="5"/>
  <c r="AV670" i="5"/>
  <c r="AV667" i="5"/>
  <c r="AV675" i="5"/>
  <c r="AV653" i="5"/>
  <c r="AV664" i="5"/>
  <c r="AV666" i="5"/>
  <c r="AV631" i="5"/>
  <c r="AV682" i="5"/>
  <c r="AV680" i="5"/>
  <c r="AV663" i="5"/>
  <c r="AV681" i="5"/>
  <c r="AV668" i="5"/>
  <c r="AV671" i="5"/>
  <c r="AV676" i="5"/>
  <c r="AV700" i="5"/>
  <c r="AV665" i="5"/>
  <c r="AV659" i="5"/>
  <c r="AV693" i="5"/>
  <c r="AV686" i="5"/>
  <c r="AV683" i="5"/>
  <c r="AV684" i="5"/>
  <c r="AV685" i="5"/>
  <c r="AV651" i="5"/>
  <c r="AV696" i="5"/>
  <c r="AV697" i="5"/>
  <c r="AV661" i="5"/>
  <c r="AV662" i="5"/>
  <c r="AV677" i="5"/>
  <c r="AV644" i="5"/>
  <c r="AV645" i="5"/>
  <c r="AV638" i="5"/>
  <c r="AV678" i="5"/>
  <c r="AV679" i="5"/>
  <c r="AV640" i="5"/>
  <c r="AV672" i="5"/>
  <c r="AV639" i="5"/>
  <c r="AV641" i="5"/>
  <c r="AV673" i="5"/>
  <c r="AV689" i="5"/>
  <c r="AV695" i="5"/>
  <c r="AV634" i="5"/>
  <c r="AV643" i="5"/>
  <c r="AV646" i="5"/>
  <c r="AV649" i="5"/>
  <c r="AV650" i="5"/>
  <c r="AV635" i="5"/>
  <c r="AV655" i="5"/>
  <c r="AV632" i="5"/>
  <c r="AV687" i="5"/>
  <c r="AV690" i="5"/>
  <c r="AV688" i="5"/>
  <c r="AV699" i="5"/>
  <c r="AV633" i="5"/>
  <c r="AV637" i="5"/>
  <c r="AV652" i="5"/>
  <c r="AV642" i="5"/>
  <c r="AV656" i="5"/>
  <c r="AV654" i="5"/>
  <c r="AV636" i="5"/>
  <c r="AV691" i="5"/>
  <c r="AV692" i="5"/>
  <c r="AV694" i="5"/>
  <c r="AV739" i="5"/>
  <c r="AV810" i="5"/>
  <c r="AV837" i="5"/>
  <c r="AV738" i="5"/>
  <c r="AV754" i="5"/>
  <c r="AV755" i="5"/>
  <c r="AV740" i="5"/>
  <c r="AV790" i="5"/>
  <c r="AV803" i="5"/>
  <c r="AV801" i="5"/>
  <c r="AV802" i="5"/>
  <c r="AV804" i="5"/>
  <c r="AV757" i="5"/>
  <c r="AV805" i="5"/>
  <c r="AV746" i="5"/>
  <c r="AV743" i="5"/>
  <c r="AV748" i="5"/>
  <c r="AV769" i="5"/>
  <c r="AV765" i="5"/>
  <c r="AV742" i="5"/>
  <c r="AV701" i="5"/>
  <c r="AV703" i="5"/>
  <c r="AV744" i="5"/>
  <c r="AV767" i="5"/>
  <c r="AV735" i="5"/>
  <c r="AV751" i="5"/>
  <c r="AV745" i="5"/>
  <c r="AV709" i="5"/>
  <c r="AV820" i="5"/>
  <c r="AV809" i="5"/>
  <c r="AV788" i="5"/>
  <c r="AV814" i="5"/>
  <c r="AV816" i="5"/>
  <c r="AV852" i="5"/>
  <c r="AV853" i="5"/>
  <c r="AV855" i="5"/>
  <c r="AV719" i="5"/>
  <c r="AV747" i="5"/>
  <c r="AV821" i="5"/>
  <c r="AV808" i="5"/>
  <c r="AV834" i="5"/>
  <c r="AV839" i="5"/>
  <c r="AV829" i="5"/>
  <c r="AV838" i="5"/>
  <c r="AV727" i="5"/>
  <c r="AV763" i="5"/>
  <c r="AV730" i="5"/>
  <c r="AV764" i="5"/>
  <c r="AV818" i="5"/>
  <c r="AV812" i="5"/>
  <c r="AV817" i="5"/>
  <c r="AV768" i="5"/>
  <c r="AV758" i="5"/>
  <c r="AV752" i="5"/>
  <c r="AV822" i="5"/>
  <c r="AV749" i="5"/>
  <c r="AV766" i="5"/>
  <c r="AV811" i="5"/>
  <c r="AV807" i="5"/>
  <c r="AV819" i="5"/>
  <c r="AV756" i="5"/>
  <c r="AV714" i="5"/>
  <c r="AV773" i="5"/>
  <c r="AV827" i="5"/>
  <c r="AV787" i="5"/>
  <c r="AV830" i="5"/>
  <c r="AV849" i="5"/>
  <c r="AV750" i="5"/>
  <c r="AV759" i="5"/>
  <c r="AV741" i="5"/>
  <c r="AV796" i="5"/>
  <c r="AV806" i="5"/>
  <c r="AV813" i="5"/>
  <c r="AV831" i="5"/>
  <c r="AV835" i="5"/>
  <c r="AV836" i="5"/>
  <c r="AV851" i="5"/>
  <c r="AV856" i="5"/>
  <c r="AV774" i="5"/>
  <c r="AV724" i="5"/>
  <c r="AV716" i="5"/>
  <c r="AV715" i="5"/>
  <c r="AV775" i="5"/>
  <c r="AV722" i="5"/>
  <c r="AV776" i="5"/>
  <c r="AV723" i="5"/>
  <c r="AV780" i="5"/>
  <c r="AV828" i="5"/>
  <c r="AV854" i="5"/>
  <c r="AV857" i="5"/>
  <c r="AV737" i="5"/>
  <c r="AV753" i="5"/>
  <c r="AV717" i="5"/>
  <c r="AV770" i="5"/>
  <c r="AV771" i="5"/>
  <c r="AV736" i="5"/>
  <c r="AV760" i="5"/>
  <c r="AV708" i="5"/>
  <c r="AV711" i="5"/>
  <c r="AV710" i="5"/>
  <c r="AV761" i="5"/>
  <c r="AV726" i="5"/>
  <c r="AV721" i="5"/>
  <c r="AV772" i="5"/>
  <c r="AV712" i="5"/>
  <c r="AV720" i="5"/>
  <c r="AV713" i="5"/>
  <c r="AV728" i="5"/>
  <c r="AV762" i="5"/>
  <c r="AV781" i="5"/>
  <c r="AV783" i="5"/>
  <c r="AV782" i="5"/>
  <c r="AV823" i="5"/>
  <c r="AV824" i="5"/>
  <c r="AV784" i="5"/>
  <c r="AV825" i="5"/>
  <c r="AV785" i="5"/>
  <c r="AV789" i="5"/>
  <c r="AV786" i="5"/>
  <c r="AV826" i="5"/>
  <c r="AV815" i="5"/>
  <c r="AV833" i="5"/>
  <c r="AV840" i="5"/>
  <c r="AV841" i="5"/>
  <c r="AV846" i="5"/>
  <c r="AV844" i="5"/>
  <c r="AV847" i="5"/>
  <c r="AV850" i="5"/>
  <c r="AV848" i="5"/>
  <c r="AV706" i="5"/>
  <c r="AV731" i="5"/>
  <c r="AV704" i="5"/>
  <c r="AV705" i="5"/>
  <c r="AV729" i="5"/>
  <c r="AV725" i="5"/>
  <c r="AV732" i="5"/>
  <c r="AV733" i="5"/>
  <c r="AV718" i="5"/>
  <c r="AV707" i="5"/>
  <c r="AV734" i="5"/>
  <c r="AV799" i="5"/>
  <c r="AV793" i="5"/>
  <c r="AV794" i="5"/>
  <c r="AV778" i="5"/>
  <c r="AV779" i="5"/>
  <c r="AV800" i="5"/>
  <c r="AV777" i="5"/>
  <c r="AV797" i="5"/>
  <c r="AV791" i="5"/>
  <c r="AV795" i="5"/>
  <c r="AV845" i="5"/>
  <c r="AV842" i="5"/>
  <c r="AV843" i="5"/>
  <c r="AV702" i="5"/>
  <c r="AV792" i="5"/>
  <c r="AV798" i="5"/>
  <c r="AV832" i="5"/>
  <c r="AV858" i="5"/>
  <c r="AV911" i="5"/>
  <c r="AV912" i="5"/>
  <c r="AV932" i="5"/>
  <c r="AV933" i="5"/>
  <c r="AV859" i="5"/>
  <c r="AV869" i="5"/>
  <c r="AV913" i="5"/>
  <c r="AV934" i="5"/>
  <c r="AV870" i="5"/>
  <c r="AV935" i="5"/>
  <c r="AV897" i="5"/>
  <c r="AV914" i="5"/>
  <c r="AV1006" i="5"/>
  <c r="AV1007" i="5"/>
  <c r="AV999" i="5"/>
  <c r="AV1022" i="5"/>
  <c r="AV937" i="5"/>
  <c r="AV917" i="5"/>
  <c r="AV1000" i="5"/>
  <c r="AV1008" i="5"/>
  <c r="AV1001" i="5"/>
  <c r="AV915" i="5"/>
  <c r="AV916" i="5"/>
  <c r="AV874" i="5"/>
  <c r="AV1026" i="5"/>
  <c r="AV871" i="5"/>
  <c r="AV920" i="5"/>
  <c r="AV1011" i="5"/>
  <c r="AV941" i="5"/>
  <c r="AV921" i="5"/>
  <c r="AV919" i="5"/>
  <c r="AV922" i="5"/>
  <c r="AV872" i="5"/>
  <c r="AV960" i="5"/>
  <c r="AV877" i="5"/>
  <c r="AV949" i="5"/>
  <c r="AV923" i="5"/>
  <c r="AV950" i="5"/>
  <c r="AV924" i="5"/>
  <c r="AV951" i="5"/>
  <c r="AV925" i="5"/>
  <c r="AV952" i="5"/>
  <c r="AV953" i="5"/>
  <c r="AV926" i="5"/>
  <c r="AV927" i="5"/>
  <c r="AV942" i="5"/>
  <c r="AV954" i="5"/>
  <c r="AV961" i="5"/>
  <c r="AV955" i="5"/>
  <c r="AV928" i="5"/>
  <c r="AV929" i="5"/>
  <c r="AV956" i="5"/>
  <c r="AV957" i="5"/>
  <c r="AV930" i="5"/>
  <c r="AV931" i="5"/>
  <c r="AV1002" i="5"/>
  <c r="AV979" i="5"/>
  <c r="AV1003" i="5"/>
  <c r="AV1013" i="5"/>
  <c r="AV1004" i="5"/>
  <c r="AV989" i="5"/>
  <c r="AV1005" i="5"/>
  <c r="AV1023" i="5"/>
  <c r="AV1028" i="5"/>
  <c r="AV1027" i="5"/>
  <c r="AV890" i="5"/>
  <c r="AV888" i="5"/>
  <c r="AV882" i="5"/>
  <c r="AV896" i="5"/>
  <c r="AV878" i="5"/>
  <c r="AV1012" i="5"/>
  <c r="AV875" i="5"/>
  <c r="AV880" i="5"/>
  <c r="AV1025" i="5"/>
  <c r="AV861" i="5"/>
  <c r="AV962" i="5"/>
  <c r="AV963" i="5"/>
  <c r="AV936" i="5"/>
  <c r="AV1014" i="5"/>
  <c r="AV1015" i="5"/>
  <c r="AV1029" i="5"/>
  <c r="AV946" i="5"/>
  <c r="AV943" i="5"/>
  <c r="AV973" i="5"/>
  <c r="AV944" i="5"/>
  <c r="AV883" i="5"/>
  <c r="AV974" i="5"/>
  <c r="AV975" i="5"/>
  <c r="AV881" i="5"/>
  <c r="AV977" i="5"/>
  <c r="AV976" i="5"/>
  <c r="AV947" i="5"/>
  <c r="AV945" i="5"/>
  <c r="AV981" i="5"/>
  <c r="AV986" i="5"/>
  <c r="AV1020" i="5"/>
  <c r="AV1030" i="5"/>
  <c r="AV958" i="5"/>
  <c r="AV918" i="5"/>
  <c r="AV959" i="5"/>
  <c r="AV895" i="5"/>
  <c r="AV884" i="5"/>
  <c r="AV873" i="5"/>
  <c r="AV1019" i="5"/>
  <c r="AV964" i="5"/>
  <c r="AV898" i="5"/>
  <c r="AV965" i="5"/>
  <c r="AV876" i="5"/>
  <c r="AV938" i="5"/>
  <c r="AV891" i="5"/>
  <c r="AV939" i="5"/>
  <c r="AV966" i="5"/>
  <c r="AV967" i="5"/>
  <c r="AV968" i="5"/>
  <c r="AV948" i="5"/>
  <c r="AV969" i="5"/>
  <c r="AV879" i="5"/>
  <c r="AV892" i="5"/>
  <c r="AV972" i="5"/>
  <c r="AV970" i="5"/>
  <c r="AV894" i="5"/>
  <c r="AV893" i="5"/>
  <c r="AV940" i="5"/>
  <c r="AV971" i="5"/>
  <c r="AV889" i="5"/>
  <c r="AV987" i="5"/>
  <c r="AV1016" i="5"/>
  <c r="AV982" i="5"/>
  <c r="AV1017" i="5"/>
  <c r="AV985" i="5"/>
  <c r="AV1009" i="5"/>
  <c r="AV1010" i="5"/>
  <c r="AV1018" i="5"/>
  <c r="AV984" i="5"/>
  <c r="AV980" i="5"/>
  <c r="AV860" i="5"/>
  <c r="AV909" i="5"/>
  <c r="AV903" i="5"/>
  <c r="AV904" i="5"/>
  <c r="AV899" i="5"/>
  <c r="AV885" i="5"/>
  <c r="AV910" i="5"/>
  <c r="AV886" i="5"/>
  <c r="AV862" i="5"/>
  <c r="AV866" i="5"/>
  <c r="AV863" i="5"/>
  <c r="AV864" i="5"/>
  <c r="AV865" i="5"/>
  <c r="AV905" i="5"/>
  <c r="AV901" i="5"/>
  <c r="AV867" i="5"/>
  <c r="AV906" i="5"/>
  <c r="AV902" i="5"/>
  <c r="AV907" i="5"/>
  <c r="AV887" i="5"/>
  <c r="AV900" i="5"/>
  <c r="AV988" i="5"/>
  <c r="AV978" i="5"/>
  <c r="AV993" i="5"/>
  <c r="AV995" i="5"/>
  <c r="AV994" i="5"/>
  <c r="AV996" i="5"/>
  <c r="AV992" i="5"/>
  <c r="AV990" i="5"/>
  <c r="AV991" i="5"/>
  <c r="AV997" i="5"/>
  <c r="AV998" i="5"/>
  <c r="AV983" i="5"/>
  <c r="AV1021" i="5"/>
  <c r="AV1024" i="5"/>
  <c r="AV908" i="5"/>
  <c r="AV868" i="5"/>
  <c r="AV1031" i="5"/>
  <c r="AV1032" i="5"/>
  <c r="AV1033" i="5"/>
  <c r="AV1034" i="5"/>
  <c r="AV1035" i="5"/>
  <c r="AV1036" i="5"/>
  <c r="AV1037" i="5"/>
  <c r="AV1038" i="5"/>
  <c r="AV1040" i="5"/>
  <c r="AV1039" i="5"/>
  <c r="AV1041" i="5"/>
  <c r="AV1042" i="5"/>
  <c r="AV1045" i="5"/>
  <c r="AV1043" i="5"/>
  <c r="AV1046" i="5"/>
  <c r="AV1044" i="5"/>
  <c r="AV1048" i="5"/>
  <c r="AV1049" i="5"/>
  <c r="AV1047" i="5"/>
  <c r="AV1052" i="5"/>
  <c r="AV1051" i="5"/>
  <c r="AV1054" i="5"/>
  <c r="AV1050" i="5"/>
  <c r="AV1053" i="5"/>
  <c r="AV1058" i="5"/>
  <c r="AV1056" i="5"/>
  <c r="AV1055" i="5"/>
  <c r="AV1060" i="5"/>
  <c r="AV1059" i="5"/>
  <c r="AV1057" i="5"/>
  <c r="AV1061" i="5"/>
  <c r="AV1062" i="5"/>
  <c r="AV1064" i="5"/>
  <c r="AV1063" i="5"/>
  <c r="AV1066" i="5"/>
  <c r="AV1065" i="5"/>
  <c r="AV1068" i="5"/>
  <c r="AV1067" i="5"/>
  <c r="AV1073" i="5"/>
  <c r="AV1072" i="5"/>
  <c r="AV1069" i="5"/>
  <c r="AV1071" i="5"/>
  <c r="AV1070" i="5"/>
  <c r="AV1074" i="5"/>
  <c r="AV1075" i="5"/>
  <c r="AV1079" i="5"/>
  <c r="AV1078" i="5"/>
  <c r="AV1077" i="5"/>
  <c r="AV1081" i="5"/>
  <c r="AV1076" i="5"/>
  <c r="AV1082" i="5"/>
  <c r="AV1080" i="5"/>
  <c r="AV1084" i="5"/>
  <c r="AV1086" i="5"/>
  <c r="AV1085" i="5"/>
  <c r="AV1088" i="5"/>
  <c r="AV1089" i="5"/>
  <c r="AV1083" i="5"/>
  <c r="AV1087" i="5"/>
  <c r="AV1090" i="5"/>
  <c r="AV1091" i="5"/>
  <c r="AV1092" i="5"/>
  <c r="AV1094" i="5"/>
  <c r="AV1095" i="5"/>
  <c r="AV1093" i="5"/>
  <c r="AV1096" i="5"/>
  <c r="AV1097" i="5"/>
  <c r="AV1099" i="5"/>
  <c r="AV1101" i="5"/>
  <c r="AV1098" i="5"/>
  <c r="AV1100" i="5"/>
  <c r="AV1102" i="5"/>
  <c r="AV1103" i="5"/>
  <c r="AV1104" i="5"/>
  <c r="AV1105" i="5"/>
  <c r="AV1106" i="5"/>
  <c r="AV1107" i="5"/>
  <c r="AV1108" i="5"/>
  <c r="AV1110" i="5"/>
  <c r="AV1111" i="5"/>
  <c r="AV1109" i="5"/>
  <c r="AV1113" i="5"/>
  <c r="AV1112" i="5"/>
  <c r="AV1114" i="5"/>
  <c r="AV1117" i="5"/>
  <c r="AV1115" i="5"/>
  <c r="AV1116" i="5"/>
  <c r="AV1119" i="5"/>
  <c r="AV1118" i="5"/>
  <c r="AV1120" i="5"/>
  <c r="AV1122" i="5"/>
  <c r="AV1121" i="5"/>
  <c r="AV1123" i="5"/>
  <c r="AV1124" i="5"/>
  <c r="AV1125" i="5"/>
  <c r="AV1126" i="5"/>
  <c r="AV1127" i="5"/>
  <c r="AV1129" i="5"/>
  <c r="AV1128" i="5"/>
  <c r="AV1130" i="5"/>
  <c r="AV1131" i="5"/>
  <c r="AV1134" i="5"/>
  <c r="AV1132" i="5"/>
  <c r="AV1133" i="5"/>
  <c r="AV1135" i="5"/>
  <c r="AV1137" i="5"/>
  <c r="AV1138" i="5"/>
  <c r="AV1139" i="5"/>
  <c r="AV1141" i="5"/>
  <c r="AV1136" i="5"/>
  <c r="AV1140" i="5"/>
  <c r="AV1162" i="5"/>
  <c r="AV1143" i="5"/>
  <c r="AV1149" i="5"/>
  <c r="AV1153" i="5"/>
  <c r="AV1152" i="5"/>
  <c r="AV1155" i="5"/>
  <c r="AV1150" i="5"/>
  <c r="AV1158" i="5"/>
  <c r="AV1157" i="5"/>
  <c r="AV1147" i="5"/>
  <c r="AV1145" i="5"/>
  <c r="AV1163" i="5"/>
  <c r="AV1159" i="5"/>
  <c r="AV1142" i="5"/>
  <c r="AV1151" i="5"/>
  <c r="AV1156" i="5"/>
  <c r="AV1164" i="5"/>
  <c r="AV1148" i="5"/>
  <c r="AV1144" i="5"/>
  <c r="AV1146" i="5"/>
  <c r="AV1154" i="5"/>
  <c r="AV1160" i="5"/>
  <c r="AV1161" i="5"/>
  <c r="AV1171" i="5"/>
  <c r="AV1166" i="5"/>
  <c r="AV1176" i="5"/>
  <c r="AV1175" i="5"/>
  <c r="AV1170" i="5"/>
  <c r="AV1169" i="5"/>
  <c r="AV1167" i="5"/>
  <c r="AV1168" i="5"/>
  <c r="AV1174" i="5"/>
  <c r="AV1173" i="5"/>
  <c r="AV1179" i="5"/>
  <c r="AV1172" i="5"/>
  <c r="AV1165" i="5"/>
  <c r="AV1177" i="5"/>
  <c r="AV1178" i="5"/>
  <c r="AV1182" i="5"/>
  <c r="AV1181" i="5"/>
  <c r="AV1186" i="5"/>
  <c r="AV1180" i="5"/>
  <c r="AV1183" i="5"/>
  <c r="AV1185" i="5"/>
  <c r="AV1184" i="5"/>
  <c r="AV1188" i="5"/>
  <c r="AV1192" i="5"/>
  <c r="AV1190" i="5"/>
  <c r="AV1194" i="5"/>
  <c r="AV1187" i="5"/>
  <c r="AV1193" i="5"/>
  <c r="AV1191" i="5"/>
  <c r="AV1189" i="5"/>
  <c r="AV1196" i="5"/>
  <c r="AV1195" i="5"/>
  <c r="AV1198" i="5"/>
  <c r="AV1197" i="5"/>
  <c r="AV1199" i="5"/>
  <c r="AV1201" i="5"/>
  <c r="AV1202" i="5"/>
  <c r="AV1200" i="5"/>
  <c r="AV1203" i="5"/>
  <c r="AV1204" i="5"/>
  <c r="AV1206" i="5"/>
  <c r="AV1205" i="5"/>
  <c r="AV1207" i="5"/>
  <c r="AV1208" i="5"/>
  <c r="AV1213" i="5"/>
  <c r="AV1209" i="5"/>
  <c r="AV1210" i="5"/>
  <c r="AV1214" i="5"/>
  <c r="AV1211" i="5"/>
  <c r="AV1212" i="5"/>
  <c r="AV1215" i="5"/>
  <c r="AV1216" i="5"/>
  <c r="AV1218" i="5"/>
  <c r="AV1217" i="5"/>
  <c r="AV1224" i="5"/>
  <c r="AV1222" i="5"/>
  <c r="AV1219" i="5"/>
  <c r="AV1223" i="5"/>
  <c r="AV1221" i="5"/>
  <c r="AV1225" i="5"/>
  <c r="AV1220" i="5"/>
  <c r="AV1226" i="5"/>
  <c r="AV1227" i="5"/>
  <c r="AV1228" i="5"/>
  <c r="AV1229" i="5"/>
  <c r="AV1230" i="5"/>
  <c r="AV1232" i="5"/>
  <c r="AV1231" i="5"/>
  <c r="AV1233" i="5"/>
  <c r="AV1236" i="5"/>
  <c r="AV1235" i="5"/>
  <c r="AV1234" i="5"/>
  <c r="AV1239" i="5"/>
  <c r="AV1238" i="5"/>
  <c r="AV1237" i="5"/>
  <c r="AV1240" i="5"/>
  <c r="AV1241" i="5"/>
  <c r="AV1242" i="5"/>
  <c r="AV1243" i="5"/>
  <c r="AV1245" i="5"/>
  <c r="AV1244" i="5"/>
  <c r="AV1247" i="5"/>
  <c r="AV1246" i="5"/>
  <c r="AV1249" i="5"/>
  <c r="AV1248" i="5"/>
  <c r="AV1250" i="5"/>
  <c r="AV1251" i="5"/>
  <c r="AV1268" i="5"/>
  <c r="AV1258" i="5"/>
  <c r="AV1261" i="5"/>
  <c r="AV1256" i="5"/>
  <c r="AV1254" i="5"/>
  <c r="AV1263" i="5"/>
  <c r="AV1257" i="5"/>
  <c r="AV1267" i="5"/>
  <c r="AV1255" i="5"/>
  <c r="AV1262" i="5"/>
  <c r="AV1270" i="5"/>
  <c r="AV1252" i="5"/>
  <c r="AV1260" i="5"/>
  <c r="AV1264" i="5"/>
  <c r="AV1269" i="5"/>
  <c r="AV1274" i="5"/>
  <c r="AV1265" i="5"/>
  <c r="AV1271" i="5"/>
  <c r="AV1272" i="5"/>
  <c r="AV1266" i="5"/>
  <c r="AV1259" i="5"/>
  <c r="AV1275" i="5"/>
  <c r="AV1253" i="5"/>
  <c r="AV1273" i="5"/>
  <c r="AV1276" i="5"/>
  <c r="AV1278" i="5"/>
  <c r="AV1277" i="5"/>
  <c r="AV1280" i="5"/>
  <c r="AV1288" i="5"/>
  <c r="AV1286" i="5"/>
  <c r="AV1284" i="5"/>
  <c r="AV1281" i="5"/>
  <c r="AV1279" i="5"/>
  <c r="AV1285" i="5"/>
  <c r="AV1283" i="5"/>
  <c r="AV1287" i="5"/>
  <c r="AV1282" i="5"/>
  <c r="AV1289" i="5"/>
  <c r="AV1290" i="5"/>
  <c r="AV1313" i="5"/>
  <c r="AV1299" i="5"/>
  <c r="AV1308" i="5"/>
  <c r="AV1293" i="5"/>
  <c r="AV1297" i="5"/>
  <c r="AV1300" i="5"/>
  <c r="AV1298" i="5"/>
  <c r="AV1291" i="5"/>
  <c r="AV1301" i="5"/>
  <c r="AV1302" i="5"/>
  <c r="AV1292" i="5"/>
  <c r="AV1304" i="5"/>
  <c r="AV1309" i="5"/>
  <c r="AV1303" i="5"/>
  <c r="AV1310" i="5"/>
  <c r="AV1296" i="5"/>
  <c r="AV1295" i="5"/>
  <c r="AV1306" i="5"/>
  <c r="AV1314" i="5"/>
  <c r="AV1305" i="5"/>
  <c r="AV1312" i="5"/>
  <c r="AV1315" i="5"/>
  <c r="AV1311" i="5"/>
  <c r="AV1294" i="5"/>
  <c r="AV1307" i="5"/>
  <c r="AV1328" i="5"/>
  <c r="AV1318" i="5"/>
  <c r="AV1316" i="5"/>
  <c r="AV1319" i="5"/>
  <c r="AV1323" i="5"/>
  <c r="AV1321" i="5"/>
  <c r="AV1317" i="5"/>
  <c r="AV1324" i="5"/>
  <c r="AV1320" i="5"/>
  <c r="AV1326" i="5"/>
  <c r="AV1322" i="5"/>
  <c r="AV1329" i="5"/>
  <c r="AV1330" i="5"/>
  <c r="AV1325" i="5"/>
  <c r="AV1327" i="5"/>
  <c r="AV1331" i="5"/>
  <c r="AV1347" i="5"/>
  <c r="AV1343" i="5"/>
  <c r="AV1341" i="5"/>
  <c r="AV1352" i="5"/>
  <c r="AV1335" i="5"/>
  <c r="AV1344" i="5"/>
  <c r="AV1348" i="5"/>
  <c r="AV1354" i="5"/>
  <c r="AV1349" i="5"/>
  <c r="AV1336" i="5"/>
  <c r="AV1359" i="5"/>
  <c r="AV1340" i="5"/>
  <c r="AV1342" i="5"/>
  <c r="AV1350" i="5"/>
  <c r="AV1353" i="5"/>
  <c r="AV1346" i="5"/>
  <c r="AV1337" i="5"/>
  <c r="AV1333" i="5"/>
  <c r="AV1356" i="5"/>
  <c r="AV1345" i="5"/>
  <c r="AV1334" i="5"/>
  <c r="AV1358" i="5"/>
  <c r="AV1360" i="5"/>
  <c r="AV1332" i="5"/>
  <c r="AV1355" i="5"/>
  <c r="AV1338" i="5"/>
  <c r="AV1339" i="5"/>
  <c r="AV1351" i="5"/>
  <c r="AV1361" i="5"/>
  <c r="AV1357" i="5"/>
  <c r="AV1367" i="5"/>
  <c r="AV1362" i="5"/>
  <c r="AV1369" i="5"/>
  <c r="AV1370" i="5"/>
  <c r="AV1363" i="5"/>
  <c r="AV1368" i="5"/>
  <c r="AV1372" i="5"/>
  <c r="AV1365" i="5"/>
  <c r="AV1374" i="5"/>
  <c r="AV1364" i="5"/>
  <c r="AV1371" i="5"/>
  <c r="AV1366" i="5"/>
  <c r="AV1373" i="5"/>
  <c r="AV1375" i="5"/>
  <c r="AV1380" i="5"/>
  <c r="AV1386" i="5"/>
  <c r="AV1381" i="5"/>
  <c r="AV1377" i="5"/>
  <c r="AV1383" i="5"/>
  <c r="AV1385" i="5"/>
  <c r="AV1384" i="5"/>
  <c r="AV1376" i="5"/>
  <c r="AV1378" i="5"/>
  <c r="AV1379" i="5"/>
  <c r="AV1382" i="5"/>
  <c r="AV1387" i="5"/>
  <c r="AV1388" i="5"/>
  <c r="AV1389" i="5"/>
  <c r="AV1390" i="5"/>
  <c r="AV1392" i="5"/>
  <c r="AV1391" i="5"/>
  <c r="AV1393" i="5"/>
  <c r="AV1394" i="5"/>
  <c r="AV1395" i="5"/>
  <c r="AV1396" i="5"/>
  <c r="AV1398" i="5"/>
  <c r="AV1397" i="5"/>
  <c r="AV1399" i="5"/>
  <c r="AV1400" i="5"/>
  <c r="AV1401" i="5"/>
  <c r="AV1402" i="5"/>
  <c r="AV1403" i="5"/>
  <c r="AV1404" i="5"/>
  <c r="AT3" i="5"/>
  <c r="AT2" i="5"/>
  <c r="AT31" i="5"/>
  <c r="AT32" i="5"/>
  <c r="AT50" i="5"/>
  <c r="AT43" i="5"/>
  <c r="AT48" i="5"/>
  <c r="AT18" i="5"/>
  <c r="AT36" i="5"/>
  <c r="AT33" i="5"/>
  <c r="AT11" i="5"/>
  <c r="AT19" i="5"/>
  <c r="AT10" i="5"/>
  <c r="AT37" i="5"/>
  <c r="AT38" i="5"/>
  <c r="AT42" i="5"/>
  <c r="AT29" i="5"/>
  <c r="AT9" i="5"/>
  <c r="AT39" i="5"/>
  <c r="AT7" i="5"/>
  <c r="AT35" i="5"/>
  <c r="AT44" i="5"/>
  <c r="AT52" i="5"/>
  <c r="AT40" i="5"/>
  <c r="AT34" i="5"/>
  <c r="AT27" i="5"/>
  <c r="AT28" i="5"/>
  <c r="AT41" i="5"/>
  <c r="AT47" i="5"/>
  <c r="AT20" i="5"/>
  <c r="AT21" i="5"/>
  <c r="AT8" i="5"/>
  <c r="AT22" i="5"/>
  <c r="AT23" i="5"/>
  <c r="AT24" i="5"/>
  <c r="AT30" i="5"/>
  <c r="AT25" i="5"/>
  <c r="AT46" i="5"/>
  <c r="AT49" i="5"/>
  <c r="AT26" i="5"/>
  <c r="AT51" i="5"/>
  <c r="AT54" i="5"/>
  <c r="AT57" i="5"/>
  <c r="AT56" i="5"/>
  <c r="AT4" i="5"/>
  <c r="AT15" i="5"/>
  <c r="AT16" i="5"/>
  <c r="AT55" i="5"/>
  <c r="AT12" i="5"/>
  <c r="AT13" i="5"/>
  <c r="AT14" i="5"/>
  <c r="AT58" i="5"/>
  <c r="AT5" i="5"/>
  <c r="AT17" i="5"/>
  <c r="AT45" i="5"/>
  <c r="AT6" i="5"/>
  <c r="AT53" i="5"/>
  <c r="AT59" i="5"/>
  <c r="AT67" i="5"/>
  <c r="AT82" i="5"/>
  <c r="AT83" i="5"/>
  <c r="AT84" i="5"/>
  <c r="AT88" i="5"/>
  <c r="AT76" i="5"/>
  <c r="AT77" i="5"/>
  <c r="AT167" i="5"/>
  <c r="AT97" i="5"/>
  <c r="AT106" i="5"/>
  <c r="AT123" i="5"/>
  <c r="AT134" i="5"/>
  <c r="AT135" i="5"/>
  <c r="AT90" i="5"/>
  <c r="AT86" i="5"/>
  <c r="AT91" i="5"/>
  <c r="AT78" i="5"/>
  <c r="AT85" i="5"/>
  <c r="AT70" i="5"/>
  <c r="AT92" i="5"/>
  <c r="AT68" i="5"/>
  <c r="AT100" i="5"/>
  <c r="AT99" i="5"/>
  <c r="AT128" i="5"/>
  <c r="AT126" i="5"/>
  <c r="AT129" i="5"/>
  <c r="AT138" i="5"/>
  <c r="AT75" i="5"/>
  <c r="AT80" i="5"/>
  <c r="AT81" i="5"/>
  <c r="AT93" i="5"/>
  <c r="AT87" i="5"/>
  <c r="AT94" i="5"/>
  <c r="AT66" i="5"/>
  <c r="AT89" i="5"/>
  <c r="AT131" i="5"/>
  <c r="AT95" i="5"/>
  <c r="AT79" i="5"/>
  <c r="AT149" i="5"/>
  <c r="AT145" i="5"/>
  <c r="AT96" i="5"/>
  <c r="AT101" i="5"/>
  <c r="AT105" i="5"/>
  <c r="AT114" i="5"/>
  <c r="AT112" i="5"/>
  <c r="AT117" i="5"/>
  <c r="AT110" i="5"/>
  <c r="AT118" i="5"/>
  <c r="AT148" i="5"/>
  <c r="AT153" i="5"/>
  <c r="AT163" i="5"/>
  <c r="AT143" i="5"/>
  <c r="AT152" i="5"/>
  <c r="AT65" i="5"/>
  <c r="AT113" i="5"/>
  <c r="AT119" i="5"/>
  <c r="AT108" i="5"/>
  <c r="AT125" i="5"/>
  <c r="AT142" i="5"/>
  <c r="AT102" i="5"/>
  <c r="AT116" i="5"/>
  <c r="AT107" i="5"/>
  <c r="AT120" i="5"/>
  <c r="AT124" i="5"/>
  <c r="AT127" i="5"/>
  <c r="AT132" i="5"/>
  <c r="AT139" i="5"/>
  <c r="AT146" i="5"/>
  <c r="AT151" i="5"/>
  <c r="AT154" i="5"/>
  <c r="AT156" i="5"/>
  <c r="AT155" i="5"/>
  <c r="AT157" i="5"/>
  <c r="AT160" i="5"/>
  <c r="AT164" i="5"/>
  <c r="AT162" i="5"/>
  <c r="AT144" i="5"/>
  <c r="AT159" i="5"/>
  <c r="AT60" i="5"/>
  <c r="AT61" i="5"/>
  <c r="AT63" i="5"/>
  <c r="AT73" i="5"/>
  <c r="AT69" i="5"/>
  <c r="AT72" i="5"/>
  <c r="AT64" i="5"/>
  <c r="AT74" i="5"/>
  <c r="AT121" i="5"/>
  <c r="AT165" i="5"/>
  <c r="AT111" i="5"/>
  <c r="AT137" i="5"/>
  <c r="AT147" i="5"/>
  <c r="AT150" i="5"/>
  <c r="AT166" i="5"/>
  <c r="AT168" i="5"/>
  <c r="AT98" i="5"/>
  <c r="AT104" i="5"/>
  <c r="AT109" i="5"/>
  <c r="AT136" i="5"/>
  <c r="AT161" i="5"/>
  <c r="AT130" i="5"/>
  <c r="AT169" i="5"/>
  <c r="AT103" i="5"/>
  <c r="AT115" i="5"/>
  <c r="AT122" i="5"/>
  <c r="AT133" i="5"/>
  <c r="AT141" i="5"/>
  <c r="AT158" i="5"/>
  <c r="AT71" i="5"/>
  <c r="AT62" i="5"/>
  <c r="AT140" i="5"/>
  <c r="AT175" i="5"/>
  <c r="AT181" i="5"/>
  <c r="AT170" i="5"/>
  <c r="AT174" i="5"/>
  <c r="AT173" i="5"/>
  <c r="AT178" i="5"/>
  <c r="AT172" i="5"/>
  <c r="AT177" i="5"/>
  <c r="AT179" i="5"/>
  <c r="AT180" i="5"/>
  <c r="AT183" i="5"/>
  <c r="AT182" i="5"/>
  <c r="AT176" i="5"/>
  <c r="AT171" i="5"/>
  <c r="AT198" i="5"/>
  <c r="AT223" i="5"/>
  <c r="AT224" i="5"/>
  <c r="AT188" i="5"/>
  <c r="AT189" i="5"/>
  <c r="AT190" i="5"/>
  <c r="AT191" i="5"/>
  <c r="AT202" i="5"/>
  <c r="AT210" i="5"/>
  <c r="AT214" i="5"/>
  <c r="AT226" i="5"/>
  <c r="AT192" i="5"/>
  <c r="AT203" i="5"/>
  <c r="AT196" i="5"/>
  <c r="AT215" i="5"/>
  <c r="AT229" i="5"/>
  <c r="AT187" i="5"/>
  <c r="AT194" i="5"/>
  <c r="AT195" i="5"/>
  <c r="AT197" i="5"/>
  <c r="AT200" i="5"/>
  <c r="AT201" i="5"/>
  <c r="AT199" i="5"/>
  <c r="AT221" i="5"/>
  <c r="AT236" i="5"/>
  <c r="AT193" i="5"/>
  <c r="AT185" i="5"/>
  <c r="AT207" i="5"/>
  <c r="AT213" i="5"/>
  <c r="AT211" i="5"/>
  <c r="AT222" i="5"/>
  <c r="AT205" i="5"/>
  <c r="AT216" i="5"/>
  <c r="AT206" i="5"/>
  <c r="AT235" i="5"/>
  <c r="AT219" i="5"/>
  <c r="AT204" i="5"/>
  <c r="AT233" i="5"/>
  <c r="AT237" i="5"/>
  <c r="AT184" i="5"/>
  <c r="AT186" i="5"/>
  <c r="AT212" i="5"/>
  <c r="AT220" i="5"/>
  <c r="AT231" i="5"/>
  <c r="AT208" i="5"/>
  <c r="AT209" i="5"/>
  <c r="AT228" i="5"/>
  <c r="AT234" i="5"/>
  <c r="AT218" i="5"/>
  <c r="AT227" i="5"/>
  <c r="AT230" i="5"/>
  <c r="AT225" i="5"/>
  <c r="AT232" i="5"/>
  <c r="AT217" i="5"/>
  <c r="AT238" i="5"/>
  <c r="AT241" i="5"/>
  <c r="AT244" i="5"/>
  <c r="AT254" i="5"/>
  <c r="AT257" i="5"/>
  <c r="AT239" i="5"/>
  <c r="AT249" i="5"/>
  <c r="AT248" i="5"/>
  <c r="AT240" i="5"/>
  <c r="AT259" i="5"/>
  <c r="AT242" i="5"/>
  <c r="AT250" i="5"/>
  <c r="AT252" i="5"/>
  <c r="AT255" i="5"/>
  <c r="AT266" i="5"/>
  <c r="AT246" i="5"/>
  <c r="AT256" i="5"/>
  <c r="AT243" i="5"/>
  <c r="AT261" i="5"/>
  <c r="AT247" i="5"/>
  <c r="AT251" i="5"/>
  <c r="AT245" i="5"/>
  <c r="AT265" i="5"/>
  <c r="AT253" i="5"/>
  <c r="AT258" i="5"/>
  <c r="AT264" i="5"/>
  <c r="AT260" i="5"/>
  <c r="AT262" i="5"/>
  <c r="AT263" i="5"/>
  <c r="AT273" i="5"/>
  <c r="AT267" i="5"/>
  <c r="AT274" i="5"/>
  <c r="AT275" i="5"/>
  <c r="AT280" i="5"/>
  <c r="AT278" i="5"/>
  <c r="AT268" i="5"/>
  <c r="AT270" i="5"/>
  <c r="AT281" i="5"/>
  <c r="AT272" i="5"/>
  <c r="AT271" i="5"/>
  <c r="AT282" i="5"/>
  <c r="AT277" i="5"/>
  <c r="AT279" i="5"/>
  <c r="AT276" i="5"/>
  <c r="AT269" i="5"/>
  <c r="AT289" i="5"/>
  <c r="AT291" i="5"/>
  <c r="AT292" i="5"/>
  <c r="AT293" i="5"/>
  <c r="AT294" i="5"/>
  <c r="AT295" i="5"/>
  <c r="AT308" i="5"/>
  <c r="AT318" i="5"/>
  <c r="AT319" i="5"/>
  <c r="AT296" i="5"/>
  <c r="AT297" i="5"/>
  <c r="AT298" i="5"/>
  <c r="AT299" i="5"/>
  <c r="AT306" i="5"/>
  <c r="AT304" i="5"/>
  <c r="AT283" i="5"/>
  <c r="AT284" i="5"/>
  <c r="AT317" i="5"/>
  <c r="AT301" i="5"/>
  <c r="AT314" i="5"/>
  <c r="AT315" i="5"/>
  <c r="AT321" i="5"/>
  <c r="AT312" i="5"/>
  <c r="AT313" i="5"/>
  <c r="AT310" i="5"/>
  <c r="AT311" i="5"/>
  <c r="AT322" i="5"/>
  <c r="AT316" i="5"/>
  <c r="AT287" i="5"/>
  <c r="AT286" i="5"/>
  <c r="AT290" i="5"/>
  <c r="AT285" i="5"/>
  <c r="AT288" i="5"/>
  <c r="AT305" i="5"/>
  <c r="AT303" i="5"/>
  <c r="AT320" i="5"/>
  <c r="AT300" i="5"/>
  <c r="AT302" i="5"/>
  <c r="AT309" i="5"/>
  <c r="AT307" i="5"/>
  <c r="AT331" i="5"/>
  <c r="AT332" i="5"/>
  <c r="AT330" i="5"/>
  <c r="AT329" i="5"/>
  <c r="AT327" i="5"/>
  <c r="AT326" i="5"/>
  <c r="AT323" i="5"/>
  <c r="AT325" i="5"/>
  <c r="AT328" i="5"/>
  <c r="AT324" i="5"/>
  <c r="AT336" i="5"/>
  <c r="AT345" i="5"/>
  <c r="AT343" i="5"/>
  <c r="AT339" i="5"/>
  <c r="AT349" i="5"/>
  <c r="AT344" i="5"/>
  <c r="AT341" i="5"/>
  <c r="AT333" i="5"/>
  <c r="AT348" i="5"/>
  <c r="AT334" i="5"/>
  <c r="AT346" i="5"/>
  <c r="AT337" i="5"/>
  <c r="AT340" i="5"/>
  <c r="AT347" i="5"/>
  <c r="AT338" i="5"/>
  <c r="AT335" i="5"/>
  <c r="AT342" i="5"/>
  <c r="AT351" i="5"/>
  <c r="AT350" i="5"/>
  <c r="AT352" i="5"/>
  <c r="AT359" i="5"/>
  <c r="AT355" i="5"/>
  <c r="AT373" i="5"/>
  <c r="AT357" i="5"/>
  <c r="AT369" i="5"/>
  <c r="AT360" i="5"/>
  <c r="AT361" i="5"/>
  <c r="AT371" i="5"/>
  <c r="AT370" i="5"/>
  <c r="AT358" i="5"/>
  <c r="AT374" i="5"/>
  <c r="AT378" i="5"/>
  <c r="AT375" i="5"/>
  <c r="AT366" i="5"/>
  <c r="AT364" i="5"/>
  <c r="AT365" i="5"/>
  <c r="AT376" i="5"/>
  <c r="AT377" i="5"/>
  <c r="AT356" i="5"/>
  <c r="AT353" i="5"/>
  <c r="AT363" i="5"/>
  <c r="AT354" i="5"/>
  <c r="AT368" i="5"/>
  <c r="AT367" i="5"/>
  <c r="AT372" i="5"/>
  <c r="AT362" i="5"/>
  <c r="AT380" i="5"/>
  <c r="AT383" i="5"/>
  <c r="AT379" i="5"/>
  <c r="AT381" i="5"/>
  <c r="AT387" i="5"/>
  <c r="AT395" i="5"/>
  <c r="AT396" i="5"/>
  <c r="AT391" i="5"/>
  <c r="AT392" i="5"/>
  <c r="AT394" i="5"/>
  <c r="AT386" i="5"/>
  <c r="AT385" i="5"/>
  <c r="AT399" i="5"/>
  <c r="AT398" i="5"/>
  <c r="AT384" i="5"/>
  <c r="AT388" i="5"/>
  <c r="AT397" i="5"/>
  <c r="AT382" i="5"/>
  <c r="AT393" i="5"/>
  <c r="AT400" i="5"/>
  <c r="AT389" i="5"/>
  <c r="AT390" i="5"/>
  <c r="AT401" i="5"/>
  <c r="AT410" i="5"/>
  <c r="AT411" i="5"/>
  <c r="AT412" i="5"/>
  <c r="AT413" i="5"/>
  <c r="AT432" i="5"/>
  <c r="AT416" i="5"/>
  <c r="AT414" i="5"/>
  <c r="AT417" i="5"/>
  <c r="AT428" i="5"/>
  <c r="AT423" i="5"/>
  <c r="AT430" i="5"/>
  <c r="AT408" i="5"/>
  <c r="AT409" i="5"/>
  <c r="AT431" i="5"/>
  <c r="AT403" i="5"/>
  <c r="AT404" i="5"/>
  <c r="AT415" i="5"/>
  <c r="AT419" i="5"/>
  <c r="AT429" i="5"/>
  <c r="AT435" i="5"/>
  <c r="AT402" i="5"/>
  <c r="AT418" i="5"/>
  <c r="AT406" i="5"/>
  <c r="AT421" i="5"/>
  <c r="AT420" i="5"/>
  <c r="AT434" i="5"/>
  <c r="AT422" i="5"/>
  <c r="AT424" i="5"/>
  <c r="AT433" i="5"/>
  <c r="AT405" i="5"/>
  <c r="AT407" i="5"/>
  <c r="AT427" i="5"/>
  <c r="AT426" i="5"/>
  <c r="AT425" i="5"/>
  <c r="AT446" i="5"/>
  <c r="AT447" i="5"/>
  <c r="AT468" i="5"/>
  <c r="AT471" i="5"/>
  <c r="AT472" i="5"/>
  <c r="AT448" i="5"/>
  <c r="AT453" i="5"/>
  <c r="AT449" i="5"/>
  <c r="AT454" i="5"/>
  <c r="AT455" i="5"/>
  <c r="AT474" i="5"/>
  <c r="AT440" i="5"/>
  <c r="AT437" i="5"/>
  <c r="AT456" i="5"/>
  <c r="AT452" i="5"/>
  <c r="AT444" i="5"/>
  <c r="AT445" i="5"/>
  <c r="AT450" i="5"/>
  <c r="AT439" i="5"/>
  <c r="AT467" i="5"/>
  <c r="AT469" i="5"/>
  <c r="AT451" i="5"/>
  <c r="AT436" i="5"/>
  <c r="AT470" i="5"/>
  <c r="AT438" i="5"/>
  <c r="AT459" i="5"/>
  <c r="AT460" i="5"/>
  <c r="AT463" i="5"/>
  <c r="AT475" i="5"/>
  <c r="AT461" i="5"/>
  <c r="AT441" i="5"/>
  <c r="AT457" i="5"/>
  <c r="AT458" i="5"/>
  <c r="AT442" i="5"/>
  <c r="AT464" i="5"/>
  <c r="AT462" i="5"/>
  <c r="AT473" i="5"/>
  <c r="AT465" i="5"/>
  <c r="AT466" i="5"/>
  <c r="AT476" i="5"/>
  <c r="AT443" i="5"/>
  <c r="AT485" i="5"/>
  <c r="AT489" i="5"/>
  <c r="AT488" i="5"/>
  <c r="AT491" i="5"/>
  <c r="AT478" i="5"/>
  <c r="AT479" i="5"/>
  <c r="AT511" i="5"/>
  <c r="AT496" i="5"/>
  <c r="AT498" i="5"/>
  <c r="AT490" i="5"/>
  <c r="AT499" i="5"/>
  <c r="AT492" i="5"/>
  <c r="AT512" i="5"/>
  <c r="AT500" i="5"/>
  <c r="AT501" i="5"/>
  <c r="AT493" i="5"/>
  <c r="AT508" i="5"/>
  <c r="AT509" i="5"/>
  <c r="AT484" i="5"/>
  <c r="AT497" i="5"/>
  <c r="AT480" i="5"/>
  <c r="AT494" i="5"/>
  <c r="AT502" i="5"/>
  <c r="AT507" i="5"/>
  <c r="AT506" i="5"/>
  <c r="AT514" i="5"/>
  <c r="AT504" i="5"/>
  <c r="AT487" i="5"/>
  <c r="AT510" i="5"/>
  <c r="AT503" i="5"/>
  <c r="AT515" i="5"/>
  <c r="AT481" i="5"/>
  <c r="AT505" i="5"/>
  <c r="AT495" i="5"/>
  <c r="AT486" i="5"/>
  <c r="AT513" i="5"/>
  <c r="AT483" i="5"/>
  <c r="AT482" i="5"/>
  <c r="AT477" i="5"/>
  <c r="AT607" i="5"/>
  <c r="AT615" i="5"/>
  <c r="AT616" i="5"/>
  <c r="AT624" i="5"/>
  <c r="AT549" i="5"/>
  <c r="AT603" i="5"/>
  <c r="AT561" i="5"/>
  <c r="AT526" i="5"/>
  <c r="AT523" i="5"/>
  <c r="AT562" i="5"/>
  <c r="AT558" i="5"/>
  <c r="AT557" i="5"/>
  <c r="AT563" i="5"/>
  <c r="AT524" i="5"/>
  <c r="AT606" i="5"/>
  <c r="AT614" i="5"/>
  <c r="AT621" i="5"/>
  <c r="AT559" i="5"/>
  <c r="AT577" i="5"/>
  <c r="AT548" i="5"/>
  <c r="AT576" i="5"/>
  <c r="AT580" i="5"/>
  <c r="AT544" i="5"/>
  <c r="AT529" i="5"/>
  <c r="AT564" i="5"/>
  <c r="AT581" i="5"/>
  <c r="AT534" i="5"/>
  <c r="AT568" i="5"/>
  <c r="AT569" i="5"/>
  <c r="AT535" i="5"/>
  <c r="AT578" i="5"/>
  <c r="AT560" i="5"/>
  <c r="AT566" i="5"/>
  <c r="AT530" i="5"/>
  <c r="AT533" i="5"/>
  <c r="AT582" i="5"/>
  <c r="AT608" i="5"/>
  <c r="AT585" i="5"/>
  <c r="AT528" i="5"/>
  <c r="AT583" i="5"/>
  <c r="AT574" i="5"/>
  <c r="AT610" i="5"/>
  <c r="AT537" i="5"/>
  <c r="AT546" i="5"/>
  <c r="AT527" i="5"/>
  <c r="AT538" i="5"/>
  <c r="AT579" i="5"/>
  <c r="AT602" i="5"/>
  <c r="AT575" i="5"/>
  <c r="AT536" i="5"/>
  <c r="AT587" i="5"/>
  <c r="AT540" i="5"/>
  <c r="AT586" i="5"/>
  <c r="AT531" i="5"/>
  <c r="AT588" i="5"/>
  <c r="AT601" i="5"/>
  <c r="AT622" i="5"/>
  <c r="AT589" i="5"/>
  <c r="AT626" i="5"/>
  <c r="AT612" i="5"/>
  <c r="AT516" i="5"/>
  <c r="AT543" i="5"/>
  <c r="AT520" i="5"/>
  <c r="AT550" i="5"/>
  <c r="AT545" i="5"/>
  <c r="AT604" i="5"/>
  <c r="AT554" i="5"/>
  <c r="AT605" i="5"/>
  <c r="AT567" i="5"/>
  <c r="AT590" i="5"/>
  <c r="AT591" i="5"/>
  <c r="AT592" i="5"/>
  <c r="AT541" i="5"/>
  <c r="AT593" i="5"/>
  <c r="AT594" i="5"/>
  <c r="AT595" i="5"/>
  <c r="AT596" i="5"/>
  <c r="AT597" i="5"/>
  <c r="AT539" i="5"/>
  <c r="AT620" i="5"/>
  <c r="AT619" i="5"/>
  <c r="AT625" i="5"/>
  <c r="AT584" i="5"/>
  <c r="AT525" i="5"/>
  <c r="AT565" i="5"/>
  <c r="AT570" i="5"/>
  <c r="AT571" i="5"/>
  <c r="AT552" i="5"/>
  <c r="AT572" i="5"/>
  <c r="AT521" i="5"/>
  <c r="AT532" i="5"/>
  <c r="AT573" i="5"/>
  <c r="AT599" i="5"/>
  <c r="AT600" i="5"/>
  <c r="AT609" i="5"/>
  <c r="AT618" i="5"/>
  <c r="AT617" i="5"/>
  <c r="AT611" i="5"/>
  <c r="AT623" i="5"/>
  <c r="AT518" i="5"/>
  <c r="AT517" i="5"/>
  <c r="AT542" i="5"/>
  <c r="AT553" i="5"/>
  <c r="AT522" i="5"/>
  <c r="AT547" i="5"/>
  <c r="AT555" i="5"/>
  <c r="AT613" i="5"/>
  <c r="AT556" i="5"/>
  <c r="AT598" i="5"/>
  <c r="AT519" i="5"/>
  <c r="AT551" i="5"/>
  <c r="AT628" i="5"/>
  <c r="AT627" i="5"/>
  <c r="AT630" i="5"/>
  <c r="AT648" i="5"/>
  <c r="AT629" i="5"/>
  <c r="AT657" i="5"/>
  <c r="AT658" i="5"/>
  <c r="AT647" i="5"/>
  <c r="AT660" i="5"/>
  <c r="AT698" i="5"/>
  <c r="AT669" i="5"/>
  <c r="AT674" i="5"/>
  <c r="AT670" i="5"/>
  <c r="AT667" i="5"/>
  <c r="AT675" i="5"/>
  <c r="AT653" i="5"/>
  <c r="AT664" i="5"/>
  <c r="AT666" i="5"/>
  <c r="AT631" i="5"/>
  <c r="AT682" i="5"/>
  <c r="AT680" i="5"/>
  <c r="AT663" i="5"/>
  <c r="AT681" i="5"/>
  <c r="AT668" i="5"/>
  <c r="AT671" i="5"/>
  <c r="AT676" i="5"/>
  <c r="AT700" i="5"/>
  <c r="AT665" i="5"/>
  <c r="AT659" i="5"/>
  <c r="AT693" i="5"/>
  <c r="AT686" i="5"/>
  <c r="AT683" i="5"/>
  <c r="AT684" i="5"/>
  <c r="AT685" i="5"/>
  <c r="AT651" i="5"/>
  <c r="AT696" i="5"/>
  <c r="AT697" i="5"/>
  <c r="AT661" i="5"/>
  <c r="AT662" i="5"/>
  <c r="AT677" i="5"/>
  <c r="AT644" i="5"/>
  <c r="AT645" i="5"/>
  <c r="AT638" i="5"/>
  <c r="AT678" i="5"/>
  <c r="AT679" i="5"/>
  <c r="AT640" i="5"/>
  <c r="AT672" i="5"/>
  <c r="AT639" i="5"/>
  <c r="AT641" i="5"/>
  <c r="AT673" i="5"/>
  <c r="AT689" i="5"/>
  <c r="AT695" i="5"/>
  <c r="AT634" i="5"/>
  <c r="AT643" i="5"/>
  <c r="AT646" i="5"/>
  <c r="AT649" i="5"/>
  <c r="AT650" i="5"/>
  <c r="AT635" i="5"/>
  <c r="AT655" i="5"/>
  <c r="AT632" i="5"/>
  <c r="AT687" i="5"/>
  <c r="AT690" i="5"/>
  <c r="AT688" i="5"/>
  <c r="AT699" i="5"/>
  <c r="AT633" i="5"/>
  <c r="AT637" i="5"/>
  <c r="AT652" i="5"/>
  <c r="AT642" i="5"/>
  <c r="AT656" i="5"/>
  <c r="AT654" i="5"/>
  <c r="AT636" i="5"/>
  <c r="AT691" i="5"/>
  <c r="AT692" i="5"/>
  <c r="AT694" i="5"/>
  <c r="AT739" i="5"/>
  <c r="AT810" i="5"/>
  <c r="AT837" i="5"/>
  <c r="AT738" i="5"/>
  <c r="AT754" i="5"/>
  <c r="AT755" i="5"/>
  <c r="AT740" i="5"/>
  <c r="AT790" i="5"/>
  <c r="AT803" i="5"/>
  <c r="AT801" i="5"/>
  <c r="AT802" i="5"/>
  <c r="AT804" i="5"/>
  <c r="AT757" i="5"/>
  <c r="AT805" i="5"/>
  <c r="AT746" i="5"/>
  <c r="AT743" i="5"/>
  <c r="AT748" i="5"/>
  <c r="AT769" i="5"/>
  <c r="AT765" i="5"/>
  <c r="AT742" i="5"/>
  <c r="AT701" i="5"/>
  <c r="AT703" i="5"/>
  <c r="AT744" i="5"/>
  <c r="AT767" i="5"/>
  <c r="AT735" i="5"/>
  <c r="AT751" i="5"/>
  <c r="AT745" i="5"/>
  <c r="AT709" i="5"/>
  <c r="AT820" i="5"/>
  <c r="AT809" i="5"/>
  <c r="AT788" i="5"/>
  <c r="AT814" i="5"/>
  <c r="AT816" i="5"/>
  <c r="AT852" i="5"/>
  <c r="AT853" i="5"/>
  <c r="AT855" i="5"/>
  <c r="AT719" i="5"/>
  <c r="AT747" i="5"/>
  <c r="AT821" i="5"/>
  <c r="AT808" i="5"/>
  <c r="AT834" i="5"/>
  <c r="AT839" i="5"/>
  <c r="AT829" i="5"/>
  <c r="AT838" i="5"/>
  <c r="AT727" i="5"/>
  <c r="AT763" i="5"/>
  <c r="AT730" i="5"/>
  <c r="AT764" i="5"/>
  <c r="AT818" i="5"/>
  <c r="AT812" i="5"/>
  <c r="AT817" i="5"/>
  <c r="AT768" i="5"/>
  <c r="AT758" i="5"/>
  <c r="AT752" i="5"/>
  <c r="AT822" i="5"/>
  <c r="AT749" i="5"/>
  <c r="AT766" i="5"/>
  <c r="AT811" i="5"/>
  <c r="AT807" i="5"/>
  <c r="AT819" i="5"/>
  <c r="AT756" i="5"/>
  <c r="AT714" i="5"/>
  <c r="AT773" i="5"/>
  <c r="AT827" i="5"/>
  <c r="AT787" i="5"/>
  <c r="AT830" i="5"/>
  <c r="AT849" i="5"/>
  <c r="AT750" i="5"/>
  <c r="AT759" i="5"/>
  <c r="AT741" i="5"/>
  <c r="AT796" i="5"/>
  <c r="AT806" i="5"/>
  <c r="AT813" i="5"/>
  <c r="AT831" i="5"/>
  <c r="AT835" i="5"/>
  <c r="AT836" i="5"/>
  <c r="AT851" i="5"/>
  <c r="AT856" i="5"/>
  <c r="AT774" i="5"/>
  <c r="AT724" i="5"/>
  <c r="AT716" i="5"/>
  <c r="AT715" i="5"/>
  <c r="AT775" i="5"/>
  <c r="AT722" i="5"/>
  <c r="AT776" i="5"/>
  <c r="AT723" i="5"/>
  <c r="AT780" i="5"/>
  <c r="AT828" i="5"/>
  <c r="AT854" i="5"/>
  <c r="AT857" i="5"/>
  <c r="AT737" i="5"/>
  <c r="AT753" i="5"/>
  <c r="AT717" i="5"/>
  <c r="AT770" i="5"/>
  <c r="AT771" i="5"/>
  <c r="AT736" i="5"/>
  <c r="AT760" i="5"/>
  <c r="AT708" i="5"/>
  <c r="AT711" i="5"/>
  <c r="AT710" i="5"/>
  <c r="AT761" i="5"/>
  <c r="AT726" i="5"/>
  <c r="AT721" i="5"/>
  <c r="AT772" i="5"/>
  <c r="AT712" i="5"/>
  <c r="AT720" i="5"/>
  <c r="AT713" i="5"/>
  <c r="AT728" i="5"/>
  <c r="AT762" i="5"/>
  <c r="AT781" i="5"/>
  <c r="AT783" i="5"/>
  <c r="AT782" i="5"/>
  <c r="AT823" i="5"/>
  <c r="AT824" i="5"/>
  <c r="AT784" i="5"/>
  <c r="AT825" i="5"/>
  <c r="AT785" i="5"/>
  <c r="AT789" i="5"/>
  <c r="AT786" i="5"/>
  <c r="AT826" i="5"/>
  <c r="AT815" i="5"/>
  <c r="AT833" i="5"/>
  <c r="AT840" i="5"/>
  <c r="AT841" i="5"/>
  <c r="AT846" i="5"/>
  <c r="AT844" i="5"/>
  <c r="AT847" i="5"/>
  <c r="AT850" i="5"/>
  <c r="AT848" i="5"/>
  <c r="AT706" i="5"/>
  <c r="AT731" i="5"/>
  <c r="AT704" i="5"/>
  <c r="AT705" i="5"/>
  <c r="AT729" i="5"/>
  <c r="AT725" i="5"/>
  <c r="AT732" i="5"/>
  <c r="AT733" i="5"/>
  <c r="AT718" i="5"/>
  <c r="AT707" i="5"/>
  <c r="AT734" i="5"/>
  <c r="AT799" i="5"/>
  <c r="AT793" i="5"/>
  <c r="AT794" i="5"/>
  <c r="AT778" i="5"/>
  <c r="AT779" i="5"/>
  <c r="AT800" i="5"/>
  <c r="AT777" i="5"/>
  <c r="AT797" i="5"/>
  <c r="AT791" i="5"/>
  <c r="AT795" i="5"/>
  <c r="AT845" i="5"/>
  <c r="AT842" i="5"/>
  <c r="AT843" i="5"/>
  <c r="AT702" i="5"/>
  <c r="AT792" i="5"/>
  <c r="AT798" i="5"/>
  <c r="AT832" i="5"/>
  <c r="AT858" i="5"/>
  <c r="AT911" i="5"/>
  <c r="AT912" i="5"/>
  <c r="AT932" i="5"/>
  <c r="AT933" i="5"/>
  <c r="AT859" i="5"/>
  <c r="AT869" i="5"/>
  <c r="AT913" i="5"/>
  <c r="AT934" i="5"/>
  <c r="AT870" i="5"/>
  <c r="AT935" i="5"/>
  <c r="AT897" i="5"/>
  <c r="AT914" i="5"/>
  <c r="AT1006" i="5"/>
  <c r="AT1007" i="5"/>
  <c r="AT999" i="5"/>
  <c r="AT1022" i="5"/>
  <c r="AT937" i="5"/>
  <c r="AT917" i="5"/>
  <c r="AT1000" i="5"/>
  <c r="AT1008" i="5"/>
  <c r="AT1001" i="5"/>
  <c r="AT915" i="5"/>
  <c r="AT916" i="5"/>
  <c r="AT874" i="5"/>
  <c r="AT1026" i="5"/>
  <c r="AT871" i="5"/>
  <c r="AT920" i="5"/>
  <c r="AT1011" i="5"/>
  <c r="AT941" i="5"/>
  <c r="AT921" i="5"/>
  <c r="AT919" i="5"/>
  <c r="AT922" i="5"/>
  <c r="AT872" i="5"/>
  <c r="AT960" i="5"/>
  <c r="AT877" i="5"/>
  <c r="AT949" i="5"/>
  <c r="AT923" i="5"/>
  <c r="AT950" i="5"/>
  <c r="AT924" i="5"/>
  <c r="AT951" i="5"/>
  <c r="AT925" i="5"/>
  <c r="AT952" i="5"/>
  <c r="AT953" i="5"/>
  <c r="AT926" i="5"/>
  <c r="AT927" i="5"/>
  <c r="AT942" i="5"/>
  <c r="AT954" i="5"/>
  <c r="AT961" i="5"/>
  <c r="AT955" i="5"/>
  <c r="AT928" i="5"/>
  <c r="AT929" i="5"/>
  <c r="AT956" i="5"/>
  <c r="AT957" i="5"/>
  <c r="AT930" i="5"/>
  <c r="AT931" i="5"/>
  <c r="AT1002" i="5"/>
  <c r="AT979" i="5"/>
  <c r="AT1003" i="5"/>
  <c r="AT1013" i="5"/>
  <c r="AT1004" i="5"/>
  <c r="AT989" i="5"/>
  <c r="AT1005" i="5"/>
  <c r="AT1023" i="5"/>
  <c r="AT1028" i="5"/>
  <c r="AT1027" i="5"/>
  <c r="AT890" i="5"/>
  <c r="AT888" i="5"/>
  <c r="AT882" i="5"/>
  <c r="AT896" i="5"/>
  <c r="AT878" i="5"/>
  <c r="AT1012" i="5"/>
  <c r="AT875" i="5"/>
  <c r="AT880" i="5"/>
  <c r="AT1025" i="5"/>
  <c r="AT861" i="5"/>
  <c r="AT962" i="5"/>
  <c r="AT963" i="5"/>
  <c r="AT936" i="5"/>
  <c r="AT1014" i="5"/>
  <c r="AT1015" i="5"/>
  <c r="AT1029" i="5"/>
  <c r="AT946" i="5"/>
  <c r="AT943" i="5"/>
  <c r="AT973" i="5"/>
  <c r="AT944" i="5"/>
  <c r="AT883" i="5"/>
  <c r="AT974" i="5"/>
  <c r="AT975" i="5"/>
  <c r="AT881" i="5"/>
  <c r="AT977" i="5"/>
  <c r="AT976" i="5"/>
  <c r="AT947" i="5"/>
  <c r="AT945" i="5"/>
  <c r="AT981" i="5"/>
  <c r="AT986" i="5"/>
  <c r="AT1020" i="5"/>
  <c r="AT1030" i="5"/>
  <c r="AT958" i="5"/>
  <c r="AT918" i="5"/>
  <c r="AT959" i="5"/>
  <c r="AT895" i="5"/>
  <c r="AT884" i="5"/>
  <c r="AT873" i="5"/>
  <c r="AT1019" i="5"/>
  <c r="AT964" i="5"/>
  <c r="AT898" i="5"/>
  <c r="AT965" i="5"/>
  <c r="AT876" i="5"/>
  <c r="AT938" i="5"/>
  <c r="AT891" i="5"/>
  <c r="AT939" i="5"/>
  <c r="AT966" i="5"/>
  <c r="AT967" i="5"/>
  <c r="AT968" i="5"/>
  <c r="AT948" i="5"/>
  <c r="AT969" i="5"/>
  <c r="AT879" i="5"/>
  <c r="AT892" i="5"/>
  <c r="AT972" i="5"/>
  <c r="AT970" i="5"/>
  <c r="AT894" i="5"/>
  <c r="AT893" i="5"/>
  <c r="AT940" i="5"/>
  <c r="AT971" i="5"/>
  <c r="AT889" i="5"/>
  <c r="AT987" i="5"/>
  <c r="AT1016" i="5"/>
  <c r="AT982" i="5"/>
  <c r="AT1017" i="5"/>
  <c r="AT985" i="5"/>
  <c r="AT1009" i="5"/>
  <c r="AT1010" i="5"/>
  <c r="AT1018" i="5"/>
  <c r="AT984" i="5"/>
  <c r="AT980" i="5"/>
  <c r="AT860" i="5"/>
  <c r="AT909" i="5"/>
  <c r="AT903" i="5"/>
  <c r="AT904" i="5"/>
  <c r="AT899" i="5"/>
  <c r="AT885" i="5"/>
  <c r="AT910" i="5"/>
  <c r="AT886" i="5"/>
  <c r="AT862" i="5"/>
  <c r="AT866" i="5"/>
  <c r="AT863" i="5"/>
  <c r="AT864" i="5"/>
  <c r="AT865" i="5"/>
  <c r="AT905" i="5"/>
  <c r="AT901" i="5"/>
  <c r="AT867" i="5"/>
  <c r="AT906" i="5"/>
  <c r="AT902" i="5"/>
  <c r="AT907" i="5"/>
  <c r="AT887" i="5"/>
  <c r="AT900" i="5"/>
  <c r="AT988" i="5"/>
  <c r="AT978" i="5"/>
  <c r="AT993" i="5"/>
  <c r="AT995" i="5"/>
  <c r="AT994" i="5"/>
  <c r="AT996" i="5"/>
  <c r="AT992" i="5"/>
  <c r="AT990" i="5"/>
  <c r="AT991" i="5"/>
  <c r="AT997" i="5"/>
  <c r="AT998" i="5"/>
  <c r="AT983" i="5"/>
  <c r="AT1021" i="5"/>
  <c r="AT1024" i="5"/>
  <c r="AT908" i="5"/>
  <c r="AT868" i="5"/>
  <c r="AT1031" i="5"/>
  <c r="AT1032" i="5"/>
  <c r="AT1033" i="5"/>
  <c r="AT1034" i="5"/>
  <c r="AT1035" i="5"/>
  <c r="AT1036" i="5"/>
  <c r="AT1037" i="5"/>
  <c r="AT1038" i="5"/>
  <c r="AT1040" i="5"/>
  <c r="AT1039" i="5"/>
  <c r="AT1041" i="5"/>
  <c r="AT1042" i="5"/>
  <c r="AT1045" i="5"/>
  <c r="AT1043" i="5"/>
  <c r="AT1046" i="5"/>
  <c r="AT1044" i="5"/>
  <c r="AT1048" i="5"/>
  <c r="AT1049" i="5"/>
  <c r="AT1047" i="5"/>
  <c r="AT1052" i="5"/>
  <c r="AT1051" i="5"/>
  <c r="AT1054" i="5"/>
  <c r="AT1050" i="5"/>
  <c r="AT1053" i="5"/>
  <c r="AT1058" i="5"/>
  <c r="AT1056" i="5"/>
  <c r="AT1055" i="5"/>
  <c r="AT1060" i="5"/>
  <c r="AT1059" i="5"/>
  <c r="AT1057" i="5"/>
  <c r="AT1061" i="5"/>
  <c r="AT1062" i="5"/>
  <c r="AT1064" i="5"/>
  <c r="AT1063" i="5"/>
  <c r="AT1066" i="5"/>
  <c r="AT1065" i="5"/>
  <c r="AT1068" i="5"/>
  <c r="AT1067" i="5"/>
  <c r="AT1073" i="5"/>
  <c r="AT1072" i="5"/>
  <c r="AT1069" i="5"/>
  <c r="AT1071" i="5"/>
  <c r="AT1070" i="5"/>
  <c r="AT1074" i="5"/>
  <c r="AT1075" i="5"/>
  <c r="AT1079" i="5"/>
  <c r="AT1078" i="5"/>
  <c r="AT1077" i="5"/>
  <c r="AT1081" i="5"/>
  <c r="AT1076" i="5"/>
  <c r="AT1082" i="5"/>
  <c r="AT1080" i="5"/>
  <c r="AT1084" i="5"/>
  <c r="AT1086" i="5"/>
  <c r="AT1085" i="5"/>
  <c r="AT1088" i="5"/>
  <c r="AT1089" i="5"/>
  <c r="AT1083" i="5"/>
  <c r="AT1087" i="5"/>
  <c r="AT1090" i="5"/>
  <c r="AT1091" i="5"/>
  <c r="AT1092" i="5"/>
  <c r="AT1094" i="5"/>
  <c r="AT1095" i="5"/>
  <c r="AT1093" i="5"/>
  <c r="AT1096" i="5"/>
  <c r="AT1097" i="5"/>
  <c r="AT1099" i="5"/>
  <c r="AT1101" i="5"/>
  <c r="AT1098" i="5"/>
  <c r="AT1100" i="5"/>
  <c r="AT1102" i="5"/>
  <c r="AT1103" i="5"/>
  <c r="AT1104" i="5"/>
  <c r="AT1105" i="5"/>
  <c r="AT1106" i="5"/>
  <c r="AT1107" i="5"/>
  <c r="AT1108" i="5"/>
  <c r="AT1110" i="5"/>
  <c r="AT1111" i="5"/>
  <c r="AT1109" i="5"/>
  <c r="AT1113" i="5"/>
  <c r="AT1112" i="5"/>
  <c r="AT1114" i="5"/>
  <c r="AT1117" i="5"/>
  <c r="AT1115" i="5"/>
  <c r="AT1116" i="5"/>
  <c r="AT1119" i="5"/>
  <c r="AT1118" i="5"/>
  <c r="AT1120" i="5"/>
  <c r="AT1122" i="5"/>
  <c r="AT1121" i="5"/>
  <c r="AT1123" i="5"/>
  <c r="AT1124" i="5"/>
  <c r="AT1125" i="5"/>
  <c r="AT1126" i="5"/>
  <c r="AT1127" i="5"/>
  <c r="AT1129" i="5"/>
  <c r="AT1128" i="5"/>
  <c r="AT1130" i="5"/>
  <c r="AT1131" i="5"/>
  <c r="AT1134" i="5"/>
  <c r="AT1132" i="5"/>
  <c r="AT1133" i="5"/>
  <c r="AT1135" i="5"/>
  <c r="AT1137" i="5"/>
  <c r="AT1138" i="5"/>
  <c r="AT1139" i="5"/>
  <c r="AT1141" i="5"/>
  <c r="AT1136" i="5"/>
  <c r="AT1140" i="5"/>
  <c r="AT1162" i="5"/>
  <c r="AT1143" i="5"/>
  <c r="AT1149" i="5"/>
  <c r="AT1153" i="5"/>
  <c r="AT1152" i="5"/>
  <c r="AT1155" i="5"/>
  <c r="AT1150" i="5"/>
  <c r="AT1158" i="5"/>
  <c r="AT1157" i="5"/>
  <c r="AT1147" i="5"/>
  <c r="AT1145" i="5"/>
  <c r="AT1163" i="5"/>
  <c r="AT1159" i="5"/>
  <c r="AT1142" i="5"/>
  <c r="AT1151" i="5"/>
  <c r="AT1156" i="5"/>
  <c r="AT1164" i="5"/>
  <c r="AT1148" i="5"/>
  <c r="AT1144" i="5"/>
  <c r="AT1146" i="5"/>
  <c r="AT1154" i="5"/>
  <c r="AT1160" i="5"/>
  <c r="AT1161" i="5"/>
  <c r="AT1171" i="5"/>
  <c r="AT1166" i="5"/>
  <c r="AT1176" i="5"/>
  <c r="AT1175" i="5"/>
  <c r="AT1170" i="5"/>
  <c r="AT1169" i="5"/>
  <c r="AT1167" i="5"/>
  <c r="AT1168" i="5"/>
  <c r="AT1174" i="5"/>
  <c r="AT1173" i="5"/>
  <c r="AT1179" i="5"/>
  <c r="AT1172" i="5"/>
  <c r="AT1165" i="5"/>
  <c r="AT1177" i="5"/>
  <c r="AT1178" i="5"/>
  <c r="AT1182" i="5"/>
  <c r="AT1181" i="5"/>
  <c r="AT1186" i="5"/>
  <c r="AT1180" i="5"/>
  <c r="AT1183" i="5"/>
  <c r="AT1185" i="5"/>
  <c r="AT1184" i="5"/>
  <c r="AT1188" i="5"/>
  <c r="AT1192" i="5"/>
  <c r="AT1190" i="5"/>
  <c r="AT1194" i="5"/>
  <c r="AT1187" i="5"/>
  <c r="AT1193" i="5"/>
  <c r="AT1191" i="5"/>
  <c r="AT1189" i="5"/>
  <c r="AT1196" i="5"/>
  <c r="AT1195" i="5"/>
  <c r="AT1198" i="5"/>
  <c r="AT1197" i="5"/>
  <c r="AT1199" i="5"/>
  <c r="AT1201" i="5"/>
  <c r="AT1202" i="5"/>
  <c r="AT1200" i="5"/>
  <c r="AT1203" i="5"/>
  <c r="AT1204" i="5"/>
  <c r="AT1206" i="5"/>
  <c r="AT1205" i="5"/>
  <c r="AT1207" i="5"/>
  <c r="AT1208" i="5"/>
  <c r="AT1213" i="5"/>
  <c r="AT1209" i="5"/>
  <c r="AT1210" i="5"/>
  <c r="AT1214" i="5"/>
  <c r="AT1211" i="5"/>
  <c r="AT1212" i="5"/>
  <c r="AT1215" i="5"/>
  <c r="AT1216" i="5"/>
  <c r="AT1218" i="5"/>
  <c r="AT1217" i="5"/>
  <c r="AT1224" i="5"/>
  <c r="AT1222" i="5"/>
  <c r="AT1219" i="5"/>
  <c r="AT1223" i="5"/>
  <c r="AT1221" i="5"/>
  <c r="AT1225" i="5"/>
  <c r="AT1220" i="5"/>
  <c r="AT1226" i="5"/>
  <c r="AT1227" i="5"/>
  <c r="AT1228" i="5"/>
  <c r="AT1229" i="5"/>
  <c r="AT1230" i="5"/>
  <c r="AT1232" i="5"/>
  <c r="AT1231" i="5"/>
  <c r="AT1233" i="5"/>
  <c r="AT1236" i="5"/>
  <c r="AT1235" i="5"/>
  <c r="AT1234" i="5"/>
  <c r="AT1239" i="5"/>
  <c r="AT1238" i="5"/>
  <c r="AT1237" i="5"/>
  <c r="AT1240" i="5"/>
  <c r="AT1241" i="5"/>
  <c r="AT1242" i="5"/>
  <c r="AT1243" i="5"/>
  <c r="AT1245" i="5"/>
  <c r="AT1244" i="5"/>
  <c r="AT1247" i="5"/>
  <c r="AT1246" i="5"/>
  <c r="AT1249" i="5"/>
  <c r="AT1248" i="5"/>
  <c r="AT1250" i="5"/>
  <c r="AT1251" i="5"/>
  <c r="AT1268" i="5"/>
  <c r="AT1258" i="5"/>
  <c r="AT1261" i="5"/>
  <c r="AT1256" i="5"/>
  <c r="AT1254" i="5"/>
  <c r="AT1263" i="5"/>
  <c r="AT1257" i="5"/>
  <c r="AT1267" i="5"/>
  <c r="AT1255" i="5"/>
  <c r="AT1262" i="5"/>
  <c r="AT1270" i="5"/>
  <c r="AT1252" i="5"/>
  <c r="AT1260" i="5"/>
  <c r="AT1264" i="5"/>
  <c r="AT1269" i="5"/>
  <c r="AT1274" i="5"/>
  <c r="AT1265" i="5"/>
  <c r="AT1271" i="5"/>
  <c r="AT1272" i="5"/>
  <c r="AT1266" i="5"/>
  <c r="AT1259" i="5"/>
  <c r="AT1275" i="5"/>
  <c r="AT1253" i="5"/>
  <c r="AT1273" i="5"/>
  <c r="AT1276" i="5"/>
  <c r="AT1278" i="5"/>
  <c r="AT1277" i="5"/>
  <c r="AT1280" i="5"/>
  <c r="AT1288" i="5"/>
  <c r="AT1286" i="5"/>
  <c r="AT1284" i="5"/>
  <c r="AT1281" i="5"/>
  <c r="AT1279" i="5"/>
  <c r="AT1285" i="5"/>
  <c r="AT1283" i="5"/>
  <c r="AT1287" i="5"/>
  <c r="AT1282" i="5"/>
  <c r="AT1289" i="5"/>
  <c r="AT1290" i="5"/>
  <c r="AT1313" i="5"/>
  <c r="AT1299" i="5"/>
  <c r="AT1308" i="5"/>
  <c r="AT1293" i="5"/>
  <c r="AT1297" i="5"/>
  <c r="AT1300" i="5"/>
  <c r="AT1298" i="5"/>
  <c r="AT1291" i="5"/>
  <c r="AT1301" i="5"/>
  <c r="AT1302" i="5"/>
  <c r="AT1292" i="5"/>
  <c r="AT1304" i="5"/>
  <c r="AT1309" i="5"/>
  <c r="AT1303" i="5"/>
  <c r="AT1310" i="5"/>
  <c r="AT1296" i="5"/>
  <c r="AT1295" i="5"/>
  <c r="AT1306" i="5"/>
  <c r="AT1314" i="5"/>
  <c r="AT1305" i="5"/>
  <c r="AT1312" i="5"/>
  <c r="AT1315" i="5"/>
  <c r="AT1311" i="5"/>
  <c r="AT1294" i="5"/>
  <c r="AT1307" i="5"/>
  <c r="AT1328" i="5"/>
  <c r="AT1318" i="5"/>
  <c r="AT1316" i="5"/>
  <c r="AT1319" i="5"/>
  <c r="AT1323" i="5"/>
  <c r="AT1321" i="5"/>
  <c r="AT1317" i="5"/>
  <c r="AT1324" i="5"/>
  <c r="AT1320" i="5"/>
  <c r="AT1326" i="5"/>
  <c r="AT1322" i="5"/>
  <c r="AT1329" i="5"/>
  <c r="AT1330" i="5"/>
  <c r="AT1325" i="5"/>
  <c r="AT1327" i="5"/>
  <c r="AT1331" i="5"/>
  <c r="AT1347" i="5"/>
  <c r="AT1343" i="5"/>
  <c r="AT1341" i="5"/>
  <c r="AT1352" i="5"/>
  <c r="AT1335" i="5"/>
  <c r="AT1344" i="5"/>
  <c r="AT1348" i="5"/>
  <c r="AT1354" i="5"/>
  <c r="AT1349" i="5"/>
  <c r="AT1336" i="5"/>
  <c r="AT1359" i="5"/>
  <c r="AT1340" i="5"/>
  <c r="AT1342" i="5"/>
  <c r="AT1350" i="5"/>
  <c r="AT1353" i="5"/>
  <c r="AT1346" i="5"/>
  <c r="AT1337" i="5"/>
  <c r="AT1333" i="5"/>
  <c r="AT1356" i="5"/>
  <c r="AT1345" i="5"/>
  <c r="AT1334" i="5"/>
  <c r="AT1358" i="5"/>
  <c r="AT1360" i="5"/>
  <c r="AT1332" i="5"/>
  <c r="AT1355" i="5"/>
  <c r="AT1338" i="5"/>
  <c r="AT1339" i="5"/>
  <c r="AT1351" i="5"/>
  <c r="AT1361" i="5"/>
  <c r="AT1357" i="5"/>
  <c r="AT1367" i="5"/>
  <c r="AT1362" i="5"/>
  <c r="AT1369" i="5"/>
  <c r="AT1370" i="5"/>
  <c r="AT1363" i="5"/>
  <c r="AT1368" i="5"/>
  <c r="AT1372" i="5"/>
  <c r="AT1365" i="5"/>
  <c r="AT1374" i="5"/>
  <c r="AT1364" i="5"/>
  <c r="AT1371" i="5"/>
  <c r="AT1366" i="5"/>
  <c r="AT1373" i="5"/>
  <c r="AT1375" i="5"/>
  <c r="AT1380" i="5"/>
  <c r="AT1386" i="5"/>
  <c r="AT1381" i="5"/>
  <c r="AT1377" i="5"/>
  <c r="AT1383" i="5"/>
  <c r="AT1385" i="5"/>
  <c r="AT1384" i="5"/>
  <c r="AT1376" i="5"/>
  <c r="AT1378" i="5"/>
  <c r="AT1379" i="5"/>
  <c r="AT1382" i="5"/>
  <c r="AT1387" i="5"/>
  <c r="AT1388" i="5"/>
  <c r="AT1389" i="5"/>
  <c r="AT1390" i="5"/>
  <c r="AT1392" i="5"/>
  <c r="AT1391" i="5"/>
  <c r="AT1393" i="5"/>
  <c r="AT1394" i="5"/>
  <c r="AT1395" i="5"/>
  <c r="AT1396" i="5"/>
  <c r="AT1398" i="5"/>
  <c r="AT1397" i="5"/>
  <c r="AT1399" i="5"/>
  <c r="AT1400" i="5"/>
  <c r="AT1401" i="5"/>
  <c r="AT1402" i="5"/>
  <c r="AT1403" i="5"/>
  <c r="AT1404" i="5"/>
  <c r="AS3" i="5"/>
  <c r="AS2" i="5"/>
  <c r="AS31" i="5"/>
  <c r="AS32" i="5"/>
  <c r="AS50" i="5"/>
  <c r="AS43" i="5"/>
  <c r="AS48" i="5"/>
  <c r="AS18" i="5"/>
  <c r="AS36" i="5"/>
  <c r="AS33" i="5"/>
  <c r="AS11" i="5"/>
  <c r="AS19" i="5"/>
  <c r="AS10" i="5"/>
  <c r="AS37" i="5"/>
  <c r="AS38" i="5"/>
  <c r="AS42" i="5"/>
  <c r="AS29" i="5"/>
  <c r="AS9" i="5"/>
  <c r="AS39" i="5"/>
  <c r="AS7" i="5"/>
  <c r="AS35" i="5"/>
  <c r="AS44" i="5"/>
  <c r="AS52" i="5"/>
  <c r="AS40" i="5"/>
  <c r="AS34" i="5"/>
  <c r="AS27" i="5"/>
  <c r="AS28" i="5"/>
  <c r="AS41" i="5"/>
  <c r="AS47" i="5"/>
  <c r="AS20" i="5"/>
  <c r="AS21" i="5"/>
  <c r="AS8" i="5"/>
  <c r="AS22" i="5"/>
  <c r="AS23" i="5"/>
  <c r="AS24" i="5"/>
  <c r="AS30" i="5"/>
  <c r="AS25" i="5"/>
  <c r="AS46" i="5"/>
  <c r="AS49" i="5"/>
  <c r="AS26" i="5"/>
  <c r="AS51" i="5"/>
  <c r="AS54" i="5"/>
  <c r="AS57" i="5"/>
  <c r="AS56" i="5"/>
  <c r="AS4" i="5"/>
  <c r="AS15" i="5"/>
  <c r="AS16" i="5"/>
  <c r="AS55" i="5"/>
  <c r="AS12" i="5"/>
  <c r="AS13" i="5"/>
  <c r="AS14" i="5"/>
  <c r="AS58" i="5"/>
  <c r="AS5" i="5"/>
  <c r="AS17" i="5"/>
  <c r="AS45" i="5"/>
  <c r="AS6" i="5"/>
  <c r="AS53" i="5"/>
  <c r="AS59" i="5"/>
  <c r="AS67" i="5"/>
  <c r="AS82" i="5"/>
  <c r="AS83" i="5"/>
  <c r="AS84" i="5"/>
  <c r="AS88" i="5"/>
  <c r="AS76" i="5"/>
  <c r="AS77" i="5"/>
  <c r="AS167" i="5"/>
  <c r="AS97" i="5"/>
  <c r="AS106" i="5"/>
  <c r="AS123" i="5"/>
  <c r="AS134" i="5"/>
  <c r="AS135" i="5"/>
  <c r="AS90" i="5"/>
  <c r="AS86" i="5"/>
  <c r="AS91" i="5"/>
  <c r="AS78" i="5"/>
  <c r="AS85" i="5"/>
  <c r="AS70" i="5"/>
  <c r="AS92" i="5"/>
  <c r="AS68" i="5"/>
  <c r="AS100" i="5"/>
  <c r="AS99" i="5"/>
  <c r="AS128" i="5"/>
  <c r="AS126" i="5"/>
  <c r="AS129" i="5"/>
  <c r="AS138" i="5"/>
  <c r="AS75" i="5"/>
  <c r="AS80" i="5"/>
  <c r="AS81" i="5"/>
  <c r="AS93" i="5"/>
  <c r="AS87" i="5"/>
  <c r="AS94" i="5"/>
  <c r="AS66" i="5"/>
  <c r="AS89" i="5"/>
  <c r="AS131" i="5"/>
  <c r="AS95" i="5"/>
  <c r="AS79" i="5"/>
  <c r="AS149" i="5"/>
  <c r="AS145" i="5"/>
  <c r="AS96" i="5"/>
  <c r="AS101" i="5"/>
  <c r="AS105" i="5"/>
  <c r="AS114" i="5"/>
  <c r="AS112" i="5"/>
  <c r="AS117" i="5"/>
  <c r="AS110" i="5"/>
  <c r="AS118" i="5"/>
  <c r="AS148" i="5"/>
  <c r="AS153" i="5"/>
  <c r="AS163" i="5"/>
  <c r="AS143" i="5"/>
  <c r="AS152" i="5"/>
  <c r="AS65" i="5"/>
  <c r="AS113" i="5"/>
  <c r="AS119" i="5"/>
  <c r="AS108" i="5"/>
  <c r="AS125" i="5"/>
  <c r="AS142" i="5"/>
  <c r="AS102" i="5"/>
  <c r="AS116" i="5"/>
  <c r="AS107" i="5"/>
  <c r="AS120" i="5"/>
  <c r="AS124" i="5"/>
  <c r="AS127" i="5"/>
  <c r="AS132" i="5"/>
  <c r="AS139" i="5"/>
  <c r="AS146" i="5"/>
  <c r="AS151" i="5"/>
  <c r="AS154" i="5"/>
  <c r="AS156" i="5"/>
  <c r="AS155" i="5"/>
  <c r="AS157" i="5"/>
  <c r="AS160" i="5"/>
  <c r="AS164" i="5"/>
  <c r="AS162" i="5"/>
  <c r="AS144" i="5"/>
  <c r="AS159" i="5"/>
  <c r="AS60" i="5"/>
  <c r="AS61" i="5"/>
  <c r="AS63" i="5"/>
  <c r="AS73" i="5"/>
  <c r="AS69" i="5"/>
  <c r="AS72" i="5"/>
  <c r="AS64" i="5"/>
  <c r="AS74" i="5"/>
  <c r="AS121" i="5"/>
  <c r="AS165" i="5"/>
  <c r="AS111" i="5"/>
  <c r="AS137" i="5"/>
  <c r="AS147" i="5"/>
  <c r="AS150" i="5"/>
  <c r="AS166" i="5"/>
  <c r="AS168" i="5"/>
  <c r="AS98" i="5"/>
  <c r="AS104" i="5"/>
  <c r="AS109" i="5"/>
  <c r="AS136" i="5"/>
  <c r="AS161" i="5"/>
  <c r="AS130" i="5"/>
  <c r="AS169" i="5"/>
  <c r="AS103" i="5"/>
  <c r="AS115" i="5"/>
  <c r="AS122" i="5"/>
  <c r="AS133" i="5"/>
  <c r="AS141" i="5"/>
  <c r="AS158" i="5"/>
  <c r="AS71" i="5"/>
  <c r="AS62" i="5"/>
  <c r="AS140" i="5"/>
  <c r="AS175" i="5"/>
  <c r="AS181" i="5"/>
  <c r="AS170" i="5"/>
  <c r="AS174" i="5"/>
  <c r="AS173" i="5"/>
  <c r="AS178" i="5"/>
  <c r="AS172" i="5"/>
  <c r="AS177" i="5"/>
  <c r="AS179" i="5"/>
  <c r="AS180" i="5"/>
  <c r="AS183" i="5"/>
  <c r="AS182" i="5"/>
  <c r="AS176" i="5"/>
  <c r="AS171" i="5"/>
  <c r="AS198" i="5"/>
  <c r="AS223" i="5"/>
  <c r="AS224" i="5"/>
  <c r="AS188" i="5"/>
  <c r="AS189" i="5"/>
  <c r="AS190" i="5"/>
  <c r="AS191" i="5"/>
  <c r="AS202" i="5"/>
  <c r="AS210" i="5"/>
  <c r="AS214" i="5"/>
  <c r="AS226" i="5"/>
  <c r="AS192" i="5"/>
  <c r="AS203" i="5"/>
  <c r="AS196" i="5"/>
  <c r="AS215" i="5"/>
  <c r="AS229" i="5"/>
  <c r="AS187" i="5"/>
  <c r="AS194" i="5"/>
  <c r="AS195" i="5"/>
  <c r="AS197" i="5"/>
  <c r="AS200" i="5"/>
  <c r="AS201" i="5"/>
  <c r="AS199" i="5"/>
  <c r="AS221" i="5"/>
  <c r="AS236" i="5"/>
  <c r="AS193" i="5"/>
  <c r="AS185" i="5"/>
  <c r="AS207" i="5"/>
  <c r="AS213" i="5"/>
  <c r="AS211" i="5"/>
  <c r="AS222" i="5"/>
  <c r="AS205" i="5"/>
  <c r="AS216" i="5"/>
  <c r="AS206" i="5"/>
  <c r="AS235" i="5"/>
  <c r="AS219" i="5"/>
  <c r="AS204" i="5"/>
  <c r="AS233" i="5"/>
  <c r="AS237" i="5"/>
  <c r="AS184" i="5"/>
  <c r="AS186" i="5"/>
  <c r="AS212" i="5"/>
  <c r="AS220" i="5"/>
  <c r="AS231" i="5"/>
  <c r="AS208" i="5"/>
  <c r="AS209" i="5"/>
  <c r="AS228" i="5"/>
  <c r="AS234" i="5"/>
  <c r="AS218" i="5"/>
  <c r="AS227" i="5"/>
  <c r="AS230" i="5"/>
  <c r="AS225" i="5"/>
  <c r="AS232" i="5"/>
  <c r="AS217" i="5"/>
  <c r="AS238" i="5"/>
  <c r="AS241" i="5"/>
  <c r="AS244" i="5"/>
  <c r="AS254" i="5"/>
  <c r="AS257" i="5"/>
  <c r="AS239" i="5"/>
  <c r="AS249" i="5"/>
  <c r="AS248" i="5"/>
  <c r="AS240" i="5"/>
  <c r="AS259" i="5"/>
  <c r="AS242" i="5"/>
  <c r="AS250" i="5"/>
  <c r="AS252" i="5"/>
  <c r="AS255" i="5"/>
  <c r="AS266" i="5"/>
  <c r="AS246" i="5"/>
  <c r="AS256" i="5"/>
  <c r="AS243" i="5"/>
  <c r="AS261" i="5"/>
  <c r="AS247" i="5"/>
  <c r="AS251" i="5"/>
  <c r="AS245" i="5"/>
  <c r="AS265" i="5"/>
  <c r="AS253" i="5"/>
  <c r="AS258" i="5"/>
  <c r="AS264" i="5"/>
  <c r="AS260" i="5"/>
  <c r="AS262" i="5"/>
  <c r="AS263" i="5"/>
  <c r="AS273" i="5"/>
  <c r="AS267" i="5"/>
  <c r="AS274" i="5"/>
  <c r="AS275" i="5"/>
  <c r="AS280" i="5"/>
  <c r="AS278" i="5"/>
  <c r="AS268" i="5"/>
  <c r="AS270" i="5"/>
  <c r="AS281" i="5"/>
  <c r="AS272" i="5"/>
  <c r="AS271" i="5"/>
  <c r="AS282" i="5"/>
  <c r="AS277" i="5"/>
  <c r="AS279" i="5"/>
  <c r="AS276" i="5"/>
  <c r="AS269" i="5"/>
  <c r="AS289" i="5"/>
  <c r="AS291" i="5"/>
  <c r="AS292" i="5"/>
  <c r="AS293" i="5"/>
  <c r="AS294" i="5"/>
  <c r="AS295" i="5"/>
  <c r="AS308" i="5"/>
  <c r="AS318" i="5"/>
  <c r="AS319" i="5"/>
  <c r="AS296" i="5"/>
  <c r="AS297" i="5"/>
  <c r="AS298" i="5"/>
  <c r="AS299" i="5"/>
  <c r="AS306" i="5"/>
  <c r="AS304" i="5"/>
  <c r="AS283" i="5"/>
  <c r="AS284" i="5"/>
  <c r="AS317" i="5"/>
  <c r="AS301" i="5"/>
  <c r="AS314" i="5"/>
  <c r="AS315" i="5"/>
  <c r="AS321" i="5"/>
  <c r="AS312" i="5"/>
  <c r="AS313" i="5"/>
  <c r="AS310" i="5"/>
  <c r="AS311" i="5"/>
  <c r="AS322" i="5"/>
  <c r="AS316" i="5"/>
  <c r="AS287" i="5"/>
  <c r="AS286" i="5"/>
  <c r="AS290" i="5"/>
  <c r="AS285" i="5"/>
  <c r="AS288" i="5"/>
  <c r="AS305" i="5"/>
  <c r="AS303" i="5"/>
  <c r="AS320" i="5"/>
  <c r="AS300" i="5"/>
  <c r="AS302" i="5"/>
  <c r="AS309" i="5"/>
  <c r="AS307" i="5"/>
  <c r="AS331" i="5"/>
  <c r="AS332" i="5"/>
  <c r="AS330" i="5"/>
  <c r="AS329" i="5"/>
  <c r="AS327" i="5"/>
  <c r="AS326" i="5"/>
  <c r="AS323" i="5"/>
  <c r="AS325" i="5"/>
  <c r="AS328" i="5"/>
  <c r="AS324" i="5"/>
  <c r="AS336" i="5"/>
  <c r="AS345" i="5"/>
  <c r="AS343" i="5"/>
  <c r="AS339" i="5"/>
  <c r="AS349" i="5"/>
  <c r="AS344" i="5"/>
  <c r="AS341" i="5"/>
  <c r="AS333" i="5"/>
  <c r="AS348" i="5"/>
  <c r="AS334" i="5"/>
  <c r="AS346" i="5"/>
  <c r="AS337" i="5"/>
  <c r="AS340" i="5"/>
  <c r="AS347" i="5"/>
  <c r="AS338" i="5"/>
  <c r="AS335" i="5"/>
  <c r="AS342" i="5"/>
  <c r="AS351" i="5"/>
  <c r="AS350" i="5"/>
  <c r="AS352" i="5"/>
  <c r="AS359" i="5"/>
  <c r="AS355" i="5"/>
  <c r="AS373" i="5"/>
  <c r="AS357" i="5"/>
  <c r="AS369" i="5"/>
  <c r="AS360" i="5"/>
  <c r="AS361" i="5"/>
  <c r="AS371" i="5"/>
  <c r="AS370" i="5"/>
  <c r="AS358" i="5"/>
  <c r="AS374" i="5"/>
  <c r="AS378" i="5"/>
  <c r="AS375" i="5"/>
  <c r="AS366" i="5"/>
  <c r="AS364" i="5"/>
  <c r="AS365" i="5"/>
  <c r="AS376" i="5"/>
  <c r="AS377" i="5"/>
  <c r="AS356" i="5"/>
  <c r="AS353" i="5"/>
  <c r="AS363" i="5"/>
  <c r="AS354" i="5"/>
  <c r="AS368" i="5"/>
  <c r="AS367" i="5"/>
  <c r="AS372" i="5"/>
  <c r="AS362" i="5"/>
  <c r="AS380" i="5"/>
  <c r="AS383" i="5"/>
  <c r="AS379" i="5"/>
  <c r="AS381" i="5"/>
  <c r="AS387" i="5"/>
  <c r="AS395" i="5"/>
  <c r="AS396" i="5"/>
  <c r="AS391" i="5"/>
  <c r="AS392" i="5"/>
  <c r="AS394" i="5"/>
  <c r="AS386" i="5"/>
  <c r="AS385" i="5"/>
  <c r="AS399" i="5"/>
  <c r="AS398" i="5"/>
  <c r="AS384" i="5"/>
  <c r="AS388" i="5"/>
  <c r="AS397" i="5"/>
  <c r="AS382" i="5"/>
  <c r="AS393" i="5"/>
  <c r="AS400" i="5"/>
  <c r="AS389" i="5"/>
  <c r="AS390" i="5"/>
  <c r="AS401" i="5"/>
  <c r="AS410" i="5"/>
  <c r="AS411" i="5"/>
  <c r="AS412" i="5"/>
  <c r="AS413" i="5"/>
  <c r="AS432" i="5"/>
  <c r="AS416" i="5"/>
  <c r="AS414" i="5"/>
  <c r="AS417" i="5"/>
  <c r="AS428" i="5"/>
  <c r="AS423" i="5"/>
  <c r="AS430" i="5"/>
  <c r="AS408" i="5"/>
  <c r="AS409" i="5"/>
  <c r="AS431" i="5"/>
  <c r="AS403" i="5"/>
  <c r="AS404" i="5"/>
  <c r="AS415" i="5"/>
  <c r="AS419" i="5"/>
  <c r="AS429" i="5"/>
  <c r="AS435" i="5"/>
  <c r="AS402" i="5"/>
  <c r="AS418" i="5"/>
  <c r="AS406" i="5"/>
  <c r="AS421" i="5"/>
  <c r="AS420" i="5"/>
  <c r="AS434" i="5"/>
  <c r="AS422" i="5"/>
  <c r="AS424" i="5"/>
  <c r="AS433" i="5"/>
  <c r="AS405" i="5"/>
  <c r="AS407" i="5"/>
  <c r="AS427" i="5"/>
  <c r="AS426" i="5"/>
  <c r="AS425" i="5"/>
  <c r="AS446" i="5"/>
  <c r="AS447" i="5"/>
  <c r="AS468" i="5"/>
  <c r="AS471" i="5"/>
  <c r="AS472" i="5"/>
  <c r="AS448" i="5"/>
  <c r="AS453" i="5"/>
  <c r="AS449" i="5"/>
  <c r="AS454" i="5"/>
  <c r="AS455" i="5"/>
  <c r="AS474" i="5"/>
  <c r="AS440" i="5"/>
  <c r="AS437" i="5"/>
  <c r="AS456" i="5"/>
  <c r="AS452" i="5"/>
  <c r="AS444" i="5"/>
  <c r="AS445" i="5"/>
  <c r="AS450" i="5"/>
  <c r="AS439" i="5"/>
  <c r="AS467" i="5"/>
  <c r="AS469" i="5"/>
  <c r="AS451" i="5"/>
  <c r="AS436" i="5"/>
  <c r="AS470" i="5"/>
  <c r="AS438" i="5"/>
  <c r="AS459" i="5"/>
  <c r="AS460" i="5"/>
  <c r="AS463" i="5"/>
  <c r="AS475" i="5"/>
  <c r="AS461" i="5"/>
  <c r="AS441" i="5"/>
  <c r="AS457" i="5"/>
  <c r="AS458" i="5"/>
  <c r="AS442" i="5"/>
  <c r="AS464" i="5"/>
  <c r="AS462" i="5"/>
  <c r="AS473" i="5"/>
  <c r="AS465" i="5"/>
  <c r="AS466" i="5"/>
  <c r="AS476" i="5"/>
  <c r="AS443" i="5"/>
  <c r="AS485" i="5"/>
  <c r="AS489" i="5"/>
  <c r="AS488" i="5"/>
  <c r="AS491" i="5"/>
  <c r="AS478" i="5"/>
  <c r="AS479" i="5"/>
  <c r="AS511" i="5"/>
  <c r="AS496" i="5"/>
  <c r="AS498" i="5"/>
  <c r="AS490" i="5"/>
  <c r="AS499" i="5"/>
  <c r="AS492" i="5"/>
  <c r="AS512" i="5"/>
  <c r="AS500" i="5"/>
  <c r="AS501" i="5"/>
  <c r="AS493" i="5"/>
  <c r="AS508" i="5"/>
  <c r="AS509" i="5"/>
  <c r="AS484" i="5"/>
  <c r="AS497" i="5"/>
  <c r="AS480" i="5"/>
  <c r="AS494" i="5"/>
  <c r="AS502" i="5"/>
  <c r="AS507" i="5"/>
  <c r="AS506" i="5"/>
  <c r="AS514" i="5"/>
  <c r="AS504" i="5"/>
  <c r="AS487" i="5"/>
  <c r="AS510" i="5"/>
  <c r="AS503" i="5"/>
  <c r="AS515" i="5"/>
  <c r="AS481" i="5"/>
  <c r="AS505" i="5"/>
  <c r="AS495" i="5"/>
  <c r="AS486" i="5"/>
  <c r="AS513" i="5"/>
  <c r="AS483" i="5"/>
  <c r="AS482" i="5"/>
  <c r="AS477" i="5"/>
  <c r="AS607" i="5"/>
  <c r="AS615" i="5"/>
  <c r="AS616" i="5"/>
  <c r="AS624" i="5"/>
  <c r="AS549" i="5"/>
  <c r="AS603" i="5"/>
  <c r="AS561" i="5"/>
  <c r="AS526" i="5"/>
  <c r="AS523" i="5"/>
  <c r="AS562" i="5"/>
  <c r="AS558" i="5"/>
  <c r="AS557" i="5"/>
  <c r="AS563" i="5"/>
  <c r="AS524" i="5"/>
  <c r="AS606" i="5"/>
  <c r="AS614" i="5"/>
  <c r="AS621" i="5"/>
  <c r="AS559" i="5"/>
  <c r="AS577" i="5"/>
  <c r="AS548" i="5"/>
  <c r="AS576" i="5"/>
  <c r="AS580" i="5"/>
  <c r="AS544" i="5"/>
  <c r="AS529" i="5"/>
  <c r="AS564" i="5"/>
  <c r="AS581" i="5"/>
  <c r="AS534" i="5"/>
  <c r="AS568" i="5"/>
  <c r="AS569" i="5"/>
  <c r="AS535" i="5"/>
  <c r="AS578" i="5"/>
  <c r="AS560" i="5"/>
  <c r="AS566" i="5"/>
  <c r="AS530" i="5"/>
  <c r="AS533" i="5"/>
  <c r="AS582" i="5"/>
  <c r="AS608" i="5"/>
  <c r="AS585" i="5"/>
  <c r="AS528" i="5"/>
  <c r="AS583" i="5"/>
  <c r="AS574" i="5"/>
  <c r="AS610" i="5"/>
  <c r="AS537" i="5"/>
  <c r="AS546" i="5"/>
  <c r="AS527" i="5"/>
  <c r="AS538" i="5"/>
  <c r="AS579" i="5"/>
  <c r="AS602" i="5"/>
  <c r="AS575" i="5"/>
  <c r="AS536" i="5"/>
  <c r="AS587" i="5"/>
  <c r="AS540" i="5"/>
  <c r="AS586" i="5"/>
  <c r="AS531" i="5"/>
  <c r="AS588" i="5"/>
  <c r="AS601" i="5"/>
  <c r="AS622" i="5"/>
  <c r="AS589" i="5"/>
  <c r="AS626" i="5"/>
  <c r="AS612" i="5"/>
  <c r="AS516" i="5"/>
  <c r="AS543" i="5"/>
  <c r="AS520" i="5"/>
  <c r="AS550" i="5"/>
  <c r="AS545" i="5"/>
  <c r="AS604" i="5"/>
  <c r="AS554" i="5"/>
  <c r="AS605" i="5"/>
  <c r="AS567" i="5"/>
  <c r="AS590" i="5"/>
  <c r="AS591" i="5"/>
  <c r="AS592" i="5"/>
  <c r="AS541" i="5"/>
  <c r="AS593" i="5"/>
  <c r="AS594" i="5"/>
  <c r="AS595" i="5"/>
  <c r="AS596" i="5"/>
  <c r="AS597" i="5"/>
  <c r="AS539" i="5"/>
  <c r="AS620" i="5"/>
  <c r="AS619" i="5"/>
  <c r="AS625" i="5"/>
  <c r="AS584" i="5"/>
  <c r="AS525" i="5"/>
  <c r="AS565" i="5"/>
  <c r="AS570" i="5"/>
  <c r="AS571" i="5"/>
  <c r="AS552" i="5"/>
  <c r="AS572" i="5"/>
  <c r="AS521" i="5"/>
  <c r="AS532" i="5"/>
  <c r="AS573" i="5"/>
  <c r="AS599" i="5"/>
  <c r="AS600" i="5"/>
  <c r="AS609" i="5"/>
  <c r="AS618" i="5"/>
  <c r="AS617" i="5"/>
  <c r="AS611" i="5"/>
  <c r="AS623" i="5"/>
  <c r="AS518" i="5"/>
  <c r="AS517" i="5"/>
  <c r="AS542" i="5"/>
  <c r="AS553" i="5"/>
  <c r="AS522" i="5"/>
  <c r="AS547" i="5"/>
  <c r="AS555" i="5"/>
  <c r="AS613" i="5"/>
  <c r="AS556" i="5"/>
  <c r="AS598" i="5"/>
  <c r="AS519" i="5"/>
  <c r="AS551" i="5"/>
  <c r="AS628" i="5"/>
  <c r="AS627" i="5"/>
  <c r="AS630" i="5"/>
  <c r="AS648" i="5"/>
  <c r="AS629" i="5"/>
  <c r="AS657" i="5"/>
  <c r="AS658" i="5"/>
  <c r="AS647" i="5"/>
  <c r="AS660" i="5"/>
  <c r="AS698" i="5"/>
  <c r="AS669" i="5"/>
  <c r="AS674" i="5"/>
  <c r="AS670" i="5"/>
  <c r="AS667" i="5"/>
  <c r="AS675" i="5"/>
  <c r="AS653" i="5"/>
  <c r="AS664" i="5"/>
  <c r="AS666" i="5"/>
  <c r="AS631" i="5"/>
  <c r="AS682" i="5"/>
  <c r="AS680" i="5"/>
  <c r="AS663" i="5"/>
  <c r="AS681" i="5"/>
  <c r="AS668" i="5"/>
  <c r="AS671" i="5"/>
  <c r="AS676" i="5"/>
  <c r="AS700" i="5"/>
  <c r="AS665" i="5"/>
  <c r="AS659" i="5"/>
  <c r="AS693" i="5"/>
  <c r="AS686" i="5"/>
  <c r="AS683" i="5"/>
  <c r="AS684" i="5"/>
  <c r="AS685" i="5"/>
  <c r="AS651" i="5"/>
  <c r="AS696" i="5"/>
  <c r="AS697" i="5"/>
  <c r="AS661" i="5"/>
  <c r="AS662" i="5"/>
  <c r="AS677" i="5"/>
  <c r="AS644" i="5"/>
  <c r="AS645" i="5"/>
  <c r="AS638" i="5"/>
  <c r="AS678" i="5"/>
  <c r="AS679" i="5"/>
  <c r="AS640" i="5"/>
  <c r="AS672" i="5"/>
  <c r="AS639" i="5"/>
  <c r="AS641" i="5"/>
  <c r="AS673" i="5"/>
  <c r="AS689" i="5"/>
  <c r="AS695" i="5"/>
  <c r="AS634" i="5"/>
  <c r="AS643" i="5"/>
  <c r="AS646" i="5"/>
  <c r="AS649" i="5"/>
  <c r="AS650" i="5"/>
  <c r="AS635" i="5"/>
  <c r="AS655" i="5"/>
  <c r="AS632" i="5"/>
  <c r="AS687" i="5"/>
  <c r="AS690" i="5"/>
  <c r="AS688" i="5"/>
  <c r="AS699" i="5"/>
  <c r="AS633" i="5"/>
  <c r="AS637" i="5"/>
  <c r="AS652" i="5"/>
  <c r="AS642" i="5"/>
  <c r="AS656" i="5"/>
  <c r="AS654" i="5"/>
  <c r="AS636" i="5"/>
  <c r="AS691" i="5"/>
  <c r="AS692" i="5"/>
  <c r="AS694" i="5"/>
  <c r="AS739" i="5"/>
  <c r="AS810" i="5"/>
  <c r="AS837" i="5"/>
  <c r="AS738" i="5"/>
  <c r="AS754" i="5"/>
  <c r="AS755" i="5"/>
  <c r="AS740" i="5"/>
  <c r="AS790" i="5"/>
  <c r="AS803" i="5"/>
  <c r="AS801" i="5"/>
  <c r="AS802" i="5"/>
  <c r="AS804" i="5"/>
  <c r="AS757" i="5"/>
  <c r="AS805" i="5"/>
  <c r="AS746" i="5"/>
  <c r="AS743" i="5"/>
  <c r="AS748" i="5"/>
  <c r="AS769" i="5"/>
  <c r="AS765" i="5"/>
  <c r="AS742" i="5"/>
  <c r="AS701" i="5"/>
  <c r="AS703" i="5"/>
  <c r="AS744" i="5"/>
  <c r="AS767" i="5"/>
  <c r="AS735" i="5"/>
  <c r="AS751" i="5"/>
  <c r="AS745" i="5"/>
  <c r="AS709" i="5"/>
  <c r="AS820" i="5"/>
  <c r="AS809" i="5"/>
  <c r="AS788" i="5"/>
  <c r="AS814" i="5"/>
  <c r="AS816" i="5"/>
  <c r="AS852" i="5"/>
  <c r="AS853" i="5"/>
  <c r="AS855" i="5"/>
  <c r="AS719" i="5"/>
  <c r="AS747" i="5"/>
  <c r="AS821" i="5"/>
  <c r="AS808" i="5"/>
  <c r="AS834" i="5"/>
  <c r="AS839" i="5"/>
  <c r="AS829" i="5"/>
  <c r="AS838" i="5"/>
  <c r="AS727" i="5"/>
  <c r="AS763" i="5"/>
  <c r="AS730" i="5"/>
  <c r="AS764" i="5"/>
  <c r="AS818" i="5"/>
  <c r="AS812" i="5"/>
  <c r="AS817" i="5"/>
  <c r="AS768" i="5"/>
  <c r="AS758" i="5"/>
  <c r="AS752" i="5"/>
  <c r="AS822" i="5"/>
  <c r="AS749" i="5"/>
  <c r="AS766" i="5"/>
  <c r="AS811" i="5"/>
  <c r="AS807" i="5"/>
  <c r="AS819" i="5"/>
  <c r="AS756" i="5"/>
  <c r="AS714" i="5"/>
  <c r="AS773" i="5"/>
  <c r="AS827" i="5"/>
  <c r="AS787" i="5"/>
  <c r="AS830" i="5"/>
  <c r="AS849" i="5"/>
  <c r="AS750" i="5"/>
  <c r="AS759" i="5"/>
  <c r="AS741" i="5"/>
  <c r="AS796" i="5"/>
  <c r="AS806" i="5"/>
  <c r="AS813" i="5"/>
  <c r="AS831" i="5"/>
  <c r="AS835" i="5"/>
  <c r="AS836" i="5"/>
  <c r="AS851" i="5"/>
  <c r="AS856" i="5"/>
  <c r="AS774" i="5"/>
  <c r="AS724" i="5"/>
  <c r="AS716" i="5"/>
  <c r="AS715" i="5"/>
  <c r="AS775" i="5"/>
  <c r="AS722" i="5"/>
  <c r="AS776" i="5"/>
  <c r="AS723" i="5"/>
  <c r="AS780" i="5"/>
  <c r="AS828" i="5"/>
  <c r="AS854" i="5"/>
  <c r="AS857" i="5"/>
  <c r="AS737" i="5"/>
  <c r="AS753" i="5"/>
  <c r="AS717" i="5"/>
  <c r="AS770" i="5"/>
  <c r="AS771" i="5"/>
  <c r="AS736" i="5"/>
  <c r="AS760" i="5"/>
  <c r="AS708" i="5"/>
  <c r="AS711" i="5"/>
  <c r="AS710" i="5"/>
  <c r="AS761" i="5"/>
  <c r="AS726" i="5"/>
  <c r="AS721" i="5"/>
  <c r="AS772" i="5"/>
  <c r="AS712" i="5"/>
  <c r="AS720" i="5"/>
  <c r="AS713" i="5"/>
  <c r="AS728" i="5"/>
  <c r="AS762" i="5"/>
  <c r="AS781" i="5"/>
  <c r="AS783" i="5"/>
  <c r="AS782" i="5"/>
  <c r="AS823" i="5"/>
  <c r="AS824" i="5"/>
  <c r="AS784" i="5"/>
  <c r="AS825" i="5"/>
  <c r="AS785" i="5"/>
  <c r="AS789" i="5"/>
  <c r="AS786" i="5"/>
  <c r="AS826" i="5"/>
  <c r="AS815" i="5"/>
  <c r="AS833" i="5"/>
  <c r="AS840" i="5"/>
  <c r="AS841" i="5"/>
  <c r="AS846" i="5"/>
  <c r="AS844" i="5"/>
  <c r="AS847" i="5"/>
  <c r="AS850" i="5"/>
  <c r="AS848" i="5"/>
  <c r="AS706" i="5"/>
  <c r="AS731" i="5"/>
  <c r="AS704" i="5"/>
  <c r="AS705" i="5"/>
  <c r="AS729" i="5"/>
  <c r="AS725" i="5"/>
  <c r="AS732" i="5"/>
  <c r="AS733" i="5"/>
  <c r="AS718" i="5"/>
  <c r="AS707" i="5"/>
  <c r="AS734" i="5"/>
  <c r="AS799" i="5"/>
  <c r="AS793" i="5"/>
  <c r="AS794" i="5"/>
  <c r="AS778" i="5"/>
  <c r="AS779" i="5"/>
  <c r="AS800" i="5"/>
  <c r="AS777" i="5"/>
  <c r="AS797" i="5"/>
  <c r="AS791" i="5"/>
  <c r="AS795" i="5"/>
  <c r="AS845" i="5"/>
  <c r="AS842" i="5"/>
  <c r="AS843" i="5"/>
  <c r="AS702" i="5"/>
  <c r="AS792" i="5"/>
  <c r="AS798" i="5"/>
  <c r="AS832" i="5"/>
  <c r="AS858" i="5"/>
  <c r="AS911" i="5"/>
  <c r="AS912" i="5"/>
  <c r="AS932" i="5"/>
  <c r="AS933" i="5"/>
  <c r="AS859" i="5"/>
  <c r="AS869" i="5"/>
  <c r="AS913" i="5"/>
  <c r="AS934" i="5"/>
  <c r="AS870" i="5"/>
  <c r="AS935" i="5"/>
  <c r="AS897" i="5"/>
  <c r="AS914" i="5"/>
  <c r="AS1006" i="5"/>
  <c r="AS1007" i="5"/>
  <c r="AS999" i="5"/>
  <c r="AS1022" i="5"/>
  <c r="AS937" i="5"/>
  <c r="AS917" i="5"/>
  <c r="AS1000" i="5"/>
  <c r="AS1008" i="5"/>
  <c r="AS1001" i="5"/>
  <c r="AS915" i="5"/>
  <c r="AS916" i="5"/>
  <c r="AS874" i="5"/>
  <c r="AS1026" i="5"/>
  <c r="AS871" i="5"/>
  <c r="AS920" i="5"/>
  <c r="AS1011" i="5"/>
  <c r="AS941" i="5"/>
  <c r="AS921" i="5"/>
  <c r="AS919" i="5"/>
  <c r="AS922" i="5"/>
  <c r="AS872" i="5"/>
  <c r="AS960" i="5"/>
  <c r="AS877" i="5"/>
  <c r="AS949" i="5"/>
  <c r="AS923" i="5"/>
  <c r="AS950" i="5"/>
  <c r="AS924" i="5"/>
  <c r="AS951" i="5"/>
  <c r="AS925" i="5"/>
  <c r="AS952" i="5"/>
  <c r="AS953" i="5"/>
  <c r="AS926" i="5"/>
  <c r="AS927" i="5"/>
  <c r="AS942" i="5"/>
  <c r="AS954" i="5"/>
  <c r="AS961" i="5"/>
  <c r="AS955" i="5"/>
  <c r="AS928" i="5"/>
  <c r="AS929" i="5"/>
  <c r="AS956" i="5"/>
  <c r="AS957" i="5"/>
  <c r="AS930" i="5"/>
  <c r="AS931" i="5"/>
  <c r="AS1002" i="5"/>
  <c r="AS979" i="5"/>
  <c r="AS1003" i="5"/>
  <c r="AS1013" i="5"/>
  <c r="AS1004" i="5"/>
  <c r="AS989" i="5"/>
  <c r="AS1005" i="5"/>
  <c r="AS1023" i="5"/>
  <c r="AS1028" i="5"/>
  <c r="AS1027" i="5"/>
  <c r="AS890" i="5"/>
  <c r="AS888" i="5"/>
  <c r="AS882" i="5"/>
  <c r="AS896" i="5"/>
  <c r="AS878" i="5"/>
  <c r="AS1012" i="5"/>
  <c r="AS875" i="5"/>
  <c r="AS880" i="5"/>
  <c r="AS1025" i="5"/>
  <c r="AS861" i="5"/>
  <c r="AS962" i="5"/>
  <c r="AS963" i="5"/>
  <c r="AS936" i="5"/>
  <c r="AS1014" i="5"/>
  <c r="AS1015" i="5"/>
  <c r="AS1029" i="5"/>
  <c r="AS946" i="5"/>
  <c r="AS943" i="5"/>
  <c r="AS973" i="5"/>
  <c r="AS944" i="5"/>
  <c r="AS883" i="5"/>
  <c r="AS974" i="5"/>
  <c r="AS975" i="5"/>
  <c r="AS881" i="5"/>
  <c r="AS977" i="5"/>
  <c r="AS976" i="5"/>
  <c r="AS947" i="5"/>
  <c r="AS945" i="5"/>
  <c r="AS981" i="5"/>
  <c r="AS986" i="5"/>
  <c r="AS1020" i="5"/>
  <c r="AS1030" i="5"/>
  <c r="AS958" i="5"/>
  <c r="AS918" i="5"/>
  <c r="AS959" i="5"/>
  <c r="AS895" i="5"/>
  <c r="AS884" i="5"/>
  <c r="AS873" i="5"/>
  <c r="AS1019" i="5"/>
  <c r="AS964" i="5"/>
  <c r="AS898" i="5"/>
  <c r="AS965" i="5"/>
  <c r="AS876" i="5"/>
  <c r="AS938" i="5"/>
  <c r="AS891" i="5"/>
  <c r="AS939" i="5"/>
  <c r="AS966" i="5"/>
  <c r="AS967" i="5"/>
  <c r="AS968" i="5"/>
  <c r="AS948" i="5"/>
  <c r="AS969" i="5"/>
  <c r="AS879" i="5"/>
  <c r="AS892" i="5"/>
  <c r="AS972" i="5"/>
  <c r="AS970" i="5"/>
  <c r="AS894" i="5"/>
  <c r="AS893" i="5"/>
  <c r="AS940" i="5"/>
  <c r="AS971" i="5"/>
  <c r="AS889" i="5"/>
  <c r="AS987" i="5"/>
  <c r="AS1016" i="5"/>
  <c r="AS982" i="5"/>
  <c r="AS1017" i="5"/>
  <c r="AS985" i="5"/>
  <c r="AS1009" i="5"/>
  <c r="AS1010" i="5"/>
  <c r="AS1018" i="5"/>
  <c r="AS984" i="5"/>
  <c r="AS980" i="5"/>
  <c r="AS860" i="5"/>
  <c r="AS909" i="5"/>
  <c r="AS903" i="5"/>
  <c r="AS904" i="5"/>
  <c r="AS899" i="5"/>
  <c r="AS885" i="5"/>
  <c r="AS910" i="5"/>
  <c r="AS886" i="5"/>
  <c r="AS862" i="5"/>
  <c r="AS866" i="5"/>
  <c r="AS863" i="5"/>
  <c r="AS864" i="5"/>
  <c r="AS865" i="5"/>
  <c r="AS905" i="5"/>
  <c r="AS901" i="5"/>
  <c r="AS867" i="5"/>
  <c r="AS906" i="5"/>
  <c r="AS902" i="5"/>
  <c r="AS907" i="5"/>
  <c r="AS887" i="5"/>
  <c r="AS900" i="5"/>
  <c r="AS988" i="5"/>
  <c r="AS978" i="5"/>
  <c r="AS993" i="5"/>
  <c r="AS995" i="5"/>
  <c r="AS994" i="5"/>
  <c r="AS996" i="5"/>
  <c r="AS992" i="5"/>
  <c r="AS990" i="5"/>
  <c r="AS991" i="5"/>
  <c r="AS997" i="5"/>
  <c r="AS998" i="5"/>
  <c r="AS983" i="5"/>
  <c r="AS1021" i="5"/>
  <c r="AS1024" i="5"/>
  <c r="AS908" i="5"/>
  <c r="AS868" i="5"/>
  <c r="AS1031" i="5"/>
  <c r="AS1032" i="5"/>
  <c r="AS1033" i="5"/>
  <c r="AS1034" i="5"/>
  <c r="AS1035" i="5"/>
  <c r="AS1036" i="5"/>
  <c r="AS1037" i="5"/>
  <c r="AS1038" i="5"/>
  <c r="AS1040" i="5"/>
  <c r="AS1039" i="5"/>
  <c r="AS1041" i="5"/>
  <c r="AS1042" i="5"/>
  <c r="AS1045" i="5"/>
  <c r="AS1043" i="5"/>
  <c r="AS1046" i="5"/>
  <c r="AS1044" i="5"/>
  <c r="AS1048" i="5"/>
  <c r="AS1049" i="5"/>
  <c r="AS1047" i="5"/>
  <c r="AS1052" i="5"/>
  <c r="AS1051" i="5"/>
  <c r="AS1054" i="5"/>
  <c r="AS1050" i="5"/>
  <c r="AS1053" i="5"/>
  <c r="AS1058" i="5"/>
  <c r="AS1056" i="5"/>
  <c r="AS1055" i="5"/>
  <c r="AS1060" i="5"/>
  <c r="AS1059" i="5"/>
  <c r="AS1057" i="5"/>
  <c r="AS1061" i="5"/>
  <c r="AS1062" i="5"/>
  <c r="AS1064" i="5"/>
  <c r="AS1063" i="5"/>
  <c r="AS1066" i="5"/>
  <c r="AS1065" i="5"/>
  <c r="AS1068" i="5"/>
  <c r="AS1067" i="5"/>
  <c r="AS1073" i="5"/>
  <c r="AS1072" i="5"/>
  <c r="AS1069" i="5"/>
  <c r="AS1071" i="5"/>
  <c r="AS1070" i="5"/>
  <c r="AS1074" i="5"/>
  <c r="AS1075" i="5"/>
  <c r="AS1079" i="5"/>
  <c r="AS1078" i="5"/>
  <c r="AS1077" i="5"/>
  <c r="AS1081" i="5"/>
  <c r="AS1076" i="5"/>
  <c r="AS1082" i="5"/>
  <c r="AS1080" i="5"/>
  <c r="AS1084" i="5"/>
  <c r="AS1086" i="5"/>
  <c r="AS1085" i="5"/>
  <c r="AS1088" i="5"/>
  <c r="AS1089" i="5"/>
  <c r="AS1083" i="5"/>
  <c r="AS1087" i="5"/>
  <c r="AS1090" i="5"/>
  <c r="AS1091" i="5"/>
  <c r="AS1092" i="5"/>
  <c r="AS1094" i="5"/>
  <c r="AS1095" i="5"/>
  <c r="AS1093" i="5"/>
  <c r="AS1096" i="5"/>
  <c r="AS1097" i="5"/>
  <c r="AS1099" i="5"/>
  <c r="AS1101" i="5"/>
  <c r="AS1098" i="5"/>
  <c r="AS1100" i="5"/>
  <c r="AS1102" i="5"/>
  <c r="AS1103" i="5"/>
  <c r="AS1104" i="5"/>
  <c r="AS1105" i="5"/>
  <c r="AS1106" i="5"/>
  <c r="AS1107" i="5"/>
  <c r="AS1108" i="5"/>
  <c r="AS1110" i="5"/>
  <c r="AS1111" i="5"/>
  <c r="AS1109" i="5"/>
  <c r="AS1113" i="5"/>
  <c r="AS1112" i="5"/>
  <c r="AS1114" i="5"/>
  <c r="AS1117" i="5"/>
  <c r="AS1115" i="5"/>
  <c r="AS1116" i="5"/>
  <c r="AS1119" i="5"/>
  <c r="AS1118" i="5"/>
  <c r="AS1120" i="5"/>
  <c r="AS1122" i="5"/>
  <c r="AS1121" i="5"/>
  <c r="AS1123" i="5"/>
  <c r="AS1124" i="5"/>
  <c r="AS1125" i="5"/>
  <c r="AS1126" i="5"/>
  <c r="AS1127" i="5"/>
  <c r="AS1129" i="5"/>
  <c r="AS1128" i="5"/>
  <c r="AS1130" i="5"/>
  <c r="AS1131" i="5"/>
  <c r="AS1134" i="5"/>
  <c r="AS1132" i="5"/>
  <c r="AS1133" i="5"/>
  <c r="AS1135" i="5"/>
  <c r="AS1137" i="5"/>
  <c r="AS1138" i="5"/>
  <c r="AS1139" i="5"/>
  <c r="AS1141" i="5"/>
  <c r="AS1136" i="5"/>
  <c r="AS1140" i="5"/>
  <c r="AS1162" i="5"/>
  <c r="AS1143" i="5"/>
  <c r="AS1149" i="5"/>
  <c r="AS1153" i="5"/>
  <c r="AS1152" i="5"/>
  <c r="AS1155" i="5"/>
  <c r="AS1150" i="5"/>
  <c r="AS1158" i="5"/>
  <c r="AS1157" i="5"/>
  <c r="AS1147" i="5"/>
  <c r="AS1145" i="5"/>
  <c r="AS1163" i="5"/>
  <c r="AS1159" i="5"/>
  <c r="AS1142" i="5"/>
  <c r="AS1151" i="5"/>
  <c r="AS1156" i="5"/>
  <c r="AS1164" i="5"/>
  <c r="AS1148" i="5"/>
  <c r="AS1144" i="5"/>
  <c r="AS1146" i="5"/>
  <c r="AS1154" i="5"/>
  <c r="AS1160" i="5"/>
  <c r="AS1161" i="5"/>
  <c r="AS1171" i="5"/>
  <c r="AS1166" i="5"/>
  <c r="AS1176" i="5"/>
  <c r="AS1175" i="5"/>
  <c r="AS1170" i="5"/>
  <c r="AS1169" i="5"/>
  <c r="AS1167" i="5"/>
  <c r="AS1168" i="5"/>
  <c r="AS1174" i="5"/>
  <c r="AS1173" i="5"/>
  <c r="AS1179" i="5"/>
  <c r="AS1172" i="5"/>
  <c r="AS1165" i="5"/>
  <c r="AS1177" i="5"/>
  <c r="AS1178" i="5"/>
  <c r="AS1182" i="5"/>
  <c r="AS1181" i="5"/>
  <c r="AS1186" i="5"/>
  <c r="AS1180" i="5"/>
  <c r="AS1183" i="5"/>
  <c r="AS1185" i="5"/>
  <c r="AS1184" i="5"/>
  <c r="AS1188" i="5"/>
  <c r="AS1192" i="5"/>
  <c r="AS1190" i="5"/>
  <c r="AS1194" i="5"/>
  <c r="AS1187" i="5"/>
  <c r="AS1193" i="5"/>
  <c r="AS1191" i="5"/>
  <c r="AS1189" i="5"/>
  <c r="AS1196" i="5"/>
  <c r="AS1195" i="5"/>
  <c r="AS1198" i="5"/>
  <c r="AS1197" i="5"/>
  <c r="AS1199" i="5"/>
  <c r="AS1201" i="5"/>
  <c r="AS1202" i="5"/>
  <c r="AS1200" i="5"/>
  <c r="AS1203" i="5"/>
  <c r="AS1204" i="5"/>
  <c r="AS1206" i="5"/>
  <c r="AS1205" i="5"/>
  <c r="AS1207" i="5"/>
  <c r="AS1208" i="5"/>
  <c r="AS1213" i="5"/>
  <c r="AS1209" i="5"/>
  <c r="AS1210" i="5"/>
  <c r="AS1214" i="5"/>
  <c r="AS1211" i="5"/>
  <c r="AS1212" i="5"/>
  <c r="AS1215" i="5"/>
  <c r="AS1216" i="5"/>
  <c r="AS1218" i="5"/>
  <c r="AS1217" i="5"/>
  <c r="AS1224" i="5"/>
  <c r="AS1222" i="5"/>
  <c r="AS1219" i="5"/>
  <c r="AS1223" i="5"/>
  <c r="AS1221" i="5"/>
  <c r="AS1225" i="5"/>
  <c r="AS1220" i="5"/>
  <c r="AS1226" i="5"/>
  <c r="AS1227" i="5"/>
  <c r="AS1228" i="5"/>
  <c r="AS1229" i="5"/>
  <c r="AS1230" i="5"/>
  <c r="AS1232" i="5"/>
  <c r="AS1231" i="5"/>
  <c r="AS1233" i="5"/>
  <c r="AS1236" i="5"/>
  <c r="AS1235" i="5"/>
  <c r="AS1234" i="5"/>
  <c r="AS1239" i="5"/>
  <c r="AS1238" i="5"/>
  <c r="AS1237" i="5"/>
  <c r="AS1240" i="5"/>
  <c r="AS1241" i="5"/>
  <c r="AS1242" i="5"/>
  <c r="AS1243" i="5"/>
  <c r="AS1245" i="5"/>
  <c r="AS1244" i="5"/>
  <c r="AS1247" i="5"/>
  <c r="AS1246" i="5"/>
  <c r="AS1249" i="5"/>
  <c r="AS1248" i="5"/>
  <c r="AS1250" i="5"/>
  <c r="AS1251" i="5"/>
  <c r="AS1268" i="5"/>
  <c r="AS1258" i="5"/>
  <c r="AS1261" i="5"/>
  <c r="AS1256" i="5"/>
  <c r="AS1254" i="5"/>
  <c r="AS1263" i="5"/>
  <c r="AS1257" i="5"/>
  <c r="AS1267" i="5"/>
  <c r="AS1255" i="5"/>
  <c r="AS1262" i="5"/>
  <c r="AS1270" i="5"/>
  <c r="AS1252" i="5"/>
  <c r="AS1260" i="5"/>
  <c r="AS1264" i="5"/>
  <c r="AS1269" i="5"/>
  <c r="AS1274" i="5"/>
  <c r="AS1265" i="5"/>
  <c r="AS1271" i="5"/>
  <c r="AS1272" i="5"/>
  <c r="AS1266" i="5"/>
  <c r="AS1259" i="5"/>
  <c r="AS1275" i="5"/>
  <c r="AS1253" i="5"/>
  <c r="AS1273" i="5"/>
  <c r="AS1276" i="5"/>
  <c r="AS1278" i="5"/>
  <c r="AS1277" i="5"/>
  <c r="AS1280" i="5"/>
  <c r="AS1288" i="5"/>
  <c r="AS1286" i="5"/>
  <c r="AS1284" i="5"/>
  <c r="AS1281" i="5"/>
  <c r="AS1279" i="5"/>
  <c r="AS1285" i="5"/>
  <c r="AS1283" i="5"/>
  <c r="AS1287" i="5"/>
  <c r="AS1282" i="5"/>
  <c r="AS1289" i="5"/>
  <c r="AS1290" i="5"/>
  <c r="AS1313" i="5"/>
  <c r="AS1299" i="5"/>
  <c r="AS1308" i="5"/>
  <c r="AS1293" i="5"/>
  <c r="AS1297" i="5"/>
  <c r="AS1300" i="5"/>
  <c r="AS1298" i="5"/>
  <c r="AS1291" i="5"/>
  <c r="AS1301" i="5"/>
  <c r="AS1302" i="5"/>
  <c r="AS1292" i="5"/>
  <c r="AS1304" i="5"/>
  <c r="AS1309" i="5"/>
  <c r="AS1303" i="5"/>
  <c r="AS1310" i="5"/>
  <c r="AS1296" i="5"/>
  <c r="AS1295" i="5"/>
  <c r="AS1306" i="5"/>
  <c r="AS1314" i="5"/>
  <c r="AS1305" i="5"/>
  <c r="AS1312" i="5"/>
  <c r="AS1315" i="5"/>
  <c r="AS1311" i="5"/>
  <c r="AS1294" i="5"/>
  <c r="AS1307" i="5"/>
  <c r="AS1328" i="5"/>
  <c r="AS1318" i="5"/>
  <c r="AS1316" i="5"/>
  <c r="AS1319" i="5"/>
  <c r="AS1323" i="5"/>
  <c r="AS1321" i="5"/>
  <c r="AS1317" i="5"/>
  <c r="AS1324" i="5"/>
  <c r="AS1320" i="5"/>
  <c r="AS1326" i="5"/>
  <c r="AS1322" i="5"/>
  <c r="AS1329" i="5"/>
  <c r="AS1330" i="5"/>
  <c r="AS1325" i="5"/>
  <c r="AS1327" i="5"/>
  <c r="AS1331" i="5"/>
  <c r="AS1347" i="5"/>
  <c r="AS1343" i="5"/>
  <c r="AS1341" i="5"/>
  <c r="AS1352" i="5"/>
  <c r="AS1335" i="5"/>
  <c r="AS1344" i="5"/>
  <c r="AS1348" i="5"/>
  <c r="AS1354" i="5"/>
  <c r="AS1349" i="5"/>
  <c r="AS1336" i="5"/>
  <c r="AS1359" i="5"/>
  <c r="AS1340" i="5"/>
  <c r="AS1342" i="5"/>
  <c r="AS1350" i="5"/>
  <c r="AS1353" i="5"/>
  <c r="AS1346" i="5"/>
  <c r="AS1337" i="5"/>
  <c r="AS1333" i="5"/>
  <c r="AS1356" i="5"/>
  <c r="AS1345" i="5"/>
  <c r="AS1334" i="5"/>
  <c r="AS1358" i="5"/>
  <c r="AS1360" i="5"/>
  <c r="AS1332" i="5"/>
  <c r="AS1355" i="5"/>
  <c r="AS1338" i="5"/>
  <c r="AS1339" i="5"/>
  <c r="AS1351" i="5"/>
  <c r="AS1361" i="5"/>
  <c r="AS1357" i="5"/>
  <c r="AS1367" i="5"/>
  <c r="AS1362" i="5"/>
  <c r="AS1369" i="5"/>
  <c r="AS1370" i="5"/>
  <c r="AS1363" i="5"/>
  <c r="AS1368" i="5"/>
  <c r="AS1372" i="5"/>
  <c r="AS1365" i="5"/>
  <c r="AS1374" i="5"/>
  <c r="AS1364" i="5"/>
  <c r="AS1371" i="5"/>
  <c r="AS1366" i="5"/>
  <c r="AS1373" i="5"/>
  <c r="AS1375" i="5"/>
  <c r="AS1380" i="5"/>
  <c r="AS1386" i="5"/>
  <c r="AS1381" i="5"/>
  <c r="AS1377" i="5"/>
  <c r="AS1383" i="5"/>
  <c r="AS1385" i="5"/>
  <c r="AS1384" i="5"/>
  <c r="AS1376" i="5"/>
  <c r="AS1378" i="5"/>
  <c r="AS1379" i="5"/>
  <c r="AS1382" i="5"/>
  <c r="AS1387" i="5"/>
  <c r="AS1388" i="5"/>
  <c r="AS1389" i="5"/>
  <c r="AS1390" i="5"/>
  <c r="AS1392" i="5"/>
  <c r="AS1391" i="5"/>
  <c r="AS1393" i="5"/>
  <c r="AS1394" i="5"/>
  <c r="AS1395" i="5"/>
  <c r="AS1396" i="5"/>
  <c r="AS1398" i="5"/>
  <c r="AS1397" i="5"/>
  <c r="AS1399" i="5"/>
  <c r="AS1400" i="5"/>
  <c r="AS1401" i="5"/>
  <c r="AS1402" i="5"/>
  <c r="AS1403" i="5"/>
  <c r="AS1404" i="5"/>
  <c r="Y1042" i="5"/>
  <c r="Y1219" i="5"/>
  <c r="Y1045" i="5"/>
  <c r="Y1043" i="5"/>
  <c r="Y1046" i="5"/>
  <c r="Y1044" i="5"/>
  <c r="Y1048" i="5"/>
  <c r="Y1049" i="5"/>
  <c r="Y1050" i="5"/>
  <c r="Y1047" i="5"/>
  <c r="Y1051" i="5"/>
  <c r="Y1362" i="5"/>
  <c r="Y1291" i="5"/>
  <c r="Y1052" i="5"/>
  <c r="Y1317" i="5"/>
  <c r="Y1316" i="5"/>
  <c r="Y1279" i="5"/>
  <c r="Y1252" i="5"/>
  <c r="Y1234" i="5"/>
  <c r="Y1280" i="5"/>
  <c r="Y1242" i="5"/>
  <c r="Y1318" i="5"/>
  <c r="Y1281" i="5"/>
  <c r="Y1128" i="5"/>
  <c r="Y283" i="5"/>
  <c r="Y284" i="5"/>
  <c r="Y859" i="5"/>
  <c r="Y1332" i="5"/>
  <c r="Y1333" i="5"/>
  <c r="Y1334" i="5"/>
  <c r="Y1336" i="5"/>
  <c r="Y1282" i="5"/>
  <c r="Y1208" i="5"/>
  <c r="Y1061" i="5"/>
  <c r="Y701" i="5"/>
  <c r="Y1375" i="5"/>
  <c r="Y1292" i="5"/>
  <c r="Y1256" i="5"/>
  <c r="Y1319" i="5"/>
  <c r="Y1255" i="5"/>
  <c r="Y1321" i="5"/>
  <c r="Y1235" i="5"/>
  <c r="Y1320" i="5"/>
  <c r="Y1335" i="5"/>
  <c r="Y1253" i="5"/>
  <c r="Y1293" i="5"/>
  <c r="Y1254" i="5"/>
  <c r="Y1363" i="5"/>
  <c r="Y1283" i="5"/>
  <c r="Y1104" i="5"/>
  <c r="Y1284" i="5"/>
  <c r="Y1364" i="5"/>
  <c r="Y1393" i="5"/>
  <c r="Y1259" i="5"/>
  <c r="Y1337" i="5"/>
  <c r="Y1324" i="5"/>
  <c r="Y1339" i="5"/>
  <c r="Y1260" i="5"/>
  <c r="Y1322" i="5"/>
  <c r="Y1400" i="5"/>
  <c r="Y1039" i="5"/>
  <c r="Y1365" i="5"/>
  <c r="Y1297" i="5"/>
  <c r="Y1295" i="5"/>
  <c r="Y1092" i="5"/>
  <c r="Y1244" i="5"/>
  <c r="Y1112" i="5"/>
  <c r="Y1323" i="5"/>
  <c r="Y1294" i="5"/>
  <c r="Y1296" i="5"/>
  <c r="Y1263" i="5"/>
  <c r="Y1367" i="5"/>
  <c r="Y1338" i="5"/>
  <c r="Y1286" i="5"/>
  <c r="Y1285" i="5"/>
  <c r="Y1262" i="5"/>
  <c r="Y1258" i="5"/>
  <c r="Y1261" i="5"/>
  <c r="Y1257" i="5"/>
  <c r="Y1245" i="5"/>
  <c r="Y1135" i="5"/>
  <c r="Y1366" i="5"/>
  <c r="Y1325" i="5"/>
  <c r="Y1142" i="5"/>
  <c r="Y437" i="5"/>
  <c r="Y379" i="5"/>
  <c r="Y438" i="5"/>
  <c r="Y629" i="5"/>
  <c r="Y436" i="5"/>
  <c r="Y401" i="5"/>
  <c r="Y702" i="5"/>
  <c r="Y703" i="5"/>
  <c r="Y860" i="5"/>
  <c r="Y861" i="5"/>
  <c r="Y516" i="5"/>
  <c r="Y630" i="5"/>
  <c r="Y631" i="5"/>
  <c r="Y1368" i="5"/>
  <c r="Y1340" i="5"/>
  <c r="Y1341" i="5"/>
  <c r="Y964" i="5"/>
  <c r="Y758" i="5"/>
  <c r="Y661" i="5"/>
  <c r="Y418" i="5"/>
  <c r="Y738" i="5"/>
  <c r="Y1063" i="5"/>
  <c r="Y634" i="5"/>
  <c r="Y584" i="5"/>
  <c r="Y946" i="5"/>
  <c r="Y657" i="5"/>
  <c r="Y658" i="5"/>
  <c r="Y671" i="5"/>
  <c r="Y683" i="5"/>
  <c r="Y647" i="5"/>
  <c r="Y643" i="5"/>
  <c r="Y674" i="5"/>
  <c r="Y408" i="5"/>
  <c r="Y646" i="5"/>
  <c r="Y684" i="5"/>
  <c r="Y662" i="5"/>
  <c r="Y525" i="5"/>
  <c r="Y528" i="5"/>
  <c r="Y1369" i="5"/>
  <c r="Y451" i="5"/>
  <c r="Y1113" i="5"/>
  <c r="Y549" i="5"/>
  <c r="Y568" i="5"/>
  <c r="Y737" i="5"/>
  <c r="Y769" i="5"/>
  <c r="Y753" i="5"/>
  <c r="Y569" i="5"/>
  <c r="Y576" i="5"/>
  <c r="Y580" i="5"/>
  <c r="Y567" i="5"/>
  <c r="Y744" i="5"/>
  <c r="Y556" i="5"/>
  <c r="Y869" i="5"/>
  <c r="Y754" i="5"/>
  <c r="Y561" i="5"/>
  <c r="Y756" i="5"/>
  <c r="Y724" i="5"/>
  <c r="Y716" i="5"/>
  <c r="Y767" i="5"/>
  <c r="Y909" i="5"/>
  <c r="Y765" i="5"/>
  <c r="Y735" i="5"/>
  <c r="Y915" i="5"/>
  <c r="Y750" i="5"/>
  <c r="Y752" i="5"/>
  <c r="Y543" i="5"/>
  <c r="Y719" i="5"/>
  <c r="Y747" i="5"/>
  <c r="Y717" i="5"/>
  <c r="Y768" i="5"/>
  <c r="Y770" i="5"/>
  <c r="Y742" i="5"/>
  <c r="Y727" i="5"/>
  <c r="Y706" i="5"/>
  <c r="Y544" i="5"/>
  <c r="Y771" i="5"/>
  <c r="Y715" i="5"/>
  <c r="Y736" i="5"/>
  <c r="Y755" i="5"/>
  <c r="Y751" i="5"/>
  <c r="Y565" i="5"/>
  <c r="Y746" i="5"/>
  <c r="Y731" i="5"/>
  <c r="Y760" i="5"/>
  <c r="Y913" i="5"/>
  <c r="Y708" i="5"/>
  <c r="Y554" i="5"/>
  <c r="Y591" i="5"/>
  <c r="Y519" i="5"/>
  <c r="Y595" i="5"/>
  <c r="Y551" i="5"/>
  <c r="Y704" i="5"/>
  <c r="Y705" i="5"/>
  <c r="Y749" i="5"/>
  <c r="Y729" i="5"/>
  <c r="Y725" i="5"/>
  <c r="Y732" i="5"/>
  <c r="Y733" i="5"/>
  <c r="Y711" i="5"/>
  <c r="Y898" i="5"/>
  <c r="Y559" i="5"/>
  <c r="Y596" i="5"/>
  <c r="Y535" i="5"/>
  <c r="Y578" i="5"/>
  <c r="Y710" i="5"/>
  <c r="Y739" i="5"/>
  <c r="Y763" i="5"/>
  <c r="Y730" i="5"/>
  <c r="Y761" i="5"/>
  <c r="Y726" i="5"/>
  <c r="Y668" i="5"/>
  <c r="Y714" i="5"/>
  <c r="Y766" i="5"/>
  <c r="Y718" i="5"/>
  <c r="Y1326" i="5"/>
  <c r="Y941" i="5"/>
  <c r="Y965" i="5"/>
  <c r="Y903" i="5"/>
  <c r="Y904" i="5"/>
  <c r="Y876" i="5"/>
  <c r="Y921" i="5"/>
  <c r="Y943" i="5"/>
  <c r="Y934" i="5"/>
  <c r="Y870" i="5"/>
  <c r="Y916" i="5"/>
  <c r="Y962" i="5"/>
  <c r="Y919" i="5"/>
  <c r="Y890" i="5"/>
  <c r="Y935" i="5"/>
  <c r="Y899" i="5"/>
  <c r="Y973" i="5"/>
  <c r="Y774" i="5"/>
  <c r="Y670" i="5"/>
  <c r="Y682" i="5"/>
  <c r="Y680" i="5"/>
  <c r="Y637" i="5"/>
  <c r="Y676" i="5"/>
  <c r="Y667" i="5"/>
  <c r="Y633" i="5"/>
  <c r="Y649" i="5"/>
  <c r="Y652" i="5"/>
  <c r="Y526" i="5"/>
  <c r="Y529" i="5"/>
  <c r="Y518" i="5"/>
  <c r="Y520" i="5"/>
  <c r="Y517" i="5"/>
  <c r="Y908" i="5"/>
  <c r="Y938" i="5"/>
  <c r="Y937" i="5"/>
  <c r="Y922" i="5"/>
  <c r="Y872" i="5"/>
  <c r="Y944" i="5"/>
  <c r="Y891" i="5"/>
  <c r="Y885" i="5"/>
  <c r="Y888" i="5"/>
  <c r="Y721" i="5"/>
  <c r="Y560" i="5"/>
  <c r="Y456" i="5"/>
  <c r="Y412" i="5"/>
  <c r="Y411" i="5"/>
  <c r="Y287" i="5"/>
  <c r="Y883" i="5"/>
  <c r="Y960" i="5"/>
  <c r="Y877" i="5"/>
  <c r="Y895" i="5"/>
  <c r="Y917" i="5"/>
  <c r="Y772" i="5"/>
  <c r="Y650" i="5"/>
  <c r="Y686" i="5"/>
  <c r="Y642" i="5"/>
  <c r="Y635" i="5"/>
  <c r="Y677" i="5"/>
  <c r="Y566" i="5"/>
  <c r="Y570" i="5"/>
  <c r="Y523" i="5"/>
  <c r="Y939" i="5"/>
  <c r="Y759" i="5"/>
  <c r="Y911" i="5"/>
  <c r="Y663" i="5"/>
  <c r="Y644" i="5"/>
  <c r="Y337" i="5"/>
  <c r="Y339" i="5"/>
  <c r="Y323" i="5"/>
  <c r="Y289" i="5"/>
  <c r="Y910" i="5"/>
  <c r="Y479" i="5"/>
  <c r="Y897" i="5"/>
  <c r="Y775" i="5"/>
  <c r="Y410" i="5"/>
  <c r="Y974" i="5"/>
  <c r="Y949" i="5"/>
  <c r="Y712" i="5"/>
  <c r="Y886" i="5"/>
  <c r="Y914" i="5"/>
  <c r="Y923" i="5"/>
  <c r="Y950" i="5"/>
  <c r="Y499" i="5"/>
  <c r="Y291" i="5"/>
  <c r="Y292" i="5"/>
  <c r="Y286" i="5"/>
  <c r="Y296" i="5"/>
  <c r="Y924" i="5"/>
  <c r="Y966" i="5"/>
  <c r="Y951" i="5"/>
  <c r="Y293" i="5"/>
  <c r="Y297" i="5"/>
  <c r="Y925" i="5"/>
  <c r="Y975" i="5"/>
  <c r="Y967" i="5"/>
  <c r="Y862" i="5"/>
  <c r="Y952" i="5"/>
  <c r="Y953" i="5"/>
  <c r="Y963" i="5"/>
  <c r="Y926" i="5"/>
  <c r="Y866" i="5"/>
  <c r="Y927" i="5"/>
  <c r="Y740" i="5"/>
  <c r="Y743" i="5"/>
  <c r="Y968" i="5"/>
  <c r="Y942" i="5"/>
  <c r="Y954" i="5"/>
  <c r="Y863" i="5"/>
  <c r="Y961" i="5"/>
  <c r="Y881" i="5"/>
  <c r="Y864" i="5"/>
  <c r="Y882" i="5"/>
  <c r="Y955" i="5"/>
  <c r="Y722" i="5"/>
  <c r="Y656" i="5"/>
  <c r="Y498" i="5"/>
  <c r="Y912" i="5"/>
  <c r="Y589" i="5"/>
  <c r="Y571" i="5"/>
  <c r="Y977" i="5"/>
  <c r="Y875" i="5"/>
  <c r="Y948" i="5"/>
  <c r="Y969" i="5"/>
  <c r="Y928" i="5"/>
  <c r="Y865" i="5"/>
  <c r="Y764" i="5"/>
  <c r="Y491" i="5"/>
  <c r="Y879" i="5"/>
  <c r="Y976" i="5"/>
  <c r="Y665" i="5"/>
  <c r="Y947" i="5"/>
  <c r="Y645" i="5"/>
  <c r="Y564" i="5"/>
  <c r="Y484" i="5"/>
  <c r="Y905" i="5"/>
  <c r="Y448" i="5"/>
  <c r="Y527" i="5"/>
  <c r="Y500" i="5"/>
  <c r="Y868" i="5"/>
  <c r="Y720" i="5"/>
  <c r="Y530" i="5"/>
  <c r="Y550" i="5"/>
  <c r="Y654" i="5"/>
  <c r="Y384" i="5"/>
  <c r="Y896" i="5"/>
  <c r="Y776" i="5"/>
  <c r="Y638" i="5"/>
  <c r="Y536" i="5"/>
  <c r="Y901" i="5"/>
  <c r="Y552" i="5"/>
  <c r="Y562" i="5"/>
  <c r="Y577" i="5"/>
  <c r="Y538" i="5"/>
  <c r="Y522" i="5"/>
  <c r="Y558" i="5"/>
  <c r="Y587" i="5"/>
  <c r="Y540" i="5"/>
  <c r="Y548" i="5"/>
  <c r="Y490" i="5"/>
  <c r="Y505" i="5"/>
  <c r="Y486" i="5"/>
  <c r="Y501" i="5"/>
  <c r="Y402" i="5"/>
  <c r="Y592" i="5"/>
  <c r="Y504" i="5"/>
  <c r="Y503" i="5"/>
  <c r="Y481" i="5"/>
  <c r="Y1078" i="5"/>
  <c r="Y572" i="5"/>
  <c r="Y581" i="5"/>
  <c r="Y929" i="5"/>
  <c r="Y521" i="5"/>
  <c r="Y533" i="5"/>
  <c r="Y496" i="5"/>
  <c r="Y478" i="5"/>
  <c r="Y678" i="5"/>
  <c r="Y492" i="5"/>
  <c r="Y669" i="5"/>
  <c r="Y892" i="5"/>
  <c r="Y675" i="5"/>
  <c r="Y294" i="5"/>
  <c r="Y267" i="5"/>
  <c r="Y301" i="5"/>
  <c r="Y298" i="5"/>
  <c r="Y300" i="5"/>
  <c r="Y299" i="5"/>
  <c r="Y532" i="5"/>
  <c r="Y1077" i="5"/>
  <c r="Y653" i="5"/>
  <c r="Y546" i="5"/>
  <c r="Y487" i="5"/>
  <c r="Y452" i="5"/>
  <c r="Y335" i="5"/>
  <c r="Y541" i="5"/>
  <c r="Y454" i="5"/>
  <c r="Y380" i="5"/>
  <c r="Y355" i="5"/>
  <c r="Y354" i="5"/>
  <c r="Y356" i="5"/>
  <c r="Y353" i="5"/>
  <c r="Y358" i="5"/>
  <c r="Y357" i="5"/>
  <c r="Y488" i="5"/>
  <c r="Y655" i="5"/>
  <c r="Y956" i="5"/>
  <c r="Y583" i="5"/>
  <c r="Y553" i="5"/>
  <c r="Y593" i="5"/>
  <c r="Y586" i="5"/>
  <c r="Y531" i="5"/>
  <c r="Y594" i="5"/>
  <c r="Y557" i="5"/>
  <c r="Y575" i="5"/>
  <c r="Y493" i="5"/>
  <c r="Y483" i="5"/>
  <c r="Y482" i="5"/>
  <c r="Y480" i="5"/>
  <c r="Y485" i="5"/>
  <c r="Y489" i="5"/>
  <c r="Y502" i="5"/>
  <c r="Y660" i="5"/>
  <c r="Y679" i="5"/>
  <c r="Y640" i="5"/>
  <c r="Y672" i="5"/>
  <c r="Y639" i="5"/>
  <c r="Y597" i="5"/>
  <c r="Y542" i="5"/>
  <c r="Y588" i="5"/>
  <c r="Y585" i="5"/>
  <c r="Y555" i="5"/>
  <c r="Y582" i="5"/>
  <c r="Y547" i="5"/>
  <c r="Y590" i="5"/>
  <c r="Y497" i="5"/>
  <c r="Y632" i="5"/>
  <c r="Y648" i="5"/>
  <c r="Y539" i="5"/>
  <c r="Y574" i="5"/>
  <c r="Y579" i="5"/>
  <c r="Y685" i="5"/>
  <c r="Y664" i="5"/>
  <c r="Y563" i="5"/>
  <c r="Y524" i="5"/>
  <c r="Y757" i="5"/>
  <c r="Y651" i="5"/>
  <c r="Y932" i="5"/>
  <c r="Y405" i="5"/>
  <c r="Y409" i="5"/>
  <c r="Y878" i="5"/>
  <c r="Y636" i="5"/>
  <c r="Y495" i="5"/>
  <c r="Y403" i="5"/>
  <c r="Y681" i="5"/>
  <c r="Y641" i="5"/>
  <c r="Y406" i="5"/>
  <c r="Y382" i="5"/>
  <c r="Y404" i="5"/>
  <c r="Y444" i="5"/>
  <c r="Y494" i="5"/>
  <c r="Y445" i="5"/>
  <c r="Y441" i="5"/>
  <c r="Y459" i="5"/>
  <c r="Y449" i="5"/>
  <c r="Y446" i="5"/>
  <c r="Y457" i="5"/>
  <c r="Y447" i="5"/>
  <c r="Y458" i="5"/>
  <c r="Y440" i="5"/>
  <c r="Y460" i="5"/>
  <c r="Y450" i="5"/>
  <c r="Y415" i="5"/>
  <c r="Y383" i="5"/>
  <c r="Y1076" i="5"/>
  <c r="Y666" i="5"/>
  <c r="Y867" i="5"/>
  <c r="Y659" i="5"/>
  <c r="Y673" i="5"/>
  <c r="Y545" i="5"/>
  <c r="Y945" i="5"/>
  <c r="Y906" i="5"/>
  <c r="Y972" i="5"/>
  <c r="Y1062" i="5"/>
  <c r="Y1040" i="5"/>
  <c r="Y957" i="5"/>
  <c r="Y268" i="5"/>
  <c r="Y290" i="5"/>
  <c r="Y285" i="5"/>
  <c r="Y970" i="5"/>
  <c r="Y1265" i="5"/>
  <c r="Y933" i="5"/>
  <c r="Y748" i="5"/>
  <c r="Y930" i="5"/>
  <c r="Y958" i="5"/>
  <c r="Y713" i="5"/>
  <c r="Y534" i="5"/>
  <c r="Y288" i="5"/>
  <c r="Y333" i="5"/>
  <c r="Y336" i="5"/>
  <c r="Y295" i="5"/>
  <c r="Y334" i="5"/>
  <c r="Y416" i="5"/>
  <c r="Y439" i="5"/>
  <c r="Y894" i="5"/>
  <c r="Y871" i="5"/>
  <c r="Y931" i="5"/>
  <c r="Y893" i="5"/>
  <c r="Y940" i="5"/>
  <c r="Y537" i="5"/>
  <c r="Y902" i="5"/>
  <c r="Y745" i="5"/>
  <c r="Y971" i="5"/>
  <c r="Y773" i="5"/>
  <c r="Y741" i="5"/>
  <c r="Y918" i="5"/>
  <c r="Y442" i="5"/>
  <c r="Y884" i="5"/>
  <c r="Y880" i="5"/>
  <c r="Y907" i="5"/>
  <c r="Y887" i="5"/>
  <c r="Y709" i="5"/>
  <c r="Y728" i="5"/>
  <c r="Y900" i="5"/>
  <c r="Y413" i="5"/>
  <c r="Y874" i="5"/>
  <c r="Y1298" i="5"/>
  <c r="Y889" i="5"/>
  <c r="Y762" i="5"/>
  <c r="Y920" i="5"/>
  <c r="Y936" i="5"/>
  <c r="Y477" i="5"/>
  <c r="Y723" i="5"/>
  <c r="Y455" i="5"/>
  <c r="Y453" i="5"/>
  <c r="Y443" i="5"/>
  <c r="Y461" i="5"/>
  <c r="Y407" i="5"/>
  <c r="Y414" i="5"/>
  <c r="Y417" i="5"/>
  <c r="Y419" i="5"/>
  <c r="Y873" i="5"/>
  <c r="Y959" i="5"/>
  <c r="Y707" i="5"/>
  <c r="Y381" i="5"/>
  <c r="Y338" i="5"/>
  <c r="Y734" i="5"/>
  <c r="Y573" i="5"/>
  <c r="Y811" i="5"/>
  <c r="Y604" i="5"/>
  <c r="Y818" i="5"/>
  <c r="Y463" i="5"/>
  <c r="Y799" i="5"/>
  <c r="Y820" i="5"/>
  <c r="Y988" i="5"/>
  <c r="Y822" i="5"/>
  <c r="Y793" i="5"/>
  <c r="Y812" i="5"/>
  <c r="Y1267" i="5"/>
  <c r="Y781" i="5"/>
  <c r="Y807" i="5"/>
  <c r="Y1002" i="5"/>
  <c r="Y987" i="5"/>
  <c r="Y1000" i="5"/>
  <c r="Y423" i="5"/>
  <c r="Y421" i="5"/>
  <c r="Y385" i="5"/>
  <c r="Y360" i="5"/>
  <c r="Y359" i="5"/>
  <c r="Y224" i="5"/>
  <c r="Y1016" i="5"/>
  <c r="Y1019" i="5"/>
  <c r="Y982" i="5"/>
  <c r="Y978" i="5"/>
  <c r="Y981" i="5"/>
  <c r="Y993" i="5"/>
  <c r="Y1006" i="5"/>
  <c r="Y1011" i="5"/>
  <c r="Y1007" i="5"/>
  <c r="Y999" i="5"/>
  <c r="Y1014" i="5"/>
  <c r="Y979" i="5"/>
  <c r="Y1017" i="5"/>
  <c r="Y603" i="5"/>
  <c r="Y1003" i="5"/>
  <c r="Y792" i="5"/>
  <c r="Y995" i="5"/>
  <c r="Y790" i="5"/>
  <c r="Y508" i="5"/>
  <c r="Y794" i="5"/>
  <c r="Y1013" i="5"/>
  <c r="Y606" i="5"/>
  <c r="Y780" i="5"/>
  <c r="Y1268" i="5"/>
  <c r="Y309" i="5"/>
  <c r="Y306" i="5"/>
  <c r="Y280" i="5"/>
  <c r="Y272" i="5"/>
  <c r="Y821" i="5"/>
  <c r="Y599" i="5"/>
  <c r="Y600" i="5"/>
  <c r="Y798" i="5"/>
  <c r="Y1012" i="5"/>
  <c r="Y687" i="5"/>
  <c r="Y691" i="5"/>
  <c r="Y692" i="5"/>
  <c r="Y598" i="5"/>
  <c r="Y605" i="5"/>
  <c r="Y466" i="5"/>
  <c r="Y1008" i="5"/>
  <c r="Y809" i="5"/>
  <c r="Y601" i="5"/>
  <c r="Y985" i="5"/>
  <c r="Y361" i="5"/>
  <c r="Y314" i="5"/>
  <c r="Y788" i="5"/>
  <c r="Y803" i="5"/>
  <c r="Y778" i="5"/>
  <c r="Y271" i="5"/>
  <c r="Y270" i="5"/>
  <c r="Y312" i="5"/>
  <c r="Y994" i="5"/>
  <c r="Y796" i="5"/>
  <c r="Y801" i="5"/>
  <c r="Y602" i="5"/>
  <c r="Y783" i="5"/>
  <c r="Y806" i="5"/>
  <c r="Y340" i="5"/>
  <c r="Y422" i="5"/>
  <c r="Y782" i="5"/>
  <c r="Y308" i="5"/>
  <c r="Y276" i="5"/>
  <c r="Y269" i="5"/>
  <c r="Y273" i="5"/>
  <c r="Y274" i="5"/>
  <c r="Y279" i="5"/>
  <c r="Y277" i="5"/>
  <c r="Y275" i="5"/>
  <c r="Y823" i="5"/>
  <c r="Y779" i="5"/>
  <c r="Y278" i="5"/>
  <c r="Y800" i="5"/>
  <c r="Y996" i="5"/>
  <c r="Y1033" i="5"/>
  <c r="Y468" i="5"/>
  <c r="Y315" i="5"/>
  <c r="Y281" i="5"/>
  <c r="Y824" i="5"/>
  <c r="Y465" i="5"/>
  <c r="Y827" i="5"/>
  <c r="Y802" i="5"/>
  <c r="Y814" i="5"/>
  <c r="Y816" i="5"/>
  <c r="Y1001" i="5"/>
  <c r="Y690" i="5"/>
  <c r="Y819" i="5"/>
  <c r="Y828" i="5"/>
  <c r="Y777" i="5"/>
  <c r="Y797" i="5"/>
  <c r="Y791" i="5"/>
  <c r="Y1004" i="5"/>
  <c r="Y813" i="5"/>
  <c r="Y1069" i="5"/>
  <c r="Y1041" i="5"/>
  <c r="Y784" i="5"/>
  <c r="Y787" i="5"/>
  <c r="Y825" i="5"/>
  <c r="Y1266" i="5"/>
  <c r="Y313" i="5"/>
  <c r="Y310" i="5"/>
  <c r="Y304" i="5"/>
  <c r="Y307" i="5"/>
  <c r="Y305" i="5"/>
  <c r="Y303" i="5"/>
  <c r="Y311" i="5"/>
  <c r="Y302" i="5"/>
  <c r="Y992" i="5"/>
  <c r="Y990" i="5"/>
  <c r="Y1009" i="5"/>
  <c r="Y785" i="5"/>
  <c r="Y795" i="5"/>
  <c r="Y789" i="5"/>
  <c r="Y804" i="5"/>
  <c r="Y786" i="5"/>
  <c r="Y817" i="5"/>
  <c r="Y689" i="5"/>
  <c r="Y991" i="5"/>
  <c r="Y805" i="5"/>
  <c r="Y808" i="5"/>
  <c r="Y997" i="5"/>
  <c r="Y1299" i="5"/>
  <c r="Y1010" i="5"/>
  <c r="Y986" i="5"/>
  <c r="Y989" i="5"/>
  <c r="Y998" i="5"/>
  <c r="Y1083" i="5"/>
  <c r="Y1079" i="5"/>
  <c r="Y1064" i="5"/>
  <c r="Y507" i="5"/>
  <c r="Y826" i="5"/>
  <c r="Y815" i="5"/>
  <c r="Y688" i="5"/>
  <c r="Y693" i="5"/>
  <c r="Y983" i="5"/>
  <c r="Y1018" i="5"/>
  <c r="Y610" i="5"/>
  <c r="Y1015" i="5"/>
  <c r="Y420" i="5"/>
  <c r="Y984" i="5"/>
  <c r="Y1005" i="5"/>
  <c r="Y609" i="5"/>
  <c r="Y980" i="5"/>
  <c r="Y467" i="5"/>
  <c r="Y607" i="5"/>
  <c r="Y608" i="5"/>
  <c r="Y509" i="5"/>
  <c r="Y464" i="5"/>
  <c r="Y362" i="5"/>
  <c r="Y810" i="5"/>
  <c r="Y462" i="5"/>
  <c r="Y506" i="5"/>
  <c r="Y1327" i="5"/>
  <c r="Y1021" i="5"/>
  <c r="Y696" i="5"/>
  <c r="Y697" i="5"/>
  <c r="Y694" i="5"/>
  <c r="Y469" i="5"/>
  <c r="Y831" i="5"/>
  <c r="Y317" i="5"/>
  <c r="Y830" i="5"/>
  <c r="Y618" i="5"/>
  <c r="Y620" i="5"/>
  <c r="Y617" i="5"/>
  <c r="Y613" i="5"/>
  <c r="Y615" i="5"/>
  <c r="Y619" i="5"/>
  <c r="Y318" i="5"/>
  <c r="Y316" i="5"/>
  <c r="Y319" i="5"/>
  <c r="Y832" i="5"/>
  <c r="Y1070" i="5"/>
  <c r="Y324" i="5"/>
  <c r="Y329" i="5"/>
  <c r="Y326" i="5"/>
  <c r="Y1020" i="5"/>
  <c r="Y392" i="5"/>
  <c r="Y427" i="5"/>
  <c r="Y1093" i="5"/>
  <c r="Y429" i="5"/>
  <c r="Y426" i="5"/>
  <c r="Y398" i="5"/>
  <c r="Y399" i="5"/>
  <c r="Y394" i="5"/>
  <c r="Y389" i="5"/>
  <c r="Y390" i="5"/>
  <c r="Y393" i="5"/>
  <c r="Y367" i="5"/>
  <c r="Y375" i="5"/>
  <c r="Y374" i="5"/>
  <c r="Y372" i="5"/>
  <c r="Y363" i="5"/>
  <c r="Y373" i="5"/>
  <c r="Y365" i="5"/>
  <c r="Y369" i="5"/>
  <c r="Y370" i="5"/>
  <c r="Y424" i="5"/>
  <c r="Y425" i="5"/>
  <c r="Y611" i="5"/>
  <c r="Y366" i="5"/>
  <c r="Y345" i="5"/>
  <c r="Y348" i="5"/>
  <c r="Y328" i="5"/>
  <c r="Y1106" i="5"/>
  <c r="Y349" i="5"/>
  <c r="Y343" i="5"/>
  <c r="Y327" i="5"/>
  <c r="Y833" i="5"/>
  <c r="Y428" i="5"/>
  <c r="Y1343" i="5"/>
  <c r="Y1300" i="5"/>
  <c r="Y1301" i="5"/>
  <c r="Y1209" i="5"/>
  <c r="Y1197" i="5"/>
  <c r="Y1115" i="5"/>
  <c r="Y1053" i="5"/>
  <c r="Y43" i="5"/>
  <c r="Y1302" i="5"/>
  <c r="Y511" i="5"/>
  <c r="Y512" i="5"/>
  <c r="Y510" i="5"/>
  <c r="Y470" i="5"/>
  <c r="Y471" i="5"/>
  <c r="Y472" i="5"/>
  <c r="Y1236" i="5"/>
  <c r="Y695" i="5"/>
  <c r="Y834" i="5"/>
  <c r="Y1342" i="5"/>
  <c r="Y840" i="5"/>
  <c r="Y395" i="5"/>
  <c r="Y835" i="5"/>
  <c r="Y839" i="5"/>
  <c r="Y616" i="5"/>
  <c r="Y1114" i="5"/>
  <c r="Y391" i="5"/>
  <c r="Y387" i="5"/>
  <c r="Y371" i="5"/>
  <c r="Y364" i="5"/>
  <c r="Y368" i="5"/>
  <c r="Y376" i="5"/>
  <c r="Y386" i="5"/>
  <c r="Y1022" i="5"/>
  <c r="Y388" i="5"/>
  <c r="Y321" i="5"/>
  <c r="Y320" i="5"/>
  <c r="Y325" i="5"/>
  <c r="Y346" i="5"/>
  <c r="Y396" i="5"/>
  <c r="Y614" i="5"/>
  <c r="Y837" i="5"/>
  <c r="Y829" i="5"/>
  <c r="Y838" i="5"/>
  <c r="Y836" i="5"/>
  <c r="Y1118" i="5"/>
  <c r="Y841" i="5"/>
  <c r="Y1036" i="5"/>
  <c r="Y1103" i="5"/>
  <c r="Y344" i="5"/>
  <c r="Y397" i="5"/>
  <c r="Y347" i="5"/>
  <c r="Y341" i="5"/>
  <c r="Y342" i="5"/>
  <c r="Y612" i="5"/>
  <c r="Y1328" i="5"/>
  <c r="Y1344" i="5"/>
  <c r="Y1165" i="5"/>
  <c r="Y350" i="5"/>
  <c r="Y330" i="5"/>
  <c r="Y351" i="5"/>
  <c r="Y1071" i="5"/>
  <c r="Y1037" i="5"/>
  <c r="Y1072" i="5"/>
  <c r="Y845" i="5"/>
  <c r="Y842" i="5"/>
  <c r="Y846" i="5"/>
  <c r="Y843" i="5"/>
  <c r="Y1024" i="5"/>
  <c r="Y1143" i="5"/>
  <c r="Y621" i="5"/>
  <c r="Y1054" i="5"/>
  <c r="Y1023" i="5"/>
  <c r="Y1370" i="5"/>
  <c r="Y1187" i="5"/>
  <c r="Y844" i="5"/>
  <c r="Y1269" i="5"/>
  <c r="Y400" i="5"/>
  <c r="Y1102" i="5"/>
  <c r="Y847" i="5"/>
  <c r="Y431" i="5"/>
  <c r="Y1237" i="5"/>
  <c r="Y430" i="5"/>
  <c r="Y1345" i="5"/>
  <c r="Y1098" i="5"/>
  <c r="Y1287" i="5"/>
  <c r="Y1025" i="5"/>
  <c r="Y432" i="5"/>
  <c r="Y322" i="5"/>
  <c r="Y1094" i="5"/>
  <c r="Y1084" i="5"/>
  <c r="Y1371" i="5"/>
  <c r="Y1210" i="5"/>
  <c r="Y1031" i="5"/>
  <c r="Y1108" i="5"/>
  <c r="Y1220" i="5"/>
  <c r="Y1095" i="5"/>
  <c r="Y1081" i="5"/>
  <c r="Y850" i="5"/>
  <c r="Y1270" i="5"/>
  <c r="Y622" i="5"/>
  <c r="Y1271" i="5"/>
  <c r="Y1085" i="5"/>
  <c r="Y1056" i="5"/>
  <c r="Y1055" i="5"/>
  <c r="Y1211" i="5"/>
  <c r="Y851" i="5"/>
  <c r="Y1080" i="5"/>
  <c r="Y849" i="5"/>
  <c r="Y1241" i="5"/>
  <c r="Y848" i="5"/>
  <c r="Y1146" i="5"/>
  <c r="Y1246" i="5"/>
  <c r="Y1144" i="5"/>
  <c r="Y1026" i="5"/>
  <c r="Y1347" i="5"/>
  <c r="Y1277" i="5"/>
  <c r="Y1166" i="5"/>
  <c r="Y1099" i="5"/>
  <c r="Y1188" i="5"/>
  <c r="Y1100" i="5"/>
  <c r="Y1136" i="5"/>
  <c r="Y1145" i="5"/>
  <c r="Y1167" i="5"/>
  <c r="Y698" i="5"/>
  <c r="Y623" i="5"/>
  <c r="Y473" i="5"/>
  <c r="Y1204" i="5"/>
  <c r="Y852" i="5"/>
  <c r="Y1346" i="5"/>
  <c r="Y1119" i="5"/>
  <c r="Y1065" i="5"/>
  <c r="Y1348" i="5"/>
  <c r="Y699" i="5"/>
  <c r="Y1180" i="5"/>
  <c r="Y352" i="5"/>
  <c r="Y1189" i="5"/>
  <c r="Y624" i="5"/>
  <c r="Y1250" i="5"/>
  <c r="Y1097" i="5"/>
  <c r="Y1247" i="5"/>
  <c r="Y1086" i="5"/>
  <c r="Y1376" i="5"/>
  <c r="Y1168" i="5"/>
  <c r="Y1138" i="5"/>
  <c r="Y853" i="5"/>
  <c r="Y1221" i="5"/>
  <c r="Y1169" i="5"/>
  <c r="Y1148" i="5"/>
  <c r="Y1147" i="5"/>
  <c r="Y1137" i="5"/>
  <c r="Y1150" i="5"/>
  <c r="Y378" i="5"/>
  <c r="Y1303" i="5"/>
  <c r="Y377" i="5"/>
  <c r="Y1198" i="5"/>
  <c r="Y1149" i="5"/>
  <c r="Y854" i="5"/>
  <c r="Y1028" i="5"/>
  <c r="Y1181" i="5"/>
  <c r="Y1190" i="5"/>
  <c r="Y1027" i="5"/>
  <c r="Y1205" i="5"/>
  <c r="Y331" i="5"/>
  <c r="Y1248" i="5"/>
  <c r="Y1131" i="5"/>
  <c r="Y1124" i="5"/>
  <c r="Y1171" i="5"/>
  <c r="Y1151" i="5"/>
  <c r="Y1139" i="5"/>
  <c r="Y1155" i="5"/>
  <c r="Y1170" i="5"/>
  <c r="Y1029" i="5"/>
  <c r="Y1129" i="5"/>
  <c r="Y1154" i="5"/>
  <c r="Y1132" i="5"/>
  <c r="Y1251" i="5"/>
  <c r="Y855" i="5"/>
  <c r="Y1110" i="5"/>
  <c r="Y1109" i="5"/>
  <c r="Y1123" i="5"/>
  <c r="Y1153" i="5"/>
  <c r="Y1172" i="5"/>
  <c r="Y1152" i="5"/>
  <c r="Y1160" i="5"/>
  <c r="Y1173" i="5"/>
  <c r="Y1174" i="5"/>
  <c r="Y1158" i="5"/>
  <c r="Y1130" i="5"/>
  <c r="Y513" i="5"/>
  <c r="Y1161" i="5"/>
  <c r="Y1157" i="5"/>
  <c r="Y1159" i="5"/>
  <c r="Y1156" i="5"/>
  <c r="Y1389" i="5"/>
  <c r="Y1304" i="5"/>
  <c r="Y1191" i="5"/>
  <c r="Y1329" i="5"/>
  <c r="Y1349" i="5"/>
  <c r="Y1182" i="5"/>
  <c r="Y1305" i="5"/>
  <c r="Y1066" i="5"/>
  <c r="Y1229" i="5"/>
  <c r="Y1231" i="5"/>
  <c r="Y1222" i="5"/>
  <c r="Y1230" i="5"/>
  <c r="Y1378" i="5"/>
  <c r="Y1377" i="5"/>
  <c r="Y1249" i="5"/>
  <c r="Y1223" i="5"/>
  <c r="Y1350" i="5"/>
  <c r="Y856" i="5"/>
  <c r="Y1120" i="5"/>
  <c r="Y857" i="5"/>
  <c r="Y1192" i="5"/>
  <c r="Y1330" i="5"/>
  <c r="Y237" i="5"/>
  <c r="Y1306" i="5"/>
  <c r="Y1162" i="5"/>
  <c r="Y1272" i="5"/>
  <c r="Y1175" i="5"/>
  <c r="Y1308" i="5"/>
  <c r="Y1307" i="5"/>
  <c r="Y1140" i="5"/>
  <c r="Y1176" i="5"/>
  <c r="Y1288" i="5"/>
  <c r="Y625" i="5"/>
  <c r="Y1163" i="5"/>
  <c r="Y1073" i="5"/>
  <c r="Y1116" i="5"/>
  <c r="Y626" i="5"/>
  <c r="Y1394" i="5"/>
  <c r="Y1228" i="5"/>
  <c r="Y1193" i="5"/>
  <c r="Y433" i="5"/>
  <c r="Y1238" i="5"/>
  <c r="Y1239" i="5"/>
  <c r="Y1276" i="5"/>
  <c r="Y1379" i="5"/>
  <c r="Y1087" i="5"/>
  <c r="Y1351" i="5"/>
  <c r="Y1183" i="5"/>
  <c r="Y474" i="5"/>
  <c r="Y1164" i="5"/>
  <c r="Y1224" i="5"/>
  <c r="Y1199" i="5"/>
  <c r="Y1030" i="5"/>
  <c r="Y1380" i="5"/>
  <c r="Y1352" i="5"/>
  <c r="Y1225" i="5"/>
  <c r="Y1184" i="5"/>
  <c r="Y1125" i="5"/>
  <c r="Y1401" i="5"/>
  <c r="Y1309" i="5"/>
  <c r="Y1372" i="5"/>
  <c r="Y1353" i="5"/>
  <c r="Y1381" i="5"/>
  <c r="Y1382" i="5"/>
  <c r="Y1233" i="5"/>
  <c r="Y1395" i="5"/>
  <c r="Y1057" i="5"/>
  <c r="Y1240" i="5"/>
  <c r="Y1177" i="5"/>
  <c r="Y1278" i="5"/>
  <c r="Y1216" i="5"/>
  <c r="Y514" i="5"/>
  <c r="Y1178" i="5"/>
  <c r="Y1111" i="5"/>
  <c r="Y1194" i="5"/>
  <c r="Y1105" i="5"/>
  <c r="Y1373" i="5"/>
  <c r="Y1396" i="5"/>
  <c r="Y1200" i="5"/>
  <c r="Y1383" i="5"/>
  <c r="Y1096" i="5"/>
  <c r="Y1212" i="5"/>
  <c r="Y1217" i="5"/>
  <c r="Y2" i="5"/>
  <c r="Y1397" i="5"/>
  <c r="Y1310" i="5"/>
  <c r="Y1388" i="5"/>
  <c r="Y1226" i="5"/>
  <c r="Y1201" i="5"/>
  <c r="Y1185" i="5"/>
  <c r="Y332" i="5"/>
  <c r="Y1107" i="5"/>
  <c r="Y1206" i="5"/>
  <c r="Y261" i="5"/>
  <c r="Y1398" i="5"/>
  <c r="Y1384" i="5"/>
  <c r="Y1034" i="5"/>
  <c r="Y238" i="5"/>
  <c r="Y1058" i="5"/>
  <c r="Y1385" i="5"/>
  <c r="Y1402" i="5"/>
  <c r="Y1354" i="5"/>
  <c r="Y1218" i="5"/>
  <c r="Y1290" i="5"/>
  <c r="Y1088" i="5"/>
  <c r="Y1311" i="5"/>
  <c r="Y1374" i="5"/>
  <c r="Y1215" i="5"/>
  <c r="Y1067" i="5"/>
  <c r="Y1355" i="5"/>
  <c r="Y475" i="5"/>
  <c r="Y1213" i="5"/>
  <c r="Y1089" i="5"/>
  <c r="Y1074" i="5"/>
  <c r="Y1273" i="5"/>
  <c r="Y1090" i="5"/>
  <c r="Y1391" i="5"/>
  <c r="Y1312" i="5"/>
  <c r="Y1091" i="5"/>
  <c r="Y1274" i="5"/>
  <c r="Y1059" i="5"/>
  <c r="Y1207" i="5"/>
  <c r="Y3" i="5"/>
  <c r="Y1356" i="5"/>
  <c r="Y1082" i="5"/>
  <c r="Y1403" i="5"/>
  <c r="Y1357" i="5"/>
  <c r="Y1227" i="5"/>
  <c r="Y262" i="5"/>
  <c r="Y1133" i="5"/>
  <c r="Y1195" i="5"/>
  <c r="Y58" i="5"/>
  <c r="Y1386" i="5"/>
  <c r="Y1038" i="5"/>
  <c r="Y1186" i="5"/>
  <c r="Y1243" i="5"/>
  <c r="Y1390" i="5"/>
  <c r="Y476" i="5"/>
  <c r="Y263" i="5"/>
  <c r="Y1075" i="5"/>
  <c r="Y858" i="5"/>
  <c r="Y1358" i="5"/>
  <c r="Y1387" i="5"/>
  <c r="Y264" i="5"/>
  <c r="Y1032" i="5"/>
  <c r="Y1060" i="5"/>
  <c r="Y265" i="5"/>
  <c r="Y1289" i="5"/>
  <c r="Y1068" i="5"/>
  <c r="Y627" i="5"/>
  <c r="Y1313" i="5"/>
  <c r="Y1126" i="5"/>
  <c r="Y1314" i="5"/>
  <c r="Y434" i="5"/>
  <c r="Y1196" i="5"/>
  <c r="Y1101" i="5"/>
  <c r="Y1359" i="5"/>
  <c r="Y1202" i="5"/>
  <c r="Y1360" i="5"/>
  <c r="Y515" i="5"/>
  <c r="Y59" i="5"/>
  <c r="Y1404" i="5"/>
  <c r="Y1399" i="5"/>
  <c r="Y1214" i="5"/>
  <c r="Y1134" i="5"/>
  <c r="Y1275" i="5"/>
  <c r="Y1392" i="5"/>
  <c r="Y1331" i="5"/>
  <c r="Y628" i="5"/>
  <c r="Y1141" i="5"/>
  <c r="Y1117" i="5"/>
  <c r="Y1203" i="5"/>
  <c r="Y282" i="5"/>
  <c r="Y1127" i="5"/>
  <c r="Y1121" i="5"/>
  <c r="Y1315" i="5"/>
  <c r="Y1179" i="5"/>
  <c r="Y1361" i="5"/>
  <c r="Y700" i="5"/>
  <c r="Y1122" i="5"/>
  <c r="Y266" i="5"/>
  <c r="Y435" i="5"/>
  <c r="Y1035" i="5"/>
  <c r="Y239" i="5"/>
  <c r="Y184" i="5"/>
  <c r="Y185" i="5"/>
  <c r="Y188" i="5"/>
  <c r="Y187" i="5"/>
  <c r="Y186" i="5"/>
  <c r="Y189" i="5"/>
  <c r="Y1264" i="5"/>
  <c r="Y240" i="5"/>
  <c r="Y242" i="5"/>
  <c r="Y241" i="5"/>
  <c r="Y243" i="5"/>
  <c r="Y244" i="5"/>
  <c r="Y190" i="5"/>
  <c r="Y192" i="5"/>
  <c r="Y191" i="5"/>
  <c r="Y170" i="5"/>
  <c r="Y71" i="5"/>
  <c r="Y90" i="5"/>
  <c r="Y94" i="5"/>
  <c r="Y65" i="5"/>
  <c r="Y75" i="5"/>
  <c r="Y63" i="5"/>
  <c r="Y73" i="5"/>
  <c r="Y86" i="5"/>
  <c r="Y67" i="5"/>
  <c r="Y60" i="5"/>
  <c r="Y91" i="5"/>
  <c r="Y88" i="5"/>
  <c r="Y18" i="5"/>
  <c r="Y25" i="5"/>
  <c r="Y20" i="5"/>
  <c r="Y36" i="5"/>
  <c r="Y6" i="5"/>
  <c r="Y37" i="5"/>
  <c r="Y29" i="5"/>
  <c r="Y5" i="5"/>
  <c r="Y4" i="5"/>
  <c r="Y12" i="5"/>
  <c r="Y21" i="5"/>
  <c r="Y15" i="5"/>
  <c r="Y33" i="5"/>
  <c r="Y8" i="5"/>
  <c r="Y9" i="5"/>
  <c r="Y39" i="5"/>
  <c r="Y31" i="5"/>
  <c r="Y22" i="5"/>
  <c r="Y40" i="5"/>
  <c r="Y13" i="5"/>
  <c r="Y7" i="5"/>
  <c r="Y78" i="5"/>
  <c r="Y66" i="5"/>
  <c r="Y80" i="5"/>
  <c r="Y82" i="5"/>
  <c r="Y95" i="5"/>
  <c r="Y79" i="5"/>
  <c r="Y81" i="5"/>
  <c r="Y93" i="5"/>
  <c r="Y69" i="5"/>
  <c r="Y87" i="5"/>
  <c r="Y83" i="5"/>
  <c r="Y76" i="5"/>
  <c r="Y85" i="5"/>
  <c r="Y72" i="5"/>
  <c r="Y77" i="5"/>
  <c r="Y64" i="5"/>
  <c r="Y70" i="5"/>
  <c r="Y74" i="5"/>
  <c r="Y68" i="5"/>
  <c r="Y30" i="5"/>
  <c r="Y23" i="5"/>
  <c r="Y32" i="5"/>
  <c r="Y11" i="5"/>
  <c r="Y34" i="5"/>
  <c r="Y38" i="5"/>
  <c r="Y26" i="5"/>
  <c r="Y27" i="5"/>
  <c r="Y19" i="5"/>
  <c r="Y24" i="5"/>
  <c r="Y84" i="5"/>
  <c r="Y194" i="5"/>
  <c r="Y92" i="5"/>
  <c r="Y62" i="5"/>
  <c r="Y28" i="5"/>
  <c r="Y17" i="5"/>
  <c r="Y10" i="5"/>
  <c r="Y35" i="5"/>
  <c r="Y193" i="5"/>
  <c r="Y61" i="5"/>
  <c r="Y89" i="5"/>
  <c r="Y14" i="5"/>
  <c r="Y16" i="5"/>
  <c r="Y98" i="5"/>
  <c r="Y195" i="5"/>
  <c r="Y100" i="5"/>
  <c r="Y102" i="5"/>
  <c r="Y99" i="5"/>
  <c r="Y97" i="5"/>
  <c r="Y96" i="5"/>
  <c r="Y101" i="5"/>
  <c r="Y42" i="5"/>
  <c r="Y41" i="5"/>
  <c r="Y197" i="5"/>
  <c r="Y200" i="5"/>
  <c r="Y203" i="5"/>
  <c r="Y205" i="5"/>
  <c r="Y208" i="5"/>
  <c r="Y201" i="5"/>
  <c r="Y196" i="5"/>
  <c r="Y199" i="5"/>
  <c r="Y204" i="5"/>
  <c r="Y198" i="5"/>
  <c r="Y206" i="5"/>
  <c r="Y202" i="5"/>
  <c r="Y172" i="5"/>
  <c r="Y174" i="5"/>
  <c r="Y175" i="5"/>
  <c r="Y173" i="5"/>
  <c r="Y171" i="5"/>
  <c r="Y207" i="5"/>
  <c r="Y103" i="5"/>
  <c r="Y105" i="5"/>
  <c r="Y210" i="5"/>
  <c r="Y104" i="5"/>
  <c r="Y246" i="5"/>
  <c r="Y247" i="5"/>
  <c r="Y249" i="5"/>
  <c r="Y248" i="5"/>
  <c r="Y245" i="5"/>
  <c r="Y212" i="5"/>
  <c r="Y209" i="5"/>
  <c r="Y211" i="5"/>
  <c r="Y214" i="5"/>
  <c r="Y109" i="5"/>
  <c r="Y113" i="5"/>
  <c r="Y119" i="5"/>
  <c r="Y114" i="5"/>
  <c r="Y116" i="5"/>
  <c r="Y112" i="5"/>
  <c r="Y107" i="5"/>
  <c r="Y117" i="5"/>
  <c r="Y108" i="5"/>
  <c r="Y111" i="5"/>
  <c r="Y120" i="5"/>
  <c r="Y110" i="5"/>
  <c r="Y118" i="5"/>
  <c r="Y115" i="5"/>
  <c r="Y106" i="5"/>
  <c r="Y215" i="5"/>
  <c r="Y216" i="5"/>
  <c r="Y213" i="5"/>
  <c r="Y217" i="5"/>
  <c r="Y178" i="5"/>
  <c r="Y176" i="5"/>
  <c r="Y177" i="5"/>
  <c r="Y250" i="5"/>
  <c r="Y121" i="5"/>
  <c r="Y254" i="5"/>
  <c r="Y252" i="5"/>
  <c r="Y255" i="5"/>
  <c r="Y253" i="5"/>
  <c r="Y219" i="5"/>
  <c r="Y218" i="5"/>
  <c r="Y222" i="5"/>
  <c r="Y220" i="5"/>
  <c r="Y251" i="5"/>
  <c r="Y221" i="5"/>
  <c r="Y124" i="5"/>
  <c r="Y127" i="5"/>
  <c r="Y125" i="5"/>
  <c r="Y123" i="5"/>
  <c r="Y128" i="5"/>
  <c r="Y126" i="5"/>
  <c r="Y122" i="5"/>
  <c r="Y129" i="5"/>
  <c r="Y256" i="5"/>
  <c r="Y223" i="5"/>
  <c r="Y225" i="5"/>
  <c r="Y130" i="5"/>
  <c r="Y132" i="5"/>
  <c r="Y131" i="5"/>
  <c r="Y257" i="5"/>
  <c r="Y133" i="5"/>
  <c r="Y139" i="5"/>
  <c r="Y136" i="5"/>
  <c r="Y138" i="5"/>
  <c r="Y134" i="5"/>
  <c r="Y135" i="5"/>
  <c r="Y137" i="5"/>
  <c r="Y140" i="5"/>
  <c r="Y141" i="5"/>
  <c r="Y179" i="5"/>
  <c r="Y226" i="5"/>
  <c r="Y258" i="5"/>
  <c r="Y227" i="5"/>
  <c r="Y145" i="5"/>
  <c r="Y146" i="5"/>
  <c r="Y144" i="5"/>
  <c r="Y143" i="5"/>
  <c r="Y142" i="5"/>
  <c r="Y44" i="5"/>
  <c r="Y147" i="5"/>
  <c r="Y148" i="5"/>
  <c r="Y46" i="5"/>
  <c r="Y45" i="5"/>
  <c r="Y150" i="5"/>
  <c r="Y149" i="5"/>
  <c r="Y47" i="5"/>
  <c r="Y50" i="5"/>
  <c r="Y48" i="5"/>
  <c r="Y49" i="5"/>
  <c r="Y151" i="5"/>
  <c r="Y152" i="5"/>
  <c r="Y153" i="5"/>
  <c r="Y259" i="5"/>
  <c r="Y51" i="5"/>
  <c r="Y154" i="5"/>
  <c r="Y156" i="5"/>
  <c r="Y155" i="5"/>
  <c r="Y52" i="5"/>
  <c r="Y228" i="5"/>
  <c r="Y157" i="5"/>
  <c r="Y53" i="5"/>
  <c r="Y158" i="5"/>
  <c r="Y159" i="5"/>
  <c r="Y54" i="5"/>
  <c r="Y160" i="5"/>
  <c r="Y161" i="5"/>
  <c r="Y55" i="5"/>
  <c r="Y162" i="5"/>
  <c r="Y163" i="5"/>
  <c r="Y57" i="5"/>
  <c r="Y56" i="5"/>
  <c r="Y180" i="5"/>
  <c r="Y164" i="5"/>
  <c r="Y165" i="5"/>
  <c r="Y229" i="5"/>
  <c r="Y181" i="5"/>
  <c r="Y230" i="5"/>
  <c r="Y231" i="5"/>
  <c r="Y232" i="5"/>
  <c r="Y235" i="5"/>
  <c r="Y233" i="5"/>
  <c r="Y234" i="5"/>
  <c r="Y167" i="5"/>
  <c r="Y166" i="5"/>
  <c r="Y168" i="5"/>
  <c r="Y169" i="5"/>
  <c r="Y182" i="5"/>
  <c r="Y1232" i="5"/>
  <c r="Y236" i="5"/>
  <c r="Y183" i="5"/>
  <c r="Y260" i="5"/>
  <c r="X1042" i="5"/>
  <c r="X1219" i="5"/>
  <c r="X1045" i="5"/>
  <c r="X1043" i="5"/>
  <c r="X1046" i="5"/>
  <c r="X1044" i="5"/>
  <c r="X1048" i="5"/>
  <c r="X1049" i="5"/>
  <c r="X1050" i="5"/>
  <c r="X1047" i="5"/>
  <c r="X1051" i="5"/>
  <c r="X1362" i="5"/>
  <c r="X1291" i="5"/>
  <c r="X1052" i="5"/>
  <c r="X1317" i="5"/>
  <c r="X1316" i="5"/>
  <c r="X1279" i="5"/>
  <c r="X1252" i="5"/>
  <c r="X1234" i="5"/>
  <c r="X1280" i="5"/>
  <c r="X1242" i="5"/>
  <c r="X1318" i="5"/>
  <c r="X1281" i="5"/>
  <c r="X1128" i="5"/>
  <c r="X283" i="5"/>
  <c r="X284" i="5"/>
  <c r="X859" i="5"/>
  <c r="X1332" i="5"/>
  <c r="X1333" i="5"/>
  <c r="X1334" i="5"/>
  <c r="X1336" i="5"/>
  <c r="X1282" i="5"/>
  <c r="X1208" i="5"/>
  <c r="X1061" i="5"/>
  <c r="X701" i="5"/>
  <c r="X1375" i="5"/>
  <c r="X1292" i="5"/>
  <c r="X1256" i="5"/>
  <c r="X1319" i="5"/>
  <c r="X1255" i="5"/>
  <c r="X1321" i="5"/>
  <c r="X1235" i="5"/>
  <c r="X1320" i="5"/>
  <c r="X1335" i="5"/>
  <c r="X1253" i="5"/>
  <c r="X1293" i="5"/>
  <c r="X1254" i="5"/>
  <c r="X1363" i="5"/>
  <c r="X1283" i="5"/>
  <c r="X1104" i="5"/>
  <c r="X1284" i="5"/>
  <c r="X1364" i="5"/>
  <c r="X1393" i="5"/>
  <c r="X1259" i="5"/>
  <c r="X1337" i="5"/>
  <c r="X1324" i="5"/>
  <c r="X1339" i="5"/>
  <c r="X1260" i="5"/>
  <c r="X1322" i="5"/>
  <c r="X1400" i="5"/>
  <c r="X1039" i="5"/>
  <c r="X1365" i="5"/>
  <c r="X1297" i="5"/>
  <c r="X1295" i="5"/>
  <c r="X1092" i="5"/>
  <c r="X1244" i="5"/>
  <c r="X1112" i="5"/>
  <c r="X1323" i="5"/>
  <c r="X1294" i="5"/>
  <c r="X1296" i="5"/>
  <c r="X1263" i="5"/>
  <c r="X1367" i="5"/>
  <c r="X1338" i="5"/>
  <c r="X1286" i="5"/>
  <c r="X1285" i="5"/>
  <c r="X1262" i="5"/>
  <c r="X1258" i="5"/>
  <c r="X1261" i="5"/>
  <c r="X1257" i="5"/>
  <c r="X1245" i="5"/>
  <c r="X1135" i="5"/>
  <c r="X1366" i="5"/>
  <c r="X1325" i="5"/>
  <c r="X1142" i="5"/>
  <c r="X437" i="5"/>
  <c r="X379" i="5"/>
  <c r="X438" i="5"/>
  <c r="X629" i="5"/>
  <c r="X436" i="5"/>
  <c r="X401" i="5"/>
  <c r="X702" i="5"/>
  <c r="X703" i="5"/>
  <c r="X860" i="5"/>
  <c r="X861" i="5"/>
  <c r="X516" i="5"/>
  <c r="X630" i="5"/>
  <c r="X631" i="5"/>
  <c r="X1368" i="5"/>
  <c r="X1340" i="5"/>
  <c r="X1341" i="5"/>
  <c r="X964" i="5"/>
  <c r="X758" i="5"/>
  <c r="X661" i="5"/>
  <c r="X418" i="5"/>
  <c r="X738" i="5"/>
  <c r="X1063" i="5"/>
  <c r="X634" i="5"/>
  <c r="X584" i="5"/>
  <c r="X946" i="5"/>
  <c r="X657" i="5"/>
  <c r="X658" i="5"/>
  <c r="X671" i="5"/>
  <c r="X683" i="5"/>
  <c r="X647" i="5"/>
  <c r="X643" i="5"/>
  <c r="X674" i="5"/>
  <c r="X408" i="5"/>
  <c r="X646" i="5"/>
  <c r="X684" i="5"/>
  <c r="X662" i="5"/>
  <c r="X525" i="5"/>
  <c r="X528" i="5"/>
  <c r="X1369" i="5"/>
  <c r="X451" i="5"/>
  <c r="X1113" i="5"/>
  <c r="X549" i="5"/>
  <c r="X568" i="5"/>
  <c r="X737" i="5"/>
  <c r="X769" i="5"/>
  <c r="X753" i="5"/>
  <c r="X569" i="5"/>
  <c r="X576" i="5"/>
  <c r="X580" i="5"/>
  <c r="X567" i="5"/>
  <c r="X744" i="5"/>
  <c r="X556" i="5"/>
  <c r="X869" i="5"/>
  <c r="X754" i="5"/>
  <c r="X561" i="5"/>
  <c r="X756" i="5"/>
  <c r="X724" i="5"/>
  <c r="X716" i="5"/>
  <c r="X767" i="5"/>
  <c r="X909" i="5"/>
  <c r="X765" i="5"/>
  <c r="X735" i="5"/>
  <c r="X915" i="5"/>
  <c r="X750" i="5"/>
  <c r="X752" i="5"/>
  <c r="X543" i="5"/>
  <c r="X719" i="5"/>
  <c r="X747" i="5"/>
  <c r="X717" i="5"/>
  <c r="X768" i="5"/>
  <c r="X770" i="5"/>
  <c r="X742" i="5"/>
  <c r="X727" i="5"/>
  <c r="X706" i="5"/>
  <c r="X544" i="5"/>
  <c r="X771" i="5"/>
  <c r="X715" i="5"/>
  <c r="X736" i="5"/>
  <c r="X755" i="5"/>
  <c r="X751" i="5"/>
  <c r="X565" i="5"/>
  <c r="X746" i="5"/>
  <c r="X731" i="5"/>
  <c r="X760" i="5"/>
  <c r="X913" i="5"/>
  <c r="X708" i="5"/>
  <c r="X554" i="5"/>
  <c r="X591" i="5"/>
  <c r="X519" i="5"/>
  <c r="X595" i="5"/>
  <c r="X551" i="5"/>
  <c r="X704" i="5"/>
  <c r="X705" i="5"/>
  <c r="X749" i="5"/>
  <c r="X729" i="5"/>
  <c r="X725" i="5"/>
  <c r="X732" i="5"/>
  <c r="X733" i="5"/>
  <c r="X711" i="5"/>
  <c r="X898" i="5"/>
  <c r="X559" i="5"/>
  <c r="X596" i="5"/>
  <c r="X535" i="5"/>
  <c r="X578" i="5"/>
  <c r="X710" i="5"/>
  <c r="X739" i="5"/>
  <c r="X763" i="5"/>
  <c r="X730" i="5"/>
  <c r="X761" i="5"/>
  <c r="X726" i="5"/>
  <c r="X668" i="5"/>
  <c r="X714" i="5"/>
  <c r="X766" i="5"/>
  <c r="X718" i="5"/>
  <c r="X1326" i="5"/>
  <c r="X941" i="5"/>
  <c r="X965" i="5"/>
  <c r="X903" i="5"/>
  <c r="X904" i="5"/>
  <c r="X876" i="5"/>
  <c r="X921" i="5"/>
  <c r="X943" i="5"/>
  <c r="X934" i="5"/>
  <c r="X870" i="5"/>
  <c r="X916" i="5"/>
  <c r="X962" i="5"/>
  <c r="X919" i="5"/>
  <c r="X890" i="5"/>
  <c r="X935" i="5"/>
  <c r="X899" i="5"/>
  <c r="X973" i="5"/>
  <c r="X774" i="5"/>
  <c r="X670" i="5"/>
  <c r="X682" i="5"/>
  <c r="X680" i="5"/>
  <c r="X637" i="5"/>
  <c r="X676" i="5"/>
  <c r="X667" i="5"/>
  <c r="X633" i="5"/>
  <c r="X649" i="5"/>
  <c r="X652" i="5"/>
  <c r="X526" i="5"/>
  <c r="X529" i="5"/>
  <c r="X518" i="5"/>
  <c r="X520" i="5"/>
  <c r="X517" i="5"/>
  <c r="X908" i="5"/>
  <c r="X938" i="5"/>
  <c r="X937" i="5"/>
  <c r="X922" i="5"/>
  <c r="X872" i="5"/>
  <c r="X944" i="5"/>
  <c r="X891" i="5"/>
  <c r="X885" i="5"/>
  <c r="X888" i="5"/>
  <c r="X721" i="5"/>
  <c r="X560" i="5"/>
  <c r="X456" i="5"/>
  <c r="X412" i="5"/>
  <c r="X411" i="5"/>
  <c r="X287" i="5"/>
  <c r="X883" i="5"/>
  <c r="X960" i="5"/>
  <c r="X877" i="5"/>
  <c r="X895" i="5"/>
  <c r="X917" i="5"/>
  <c r="X772" i="5"/>
  <c r="X650" i="5"/>
  <c r="X686" i="5"/>
  <c r="X642" i="5"/>
  <c r="X635" i="5"/>
  <c r="X677" i="5"/>
  <c r="X566" i="5"/>
  <c r="X570" i="5"/>
  <c r="X523" i="5"/>
  <c r="X939" i="5"/>
  <c r="X759" i="5"/>
  <c r="X911" i="5"/>
  <c r="X663" i="5"/>
  <c r="X644" i="5"/>
  <c r="X337" i="5"/>
  <c r="X339" i="5"/>
  <c r="X323" i="5"/>
  <c r="X289" i="5"/>
  <c r="X910" i="5"/>
  <c r="X479" i="5"/>
  <c r="X897" i="5"/>
  <c r="X775" i="5"/>
  <c r="X410" i="5"/>
  <c r="X974" i="5"/>
  <c r="X949" i="5"/>
  <c r="X712" i="5"/>
  <c r="X886" i="5"/>
  <c r="X914" i="5"/>
  <c r="X923" i="5"/>
  <c r="X950" i="5"/>
  <c r="X499" i="5"/>
  <c r="X291" i="5"/>
  <c r="X292" i="5"/>
  <c r="X286" i="5"/>
  <c r="X296" i="5"/>
  <c r="X924" i="5"/>
  <c r="X966" i="5"/>
  <c r="X951" i="5"/>
  <c r="X293" i="5"/>
  <c r="X297" i="5"/>
  <c r="X925" i="5"/>
  <c r="X975" i="5"/>
  <c r="X967" i="5"/>
  <c r="X862" i="5"/>
  <c r="X952" i="5"/>
  <c r="X953" i="5"/>
  <c r="X963" i="5"/>
  <c r="X926" i="5"/>
  <c r="X866" i="5"/>
  <c r="X927" i="5"/>
  <c r="X740" i="5"/>
  <c r="X743" i="5"/>
  <c r="X968" i="5"/>
  <c r="X942" i="5"/>
  <c r="X954" i="5"/>
  <c r="X863" i="5"/>
  <c r="X961" i="5"/>
  <c r="X881" i="5"/>
  <c r="X864" i="5"/>
  <c r="X882" i="5"/>
  <c r="X955" i="5"/>
  <c r="X722" i="5"/>
  <c r="X656" i="5"/>
  <c r="X498" i="5"/>
  <c r="X912" i="5"/>
  <c r="X589" i="5"/>
  <c r="X571" i="5"/>
  <c r="X977" i="5"/>
  <c r="X875" i="5"/>
  <c r="X948" i="5"/>
  <c r="X969" i="5"/>
  <c r="X928" i="5"/>
  <c r="X865" i="5"/>
  <c r="X764" i="5"/>
  <c r="X491" i="5"/>
  <c r="X879" i="5"/>
  <c r="X976" i="5"/>
  <c r="X665" i="5"/>
  <c r="X947" i="5"/>
  <c r="X645" i="5"/>
  <c r="X564" i="5"/>
  <c r="X484" i="5"/>
  <c r="X905" i="5"/>
  <c r="X448" i="5"/>
  <c r="X527" i="5"/>
  <c r="X500" i="5"/>
  <c r="X868" i="5"/>
  <c r="X720" i="5"/>
  <c r="X530" i="5"/>
  <c r="X550" i="5"/>
  <c r="X654" i="5"/>
  <c r="X384" i="5"/>
  <c r="X896" i="5"/>
  <c r="X776" i="5"/>
  <c r="X638" i="5"/>
  <c r="X536" i="5"/>
  <c r="X901" i="5"/>
  <c r="X552" i="5"/>
  <c r="X562" i="5"/>
  <c r="X577" i="5"/>
  <c r="X538" i="5"/>
  <c r="X522" i="5"/>
  <c r="X558" i="5"/>
  <c r="X587" i="5"/>
  <c r="X540" i="5"/>
  <c r="X548" i="5"/>
  <c r="X490" i="5"/>
  <c r="X505" i="5"/>
  <c r="X486" i="5"/>
  <c r="X501" i="5"/>
  <c r="X402" i="5"/>
  <c r="X592" i="5"/>
  <c r="X504" i="5"/>
  <c r="X503" i="5"/>
  <c r="X481" i="5"/>
  <c r="X1078" i="5"/>
  <c r="X572" i="5"/>
  <c r="X581" i="5"/>
  <c r="X929" i="5"/>
  <c r="X521" i="5"/>
  <c r="X533" i="5"/>
  <c r="X496" i="5"/>
  <c r="X478" i="5"/>
  <c r="X678" i="5"/>
  <c r="X492" i="5"/>
  <c r="X669" i="5"/>
  <c r="X892" i="5"/>
  <c r="X675" i="5"/>
  <c r="X294" i="5"/>
  <c r="X267" i="5"/>
  <c r="X301" i="5"/>
  <c r="X298" i="5"/>
  <c r="X300" i="5"/>
  <c r="X299" i="5"/>
  <c r="X532" i="5"/>
  <c r="X1077" i="5"/>
  <c r="X653" i="5"/>
  <c r="X546" i="5"/>
  <c r="X487" i="5"/>
  <c r="X452" i="5"/>
  <c r="X335" i="5"/>
  <c r="X541" i="5"/>
  <c r="X454" i="5"/>
  <c r="X380" i="5"/>
  <c r="X355" i="5"/>
  <c r="X354" i="5"/>
  <c r="X356" i="5"/>
  <c r="X353" i="5"/>
  <c r="X358" i="5"/>
  <c r="X357" i="5"/>
  <c r="X488" i="5"/>
  <c r="X655" i="5"/>
  <c r="X956" i="5"/>
  <c r="X583" i="5"/>
  <c r="X553" i="5"/>
  <c r="X593" i="5"/>
  <c r="X586" i="5"/>
  <c r="X531" i="5"/>
  <c r="X594" i="5"/>
  <c r="X557" i="5"/>
  <c r="X575" i="5"/>
  <c r="X493" i="5"/>
  <c r="X483" i="5"/>
  <c r="X482" i="5"/>
  <c r="X480" i="5"/>
  <c r="X485" i="5"/>
  <c r="X489" i="5"/>
  <c r="X502" i="5"/>
  <c r="X660" i="5"/>
  <c r="X679" i="5"/>
  <c r="X640" i="5"/>
  <c r="X672" i="5"/>
  <c r="X639" i="5"/>
  <c r="X597" i="5"/>
  <c r="X542" i="5"/>
  <c r="X588" i="5"/>
  <c r="X585" i="5"/>
  <c r="X555" i="5"/>
  <c r="X582" i="5"/>
  <c r="X547" i="5"/>
  <c r="X590" i="5"/>
  <c r="X497" i="5"/>
  <c r="X632" i="5"/>
  <c r="X648" i="5"/>
  <c r="X539" i="5"/>
  <c r="X574" i="5"/>
  <c r="X579" i="5"/>
  <c r="X685" i="5"/>
  <c r="X664" i="5"/>
  <c r="X563" i="5"/>
  <c r="X524" i="5"/>
  <c r="X757" i="5"/>
  <c r="X651" i="5"/>
  <c r="X932" i="5"/>
  <c r="X405" i="5"/>
  <c r="X409" i="5"/>
  <c r="X878" i="5"/>
  <c r="X636" i="5"/>
  <c r="X495" i="5"/>
  <c r="X403" i="5"/>
  <c r="X681" i="5"/>
  <c r="X641" i="5"/>
  <c r="X406" i="5"/>
  <c r="X382" i="5"/>
  <c r="X404" i="5"/>
  <c r="X444" i="5"/>
  <c r="X494" i="5"/>
  <c r="X445" i="5"/>
  <c r="X441" i="5"/>
  <c r="X459" i="5"/>
  <c r="X449" i="5"/>
  <c r="X446" i="5"/>
  <c r="X457" i="5"/>
  <c r="X447" i="5"/>
  <c r="X458" i="5"/>
  <c r="X440" i="5"/>
  <c r="X460" i="5"/>
  <c r="X450" i="5"/>
  <c r="X415" i="5"/>
  <c r="X383" i="5"/>
  <c r="X1076" i="5"/>
  <c r="X666" i="5"/>
  <c r="X867" i="5"/>
  <c r="X659" i="5"/>
  <c r="X673" i="5"/>
  <c r="X545" i="5"/>
  <c r="X945" i="5"/>
  <c r="X906" i="5"/>
  <c r="X972" i="5"/>
  <c r="X1062" i="5"/>
  <c r="X1040" i="5"/>
  <c r="X957" i="5"/>
  <c r="X268" i="5"/>
  <c r="X290" i="5"/>
  <c r="X285" i="5"/>
  <c r="X970" i="5"/>
  <c r="X1265" i="5"/>
  <c r="X933" i="5"/>
  <c r="X748" i="5"/>
  <c r="X930" i="5"/>
  <c r="X958" i="5"/>
  <c r="X713" i="5"/>
  <c r="X534" i="5"/>
  <c r="X288" i="5"/>
  <c r="X333" i="5"/>
  <c r="X336" i="5"/>
  <c r="X295" i="5"/>
  <c r="X334" i="5"/>
  <c r="X416" i="5"/>
  <c r="X439" i="5"/>
  <c r="X894" i="5"/>
  <c r="X871" i="5"/>
  <c r="X931" i="5"/>
  <c r="X893" i="5"/>
  <c r="X940" i="5"/>
  <c r="X537" i="5"/>
  <c r="X902" i="5"/>
  <c r="X745" i="5"/>
  <c r="X971" i="5"/>
  <c r="X773" i="5"/>
  <c r="X741" i="5"/>
  <c r="X918" i="5"/>
  <c r="X442" i="5"/>
  <c r="X884" i="5"/>
  <c r="X880" i="5"/>
  <c r="X907" i="5"/>
  <c r="X887" i="5"/>
  <c r="X709" i="5"/>
  <c r="X728" i="5"/>
  <c r="X900" i="5"/>
  <c r="X413" i="5"/>
  <c r="X874" i="5"/>
  <c r="X1298" i="5"/>
  <c r="X889" i="5"/>
  <c r="X762" i="5"/>
  <c r="X920" i="5"/>
  <c r="X936" i="5"/>
  <c r="X477" i="5"/>
  <c r="X723" i="5"/>
  <c r="X455" i="5"/>
  <c r="X453" i="5"/>
  <c r="X443" i="5"/>
  <c r="X461" i="5"/>
  <c r="X407" i="5"/>
  <c r="X414" i="5"/>
  <c r="X417" i="5"/>
  <c r="X419" i="5"/>
  <c r="X873" i="5"/>
  <c r="X959" i="5"/>
  <c r="X707" i="5"/>
  <c r="X381" i="5"/>
  <c r="X338" i="5"/>
  <c r="X734" i="5"/>
  <c r="X573" i="5"/>
  <c r="X811" i="5"/>
  <c r="X604" i="5"/>
  <c r="X818" i="5"/>
  <c r="X463" i="5"/>
  <c r="X799" i="5"/>
  <c r="X820" i="5"/>
  <c r="X988" i="5"/>
  <c r="X822" i="5"/>
  <c r="X793" i="5"/>
  <c r="X812" i="5"/>
  <c r="X1267" i="5"/>
  <c r="X781" i="5"/>
  <c r="X807" i="5"/>
  <c r="X1002" i="5"/>
  <c r="X987" i="5"/>
  <c r="X1000" i="5"/>
  <c r="X423" i="5"/>
  <c r="X421" i="5"/>
  <c r="X385" i="5"/>
  <c r="X360" i="5"/>
  <c r="X359" i="5"/>
  <c r="X224" i="5"/>
  <c r="X1016" i="5"/>
  <c r="X1019" i="5"/>
  <c r="X982" i="5"/>
  <c r="X978" i="5"/>
  <c r="X981" i="5"/>
  <c r="X993" i="5"/>
  <c r="X1006" i="5"/>
  <c r="X1011" i="5"/>
  <c r="X1007" i="5"/>
  <c r="X999" i="5"/>
  <c r="X1014" i="5"/>
  <c r="X979" i="5"/>
  <c r="X1017" i="5"/>
  <c r="X603" i="5"/>
  <c r="X1003" i="5"/>
  <c r="X792" i="5"/>
  <c r="X995" i="5"/>
  <c r="X790" i="5"/>
  <c r="X508" i="5"/>
  <c r="X794" i="5"/>
  <c r="X1013" i="5"/>
  <c r="X606" i="5"/>
  <c r="X780" i="5"/>
  <c r="X1268" i="5"/>
  <c r="X309" i="5"/>
  <c r="X306" i="5"/>
  <c r="X280" i="5"/>
  <c r="X272" i="5"/>
  <c r="X821" i="5"/>
  <c r="X599" i="5"/>
  <c r="X600" i="5"/>
  <c r="X798" i="5"/>
  <c r="X1012" i="5"/>
  <c r="X687" i="5"/>
  <c r="X691" i="5"/>
  <c r="X692" i="5"/>
  <c r="X598" i="5"/>
  <c r="X605" i="5"/>
  <c r="X466" i="5"/>
  <c r="X1008" i="5"/>
  <c r="X809" i="5"/>
  <c r="X601" i="5"/>
  <c r="X985" i="5"/>
  <c r="X361" i="5"/>
  <c r="X314" i="5"/>
  <c r="X788" i="5"/>
  <c r="X803" i="5"/>
  <c r="X778" i="5"/>
  <c r="X271" i="5"/>
  <c r="X270" i="5"/>
  <c r="X312" i="5"/>
  <c r="X994" i="5"/>
  <c r="X796" i="5"/>
  <c r="X801" i="5"/>
  <c r="X602" i="5"/>
  <c r="X783" i="5"/>
  <c r="X806" i="5"/>
  <c r="X340" i="5"/>
  <c r="X422" i="5"/>
  <c r="X782" i="5"/>
  <c r="X308" i="5"/>
  <c r="X276" i="5"/>
  <c r="X269" i="5"/>
  <c r="X273" i="5"/>
  <c r="X274" i="5"/>
  <c r="X279" i="5"/>
  <c r="X277" i="5"/>
  <c r="X275" i="5"/>
  <c r="X823" i="5"/>
  <c r="X779" i="5"/>
  <c r="X278" i="5"/>
  <c r="X800" i="5"/>
  <c r="X996" i="5"/>
  <c r="X1033" i="5"/>
  <c r="X468" i="5"/>
  <c r="X315" i="5"/>
  <c r="X281" i="5"/>
  <c r="X824" i="5"/>
  <c r="X465" i="5"/>
  <c r="X827" i="5"/>
  <c r="X802" i="5"/>
  <c r="X814" i="5"/>
  <c r="X816" i="5"/>
  <c r="X1001" i="5"/>
  <c r="X690" i="5"/>
  <c r="X819" i="5"/>
  <c r="X828" i="5"/>
  <c r="X777" i="5"/>
  <c r="X797" i="5"/>
  <c r="X791" i="5"/>
  <c r="X1004" i="5"/>
  <c r="X813" i="5"/>
  <c r="X1069" i="5"/>
  <c r="X1041" i="5"/>
  <c r="X784" i="5"/>
  <c r="X787" i="5"/>
  <c r="X825" i="5"/>
  <c r="X1266" i="5"/>
  <c r="X313" i="5"/>
  <c r="X310" i="5"/>
  <c r="X304" i="5"/>
  <c r="X307" i="5"/>
  <c r="X305" i="5"/>
  <c r="X303" i="5"/>
  <c r="X311" i="5"/>
  <c r="X302" i="5"/>
  <c r="X992" i="5"/>
  <c r="X990" i="5"/>
  <c r="X1009" i="5"/>
  <c r="X785" i="5"/>
  <c r="X795" i="5"/>
  <c r="X789" i="5"/>
  <c r="X804" i="5"/>
  <c r="X786" i="5"/>
  <c r="X817" i="5"/>
  <c r="X689" i="5"/>
  <c r="X991" i="5"/>
  <c r="X805" i="5"/>
  <c r="X808" i="5"/>
  <c r="X997" i="5"/>
  <c r="X1299" i="5"/>
  <c r="X1010" i="5"/>
  <c r="X986" i="5"/>
  <c r="X989" i="5"/>
  <c r="X998" i="5"/>
  <c r="X1083" i="5"/>
  <c r="X1079" i="5"/>
  <c r="X1064" i="5"/>
  <c r="X507" i="5"/>
  <c r="X826" i="5"/>
  <c r="X815" i="5"/>
  <c r="X688" i="5"/>
  <c r="X693" i="5"/>
  <c r="X983" i="5"/>
  <c r="X1018" i="5"/>
  <c r="X610" i="5"/>
  <c r="X1015" i="5"/>
  <c r="X420" i="5"/>
  <c r="X984" i="5"/>
  <c r="X1005" i="5"/>
  <c r="X609" i="5"/>
  <c r="X980" i="5"/>
  <c r="X467" i="5"/>
  <c r="X607" i="5"/>
  <c r="X608" i="5"/>
  <c r="X509" i="5"/>
  <c r="X464" i="5"/>
  <c r="X362" i="5"/>
  <c r="X810" i="5"/>
  <c r="X462" i="5"/>
  <c r="X506" i="5"/>
  <c r="X1327" i="5"/>
  <c r="X1021" i="5"/>
  <c r="X696" i="5"/>
  <c r="X697" i="5"/>
  <c r="X694" i="5"/>
  <c r="X469" i="5"/>
  <c r="X831" i="5"/>
  <c r="X317" i="5"/>
  <c r="X830" i="5"/>
  <c r="X618" i="5"/>
  <c r="X620" i="5"/>
  <c r="X617" i="5"/>
  <c r="X613" i="5"/>
  <c r="X615" i="5"/>
  <c r="X619" i="5"/>
  <c r="X318" i="5"/>
  <c r="X316" i="5"/>
  <c r="X319" i="5"/>
  <c r="X832" i="5"/>
  <c r="X1070" i="5"/>
  <c r="X324" i="5"/>
  <c r="X329" i="5"/>
  <c r="X326" i="5"/>
  <c r="X1020" i="5"/>
  <c r="X392" i="5"/>
  <c r="X427" i="5"/>
  <c r="X1093" i="5"/>
  <c r="X429" i="5"/>
  <c r="X426" i="5"/>
  <c r="X398" i="5"/>
  <c r="X399" i="5"/>
  <c r="X394" i="5"/>
  <c r="X389" i="5"/>
  <c r="X390" i="5"/>
  <c r="X393" i="5"/>
  <c r="X367" i="5"/>
  <c r="X375" i="5"/>
  <c r="X374" i="5"/>
  <c r="X372" i="5"/>
  <c r="X363" i="5"/>
  <c r="X373" i="5"/>
  <c r="X365" i="5"/>
  <c r="X369" i="5"/>
  <c r="X370" i="5"/>
  <c r="X424" i="5"/>
  <c r="X425" i="5"/>
  <c r="X611" i="5"/>
  <c r="X366" i="5"/>
  <c r="X345" i="5"/>
  <c r="X348" i="5"/>
  <c r="X328" i="5"/>
  <c r="X1106" i="5"/>
  <c r="X349" i="5"/>
  <c r="X343" i="5"/>
  <c r="X327" i="5"/>
  <c r="X833" i="5"/>
  <c r="X428" i="5"/>
  <c r="X1343" i="5"/>
  <c r="X1300" i="5"/>
  <c r="X1301" i="5"/>
  <c r="X1209" i="5"/>
  <c r="X1197" i="5"/>
  <c r="X1115" i="5"/>
  <c r="X1053" i="5"/>
  <c r="X43" i="5"/>
  <c r="X1302" i="5"/>
  <c r="X511" i="5"/>
  <c r="X512" i="5"/>
  <c r="X510" i="5"/>
  <c r="X470" i="5"/>
  <c r="X471" i="5"/>
  <c r="X472" i="5"/>
  <c r="X1236" i="5"/>
  <c r="X695" i="5"/>
  <c r="X834" i="5"/>
  <c r="X1342" i="5"/>
  <c r="X840" i="5"/>
  <c r="X395" i="5"/>
  <c r="X835" i="5"/>
  <c r="X839" i="5"/>
  <c r="X616" i="5"/>
  <c r="X1114" i="5"/>
  <c r="X391" i="5"/>
  <c r="X387" i="5"/>
  <c r="X371" i="5"/>
  <c r="X364" i="5"/>
  <c r="X368" i="5"/>
  <c r="X376" i="5"/>
  <c r="X386" i="5"/>
  <c r="X1022" i="5"/>
  <c r="X388" i="5"/>
  <c r="X321" i="5"/>
  <c r="X320" i="5"/>
  <c r="X325" i="5"/>
  <c r="X346" i="5"/>
  <c r="X396" i="5"/>
  <c r="X614" i="5"/>
  <c r="X837" i="5"/>
  <c r="X829" i="5"/>
  <c r="X838" i="5"/>
  <c r="X836" i="5"/>
  <c r="X1118" i="5"/>
  <c r="X841" i="5"/>
  <c r="X1036" i="5"/>
  <c r="X1103" i="5"/>
  <c r="X344" i="5"/>
  <c r="X397" i="5"/>
  <c r="X347" i="5"/>
  <c r="X341" i="5"/>
  <c r="X342" i="5"/>
  <c r="X612" i="5"/>
  <c r="X1328" i="5"/>
  <c r="X1344" i="5"/>
  <c r="X1165" i="5"/>
  <c r="X350" i="5"/>
  <c r="X330" i="5"/>
  <c r="X351" i="5"/>
  <c r="X1071" i="5"/>
  <c r="X1037" i="5"/>
  <c r="X1072" i="5"/>
  <c r="X845" i="5"/>
  <c r="X842" i="5"/>
  <c r="X846" i="5"/>
  <c r="X843" i="5"/>
  <c r="X1024" i="5"/>
  <c r="X1143" i="5"/>
  <c r="X621" i="5"/>
  <c r="X1054" i="5"/>
  <c r="X1023" i="5"/>
  <c r="X1370" i="5"/>
  <c r="X1187" i="5"/>
  <c r="X844" i="5"/>
  <c r="X1269" i="5"/>
  <c r="X400" i="5"/>
  <c r="X1102" i="5"/>
  <c r="X847" i="5"/>
  <c r="X431" i="5"/>
  <c r="X1237" i="5"/>
  <c r="X430" i="5"/>
  <c r="X1345" i="5"/>
  <c r="X1098" i="5"/>
  <c r="X1287" i="5"/>
  <c r="X1025" i="5"/>
  <c r="X432" i="5"/>
  <c r="X322" i="5"/>
  <c r="X1094" i="5"/>
  <c r="X1084" i="5"/>
  <c r="X1371" i="5"/>
  <c r="X1210" i="5"/>
  <c r="X1031" i="5"/>
  <c r="X1108" i="5"/>
  <c r="X1220" i="5"/>
  <c r="X1095" i="5"/>
  <c r="X1081" i="5"/>
  <c r="X850" i="5"/>
  <c r="X1270" i="5"/>
  <c r="X622" i="5"/>
  <c r="X1271" i="5"/>
  <c r="X1085" i="5"/>
  <c r="X1056" i="5"/>
  <c r="X1055" i="5"/>
  <c r="X1211" i="5"/>
  <c r="X851" i="5"/>
  <c r="X1080" i="5"/>
  <c r="X849" i="5"/>
  <c r="X1241" i="5"/>
  <c r="X848" i="5"/>
  <c r="X1146" i="5"/>
  <c r="X1246" i="5"/>
  <c r="X1144" i="5"/>
  <c r="X1026" i="5"/>
  <c r="X1347" i="5"/>
  <c r="X1277" i="5"/>
  <c r="X1166" i="5"/>
  <c r="X1099" i="5"/>
  <c r="X1188" i="5"/>
  <c r="X1100" i="5"/>
  <c r="X1136" i="5"/>
  <c r="X1145" i="5"/>
  <c r="X1167" i="5"/>
  <c r="X698" i="5"/>
  <c r="X623" i="5"/>
  <c r="X473" i="5"/>
  <c r="X1204" i="5"/>
  <c r="X852" i="5"/>
  <c r="X1346" i="5"/>
  <c r="X1119" i="5"/>
  <c r="X1065" i="5"/>
  <c r="X1348" i="5"/>
  <c r="X699" i="5"/>
  <c r="X1180" i="5"/>
  <c r="X352" i="5"/>
  <c r="X1189" i="5"/>
  <c r="X624" i="5"/>
  <c r="X1250" i="5"/>
  <c r="X1097" i="5"/>
  <c r="X1247" i="5"/>
  <c r="X1086" i="5"/>
  <c r="X1376" i="5"/>
  <c r="X1168" i="5"/>
  <c r="X1138" i="5"/>
  <c r="X853" i="5"/>
  <c r="X1221" i="5"/>
  <c r="X1169" i="5"/>
  <c r="X1148" i="5"/>
  <c r="X1147" i="5"/>
  <c r="X1137" i="5"/>
  <c r="X1150" i="5"/>
  <c r="X378" i="5"/>
  <c r="X1303" i="5"/>
  <c r="X377" i="5"/>
  <c r="X1198" i="5"/>
  <c r="X1149" i="5"/>
  <c r="X854" i="5"/>
  <c r="X1028" i="5"/>
  <c r="X1181" i="5"/>
  <c r="X1190" i="5"/>
  <c r="X1027" i="5"/>
  <c r="X1205" i="5"/>
  <c r="X331" i="5"/>
  <c r="X1248" i="5"/>
  <c r="X1131" i="5"/>
  <c r="X1124" i="5"/>
  <c r="X1171" i="5"/>
  <c r="X1151" i="5"/>
  <c r="X1139" i="5"/>
  <c r="X1155" i="5"/>
  <c r="X1170" i="5"/>
  <c r="X1029" i="5"/>
  <c r="X1129" i="5"/>
  <c r="X1154" i="5"/>
  <c r="X1132" i="5"/>
  <c r="X1251" i="5"/>
  <c r="X855" i="5"/>
  <c r="X1110" i="5"/>
  <c r="X1109" i="5"/>
  <c r="X1123" i="5"/>
  <c r="X1153" i="5"/>
  <c r="X1172" i="5"/>
  <c r="X1152" i="5"/>
  <c r="X1160" i="5"/>
  <c r="X1173" i="5"/>
  <c r="X1174" i="5"/>
  <c r="X1158" i="5"/>
  <c r="X1130" i="5"/>
  <c r="X513" i="5"/>
  <c r="X1161" i="5"/>
  <c r="X1157" i="5"/>
  <c r="X1159" i="5"/>
  <c r="X1156" i="5"/>
  <c r="X1389" i="5"/>
  <c r="X1304" i="5"/>
  <c r="X1191" i="5"/>
  <c r="X1329" i="5"/>
  <c r="X1349" i="5"/>
  <c r="X1182" i="5"/>
  <c r="X1305" i="5"/>
  <c r="X1066" i="5"/>
  <c r="X1229" i="5"/>
  <c r="X1231" i="5"/>
  <c r="X1222" i="5"/>
  <c r="X1230" i="5"/>
  <c r="X1378" i="5"/>
  <c r="X1377" i="5"/>
  <c r="X1249" i="5"/>
  <c r="X1223" i="5"/>
  <c r="X1350" i="5"/>
  <c r="X856" i="5"/>
  <c r="X1120" i="5"/>
  <c r="X857" i="5"/>
  <c r="X1192" i="5"/>
  <c r="X1330" i="5"/>
  <c r="X237" i="5"/>
  <c r="X1306" i="5"/>
  <c r="X1162" i="5"/>
  <c r="X1272" i="5"/>
  <c r="X1175" i="5"/>
  <c r="X1308" i="5"/>
  <c r="X1307" i="5"/>
  <c r="X1140" i="5"/>
  <c r="X1176" i="5"/>
  <c r="X1288" i="5"/>
  <c r="X625" i="5"/>
  <c r="X1163" i="5"/>
  <c r="X1073" i="5"/>
  <c r="X1116" i="5"/>
  <c r="X626" i="5"/>
  <c r="X1394" i="5"/>
  <c r="X1228" i="5"/>
  <c r="X1193" i="5"/>
  <c r="X433" i="5"/>
  <c r="X1238" i="5"/>
  <c r="X1239" i="5"/>
  <c r="X1276" i="5"/>
  <c r="X1379" i="5"/>
  <c r="X1087" i="5"/>
  <c r="X1351" i="5"/>
  <c r="X1183" i="5"/>
  <c r="X474" i="5"/>
  <c r="X1164" i="5"/>
  <c r="X1224" i="5"/>
  <c r="X1199" i="5"/>
  <c r="X1030" i="5"/>
  <c r="X1380" i="5"/>
  <c r="X1352" i="5"/>
  <c r="X1225" i="5"/>
  <c r="X1184" i="5"/>
  <c r="X1125" i="5"/>
  <c r="X1401" i="5"/>
  <c r="X1309" i="5"/>
  <c r="X1372" i="5"/>
  <c r="X1353" i="5"/>
  <c r="X1381" i="5"/>
  <c r="X1382" i="5"/>
  <c r="X1233" i="5"/>
  <c r="X1395" i="5"/>
  <c r="X1057" i="5"/>
  <c r="X1240" i="5"/>
  <c r="X1177" i="5"/>
  <c r="X1278" i="5"/>
  <c r="X1216" i="5"/>
  <c r="X514" i="5"/>
  <c r="X1178" i="5"/>
  <c r="X1111" i="5"/>
  <c r="X1194" i="5"/>
  <c r="X1105" i="5"/>
  <c r="X1373" i="5"/>
  <c r="X1396" i="5"/>
  <c r="X1200" i="5"/>
  <c r="X1383" i="5"/>
  <c r="X1096" i="5"/>
  <c r="X1212" i="5"/>
  <c r="X1217" i="5"/>
  <c r="X2" i="5"/>
  <c r="X1397" i="5"/>
  <c r="X1310" i="5"/>
  <c r="X1388" i="5"/>
  <c r="X1226" i="5"/>
  <c r="X1201" i="5"/>
  <c r="X1185" i="5"/>
  <c r="X332" i="5"/>
  <c r="X1107" i="5"/>
  <c r="X1206" i="5"/>
  <c r="X261" i="5"/>
  <c r="X1398" i="5"/>
  <c r="X1384" i="5"/>
  <c r="X1034" i="5"/>
  <c r="X238" i="5"/>
  <c r="X1058" i="5"/>
  <c r="X1385" i="5"/>
  <c r="X1402" i="5"/>
  <c r="X1354" i="5"/>
  <c r="X1218" i="5"/>
  <c r="X1290" i="5"/>
  <c r="X1088" i="5"/>
  <c r="X1311" i="5"/>
  <c r="X1374" i="5"/>
  <c r="X1215" i="5"/>
  <c r="X1067" i="5"/>
  <c r="X1355" i="5"/>
  <c r="X475" i="5"/>
  <c r="X1213" i="5"/>
  <c r="X1089" i="5"/>
  <c r="X1074" i="5"/>
  <c r="X1273" i="5"/>
  <c r="X1090" i="5"/>
  <c r="X1391" i="5"/>
  <c r="X1312" i="5"/>
  <c r="X1091" i="5"/>
  <c r="X1274" i="5"/>
  <c r="X1059" i="5"/>
  <c r="X1207" i="5"/>
  <c r="X3" i="5"/>
  <c r="X1356" i="5"/>
  <c r="X1082" i="5"/>
  <c r="X1403" i="5"/>
  <c r="X1357" i="5"/>
  <c r="X1227" i="5"/>
  <c r="X262" i="5"/>
  <c r="X1133" i="5"/>
  <c r="X1195" i="5"/>
  <c r="X58" i="5"/>
  <c r="X1386" i="5"/>
  <c r="X1038" i="5"/>
  <c r="X1186" i="5"/>
  <c r="X1243" i="5"/>
  <c r="X1390" i="5"/>
  <c r="X476" i="5"/>
  <c r="X263" i="5"/>
  <c r="X1075" i="5"/>
  <c r="X858" i="5"/>
  <c r="X1358" i="5"/>
  <c r="X1387" i="5"/>
  <c r="X264" i="5"/>
  <c r="X1032" i="5"/>
  <c r="X1060" i="5"/>
  <c r="X265" i="5"/>
  <c r="X1289" i="5"/>
  <c r="X1068" i="5"/>
  <c r="X627" i="5"/>
  <c r="X1313" i="5"/>
  <c r="X1126" i="5"/>
  <c r="X1314" i="5"/>
  <c r="X434" i="5"/>
  <c r="X1196" i="5"/>
  <c r="X1101" i="5"/>
  <c r="X1359" i="5"/>
  <c r="X1202" i="5"/>
  <c r="X1360" i="5"/>
  <c r="X515" i="5"/>
  <c r="X59" i="5"/>
  <c r="X1404" i="5"/>
  <c r="X1399" i="5"/>
  <c r="X1214" i="5"/>
  <c r="X1134" i="5"/>
  <c r="X1275" i="5"/>
  <c r="X1392" i="5"/>
  <c r="X1331" i="5"/>
  <c r="X628" i="5"/>
  <c r="X1141" i="5"/>
  <c r="X1117" i="5"/>
  <c r="X1203" i="5"/>
  <c r="X282" i="5"/>
  <c r="X1127" i="5"/>
  <c r="X1121" i="5"/>
  <c r="X1315" i="5"/>
  <c r="X1179" i="5"/>
  <c r="X1361" i="5"/>
  <c r="X700" i="5"/>
  <c r="X1122" i="5"/>
  <c r="X266" i="5"/>
  <c r="X435" i="5"/>
  <c r="X1035" i="5"/>
  <c r="X239" i="5"/>
  <c r="X184" i="5"/>
  <c r="X185" i="5"/>
  <c r="X188" i="5"/>
  <c r="X187" i="5"/>
  <c r="X186" i="5"/>
  <c r="X189" i="5"/>
  <c r="X1264" i="5"/>
  <c r="X240" i="5"/>
  <c r="X242" i="5"/>
  <c r="X241" i="5"/>
  <c r="X243" i="5"/>
  <c r="X244" i="5"/>
  <c r="X190" i="5"/>
  <c r="X192" i="5"/>
  <c r="X191" i="5"/>
  <c r="X170" i="5"/>
  <c r="X71" i="5"/>
  <c r="X90" i="5"/>
  <c r="X94" i="5"/>
  <c r="X65" i="5"/>
  <c r="X75" i="5"/>
  <c r="X63" i="5"/>
  <c r="X73" i="5"/>
  <c r="X86" i="5"/>
  <c r="X67" i="5"/>
  <c r="X60" i="5"/>
  <c r="X91" i="5"/>
  <c r="X88" i="5"/>
  <c r="X18" i="5"/>
  <c r="X25" i="5"/>
  <c r="X20" i="5"/>
  <c r="X36" i="5"/>
  <c r="X6" i="5"/>
  <c r="X37" i="5"/>
  <c r="X29" i="5"/>
  <c r="X5" i="5"/>
  <c r="X4" i="5"/>
  <c r="X12" i="5"/>
  <c r="X21" i="5"/>
  <c r="X15" i="5"/>
  <c r="X33" i="5"/>
  <c r="X8" i="5"/>
  <c r="X9" i="5"/>
  <c r="X39" i="5"/>
  <c r="X31" i="5"/>
  <c r="X22" i="5"/>
  <c r="X40" i="5"/>
  <c r="X13" i="5"/>
  <c r="X7" i="5"/>
  <c r="X78" i="5"/>
  <c r="X66" i="5"/>
  <c r="X80" i="5"/>
  <c r="X82" i="5"/>
  <c r="X95" i="5"/>
  <c r="X79" i="5"/>
  <c r="X81" i="5"/>
  <c r="X93" i="5"/>
  <c r="X69" i="5"/>
  <c r="X87" i="5"/>
  <c r="X83" i="5"/>
  <c r="X76" i="5"/>
  <c r="X85" i="5"/>
  <c r="X72" i="5"/>
  <c r="X77" i="5"/>
  <c r="X64" i="5"/>
  <c r="X70" i="5"/>
  <c r="X74" i="5"/>
  <c r="X68" i="5"/>
  <c r="X30" i="5"/>
  <c r="X23" i="5"/>
  <c r="X32" i="5"/>
  <c r="X11" i="5"/>
  <c r="X34" i="5"/>
  <c r="X38" i="5"/>
  <c r="X26" i="5"/>
  <c r="X27" i="5"/>
  <c r="X19" i="5"/>
  <c r="X24" i="5"/>
  <c r="X84" i="5"/>
  <c r="X194" i="5"/>
  <c r="X92" i="5"/>
  <c r="X62" i="5"/>
  <c r="X28" i="5"/>
  <c r="X17" i="5"/>
  <c r="X10" i="5"/>
  <c r="X35" i="5"/>
  <c r="X193" i="5"/>
  <c r="X61" i="5"/>
  <c r="X89" i="5"/>
  <c r="X14" i="5"/>
  <c r="X16" i="5"/>
  <c r="X98" i="5"/>
  <c r="X195" i="5"/>
  <c r="X100" i="5"/>
  <c r="X102" i="5"/>
  <c r="X99" i="5"/>
  <c r="X97" i="5"/>
  <c r="X96" i="5"/>
  <c r="X101" i="5"/>
  <c r="X42" i="5"/>
  <c r="X41" i="5"/>
  <c r="X197" i="5"/>
  <c r="X200" i="5"/>
  <c r="X203" i="5"/>
  <c r="X205" i="5"/>
  <c r="X208" i="5"/>
  <c r="X201" i="5"/>
  <c r="X196" i="5"/>
  <c r="X199" i="5"/>
  <c r="X204" i="5"/>
  <c r="X198" i="5"/>
  <c r="X206" i="5"/>
  <c r="X202" i="5"/>
  <c r="X172" i="5"/>
  <c r="X174" i="5"/>
  <c r="X175" i="5"/>
  <c r="X173" i="5"/>
  <c r="X171" i="5"/>
  <c r="X207" i="5"/>
  <c r="X103" i="5"/>
  <c r="X105" i="5"/>
  <c r="X210" i="5"/>
  <c r="X104" i="5"/>
  <c r="X246" i="5"/>
  <c r="X247" i="5"/>
  <c r="X249" i="5"/>
  <c r="X248" i="5"/>
  <c r="X245" i="5"/>
  <c r="X212" i="5"/>
  <c r="X209" i="5"/>
  <c r="X211" i="5"/>
  <c r="X214" i="5"/>
  <c r="X109" i="5"/>
  <c r="X113" i="5"/>
  <c r="X119" i="5"/>
  <c r="X114" i="5"/>
  <c r="X116" i="5"/>
  <c r="X112" i="5"/>
  <c r="X107" i="5"/>
  <c r="X117" i="5"/>
  <c r="X108" i="5"/>
  <c r="X111" i="5"/>
  <c r="X120" i="5"/>
  <c r="X110" i="5"/>
  <c r="X118" i="5"/>
  <c r="X115" i="5"/>
  <c r="X106" i="5"/>
  <c r="X215" i="5"/>
  <c r="X216" i="5"/>
  <c r="X213" i="5"/>
  <c r="X217" i="5"/>
  <c r="X178" i="5"/>
  <c r="X176" i="5"/>
  <c r="X177" i="5"/>
  <c r="X250" i="5"/>
  <c r="X121" i="5"/>
  <c r="X254" i="5"/>
  <c r="X252" i="5"/>
  <c r="X255" i="5"/>
  <c r="X253" i="5"/>
  <c r="X219" i="5"/>
  <c r="X218" i="5"/>
  <c r="X222" i="5"/>
  <c r="X220" i="5"/>
  <c r="X251" i="5"/>
  <c r="X221" i="5"/>
  <c r="X124" i="5"/>
  <c r="X127" i="5"/>
  <c r="X125" i="5"/>
  <c r="X123" i="5"/>
  <c r="X128" i="5"/>
  <c r="X126" i="5"/>
  <c r="X122" i="5"/>
  <c r="X129" i="5"/>
  <c r="X256" i="5"/>
  <c r="X223" i="5"/>
  <c r="X225" i="5"/>
  <c r="X130" i="5"/>
  <c r="X132" i="5"/>
  <c r="X131" i="5"/>
  <c r="X257" i="5"/>
  <c r="X133" i="5"/>
  <c r="X139" i="5"/>
  <c r="X136" i="5"/>
  <c r="X138" i="5"/>
  <c r="X134" i="5"/>
  <c r="X135" i="5"/>
  <c r="X137" i="5"/>
  <c r="X140" i="5"/>
  <c r="X141" i="5"/>
  <c r="X179" i="5"/>
  <c r="X226" i="5"/>
  <c r="X258" i="5"/>
  <c r="X227" i="5"/>
  <c r="X145" i="5"/>
  <c r="X146" i="5"/>
  <c r="X144" i="5"/>
  <c r="X143" i="5"/>
  <c r="X142" i="5"/>
  <c r="X44" i="5"/>
  <c r="X147" i="5"/>
  <c r="X148" i="5"/>
  <c r="X46" i="5"/>
  <c r="X45" i="5"/>
  <c r="X150" i="5"/>
  <c r="X149" i="5"/>
  <c r="X47" i="5"/>
  <c r="X50" i="5"/>
  <c r="X48" i="5"/>
  <c r="X49" i="5"/>
  <c r="X151" i="5"/>
  <c r="X152" i="5"/>
  <c r="X153" i="5"/>
  <c r="X259" i="5"/>
  <c r="X51" i="5"/>
  <c r="X154" i="5"/>
  <c r="X156" i="5"/>
  <c r="X155" i="5"/>
  <c r="X52" i="5"/>
  <c r="X228" i="5"/>
  <c r="X157" i="5"/>
  <c r="X53" i="5"/>
  <c r="X158" i="5"/>
  <c r="X159" i="5"/>
  <c r="X54" i="5"/>
  <c r="X160" i="5"/>
  <c r="X161" i="5"/>
  <c r="X55" i="5"/>
  <c r="X162" i="5"/>
  <c r="X163" i="5"/>
  <c r="X57" i="5"/>
  <c r="X56" i="5"/>
  <c r="X180" i="5"/>
  <c r="X164" i="5"/>
  <c r="X165" i="5"/>
  <c r="X229" i="5"/>
  <c r="X181" i="5"/>
  <c r="X230" i="5"/>
  <c r="X231" i="5"/>
  <c r="X232" i="5"/>
  <c r="X235" i="5"/>
  <c r="X233" i="5"/>
  <c r="X234" i="5"/>
  <c r="X167" i="5"/>
  <c r="X166" i="5"/>
  <c r="X168" i="5"/>
  <c r="X169" i="5"/>
  <c r="X182" i="5"/>
  <c r="X1232" i="5"/>
  <c r="X236" i="5"/>
  <c r="X183" i="5"/>
  <c r="X260" i="5"/>
  <c r="O1042" i="5"/>
  <c r="O1219" i="5"/>
  <c r="O1045" i="5"/>
  <c r="O1043" i="5"/>
  <c r="O1046" i="5"/>
  <c r="O1044" i="5"/>
  <c r="O1048" i="5"/>
  <c r="O1049" i="5"/>
  <c r="O1050" i="5"/>
  <c r="O1047" i="5"/>
  <c r="O1051" i="5"/>
  <c r="O1362" i="5"/>
  <c r="O1291" i="5"/>
  <c r="O1052" i="5"/>
  <c r="O1317" i="5"/>
  <c r="O1316" i="5"/>
  <c r="O1279" i="5"/>
  <c r="O1252" i="5"/>
  <c r="O1234" i="5"/>
  <c r="O1280" i="5"/>
  <c r="O1242" i="5"/>
  <c r="O1318" i="5"/>
  <c r="O1281" i="5"/>
  <c r="O1128" i="5"/>
  <c r="O283" i="5"/>
  <c r="O284" i="5"/>
  <c r="O859" i="5"/>
  <c r="O1332" i="5"/>
  <c r="O1333" i="5"/>
  <c r="O1334" i="5"/>
  <c r="O1336" i="5"/>
  <c r="O1282" i="5"/>
  <c r="O1208" i="5"/>
  <c r="O1061" i="5"/>
  <c r="O701" i="5"/>
  <c r="O1375" i="5"/>
  <c r="O1292" i="5"/>
  <c r="O1256" i="5"/>
  <c r="O1319" i="5"/>
  <c r="O1255" i="5"/>
  <c r="O1321" i="5"/>
  <c r="O1235" i="5"/>
  <c r="O1320" i="5"/>
  <c r="O1335" i="5"/>
  <c r="O1253" i="5"/>
  <c r="O1293" i="5"/>
  <c r="O1254" i="5"/>
  <c r="O1363" i="5"/>
  <c r="O1283" i="5"/>
  <c r="O1104" i="5"/>
  <c r="O1284" i="5"/>
  <c r="O1364" i="5"/>
  <c r="O1393" i="5"/>
  <c r="O1259" i="5"/>
  <c r="O1337" i="5"/>
  <c r="O1324" i="5"/>
  <c r="O1339" i="5"/>
  <c r="O1260" i="5"/>
  <c r="O1322" i="5"/>
  <c r="O1400" i="5"/>
  <c r="O1039" i="5"/>
  <c r="O1365" i="5"/>
  <c r="O1297" i="5"/>
  <c r="O1295" i="5"/>
  <c r="O1092" i="5"/>
  <c r="O1244" i="5"/>
  <c r="O1112" i="5"/>
  <c r="O1323" i="5"/>
  <c r="O1294" i="5"/>
  <c r="O1296" i="5"/>
  <c r="O1263" i="5"/>
  <c r="O1367" i="5"/>
  <c r="O1338" i="5"/>
  <c r="O1286" i="5"/>
  <c r="O1285" i="5"/>
  <c r="O1262" i="5"/>
  <c r="O1258" i="5"/>
  <c r="O1261" i="5"/>
  <c r="O1257" i="5"/>
  <c r="O1245" i="5"/>
  <c r="O1135" i="5"/>
  <c r="O1366" i="5"/>
  <c r="O1325" i="5"/>
  <c r="O1142" i="5"/>
  <c r="O437" i="5"/>
  <c r="O379" i="5"/>
  <c r="O438" i="5"/>
  <c r="O629" i="5"/>
  <c r="O436" i="5"/>
  <c r="O401" i="5"/>
  <c r="O702" i="5"/>
  <c r="O703" i="5"/>
  <c r="O860" i="5"/>
  <c r="O861" i="5"/>
  <c r="O516" i="5"/>
  <c r="O630" i="5"/>
  <c r="O631" i="5"/>
  <c r="O1368" i="5"/>
  <c r="O1340" i="5"/>
  <c r="O1341" i="5"/>
  <c r="O964" i="5"/>
  <c r="O758" i="5"/>
  <c r="O661" i="5"/>
  <c r="O418" i="5"/>
  <c r="O738" i="5"/>
  <c r="O1063" i="5"/>
  <c r="O634" i="5"/>
  <c r="O584" i="5"/>
  <c r="O946" i="5"/>
  <c r="O657" i="5"/>
  <c r="O658" i="5"/>
  <c r="O671" i="5"/>
  <c r="O683" i="5"/>
  <c r="O647" i="5"/>
  <c r="O643" i="5"/>
  <c r="O674" i="5"/>
  <c r="O408" i="5"/>
  <c r="O646" i="5"/>
  <c r="O684" i="5"/>
  <c r="O662" i="5"/>
  <c r="O525" i="5"/>
  <c r="O528" i="5"/>
  <c r="O1369" i="5"/>
  <c r="O451" i="5"/>
  <c r="O1113" i="5"/>
  <c r="O549" i="5"/>
  <c r="O568" i="5"/>
  <c r="O737" i="5"/>
  <c r="O769" i="5"/>
  <c r="O753" i="5"/>
  <c r="O569" i="5"/>
  <c r="O576" i="5"/>
  <c r="O580" i="5"/>
  <c r="O567" i="5"/>
  <c r="O744" i="5"/>
  <c r="O556" i="5"/>
  <c r="O869" i="5"/>
  <c r="O754" i="5"/>
  <c r="O561" i="5"/>
  <c r="O756" i="5"/>
  <c r="O724" i="5"/>
  <c r="O716" i="5"/>
  <c r="O767" i="5"/>
  <c r="O909" i="5"/>
  <c r="O765" i="5"/>
  <c r="O735" i="5"/>
  <c r="O915" i="5"/>
  <c r="O750" i="5"/>
  <c r="O752" i="5"/>
  <c r="O543" i="5"/>
  <c r="O719" i="5"/>
  <c r="O747" i="5"/>
  <c r="O717" i="5"/>
  <c r="O768" i="5"/>
  <c r="O770" i="5"/>
  <c r="O742" i="5"/>
  <c r="O727" i="5"/>
  <c r="O706" i="5"/>
  <c r="O544" i="5"/>
  <c r="O771" i="5"/>
  <c r="O715" i="5"/>
  <c r="O736" i="5"/>
  <c r="O755" i="5"/>
  <c r="O751" i="5"/>
  <c r="O565" i="5"/>
  <c r="O746" i="5"/>
  <c r="O731" i="5"/>
  <c r="O760" i="5"/>
  <c r="O913" i="5"/>
  <c r="O708" i="5"/>
  <c r="O554" i="5"/>
  <c r="O591" i="5"/>
  <c r="O519" i="5"/>
  <c r="O595" i="5"/>
  <c r="O551" i="5"/>
  <c r="O704" i="5"/>
  <c r="O705" i="5"/>
  <c r="O749" i="5"/>
  <c r="O729" i="5"/>
  <c r="O725" i="5"/>
  <c r="O732" i="5"/>
  <c r="O733" i="5"/>
  <c r="O711" i="5"/>
  <c r="O898" i="5"/>
  <c r="O559" i="5"/>
  <c r="O596" i="5"/>
  <c r="O535" i="5"/>
  <c r="O578" i="5"/>
  <c r="O710" i="5"/>
  <c r="O739" i="5"/>
  <c r="O763" i="5"/>
  <c r="O730" i="5"/>
  <c r="O761" i="5"/>
  <c r="O726" i="5"/>
  <c r="O668" i="5"/>
  <c r="O714" i="5"/>
  <c r="O766" i="5"/>
  <c r="O718" i="5"/>
  <c r="O1326" i="5"/>
  <c r="O941" i="5"/>
  <c r="O965" i="5"/>
  <c r="O903" i="5"/>
  <c r="O904" i="5"/>
  <c r="O876" i="5"/>
  <c r="O921" i="5"/>
  <c r="O943" i="5"/>
  <c r="O934" i="5"/>
  <c r="O870" i="5"/>
  <c r="O916" i="5"/>
  <c r="O962" i="5"/>
  <c r="O919" i="5"/>
  <c r="O890" i="5"/>
  <c r="O935" i="5"/>
  <c r="O899" i="5"/>
  <c r="O973" i="5"/>
  <c r="O774" i="5"/>
  <c r="O670" i="5"/>
  <c r="O682" i="5"/>
  <c r="O680" i="5"/>
  <c r="O637" i="5"/>
  <c r="O676" i="5"/>
  <c r="O667" i="5"/>
  <c r="O633" i="5"/>
  <c r="O649" i="5"/>
  <c r="O652" i="5"/>
  <c r="O526" i="5"/>
  <c r="O529" i="5"/>
  <c r="O518" i="5"/>
  <c r="O520" i="5"/>
  <c r="O517" i="5"/>
  <c r="O908" i="5"/>
  <c r="O938" i="5"/>
  <c r="O937" i="5"/>
  <c r="O922" i="5"/>
  <c r="O872" i="5"/>
  <c r="O944" i="5"/>
  <c r="O891" i="5"/>
  <c r="O885" i="5"/>
  <c r="O888" i="5"/>
  <c r="O721" i="5"/>
  <c r="O560" i="5"/>
  <c r="O456" i="5"/>
  <c r="O412" i="5"/>
  <c r="O411" i="5"/>
  <c r="O287" i="5"/>
  <c r="O883" i="5"/>
  <c r="O960" i="5"/>
  <c r="O877" i="5"/>
  <c r="O895" i="5"/>
  <c r="O917" i="5"/>
  <c r="O772" i="5"/>
  <c r="O650" i="5"/>
  <c r="O686" i="5"/>
  <c r="O642" i="5"/>
  <c r="O635" i="5"/>
  <c r="O677" i="5"/>
  <c r="O566" i="5"/>
  <c r="O570" i="5"/>
  <c r="O523" i="5"/>
  <c r="O939" i="5"/>
  <c r="O759" i="5"/>
  <c r="O911" i="5"/>
  <c r="O663" i="5"/>
  <c r="O644" i="5"/>
  <c r="O337" i="5"/>
  <c r="O339" i="5"/>
  <c r="O323" i="5"/>
  <c r="O289" i="5"/>
  <c r="O910" i="5"/>
  <c r="O479" i="5"/>
  <c r="O897" i="5"/>
  <c r="O775" i="5"/>
  <c r="O410" i="5"/>
  <c r="O974" i="5"/>
  <c r="O949" i="5"/>
  <c r="O712" i="5"/>
  <c r="O886" i="5"/>
  <c r="O914" i="5"/>
  <c r="O923" i="5"/>
  <c r="O950" i="5"/>
  <c r="O499" i="5"/>
  <c r="O291" i="5"/>
  <c r="O292" i="5"/>
  <c r="O286" i="5"/>
  <c r="O296" i="5"/>
  <c r="O924" i="5"/>
  <c r="O966" i="5"/>
  <c r="O951" i="5"/>
  <c r="O293" i="5"/>
  <c r="O297" i="5"/>
  <c r="O925" i="5"/>
  <c r="O975" i="5"/>
  <c r="O967" i="5"/>
  <c r="O862" i="5"/>
  <c r="O952" i="5"/>
  <c r="O953" i="5"/>
  <c r="O963" i="5"/>
  <c r="O926" i="5"/>
  <c r="O866" i="5"/>
  <c r="O927" i="5"/>
  <c r="O740" i="5"/>
  <c r="O743" i="5"/>
  <c r="O968" i="5"/>
  <c r="O942" i="5"/>
  <c r="O954" i="5"/>
  <c r="O863" i="5"/>
  <c r="O961" i="5"/>
  <c r="O881" i="5"/>
  <c r="O864" i="5"/>
  <c r="O882" i="5"/>
  <c r="O955" i="5"/>
  <c r="O722" i="5"/>
  <c r="O656" i="5"/>
  <c r="O498" i="5"/>
  <c r="O912" i="5"/>
  <c r="O589" i="5"/>
  <c r="O571" i="5"/>
  <c r="O977" i="5"/>
  <c r="O875" i="5"/>
  <c r="O948" i="5"/>
  <c r="O969" i="5"/>
  <c r="O928" i="5"/>
  <c r="O865" i="5"/>
  <c r="O764" i="5"/>
  <c r="O491" i="5"/>
  <c r="O879" i="5"/>
  <c r="O976" i="5"/>
  <c r="O665" i="5"/>
  <c r="O947" i="5"/>
  <c r="O645" i="5"/>
  <c r="O564" i="5"/>
  <c r="O484" i="5"/>
  <c r="O905" i="5"/>
  <c r="O448" i="5"/>
  <c r="O527" i="5"/>
  <c r="O500" i="5"/>
  <c r="O868" i="5"/>
  <c r="O720" i="5"/>
  <c r="O530" i="5"/>
  <c r="O550" i="5"/>
  <c r="O654" i="5"/>
  <c r="O384" i="5"/>
  <c r="O896" i="5"/>
  <c r="O776" i="5"/>
  <c r="O638" i="5"/>
  <c r="O536" i="5"/>
  <c r="O901" i="5"/>
  <c r="O552" i="5"/>
  <c r="O562" i="5"/>
  <c r="O577" i="5"/>
  <c r="O538" i="5"/>
  <c r="O522" i="5"/>
  <c r="O558" i="5"/>
  <c r="O587" i="5"/>
  <c r="O540" i="5"/>
  <c r="O548" i="5"/>
  <c r="O490" i="5"/>
  <c r="O505" i="5"/>
  <c r="O486" i="5"/>
  <c r="O501" i="5"/>
  <c r="O402" i="5"/>
  <c r="O592" i="5"/>
  <c r="O504" i="5"/>
  <c r="O503" i="5"/>
  <c r="O481" i="5"/>
  <c r="O1078" i="5"/>
  <c r="O572" i="5"/>
  <c r="O581" i="5"/>
  <c r="O929" i="5"/>
  <c r="O521" i="5"/>
  <c r="O533" i="5"/>
  <c r="O496" i="5"/>
  <c r="O478" i="5"/>
  <c r="O678" i="5"/>
  <c r="O492" i="5"/>
  <c r="O669" i="5"/>
  <c r="O892" i="5"/>
  <c r="O675" i="5"/>
  <c r="O294" i="5"/>
  <c r="O267" i="5"/>
  <c r="O301" i="5"/>
  <c r="O298" i="5"/>
  <c r="O300" i="5"/>
  <c r="O299" i="5"/>
  <c r="O532" i="5"/>
  <c r="O1077" i="5"/>
  <c r="O653" i="5"/>
  <c r="O546" i="5"/>
  <c r="O487" i="5"/>
  <c r="O452" i="5"/>
  <c r="O335" i="5"/>
  <c r="O541" i="5"/>
  <c r="O454" i="5"/>
  <c r="O380" i="5"/>
  <c r="O355" i="5"/>
  <c r="O354" i="5"/>
  <c r="O356" i="5"/>
  <c r="O353" i="5"/>
  <c r="O358" i="5"/>
  <c r="O357" i="5"/>
  <c r="O488" i="5"/>
  <c r="O655" i="5"/>
  <c r="O956" i="5"/>
  <c r="O583" i="5"/>
  <c r="O553" i="5"/>
  <c r="O593" i="5"/>
  <c r="O586" i="5"/>
  <c r="O531" i="5"/>
  <c r="O594" i="5"/>
  <c r="O557" i="5"/>
  <c r="O575" i="5"/>
  <c r="O493" i="5"/>
  <c r="O483" i="5"/>
  <c r="O482" i="5"/>
  <c r="O480" i="5"/>
  <c r="O485" i="5"/>
  <c r="O489" i="5"/>
  <c r="O502" i="5"/>
  <c r="O660" i="5"/>
  <c r="O679" i="5"/>
  <c r="O640" i="5"/>
  <c r="O672" i="5"/>
  <c r="O639" i="5"/>
  <c r="O597" i="5"/>
  <c r="O542" i="5"/>
  <c r="O588" i="5"/>
  <c r="O585" i="5"/>
  <c r="O555" i="5"/>
  <c r="O582" i="5"/>
  <c r="O547" i="5"/>
  <c r="O590" i="5"/>
  <c r="O497" i="5"/>
  <c r="O632" i="5"/>
  <c r="O648" i="5"/>
  <c r="O539" i="5"/>
  <c r="O574" i="5"/>
  <c r="O579" i="5"/>
  <c r="O685" i="5"/>
  <c r="O664" i="5"/>
  <c r="O563" i="5"/>
  <c r="O524" i="5"/>
  <c r="O757" i="5"/>
  <c r="O651" i="5"/>
  <c r="O932" i="5"/>
  <c r="O405" i="5"/>
  <c r="O409" i="5"/>
  <c r="O878" i="5"/>
  <c r="O636" i="5"/>
  <c r="O495" i="5"/>
  <c r="O403" i="5"/>
  <c r="O681" i="5"/>
  <c r="O641" i="5"/>
  <c r="O406" i="5"/>
  <c r="O382" i="5"/>
  <c r="O404" i="5"/>
  <c r="O444" i="5"/>
  <c r="O494" i="5"/>
  <c r="O445" i="5"/>
  <c r="O441" i="5"/>
  <c r="O459" i="5"/>
  <c r="O449" i="5"/>
  <c r="O446" i="5"/>
  <c r="O457" i="5"/>
  <c r="O447" i="5"/>
  <c r="O458" i="5"/>
  <c r="O440" i="5"/>
  <c r="O460" i="5"/>
  <c r="O450" i="5"/>
  <c r="O415" i="5"/>
  <c r="O383" i="5"/>
  <c r="O1076" i="5"/>
  <c r="O666" i="5"/>
  <c r="O867" i="5"/>
  <c r="O659" i="5"/>
  <c r="O673" i="5"/>
  <c r="O545" i="5"/>
  <c r="O945" i="5"/>
  <c r="O906" i="5"/>
  <c r="O972" i="5"/>
  <c r="O1062" i="5"/>
  <c r="O1040" i="5"/>
  <c r="O957" i="5"/>
  <c r="O268" i="5"/>
  <c r="O290" i="5"/>
  <c r="O285" i="5"/>
  <c r="O970" i="5"/>
  <c r="O1265" i="5"/>
  <c r="O933" i="5"/>
  <c r="O748" i="5"/>
  <c r="O930" i="5"/>
  <c r="O958" i="5"/>
  <c r="O713" i="5"/>
  <c r="O534" i="5"/>
  <c r="O288" i="5"/>
  <c r="O333" i="5"/>
  <c r="O336" i="5"/>
  <c r="O295" i="5"/>
  <c r="O334" i="5"/>
  <c r="O416" i="5"/>
  <c r="O439" i="5"/>
  <c r="O894" i="5"/>
  <c r="O871" i="5"/>
  <c r="O931" i="5"/>
  <c r="O893" i="5"/>
  <c r="O940" i="5"/>
  <c r="O537" i="5"/>
  <c r="O902" i="5"/>
  <c r="O745" i="5"/>
  <c r="O971" i="5"/>
  <c r="O773" i="5"/>
  <c r="O741" i="5"/>
  <c r="O918" i="5"/>
  <c r="O442" i="5"/>
  <c r="O884" i="5"/>
  <c r="O880" i="5"/>
  <c r="O907" i="5"/>
  <c r="O887" i="5"/>
  <c r="O709" i="5"/>
  <c r="O728" i="5"/>
  <c r="O900" i="5"/>
  <c r="O413" i="5"/>
  <c r="O874" i="5"/>
  <c r="O1298" i="5"/>
  <c r="O889" i="5"/>
  <c r="O762" i="5"/>
  <c r="O920" i="5"/>
  <c r="O936" i="5"/>
  <c r="O477" i="5"/>
  <c r="O723" i="5"/>
  <c r="O455" i="5"/>
  <c r="O453" i="5"/>
  <c r="O443" i="5"/>
  <c r="O461" i="5"/>
  <c r="O407" i="5"/>
  <c r="O414" i="5"/>
  <c r="O417" i="5"/>
  <c r="O419" i="5"/>
  <c r="O873" i="5"/>
  <c r="O959" i="5"/>
  <c r="O707" i="5"/>
  <c r="O381" i="5"/>
  <c r="O338" i="5"/>
  <c r="O734" i="5"/>
  <c r="O573" i="5"/>
  <c r="O811" i="5"/>
  <c r="O604" i="5"/>
  <c r="O818" i="5"/>
  <c r="O463" i="5"/>
  <c r="O799" i="5"/>
  <c r="O820" i="5"/>
  <c r="O988" i="5"/>
  <c r="O822" i="5"/>
  <c r="O793" i="5"/>
  <c r="O812" i="5"/>
  <c r="O1267" i="5"/>
  <c r="O781" i="5"/>
  <c r="O807" i="5"/>
  <c r="O1002" i="5"/>
  <c r="O987" i="5"/>
  <c r="O1000" i="5"/>
  <c r="O423" i="5"/>
  <c r="O421" i="5"/>
  <c r="O385" i="5"/>
  <c r="O360" i="5"/>
  <c r="O359" i="5"/>
  <c r="O224" i="5"/>
  <c r="O1016" i="5"/>
  <c r="O1019" i="5"/>
  <c r="O982" i="5"/>
  <c r="O978" i="5"/>
  <c r="O981" i="5"/>
  <c r="O993" i="5"/>
  <c r="O1006" i="5"/>
  <c r="O1011" i="5"/>
  <c r="O1007" i="5"/>
  <c r="O999" i="5"/>
  <c r="O1014" i="5"/>
  <c r="O979" i="5"/>
  <c r="O1017" i="5"/>
  <c r="O603" i="5"/>
  <c r="O1003" i="5"/>
  <c r="O792" i="5"/>
  <c r="O995" i="5"/>
  <c r="O790" i="5"/>
  <c r="O508" i="5"/>
  <c r="O794" i="5"/>
  <c r="O1013" i="5"/>
  <c r="O606" i="5"/>
  <c r="O780" i="5"/>
  <c r="O1268" i="5"/>
  <c r="O309" i="5"/>
  <c r="O306" i="5"/>
  <c r="O280" i="5"/>
  <c r="O272" i="5"/>
  <c r="O821" i="5"/>
  <c r="O599" i="5"/>
  <c r="O600" i="5"/>
  <c r="O798" i="5"/>
  <c r="O1012" i="5"/>
  <c r="O687" i="5"/>
  <c r="O691" i="5"/>
  <c r="O692" i="5"/>
  <c r="O598" i="5"/>
  <c r="O605" i="5"/>
  <c r="O466" i="5"/>
  <c r="O1008" i="5"/>
  <c r="O809" i="5"/>
  <c r="O601" i="5"/>
  <c r="O985" i="5"/>
  <c r="O361" i="5"/>
  <c r="O314" i="5"/>
  <c r="O788" i="5"/>
  <c r="O803" i="5"/>
  <c r="O778" i="5"/>
  <c r="O271" i="5"/>
  <c r="O270" i="5"/>
  <c r="O312" i="5"/>
  <c r="O994" i="5"/>
  <c r="O796" i="5"/>
  <c r="O801" i="5"/>
  <c r="O602" i="5"/>
  <c r="O783" i="5"/>
  <c r="O806" i="5"/>
  <c r="O340" i="5"/>
  <c r="O422" i="5"/>
  <c r="O782" i="5"/>
  <c r="O308" i="5"/>
  <c r="O276" i="5"/>
  <c r="O269" i="5"/>
  <c r="O273" i="5"/>
  <c r="O274" i="5"/>
  <c r="O279" i="5"/>
  <c r="O277" i="5"/>
  <c r="O275" i="5"/>
  <c r="O823" i="5"/>
  <c r="O779" i="5"/>
  <c r="O278" i="5"/>
  <c r="O800" i="5"/>
  <c r="O996" i="5"/>
  <c r="O1033" i="5"/>
  <c r="O468" i="5"/>
  <c r="O315" i="5"/>
  <c r="O281" i="5"/>
  <c r="O824" i="5"/>
  <c r="O465" i="5"/>
  <c r="O827" i="5"/>
  <c r="O802" i="5"/>
  <c r="O814" i="5"/>
  <c r="O816" i="5"/>
  <c r="O1001" i="5"/>
  <c r="O690" i="5"/>
  <c r="O819" i="5"/>
  <c r="O828" i="5"/>
  <c r="O777" i="5"/>
  <c r="O797" i="5"/>
  <c r="O791" i="5"/>
  <c r="O1004" i="5"/>
  <c r="O813" i="5"/>
  <c r="O1069" i="5"/>
  <c r="O1041" i="5"/>
  <c r="O784" i="5"/>
  <c r="O787" i="5"/>
  <c r="O825" i="5"/>
  <c r="O1266" i="5"/>
  <c r="O313" i="5"/>
  <c r="O310" i="5"/>
  <c r="O304" i="5"/>
  <c r="O307" i="5"/>
  <c r="O305" i="5"/>
  <c r="O303" i="5"/>
  <c r="O311" i="5"/>
  <c r="O302" i="5"/>
  <c r="O992" i="5"/>
  <c r="O990" i="5"/>
  <c r="O1009" i="5"/>
  <c r="O785" i="5"/>
  <c r="O795" i="5"/>
  <c r="O789" i="5"/>
  <c r="O804" i="5"/>
  <c r="O786" i="5"/>
  <c r="O817" i="5"/>
  <c r="O689" i="5"/>
  <c r="O991" i="5"/>
  <c r="O805" i="5"/>
  <c r="O808" i="5"/>
  <c r="O997" i="5"/>
  <c r="O1299" i="5"/>
  <c r="O1010" i="5"/>
  <c r="O986" i="5"/>
  <c r="O989" i="5"/>
  <c r="O998" i="5"/>
  <c r="O1083" i="5"/>
  <c r="O1079" i="5"/>
  <c r="O1064" i="5"/>
  <c r="O507" i="5"/>
  <c r="O826" i="5"/>
  <c r="O815" i="5"/>
  <c r="O688" i="5"/>
  <c r="O693" i="5"/>
  <c r="O983" i="5"/>
  <c r="O1018" i="5"/>
  <c r="O610" i="5"/>
  <c r="O1015" i="5"/>
  <c r="O420" i="5"/>
  <c r="O984" i="5"/>
  <c r="O1005" i="5"/>
  <c r="O609" i="5"/>
  <c r="O980" i="5"/>
  <c r="O467" i="5"/>
  <c r="O607" i="5"/>
  <c r="O608" i="5"/>
  <c r="O509" i="5"/>
  <c r="O464" i="5"/>
  <c r="O362" i="5"/>
  <c r="O810" i="5"/>
  <c r="O462" i="5"/>
  <c r="O506" i="5"/>
  <c r="O1327" i="5"/>
  <c r="O1021" i="5"/>
  <c r="O696" i="5"/>
  <c r="O697" i="5"/>
  <c r="O694" i="5"/>
  <c r="O469" i="5"/>
  <c r="O831" i="5"/>
  <c r="O317" i="5"/>
  <c r="O830" i="5"/>
  <c r="O618" i="5"/>
  <c r="O620" i="5"/>
  <c r="O617" i="5"/>
  <c r="O613" i="5"/>
  <c r="O615" i="5"/>
  <c r="O619" i="5"/>
  <c r="O318" i="5"/>
  <c r="O316" i="5"/>
  <c r="O319" i="5"/>
  <c r="O832" i="5"/>
  <c r="O1070" i="5"/>
  <c r="O324" i="5"/>
  <c r="O329" i="5"/>
  <c r="O326" i="5"/>
  <c r="O1020" i="5"/>
  <c r="O392" i="5"/>
  <c r="O427" i="5"/>
  <c r="O1093" i="5"/>
  <c r="O429" i="5"/>
  <c r="O426" i="5"/>
  <c r="O398" i="5"/>
  <c r="O399" i="5"/>
  <c r="O394" i="5"/>
  <c r="O389" i="5"/>
  <c r="O390" i="5"/>
  <c r="O393" i="5"/>
  <c r="O367" i="5"/>
  <c r="O375" i="5"/>
  <c r="O374" i="5"/>
  <c r="O372" i="5"/>
  <c r="O363" i="5"/>
  <c r="O373" i="5"/>
  <c r="O365" i="5"/>
  <c r="O369" i="5"/>
  <c r="O370" i="5"/>
  <c r="O424" i="5"/>
  <c r="O425" i="5"/>
  <c r="O611" i="5"/>
  <c r="O366" i="5"/>
  <c r="O345" i="5"/>
  <c r="O348" i="5"/>
  <c r="O328" i="5"/>
  <c r="O1106" i="5"/>
  <c r="O349" i="5"/>
  <c r="O343" i="5"/>
  <c r="O327" i="5"/>
  <c r="O833" i="5"/>
  <c r="O428" i="5"/>
  <c r="O1343" i="5"/>
  <c r="O1300" i="5"/>
  <c r="O1301" i="5"/>
  <c r="O1209" i="5"/>
  <c r="O1197" i="5"/>
  <c r="O1115" i="5"/>
  <c r="O1053" i="5"/>
  <c r="O43" i="5"/>
  <c r="O1302" i="5"/>
  <c r="O511" i="5"/>
  <c r="O512" i="5"/>
  <c r="O510" i="5"/>
  <c r="O470" i="5"/>
  <c r="O471" i="5"/>
  <c r="O472" i="5"/>
  <c r="O1236" i="5"/>
  <c r="O695" i="5"/>
  <c r="O834" i="5"/>
  <c r="O1342" i="5"/>
  <c r="O840" i="5"/>
  <c r="O395" i="5"/>
  <c r="O835" i="5"/>
  <c r="O839" i="5"/>
  <c r="O616" i="5"/>
  <c r="O1114" i="5"/>
  <c r="O391" i="5"/>
  <c r="O387" i="5"/>
  <c r="O371" i="5"/>
  <c r="O364" i="5"/>
  <c r="O368" i="5"/>
  <c r="O376" i="5"/>
  <c r="O386" i="5"/>
  <c r="O1022" i="5"/>
  <c r="O388" i="5"/>
  <c r="O321" i="5"/>
  <c r="O320" i="5"/>
  <c r="O325" i="5"/>
  <c r="O346" i="5"/>
  <c r="O396" i="5"/>
  <c r="O614" i="5"/>
  <c r="O837" i="5"/>
  <c r="O829" i="5"/>
  <c r="O838" i="5"/>
  <c r="O836" i="5"/>
  <c r="O1118" i="5"/>
  <c r="O841" i="5"/>
  <c r="O1036" i="5"/>
  <c r="O1103" i="5"/>
  <c r="O344" i="5"/>
  <c r="O397" i="5"/>
  <c r="O347" i="5"/>
  <c r="O341" i="5"/>
  <c r="O342" i="5"/>
  <c r="O612" i="5"/>
  <c r="O1328" i="5"/>
  <c r="O1344" i="5"/>
  <c r="O1165" i="5"/>
  <c r="O350" i="5"/>
  <c r="O330" i="5"/>
  <c r="O351" i="5"/>
  <c r="O1071" i="5"/>
  <c r="O1037" i="5"/>
  <c r="O1072" i="5"/>
  <c r="O845" i="5"/>
  <c r="O842" i="5"/>
  <c r="O846" i="5"/>
  <c r="O843" i="5"/>
  <c r="O1024" i="5"/>
  <c r="O1143" i="5"/>
  <c r="O621" i="5"/>
  <c r="O1054" i="5"/>
  <c r="O1023" i="5"/>
  <c r="O1370" i="5"/>
  <c r="O1187" i="5"/>
  <c r="O844" i="5"/>
  <c r="O1269" i="5"/>
  <c r="O400" i="5"/>
  <c r="O1102" i="5"/>
  <c r="O847" i="5"/>
  <c r="O431" i="5"/>
  <c r="O1237" i="5"/>
  <c r="O430" i="5"/>
  <c r="O1345" i="5"/>
  <c r="O1098" i="5"/>
  <c r="O1287" i="5"/>
  <c r="O1025" i="5"/>
  <c r="O432" i="5"/>
  <c r="O322" i="5"/>
  <c r="O1094" i="5"/>
  <c r="O1084" i="5"/>
  <c r="O1371" i="5"/>
  <c r="O1210" i="5"/>
  <c r="O1031" i="5"/>
  <c r="O1108" i="5"/>
  <c r="O1220" i="5"/>
  <c r="O1095" i="5"/>
  <c r="O1081" i="5"/>
  <c r="O850" i="5"/>
  <c r="O1270" i="5"/>
  <c r="O622" i="5"/>
  <c r="O1271" i="5"/>
  <c r="O1085" i="5"/>
  <c r="O1056" i="5"/>
  <c r="O1055" i="5"/>
  <c r="O1211" i="5"/>
  <c r="O851" i="5"/>
  <c r="O1080" i="5"/>
  <c r="O849" i="5"/>
  <c r="O1241" i="5"/>
  <c r="O848" i="5"/>
  <c r="O1146" i="5"/>
  <c r="O1246" i="5"/>
  <c r="O1144" i="5"/>
  <c r="O1026" i="5"/>
  <c r="O1347" i="5"/>
  <c r="O1277" i="5"/>
  <c r="O1166" i="5"/>
  <c r="O1099" i="5"/>
  <c r="O1188" i="5"/>
  <c r="O1100" i="5"/>
  <c r="O1136" i="5"/>
  <c r="O1145" i="5"/>
  <c r="O1167" i="5"/>
  <c r="O698" i="5"/>
  <c r="O623" i="5"/>
  <c r="O473" i="5"/>
  <c r="O1204" i="5"/>
  <c r="O852" i="5"/>
  <c r="O1346" i="5"/>
  <c r="O1119" i="5"/>
  <c r="O1065" i="5"/>
  <c r="O1348" i="5"/>
  <c r="O699" i="5"/>
  <c r="O1180" i="5"/>
  <c r="O352" i="5"/>
  <c r="O1189" i="5"/>
  <c r="O624" i="5"/>
  <c r="O1250" i="5"/>
  <c r="O1097" i="5"/>
  <c r="O1247" i="5"/>
  <c r="O1086" i="5"/>
  <c r="O1376" i="5"/>
  <c r="O1168" i="5"/>
  <c r="O1138" i="5"/>
  <c r="O853" i="5"/>
  <c r="O1221" i="5"/>
  <c r="O1169" i="5"/>
  <c r="O1148" i="5"/>
  <c r="O1147" i="5"/>
  <c r="O1137" i="5"/>
  <c r="O1150" i="5"/>
  <c r="O378" i="5"/>
  <c r="O1303" i="5"/>
  <c r="O377" i="5"/>
  <c r="O1198" i="5"/>
  <c r="O1149" i="5"/>
  <c r="O854" i="5"/>
  <c r="O1028" i="5"/>
  <c r="O1181" i="5"/>
  <c r="O1190" i="5"/>
  <c r="O1027" i="5"/>
  <c r="O1205" i="5"/>
  <c r="O331" i="5"/>
  <c r="O1248" i="5"/>
  <c r="O1131" i="5"/>
  <c r="O1124" i="5"/>
  <c r="O1171" i="5"/>
  <c r="O1151" i="5"/>
  <c r="O1139" i="5"/>
  <c r="O1155" i="5"/>
  <c r="O1170" i="5"/>
  <c r="O1029" i="5"/>
  <c r="O1129" i="5"/>
  <c r="O1154" i="5"/>
  <c r="O1132" i="5"/>
  <c r="O1251" i="5"/>
  <c r="O855" i="5"/>
  <c r="O1110" i="5"/>
  <c r="O1109" i="5"/>
  <c r="O1123" i="5"/>
  <c r="O1153" i="5"/>
  <c r="O1172" i="5"/>
  <c r="O1152" i="5"/>
  <c r="O1160" i="5"/>
  <c r="O1173" i="5"/>
  <c r="O1174" i="5"/>
  <c r="O1158" i="5"/>
  <c r="O1130" i="5"/>
  <c r="O513" i="5"/>
  <c r="O1161" i="5"/>
  <c r="O1157" i="5"/>
  <c r="O1159" i="5"/>
  <c r="O1156" i="5"/>
  <c r="O1389" i="5"/>
  <c r="O1304" i="5"/>
  <c r="O1191" i="5"/>
  <c r="O1329" i="5"/>
  <c r="O1349" i="5"/>
  <c r="O1182" i="5"/>
  <c r="O1305" i="5"/>
  <c r="O1066" i="5"/>
  <c r="O1229" i="5"/>
  <c r="O1231" i="5"/>
  <c r="O1222" i="5"/>
  <c r="O1230" i="5"/>
  <c r="O1378" i="5"/>
  <c r="O1377" i="5"/>
  <c r="O1249" i="5"/>
  <c r="O1223" i="5"/>
  <c r="O1350" i="5"/>
  <c r="O856" i="5"/>
  <c r="O1120" i="5"/>
  <c r="O857" i="5"/>
  <c r="O1192" i="5"/>
  <c r="O1330" i="5"/>
  <c r="O237" i="5"/>
  <c r="O1306" i="5"/>
  <c r="O1162" i="5"/>
  <c r="O1272" i="5"/>
  <c r="O1175" i="5"/>
  <c r="O1308" i="5"/>
  <c r="O1307" i="5"/>
  <c r="O1140" i="5"/>
  <c r="O1176" i="5"/>
  <c r="O1288" i="5"/>
  <c r="O625" i="5"/>
  <c r="O1163" i="5"/>
  <c r="O1073" i="5"/>
  <c r="O1116" i="5"/>
  <c r="O626" i="5"/>
  <c r="O1394" i="5"/>
  <c r="O1228" i="5"/>
  <c r="O1193" i="5"/>
  <c r="O433" i="5"/>
  <c r="O1238" i="5"/>
  <c r="O1239" i="5"/>
  <c r="O1276" i="5"/>
  <c r="O1379" i="5"/>
  <c r="O1087" i="5"/>
  <c r="O1351" i="5"/>
  <c r="O1183" i="5"/>
  <c r="O474" i="5"/>
  <c r="O1164" i="5"/>
  <c r="O1224" i="5"/>
  <c r="O1199" i="5"/>
  <c r="O1030" i="5"/>
  <c r="O1380" i="5"/>
  <c r="O1352" i="5"/>
  <c r="O1225" i="5"/>
  <c r="O1184" i="5"/>
  <c r="O1125" i="5"/>
  <c r="O1401" i="5"/>
  <c r="O1309" i="5"/>
  <c r="O1372" i="5"/>
  <c r="O1353" i="5"/>
  <c r="O1381" i="5"/>
  <c r="O1382" i="5"/>
  <c r="O1233" i="5"/>
  <c r="O1395" i="5"/>
  <c r="O1057" i="5"/>
  <c r="O1240" i="5"/>
  <c r="O1177" i="5"/>
  <c r="O1278" i="5"/>
  <c r="O1216" i="5"/>
  <c r="O514" i="5"/>
  <c r="O1178" i="5"/>
  <c r="O1111" i="5"/>
  <c r="O1194" i="5"/>
  <c r="O1105" i="5"/>
  <c r="O1373" i="5"/>
  <c r="O1396" i="5"/>
  <c r="O1200" i="5"/>
  <c r="O1383" i="5"/>
  <c r="O1096" i="5"/>
  <c r="O1212" i="5"/>
  <c r="O1217" i="5"/>
  <c r="O2" i="5"/>
  <c r="O1397" i="5"/>
  <c r="O1310" i="5"/>
  <c r="O1388" i="5"/>
  <c r="O1226" i="5"/>
  <c r="O1201" i="5"/>
  <c r="O1185" i="5"/>
  <c r="O332" i="5"/>
  <c r="O1107" i="5"/>
  <c r="O1206" i="5"/>
  <c r="O261" i="5"/>
  <c r="O1398" i="5"/>
  <c r="O1384" i="5"/>
  <c r="O1034" i="5"/>
  <c r="O238" i="5"/>
  <c r="O1058" i="5"/>
  <c r="O1385" i="5"/>
  <c r="O1402" i="5"/>
  <c r="O1354" i="5"/>
  <c r="O1218" i="5"/>
  <c r="O1290" i="5"/>
  <c r="O1088" i="5"/>
  <c r="O1311" i="5"/>
  <c r="O1374" i="5"/>
  <c r="O1215" i="5"/>
  <c r="O1067" i="5"/>
  <c r="O1355" i="5"/>
  <c r="O475" i="5"/>
  <c r="O1213" i="5"/>
  <c r="O1089" i="5"/>
  <c r="O1074" i="5"/>
  <c r="O1273" i="5"/>
  <c r="O1090" i="5"/>
  <c r="O1391" i="5"/>
  <c r="O1312" i="5"/>
  <c r="O1091" i="5"/>
  <c r="O1274" i="5"/>
  <c r="O1059" i="5"/>
  <c r="O1207" i="5"/>
  <c r="O3" i="5"/>
  <c r="O1356" i="5"/>
  <c r="O1082" i="5"/>
  <c r="O1403" i="5"/>
  <c r="O1357" i="5"/>
  <c r="O1227" i="5"/>
  <c r="O262" i="5"/>
  <c r="O1133" i="5"/>
  <c r="O1195" i="5"/>
  <c r="O58" i="5"/>
  <c r="O1386" i="5"/>
  <c r="O1038" i="5"/>
  <c r="O1186" i="5"/>
  <c r="O1243" i="5"/>
  <c r="O1390" i="5"/>
  <c r="O476" i="5"/>
  <c r="O263" i="5"/>
  <c r="O1075" i="5"/>
  <c r="O858" i="5"/>
  <c r="O1358" i="5"/>
  <c r="O1387" i="5"/>
  <c r="O264" i="5"/>
  <c r="O1032" i="5"/>
  <c r="O1060" i="5"/>
  <c r="O265" i="5"/>
  <c r="O1289" i="5"/>
  <c r="O1068" i="5"/>
  <c r="O627" i="5"/>
  <c r="O1313" i="5"/>
  <c r="O1126" i="5"/>
  <c r="O1314" i="5"/>
  <c r="O434" i="5"/>
  <c r="O1196" i="5"/>
  <c r="O1101" i="5"/>
  <c r="O1359" i="5"/>
  <c r="O1202" i="5"/>
  <c r="O1360" i="5"/>
  <c r="O515" i="5"/>
  <c r="O59" i="5"/>
  <c r="O1404" i="5"/>
  <c r="O1399" i="5"/>
  <c r="O1214" i="5"/>
  <c r="O1134" i="5"/>
  <c r="O1275" i="5"/>
  <c r="O1392" i="5"/>
  <c r="O1331" i="5"/>
  <c r="O628" i="5"/>
  <c r="O1141" i="5"/>
  <c r="O1117" i="5"/>
  <c r="O1203" i="5"/>
  <c r="O282" i="5"/>
  <c r="O1127" i="5"/>
  <c r="O1121" i="5"/>
  <c r="O1315" i="5"/>
  <c r="O1179" i="5"/>
  <c r="O1361" i="5"/>
  <c r="O700" i="5"/>
  <c r="O1122" i="5"/>
  <c r="O266" i="5"/>
  <c r="O435" i="5"/>
  <c r="O1035" i="5"/>
  <c r="O239" i="5"/>
  <c r="O184" i="5"/>
  <c r="O185" i="5"/>
  <c r="O188" i="5"/>
  <c r="O187" i="5"/>
  <c r="O186" i="5"/>
  <c r="O189" i="5"/>
  <c r="O1264" i="5"/>
  <c r="O240" i="5"/>
  <c r="O242" i="5"/>
  <c r="O241" i="5"/>
  <c r="O243" i="5"/>
  <c r="O244" i="5"/>
  <c r="O190" i="5"/>
  <c r="O192" i="5"/>
  <c r="O191" i="5"/>
  <c r="O170" i="5"/>
  <c r="O71" i="5"/>
  <c r="O90" i="5"/>
  <c r="O94" i="5"/>
  <c r="O65" i="5"/>
  <c r="O75" i="5"/>
  <c r="O63" i="5"/>
  <c r="O73" i="5"/>
  <c r="O86" i="5"/>
  <c r="O67" i="5"/>
  <c r="O60" i="5"/>
  <c r="O91" i="5"/>
  <c r="O88" i="5"/>
  <c r="O18" i="5"/>
  <c r="O25" i="5"/>
  <c r="O20" i="5"/>
  <c r="O36" i="5"/>
  <c r="O6" i="5"/>
  <c r="O37" i="5"/>
  <c r="O29" i="5"/>
  <c r="O5" i="5"/>
  <c r="O4" i="5"/>
  <c r="O12" i="5"/>
  <c r="O21" i="5"/>
  <c r="O15" i="5"/>
  <c r="O33" i="5"/>
  <c r="O8" i="5"/>
  <c r="O9" i="5"/>
  <c r="O39" i="5"/>
  <c r="O31" i="5"/>
  <c r="O22" i="5"/>
  <c r="O40" i="5"/>
  <c r="O13" i="5"/>
  <c r="O7" i="5"/>
  <c r="O78" i="5"/>
  <c r="O66" i="5"/>
  <c r="O80" i="5"/>
  <c r="O82" i="5"/>
  <c r="O95" i="5"/>
  <c r="O79" i="5"/>
  <c r="O81" i="5"/>
  <c r="O93" i="5"/>
  <c r="O69" i="5"/>
  <c r="O87" i="5"/>
  <c r="O83" i="5"/>
  <c r="O76" i="5"/>
  <c r="O85" i="5"/>
  <c r="O72" i="5"/>
  <c r="O77" i="5"/>
  <c r="O64" i="5"/>
  <c r="O70" i="5"/>
  <c r="O74" i="5"/>
  <c r="O68" i="5"/>
  <c r="O30" i="5"/>
  <c r="O23" i="5"/>
  <c r="O32" i="5"/>
  <c r="O11" i="5"/>
  <c r="O34" i="5"/>
  <c r="O38" i="5"/>
  <c r="O26" i="5"/>
  <c r="O27" i="5"/>
  <c r="O19" i="5"/>
  <c r="O24" i="5"/>
  <c r="O84" i="5"/>
  <c r="O194" i="5"/>
  <c r="O92" i="5"/>
  <c r="O62" i="5"/>
  <c r="O28" i="5"/>
  <c r="O17" i="5"/>
  <c r="O10" i="5"/>
  <c r="O35" i="5"/>
  <c r="O193" i="5"/>
  <c r="O61" i="5"/>
  <c r="O89" i="5"/>
  <c r="O14" i="5"/>
  <c r="O16" i="5"/>
  <c r="O98" i="5"/>
  <c r="O195" i="5"/>
  <c r="O100" i="5"/>
  <c r="O102" i="5"/>
  <c r="O99" i="5"/>
  <c r="O97" i="5"/>
  <c r="O96" i="5"/>
  <c r="O101" i="5"/>
  <c r="O42" i="5"/>
  <c r="O41" i="5"/>
  <c r="O197" i="5"/>
  <c r="O200" i="5"/>
  <c r="O203" i="5"/>
  <c r="O205" i="5"/>
  <c r="O208" i="5"/>
  <c r="O201" i="5"/>
  <c r="O196" i="5"/>
  <c r="O199" i="5"/>
  <c r="O204" i="5"/>
  <c r="O198" i="5"/>
  <c r="O206" i="5"/>
  <c r="O202" i="5"/>
  <c r="O172" i="5"/>
  <c r="O174" i="5"/>
  <c r="O175" i="5"/>
  <c r="O173" i="5"/>
  <c r="O171" i="5"/>
  <c r="O207" i="5"/>
  <c r="O103" i="5"/>
  <c r="O105" i="5"/>
  <c r="O210" i="5"/>
  <c r="O104" i="5"/>
  <c r="O246" i="5"/>
  <c r="O247" i="5"/>
  <c r="O249" i="5"/>
  <c r="O248" i="5"/>
  <c r="O245" i="5"/>
  <c r="O212" i="5"/>
  <c r="O209" i="5"/>
  <c r="O211" i="5"/>
  <c r="O214" i="5"/>
  <c r="O109" i="5"/>
  <c r="O113" i="5"/>
  <c r="O119" i="5"/>
  <c r="O114" i="5"/>
  <c r="O116" i="5"/>
  <c r="O112" i="5"/>
  <c r="O107" i="5"/>
  <c r="O117" i="5"/>
  <c r="O108" i="5"/>
  <c r="O111" i="5"/>
  <c r="O120" i="5"/>
  <c r="O110" i="5"/>
  <c r="O118" i="5"/>
  <c r="O115" i="5"/>
  <c r="O106" i="5"/>
  <c r="O215" i="5"/>
  <c r="O216" i="5"/>
  <c r="O213" i="5"/>
  <c r="O217" i="5"/>
  <c r="O178" i="5"/>
  <c r="O176" i="5"/>
  <c r="O177" i="5"/>
  <c r="O250" i="5"/>
  <c r="O121" i="5"/>
  <c r="O254" i="5"/>
  <c r="O252" i="5"/>
  <c r="O255" i="5"/>
  <c r="O253" i="5"/>
  <c r="O219" i="5"/>
  <c r="O218" i="5"/>
  <c r="O222" i="5"/>
  <c r="O220" i="5"/>
  <c r="O251" i="5"/>
  <c r="O221" i="5"/>
  <c r="O124" i="5"/>
  <c r="O127" i="5"/>
  <c r="O125" i="5"/>
  <c r="O123" i="5"/>
  <c r="O128" i="5"/>
  <c r="O126" i="5"/>
  <c r="O122" i="5"/>
  <c r="O129" i="5"/>
  <c r="O256" i="5"/>
  <c r="O223" i="5"/>
  <c r="O225" i="5"/>
  <c r="O130" i="5"/>
  <c r="O132" i="5"/>
  <c r="O131" i="5"/>
  <c r="O257" i="5"/>
  <c r="O133" i="5"/>
  <c r="O139" i="5"/>
  <c r="O136" i="5"/>
  <c r="O138" i="5"/>
  <c r="O134" i="5"/>
  <c r="O135" i="5"/>
  <c r="O137" i="5"/>
  <c r="O140" i="5"/>
  <c r="O141" i="5"/>
  <c r="O179" i="5"/>
  <c r="O226" i="5"/>
  <c r="O258" i="5"/>
  <c r="O227" i="5"/>
  <c r="O145" i="5"/>
  <c r="O146" i="5"/>
  <c r="O144" i="5"/>
  <c r="O143" i="5"/>
  <c r="O142" i="5"/>
  <c r="O44" i="5"/>
  <c r="O147" i="5"/>
  <c r="O148" i="5"/>
  <c r="O46" i="5"/>
  <c r="O45" i="5"/>
  <c r="O150" i="5"/>
  <c r="O149" i="5"/>
  <c r="O47" i="5"/>
  <c r="O50" i="5"/>
  <c r="O48" i="5"/>
  <c r="O49" i="5"/>
  <c r="O151" i="5"/>
  <c r="O152" i="5"/>
  <c r="O153" i="5"/>
  <c r="O259" i="5"/>
  <c r="O51" i="5"/>
  <c r="O154" i="5"/>
  <c r="O156" i="5"/>
  <c r="O155" i="5"/>
  <c r="O52" i="5"/>
  <c r="O228" i="5"/>
  <c r="O157" i="5"/>
  <c r="O53" i="5"/>
  <c r="O158" i="5"/>
  <c r="O159" i="5"/>
  <c r="O54" i="5"/>
  <c r="O160" i="5"/>
  <c r="O161" i="5"/>
  <c r="O55" i="5"/>
  <c r="O162" i="5"/>
  <c r="O163" i="5"/>
  <c r="O57" i="5"/>
  <c r="O56" i="5"/>
  <c r="O180" i="5"/>
  <c r="O164" i="5"/>
  <c r="O165" i="5"/>
  <c r="O229" i="5"/>
  <c r="O181" i="5"/>
  <c r="O230" i="5"/>
  <c r="O231" i="5"/>
  <c r="O232" i="5"/>
  <c r="O235" i="5"/>
  <c r="O233" i="5"/>
  <c r="O234" i="5"/>
  <c r="O167" i="5"/>
  <c r="O166" i="5"/>
  <c r="O168" i="5"/>
  <c r="O169" i="5"/>
  <c r="O182" i="5"/>
  <c r="O1232" i="5"/>
  <c r="O236" i="5"/>
  <c r="O183" i="5"/>
  <c r="O260" i="5"/>
  <c r="P1042" i="5"/>
  <c r="AU1042" i="5" s="1"/>
  <c r="P1219" i="5"/>
  <c r="AU1219" i="5" s="1"/>
  <c r="P1045" i="5"/>
  <c r="AU1045" i="5" s="1"/>
  <c r="P1043" i="5"/>
  <c r="AU1043" i="5" s="1"/>
  <c r="P1046" i="5"/>
  <c r="AU1046" i="5" s="1"/>
  <c r="P1044" i="5"/>
  <c r="AU1044" i="5" s="1"/>
  <c r="P1048" i="5"/>
  <c r="AU1048" i="5" s="1"/>
  <c r="P1049" i="5"/>
  <c r="AU1049" i="5" s="1"/>
  <c r="P1050" i="5"/>
  <c r="AU1050" i="5" s="1"/>
  <c r="P1047" i="5"/>
  <c r="AU1047" i="5" s="1"/>
  <c r="P1051" i="5"/>
  <c r="AU1051" i="5" s="1"/>
  <c r="P1362" i="5"/>
  <c r="AU1362" i="5" s="1"/>
  <c r="P1291" i="5"/>
  <c r="AU1291" i="5" s="1"/>
  <c r="P1052" i="5"/>
  <c r="AU1052" i="5" s="1"/>
  <c r="P1317" i="5"/>
  <c r="AU1317" i="5" s="1"/>
  <c r="P1316" i="5"/>
  <c r="AU1316" i="5" s="1"/>
  <c r="P1279" i="5"/>
  <c r="P1252" i="5"/>
  <c r="AU1252" i="5" s="1"/>
  <c r="P1234" i="5"/>
  <c r="AU1234" i="5" s="1"/>
  <c r="P1280" i="5"/>
  <c r="P1242" i="5"/>
  <c r="P1318" i="5"/>
  <c r="AU1318" i="5" s="1"/>
  <c r="P1281" i="5"/>
  <c r="AU1281" i="5" s="1"/>
  <c r="P1128" i="5"/>
  <c r="AU1128" i="5" s="1"/>
  <c r="P283" i="5"/>
  <c r="P284" i="5"/>
  <c r="AU284" i="5" s="1"/>
  <c r="P859" i="5"/>
  <c r="AU859" i="5" s="1"/>
  <c r="P1332" i="5"/>
  <c r="AU1332" i="5" s="1"/>
  <c r="P1333" i="5"/>
  <c r="AU1333" i="5" s="1"/>
  <c r="P1334" i="5"/>
  <c r="AU1334" i="5" s="1"/>
  <c r="P1336" i="5"/>
  <c r="AU1336" i="5" s="1"/>
  <c r="P1282" i="5"/>
  <c r="AU1282" i="5" s="1"/>
  <c r="P1208" i="5"/>
  <c r="AU1208" i="5" s="1"/>
  <c r="P1061" i="5"/>
  <c r="AU1061" i="5" s="1"/>
  <c r="P701" i="5"/>
  <c r="AU701" i="5" s="1"/>
  <c r="P1375" i="5"/>
  <c r="AU1375" i="5" s="1"/>
  <c r="P1292" i="5"/>
  <c r="AU1292" i="5" s="1"/>
  <c r="P1256" i="5"/>
  <c r="AU1256" i="5" s="1"/>
  <c r="P1319" i="5"/>
  <c r="AU1319" i="5" s="1"/>
  <c r="P1255" i="5"/>
  <c r="AU1255" i="5" s="1"/>
  <c r="P1321" i="5"/>
  <c r="AU1321" i="5" s="1"/>
  <c r="P1235" i="5"/>
  <c r="AU1235" i="5" s="1"/>
  <c r="P1320" i="5"/>
  <c r="AU1320" i="5" s="1"/>
  <c r="P1335" i="5"/>
  <c r="AU1335" i="5" s="1"/>
  <c r="P1253" i="5"/>
  <c r="AU1253" i="5" s="1"/>
  <c r="P1293" i="5"/>
  <c r="AU1293" i="5" s="1"/>
  <c r="P1254" i="5"/>
  <c r="AU1254" i="5" s="1"/>
  <c r="P1363" i="5"/>
  <c r="AU1363" i="5" s="1"/>
  <c r="P1283" i="5"/>
  <c r="AU1283" i="5" s="1"/>
  <c r="P1104" i="5"/>
  <c r="AU1104" i="5" s="1"/>
  <c r="P1284" i="5"/>
  <c r="AU1284" i="5" s="1"/>
  <c r="P1364" i="5"/>
  <c r="AU1364" i="5" s="1"/>
  <c r="P1393" i="5"/>
  <c r="AU1393" i="5" s="1"/>
  <c r="P1259" i="5"/>
  <c r="AU1259" i="5" s="1"/>
  <c r="P1337" i="5"/>
  <c r="AU1337" i="5" s="1"/>
  <c r="P1324" i="5"/>
  <c r="AU1324" i="5" s="1"/>
  <c r="P1339" i="5"/>
  <c r="AU1339" i="5" s="1"/>
  <c r="P1260" i="5"/>
  <c r="AU1260" i="5" s="1"/>
  <c r="P1322" i="5"/>
  <c r="AU1322" i="5" s="1"/>
  <c r="P1400" i="5"/>
  <c r="AU1400" i="5" s="1"/>
  <c r="P1039" i="5"/>
  <c r="AU1039" i="5" s="1"/>
  <c r="P1365" i="5"/>
  <c r="AU1365" i="5" s="1"/>
  <c r="P1297" i="5"/>
  <c r="AU1297" i="5" s="1"/>
  <c r="P1295" i="5"/>
  <c r="AU1295" i="5" s="1"/>
  <c r="P1092" i="5"/>
  <c r="AU1092" i="5" s="1"/>
  <c r="P1244" i="5"/>
  <c r="AU1244" i="5" s="1"/>
  <c r="P1112" i="5"/>
  <c r="AU1112" i="5" s="1"/>
  <c r="P1323" i="5"/>
  <c r="AU1323" i="5" s="1"/>
  <c r="P1294" i="5"/>
  <c r="AU1294" i="5" s="1"/>
  <c r="P1296" i="5"/>
  <c r="AU1296" i="5" s="1"/>
  <c r="P1263" i="5"/>
  <c r="AU1263" i="5" s="1"/>
  <c r="P1367" i="5"/>
  <c r="AU1367" i="5" s="1"/>
  <c r="P1338" i="5"/>
  <c r="AU1338" i="5" s="1"/>
  <c r="P1286" i="5"/>
  <c r="AU1286" i="5" s="1"/>
  <c r="P1285" i="5"/>
  <c r="AU1285" i="5" s="1"/>
  <c r="P1262" i="5"/>
  <c r="AU1262" i="5" s="1"/>
  <c r="P1258" i="5"/>
  <c r="AU1258" i="5" s="1"/>
  <c r="P1261" i="5"/>
  <c r="AU1261" i="5" s="1"/>
  <c r="P1257" i="5"/>
  <c r="AU1257" i="5" s="1"/>
  <c r="P1245" i="5"/>
  <c r="AU1245" i="5" s="1"/>
  <c r="P1135" i="5"/>
  <c r="AU1135" i="5" s="1"/>
  <c r="P1366" i="5"/>
  <c r="AU1366" i="5" s="1"/>
  <c r="P1325" i="5"/>
  <c r="AU1325" i="5" s="1"/>
  <c r="P1142" i="5"/>
  <c r="AU1142" i="5" s="1"/>
  <c r="P437" i="5"/>
  <c r="AU437" i="5" s="1"/>
  <c r="P379" i="5"/>
  <c r="AU379" i="5" s="1"/>
  <c r="P438" i="5"/>
  <c r="AU438" i="5" s="1"/>
  <c r="P629" i="5"/>
  <c r="AU629" i="5" s="1"/>
  <c r="P436" i="5"/>
  <c r="AU436" i="5" s="1"/>
  <c r="P401" i="5"/>
  <c r="AU401" i="5" s="1"/>
  <c r="P702" i="5"/>
  <c r="AU702" i="5" s="1"/>
  <c r="P703" i="5"/>
  <c r="AU703" i="5" s="1"/>
  <c r="P860" i="5"/>
  <c r="AU860" i="5" s="1"/>
  <c r="P861" i="5"/>
  <c r="AU861" i="5" s="1"/>
  <c r="P516" i="5"/>
  <c r="AU516" i="5" s="1"/>
  <c r="P630" i="5"/>
  <c r="AU630" i="5" s="1"/>
  <c r="P631" i="5"/>
  <c r="AU631" i="5" s="1"/>
  <c r="P1368" i="5"/>
  <c r="AU1368" i="5" s="1"/>
  <c r="P1340" i="5"/>
  <c r="AU1340" i="5" s="1"/>
  <c r="P1341" i="5"/>
  <c r="AU1341" i="5" s="1"/>
  <c r="P964" i="5"/>
  <c r="AU964" i="5" s="1"/>
  <c r="P758" i="5"/>
  <c r="AU758" i="5" s="1"/>
  <c r="P661" i="5"/>
  <c r="AU661" i="5" s="1"/>
  <c r="P418" i="5"/>
  <c r="AU418" i="5" s="1"/>
  <c r="P738" i="5"/>
  <c r="AU738" i="5" s="1"/>
  <c r="P1063" i="5"/>
  <c r="AU1063" i="5" s="1"/>
  <c r="P634" i="5"/>
  <c r="AU634" i="5" s="1"/>
  <c r="P584" i="5"/>
  <c r="AU584" i="5" s="1"/>
  <c r="P946" i="5"/>
  <c r="AU946" i="5" s="1"/>
  <c r="P657" i="5"/>
  <c r="AU657" i="5" s="1"/>
  <c r="P658" i="5"/>
  <c r="AU658" i="5" s="1"/>
  <c r="P671" i="5"/>
  <c r="AU671" i="5" s="1"/>
  <c r="P683" i="5"/>
  <c r="AU683" i="5" s="1"/>
  <c r="P647" i="5"/>
  <c r="AU647" i="5" s="1"/>
  <c r="P643" i="5"/>
  <c r="AU643" i="5" s="1"/>
  <c r="P674" i="5"/>
  <c r="AU674" i="5" s="1"/>
  <c r="P408" i="5"/>
  <c r="AU408" i="5" s="1"/>
  <c r="P646" i="5"/>
  <c r="AU646" i="5" s="1"/>
  <c r="P684" i="5"/>
  <c r="AU684" i="5" s="1"/>
  <c r="P662" i="5"/>
  <c r="AU662" i="5" s="1"/>
  <c r="P525" i="5"/>
  <c r="AU525" i="5" s="1"/>
  <c r="P528" i="5"/>
  <c r="AU528" i="5" s="1"/>
  <c r="P1369" i="5"/>
  <c r="AU1369" i="5" s="1"/>
  <c r="P451" i="5"/>
  <c r="AU451" i="5" s="1"/>
  <c r="P1113" i="5"/>
  <c r="AU1113" i="5" s="1"/>
  <c r="P549" i="5"/>
  <c r="AU549" i="5" s="1"/>
  <c r="P568" i="5"/>
  <c r="AU568" i="5" s="1"/>
  <c r="P737" i="5"/>
  <c r="AU737" i="5" s="1"/>
  <c r="P769" i="5"/>
  <c r="AU769" i="5" s="1"/>
  <c r="P753" i="5"/>
  <c r="AU753" i="5" s="1"/>
  <c r="P569" i="5"/>
  <c r="AU569" i="5" s="1"/>
  <c r="P576" i="5"/>
  <c r="AU576" i="5" s="1"/>
  <c r="P580" i="5"/>
  <c r="AU580" i="5" s="1"/>
  <c r="P567" i="5"/>
  <c r="AU567" i="5" s="1"/>
  <c r="P744" i="5"/>
  <c r="AU744" i="5" s="1"/>
  <c r="P556" i="5"/>
  <c r="AU556" i="5" s="1"/>
  <c r="P869" i="5"/>
  <c r="AU869" i="5" s="1"/>
  <c r="P754" i="5"/>
  <c r="AU754" i="5" s="1"/>
  <c r="P561" i="5"/>
  <c r="AU561" i="5" s="1"/>
  <c r="P756" i="5"/>
  <c r="AU756" i="5" s="1"/>
  <c r="P724" i="5"/>
  <c r="AU724" i="5" s="1"/>
  <c r="P716" i="5"/>
  <c r="AU716" i="5" s="1"/>
  <c r="P767" i="5"/>
  <c r="AU767" i="5" s="1"/>
  <c r="P909" i="5"/>
  <c r="AU909" i="5" s="1"/>
  <c r="P765" i="5"/>
  <c r="AU765" i="5" s="1"/>
  <c r="P735" i="5"/>
  <c r="AU735" i="5" s="1"/>
  <c r="P915" i="5"/>
  <c r="AU915" i="5" s="1"/>
  <c r="P750" i="5"/>
  <c r="AU750" i="5" s="1"/>
  <c r="P752" i="5"/>
  <c r="AU752" i="5" s="1"/>
  <c r="P543" i="5"/>
  <c r="AU543" i="5" s="1"/>
  <c r="P719" i="5"/>
  <c r="AU719" i="5" s="1"/>
  <c r="P747" i="5"/>
  <c r="AU747" i="5" s="1"/>
  <c r="P717" i="5"/>
  <c r="AU717" i="5" s="1"/>
  <c r="P768" i="5"/>
  <c r="AU768" i="5" s="1"/>
  <c r="P770" i="5"/>
  <c r="AU770" i="5" s="1"/>
  <c r="P742" i="5"/>
  <c r="AU742" i="5" s="1"/>
  <c r="P727" i="5"/>
  <c r="AU727" i="5" s="1"/>
  <c r="P706" i="5"/>
  <c r="AU706" i="5" s="1"/>
  <c r="P544" i="5"/>
  <c r="AU544" i="5" s="1"/>
  <c r="P771" i="5"/>
  <c r="AU771" i="5" s="1"/>
  <c r="P715" i="5"/>
  <c r="AU715" i="5" s="1"/>
  <c r="P736" i="5"/>
  <c r="AU736" i="5" s="1"/>
  <c r="P755" i="5"/>
  <c r="AU755" i="5" s="1"/>
  <c r="P751" i="5"/>
  <c r="AU751" i="5" s="1"/>
  <c r="P565" i="5"/>
  <c r="AU565" i="5" s="1"/>
  <c r="P746" i="5"/>
  <c r="AU746" i="5" s="1"/>
  <c r="P731" i="5"/>
  <c r="AU731" i="5" s="1"/>
  <c r="P760" i="5"/>
  <c r="AU760" i="5" s="1"/>
  <c r="P913" i="5"/>
  <c r="AU913" i="5" s="1"/>
  <c r="P708" i="5"/>
  <c r="AU708" i="5" s="1"/>
  <c r="P554" i="5"/>
  <c r="AU554" i="5" s="1"/>
  <c r="P591" i="5"/>
  <c r="AU591" i="5" s="1"/>
  <c r="P519" i="5"/>
  <c r="AU519" i="5" s="1"/>
  <c r="P595" i="5"/>
  <c r="AU595" i="5" s="1"/>
  <c r="P551" i="5"/>
  <c r="AU551" i="5" s="1"/>
  <c r="P704" i="5"/>
  <c r="AU704" i="5" s="1"/>
  <c r="P705" i="5"/>
  <c r="AU705" i="5" s="1"/>
  <c r="P749" i="5"/>
  <c r="AU749" i="5" s="1"/>
  <c r="P729" i="5"/>
  <c r="AU729" i="5" s="1"/>
  <c r="P725" i="5"/>
  <c r="AU725" i="5" s="1"/>
  <c r="P732" i="5"/>
  <c r="AU732" i="5" s="1"/>
  <c r="P733" i="5"/>
  <c r="AU733" i="5" s="1"/>
  <c r="P711" i="5"/>
  <c r="AU711" i="5" s="1"/>
  <c r="P898" i="5"/>
  <c r="AU898" i="5" s="1"/>
  <c r="P559" i="5"/>
  <c r="AU559" i="5" s="1"/>
  <c r="P596" i="5"/>
  <c r="AU596" i="5" s="1"/>
  <c r="P535" i="5"/>
  <c r="AU535" i="5" s="1"/>
  <c r="P578" i="5"/>
  <c r="AU578" i="5" s="1"/>
  <c r="P710" i="5"/>
  <c r="AU710" i="5" s="1"/>
  <c r="P739" i="5"/>
  <c r="AU739" i="5" s="1"/>
  <c r="P763" i="5"/>
  <c r="AU763" i="5" s="1"/>
  <c r="P730" i="5"/>
  <c r="AU730" i="5" s="1"/>
  <c r="P761" i="5"/>
  <c r="AU761" i="5" s="1"/>
  <c r="P726" i="5"/>
  <c r="AU726" i="5" s="1"/>
  <c r="P668" i="5"/>
  <c r="AU668" i="5" s="1"/>
  <c r="P714" i="5"/>
  <c r="AU714" i="5" s="1"/>
  <c r="P766" i="5"/>
  <c r="AU766" i="5" s="1"/>
  <c r="P718" i="5"/>
  <c r="AU718" i="5" s="1"/>
  <c r="P1326" i="5"/>
  <c r="AU1326" i="5" s="1"/>
  <c r="P941" i="5"/>
  <c r="AU941" i="5" s="1"/>
  <c r="P965" i="5"/>
  <c r="AU965" i="5" s="1"/>
  <c r="P903" i="5"/>
  <c r="AU903" i="5" s="1"/>
  <c r="P904" i="5"/>
  <c r="AU904" i="5" s="1"/>
  <c r="P876" i="5"/>
  <c r="AU876" i="5" s="1"/>
  <c r="P921" i="5"/>
  <c r="AU921" i="5" s="1"/>
  <c r="P943" i="5"/>
  <c r="AU943" i="5" s="1"/>
  <c r="P934" i="5"/>
  <c r="AU934" i="5" s="1"/>
  <c r="P870" i="5"/>
  <c r="AU870" i="5" s="1"/>
  <c r="P916" i="5"/>
  <c r="AU916" i="5" s="1"/>
  <c r="P962" i="5"/>
  <c r="AU962" i="5" s="1"/>
  <c r="P919" i="5"/>
  <c r="AU919" i="5" s="1"/>
  <c r="P890" i="5"/>
  <c r="AU890" i="5" s="1"/>
  <c r="P935" i="5"/>
  <c r="AU935" i="5" s="1"/>
  <c r="P899" i="5"/>
  <c r="AU899" i="5" s="1"/>
  <c r="P973" i="5"/>
  <c r="AU973" i="5" s="1"/>
  <c r="P774" i="5"/>
  <c r="AU774" i="5" s="1"/>
  <c r="P670" i="5"/>
  <c r="AU670" i="5" s="1"/>
  <c r="P682" i="5"/>
  <c r="AU682" i="5" s="1"/>
  <c r="P680" i="5"/>
  <c r="AU680" i="5" s="1"/>
  <c r="P637" i="5"/>
  <c r="AU637" i="5" s="1"/>
  <c r="P676" i="5"/>
  <c r="AU676" i="5" s="1"/>
  <c r="P667" i="5"/>
  <c r="AU667" i="5" s="1"/>
  <c r="P633" i="5"/>
  <c r="AU633" i="5" s="1"/>
  <c r="P649" i="5"/>
  <c r="AU649" i="5" s="1"/>
  <c r="P652" i="5"/>
  <c r="AU652" i="5" s="1"/>
  <c r="P526" i="5"/>
  <c r="AU526" i="5" s="1"/>
  <c r="P529" i="5"/>
  <c r="AU529" i="5" s="1"/>
  <c r="P518" i="5"/>
  <c r="AU518" i="5" s="1"/>
  <c r="P520" i="5"/>
  <c r="AU520" i="5" s="1"/>
  <c r="P517" i="5"/>
  <c r="AU517" i="5" s="1"/>
  <c r="P908" i="5"/>
  <c r="AU908" i="5" s="1"/>
  <c r="P938" i="5"/>
  <c r="AU938" i="5" s="1"/>
  <c r="P937" i="5"/>
  <c r="AU937" i="5" s="1"/>
  <c r="P922" i="5"/>
  <c r="AU922" i="5" s="1"/>
  <c r="P872" i="5"/>
  <c r="AU872" i="5" s="1"/>
  <c r="P944" i="5"/>
  <c r="AU944" i="5" s="1"/>
  <c r="P891" i="5"/>
  <c r="AU891" i="5" s="1"/>
  <c r="P885" i="5"/>
  <c r="AU885" i="5" s="1"/>
  <c r="P888" i="5"/>
  <c r="AU888" i="5" s="1"/>
  <c r="P721" i="5"/>
  <c r="AU721" i="5" s="1"/>
  <c r="P560" i="5"/>
  <c r="AU560" i="5" s="1"/>
  <c r="P456" i="5"/>
  <c r="AU456" i="5" s="1"/>
  <c r="P412" i="5"/>
  <c r="AU412" i="5" s="1"/>
  <c r="P411" i="5"/>
  <c r="AU411" i="5" s="1"/>
  <c r="P287" i="5"/>
  <c r="AU287" i="5" s="1"/>
  <c r="P883" i="5"/>
  <c r="AU883" i="5" s="1"/>
  <c r="P960" i="5"/>
  <c r="AU960" i="5" s="1"/>
  <c r="P877" i="5"/>
  <c r="AU877" i="5" s="1"/>
  <c r="P895" i="5"/>
  <c r="AU895" i="5" s="1"/>
  <c r="P917" i="5"/>
  <c r="AU917" i="5" s="1"/>
  <c r="P772" i="5"/>
  <c r="AU772" i="5" s="1"/>
  <c r="P650" i="5"/>
  <c r="AU650" i="5" s="1"/>
  <c r="P686" i="5"/>
  <c r="AU686" i="5" s="1"/>
  <c r="P642" i="5"/>
  <c r="AU642" i="5" s="1"/>
  <c r="P635" i="5"/>
  <c r="AU635" i="5" s="1"/>
  <c r="P677" i="5"/>
  <c r="AU677" i="5" s="1"/>
  <c r="P566" i="5"/>
  <c r="AU566" i="5" s="1"/>
  <c r="P570" i="5"/>
  <c r="AU570" i="5" s="1"/>
  <c r="P523" i="5"/>
  <c r="AU523" i="5" s="1"/>
  <c r="P939" i="5"/>
  <c r="AU939" i="5" s="1"/>
  <c r="P759" i="5"/>
  <c r="AU759" i="5" s="1"/>
  <c r="P911" i="5"/>
  <c r="AU911" i="5" s="1"/>
  <c r="P663" i="5"/>
  <c r="AU663" i="5" s="1"/>
  <c r="P644" i="5"/>
  <c r="AU644" i="5" s="1"/>
  <c r="P337" i="5"/>
  <c r="AU337" i="5" s="1"/>
  <c r="P339" i="5"/>
  <c r="AU339" i="5" s="1"/>
  <c r="P323" i="5"/>
  <c r="AU323" i="5" s="1"/>
  <c r="P289" i="5"/>
  <c r="AU289" i="5" s="1"/>
  <c r="P910" i="5"/>
  <c r="AU910" i="5" s="1"/>
  <c r="P479" i="5"/>
  <c r="AU479" i="5" s="1"/>
  <c r="P897" i="5"/>
  <c r="AU897" i="5" s="1"/>
  <c r="P775" i="5"/>
  <c r="AU775" i="5" s="1"/>
  <c r="P410" i="5"/>
  <c r="AU410" i="5" s="1"/>
  <c r="P974" i="5"/>
  <c r="AU974" i="5" s="1"/>
  <c r="P949" i="5"/>
  <c r="AU949" i="5" s="1"/>
  <c r="P712" i="5"/>
  <c r="AU712" i="5" s="1"/>
  <c r="P886" i="5"/>
  <c r="AU886" i="5" s="1"/>
  <c r="P914" i="5"/>
  <c r="AU914" i="5" s="1"/>
  <c r="P923" i="5"/>
  <c r="AU923" i="5" s="1"/>
  <c r="P950" i="5"/>
  <c r="AU950" i="5" s="1"/>
  <c r="P499" i="5"/>
  <c r="AU499" i="5" s="1"/>
  <c r="P291" i="5"/>
  <c r="AU291" i="5" s="1"/>
  <c r="P292" i="5"/>
  <c r="AU292" i="5" s="1"/>
  <c r="P286" i="5"/>
  <c r="AU286" i="5" s="1"/>
  <c r="P296" i="5"/>
  <c r="AU296" i="5" s="1"/>
  <c r="P924" i="5"/>
  <c r="AU924" i="5" s="1"/>
  <c r="P966" i="5"/>
  <c r="AU966" i="5" s="1"/>
  <c r="P951" i="5"/>
  <c r="AU951" i="5" s="1"/>
  <c r="P293" i="5"/>
  <c r="AU293" i="5" s="1"/>
  <c r="P297" i="5"/>
  <c r="AU297" i="5" s="1"/>
  <c r="P925" i="5"/>
  <c r="AU925" i="5" s="1"/>
  <c r="P975" i="5"/>
  <c r="AU975" i="5" s="1"/>
  <c r="P967" i="5"/>
  <c r="AU967" i="5" s="1"/>
  <c r="P862" i="5"/>
  <c r="AU862" i="5" s="1"/>
  <c r="P952" i="5"/>
  <c r="AU952" i="5" s="1"/>
  <c r="P953" i="5"/>
  <c r="AU953" i="5" s="1"/>
  <c r="P963" i="5"/>
  <c r="AU963" i="5" s="1"/>
  <c r="P926" i="5"/>
  <c r="AU926" i="5" s="1"/>
  <c r="P866" i="5"/>
  <c r="AU866" i="5" s="1"/>
  <c r="P927" i="5"/>
  <c r="AU927" i="5" s="1"/>
  <c r="P740" i="5"/>
  <c r="AU740" i="5" s="1"/>
  <c r="P743" i="5"/>
  <c r="AU743" i="5" s="1"/>
  <c r="P968" i="5"/>
  <c r="AU968" i="5" s="1"/>
  <c r="P942" i="5"/>
  <c r="AU942" i="5" s="1"/>
  <c r="P954" i="5"/>
  <c r="AU954" i="5" s="1"/>
  <c r="P863" i="5"/>
  <c r="AU863" i="5" s="1"/>
  <c r="P961" i="5"/>
  <c r="AU961" i="5" s="1"/>
  <c r="P881" i="5"/>
  <c r="AU881" i="5" s="1"/>
  <c r="P864" i="5"/>
  <c r="AU864" i="5" s="1"/>
  <c r="P882" i="5"/>
  <c r="AU882" i="5" s="1"/>
  <c r="P955" i="5"/>
  <c r="AU955" i="5" s="1"/>
  <c r="P722" i="5"/>
  <c r="AU722" i="5" s="1"/>
  <c r="P656" i="5"/>
  <c r="AU656" i="5" s="1"/>
  <c r="P498" i="5"/>
  <c r="AU498" i="5" s="1"/>
  <c r="P912" i="5"/>
  <c r="AU912" i="5" s="1"/>
  <c r="P589" i="5"/>
  <c r="AU589" i="5" s="1"/>
  <c r="P571" i="5"/>
  <c r="AU571" i="5" s="1"/>
  <c r="P977" i="5"/>
  <c r="AU977" i="5" s="1"/>
  <c r="P875" i="5"/>
  <c r="AU875" i="5" s="1"/>
  <c r="P948" i="5"/>
  <c r="AU948" i="5" s="1"/>
  <c r="P969" i="5"/>
  <c r="AU969" i="5" s="1"/>
  <c r="P928" i="5"/>
  <c r="AU928" i="5" s="1"/>
  <c r="P865" i="5"/>
  <c r="AU865" i="5" s="1"/>
  <c r="P764" i="5"/>
  <c r="AU764" i="5" s="1"/>
  <c r="P491" i="5"/>
  <c r="AU491" i="5" s="1"/>
  <c r="P879" i="5"/>
  <c r="AU879" i="5" s="1"/>
  <c r="P976" i="5"/>
  <c r="AU976" i="5" s="1"/>
  <c r="P665" i="5"/>
  <c r="AU665" i="5" s="1"/>
  <c r="P947" i="5"/>
  <c r="AU947" i="5" s="1"/>
  <c r="P645" i="5"/>
  <c r="AU645" i="5" s="1"/>
  <c r="P564" i="5"/>
  <c r="AU564" i="5" s="1"/>
  <c r="P484" i="5"/>
  <c r="AU484" i="5" s="1"/>
  <c r="P905" i="5"/>
  <c r="AU905" i="5" s="1"/>
  <c r="P448" i="5"/>
  <c r="AU448" i="5" s="1"/>
  <c r="P527" i="5"/>
  <c r="AU527" i="5" s="1"/>
  <c r="P500" i="5"/>
  <c r="AU500" i="5" s="1"/>
  <c r="P868" i="5"/>
  <c r="AU868" i="5" s="1"/>
  <c r="P720" i="5"/>
  <c r="AU720" i="5" s="1"/>
  <c r="P530" i="5"/>
  <c r="AU530" i="5" s="1"/>
  <c r="P550" i="5"/>
  <c r="AU550" i="5" s="1"/>
  <c r="P654" i="5"/>
  <c r="AU654" i="5" s="1"/>
  <c r="P384" i="5"/>
  <c r="AU384" i="5" s="1"/>
  <c r="P896" i="5"/>
  <c r="AU896" i="5" s="1"/>
  <c r="P776" i="5"/>
  <c r="AU776" i="5" s="1"/>
  <c r="P638" i="5"/>
  <c r="AU638" i="5" s="1"/>
  <c r="P536" i="5"/>
  <c r="AU536" i="5" s="1"/>
  <c r="P901" i="5"/>
  <c r="AU901" i="5" s="1"/>
  <c r="P552" i="5"/>
  <c r="AU552" i="5" s="1"/>
  <c r="P562" i="5"/>
  <c r="AU562" i="5" s="1"/>
  <c r="P577" i="5"/>
  <c r="AU577" i="5" s="1"/>
  <c r="P538" i="5"/>
  <c r="AU538" i="5" s="1"/>
  <c r="P522" i="5"/>
  <c r="AU522" i="5" s="1"/>
  <c r="P558" i="5"/>
  <c r="AU558" i="5" s="1"/>
  <c r="P587" i="5"/>
  <c r="AU587" i="5" s="1"/>
  <c r="P540" i="5"/>
  <c r="AU540" i="5" s="1"/>
  <c r="P548" i="5"/>
  <c r="AU548" i="5" s="1"/>
  <c r="P490" i="5"/>
  <c r="AU490" i="5" s="1"/>
  <c r="P505" i="5"/>
  <c r="AU505" i="5" s="1"/>
  <c r="P486" i="5"/>
  <c r="AU486" i="5" s="1"/>
  <c r="P501" i="5"/>
  <c r="AU501" i="5" s="1"/>
  <c r="P402" i="5"/>
  <c r="AU402" i="5" s="1"/>
  <c r="P592" i="5"/>
  <c r="AU592" i="5" s="1"/>
  <c r="P504" i="5"/>
  <c r="AU504" i="5" s="1"/>
  <c r="P503" i="5"/>
  <c r="AU503" i="5" s="1"/>
  <c r="P481" i="5"/>
  <c r="AU481" i="5" s="1"/>
  <c r="P1078" i="5"/>
  <c r="AU1078" i="5" s="1"/>
  <c r="P572" i="5"/>
  <c r="AU572" i="5" s="1"/>
  <c r="P581" i="5"/>
  <c r="AU581" i="5" s="1"/>
  <c r="P929" i="5"/>
  <c r="AU929" i="5" s="1"/>
  <c r="P521" i="5"/>
  <c r="AU521" i="5" s="1"/>
  <c r="P533" i="5"/>
  <c r="AU533" i="5" s="1"/>
  <c r="P496" i="5"/>
  <c r="AU496" i="5" s="1"/>
  <c r="P478" i="5"/>
  <c r="AU478" i="5" s="1"/>
  <c r="P678" i="5"/>
  <c r="AU678" i="5" s="1"/>
  <c r="P492" i="5"/>
  <c r="AU492" i="5" s="1"/>
  <c r="P669" i="5"/>
  <c r="AU669" i="5" s="1"/>
  <c r="P892" i="5"/>
  <c r="AU892" i="5" s="1"/>
  <c r="P675" i="5"/>
  <c r="AU675" i="5" s="1"/>
  <c r="P294" i="5"/>
  <c r="AU294" i="5" s="1"/>
  <c r="P267" i="5"/>
  <c r="AU267" i="5" s="1"/>
  <c r="P301" i="5"/>
  <c r="AU301" i="5" s="1"/>
  <c r="P298" i="5"/>
  <c r="AU298" i="5" s="1"/>
  <c r="P300" i="5"/>
  <c r="AU300" i="5" s="1"/>
  <c r="P299" i="5"/>
  <c r="AU299" i="5" s="1"/>
  <c r="P532" i="5"/>
  <c r="AU532" i="5" s="1"/>
  <c r="P1077" i="5"/>
  <c r="AU1077" i="5" s="1"/>
  <c r="P653" i="5"/>
  <c r="AU653" i="5" s="1"/>
  <c r="P546" i="5"/>
  <c r="AU546" i="5" s="1"/>
  <c r="P487" i="5"/>
  <c r="AU487" i="5" s="1"/>
  <c r="P452" i="5"/>
  <c r="AU452" i="5" s="1"/>
  <c r="P335" i="5"/>
  <c r="AU335" i="5" s="1"/>
  <c r="P541" i="5"/>
  <c r="AU541" i="5" s="1"/>
  <c r="P454" i="5"/>
  <c r="AU454" i="5" s="1"/>
  <c r="P380" i="5"/>
  <c r="AU380" i="5" s="1"/>
  <c r="P355" i="5"/>
  <c r="AU355" i="5" s="1"/>
  <c r="P354" i="5"/>
  <c r="AU354" i="5" s="1"/>
  <c r="P356" i="5"/>
  <c r="AU356" i="5" s="1"/>
  <c r="P353" i="5"/>
  <c r="AU353" i="5" s="1"/>
  <c r="P358" i="5"/>
  <c r="AU358" i="5" s="1"/>
  <c r="P357" i="5"/>
  <c r="AU357" i="5" s="1"/>
  <c r="P488" i="5"/>
  <c r="AU488" i="5" s="1"/>
  <c r="P655" i="5"/>
  <c r="AU655" i="5" s="1"/>
  <c r="P956" i="5"/>
  <c r="AU956" i="5" s="1"/>
  <c r="P583" i="5"/>
  <c r="AU583" i="5" s="1"/>
  <c r="P553" i="5"/>
  <c r="AU553" i="5" s="1"/>
  <c r="P593" i="5"/>
  <c r="AU593" i="5" s="1"/>
  <c r="P586" i="5"/>
  <c r="AU586" i="5" s="1"/>
  <c r="P531" i="5"/>
  <c r="AU531" i="5" s="1"/>
  <c r="P594" i="5"/>
  <c r="AU594" i="5" s="1"/>
  <c r="P557" i="5"/>
  <c r="AU557" i="5" s="1"/>
  <c r="P575" i="5"/>
  <c r="AU575" i="5" s="1"/>
  <c r="P493" i="5"/>
  <c r="AU493" i="5" s="1"/>
  <c r="P483" i="5"/>
  <c r="AU483" i="5" s="1"/>
  <c r="P482" i="5"/>
  <c r="AU482" i="5" s="1"/>
  <c r="P480" i="5"/>
  <c r="AU480" i="5" s="1"/>
  <c r="P485" i="5"/>
  <c r="AU485" i="5" s="1"/>
  <c r="P489" i="5"/>
  <c r="AU489" i="5" s="1"/>
  <c r="P502" i="5"/>
  <c r="AU502" i="5" s="1"/>
  <c r="P660" i="5"/>
  <c r="AU660" i="5" s="1"/>
  <c r="P679" i="5"/>
  <c r="AU679" i="5" s="1"/>
  <c r="P640" i="5"/>
  <c r="AU640" i="5" s="1"/>
  <c r="P672" i="5"/>
  <c r="AU672" i="5" s="1"/>
  <c r="P639" i="5"/>
  <c r="AU639" i="5" s="1"/>
  <c r="P597" i="5"/>
  <c r="AU597" i="5" s="1"/>
  <c r="P542" i="5"/>
  <c r="AU542" i="5" s="1"/>
  <c r="P588" i="5"/>
  <c r="AU588" i="5" s="1"/>
  <c r="P585" i="5"/>
  <c r="AU585" i="5" s="1"/>
  <c r="P555" i="5"/>
  <c r="AU555" i="5" s="1"/>
  <c r="P582" i="5"/>
  <c r="AU582" i="5" s="1"/>
  <c r="P547" i="5"/>
  <c r="AU547" i="5" s="1"/>
  <c r="P590" i="5"/>
  <c r="AU590" i="5" s="1"/>
  <c r="P497" i="5"/>
  <c r="AU497" i="5" s="1"/>
  <c r="P632" i="5"/>
  <c r="AU632" i="5" s="1"/>
  <c r="P648" i="5"/>
  <c r="AU648" i="5" s="1"/>
  <c r="P539" i="5"/>
  <c r="AU539" i="5" s="1"/>
  <c r="P574" i="5"/>
  <c r="AU574" i="5" s="1"/>
  <c r="P579" i="5"/>
  <c r="AU579" i="5" s="1"/>
  <c r="P685" i="5"/>
  <c r="AU685" i="5" s="1"/>
  <c r="P664" i="5"/>
  <c r="AU664" i="5" s="1"/>
  <c r="P563" i="5"/>
  <c r="AU563" i="5" s="1"/>
  <c r="P524" i="5"/>
  <c r="AU524" i="5" s="1"/>
  <c r="P757" i="5"/>
  <c r="AU757" i="5" s="1"/>
  <c r="P651" i="5"/>
  <c r="AU651" i="5" s="1"/>
  <c r="P932" i="5"/>
  <c r="AU932" i="5" s="1"/>
  <c r="P405" i="5"/>
  <c r="AU405" i="5" s="1"/>
  <c r="P409" i="5"/>
  <c r="AU409" i="5" s="1"/>
  <c r="P878" i="5"/>
  <c r="AU878" i="5" s="1"/>
  <c r="P636" i="5"/>
  <c r="AU636" i="5" s="1"/>
  <c r="P495" i="5"/>
  <c r="AU495" i="5" s="1"/>
  <c r="P403" i="5"/>
  <c r="AU403" i="5" s="1"/>
  <c r="P681" i="5"/>
  <c r="AU681" i="5" s="1"/>
  <c r="P641" i="5"/>
  <c r="AU641" i="5" s="1"/>
  <c r="P406" i="5"/>
  <c r="AU406" i="5" s="1"/>
  <c r="P382" i="5"/>
  <c r="AU382" i="5" s="1"/>
  <c r="P404" i="5"/>
  <c r="AU404" i="5" s="1"/>
  <c r="P444" i="5"/>
  <c r="AU444" i="5" s="1"/>
  <c r="P494" i="5"/>
  <c r="AU494" i="5" s="1"/>
  <c r="P445" i="5"/>
  <c r="AU445" i="5" s="1"/>
  <c r="P441" i="5"/>
  <c r="AU441" i="5" s="1"/>
  <c r="P459" i="5"/>
  <c r="AU459" i="5" s="1"/>
  <c r="P449" i="5"/>
  <c r="AU449" i="5" s="1"/>
  <c r="P446" i="5"/>
  <c r="AU446" i="5" s="1"/>
  <c r="P457" i="5"/>
  <c r="AU457" i="5" s="1"/>
  <c r="P447" i="5"/>
  <c r="AU447" i="5" s="1"/>
  <c r="P458" i="5"/>
  <c r="AU458" i="5" s="1"/>
  <c r="P440" i="5"/>
  <c r="AU440" i="5" s="1"/>
  <c r="P460" i="5"/>
  <c r="AU460" i="5" s="1"/>
  <c r="P450" i="5"/>
  <c r="AU450" i="5" s="1"/>
  <c r="P415" i="5"/>
  <c r="AU415" i="5" s="1"/>
  <c r="P383" i="5"/>
  <c r="AU383" i="5" s="1"/>
  <c r="P1076" i="5"/>
  <c r="AU1076" i="5" s="1"/>
  <c r="P666" i="5"/>
  <c r="AU666" i="5" s="1"/>
  <c r="P867" i="5"/>
  <c r="AU867" i="5" s="1"/>
  <c r="P659" i="5"/>
  <c r="AU659" i="5" s="1"/>
  <c r="P673" i="5"/>
  <c r="AU673" i="5" s="1"/>
  <c r="P545" i="5"/>
  <c r="AU545" i="5" s="1"/>
  <c r="P945" i="5"/>
  <c r="AU945" i="5" s="1"/>
  <c r="P906" i="5"/>
  <c r="AU906" i="5" s="1"/>
  <c r="P972" i="5"/>
  <c r="AU972" i="5" s="1"/>
  <c r="P1062" i="5"/>
  <c r="AU1062" i="5" s="1"/>
  <c r="P1040" i="5"/>
  <c r="AU1040" i="5" s="1"/>
  <c r="P957" i="5"/>
  <c r="AU957" i="5" s="1"/>
  <c r="P268" i="5"/>
  <c r="AU268" i="5" s="1"/>
  <c r="P290" i="5"/>
  <c r="AU290" i="5" s="1"/>
  <c r="P285" i="5"/>
  <c r="AU285" i="5" s="1"/>
  <c r="P970" i="5"/>
  <c r="AU970" i="5" s="1"/>
  <c r="P1265" i="5"/>
  <c r="AU1265" i="5" s="1"/>
  <c r="P933" i="5"/>
  <c r="AU933" i="5" s="1"/>
  <c r="P748" i="5"/>
  <c r="AU748" i="5" s="1"/>
  <c r="P930" i="5"/>
  <c r="AU930" i="5" s="1"/>
  <c r="P958" i="5"/>
  <c r="AU958" i="5" s="1"/>
  <c r="P713" i="5"/>
  <c r="AU713" i="5" s="1"/>
  <c r="P534" i="5"/>
  <c r="AU534" i="5" s="1"/>
  <c r="P288" i="5"/>
  <c r="AU288" i="5" s="1"/>
  <c r="P333" i="5"/>
  <c r="AU333" i="5" s="1"/>
  <c r="P336" i="5"/>
  <c r="AU336" i="5" s="1"/>
  <c r="P295" i="5"/>
  <c r="AU295" i="5" s="1"/>
  <c r="P334" i="5"/>
  <c r="AU334" i="5" s="1"/>
  <c r="P416" i="5"/>
  <c r="AU416" i="5" s="1"/>
  <c r="P439" i="5"/>
  <c r="AU439" i="5" s="1"/>
  <c r="P894" i="5"/>
  <c r="AU894" i="5" s="1"/>
  <c r="P871" i="5"/>
  <c r="AU871" i="5" s="1"/>
  <c r="P931" i="5"/>
  <c r="AU931" i="5" s="1"/>
  <c r="P893" i="5"/>
  <c r="AU893" i="5" s="1"/>
  <c r="P940" i="5"/>
  <c r="AU940" i="5" s="1"/>
  <c r="P537" i="5"/>
  <c r="AU537" i="5" s="1"/>
  <c r="P902" i="5"/>
  <c r="AU902" i="5" s="1"/>
  <c r="P745" i="5"/>
  <c r="AU745" i="5" s="1"/>
  <c r="P971" i="5"/>
  <c r="AU971" i="5" s="1"/>
  <c r="P773" i="5"/>
  <c r="AU773" i="5" s="1"/>
  <c r="P741" i="5"/>
  <c r="AU741" i="5" s="1"/>
  <c r="P918" i="5"/>
  <c r="AU918" i="5" s="1"/>
  <c r="P442" i="5"/>
  <c r="AU442" i="5" s="1"/>
  <c r="P884" i="5"/>
  <c r="AU884" i="5" s="1"/>
  <c r="P880" i="5"/>
  <c r="AU880" i="5" s="1"/>
  <c r="P907" i="5"/>
  <c r="AU907" i="5" s="1"/>
  <c r="P887" i="5"/>
  <c r="AU887" i="5" s="1"/>
  <c r="P709" i="5"/>
  <c r="AU709" i="5" s="1"/>
  <c r="P728" i="5"/>
  <c r="AU728" i="5" s="1"/>
  <c r="P900" i="5"/>
  <c r="AU900" i="5" s="1"/>
  <c r="P413" i="5"/>
  <c r="AU413" i="5" s="1"/>
  <c r="P874" i="5"/>
  <c r="AU874" i="5" s="1"/>
  <c r="P1298" i="5"/>
  <c r="AU1298" i="5" s="1"/>
  <c r="P889" i="5"/>
  <c r="AU889" i="5" s="1"/>
  <c r="P762" i="5"/>
  <c r="AU762" i="5" s="1"/>
  <c r="P920" i="5"/>
  <c r="AU920" i="5" s="1"/>
  <c r="P936" i="5"/>
  <c r="AU936" i="5" s="1"/>
  <c r="P477" i="5"/>
  <c r="AU477" i="5" s="1"/>
  <c r="P723" i="5"/>
  <c r="AU723" i="5" s="1"/>
  <c r="P455" i="5"/>
  <c r="AU455" i="5" s="1"/>
  <c r="P453" i="5"/>
  <c r="AU453" i="5" s="1"/>
  <c r="P443" i="5"/>
  <c r="AU443" i="5" s="1"/>
  <c r="P461" i="5"/>
  <c r="AU461" i="5" s="1"/>
  <c r="P407" i="5"/>
  <c r="AU407" i="5" s="1"/>
  <c r="P414" i="5"/>
  <c r="AU414" i="5" s="1"/>
  <c r="P417" i="5"/>
  <c r="AU417" i="5" s="1"/>
  <c r="P419" i="5"/>
  <c r="AU419" i="5" s="1"/>
  <c r="P873" i="5"/>
  <c r="AU873" i="5" s="1"/>
  <c r="P959" i="5"/>
  <c r="AU959" i="5" s="1"/>
  <c r="P707" i="5"/>
  <c r="AU707" i="5" s="1"/>
  <c r="P381" i="5"/>
  <c r="AU381" i="5" s="1"/>
  <c r="P338" i="5"/>
  <c r="AU338" i="5" s="1"/>
  <c r="P734" i="5"/>
  <c r="AU734" i="5" s="1"/>
  <c r="P573" i="5"/>
  <c r="AU573" i="5" s="1"/>
  <c r="P811" i="5"/>
  <c r="AU811" i="5" s="1"/>
  <c r="P604" i="5"/>
  <c r="AU604" i="5" s="1"/>
  <c r="P818" i="5"/>
  <c r="AU818" i="5" s="1"/>
  <c r="P463" i="5"/>
  <c r="AU463" i="5" s="1"/>
  <c r="P799" i="5"/>
  <c r="AU799" i="5" s="1"/>
  <c r="P820" i="5"/>
  <c r="AU820" i="5" s="1"/>
  <c r="P988" i="5"/>
  <c r="AU988" i="5" s="1"/>
  <c r="P822" i="5"/>
  <c r="AU822" i="5" s="1"/>
  <c r="P793" i="5"/>
  <c r="AU793" i="5" s="1"/>
  <c r="P812" i="5"/>
  <c r="AU812" i="5" s="1"/>
  <c r="P1267" i="5"/>
  <c r="AU1267" i="5" s="1"/>
  <c r="P781" i="5"/>
  <c r="AU781" i="5" s="1"/>
  <c r="P807" i="5"/>
  <c r="AU807" i="5" s="1"/>
  <c r="P1002" i="5"/>
  <c r="AU1002" i="5" s="1"/>
  <c r="P987" i="5"/>
  <c r="AU987" i="5" s="1"/>
  <c r="P1000" i="5"/>
  <c r="AU1000" i="5" s="1"/>
  <c r="P423" i="5"/>
  <c r="AU423" i="5" s="1"/>
  <c r="P421" i="5"/>
  <c r="AU421" i="5" s="1"/>
  <c r="P385" i="5"/>
  <c r="AU385" i="5" s="1"/>
  <c r="P360" i="5"/>
  <c r="AU360" i="5" s="1"/>
  <c r="P359" i="5"/>
  <c r="AU359" i="5" s="1"/>
  <c r="P224" i="5"/>
  <c r="AU224" i="5" s="1"/>
  <c r="P1016" i="5"/>
  <c r="AU1016" i="5" s="1"/>
  <c r="P1019" i="5"/>
  <c r="AU1019" i="5" s="1"/>
  <c r="P982" i="5"/>
  <c r="AU982" i="5" s="1"/>
  <c r="P978" i="5"/>
  <c r="AU978" i="5" s="1"/>
  <c r="P981" i="5"/>
  <c r="AU981" i="5" s="1"/>
  <c r="P993" i="5"/>
  <c r="AU993" i="5" s="1"/>
  <c r="P1006" i="5"/>
  <c r="AU1006" i="5" s="1"/>
  <c r="P1011" i="5"/>
  <c r="AU1011" i="5" s="1"/>
  <c r="P1007" i="5"/>
  <c r="AU1007" i="5" s="1"/>
  <c r="P999" i="5"/>
  <c r="AU999" i="5" s="1"/>
  <c r="P1014" i="5"/>
  <c r="AU1014" i="5" s="1"/>
  <c r="P979" i="5"/>
  <c r="AU979" i="5" s="1"/>
  <c r="P1017" i="5"/>
  <c r="AU1017" i="5" s="1"/>
  <c r="P603" i="5"/>
  <c r="AU603" i="5" s="1"/>
  <c r="P1003" i="5"/>
  <c r="AU1003" i="5" s="1"/>
  <c r="P792" i="5"/>
  <c r="AU792" i="5" s="1"/>
  <c r="P995" i="5"/>
  <c r="AU995" i="5" s="1"/>
  <c r="P790" i="5"/>
  <c r="AU790" i="5" s="1"/>
  <c r="P508" i="5"/>
  <c r="AU508" i="5" s="1"/>
  <c r="P794" i="5"/>
  <c r="AU794" i="5" s="1"/>
  <c r="P1013" i="5"/>
  <c r="AU1013" i="5" s="1"/>
  <c r="P606" i="5"/>
  <c r="AU606" i="5" s="1"/>
  <c r="P780" i="5"/>
  <c r="AU780" i="5" s="1"/>
  <c r="P1268" i="5"/>
  <c r="AU1268" i="5" s="1"/>
  <c r="P309" i="5"/>
  <c r="AU309" i="5" s="1"/>
  <c r="P306" i="5"/>
  <c r="AU306" i="5" s="1"/>
  <c r="P280" i="5"/>
  <c r="AU280" i="5" s="1"/>
  <c r="P272" i="5"/>
  <c r="AU272" i="5" s="1"/>
  <c r="P821" i="5"/>
  <c r="AU821" i="5" s="1"/>
  <c r="P599" i="5"/>
  <c r="AU599" i="5" s="1"/>
  <c r="P600" i="5"/>
  <c r="AU600" i="5" s="1"/>
  <c r="P798" i="5"/>
  <c r="AU798" i="5" s="1"/>
  <c r="P1012" i="5"/>
  <c r="AU1012" i="5" s="1"/>
  <c r="P687" i="5"/>
  <c r="AU687" i="5" s="1"/>
  <c r="P691" i="5"/>
  <c r="AU691" i="5" s="1"/>
  <c r="P692" i="5"/>
  <c r="AU692" i="5" s="1"/>
  <c r="P598" i="5"/>
  <c r="AU598" i="5" s="1"/>
  <c r="P605" i="5"/>
  <c r="AU605" i="5" s="1"/>
  <c r="P466" i="5"/>
  <c r="AU466" i="5" s="1"/>
  <c r="P1008" i="5"/>
  <c r="AU1008" i="5" s="1"/>
  <c r="P809" i="5"/>
  <c r="AU809" i="5" s="1"/>
  <c r="P601" i="5"/>
  <c r="AU601" i="5" s="1"/>
  <c r="P985" i="5"/>
  <c r="AU985" i="5" s="1"/>
  <c r="P361" i="5"/>
  <c r="AU361" i="5" s="1"/>
  <c r="P314" i="5"/>
  <c r="AU314" i="5" s="1"/>
  <c r="P788" i="5"/>
  <c r="AU788" i="5" s="1"/>
  <c r="P803" i="5"/>
  <c r="AU803" i="5" s="1"/>
  <c r="P778" i="5"/>
  <c r="AU778" i="5" s="1"/>
  <c r="P271" i="5"/>
  <c r="AU271" i="5" s="1"/>
  <c r="P270" i="5"/>
  <c r="AU270" i="5" s="1"/>
  <c r="P312" i="5"/>
  <c r="AU312" i="5" s="1"/>
  <c r="P994" i="5"/>
  <c r="AU994" i="5" s="1"/>
  <c r="P796" i="5"/>
  <c r="AU796" i="5" s="1"/>
  <c r="P801" i="5"/>
  <c r="AU801" i="5" s="1"/>
  <c r="P602" i="5"/>
  <c r="AU602" i="5" s="1"/>
  <c r="P783" i="5"/>
  <c r="AU783" i="5" s="1"/>
  <c r="P806" i="5"/>
  <c r="AU806" i="5" s="1"/>
  <c r="P340" i="5"/>
  <c r="AU340" i="5" s="1"/>
  <c r="P422" i="5"/>
  <c r="AU422" i="5" s="1"/>
  <c r="P782" i="5"/>
  <c r="AU782" i="5" s="1"/>
  <c r="P308" i="5"/>
  <c r="AU308" i="5" s="1"/>
  <c r="P276" i="5"/>
  <c r="AU276" i="5" s="1"/>
  <c r="P269" i="5"/>
  <c r="AU269" i="5" s="1"/>
  <c r="P273" i="5"/>
  <c r="AU273" i="5" s="1"/>
  <c r="P274" i="5"/>
  <c r="AU274" i="5" s="1"/>
  <c r="P279" i="5"/>
  <c r="AU279" i="5" s="1"/>
  <c r="P277" i="5"/>
  <c r="AU277" i="5" s="1"/>
  <c r="P275" i="5"/>
  <c r="AU275" i="5" s="1"/>
  <c r="P823" i="5"/>
  <c r="AU823" i="5" s="1"/>
  <c r="P779" i="5"/>
  <c r="AU779" i="5" s="1"/>
  <c r="P278" i="5"/>
  <c r="AU278" i="5" s="1"/>
  <c r="P800" i="5"/>
  <c r="AU800" i="5" s="1"/>
  <c r="P996" i="5"/>
  <c r="AU996" i="5" s="1"/>
  <c r="P1033" i="5"/>
  <c r="AU1033" i="5" s="1"/>
  <c r="P468" i="5"/>
  <c r="AU468" i="5" s="1"/>
  <c r="P315" i="5"/>
  <c r="AU315" i="5" s="1"/>
  <c r="P281" i="5"/>
  <c r="AU281" i="5" s="1"/>
  <c r="P824" i="5"/>
  <c r="AU824" i="5" s="1"/>
  <c r="P465" i="5"/>
  <c r="AU465" i="5" s="1"/>
  <c r="P827" i="5"/>
  <c r="AU827" i="5" s="1"/>
  <c r="P802" i="5"/>
  <c r="AU802" i="5" s="1"/>
  <c r="P814" i="5"/>
  <c r="AU814" i="5" s="1"/>
  <c r="P816" i="5"/>
  <c r="AU816" i="5" s="1"/>
  <c r="P1001" i="5"/>
  <c r="AU1001" i="5" s="1"/>
  <c r="P690" i="5"/>
  <c r="AU690" i="5" s="1"/>
  <c r="P819" i="5"/>
  <c r="AU819" i="5" s="1"/>
  <c r="P828" i="5"/>
  <c r="AU828" i="5" s="1"/>
  <c r="P777" i="5"/>
  <c r="AU777" i="5" s="1"/>
  <c r="P797" i="5"/>
  <c r="AU797" i="5" s="1"/>
  <c r="P791" i="5"/>
  <c r="AU791" i="5" s="1"/>
  <c r="P1004" i="5"/>
  <c r="AU1004" i="5" s="1"/>
  <c r="P813" i="5"/>
  <c r="AU813" i="5" s="1"/>
  <c r="P1069" i="5"/>
  <c r="AU1069" i="5" s="1"/>
  <c r="P1041" i="5"/>
  <c r="AU1041" i="5" s="1"/>
  <c r="P784" i="5"/>
  <c r="AU784" i="5" s="1"/>
  <c r="P787" i="5"/>
  <c r="AU787" i="5" s="1"/>
  <c r="P825" i="5"/>
  <c r="AU825" i="5" s="1"/>
  <c r="P1266" i="5"/>
  <c r="AU1266" i="5" s="1"/>
  <c r="P313" i="5"/>
  <c r="AU313" i="5" s="1"/>
  <c r="P310" i="5"/>
  <c r="AU310" i="5" s="1"/>
  <c r="P304" i="5"/>
  <c r="AU304" i="5" s="1"/>
  <c r="P307" i="5"/>
  <c r="AU307" i="5" s="1"/>
  <c r="P305" i="5"/>
  <c r="AU305" i="5" s="1"/>
  <c r="P303" i="5"/>
  <c r="AU303" i="5" s="1"/>
  <c r="P311" i="5"/>
  <c r="AU311" i="5" s="1"/>
  <c r="P302" i="5"/>
  <c r="AU302" i="5" s="1"/>
  <c r="P992" i="5"/>
  <c r="AU992" i="5" s="1"/>
  <c r="P990" i="5"/>
  <c r="AU990" i="5" s="1"/>
  <c r="P1009" i="5"/>
  <c r="AU1009" i="5" s="1"/>
  <c r="P785" i="5"/>
  <c r="AU785" i="5" s="1"/>
  <c r="P795" i="5"/>
  <c r="AU795" i="5" s="1"/>
  <c r="P789" i="5"/>
  <c r="AU789" i="5" s="1"/>
  <c r="P804" i="5"/>
  <c r="AU804" i="5" s="1"/>
  <c r="P786" i="5"/>
  <c r="AU786" i="5" s="1"/>
  <c r="P817" i="5"/>
  <c r="AU817" i="5" s="1"/>
  <c r="P689" i="5"/>
  <c r="AU689" i="5" s="1"/>
  <c r="P991" i="5"/>
  <c r="AU991" i="5" s="1"/>
  <c r="P805" i="5"/>
  <c r="AU805" i="5" s="1"/>
  <c r="P808" i="5"/>
  <c r="AU808" i="5" s="1"/>
  <c r="P997" i="5"/>
  <c r="AU997" i="5" s="1"/>
  <c r="P1299" i="5"/>
  <c r="AU1299" i="5" s="1"/>
  <c r="P1010" i="5"/>
  <c r="AU1010" i="5" s="1"/>
  <c r="P986" i="5"/>
  <c r="AU986" i="5" s="1"/>
  <c r="P989" i="5"/>
  <c r="AU989" i="5" s="1"/>
  <c r="P998" i="5"/>
  <c r="AU998" i="5" s="1"/>
  <c r="P1083" i="5"/>
  <c r="AU1083" i="5" s="1"/>
  <c r="P1079" i="5"/>
  <c r="AU1079" i="5" s="1"/>
  <c r="P1064" i="5"/>
  <c r="AU1064" i="5" s="1"/>
  <c r="P507" i="5"/>
  <c r="AU507" i="5" s="1"/>
  <c r="P826" i="5"/>
  <c r="AU826" i="5" s="1"/>
  <c r="P815" i="5"/>
  <c r="AU815" i="5" s="1"/>
  <c r="P688" i="5"/>
  <c r="AU688" i="5" s="1"/>
  <c r="P693" i="5"/>
  <c r="AU693" i="5" s="1"/>
  <c r="P983" i="5"/>
  <c r="AU983" i="5" s="1"/>
  <c r="P1018" i="5"/>
  <c r="AU1018" i="5" s="1"/>
  <c r="P610" i="5"/>
  <c r="AU610" i="5" s="1"/>
  <c r="P1015" i="5"/>
  <c r="AU1015" i="5" s="1"/>
  <c r="P420" i="5"/>
  <c r="AU420" i="5" s="1"/>
  <c r="P984" i="5"/>
  <c r="AU984" i="5" s="1"/>
  <c r="P1005" i="5"/>
  <c r="AU1005" i="5" s="1"/>
  <c r="P609" i="5"/>
  <c r="AU609" i="5" s="1"/>
  <c r="P980" i="5"/>
  <c r="AU980" i="5" s="1"/>
  <c r="P467" i="5"/>
  <c r="AU467" i="5" s="1"/>
  <c r="P607" i="5"/>
  <c r="AU607" i="5" s="1"/>
  <c r="P608" i="5"/>
  <c r="AU608" i="5" s="1"/>
  <c r="P509" i="5"/>
  <c r="AU509" i="5" s="1"/>
  <c r="P464" i="5"/>
  <c r="AU464" i="5" s="1"/>
  <c r="P362" i="5"/>
  <c r="AU362" i="5" s="1"/>
  <c r="P810" i="5"/>
  <c r="AU810" i="5" s="1"/>
  <c r="P462" i="5"/>
  <c r="AU462" i="5" s="1"/>
  <c r="P506" i="5"/>
  <c r="AU506" i="5" s="1"/>
  <c r="P1327" i="5"/>
  <c r="AU1327" i="5" s="1"/>
  <c r="P1021" i="5"/>
  <c r="AU1021" i="5" s="1"/>
  <c r="P696" i="5"/>
  <c r="AU696" i="5" s="1"/>
  <c r="P697" i="5"/>
  <c r="AU697" i="5" s="1"/>
  <c r="P694" i="5"/>
  <c r="AU694" i="5" s="1"/>
  <c r="P469" i="5"/>
  <c r="AU469" i="5" s="1"/>
  <c r="P831" i="5"/>
  <c r="AU831" i="5" s="1"/>
  <c r="P317" i="5"/>
  <c r="AU317" i="5" s="1"/>
  <c r="P830" i="5"/>
  <c r="AU830" i="5" s="1"/>
  <c r="P618" i="5"/>
  <c r="AU618" i="5" s="1"/>
  <c r="P620" i="5"/>
  <c r="AU620" i="5" s="1"/>
  <c r="P617" i="5"/>
  <c r="AU617" i="5" s="1"/>
  <c r="P613" i="5"/>
  <c r="AU613" i="5" s="1"/>
  <c r="P615" i="5"/>
  <c r="AU615" i="5" s="1"/>
  <c r="P619" i="5"/>
  <c r="AU619" i="5" s="1"/>
  <c r="P318" i="5"/>
  <c r="AU318" i="5" s="1"/>
  <c r="P316" i="5"/>
  <c r="AU316" i="5" s="1"/>
  <c r="P319" i="5"/>
  <c r="AU319" i="5" s="1"/>
  <c r="P832" i="5"/>
  <c r="AU832" i="5" s="1"/>
  <c r="P1070" i="5"/>
  <c r="AU1070" i="5" s="1"/>
  <c r="P324" i="5"/>
  <c r="AU324" i="5" s="1"/>
  <c r="P329" i="5"/>
  <c r="AU329" i="5" s="1"/>
  <c r="P326" i="5"/>
  <c r="AU326" i="5" s="1"/>
  <c r="P1020" i="5"/>
  <c r="AU1020" i="5" s="1"/>
  <c r="P392" i="5"/>
  <c r="AU392" i="5" s="1"/>
  <c r="P427" i="5"/>
  <c r="AU427" i="5" s="1"/>
  <c r="P1093" i="5"/>
  <c r="AU1093" i="5" s="1"/>
  <c r="P429" i="5"/>
  <c r="AU429" i="5" s="1"/>
  <c r="P426" i="5"/>
  <c r="AU426" i="5" s="1"/>
  <c r="P398" i="5"/>
  <c r="AU398" i="5" s="1"/>
  <c r="P399" i="5"/>
  <c r="AU399" i="5" s="1"/>
  <c r="P394" i="5"/>
  <c r="AU394" i="5" s="1"/>
  <c r="P389" i="5"/>
  <c r="AU389" i="5" s="1"/>
  <c r="P390" i="5"/>
  <c r="AU390" i="5" s="1"/>
  <c r="P393" i="5"/>
  <c r="AU393" i="5" s="1"/>
  <c r="P367" i="5"/>
  <c r="AU367" i="5" s="1"/>
  <c r="P375" i="5"/>
  <c r="AU375" i="5" s="1"/>
  <c r="P374" i="5"/>
  <c r="AU374" i="5" s="1"/>
  <c r="P372" i="5"/>
  <c r="AU372" i="5" s="1"/>
  <c r="P363" i="5"/>
  <c r="AU363" i="5" s="1"/>
  <c r="P373" i="5"/>
  <c r="AU373" i="5" s="1"/>
  <c r="P365" i="5"/>
  <c r="AU365" i="5" s="1"/>
  <c r="P369" i="5"/>
  <c r="AU369" i="5" s="1"/>
  <c r="P370" i="5"/>
  <c r="AU370" i="5" s="1"/>
  <c r="P424" i="5"/>
  <c r="AU424" i="5" s="1"/>
  <c r="P425" i="5"/>
  <c r="AU425" i="5" s="1"/>
  <c r="P611" i="5"/>
  <c r="AU611" i="5" s="1"/>
  <c r="P366" i="5"/>
  <c r="AU366" i="5" s="1"/>
  <c r="P345" i="5"/>
  <c r="AU345" i="5" s="1"/>
  <c r="P348" i="5"/>
  <c r="AU348" i="5" s="1"/>
  <c r="P328" i="5"/>
  <c r="AU328" i="5" s="1"/>
  <c r="P1106" i="5"/>
  <c r="AU1106" i="5" s="1"/>
  <c r="P349" i="5"/>
  <c r="AU349" i="5" s="1"/>
  <c r="P343" i="5"/>
  <c r="AU343" i="5" s="1"/>
  <c r="P327" i="5"/>
  <c r="AU327" i="5" s="1"/>
  <c r="P833" i="5"/>
  <c r="AU833" i="5" s="1"/>
  <c r="P428" i="5"/>
  <c r="AU428" i="5" s="1"/>
  <c r="P1343" i="5"/>
  <c r="AU1343" i="5" s="1"/>
  <c r="P1300" i="5"/>
  <c r="AU1300" i="5" s="1"/>
  <c r="P1301" i="5"/>
  <c r="AU1301" i="5" s="1"/>
  <c r="P1209" i="5"/>
  <c r="AU1209" i="5" s="1"/>
  <c r="P1197" i="5"/>
  <c r="AU1197" i="5" s="1"/>
  <c r="P1115" i="5"/>
  <c r="AU1115" i="5" s="1"/>
  <c r="P1053" i="5"/>
  <c r="AU1053" i="5" s="1"/>
  <c r="P43" i="5"/>
  <c r="AU43" i="5" s="1"/>
  <c r="P1302" i="5"/>
  <c r="AU1302" i="5" s="1"/>
  <c r="P511" i="5"/>
  <c r="AU511" i="5" s="1"/>
  <c r="P512" i="5"/>
  <c r="AU512" i="5" s="1"/>
  <c r="P510" i="5"/>
  <c r="AU510" i="5" s="1"/>
  <c r="P470" i="5"/>
  <c r="AU470" i="5" s="1"/>
  <c r="P471" i="5"/>
  <c r="AU471" i="5" s="1"/>
  <c r="P472" i="5"/>
  <c r="AU472" i="5" s="1"/>
  <c r="P1236" i="5"/>
  <c r="AU1236" i="5" s="1"/>
  <c r="P695" i="5"/>
  <c r="AU695" i="5" s="1"/>
  <c r="P834" i="5"/>
  <c r="AU834" i="5" s="1"/>
  <c r="P1342" i="5"/>
  <c r="AU1342" i="5" s="1"/>
  <c r="P840" i="5"/>
  <c r="AU840" i="5" s="1"/>
  <c r="P395" i="5"/>
  <c r="AU395" i="5" s="1"/>
  <c r="P835" i="5"/>
  <c r="AU835" i="5" s="1"/>
  <c r="P839" i="5"/>
  <c r="AU839" i="5" s="1"/>
  <c r="P616" i="5"/>
  <c r="AU616" i="5" s="1"/>
  <c r="P1114" i="5"/>
  <c r="AU1114" i="5" s="1"/>
  <c r="P391" i="5"/>
  <c r="AU391" i="5" s="1"/>
  <c r="P387" i="5"/>
  <c r="AU387" i="5" s="1"/>
  <c r="P371" i="5"/>
  <c r="AU371" i="5" s="1"/>
  <c r="P364" i="5"/>
  <c r="AU364" i="5" s="1"/>
  <c r="P368" i="5"/>
  <c r="AU368" i="5" s="1"/>
  <c r="P376" i="5"/>
  <c r="AU376" i="5" s="1"/>
  <c r="P386" i="5"/>
  <c r="AU386" i="5" s="1"/>
  <c r="P1022" i="5"/>
  <c r="AU1022" i="5" s="1"/>
  <c r="P388" i="5"/>
  <c r="AU388" i="5" s="1"/>
  <c r="P321" i="5"/>
  <c r="AU321" i="5" s="1"/>
  <c r="P320" i="5"/>
  <c r="AU320" i="5" s="1"/>
  <c r="P325" i="5"/>
  <c r="AU325" i="5" s="1"/>
  <c r="P346" i="5"/>
  <c r="AU346" i="5" s="1"/>
  <c r="P396" i="5"/>
  <c r="AU396" i="5" s="1"/>
  <c r="P614" i="5"/>
  <c r="AU614" i="5" s="1"/>
  <c r="P837" i="5"/>
  <c r="AU837" i="5" s="1"/>
  <c r="P829" i="5"/>
  <c r="AU829" i="5" s="1"/>
  <c r="P838" i="5"/>
  <c r="AU838" i="5" s="1"/>
  <c r="P836" i="5"/>
  <c r="AU836" i="5" s="1"/>
  <c r="P1118" i="5"/>
  <c r="AU1118" i="5" s="1"/>
  <c r="P841" i="5"/>
  <c r="AU841" i="5" s="1"/>
  <c r="P1036" i="5"/>
  <c r="AU1036" i="5" s="1"/>
  <c r="P1103" i="5"/>
  <c r="AU1103" i="5" s="1"/>
  <c r="P344" i="5"/>
  <c r="AU344" i="5" s="1"/>
  <c r="P397" i="5"/>
  <c r="AU397" i="5" s="1"/>
  <c r="P347" i="5"/>
  <c r="AU347" i="5" s="1"/>
  <c r="P341" i="5"/>
  <c r="AU341" i="5" s="1"/>
  <c r="P342" i="5"/>
  <c r="AU342" i="5" s="1"/>
  <c r="P612" i="5"/>
  <c r="AU612" i="5" s="1"/>
  <c r="P1328" i="5"/>
  <c r="AU1328" i="5" s="1"/>
  <c r="P1344" i="5"/>
  <c r="AU1344" i="5" s="1"/>
  <c r="P1165" i="5"/>
  <c r="AU1165" i="5" s="1"/>
  <c r="P350" i="5"/>
  <c r="AU350" i="5" s="1"/>
  <c r="P330" i="5"/>
  <c r="AU330" i="5" s="1"/>
  <c r="P351" i="5"/>
  <c r="AU351" i="5" s="1"/>
  <c r="P1071" i="5"/>
  <c r="AU1071" i="5" s="1"/>
  <c r="P1037" i="5"/>
  <c r="AU1037" i="5" s="1"/>
  <c r="P1072" i="5"/>
  <c r="AU1072" i="5" s="1"/>
  <c r="P845" i="5"/>
  <c r="AU845" i="5" s="1"/>
  <c r="P842" i="5"/>
  <c r="AU842" i="5" s="1"/>
  <c r="P846" i="5"/>
  <c r="AU846" i="5" s="1"/>
  <c r="P843" i="5"/>
  <c r="AU843" i="5" s="1"/>
  <c r="P1024" i="5"/>
  <c r="AU1024" i="5" s="1"/>
  <c r="P1143" i="5"/>
  <c r="AU1143" i="5" s="1"/>
  <c r="P621" i="5"/>
  <c r="AU621" i="5" s="1"/>
  <c r="P1054" i="5"/>
  <c r="AU1054" i="5" s="1"/>
  <c r="P1023" i="5"/>
  <c r="AU1023" i="5" s="1"/>
  <c r="P1370" i="5"/>
  <c r="AU1370" i="5" s="1"/>
  <c r="P1187" i="5"/>
  <c r="AU1187" i="5" s="1"/>
  <c r="P844" i="5"/>
  <c r="AU844" i="5" s="1"/>
  <c r="P1269" i="5"/>
  <c r="AU1269" i="5" s="1"/>
  <c r="P400" i="5"/>
  <c r="AU400" i="5" s="1"/>
  <c r="P1102" i="5"/>
  <c r="AU1102" i="5" s="1"/>
  <c r="P847" i="5"/>
  <c r="AU847" i="5" s="1"/>
  <c r="P431" i="5"/>
  <c r="AU431" i="5" s="1"/>
  <c r="P1237" i="5"/>
  <c r="AU1237" i="5" s="1"/>
  <c r="P430" i="5"/>
  <c r="AU430" i="5" s="1"/>
  <c r="P1345" i="5"/>
  <c r="AU1345" i="5" s="1"/>
  <c r="P1098" i="5"/>
  <c r="AU1098" i="5" s="1"/>
  <c r="P1287" i="5"/>
  <c r="AU1287" i="5" s="1"/>
  <c r="P1025" i="5"/>
  <c r="AU1025" i="5" s="1"/>
  <c r="P432" i="5"/>
  <c r="AU432" i="5" s="1"/>
  <c r="P322" i="5"/>
  <c r="AU322" i="5" s="1"/>
  <c r="P1094" i="5"/>
  <c r="AU1094" i="5" s="1"/>
  <c r="P1084" i="5"/>
  <c r="AU1084" i="5" s="1"/>
  <c r="P1371" i="5"/>
  <c r="AU1371" i="5" s="1"/>
  <c r="P1210" i="5"/>
  <c r="AU1210" i="5" s="1"/>
  <c r="P1031" i="5"/>
  <c r="AU1031" i="5" s="1"/>
  <c r="P1108" i="5"/>
  <c r="AU1108" i="5" s="1"/>
  <c r="P1220" i="5"/>
  <c r="AU1220" i="5" s="1"/>
  <c r="P1095" i="5"/>
  <c r="AU1095" i="5" s="1"/>
  <c r="P1081" i="5"/>
  <c r="AU1081" i="5" s="1"/>
  <c r="P850" i="5"/>
  <c r="AU850" i="5" s="1"/>
  <c r="P1270" i="5"/>
  <c r="AU1270" i="5" s="1"/>
  <c r="P622" i="5"/>
  <c r="AU622" i="5" s="1"/>
  <c r="P1271" i="5"/>
  <c r="AU1271" i="5" s="1"/>
  <c r="P1085" i="5"/>
  <c r="AU1085" i="5" s="1"/>
  <c r="P1056" i="5"/>
  <c r="AU1056" i="5" s="1"/>
  <c r="P1055" i="5"/>
  <c r="AU1055" i="5" s="1"/>
  <c r="P1211" i="5"/>
  <c r="AU1211" i="5" s="1"/>
  <c r="P851" i="5"/>
  <c r="AU851" i="5" s="1"/>
  <c r="P1080" i="5"/>
  <c r="AU1080" i="5" s="1"/>
  <c r="P849" i="5"/>
  <c r="AU849" i="5" s="1"/>
  <c r="P1241" i="5"/>
  <c r="AU1241" i="5" s="1"/>
  <c r="P848" i="5"/>
  <c r="AU848" i="5" s="1"/>
  <c r="P1146" i="5"/>
  <c r="AU1146" i="5" s="1"/>
  <c r="P1246" i="5"/>
  <c r="AU1246" i="5" s="1"/>
  <c r="P1144" i="5"/>
  <c r="AU1144" i="5" s="1"/>
  <c r="P1026" i="5"/>
  <c r="AU1026" i="5" s="1"/>
  <c r="P1347" i="5"/>
  <c r="AU1347" i="5" s="1"/>
  <c r="P1277" i="5"/>
  <c r="AU1277" i="5" s="1"/>
  <c r="P1166" i="5"/>
  <c r="AU1166" i="5" s="1"/>
  <c r="P1099" i="5"/>
  <c r="AU1099" i="5" s="1"/>
  <c r="P1188" i="5"/>
  <c r="AU1188" i="5" s="1"/>
  <c r="P1100" i="5"/>
  <c r="AU1100" i="5" s="1"/>
  <c r="P1136" i="5"/>
  <c r="AU1136" i="5" s="1"/>
  <c r="P1145" i="5"/>
  <c r="AU1145" i="5" s="1"/>
  <c r="P1167" i="5"/>
  <c r="AU1167" i="5" s="1"/>
  <c r="P698" i="5"/>
  <c r="AU698" i="5" s="1"/>
  <c r="P623" i="5"/>
  <c r="AU623" i="5" s="1"/>
  <c r="P473" i="5"/>
  <c r="AU473" i="5" s="1"/>
  <c r="P1204" i="5"/>
  <c r="AU1204" i="5" s="1"/>
  <c r="P852" i="5"/>
  <c r="AU852" i="5" s="1"/>
  <c r="P1346" i="5"/>
  <c r="AU1346" i="5" s="1"/>
  <c r="P1119" i="5"/>
  <c r="AU1119" i="5" s="1"/>
  <c r="P1065" i="5"/>
  <c r="AU1065" i="5" s="1"/>
  <c r="P1348" i="5"/>
  <c r="AU1348" i="5" s="1"/>
  <c r="P699" i="5"/>
  <c r="AU699" i="5" s="1"/>
  <c r="P1180" i="5"/>
  <c r="AU1180" i="5" s="1"/>
  <c r="P352" i="5"/>
  <c r="AU352" i="5" s="1"/>
  <c r="P1189" i="5"/>
  <c r="AU1189" i="5" s="1"/>
  <c r="P624" i="5"/>
  <c r="AU624" i="5" s="1"/>
  <c r="P1250" i="5"/>
  <c r="AU1250" i="5" s="1"/>
  <c r="P1097" i="5"/>
  <c r="AU1097" i="5" s="1"/>
  <c r="P1247" i="5"/>
  <c r="AU1247" i="5" s="1"/>
  <c r="P1086" i="5"/>
  <c r="AU1086" i="5" s="1"/>
  <c r="P1376" i="5"/>
  <c r="AU1376" i="5" s="1"/>
  <c r="P1168" i="5"/>
  <c r="AU1168" i="5" s="1"/>
  <c r="P1138" i="5"/>
  <c r="AU1138" i="5" s="1"/>
  <c r="P853" i="5"/>
  <c r="AU853" i="5" s="1"/>
  <c r="P1221" i="5"/>
  <c r="AU1221" i="5" s="1"/>
  <c r="P1169" i="5"/>
  <c r="AU1169" i="5" s="1"/>
  <c r="P1148" i="5"/>
  <c r="AU1148" i="5" s="1"/>
  <c r="P1147" i="5"/>
  <c r="AU1147" i="5" s="1"/>
  <c r="P1137" i="5"/>
  <c r="AU1137" i="5" s="1"/>
  <c r="P1150" i="5"/>
  <c r="AU1150" i="5" s="1"/>
  <c r="P378" i="5"/>
  <c r="AU378" i="5" s="1"/>
  <c r="P1303" i="5"/>
  <c r="AU1303" i="5" s="1"/>
  <c r="P377" i="5"/>
  <c r="AU377" i="5" s="1"/>
  <c r="P1198" i="5"/>
  <c r="AU1198" i="5" s="1"/>
  <c r="P1149" i="5"/>
  <c r="AU1149" i="5" s="1"/>
  <c r="P854" i="5"/>
  <c r="AU854" i="5" s="1"/>
  <c r="P1028" i="5"/>
  <c r="AU1028" i="5" s="1"/>
  <c r="P1181" i="5"/>
  <c r="AU1181" i="5" s="1"/>
  <c r="P1190" i="5"/>
  <c r="AU1190" i="5" s="1"/>
  <c r="P1027" i="5"/>
  <c r="AU1027" i="5" s="1"/>
  <c r="P1205" i="5"/>
  <c r="AU1205" i="5" s="1"/>
  <c r="P331" i="5"/>
  <c r="AU331" i="5" s="1"/>
  <c r="P1248" i="5"/>
  <c r="AU1248" i="5" s="1"/>
  <c r="P1131" i="5"/>
  <c r="AU1131" i="5" s="1"/>
  <c r="P1124" i="5"/>
  <c r="AU1124" i="5" s="1"/>
  <c r="P1171" i="5"/>
  <c r="AU1171" i="5" s="1"/>
  <c r="P1151" i="5"/>
  <c r="AU1151" i="5" s="1"/>
  <c r="P1139" i="5"/>
  <c r="AU1139" i="5" s="1"/>
  <c r="P1155" i="5"/>
  <c r="AU1155" i="5" s="1"/>
  <c r="P1170" i="5"/>
  <c r="AU1170" i="5" s="1"/>
  <c r="P1029" i="5"/>
  <c r="AU1029" i="5" s="1"/>
  <c r="P1129" i="5"/>
  <c r="AU1129" i="5" s="1"/>
  <c r="P1154" i="5"/>
  <c r="AU1154" i="5" s="1"/>
  <c r="P1132" i="5"/>
  <c r="AU1132" i="5" s="1"/>
  <c r="P1251" i="5"/>
  <c r="AU1251" i="5" s="1"/>
  <c r="P855" i="5"/>
  <c r="AU855" i="5" s="1"/>
  <c r="P1110" i="5"/>
  <c r="AU1110" i="5" s="1"/>
  <c r="P1109" i="5"/>
  <c r="AU1109" i="5" s="1"/>
  <c r="P1123" i="5"/>
  <c r="AU1123" i="5" s="1"/>
  <c r="P1153" i="5"/>
  <c r="AU1153" i="5" s="1"/>
  <c r="P1172" i="5"/>
  <c r="AU1172" i="5" s="1"/>
  <c r="P1152" i="5"/>
  <c r="AU1152" i="5" s="1"/>
  <c r="P1160" i="5"/>
  <c r="AU1160" i="5" s="1"/>
  <c r="P1173" i="5"/>
  <c r="AU1173" i="5" s="1"/>
  <c r="P1174" i="5"/>
  <c r="AU1174" i="5" s="1"/>
  <c r="P1158" i="5"/>
  <c r="AU1158" i="5" s="1"/>
  <c r="P1130" i="5"/>
  <c r="AU1130" i="5" s="1"/>
  <c r="P513" i="5"/>
  <c r="AU513" i="5" s="1"/>
  <c r="P1161" i="5"/>
  <c r="AU1161" i="5" s="1"/>
  <c r="P1157" i="5"/>
  <c r="AU1157" i="5" s="1"/>
  <c r="P1159" i="5"/>
  <c r="AU1159" i="5" s="1"/>
  <c r="P1156" i="5"/>
  <c r="AU1156" i="5" s="1"/>
  <c r="P1389" i="5"/>
  <c r="AU1389" i="5" s="1"/>
  <c r="P1304" i="5"/>
  <c r="AU1304" i="5" s="1"/>
  <c r="P1191" i="5"/>
  <c r="AU1191" i="5" s="1"/>
  <c r="P1329" i="5"/>
  <c r="AU1329" i="5" s="1"/>
  <c r="P1349" i="5"/>
  <c r="AU1349" i="5" s="1"/>
  <c r="P1182" i="5"/>
  <c r="AU1182" i="5" s="1"/>
  <c r="P1305" i="5"/>
  <c r="AU1305" i="5" s="1"/>
  <c r="P1066" i="5"/>
  <c r="AU1066" i="5" s="1"/>
  <c r="P1229" i="5"/>
  <c r="AU1229" i="5" s="1"/>
  <c r="P1231" i="5"/>
  <c r="AU1231" i="5" s="1"/>
  <c r="P1222" i="5"/>
  <c r="AU1222" i="5" s="1"/>
  <c r="P1230" i="5"/>
  <c r="AU1230" i="5" s="1"/>
  <c r="P1378" i="5"/>
  <c r="AU1378" i="5" s="1"/>
  <c r="P1377" i="5"/>
  <c r="AU1377" i="5" s="1"/>
  <c r="P1249" i="5"/>
  <c r="AU1249" i="5" s="1"/>
  <c r="P1223" i="5"/>
  <c r="AU1223" i="5" s="1"/>
  <c r="P1350" i="5"/>
  <c r="AU1350" i="5" s="1"/>
  <c r="P856" i="5"/>
  <c r="AU856" i="5" s="1"/>
  <c r="P1120" i="5"/>
  <c r="AU1120" i="5" s="1"/>
  <c r="P857" i="5"/>
  <c r="AU857" i="5" s="1"/>
  <c r="P1192" i="5"/>
  <c r="AU1192" i="5" s="1"/>
  <c r="P1330" i="5"/>
  <c r="AU1330" i="5" s="1"/>
  <c r="P237" i="5"/>
  <c r="AU237" i="5" s="1"/>
  <c r="P1306" i="5"/>
  <c r="AU1306" i="5" s="1"/>
  <c r="P1162" i="5"/>
  <c r="AU1162" i="5" s="1"/>
  <c r="P1272" i="5"/>
  <c r="AU1272" i="5" s="1"/>
  <c r="P1175" i="5"/>
  <c r="AU1175" i="5" s="1"/>
  <c r="P1308" i="5"/>
  <c r="AU1308" i="5" s="1"/>
  <c r="P1307" i="5"/>
  <c r="AU1307" i="5" s="1"/>
  <c r="P1140" i="5"/>
  <c r="AU1140" i="5" s="1"/>
  <c r="P1176" i="5"/>
  <c r="AU1176" i="5" s="1"/>
  <c r="P1288" i="5"/>
  <c r="AU1288" i="5" s="1"/>
  <c r="P625" i="5"/>
  <c r="AU625" i="5" s="1"/>
  <c r="P1163" i="5"/>
  <c r="AU1163" i="5" s="1"/>
  <c r="P1073" i="5"/>
  <c r="AU1073" i="5" s="1"/>
  <c r="P1116" i="5"/>
  <c r="AU1116" i="5" s="1"/>
  <c r="P626" i="5"/>
  <c r="AU626" i="5" s="1"/>
  <c r="P1394" i="5"/>
  <c r="AU1394" i="5" s="1"/>
  <c r="P1228" i="5"/>
  <c r="AU1228" i="5" s="1"/>
  <c r="P1193" i="5"/>
  <c r="AU1193" i="5" s="1"/>
  <c r="P433" i="5"/>
  <c r="AU433" i="5" s="1"/>
  <c r="P1238" i="5"/>
  <c r="AU1238" i="5" s="1"/>
  <c r="P1239" i="5"/>
  <c r="AU1239" i="5" s="1"/>
  <c r="P1276" i="5"/>
  <c r="AU1276" i="5" s="1"/>
  <c r="P1379" i="5"/>
  <c r="AU1379" i="5" s="1"/>
  <c r="P1087" i="5"/>
  <c r="AU1087" i="5" s="1"/>
  <c r="P1351" i="5"/>
  <c r="AU1351" i="5" s="1"/>
  <c r="P1183" i="5"/>
  <c r="AU1183" i="5" s="1"/>
  <c r="P474" i="5"/>
  <c r="AU474" i="5" s="1"/>
  <c r="P1164" i="5"/>
  <c r="AU1164" i="5" s="1"/>
  <c r="P1224" i="5"/>
  <c r="AU1224" i="5" s="1"/>
  <c r="P1199" i="5"/>
  <c r="AU1199" i="5" s="1"/>
  <c r="P1030" i="5"/>
  <c r="AU1030" i="5" s="1"/>
  <c r="P1380" i="5"/>
  <c r="AU1380" i="5" s="1"/>
  <c r="P1352" i="5"/>
  <c r="AU1352" i="5" s="1"/>
  <c r="P1225" i="5"/>
  <c r="AU1225" i="5" s="1"/>
  <c r="P1184" i="5"/>
  <c r="AU1184" i="5" s="1"/>
  <c r="P1125" i="5"/>
  <c r="AU1125" i="5" s="1"/>
  <c r="P1401" i="5"/>
  <c r="AU1401" i="5" s="1"/>
  <c r="P1309" i="5"/>
  <c r="AU1309" i="5" s="1"/>
  <c r="P1372" i="5"/>
  <c r="AU1372" i="5" s="1"/>
  <c r="P1353" i="5"/>
  <c r="AU1353" i="5" s="1"/>
  <c r="P1381" i="5"/>
  <c r="AU1381" i="5" s="1"/>
  <c r="P1382" i="5"/>
  <c r="AU1382" i="5" s="1"/>
  <c r="P1233" i="5"/>
  <c r="AU1233" i="5" s="1"/>
  <c r="P1395" i="5"/>
  <c r="AU1395" i="5" s="1"/>
  <c r="P1057" i="5"/>
  <c r="AU1057" i="5" s="1"/>
  <c r="P1240" i="5"/>
  <c r="AU1240" i="5" s="1"/>
  <c r="P1177" i="5"/>
  <c r="AU1177" i="5" s="1"/>
  <c r="P1278" i="5"/>
  <c r="AU1278" i="5" s="1"/>
  <c r="P1216" i="5"/>
  <c r="AU1216" i="5" s="1"/>
  <c r="P514" i="5"/>
  <c r="AU514" i="5" s="1"/>
  <c r="P1178" i="5"/>
  <c r="AU1178" i="5" s="1"/>
  <c r="P1111" i="5"/>
  <c r="AU1111" i="5" s="1"/>
  <c r="P1194" i="5"/>
  <c r="AU1194" i="5" s="1"/>
  <c r="P1105" i="5"/>
  <c r="AU1105" i="5" s="1"/>
  <c r="P1373" i="5"/>
  <c r="AU1373" i="5" s="1"/>
  <c r="P1396" i="5"/>
  <c r="AU1396" i="5" s="1"/>
  <c r="P1200" i="5"/>
  <c r="AU1200" i="5" s="1"/>
  <c r="P1383" i="5"/>
  <c r="AU1383" i="5" s="1"/>
  <c r="P1096" i="5"/>
  <c r="AU1096" i="5" s="1"/>
  <c r="P1212" i="5"/>
  <c r="AU1212" i="5" s="1"/>
  <c r="P1217" i="5"/>
  <c r="AU1217" i="5" s="1"/>
  <c r="P2" i="5"/>
  <c r="AU2" i="5" s="1"/>
  <c r="P1397" i="5"/>
  <c r="AU1397" i="5" s="1"/>
  <c r="P1310" i="5"/>
  <c r="AU1310" i="5" s="1"/>
  <c r="P1388" i="5"/>
  <c r="AU1388" i="5" s="1"/>
  <c r="P1226" i="5"/>
  <c r="AU1226" i="5" s="1"/>
  <c r="P1201" i="5"/>
  <c r="AU1201" i="5" s="1"/>
  <c r="P1185" i="5"/>
  <c r="AU1185" i="5" s="1"/>
  <c r="P332" i="5"/>
  <c r="AU332" i="5" s="1"/>
  <c r="P1107" i="5"/>
  <c r="AU1107" i="5" s="1"/>
  <c r="P1206" i="5"/>
  <c r="AU1206" i="5" s="1"/>
  <c r="P261" i="5"/>
  <c r="AU261" i="5" s="1"/>
  <c r="P1398" i="5"/>
  <c r="AU1398" i="5" s="1"/>
  <c r="P1384" i="5"/>
  <c r="AU1384" i="5" s="1"/>
  <c r="P1034" i="5"/>
  <c r="AU1034" i="5" s="1"/>
  <c r="P238" i="5"/>
  <c r="AU238" i="5" s="1"/>
  <c r="P1058" i="5"/>
  <c r="AU1058" i="5" s="1"/>
  <c r="P1385" i="5"/>
  <c r="AU1385" i="5" s="1"/>
  <c r="P1402" i="5"/>
  <c r="AU1402" i="5" s="1"/>
  <c r="P1354" i="5"/>
  <c r="AU1354" i="5" s="1"/>
  <c r="P1218" i="5"/>
  <c r="AU1218" i="5" s="1"/>
  <c r="P1290" i="5"/>
  <c r="AU1290" i="5" s="1"/>
  <c r="P1088" i="5"/>
  <c r="AU1088" i="5" s="1"/>
  <c r="P1311" i="5"/>
  <c r="AU1311" i="5" s="1"/>
  <c r="P1374" i="5"/>
  <c r="AU1374" i="5" s="1"/>
  <c r="P1215" i="5"/>
  <c r="AU1215" i="5" s="1"/>
  <c r="P1067" i="5"/>
  <c r="AU1067" i="5" s="1"/>
  <c r="P1355" i="5"/>
  <c r="AU1355" i="5" s="1"/>
  <c r="P475" i="5"/>
  <c r="AU475" i="5" s="1"/>
  <c r="P1213" i="5"/>
  <c r="AU1213" i="5" s="1"/>
  <c r="P1089" i="5"/>
  <c r="AU1089" i="5" s="1"/>
  <c r="P1074" i="5"/>
  <c r="AU1074" i="5" s="1"/>
  <c r="P1273" i="5"/>
  <c r="AU1273" i="5" s="1"/>
  <c r="P1090" i="5"/>
  <c r="AU1090" i="5" s="1"/>
  <c r="P1391" i="5"/>
  <c r="AU1391" i="5" s="1"/>
  <c r="P1312" i="5"/>
  <c r="AU1312" i="5" s="1"/>
  <c r="P1091" i="5"/>
  <c r="AU1091" i="5" s="1"/>
  <c r="P1274" i="5"/>
  <c r="AU1274" i="5" s="1"/>
  <c r="P1059" i="5"/>
  <c r="AU1059" i="5" s="1"/>
  <c r="P1207" i="5"/>
  <c r="AU1207" i="5" s="1"/>
  <c r="P3" i="5"/>
  <c r="AU3" i="5" s="1"/>
  <c r="P1356" i="5"/>
  <c r="AU1356" i="5" s="1"/>
  <c r="P1082" i="5"/>
  <c r="AU1082" i="5" s="1"/>
  <c r="P1403" i="5"/>
  <c r="AU1403" i="5" s="1"/>
  <c r="P1357" i="5"/>
  <c r="AU1357" i="5" s="1"/>
  <c r="P1227" i="5"/>
  <c r="AU1227" i="5" s="1"/>
  <c r="P262" i="5"/>
  <c r="AU262" i="5" s="1"/>
  <c r="P1133" i="5"/>
  <c r="AU1133" i="5" s="1"/>
  <c r="P1195" i="5"/>
  <c r="AU1195" i="5" s="1"/>
  <c r="P58" i="5"/>
  <c r="AU58" i="5" s="1"/>
  <c r="P1386" i="5"/>
  <c r="AU1386" i="5" s="1"/>
  <c r="P1038" i="5"/>
  <c r="AU1038" i="5" s="1"/>
  <c r="P1186" i="5"/>
  <c r="AU1186" i="5" s="1"/>
  <c r="P1243" i="5"/>
  <c r="AU1243" i="5" s="1"/>
  <c r="P1390" i="5"/>
  <c r="AU1390" i="5" s="1"/>
  <c r="P476" i="5"/>
  <c r="AU476" i="5" s="1"/>
  <c r="P263" i="5"/>
  <c r="AU263" i="5" s="1"/>
  <c r="P1075" i="5"/>
  <c r="AU1075" i="5" s="1"/>
  <c r="P858" i="5"/>
  <c r="AU858" i="5" s="1"/>
  <c r="P1358" i="5"/>
  <c r="AU1358" i="5" s="1"/>
  <c r="P1387" i="5"/>
  <c r="AU1387" i="5" s="1"/>
  <c r="P264" i="5"/>
  <c r="AU264" i="5" s="1"/>
  <c r="P1032" i="5"/>
  <c r="AU1032" i="5" s="1"/>
  <c r="P1060" i="5"/>
  <c r="AU1060" i="5" s="1"/>
  <c r="P265" i="5"/>
  <c r="AU265" i="5" s="1"/>
  <c r="P1289" i="5"/>
  <c r="AU1289" i="5" s="1"/>
  <c r="P1068" i="5"/>
  <c r="AU1068" i="5" s="1"/>
  <c r="P627" i="5"/>
  <c r="AU627" i="5" s="1"/>
  <c r="P1313" i="5"/>
  <c r="AU1313" i="5" s="1"/>
  <c r="P1126" i="5"/>
  <c r="AU1126" i="5" s="1"/>
  <c r="P1314" i="5"/>
  <c r="AU1314" i="5" s="1"/>
  <c r="P434" i="5"/>
  <c r="AU434" i="5" s="1"/>
  <c r="P1196" i="5"/>
  <c r="AU1196" i="5" s="1"/>
  <c r="P1101" i="5"/>
  <c r="AU1101" i="5" s="1"/>
  <c r="P1359" i="5"/>
  <c r="AU1359" i="5" s="1"/>
  <c r="P1202" i="5"/>
  <c r="AU1202" i="5" s="1"/>
  <c r="P1360" i="5"/>
  <c r="AU1360" i="5" s="1"/>
  <c r="P515" i="5"/>
  <c r="AU515" i="5" s="1"/>
  <c r="P59" i="5"/>
  <c r="AU59" i="5" s="1"/>
  <c r="P1404" i="5"/>
  <c r="AU1404" i="5" s="1"/>
  <c r="P1399" i="5"/>
  <c r="AU1399" i="5" s="1"/>
  <c r="P1214" i="5"/>
  <c r="AU1214" i="5" s="1"/>
  <c r="P1134" i="5"/>
  <c r="AU1134" i="5" s="1"/>
  <c r="P1275" i="5"/>
  <c r="AU1275" i="5" s="1"/>
  <c r="P1392" i="5"/>
  <c r="AU1392" i="5" s="1"/>
  <c r="P1331" i="5"/>
  <c r="AU1331" i="5" s="1"/>
  <c r="P628" i="5"/>
  <c r="AU628" i="5" s="1"/>
  <c r="P1141" i="5"/>
  <c r="AU1141" i="5" s="1"/>
  <c r="P1117" i="5"/>
  <c r="AU1117" i="5" s="1"/>
  <c r="P1203" i="5"/>
  <c r="AU1203" i="5" s="1"/>
  <c r="P282" i="5"/>
  <c r="AU282" i="5" s="1"/>
  <c r="P1127" i="5"/>
  <c r="AU1127" i="5" s="1"/>
  <c r="P1121" i="5"/>
  <c r="AU1121" i="5" s="1"/>
  <c r="P1315" i="5"/>
  <c r="AU1315" i="5" s="1"/>
  <c r="P1179" i="5"/>
  <c r="AU1179" i="5" s="1"/>
  <c r="P1361" i="5"/>
  <c r="AU1361" i="5" s="1"/>
  <c r="P700" i="5"/>
  <c r="AU700" i="5" s="1"/>
  <c r="P1122" i="5"/>
  <c r="AU1122" i="5" s="1"/>
  <c r="P266" i="5"/>
  <c r="AU266" i="5" s="1"/>
  <c r="P435" i="5"/>
  <c r="AU435" i="5" s="1"/>
  <c r="P1035" i="5"/>
  <c r="AU1035" i="5" s="1"/>
  <c r="P239" i="5"/>
  <c r="AU239" i="5" s="1"/>
  <c r="P184" i="5"/>
  <c r="AU184" i="5" s="1"/>
  <c r="P185" i="5"/>
  <c r="AU185" i="5" s="1"/>
  <c r="P188" i="5"/>
  <c r="AU188" i="5" s="1"/>
  <c r="P187" i="5"/>
  <c r="AU187" i="5" s="1"/>
  <c r="P186" i="5"/>
  <c r="AU186" i="5" s="1"/>
  <c r="P189" i="5"/>
  <c r="AU189" i="5" s="1"/>
  <c r="P1264" i="5"/>
  <c r="AU1264" i="5" s="1"/>
  <c r="P240" i="5"/>
  <c r="AU240" i="5" s="1"/>
  <c r="P242" i="5"/>
  <c r="AU242" i="5" s="1"/>
  <c r="P241" i="5"/>
  <c r="AU241" i="5" s="1"/>
  <c r="P243" i="5"/>
  <c r="AU243" i="5" s="1"/>
  <c r="P244" i="5"/>
  <c r="AU244" i="5" s="1"/>
  <c r="P190" i="5"/>
  <c r="AU190" i="5" s="1"/>
  <c r="P192" i="5"/>
  <c r="AU192" i="5" s="1"/>
  <c r="P191" i="5"/>
  <c r="AU191" i="5" s="1"/>
  <c r="P170" i="5"/>
  <c r="AU170" i="5" s="1"/>
  <c r="P71" i="5"/>
  <c r="AU71" i="5" s="1"/>
  <c r="P90" i="5"/>
  <c r="AU90" i="5" s="1"/>
  <c r="P94" i="5"/>
  <c r="AU94" i="5" s="1"/>
  <c r="P65" i="5"/>
  <c r="AU65" i="5" s="1"/>
  <c r="P75" i="5"/>
  <c r="AU75" i="5" s="1"/>
  <c r="P63" i="5"/>
  <c r="AU63" i="5" s="1"/>
  <c r="P73" i="5"/>
  <c r="AU73" i="5" s="1"/>
  <c r="P86" i="5"/>
  <c r="AU86" i="5" s="1"/>
  <c r="P67" i="5"/>
  <c r="AU67" i="5" s="1"/>
  <c r="P60" i="5"/>
  <c r="AU60" i="5" s="1"/>
  <c r="P91" i="5"/>
  <c r="AU91" i="5" s="1"/>
  <c r="P88" i="5"/>
  <c r="AU88" i="5" s="1"/>
  <c r="P18" i="5"/>
  <c r="AU18" i="5" s="1"/>
  <c r="P25" i="5"/>
  <c r="AU25" i="5" s="1"/>
  <c r="P20" i="5"/>
  <c r="AU20" i="5" s="1"/>
  <c r="P36" i="5"/>
  <c r="AU36" i="5" s="1"/>
  <c r="P6" i="5"/>
  <c r="AU6" i="5" s="1"/>
  <c r="P37" i="5"/>
  <c r="AU37" i="5" s="1"/>
  <c r="P29" i="5"/>
  <c r="AU29" i="5" s="1"/>
  <c r="P5" i="5"/>
  <c r="AU5" i="5" s="1"/>
  <c r="P4" i="5"/>
  <c r="AU4" i="5" s="1"/>
  <c r="P12" i="5"/>
  <c r="AU12" i="5" s="1"/>
  <c r="P21" i="5"/>
  <c r="AU21" i="5" s="1"/>
  <c r="P15" i="5"/>
  <c r="AU15" i="5" s="1"/>
  <c r="P33" i="5"/>
  <c r="AU33" i="5" s="1"/>
  <c r="P8" i="5"/>
  <c r="AU8" i="5" s="1"/>
  <c r="P9" i="5"/>
  <c r="AU9" i="5" s="1"/>
  <c r="P39" i="5"/>
  <c r="AU39" i="5" s="1"/>
  <c r="P31" i="5"/>
  <c r="AU31" i="5" s="1"/>
  <c r="P22" i="5"/>
  <c r="AU22" i="5" s="1"/>
  <c r="P40" i="5"/>
  <c r="AU40" i="5" s="1"/>
  <c r="P13" i="5"/>
  <c r="AU13" i="5" s="1"/>
  <c r="P7" i="5"/>
  <c r="AU7" i="5" s="1"/>
  <c r="P78" i="5"/>
  <c r="AU78" i="5" s="1"/>
  <c r="P66" i="5"/>
  <c r="AU66" i="5" s="1"/>
  <c r="P80" i="5"/>
  <c r="AU80" i="5" s="1"/>
  <c r="P82" i="5"/>
  <c r="AU82" i="5" s="1"/>
  <c r="P95" i="5"/>
  <c r="AU95" i="5" s="1"/>
  <c r="P79" i="5"/>
  <c r="AU79" i="5" s="1"/>
  <c r="P81" i="5"/>
  <c r="AU81" i="5" s="1"/>
  <c r="P93" i="5"/>
  <c r="AU93" i="5" s="1"/>
  <c r="P69" i="5"/>
  <c r="AU69" i="5" s="1"/>
  <c r="P87" i="5"/>
  <c r="AU87" i="5" s="1"/>
  <c r="P83" i="5"/>
  <c r="AU83" i="5" s="1"/>
  <c r="P76" i="5"/>
  <c r="AU76" i="5" s="1"/>
  <c r="P85" i="5"/>
  <c r="AU85" i="5" s="1"/>
  <c r="P72" i="5"/>
  <c r="AU72" i="5" s="1"/>
  <c r="P77" i="5"/>
  <c r="AU77" i="5" s="1"/>
  <c r="P64" i="5"/>
  <c r="AU64" i="5" s="1"/>
  <c r="P70" i="5"/>
  <c r="AU70" i="5" s="1"/>
  <c r="P74" i="5"/>
  <c r="AU74" i="5" s="1"/>
  <c r="P68" i="5"/>
  <c r="AU68" i="5" s="1"/>
  <c r="P30" i="5"/>
  <c r="AU30" i="5" s="1"/>
  <c r="P23" i="5"/>
  <c r="AU23" i="5" s="1"/>
  <c r="P32" i="5"/>
  <c r="AU32" i="5" s="1"/>
  <c r="P11" i="5"/>
  <c r="AU11" i="5" s="1"/>
  <c r="P34" i="5"/>
  <c r="AU34" i="5" s="1"/>
  <c r="P38" i="5"/>
  <c r="AU38" i="5" s="1"/>
  <c r="P26" i="5"/>
  <c r="AU26" i="5" s="1"/>
  <c r="P27" i="5"/>
  <c r="AU27" i="5" s="1"/>
  <c r="P19" i="5"/>
  <c r="AU19" i="5" s="1"/>
  <c r="P24" i="5"/>
  <c r="AU24" i="5" s="1"/>
  <c r="P84" i="5"/>
  <c r="AU84" i="5" s="1"/>
  <c r="P194" i="5"/>
  <c r="AU194" i="5" s="1"/>
  <c r="P92" i="5"/>
  <c r="AU92" i="5" s="1"/>
  <c r="P62" i="5"/>
  <c r="AU62" i="5" s="1"/>
  <c r="P28" i="5"/>
  <c r="AU28" i="5" s="1"/>
  <c r="P17" i="5"/>
  <c r="AU17" i="5" s="1"/>
  <c r="P10" i="5"/>
  <c r="AU10" i="5" s="1"/>
  <c r="P35" i="5"/>
  <c r="AU35" i="5" s="1"/>
  <c r="P193" i="5"/>
  <c r="AU193" i="5" s="1"/>
  <c r="P61" i="5"/>
  <c r="AU61" i="5" s="1"/>
  <c r="P89" i="5"/>
  <c r="AU89" i="5" s="1"/>
  <c r="P14" i="5"/>
  <c r="AU14" i="5" s="1"/>
  <c r="P16" i="5"/>
  <c r="AU16" i="5" s="1"/>
  <c r="P98" i="5"/>
  <c r="AU98" i="5" s="1"/>
  <c r="P195" i="5"/>
  <c r="AU195" i="5" s="1"/>
  <c r="P100" i="5"/>
  <c r="AU100" i="5" s="1"/>
  <c r="P102" i="5"/>
  <c r="AU102" i="5" s="1"/>
  <c r="P99" i="5"/>
  <c r="AU99" i="5" s="1"/>
  <c r="P97" i="5"/>
  <c r="AU97" i="5" s="1"/>
  <c r="P96" i="5"/>
  <c r="AU96" i="5" s="1"/>
  <c r="P101" i="5"/>
  <c r="AU101" i="5" s="1"/>
  <c r="P42" i="5"/>
  <c r="AU42" i="5" s="1"/>
  <c r="P41" i="5"/>
  <c r="AU41" i="5" s="1"/>
  <c r="P197" i="5"/>
  <c r="AU197" i="5" s="1"/>
  <c r="P200" i="5"/>
  <c r="AU200" i="5" s="1"/>
  <c r="P203" i="5"/>
  <c r="AU203" i="5" s="1"/>
  <c r="P205" i="5"/>
  <c r="AU205" i="5" s="1"/>
  <c r="P208" i="5"/>
  <c r="AU208" i="5" s="1"/>
  <c r="P201" i="5"/>
  <c r="AU201" i="5" s="1"/>
  <c r="P196" i="5"/>
  <c r="AU196" i="5" s="1"/>
  <c r="P199" i="5"/>
  <c r="AU199" i="5" s="1"/>
  <c r="P204" i="5"/>
  <c r="AU204" i="5" s="1"/>
  <c r="P198" i="5"/>
  <c r="AU198" i="5" s="1"/>
  <c r="P206" i="5"/>
  <c r="AU206" i="5" s="1"/>
  <c r="P202" i="5"/>
  <c r="AU202" i="5" s="1"/>
  <c r="P172" i="5"/>
  <c r="AU172" i="5" s="1"/>
  <c r="P174" i="5"/>
  <c r="AU174" i="5" s="1"/>
  <c r="P175" i="5"/>
  <c r="AU175" i="5" s="1"/>
  <c r="P173" i="5"/>
  <c r="AU173" i="5" s="1"/>
  <c r="P171" i="5"/>
  <c r="AU171" i="5" s="1"/>
  <c r="P207" i="5"/>
  <c r="AU207" i="5" s="1"/>
  <c r="P103" i="5"/>
  <c r="AU103" i="5" s="1"/>
  <c r="P105" i="5"/>
  <c r="AU105" i="5" s="1"/>
  <c r="P210" i="5"/>
  <c r="AU210" i="5" s="1"/>
  <c r="P104" i="5"/>
  <c r="AU104" i="5" s="1"/>
  <c r="P246" i="5"/>
  <c r="AU246" i="5" s="1"/>
  <c r="P247" i="5"/>
  <c r="AU247" i="5" s="1"/>
  <c r="P249" i="5"/>
  <c r="AU249" i="5" s="1"/>
  <c r="P248" i="5"/>
  <c r="AU248" i="5" s="1"/>
  <c r="P245" i="5"/>
  <c r="AU245" i="5" s="1"/>
  <c r="P212" i="5"/>
  <c r="AU212" i="5" s="1"/>
  <c r="P209" i="5"/>
  <c r="AU209" i="5" s="1"/>
  <c r="P211" i="5"/>
  <c r="AU211" i="5" s="1"/>
  <c r="P214" i="5"/>
  <c r="AU214" i="5" s="1"/>
  <c r="P109" i="5"/>
  <c r="AU109" i="5" s="1"/>
  <c r="P113" i="5"/>
  <c r="AU113" i="5" s="1"/>
  <c r="P119" i="5"/>
  <c r="AU119" i="5" s="1"/>
  <c r="P114" i="5"/>
  <c r="AU114" i="5" s="1"/>
  <c r="P116" i="5"/>
  <c r="AU116" i="5" s="1"/>
  <c r="P112" i="5"/>
  <c r="AU112" i="5" s="1"/>
  <c r="P107" i="5"/>
  <c r="AU107" i="5" s="1"/>
  <c r="P117" i="5"/>
  <c r="AU117" i="5" s="1"/>
  <c r="P108" i="5"/>
  <c r="AU108" i="5" s="1"/>
  <c r="P111" i="5"/>
  <c r="AU111" i="5" s="1"/>
  <c r="P120" i="5"/>
  <c r="AU120" i="5" s="1"/>
  <c r="P110" i="5"/>
  <c r="AU110" i="5" s="1"/>
  <c r="P118" i="5"/>
  <c r="AU118" i="5" s="1"/>
  <c r="P115" i="5"/>
  <c r="AU115" i="5" s="1"/>
  <c r="P106" i="5"/>
  <c r="AU106" i="5" s="1"/>
  <c r="P215" i="5"/>
  <c r="AU215" i="5" s="1"/>
  <c r="P216" i="5"/>
  <c r="AU216" i="5" s="1"/>
  <c r="P213" i="5"/>
  <c r="AU213" i="5" s="1"/>
  <c r="P217" i="5"/>
  <c r="AU217" i="5" s="1"/>
  <c r="P178" i="5"/>
  <c r="AU178" i="5" s="1"/>
  <c r="P176" i="5"/>
  <c r="AU176" i="5" s="1"/>
  <c r="P177" i="5"/>
  <c r="AU177" i="5" s="1"/>
  <c r="P250" i="5"/>
  <c r="AU250" i="5" s="1"/>
  <c r="P121" i="5"/>
  <c r="AU121" i="5" s="1"/>
  <c r="P254" i="5"/>
  <c r="AU254" i="5" s="1"/>
  <c r="P252" i="5"/>
  <c r="AU252" i="5" s="1"/>
  <c r="P255" i="5"/>
  <c r="AU255" i="5" s="1"/>
  <c r="P253" i="5"/>
  <c r="AU253" i="5" s="1"/>
  <c r="P219" i="5"/>
  <c r="AU219" i="5" s="1"/>
  <c r="P218" i="5"/>
  <c r="AU218" i="5" s="1"/>
  <c r="P222" i="5"/>
  <c r="AU222" i="5" s="1"/>
  <c r="P220" i="5"/>
  <c r="AU220" i="5" s="1"/>
  <c r="P251" i="5"/>
  <c r="AU251" i="5" s="1"/>
  <c r="P221" i="5"/>
  <c r="AU221" i="5" s="1"/>
  <c r="P124" i="5"/>
  <c r="AU124" i="5" s="1"/>
  <c r="P127" i="5"/>
  <c r="AU127" i="5" s="1"/>
  <c r="P125" i="5"/>
  <c r="AU125" i="5" s="1"/>
  <c r="P123" i="5"/>
  <c r="AU123" i="5" s="1"/>
  <c r="P128" i="5"/>
  <c r="AU128" i="5" s="1"/>
  <c r="P126" i="5"/>
  <c r="AU126" i="5" s="1"/>
  <c r="P122" i="5"/>
  <c r="AU122" i="5" s="1"/>
  <c r="P129" i="5"/>
  <c r="AU129" i="5" s="1"/>
  <c r="P256" i="5"/>
  <c r="AU256" i="5" s="1"/>
  <c r="P223" i="5"/>
  <c r="AU223" i="5" s="1"/>
  <c r="P225" i="5"/>
  <c r="AU225" i="5" s="1"/>
  <c r="P130" i="5"/>
  <c r="AU130" i="5" s="1"/>
  <c r="P132" i="5"/>
  <c r="AU132" i="5" s="1"/>
  <c r="P131" i="5"/>
  <c r="AU131" i="5" s="1"/>
  <c r="P257" i="5"/>
  <c r="AU257" i="5" s="1"/>
  <c r="P133" i="5"/>
  <c r="AU133" i="5" s="1"/>
  <c r="P139" i="5"/>
  <c r="AU139" i="5" s="1"/>
  <c r="P136" i="5"/>
  <c r="AU136" i="5" s="1"/>
  <c r="P138" i="5"/>
  <c r="AU138" i="5" s="1"/>
  <c r="P134" i="5"/>
  <c r="AU134" i="5" s="1"/>
  <c r="P135" i="5"/>
  <c r="AU135" i="5" s="1"/>
  <c r="P137" i="5"/>
  <c r="AU137" i="5" s="1"/>
  <c r="P140" i="5"/>
  <c r="AU140" i="5" s="1"/>
  <c r="P141" i="5"/>
  <c r="AU141" i="5" s="1"/>
  <c r="P179" i="5"/>
  <c r="AU179" i="5" s="1"/>
  <c r="P226" i="5"/>
  <c r="AU226" i="5" s="1"/>
  <c r="P258" i="5"/>
  <c r="AU258" i="5" s="1"/>
  <c r="P227" i="5"/>
  <c r="AU227" i="5" s="1"/>
  <c r="P145" i="5"/>
  <c r="AU145" i="5" s="1"/>
  <c r="P146" i="5"/>
  <c r="AU146" i="5" s="1"/>
  <c r="P144" i="5"/>
  <c r="AU144" i="5" s="1"/>
  <c r="P143" i="5"/>
  <c r="AU143" i="5" s="1"/>
  <c r="P142" i="5"/>
  <c r="AU142" i="5" s="1"/>
  <c r="P44" i="5"/>
  <c r="AU44" i="5" s="1"/>
  <c r="P147" i="5"/>
  <c r="AU147" i="5" s="1"/>
  <c r="P148" i="5"/>
  <c r="AU148" i="5" s="1"/>
  <c r="P46" i="5"/>
  <c r="AU46" i="5" s="1"/>
  <c r="P45" i="5"/>
  <c r="AU45" i="5" s="1"/>
  <c r="P150" i="5"/>
  <c r="AU150" i="5" s="1"/>
  <c r="P149" i="5"/>
  <c r="AU149" i="5" s="1"/>
  <c r="P47" i="5"/>
  <c r="AU47" i="5" s="1"/>
  <c r="P50" i="5"/>
  <c r="AU50" i="5" s="1"/>
  <c r="P48" i="5"/>
  <c r="AU48" i="5" s="1"/>
  <c r="P49" i="5"/>
  <c r="AU49" i="5" s="1"/>
  <c r="P151" i="5"/>
  <c r="AU151" i="5" s="1"/>
  <c r="P152" i="5"/>
  <c r="AU152" i="5" s="1"/>
  <c r="P153" i="5"/>
  <c r="AU153" i="5" s="1"/>
  <c r="P259" i="5"/>
  <c r="AU259" i="5" s="1"/>
  <c r="P51" i="5"/>
  <c r="AU51" i="5" s="1"/>
  <c r="P154" i="5"/>
  <c r="AU154" i="5" s="1"/>
  <c r="P156" i="5"/>
  <c r="AU156" i="5" s="1"/>
  <c r="P155" i="5"/>
  <c r="AU155" i="5" s="1"/>
  <c r="P52" i="5"/>
  <c r="AU52" i="5" s="1"/>
  <c r="P228" i="5"/>
  <c r="AU228" i="5" s="1"/>
  <c r="P157" i="5"/>
  <c r="AU157" i="5" s="1"/>
  <c r="P53" i="5"/>
  <c r="AU53" i="5" s="1"/>
  <c r="P158" i="5"/>
  <c r="AU158" i="5" s="1"/>
  <c r="P159" i="5"/>
  <c r="AU159" i="5" s="1"/>
  <c r="P54" i="5"/>
  <c r="AU54" i="5" s="1"/>
  <c r="P160" i="5"/>
  <c r="AU160" i="5" s="1"/>
  <c r="P161" i="5"/>
  <c r="AU161" i="5" s="1"/>
  <c r="P55" i="5"/>
  <c r="AU55" i="5" s="1"/>
  <c r="P162" i="5"/>
  <c r="AU162" i="5" s="1"/>
  <c r="P163" i="5"/>
  <c r="AU163" i="5" s="1"/>
  <c r="P57" i="5"/>
  <c r="AU57" i="5" s="1"/>
  <c r="P56" i="5"/>
  <c r="AU56" i="5" s="1"/>
  <c r="P180" i="5"/>
  <c r="AU180" i="5" s="1"/>
  <c r="P164" i="5"/>
  <c r="AU164" i="5" s="1"/>
  <c r="P165" i="5"/>
  <c r="AU165" i="5" s="1"/>
  <c r="P229" i="5"/>
  <c r="AU229" i="5" s="1"/>
  <c r="P181" i="5"/>
  <c r="AU181" i="5" s="1"/>
  <c r="P230" i="5"/>
  <c r="AU230" i="5" s="1"/>
  <c r="P231" i="5"/>
  <c r="AU231" i="5" s="1"/>
  <c r="P232" i="5"/>
  <c r="AU232" i="5" s="1"/>
  <c r="P235" i="5"/>
  <c r="AU235" i="5" s="1"/>
  <c r="P233" i="5"/>
  <c r="AU233" i="5" s="1"/>
  <c r="P234" i="5"/>
  <c r="AU234" i="5" s="1"/>
  <c r="P167" i="5"/>
  <c r="AU167" i="5" s="1"/>
  <c r="P166" i="5"/>
  <c r="AU166" i="5" s="1"/>
  <c r="P168" i="5"/>
  <c r="AU168" i="5" s="1"/>
  <c r="P169" i="5"/>
  <c r="AU169" i="5" s="1"/>
  <c r="P182" i="5"/>
  <c r="AU182" i="5" s="1"/>
  <c r="P1232" i="5"/>
  <c r="AU1232" i="5" s="1"/>
  <c r="P236" i="5"/>
  <c r="AU236" i="5" s="1"/>
  <c r="P183" i="5"/>
  <c r="AU183" i="5" s="1"/>
  <c r="P260" i="5"/>
  <c r="AU260" i="5" s="1"/>
  <c r="D184" i="5"/>
  <c r="C184" i="5" s="1"/>
  <c r="AR184" i="5" s="1"/>
  <c r="D185" i="5"/>
  <c r="C185" i="5" s="1"/>
  <c r="AR185" i="5" s="1"/>
  <c r="D188" i="5"/>
  <c r="C188" i="5" s="1"/>
  <c r="AR188" i="5" s="1"/>
  <c r="D187" i="5"/>
  <c r="C187" i="5" s="1"/>
  <c r="AR187" i="5" s="1"/>
  <c r="D186" i="5"/>
  <c r="C186" i="5" s="1"/>
  <c r="AR186" i="5" s="1"/>
  <c r="D189" i="5"/>
  <c r="C189" i="5" s="1"/>
  <c r="AR189" i="5" s="1"/>
  <c r="D1264" i="5"/>
  <c r="C1264" i="5" s="1"/>
  <c r="AR1264" i="5" s="1"/>
  <c r="D240" i="5"/>
  <c r="C240" i="5" s="1"/>
  <c r="AR240" i="5" s="1"/>
  <c r="D242" i="5"/>
  <c r="C242" i="5" s="1"/>
  <c r="AR242" i="5" s="1"/>
  <c r="D241" i="5"/>
  <c r="C241" i="5" s="1"/>
  <c r="AR241" i="5" s="1"/>
  <c r="D243" i="5"/>
  <c r="C243" i="5" s="1"/>
  <c r="AR243" i="5" s="1"/>
  <c r="D244" i="5"/>
  <c r="C244" i="5" s="1"/>
  <c r="AR244" i="5" s="1"/>
  <c r="D190" i="5"/>
  <c r="C190" i="5" s="1"/>
  <c r="AR190" i="5" s="1"/>
  <c r="D192" i="5"/>
  <c r="C192" i="5" s="1"/>
  <c r="AR192" i="5" s="1"/>
  <c r="D191" i="5"/>
  <c r="C191" i="5" s="1"/>
  <c r="AR191" i="5" s="1"/>
  <c r="D170" i="5"/>
  <c r="C170" i="5" s="1"/>
  <c r="AR170" i="5" s="1"/>
  <c r="D71" i="5"/>
  <c r="C71" i="5" s="1"/>
  <c r="AR71" i="5" s="1"/>
  <c r="D90" i="5"/>
  <c r="C90" i="5" s="1"/>
  <c r="AR90" i="5" s="1"/>
  <c r="D94" i="5"/>
  <c r="C94" i="5" s="1"/>
  <c r="AR94" i="5" s="1"/>
  <c r="D65" i="5"/>
  <c r="C65" i="5" s="1"/>
  <c r="AR65" i="5" s="1"/>
  <c r="D75" i="5"/>
  <c r="C75" i="5" s="1"/>
  <c r="AR75" i="5" s="1"/>
  <c r="D63" i="5"/>
  <c r="C63" i="5" s="1"/>
  <c r="AR63" i="5" s="1"/>
  <c r="D73" i="5"/>
  <c r="C73" i="5" s="1"/>
  <c r="AR73" i="5" s="1"/>
  <c r="D86" i="5"/>
  <c r="C86" i="5" s="1"/>
  <c r="AR86" i="5" s="1"/>
  <c r="D67" i="5"/>
  <c r="C67" i="5" s="1"/>
  <c r="AR67" i="5" s="1"/>
  <c r="D60" i="5"/>
  <c r="C60" i="5" s="1"/>
  <c r="AR60" i="5" s="1"/>
  <c r="D91" i="5"/>
  <c r="C91" i="5" s="1"/>
  <c r="AR91" i="5" s="1"/>
  <c r="D88" i="5"/>
  <c r="C88" i="5" s="1"/>
  <c r="AR88" i="5" s="1"/>
  <c r="D18" i="5"/>
  <c r="C18" i="5" s="1"/>
  <c r="AR18" i="5" s="1"/>
  <c r="D25" i="5"/>
  <c r="C25" i="5" s="1"/>
  <c r="AR25" i="5" s="1"/>
  <c r="D20" i="5"/>
  <c r="D36" i="5"/>
  <c r="C36" i="5" s="1"/>
  <c r="AR36" i="5" s="1"/>
  <c r="D6" i="5"/>
  <c r="C6" i="5" s="1"/>
  <c r="AR6" i="5" s="1"/>
  <c r="D37" i="5"/>
  <c r="C37" i="5" s="1"/>
  <c r="AR37" i="5" s="1"/>
  <c r="D29" i="5"/>
  <c r="C29" i="5" s="1"/>
  <c r="AR29" i="5" s="1"/>
  <c r="D5" i="5"/>
  <c r="C5" i="5" s="1"/>
  <c r="AR5" i="5" s="1"/>
  <c r="D4" i="5"/>
  <c r="C4" i="5" s="1"/>
  <c r="AR4" i="5" s="1"/>
  <c r="D12" i="5"/>
  <c r="C12" i="5" s="1"/>
  <c r="AR12" i="5" s="1"/>
  <c r="D21" i="5"/>
  <c r="D15" i="5"/>
  <c r="C15" i="5" s="1"/>
  <c r="AR15" i="5" s="1"/>
  <c r="D33" i="5"/>
  <c r="C33" i="5" s="1"/>
  <c r="AR33" i="5" s="1"/>
  <c r="D8" i="5"/>
  <c r="C8" i="5" s="1"/>
  <c r="AR8" i="5" s="1"/>
  <c r="D9" i="5"/>
  <c r="C9" i="5" s="1"/>
  <c r="AR9" i="5" s="1"/>
  <c r="D39" i="5"/>
  <c r="C39" i="5" s="1"/>
  <c r="AR39" i="5" s="1"/>
  <c r="D31" i="5"/>
  <c r="C31" i="5" s="1"/>
  <c r="AR31" i="5" s="1"/>
  <c r="D22" i="5"/>
  <c r="D40" i="5"/>
  <c r="C40" i="5" s="1"/>
  <c r="AR40" i="5" s="1"/>
  <c r="D13" i="5"/>
  <c r="C13" i="5" s="1"/>
  <c r="AR13" i="5" s="1"/>
  <c r="D7" i="5"/>
  <c r="C7" i="5" s="1"/>
  <c r="AR7" i="5" s="1"/>
  <c r="D78" i="5"/>
  <c r="C78" i="5" s="1"/>
  <c r="AR78" i="5" s="1"/>
  <c r="D66" i="5"/>
  <c r="C66" i="5" s="1"/>
  <c r="AR66" i="5" s="1"/>
  <c r="D80" i="5"/>
  <c r="C80" i="5" s="1"/>
  <c r="AR80" i="5" s="1"/>
  <c r="D82" i="5"/>
  <c r="C82" i="5" s="1"/>
  <c r="AR82" i="5" s="1"/>
  <c r="D95" i="5"/>
  <c r="C95" i="5" s="1"/>
  <c r="AR95" i="5" s="1"/>
  <c r="D79" i="5"/>
  <c r="C79" i="5" s="1"/>
  <c r="AR79" i="5" s="1"/>
  <c r="D81" i="5"/>
  <c r="C81" i="5" s="1"/>
  <c r="AR81" i="5" s="1"/>
  <c r="D93" i="5"/>
  <c r="C93" i="5" s="1"/>
  <c r="AR93" i="5" s="1"/>
  <c r="D69" i="5"/>
  <c r="C69" i="5" s="1"/>
  <c r="AR69" i="5" s="1"/>
  <c r="D87" i="5"/>
  <c r="C87" i="5" s="1"/>
  <c r="AR87" i="5" s="1"/>
  <c r="D83" i="5"/>
  <c r="C83" i="5" s="1"/>
  <c r="AR83" i="5" s="1"/>
  <c r="D76" i="5"/>
  <c r="C76" i="5" s="1"/>
  <c r="AR76" i="5" s="1"/>
  <c r="D85" i="5"/>
  <c r="C85" i="5" s="1"/>
  <c r="AR85" i="5" s="1"/>
  <c r="D72" i="5"/>
  <c r="C72" i="5" s="1"/>
  <c r="AR72" i="5" s="1"/>
  <c r="D77" i="5"/>
  <c r="C77" i="5" s="1"/>
  <c r="AR77" i="5" s="1"/>
  <c r="D64" i="5"/>
  <c r="C64" i="5" s="1"/>
  <c r="AR64" i="5" s="1"/>
  <c r="D70" i="5"/>
  <c r="C70" i="5" s="1"/>
  <c r="AR70" i="5" s="1"/>
  <c r="D74" i="5"/>
  <c r="C74" i="5" s="1"/>
  <c r="AR74" i="5" s="1"/>
  <c r="D68" i="5"/>
  <c r="C68" i="5" s="1"/>
  <c r="AR68" i="5" s="1"/>
  <c r="D30" i="5"/>
  <c r="C30" i="5" s="1"/>
  <c r="AR30" i="5" s="1"/>
  <c r="D23" i="5"/>
  <c r="D32" i="5"/>
  <c r="C32" i="5" s="1"/>
  <c r="AR32" i="5" s="1"/>
  <c r="D11" i="5"/>
  <c r="C11" i="5" s="1"/>
  <c r="AR11" i="5" s="1"/>
  <c r="D34" i="5"/>
  <c r="C34" i="5" s="1"/>
  <c r="AR34" i="5" s="1"/>
  <c r="D38" i="5"/>
  <c r="C38" i="5" s="1"/>
  <c r="AR38" i="5" s="1"/>
  <c r="D26" i="5"/>
  <c r="C26" i="5" s="1"/>
  <c r="AR26" i="5" s="1"/>
  <c r="D27" i="5"/>
  <c r="C27" i="5" s="1"/>
  <c r="AR27" i="5" s="1"/>
  <c r="D19" i="5"/>
  <c r="C19" i="5" s="1"/>
  <c r="AR19" i="5" s="1"/>
  <c r="D24" i="5"/>
  <c r="C24" i="5" s="1"/>
  <c r="AR24" i="5" s="1"/>
  <c r="D84" i="5"/>
  <c r="C84" i="5" s="1"/>
  <c r="AR84" i="5" s="1"/>
  <c r="D194" i="5"/>
  <c r="C194" i="5" s="1"/>
  <c r="AR194" i="5" s="1"/>
  <c r="D92" i="5"/>
  <c r="C92" i="5" s="1"/>
  <c r="AR92" i="5" s="1"/>
  <c r="D62" i="5"/>
  <c r="C62" i="5" s="1"/>
  <c r="AR62" i="5" s="1"/>
  <c r="D28" i="5"/>
  <c r="C28" i="5" s="1"/>
  <c r="AR28" i="5" s="1"/>
  <c r="D17" i="5"/>
  <c r="C17" i="5" s="1"/>
  <c r="AR17" i="5" s="1"/>
  <c r="D10" i="5"/>
  <c r="C10" i="5" s="1"/>
  <c r="AR10" i="5" s="1"/>
  <c r="D35" i="5"/>
  <c r="C35" i="5" s="1"/>
  <c r="AR35" i="5" s="1"/>
  <c r="D193" i="5"/>
  <c r="C193" i="5" s="1"/>
  <c r="AR193" i="5" s="1"/>
  <c r="D61" i="5"/>
  <c r="C61" i="5" s="1"/>
  <c r="AR61" i="5" s="1"/>
  <c r="D89" i="5"/>
  <c r="C89" i="5" s="1"/>
  <c r="AR89" i="5" s="1"/>
  <c r="D14" i="5"/>
  <c r="C14" i="5" s="1"/>
  <c r="AR14" i="5" s="1"/>
  <c r="D16" i="5"/>
  <c r="C16" i="5" s="1"/>
  <c r="AR16" i="5" s="1"/>
  <c r="D98" i="5"/>
  <c r="C98" i="5" s="1"/>
  <c r="AR98" i="5" s="1"/>
  <c r="D195" i="5"/>
  <c r="C195" i="5" s="1"/>
  <c r="AR195" i="5" s="1"/>
  <c r="D100" i="5"/>
  <c r="C100" i="5" s="1"/>
  <c r="AR100" i="5" s="1"/>
  <c r="D102" i="5"/>
  <c r="C102" i="5" s="1"/>
  <c r="AR102" i="5" s="1"/>
  <c r="D99" i="5"/>
  <c r="C99" i="5" s="1"/>
  <c r="AR99" i="5" s="1"/>
  <c r="D97" i="5"/>
  <c r="C97" i="5" s="1"/>
  <c r="AR97" i="5" s="1"/>
  <c r="D96" i="5"/>
  <c r="C96" i="5" s="1"/>
  <c r="AR96" i="5" s="1"/>
  <c r="D101" i="5"/>
  <c r="C101" i="5" s="1"/>
  <c r="AR101" i="5" s="1"/>
  <c r="D42" i="5"/>
  <c r="C42" i="5" s="1"/>
  <c r="AR42" i="5" s="1"/>
  <c r="D41" i="5"/>
  <c r="C41" i="5" s="1"/>
  <c r="AR41" i="5" s="1"/>
  <c r="D197" i="5"/>
  <c r="C197" i="5" s="1"/>
  <c r="AR197" i="5" s="1"/>
  <c r="D200" i="5"/>
  <c r="C200" i="5" s="1"/>
  <c r="AR200" i="5" s="1"/>
  <c r="D203" i="5"/>
  <c r="C203" i="5" s="1"/>
  <c r="AR203" i="5" s="1"/>
  <c r="D205" i="5"/>
  <c r="C205" i="5" s="1"/>
  <c r="AR205" i="5" s="1"/>
  <c r="D208" i="5"/>
  <c r="C208" i="5" s="1"/>
  <c r="AR208" i="5" s="1"/>
  <c r="D201" i="5"/>
  <c r="C201" i="5" s="1"/>
  <c r="AR201" i="5" s="1"/>
  <c r="D196" i="5"/>
  <c r="C196" i="5" s="1"/>
  <c r="AR196" i="5" s="1"/>
  <c r="D199" i="5"/>
  <c r="C199" i="5" s="1"/>
  <c r="AR199" i="5" s="1"/>
  <c r="D204" i="5"/>
  <c r="C204" i="5" s="1"/>
  <c r="AR204" i="5" s="1"/>
  <c r="D198" i="5"/>
  <c r="C198" i="5" s="1"/>
  <c r="AR198" i="5" s="1"/>
  <c r="D206" i="5"/>
  <c r="C206" i="5" s="1"/>
  <c r="AR206" i="5" s="1"/>
  <c r="D202" i="5"/>
  <c r="C202" i="5" s="1"/>
  <c r="AR202" i="5" s="1"/>
  <c r="D172" i="5"/>
  <c r="C172" i="5" s="1"/>
  <c r="AR172" i="5" s="1"/>
  <c r="D174" i="5"/>
  <c r="C174" i="5" s="1"/>
  <c r="AR174" i="5" s="1"/>
  <c r="D175" i="5"/>
  <c r="C175" i="5" s="1"/>
  <c r="AR175" i="5" s="1"/>
  <c r="D173" i="5"/>
  <c r="C173" i="5" s="1"/>
  <c r="AR173" i="5" s="1"/>
  <c r="D171" i="5"/>
  <c r="C171" i="5" s="1"/>
  <c r="AR171" i="5" s="1"/>
  <c r="D207" i="5"/>
  <c r="C207" i="5" s="1"/>
  <c r="AR207" i="5" s="1"/>
  <c r="D103" i="5"/>
  <c r="C103" i="5" s="1"/>
  <c r="AR103" i="5" s="1"/>
  <c r="D105" i="5"/>
  <c r="C105" i="5" s="1"/>
  <c r="AR105" i="5" s="1"/>
  <c r="D210" i="5"/>
  <c r="C210" i="5" s="1"/>
  <c r="AR210" i="5" s="1"/>
  <c r="D104" i="5"/>
  <c r="C104" i="5" s="1"/>
  <c r="AR104" i="5" s="1"/>
  <c r="D246" i="5"/>
  <c r="C246" i="5" s="1"/>
  <c r="AR246" i="5" s="1"/>
  <c r="D247" i="5"/>
  <c r="C247" i="5" s="1"/>
  <c r="AR247" i="5" s="1"/>
  <c r="D249" i="5"/>
  <c r="C249" i="5" s="1"/>
  <c r="AR249" i="5" s="1"/>
  <c r="D248" i="5"/>
  <c r="C248" i="5" s="1"/>
  <c r="AR248" i="5" s="1"/>
  <c r="D245" i="5"/>
  <c r="C245" i="5" s="1"/>
  <c r="AR245" i="5" s="1"/>
  <c r="D212" i="5"/>
  <c r="C212" i="5" s="1"/>
  <c r="AR212" i="5" s="1"/>
  <c r="D209" i="5"/>
  <c r="C209" i="5" s="1"/>
  <c r="AR209" i="5" s="1"/>
  <c r="D211" i="5"/>
  <c r="C211" i="5" s="1"/>
  <c r="AR211" i="5" s="1"/>
  <c r="D214" i="5"/>
  <c r="C214" i="5" s="1"/>
  <c r="AR214" i="5" s="1"/>
  <c r="D109" i="5"/>
  <c r="C109" i="5" s="1"/>
  <c r="AR109" i="5" s="1"/>
  <c r="D113" i="5"/>
  <c r="C113" i="5" s="1"/>
  <c r="AR113" i="5" s="1"/>
  <c r="D119" i="5"/>
  <c r="C119" i="5" s="1"/>
  <c r="AR119" i="5" s="1"/>
  <c r="D114" i="5"/>
  <c r="C114" i="5" s="1"/>
  <c r="AR114" i="5" s="1"/>
  <c r="D116" i="5"/>
  <c r="C116" i="5" s="1"/>
  <c r="AR116" i="5" s="1"/>
  <c r="D112" i="5"/>
  <c r="C112" i="5" s="1"/>
  <c r="AR112" i="5" s="1"/>
  <c r="D107" i="5"/>
  <c r="C107" i="5" s="1"/>
  <c r="AR107" i="5" s="1"/>
  <c r="D117" i="5"/>
  <c r="C117" i="5" s="1"/>
  <c r="AR117" i="5" s="1"/>
  <c r="D108" i="5"/>
  <c r="C108" i="5" s="1"/>
  <c r="AR108" i="5" s="1"/>
  <c r="D111" i="5"/>
  <c r="C111" i="5" s="1"/>
  <c r="AR111" i="5" s="1"/>
  <c r="D120" i="5"/>
  <c r="C120" i="5" s="1"/>
  <c r="AR120" i="5" s="1"/>
  <c r="D110" i="5"/>
  <c r="C110" i="5" s="1"/>
  <c r="AR110" i="5" s="1"/>
  <c r="D118" i="5"/>
  <c r="C118" i="5" s="1"/>
  <c r="AR118" i="5" s="1"/>
  <c r="D115" i="5"/>
  <c r="C115" i="5" s="1"/>
  <c r="AR115" i="5" s="1"/>
  <c r="D106" i="5"/>
  <c r="C106" i="5" s="1"/>
  <c r="AR106" i="5" s="1"/>
  <c r="D215" i="5"/>
  <c r="C215" i="5" s="1"/>
  <c r="AR215" i="5" s="1"/>
  <c r="D216" i="5"/>
  <c r="C216" i="5" s="1"/>
  <c r="AR216" i="5" s="1"/>
  <c r="D213" i="5"/>
  <c r="C213" i="5" s="1"/>
  <c r="AR213" i="5" s="1"/>
  <c r="D217" i="5"/>
  <c r="C217" i="5" s="1"/>
  <c r="AR217" i="5" s="1"/>
  <c r="D178" i="5"/>
  <c r="C178" i="5" s="1"/>
  <c r="AR178" i="5" s="1"/>
  <c r="D176" i="5"/>
  <c r="C176" i="5" s="1"/>
  <c r="AR176" i="5" s="1"/>
  <c r="D177" i="5"/>
  <c r="C177" i="5" s="1"/>
  <c r="AR177" i="5" s="1"/>
  <c r="D250" i="5"/>
  <c r="C250" i="5" s="1"/>
  <c r="AR250" i="5" s="1"/>
  <c r="D121" i="5"/>
  <c r="C121" i="5" s="1"/>
  <c r="AR121" i="5" s="1"/>
  <c r="D254" i="5"/>
  <c r="C254" i="5" s="1"/>
  <c r="AR254" i="5" s="1"/>
  <c r="D252" i="5"/>
  <c r="C252" i="5" s="1"/>
  <c r="AR252" i="5" s="1"/>
  <c r="D255" i="5"/>
  <c r="C255" i="5" s="1"/>
  <c r="AR255" i="5" s="1"/>
  <c r="D253" i="5"/>
  <c r="C253" i="5" s="1"/>
  <c r="AR253" i="5" s="1"/>
  <c r="D219" i="5"/>
  <c r="C219" i="5" s="1"/>
  <c r="AR219" i="5" s="1"/>
  <c r="D218" i="5"/>
  <c r="C218" i="5" s="1"/>
  <c r="AR218" i="5" s="1"/>
  <c r="D222" i="5"/>
  <c r="C222" i="5" s="1"/>
  <c r="AR222" i="5" s="1"/>
  <c r="D220" i="5"/>
  <c r="C220" i="5" s="1"/>
  <c r="AR220" i="5" s="1"/>
  <c r="D251" i="5"/>
  <c r="C251" i="5" s="1"/>
  <c r="AR251" i="5" s="1"/>
  <c r="D221" i="5"/>
  <c r="C221" i="5" s="1"/>
  <c r="AR221" i="5" s="1"/>
  <c r="D124" i="5"/>
  <c r="C124" i="5" s="1"/>
  <c r="AR124" i="5" s="1"/>
  <c r="D127" i="5"/>
  <c r="C127" i="5" s="1"/>
  <c r="AR127" i="5" s="1"/>
  <c r="D125" i="5"/>
  <c r="C125" i="5" s="1"/>
  <c r="AR125" i="5" s="1"/>
  <c r="D123" i="5"/>
  <c r="C123" i="5" s="1"/>
  <c r="AR123" i="5" s="1"/>
  <c r="D128" i="5"/>
  <c r="C128" i="5" s="1"/>
  <c r="AR128" i="5" s="1"/>
  <c r="D126" i="5"/>
  <c r="C126" i="5" s="1"/>
  <c r="AR126" i="5" s="1"/>
  <c r="D122" i="5"/>
  <c r="C122" i="5" s="1"/>
  <c r="AR122" i="5" s="1"/>
  <c r="D129" i="5"/>
  <c r="C129" i="5" s="1"/>
  <c r="AR129" i="5" s="1"/>
  <c r="D256" i="5"/>
  <c r="C256" i="5" s="1"/>
  <c r="AR256" i="5" s="1"/>
  <c r="D223" i="5"/>
  <c r="C223" i="5" s="1"/>
  <c r="AR223" i="5" s="1"/>
  <c r="D225" i="5"/>
  <c r="C225" i="5" s="1"/>
  <c r="AR225" i="5" s="1"/>
  <c r="D130" i="5"/>
  <c r="C130" i="5" s="1"/>
  <c r="AR130" i="5" s="1"/>
  <c r="D132" i="5"/>
  <c r="C132" i="5" s="1"/>
  <c r="AR132" i="5" s="1"/>
  <c r="D131" i="5"/>
  <c r="C131" i="5" s="1"/>
  <c r="AR131" i="5" s="1"/>
  <c r="D257" i="5"/>
  <c r="C257" i="5" s="1"/>
  <c r="AR257" i="5" s="1"/>
  <c r="D133" i="5"/>
  <c r="C133" i="5" s="1"/>
  <c r="AR133" i="5" s="1"/>
  <c r="D139" i="5"/>
  <c r="C139" i="5" s="1"/>
  <c r="AR139" i="5" s="1"/>
  <c r="D136" i="5"/>
  <c r="C136" i="5" s="1"/>
  <c r="AR136" i="5" s="1"/>
  <c r="D138" i="5"/>
  <c r="C138" i="5" s="1"/>
  <c r="AR138" i="5" s="1"/>
  <c r="D134" i="5"/>
  <c r="C134" i="5" s="1"/>
  <c r="AR134" i="5" s="1"/>
  <c r="D135" i="5"/>
  <c r="C135" i="5" s="1"/>
  <c r="AR135" i="5" s="1"/>
  <c r="D137" i="5"/>
  <c r="C137" i="5" s="1"/>
  <c r="AR137" i="5" s="1"/>
  <c r="D140" i="5"/>
  <c r="C140" i="5" s="1"/>
  <c r="AR140" i="5" s="1"/>
  <c r="D141" i="5"/>
  <c r="C141" i="5" s="1"/>
  <c r="AR141" i="5" s="1"/>
  <c r="D179" i="5"/>
  <c r="C179" i="5" s="1"/>
  <c r="AR179" i="5" s="1"/>
  <c r="D226" i="5"/>
  <c r="C226" i="5" s="1"/>
  <c r="AR226" i="5" s="1"/>
  <c r="D258" i="5"/>
  <c r="C258" i="5" s="1"/>
  <c r="AR258" i="5" s="1"/>
  <c r="D227" i="5"/>
  <c r="C227" i="5" s="1"/>
  <c r="AR227" i="5" s="1"/>
  <c r="D145" i="5"/>
  <c r="C145" i="5" s="1"/>
  <c r="AR145" i="5" s="1"/>
  <c r="D146" i="5"/>
  <c r="C146" i="5" s="1"/>
  <c r="AR146" i="5" s="1"/>
  <c r="D144" i="5"/>
  <c r="C144" i="5" s="1"/>
  <c r="AR144" i="5" s="1"/>
  <c r="D143" i="5"/>
  <c r="C143" i="5" s="1"/>
  <c r="AR143" i="5" s="1"/>
  <c r="D142" i="5"/>
  <c r="C142" i="5" s="1"/>
  <c r="AR142" i="5" s="1"/>
  <c r="D44" i="5"/>
  <c r="C44" i="5" s="1"/>
  <c r="AR44" i="5" s="1"/>
  <c r="D147" i="5"/>
  <c r="C147" i="5" s="1"/>
  <c r="AR147" i="5" s="1"/>
  <c r="D148" i="5"/>
  <c r="C148" i="5" s="1"/>
  <c r="AR148" i="5" s="1"/>
  <c r="D46" i="5"/>
  <c r="C46" i="5" s="1"/>
  <c r="AR46" i="5" s="1"/>
  <c r="D45" i="5"/>
  <c r="C45" i="5" s="1"/>
  <c r="AR45" i="5" s="1"/>
  <c r="D150" i="5"/>
  <c r="C150" i="5" s="1"/>
  <c r="AR150" i="5" s="1"/>
  <c r="D149" i="5"/>
  <c r="C149" i="5" s="1"/>
  <c r="AR149" i="5" s="1"/>
  <c r="D47" i="5"/>
  <c r="C47" i="5" s="1"/>
  <c r="AR47" i="5" s="1"/>
  <c r="D50" i="5"/>
  <c r="C50" i="5" s="1"/>
  <c r="AR50" i="5" s="1"/>
  <c r="D48" i="5"/>
  <c r="C48" i="5" s="1"/>
  <c r="AR48" i="5" s="1"/>
  <c r="D49" i="5"/>
  <c r="C49" i="5" s="1"/>
  <c r="AR49" i="5" s="1"/>
  <c r="D151" i="5"/>
  <c r="C151" i="5" s="1"/>
  <c r="AR151" i="5" s="1"/>
  <c r="D152" i="5"/>
  <c r="C152" i="5" s="1"/>
  <c r="AR152" i="5" s="1"/>
  <c r="D153" i="5"/>
  <c r="C153" i="5" s="1"/>
  <c r="AR153" i="5" s="1"/>
  <c r="D259" i="5"/>
  <c r="C259" i="5" s="1"/>
  <c r="AR259" i="5" s="1"/>
  <c r="D51" i="5"/>
  <c r="C51" i="5" s="1"/>
  <c r="AR51" i="5" s="1"/>
  <c r="D154" i="5"/>
  <c r="C154" i="5" s="1"/>
  <c r="AR154" i="5" s="1"/>
  <c r="D156" i="5"/>
  <c r="C156" i="5" s="1"/>
  <c r="AR156" i="5" s="1"/>
  <c r="D155" i="5"/>
  <c r="C155" i="5" s="1"/>
  <c r="AR155" i="5" s="1"/>
  <c r="D52" i="5"/>
  <c r="C52" i="5" s="1"/>
  <c r="AR52" i="5" s="1"/>
  <c r="D228" i="5"/>
  <c r="C228" i="5" s="1"/>
  <c r="AR228" i="5" s="1"/>
  <c r="D157" i="5"/>
  <c r="C157" i="5" s="1"/>
  <c r="AR157" i="5" s="1"/>
  <c r="D53" i="5"/>
  <c r="C53" i="5" s="1"/>
  <c r="AR53" i="5" s="1"/>
  <c r="D158" i="5"/>
  <c r="C158" i="5" s="1"/>
  <c r="AR158" i="5" s="1"/>
  <c r="D159" i="5"/>
  <c r="C159" i="5" s="1"/>
  <c r="AR159" i="5" s="1"/>
  <c r="D54" i="5"/>
  <c r="C54" i="5" s="1"/>
  <c r="AR54" i="5" s="1"/>
  <c r="D160" i="5"/>
  <c r="C160" i="5" s="1"/>
  <c r="AR160" i="5" s="1"/>
  <c r="D161" i="5"/>
  <c r="C161" i="5" s="1"/>
  <c r="AR161" i="5" s="1"/>
  <c r="D55" i="5"/>
  <c r="C55" i="5" s="1"/>
  <c r="AR55" i="5" s="1"/>
  <c r="D162" i="5"/>
  <c r="C162" i="5" s="1"/>
  <c r="AR162" i="5" s="1"/>
  <c r="D163" i="5"/>
  <c r="C163" i="5" s="1"/>
  <c r="AR163" i="5" s="1"/>
  <c r="D57" i="5"/>
  <c r="C57" i="5" s="1"/>
  <c r="AR57" i="5" s="1"/>
  <c r="D56" i="5"/>
  <c r="C56" i="5" s="1"/>
  <c r="AR56" i="5" s="1"/>
  <c r="D180" i="5"/>
  <c r="C180" i="5" s="1"/>
  <c r="AR180" i="5" s="1"/>
  <c r="D164" i="5"/>
  <c r="C164" i="5" s="1"/>
  <c r="AR164" i="5" s="1"/>
  <c r="D165" i="5"/>
  <c r="C165" i="5" s="1"/>
  <c r="AR165" i="5" s="1"/>
  <c r="D229" i="5"/>
  <c r="C229" i="5" s="1"/>
  <c r="AR229" i="5" s="1"/>
  <c r="D181" i="5"/>
  <c r="C181" i="5" s="1"/>
  <c r="AR181" i="5" s="1"/>
  <c r="D230" i="5"/>
  <c r="C230" i="5" s="1"/>
  <c r="AR230" i="5" s="1"/>
  <c r="D231" i="5"/>
  <c r="C231" i="5" s="1"/>
  <c r="AR231" i="5" s="1"/>
  <c r="D232" i="5"/>
  <c r="C232" i="5" s="1"/>
  <c r="AR232" i="5" s="1"/>
  <c r="D235" i="5"/>
  <c r="C235" i="5" s="1"/>
  <c r="AR235" i="5" s="1"/>
  <c r="D233" i="5"/>
  <c r="C233" i="5" s="1"/>
  <c r="AR233" i="5" s="1"/>
  <c r="D234" i="5"/>
  <c r="C234" i="5" s="1"/>
  <c r="AR234" i="5" s="1"/>
  <c r="D167" i="5"/>
  <c r="C167" i="5" s="1"/>
  <c r="AR167" i="5" s="1"/>
  <c r="D166" i="5"/>
  <c r="C166" i="5" s="1"/>
  <c r="AR166" i="5" s="1"/>
  <c r="D168" i="5"/>
  <c r="C168" i="5" s="1"/>
  <c r="AR168" i="5" s="1"/>
  <c r="D169" i="5"/>
  <c r="C169" i="5" s="1"/>
  <c r="AR169" i="5" s="1"/>
  <c r="D182" i="5"/>
  <c r="C182" i="5" s="1"/>
  <c r="AR182" i="5" s="1"/>
  <c r="D1232" i="5"/>
  <c r="C1232" i="5" s="1"/>
  <c r="AR1232" i="5" s="1"/>
  <c r="D236" i="5"/>
  <c r="C236" i="5" s="1"/>
  <c r="AR236" i="5" s="1"/>
  <c r="D183" i="5"/>
  <c r="C183" i="5" s="1"/>
  <c r="AR183" i="5" s="1"/>
  <c r="D260" i="5"/>
  <c r="C260" i="5" s="1"/>
  <c r="AR260" i="5" s="1"/>
  <c r="D239" i="5"/>
  <c r="C239" i="5" s="1"/>
  <c r="AR239" i="5" s="1"/>
  <c r="C1404" i="5"/>
  <c r="AR1404" i="5" s="1"/>
  <c r="C1402" i="5"/>
  <c r="AR1402" i="5" s="1"/>
  <c r="C1400" i="5"/>
  <c r="AR1400" i="5" s="1"/>
  <c r="C1401" i="5"/>
  <c r="AR1401" i="5" s="1"/>
  <c r="C1403" i="5"/>
  <c r="AR1403" i="5" s="1"/>
  <c r="C1396" i="5"/>
  <c r="AR1396" i="5" s="1"/>
  <c r="C1398" i="5"/>
  <c r="AR1398" i="5" s="1"/>
  <c r="C1397" i="5"/>
  <c r="AR1397" i="5" s="1"/>
  <c r="C1395" i="5"/>
  <c r="AR1395" i="5" s="1"/>
  <c r="C1399" i="5"/>
  <c r="AR1399" i="5" s="1"/>
  <c r="C1394" i="5"/>
  <c r="AR1394" i="5" s="1"/>
  <c r="C1393" i="5"/>
  <c r="AR1393" i="5" s="1"/>
  <c r="C1391" i="5"/>
  <c r="AR1391" i="5" s="1"/>
  <c r="C1392" i="5"/>
  <c r="AR1392" i="5" s="1"/>
  <c r="C1390" i="5"/>
  <c r="AR1390" i="5" s="1"/>
  <c r="C1389" i="5"/>
  <c r="AR1389" i="5" s="1"/>
  <c r="C1388" i="5"/>
  <c r="AR1388" i="5" s="1"/>
  <c r="C1387" i="5"/>
  <c r="AR1387" i="5" s="1"/>
  <c r="C1375" i="5"/>
  <c r="AR1375" i="5" s="1"/>
  <c r="C1381" i="5"/>
  <c r="AR1381" i="5" s="1"/>
  <c r="C1380" i="5"/>
  <c r="AR1380" i="5" s="1"/>
  <c r="C1377" i="5"/>
  <c r="AR1377" i="5" s="1"/>
  <c r="C1376" i="5"/>
  <c r="AR1376" i="5" s="1"/>
  <c r="C1382" i="5"/>
  <c r="AR1382" i="5" s="1"/>
  <c r="C1384" i="5"/>
  <c r="AR1384" i="5" s="1"/>
  <c r="C1378" i="5"/>
  <c r="AR1378" i="5" s="1"/>
  <c r="C1385" i="5"/>
  <c r="AR1385" i="5" s="1"/>
  <c r="C1386" i="5"/>
  <c r="AR1386" i="5" s="1"/>
  <c r="C1379" i="5"/>
  <c r="AR1379" i="5" s="1"/>
  <c r="C1383" i="5"/>
  <c r="AR1383" i="5" s="1"/>
  <c r="C1374" i="5"/>
  <c r="AR1374" i="5" s="1"/>
  <c r="C1372" i="5"/>
  <c r="AR1372" i="5" s="1"/>
  <c r="C1373" i="5"/>
  <c r="AR1373" i="5" s="1"/>
  <c r="C1371" i="5"/>
  <c r="AR1371" i="5" s="1"/>
  <c r="C1363" i="5"/>
  <c r="AR1363" i="5" s="1"/>
  <c r="C1366" i="5"/>
  <c r="AR1366" i="5" s="1"/>
  <c r="C1364" i="5"/>
  <c r="AR1364" i="5" s="1"/>
  <c r="C1365" i="5"/>
  <c r="AR1365" i="5" s="1"/>
  <c r="C1369" i="5"/>
  <c r="AR1369" i="5" s="1"/>
  <c r="C1362" i="5"/>
  <c r="AR1362" i="5" s="1"/>
  <c r="C1367" i="5"/>
  <c r="AR1367" i="5" s="1"/>
  <c r="C1370" i="5"/>
  <c r="AR1370" i="5" s="1"/>
  <c r="C1368" i="5"/>
  <c r="AR1368" i="5" s="1"/>
  <c r="C1332" i="5"/>
  <c r="AR1332" i="5" s="1"/>
  <c r="C1340" i="5"/>
  <c r="AR1340" i="5" s="1"/>
  <c r="C1343" i="5"/>
  <c r="AR1343" i="5" s="1"/>
  <c r="C1344" i="5"/>
  <c r="AR1344" i="5" s="1"/>
  <c r="C1348" i="5"/>
  <c r="AR1348" i="5" s="1"/>
  <c r="C1351" i="5"/>
  <c r="AR1351" i="5" s="1"/>
  <c r="C1341" i="5"/>
  <c r="AR1341" i="5" s="1"/>
  <c r="C1349" i="5"/>
  <c r="AR1349" i="5" s="1"/>
  <c r="C1355" i="5"/>
  <c r="AR1355" i="5" s="1"/>
  <c r="C1354" i="5"/>
  <c r="AR1354" i="5" s="1"/>
  <c r="C1338" i="5"/>
  <c r="AR1338" i="5" s="1"/>
  <c r="C1342" i="5"/>
  <c r="AR1342" i="5" s="1"/>
  <c r="C1350" i="5"/>
  <c r="AR1350" i="5" s="1"/>
  <c r="C1346" i="5"/>
  <c r="AR1346" i="5" s="1"/>
  <c r="C1333" i="5"/>
  <c r="AR1333" i="5" s="1"/>
  <c r="C1334" i="5"/>
  <c r="AR1334" i="5" s="1"/>
  <c r="C1336" i="5"/>
  <c r="AR1336" i="5" s="1"/>
  <c r="C1335" i="5"/>
  <c r="AR1335" i="5" s="1"/>
  <c r="C1337" i="5"/>
  <c r="AR1337" i="5" s="1"/>
  <c r="C1345" i="5"/>
  <c r="AR1345" i="5" s="1"/>
  <c r="C1339" i="5"/>
  <c r="AR1339" i="5" s="1"/>
  <c r="C1360" i="5"/>
  <c r="AR1360" i="5" s="1"/>
  <c r="C1353" i="5"/>
  <c r="AR1353" i="5" s="1"/>
  <c r="C1347" i="5"/>
  <c r="AR1347" i="5" s="1"/>
  <c r="C1361" i="5"/>
  <c r="AR1361" i="5" s="1"/>
  <c r="C1356" i="5"/>
  <c r="AR1356" i="5" s="1"/>
  <c r="C1358" i="5"/>
  <c r="AR1358" i="5" s="1"/>
  <c r="C1359" i="5"/>
  <c r="AR1359" i="5" s="1"/>
  <c r="C1352" i="5"/>
  <c r="AR1352" i="5" s="1"/>
  <c r="C1357" i="5"/>
  <c r="AR1357" i="5" s="1"/>
  <c r="C1331" i="5"/>
  <c r="AR1331" i="5" s="1"/>
  <c r="C1317" i="5"/>
  <c r="AR1317" i="5" s="1"/>
  <c r="C1316" i="5"/>
  <c r="AR1316" i="5" s="1"/>
  <c r="C1318" i="5"/>
  <c r="AR1318" i="5" s="1"/>
  <c r="C1322" i="5"/>
  <c r="AR1322" i="5" s="1"/>
  <c r="C1325" i="5"/>
  <c r="AR1325" i="5" s="1"/>
  <c r="C1328" i="5"/>
  <c r="AR1328" i="5" s="1"/>
  <c r="C1323" i="5"/>
  <c r="AR1323" i="5" s="1"/>
  <c r="C1324" i="5"/>
  <c r="AR1324" i="5" s="1"/>
  <c r="C1320" i="5"/>
  <c r="AR1320" i="5" s="1"/>
  <c r="C1319" i="5"/>
  <c r="AR1319" i="5" s="1"/>
  <c r="C1327" i="5"/>
  <c r="AR1327" i="5" s="1"/>
  <c r="C1321" i="5"/>
  <c r="AR1321" i="5" s="1"/>
  <c r="C1329" i="5"/>
  <c r="AR1329" i="5" s="1"/>
  <c r="C1330" i="5"/>
  <c r="AR1330" i="5" s="1"/>
  <c r="C1326" i="5"/>
  <c r="AR1326" i="5" s="1"/>
  <c r="C1305" i="5"/>
  <c r="AR1305" i="5" s="1"/>
  <c r="C1300" i="5"/>
  <c r="AR1300" i="5" s="1"/>
  <c r="C1301" i="5"/>
  <c r="AR1301" i="5" s="1"/>
  <c r="C1302" i="5"/>
  <c r="AR1302" i="5" s="1"/>
  <c r="C1304" i="5"/>
  <c r="AR1304" i="5" s="1"/>
  <c r="C1313" i="5"/>
  <c r="AR1313" i="5" s="1"/>
  <c r="C1315" i="5"/>
  <c r="AR1315" i="5" s="1"/>
  <c r="C1312" i="5"/>
  <c r="AR1312" i="5" s="1"/>
  <c r="C1314" i="5"/>
  <c r="AR1314" i="5" s="1"/>
  <c r="C1294" i="5"/>
  <c r="AR1294" i="5" s="1"/>
  <c r="C1295" i="5"/>
  <c r="AR1295" i="5" s="1"/>
  <c r="C1297" i="5"/>
  <c r="AR1297" i="5" s="1"/>
  <c r="C1308" i="5"/>
  <c r="AR1308" i="5" s="1"/>
  <c r="C1303" i="5"/>
  <c r="AR1303" i="5" s="1"/>
  <c r="C1296" i="5"/>
  <c r="AR1296" i="5" s="1"/>
  <c r="C1291" i="5"/>
  <c r="AR1291" i="5" s="1"/>
  <c r="C1293" i="5"/>
  <c r="AR1293" i="5" s="1"/>
  <c r="C1292" i="5"/>
  <c r="AR1292" i="5" s="1"/>
  <c r="C1298" i="5"/>
  <c r="AR1298" i="5" s="1"/>
  <c r="C1299" i="5"/>
  <c r="AR1299" i="5" s="1"/>
  <c r="C1307" i="5"/>
  <c r="AR1307" i="5" s="1"/>
  <c r="C1310" i="5"/>
  <c r="AR1310" i="5" s="1"/>
  <c r="C1309" i="5"/>
  <c r="AR1309" i="5" s="1"/>
  <c r="C1311" i="5"/>
  <c r="AR1311" i="5" s="1"/>
  <c r="C1306" i="5"/>
  <c r="AR1306" i="5" s="1"/>
  <c r="C1290" i="5"/>
  <c r="AR1290" i="5" s="1"/>
  <c r="C1286" i="5"/>
  <c r="AR1286" i="5" s="1"/>
  <c r="C1284" i="5"/>
  <c r="AR1284" i="5" s="1"/>
  <c r="C1282" i="5"/>
  <c r="AR1282" i="5" s="1"/>
  <c r="C1283" i="5"/>
  <c r="AR1283" i="5" s="1"/>
  <c r="C1289" i="5"/>
  <c r="AR1289" i="5" s="1"/>
  <c r="C1279" i="5"/>
  <c r="C1281" i="5"/>
  <c r="AR1281" i="5" s="1"/>
  <c r="C1285" i="5"/>
  <c r="AR1285" i="5" s="1"/>
  <c r="C1280" i="5"/>
  <c r="C1288" i="5"/>
  <c r="AR1288" i="5" s="1"/>
  <c r="C1287" i="5"/>
  <c r="AR1287" i="5" s="1"/>
  <c r="C1277" i="5"/>
  <c r="AR1277" i="5" s="1"/>
  <c r="C1278" i="5"/>
  <c r="AR1278" i="5" s="1"/>
  <c r="C1276" i="5"/>
  <c r="AR1276" i="5" s="1"/>
  <c r="C1269" i="5"/>
  <c r="AR1269" i="5" s="1"/>
  <c r="C1274" i="5"/>
  <c r="AR1274" i="5" s="1"/>
  <c r="C1270" i="5"/>
  <c r="AR1270" i="5" s="1"/>
  <c r="C1263" i="5"/>
  <c r="AR1263" i="5" s="1"/>
  <c r="C1272" i="5"/>
  <c r="AR1272" i="5" s="1"/>
  <c r="C1260" i="5"/>
  <c r="AR1260" i="5" s="1"/>
  <c r="C1266" i="5"/>
  <c r="AR1266" i="5" s="1"/>
  <c r="C1268" i="5"/>
  <c r="AR1268" i="5" s="1"/>
  <c r="C1267" i="5"/>
  <c r="AR1267" i="5" s="1"/>
  <c r="C1254" i="5"/>
  <c r="AR1254" i="5" s="1"/>
  <c r="C1271" i="5"/>
  <c r="AR1271" i="5" s="1"/>
  <c r="C1273" i="5"/>
  <c r="AR1273" i="5" s="1"/>
  <c r="C1262" i="5"/>
  <c r="AR1262" i="5" s="1"/>
  <c r="C1259" i="5"/>
  <c r="AR1259" i="5" s="1"/>
  <c r="C1275" i="5"/>
  <c r="AR1275" i="5" s="1"/>
  <c r="C1265" i="5"/>
  <c r="AR1265" i="5" s="1"/>
  <c r="C1258" i="5"/>
  <c r="AR1258" i="5" s="1"/>
  <c r="C1261" i="5"/>
  <c r="AR1261" i="5" s="1"/>
  <c r="C1257" i="5"/>
  <c r="AR1257" i="5" s="1"/>
  <c r="C1253" i="5"/>
  <c r="AR1253" i="5" s="1"/>
  <c r="C1256" i="5"/>
  <c r="AR1256" i="5" s="1"/>
  <c r="C1255" i="5"/>
  <c r="AR1255" i="5" s="1"/>
  <c r="C1252" i="5"/>
  <c r="AR1252" i="5" s="1"/>
  <c r="C1251" i="5"/>
  <c r="AR1251" i="5" s="1"/>
  <c r="C1250" i="5"/>
  <c r="AR1250" i="5" s="1"/>
  <c r="C1249" i="5"/>
  <c r="AR1249" i="5" s="1"/>
  <c r="C1244" i="5"/>
  <c r="AR1244" i="5" s="1"/>
  <c r="C1248" i="5"/>
  <c r="AR1248" i="5" s="1"/>
  <c r="C1246" i="5"/>
  <c r="AR1246" i="5" s="1"/>
  <c r="C1245" i="5"/>
  <c r="AR1245" i="5" s="1"/>
  <c r="C1247" i="5"/>
  <c r="AR1247" i="5" s="1"/>
  <c r="C1242" i="5"/>
  <c r="C1243" i="5"/>
  <c r="AR1243" i="5" s="1"/>
  <c r="C1241" i="5"/>
  <c r="AR1241" i="5" s="1"/>
  <c r="C1240" i="5"/>
  <c r="AR1240" i="5" s="1"/>
  <c r="C1239" i="5"/>
  <c r="AR1239" i="5" s="1"/>
  <c r="C1238" i="5"/>
  <c r="AR1238" i="5" s="1"/>
  <c r="C1235" i="5"/>
  <c r="AR1235" i="5" s="1"/>
  <c r="C1237" i="5"/>
  <c r="AR1237" i="5" s="1"/>
  <c r="C1234" i="5"/>
  <c r="AR1234" i="5" s="1"/>
  <c r="C1236" i="5"/>
  <c r="AR1236" i="5" s="1"/>
  <c r="C1233" i="5"/>
  <c r="AR1233" i="5" s="1"/>
  <c r="C1231" i="5"/>
  <c r="AR1231" i="5" s="1"/>
  <c r="C1230" i="5"/>
  <c r="AR1230" i="5" s="1"/>
  <c r="C1229" i="5"/>
  <c r="AR1229" i="5" s="1"/>
  <c r="C1228" i="5"/>
  <c r="AR1228" i="5" s="1"/>
  <c r="C1223" i="5"/>
  <c r="AR1223" i="5" s="1"/>
  <c r="C1222" i="5"/>
  <c r="AR1222" i="5" s="1"/>
  <c r="C1221" i="5"/>
  <c r="AR1221" i="5" s="1"/>
  <c r="C1226" i="5"/>
  <c r="AR1226" i="5" s="1"/>
  <c r="C1220" i="5"/>
  <c r="AR1220" i="5" s="1"/>
  <c r="C1227" i="5"/>
  <c r="AR1227" i="5" s="1"/>
  <c r="C1224" i="5"/>
  <c r="AR1224" i="5" s="1"/>
  <c r="C1225" i="5"/>
  <c r="AR1225" i="5" s="1"/>
  <c r="C1219" i="5"/>
  <c r="AR1219" i="5" s="1"/>
  <c r="C1218" i="5"/>
  <c r="AR1218" i="5" s="1"/>
  <c r="C1217" i="5"/>
  <c r="AR1217" i="5" s="1"/>
  <c r="C1216" i="5"/>
  <c r="AR1216" i="5" s="1"/>
  <c r="C1215" i="5"/>
  <c r="AR1215" i="5" s="1"/>
  <c r="C1209" i="5"/>
  <c r="AR1209" i="5" s="1"/>
  <c r="C1208" i="5"/>
  <c r="AR1208" i="5" s="1"/>
  <c r="C1210" i="5"/>
  <c r="AR1210" i="5" s="1"/>
  <c r="C1213" i="5"/>
  <c r="AR1213" i="5" s="1"/>
  <c r="C1214" i="5"/>
  <c r="AR1214" i="5" s="1"/>
  <c r="C1212" i="5"/>
  <c r="AR1212" i="5" s="1"/>
  <c r="C1211" i="5"/>
  <c r="AR1211" i="5" s="1"/>
  <c r="C1207" i="5"/>
  <c r="AR1207" i="5" s="1"/>
  <c r="C1206" i="5"/>
  <c r="AR1206" i="5" s="1"/>
  <c r="C1204" i="5"/>
  <c r="AR1204" i="5" s="1"/>
  <c r="C1205" i="5"/>
  <c r="AR1205" i="5" s="1"/>
  <c r="C1203" i="5"/>
  <c r="AR1203" i="5" s="1"/>
  <c r="C1202" i="5"/>
  <c r="AR1202" i="5" s="1"/>
  <c r="C1197" i="5"/>
  <c r="AR1197" i="5" s="1"/>
  <c r="C1199" i="5"/>
  <c r="AR1199" i="5" s="1"/>
  <c r="C1198" i="5"/>
  <c r="AR1198" i="5" s="1"/>
  <c r="C1201" i="5"/>
  <c r="AR1201" i="5" s="1"/>
  <c r="C1200" i="5"/>
  <c r="AR1200" i="5" s="1"/>
  <c r="C1196" i="5"/>
  <c r="AR1196" i="5" s="1"/>
  <c r="C1187" i="5"/>
  <c r="AR1187" i="5" s="1"/>
  <c r="C1188" i="5"/>
  <c r="AR1188" i="5" s="1"/>
  <c r="C1194" i="5"/>
  <c r="AR1194" i="5" s="1"/>
  <c r="C1192" i="5"/>
  <c r="AR1192" i="5" s="1"/>
  <c r="C1193" i="5"/>
  <c r="AR1193" i="5" s="1"/>
  <c r="C1190" i="5"/>
  <c r="AR1190" i="5" s="1"/>
  <c r="C1189" i="5"/>
  <c r="AR1189" i="5" s="1"/>
  <c r="C1191" i="5"/>
  <c r="AR1191" i="5" s="1"/>
  <c r="C1195" i="5"/>
  <c r="AR1195" i="5" s="1"/>
  <c r="C1183" i="5"/>
  <c r="AR1183" i="5" s="1"/>
  <c r="C1182" i="5"/>
  <c r="AR1182" i="5" s="1"/>
  <c r="C1180" i="5"/>
  <c r="AR1180" i="5" s="1"/>
  <c r="C1181" i="5"/>
  <c r="AR1181" i="5" s="1"/>
  <c r="C1184" i="5"/>
  <c r="AR1184" i="5" s="1"/>
  <c r="C1186" i="5"/>
  <c r="AR1186" i="5" s="1"/>
  <c r="C1185" i="5"/>
  <c r="AR1185" i="5" s="1"/>
  <c r="C1167" i="5"/>
  <c r="AR1167" i="5" s="1"/>
  <c r="C1165" i="5"/>
  <c r="AR1165" i="5" s="1"/>
  <c r="C1166" i="5"/>
  <c r="AR1166" i="5" s="1"/>
  <c r="C1171" i="5"/>
  <c r="AR1171" i="5" s="1"/>
  <c r="C1168" i="5"/>
  <c r="AR1168" i="5" s="1"/>
  <c r="C1175" i="5"/>
  <c r="AR1175" i="5" s="1"/>
  <c r="C1176" i="5"/>
  <c r="AR1176" i="5" s="1"/>
  <c r="C1174" i="5"/>
  <c r="AR1174" i="5" s="1"/>
  <c r="C1169" i="5"/>
  <c r="AR1169" i="5" s="1"/>
  <c r="C1178" i="5"/>
  <c r="AR1178" i="5" s="1"/>
  <c r="C1179" i="5"/>
  <c r="AR1179" i="5" s="1"/>
  <c r="C1177" i="5"/>
  <c r="AR1177" i="5" s="1"/>
  <c r="C1172" i="5"/>
  <c r="AR1172" i="5" s="1"/>
  <c r="C1170" i="5"/>
  <c r="AR1170" i="5" s="1"/>
  <c r="C1173" i="5"/>
  <c r="AR1173" i="5" s="1"/>
  <c r="C1156" i="5"/>
  <c r="AR1156" i="5" s="1"/>
  <c r="C1161" i="5"/>
  <c r="AR1161" i="5" s="1"/>
  <c r="C1147" i="5"/>
  <c r="AR1147" i="5" s="1"/>
  <c r="C1148" i="5"/>
  <c r="AR1148" i="5" s="1"/>
  <c r="C1151" i="5"/>
  <c r="AR1151" i="5" s="1"/>
  <c r="C1146" i="5"/>
  <c r="AR1146" i="5" s="1"/>
  <c r="C1158" i="5"/>
  <c r="AR1158" i="5" s="1"/>
  <c r="C1149" i="5"/>
  <c r="AR1149" i="5" s="1"/>
  <c r="C1159" i="5"/>
  <c r="AR1159" i="5" s="1"/>
  <c r="C1164" i="5"/>
  <c r="AR1164" i="5" s="1"/>
  <c r="C1153" i="5"/>
  <c r="AR1153" i="5" s="1"/>
  <c r="C1145" i="5"/>
  <c r="AR1145" i="5" s="1"/>
  <c r="C1152" i="5"/>
  <c r="AR1152" i="5" s="1"/>
  <c r="C1160" i="5"/>
  <c r="AR1160" i="5" s="1"/>
  <c r="C1155" i="5"/>
  <c r="AR1155" i="5" s="1"/>
  <c r="C1157" i="5"/>
  <c r="AR1157" i="5" s="1"/>
  <c r="C1142" i="5"/>
  <c r="AR1142" i="5" s="1"/>
  <c r="C1150" i="5"/>
  <c r="AR1150" i="5" s="1"/>
  <c r="C1162" i="5"/>
  <c r="AR1162" i="5" s="1"/>
  <c r="C1163" i="5"/>
  <c r="AR1163" i="5" s="1"/>
  <c r="C1144" i="5"/>
  <c r="AR1144" i="5" s="1"/>
  <c r="C1154" i="5"/>
  <c r="AR1154" i="5" s="1"/>
  <c r="C1143" i="5"/>
  <c r="AR1143" i="5" s="1"/>
  <c r="C1139" i="5"/>
  <c r="AR1139" i="5" s="1"/>
  <c r="C1138" i="5"/>
  <c r="AR1138" i="5" s="1"/>
  <c r="C1135" i="5"/>
  <c r="AR1135" i="5" s="1"/>
  <c r="C1136" i="5"/>
  <c r="AR1136" i="5" s="1"/>
  <c r="C1137" i="5"/>
  <c r="AR1137" i="5" s="1"/>
  <c r="C1141" i="5"/>
  <c r="AR1141" i="5" s="1"/>
  <c r="C1140" i="5"/>
  <c r="AR1140" i="5" s="1"/>
  <c r="C1133" i="5"/>
  <c r="AR1133" i="5" s="1"/>
  <c r="C1132" i="5"/>
  <c r="AR1132" i="5" s="1"/>
  <c r="C1134" i="5"/>
  <c r="AR1134" i="5" s="1"/>
  <c r="C1131" i="5"/>
  <c r="AR1131" i="5" s="1"/>
  <c r="C1130" i="5"/>
  <c r="AR1130" i="5" s="1"/>
  <c r="C1129" i="5"/>
  <c r="AR1129" i="5" s="1"/>
  <c r="C1128" i="5"/>
  <c r="AR1128" i="5" s="1"/>
  <c r="C1125" i="5"/>
  <c r="AR1125" i="5" s="1"/>
  <c r="C1127" i="5"/>
  <c r="AR1127" i="5" s="1"/>
  <c r="C1124" i="5"/>
  <c r="AR1124" i="5" s="1"/>
  <c r="C1126" i="5"/>
  <c r="AR1126" i="5" s="1"/>
  <c r="C1123" i="5"/>
  <c r="AR1123" i="5" s="1"/>
  <c r="C1120" i="5"/>
  <c r="AR1120" i="5" s="1"/>
  <c r="C1122" i="5"/>
  <c r="AR1122" i="5" s="1"/>
  <c r="C1121" i="5"/>
  <c r="AR1121" i="5" s="1"/>
  <c r="C1118" i="5"/>
  <c r="AR1118" i="5" s="1"/>
  <c r="C1119" i="5"/>
  <c r="AR1119" i="5" s="1"/>
  <c r="C1116" i="5"/>
  <c r="AR1116" i="5" s="1"/>
  <c r="C1117" i="5"/>
  <c r="AR1117" i="5" s="1"/>
  <c r="C1114" i="5"/>
  <c r="AR1114" i="5" s="1"/>
  <c r="C1115" i="5"/>
  <c r="AR1115" i="5" s="1"/>
  <c r="C1112" i="5"/>
  <c r="AR1112" i="5" s="1"/>
  <c r="C1113" i="5"/>
  <c r="AR1113" i="5" s="1"/>
  <c r="C1110" i="5"/>
  <c r="AR1110" i="5" s="1"/>
  <c r="C1109" i="5"/>
  <c r="AR1109" i="5" s="1"/>
  <c r="C1111" i="5"/>
  <c r="AR1111" i="5" s="1"/>
  <c r="C1108" i="5"/>
  <c r="AR1108" i="5" s="1"/>
  <c r="C1107" i="5"/>
  <c r="AR1107" i="5" s="1"/>
  <c r="C1106" i="5"/>
  <c r="AR1106" i="5" s="1"/>
  <c r="C1105" i="5"/>
  <c r="AR1105" i="5" s="1"/>
  <c r="C1104" i="5"/>
  <c r="AR1104" i="5" s="1"/>
  <c r="C1103" i="5"/>
  <c r="AR1103" i="5" s="1"/>
  <c r="C1102" i="5"/>
  <c r="AR1102" i="5" s="1"/>
  <c r="C1101" i="5"/>
  <c r="AR1101" i="5" s="1"/>
  <c r="C1100" i="5"/>
  <c r="AR1100" i="5" s="1"/>
  <c r="C1098" i="5"/>
  <c r="AR1098" i="5" s="1"/>
  <c r="C1099" i="5"/>
  <c r="AR1099" i="5" s="1"/>
  <c r="C1097" i="5"/>
  <c r="AR1097" i="5" s="1"/>
  <c r="C1095" i="5"/>
  <c r="AR1095" i="5" s="1"/>
  <c r="C1093" i="5"/>
  <c r="AR1093" i="5" s="1"/>
  <c r="C1094" i="5"/>
  <c r="AR1094" i="5" s="1"/>
  <c r="C1096" i="5"/>
  <c r="AR1096" i="5" s="1"/>
  <c r="C1092" i="5"/>
  <c r="AR1092" i="5" s="1"/>
  <c r="C1091" i="5"/>
  <c r="AR1091" i="5" s="1"/>
  <c r="C1084" i="5"/>
  <c r="AR1084" i="5" s="1"/>
  <c r="C1088" i="5"/>
  <c r="AR1088" i="5" s="1"/>
  <c r="C1086" i="5"/>
  <c r="AR1086" i="5" s="1"/>
  <c r="C1083" i="5"/>
  <c r="AR1083" i="5" s="1"/>
  <c r="C1085" i="5"/>
  <c r="AR1085" i="5" s="1"/>
  <c r="C1087" i="5"/>
  <c r="AR1087" i="5" s="1"/>
  <c r="C1090" i="5"/>
  <c r="AR1090" i="5" s="1"/>
  <c r="C1089" i="5"/>
  <c r="AR1089" i="5" s="1"/>
  <c r="C1076" i="5"/>
  <c r="AR1076" i="5" s="1"/>
  <c r="C1080" i="5"/>
  <c r="AR1080" i="5" s="1"/>
  <c r="C1082" i="5"/>
  <c r="AR1082" i="5" s="1"/>
  <c r="C1079" i="5"/>
  <c r="AR1079" i="5" s="1"/>
  <c r="C1081" i="5"/>
  <c r="AR1081" i="5" s="1"/>
  <c r="C1077" i="5"/>
  <c r="AR1077" i="5" s="1"/>
  <c r="C1078" i="5"/>
  <c r="AR1078" i="5" s="1"/>
  <c r="C1069" i="5"/>
  <c r="AR1069" i="5" s="1"/>
  <c r="C1073" i="5"/>
  <c r="AR1073" i="5" s="1"/>
  <c r="C1075" i="5"/>
  <c r="AR1075" i="5" s="1"/>
  <c r="C1074" i="5"/>
  <c r="AR1074" i="5" s="1"/>
  <c r="C1070" i="5"/>
  <c r="AR1070" i="5" s="1"/>
  <c r="C1071" i="5"/>
  <c r="AR1071" i="5" s="1"/>
  <c r="C1072" i="5"/>
  <c r="AR1072" i="5" s="1"/>
  <c r="C1065" i="5"/>
  <c r="AR1065" i="5" s="1"/>
  <c r="C1068" i="5"/>
  <c r="AR1068" i="5" s="1"/>
  <c r="C1067" i="5"/>
  <c r="AR1067" i="5" s="1"/>
  <c r="C1061" i="5"/>
  <c r="AR1061" i="5" s="1"/>
  <c r="C1062" i="5"/>
  <c r="AR1062" i="5" s="1"/>
  <c r="C1064" i="5"/>
  <c r="AR1064" i="5" s="1"/>
  <c r="C1066" i="5"/>
  <c r="AR1066" i="5" s="1"/>
  <c r="C1063" i="5"/>
  <c r="AR1063" i="5" s="1"/>
  <c r="C1054" i="5"/>
  <c r="AR1054" i="5" s="1"/>
  <c r="C1059" i="5"/>
  <c r="AR1059" i="5" s="1"/>
  <c r="C1058" i="5"/>
  <c r="AR1058" i="5" s="1"/>
  <c r="C1057" i="5"/>
  <c r="AR1057" i="5" s="1"/>
  <c r="C1060" i="5"/>
  <c r="AR1060" i="5" s="1"/>
  <c r="C1053" i="5"/>
  <c r="AR1053" i="5" s="1"/>
  <c r="C1055" i="5"/>
  <c r="AR1055" i="5" s="1"/>
  <c r="C1056" i="5"/>
  <c r="AR1056" i="5" s="1"/>
  <c r="C1042" i="5"/>
  <c r="AR1042" i="5" s="1"/>
  <c r="C1045" i="5"/>
  <c r="AR1045" i="5" s="1"/>
  <c r="C1043" i="5"/>
  <c r="AR1043" i="5" s="1"/>
  <c r="C1048" i="5"/>
  <c r="AR1048" i="5" s="1"/>
  <c r="C1046" i="5"/>
  <c r="AR1046" i="5" s="1"/>
  <c r="C1049" i="5"/>
  <c r="AR1049" i="5" s="1"/>
  <c r="C1050" i="5"/>
  <c r="AR1050" i="5" s="1"/>
  <c r="C1047" i="5"/>
  <c r="AR1047" i="5" s="1"/>
  <c r="C1044" i="5"/>
  <c r="AR1044" i="5" s="1"/>
  <c r="C1052" i="5"/>
  <c r="AR1052" i="5" s="1"/>
  <c r="C1051" i="5"/>
  <c r="AR1051" i="5" s="1"/>
  <c r="C1040" i="5"/>
  <c r="AR1040" i="5" s="1"/>
  <c r="C1039" i="5"/>
  <c r="AR1039" i="5" s="1"/>
  <c r="C1041" i="5"/>
  <c r="AR1041" i="5" s="1"/>
  <c r="C1036" i="5"/>
  <c r="AR1036" i="5" s="1"/>
  <c r="C1038" i="5"/>
  <c r="AR1038" i="5" s="1"/>
  <c r="C1037" i="5"/>
  <c r="AR1037" i="5" s="1"/>
  <c r="C1034" i="5"/>
  <c r="AR1034" i="5" s="1"/>
  <c r="C1035" i="5"/>
  <c r="AR1035" i="5" s="1"/>
  <c r="C1033" i="5"/>
  <c r="AR1033" i="5" s="1"/>
  <c r="C1031" i="5"/>
  <c r="AR1031" i="5" s="1"/>
  <c r="C1032" i="5"/>
  <c r="AR1032" i="5" s="1"/>
  <c r="C883" i="5"/>
  <c r="AR883" i="5" s="1"/>
  <c r="C996" i="5"/>
  <c r="AR996" i="5" s="1"/>
  <c r="C1012" i="5"/>
  <c r="AR1012" i="5" s="1"/>
  <c r="C975" i="5"/>
  <c r="AR975" i="5" s="1"/>
  <c r="C967" i="5"/>
  <c r="AR967" i="5" s="1"/>
  <c r="C862" i="5"/>
  <c r="AR862" i="5" s="1"/>
  <c r="C968" i="5"/>
  <c r="AR968" i="5" s="1"/>
  <c r="C864" i="5"/>
  <c r="AR864" i="5" s="1"/>
  <c r="C982" i="5"/>
  <c r="AR982" i="5" s="1"/>
  <c r="C978" i="5"/>
  <c r="AR978" i="5" s="1"/>
  <c r="C981" i="5"/>
  <c r="AR981" i="5" s="1"/>
  <c r="C993" i="5"/>
  <c r="AR993" i="5" s="1"/>
  <c r="C1006" i="5"/>
  <c r="AR1006" i="5" s="1"/>
  <c r="C886" i="5"/>
  <c r="AR886" i="5" s="1"/>
  <c r="C914" i="5"/>
  <c r="AR914" i="5" s="1"/>
  <c r="C992" i="5"/>
  <c r="AR992" i="5" s="1"/>
  <c r="C990" i="5"/>
  <c r="AR990" i="5" s="1"/>
  <c r="C991" i="5"/>
  <c r="AR991" i="5" s="1"/>
  <c r="C995" i="5"/>
  <c r="AR995" i="5" s="1"/>
  <c r="C882" i="5"/>
  <c r="AR882" i="5" s="1"/>
  <c r="C942" i="5"/>
  <c r="AR942" i="5" s="1"/>
  <c r="C925" i="5"/>
  <c r="AR925" i="5" s="1"/>
  <c r="C923" i="5"/>
  <c r="AR923" i="5" s="1"/>
  <c r="C949" i="5"/>
  <c r="AR949" i="5" s="1"/>
  <c r="C910" i="5"/>
  <c r="AR910" i="5" s="1"/>
  <c r="C960" i="5"/>
  <c r="AR960" i="5" s="1"/>
  <c r="C1024" i="5"/>
  <c r="AR1024" i="5" s="1"/>
  <c r="C1021" i="5"/>
  <c r="AR1021" i="5" s="1"/>
  <c r="C977" i="5"/>
  <c r="AR977" i="5" s="1"/>
  <c r="C955" i="5"/>
  <c r="AR955" i="5" s="1"/>
  <c r="C894" i="5"/>
  <c r="AR894" i="5" s="1"/>
  <c r="C930" i="5"/>
  <c r="AR930" i="5" s="1"/>
  <c r="C957" i="5"/>
  <c r="AR957" i="5" s="1"/>
  <c r="C958" i="5"/>
  <c r="AR958" i="5" s="1"/>
  <c r="C1002" i="5"/>
  <c r="AR1002" i="5" s="1"/>
  <c r="C1000" i="5"/>
  <c r="AR1000" i="5" s="1"/>
  <c r="C970" i="5"/>
  <c r="AR970" i="5" s="1"/>
  <c r="C971" i="5"/>
  <c r="AR971" i="5" s="1"/>
  <c r="C884" i="5"/>
  <c r="AR884" i="5" s="1"/>
  <c r="C902" i="5"/>
  <c r="AR902" i="5" s="1"/>
  <c r="C887" i="5"/>
  <c r="AR887" i="5" s="1"/>
  <c r="C889" i="5"/>
  <c r="AR889" i="5" s="1"/>
  <c r="C936" i="5"/>
  <c r="AR936" i="5" s="1"/>
  <c r="C959" i="5"/>
  <c r="AR959" i="5" s="1"/>
  <c r="C987" i="5"/>
  <c r="AR987" i="5" s="1"/>
  <c r="C1023" i="5"/>
  <c r="AR1023" i="5" s="1"/>
  <c r="C1027" i="5"/>
  <c r="AR1027" i="5" s="1"/>
  <c r="C1029" i="5"/>
  <c r="AR1029" i="5" s="1"/>
  <c r="C1001" i="5"/>
  <c r="AR1001" i="5" s="1"/>
  <c r="C932" i="5"/>
  <c r="AR932" i="5" s="1"/>
  <c r="C929" i="5"/>
  <c r="AR929" i="5" s="1"/>
  <c r="C924" i="5"/>
  <c r="AR924" i="5" s="1"/>
  <c r="C966" i="5"/>
  <c r="AR966" i="5" s="1"/>
  <c r="C1007" i="5"/>
  <c r="AR1007" i="5" s="1"/>
  <c r="C999" i="5"/>
  <c r="AR999" i="5" s="1"/>
  <c r="C1014" i="5"/>
  <c r="AR1014" i="5" s="1"/>
  <c r="C979" i="5"/>
  <c r="AR979" i="5" s="1"/>
  <c r="C1017" i="5"/>
  <c r="AR1017" i="5" s="1"/>
  <c r="C871" i="5"/>
  <c r="AR871" i="5" s="1"/>
  <c r="C931" i="5"/>
  <c r="AR931" i="5" s="1"/>
  <c r="C893" i="5"/>
  <c r="AR893" i="5" s="1"/>
  <c r="C941" i="5"/>
  <c r="AR941" i="5" s="1"/>
  <c r="C965" i="5"/>
  <c r="AR965" i="5" s="1"/>
  <c r="C903" i="5"/>
  <c r="AR903" i="5" s="1"/>
  <c r="C904" i="5"/>
  <c r="AR904" i="5" s="1"/>
  <c r="C876" i="5"/>
  <c r="AR876" i="5" s="1"/>
  <c r="C921" i="5"/>
  <c r="AR921" i="5" s="1"/>
  <c r="C943" i="5"/>
  <c r="AR943" i="5" s="1"/>
  <c r="C934" i="5"/>
  <c r="AR934" i="5" s="1"/>
  <c r="C901" i="5"/>
  <c r="AR901" i="5" s="1"/>
  <c r="C905" i="5"/>
  <c r="AR905" i="5" s="1"/>
  <c r="C947" i="5"/>
  <c r="AR947" i="5" s="1"/>
  <c r="C875" i="5"/>
  <c r="AR875" i="5" s="1"/>
  <c r="C945" i="5"/>
  <c r="AR945" i="5" s="1"/>
  <c r="C948" i="5"/>
  <c r="AR948" i="5" s="1"/>
  <c r="C952" i="5"/>
  <c r="AR952" i="5" s="1"/>
  <c r="C953" i="5"/>
  <c r="AR953" i="5" s="1"/>
  <c r="C963" i="5"/>
  <c r="AR963" i="5" s="1"/>
  <c r="C954" i="5"/>
  <c r="AR954" i="5" s="1"/>
  <c r="C863" i="5"/>
  <c r="AR863" i="5" s="1"/>
  <c r="C961" i="5"/>
  <c r="AR961" i="5" s="1"/>
  <c r="C879" i="5"/>
  <c r="AR879" i="5" s="1"/>
  <c r="C969" i="5"/>
  <c r="AR969" i="5" s="1"/>
  <c r="C926" i="5"/>
  <c r="AR926" i="5" s="1"/>
  <c r="C866" i="5"/>
  <c r="AR866" i="5" s="1"/>
  <c r="C900" i="5"/>
  <c r="AR900" i="5" s="1"/>
  <c r="C1030" i="5"/>
  <c r="AR1030" i="5" s="1"/>
  <c r="C1011" i="5"/>
  <c r="AR1011" i="5" s="1"/>
  <c r="C1013" i="5"/>
  <c r="AR1013" i="5" s="1"/>
  <c r="C928" i="5"/>
  <c r="AR928" i="5" s="1"/>
  <c r="C912" i="5"/>
  <c r="AR912" i="5" s="1"/>
  <c r="C976" i="5"/>
  <c r="AR976" i="5" s="1"/>
  <c r="C964" i="5"/>
  <c r="AR964" i="5" s="1"/>
  <c r="C860" i="5"/>
  <c r="AR860" i="5" s="1"/>
  <c r="C861" i="5"/>
  <c r="AR861" i="5" s="1"/>
  <c r="C980" i="5"/>
  <c r="AR980" i="5" s="1"/>
  <c r="C867" i="5"/>
  <c r="AR867" i="5" s="1"/>
  <c r="C906" i="5"/>
  <c r="AR906" i="5" s="1"/>
  <c r="C972" i="5"/>
  <c r="AR972" i="5" s="1"/>
  <c r="C873" i="5"/>
  <c r="AR873" i="5" s="1"/>
  <c r="C997" i="5"/>
  <c r="AR997" i="5" s="1"/>
  <c r="C1010" i="5"/>
  <c r="AR1010" i="5" s="1"/>
  <c r="C986" i="5"/>
  <c r="AR986" i="5" s="1"/>
  <c r="C989" i="5"/>
  <c r="AR989" i="5" s="1"/>
  <c r="C1020" i="5"/>
  <c r="AR1020" i="5" s="1"/>
  <c r="C998" i="5"/>
  <c r="AR998" i="5" s="1"/>
  <c r="C984" i="5"/>
  <c r="AR984" i="5" s="1"/>
  <c r="C1015" i="5"/>
  <c r="AR1015" i="5" s="1"/>
  <c r="C983" i="5"/>
  <c r="AR983" i="5" s="1"/>
  <c r="C1018" i="5"/>
  <c r="AR1018" i="5" s="1"/>
  <c r="C920" i="5"/>
  <c r="AR920" i="5" s="1"/>
  <c r="C1026" i="5"/>
  <c r="AR1026" i="5" s="1"/>
  <c r="C1008" i="5"/>
  <c r="AR1008" i="5" s="1"/>
  <c r="C898" i="5"/>
  <c r="AR898" i="5" s="1"/>
  <c r="C870" i="5"/>
  <c r="AR870" i="5" s="1"/>
  <c r="C877" i="5"/>
  <c r="AR877" i="5" s="1"/>
  <c r="C881" i="5"/>
  <c r="AR881" i="5" s="1"/>
  <c r="C868" i="5"/>
  <c r="AR868" i="5" s="1"/>
  <c r="C892" i="5"/>
  <c r="AR892" i="5" s="1"/>
  <c r="C865" i="5"/>
  <c r="AR865" i="5" s="1"/>
  <c r="C913" i="5"/>
  <c r="AR913" i="5" s="1"/>
  <c r="C909" i="5"/>
  <c r="AR909" i="5" s="1"/>
  <c r="C869" i="5"/>
  <c r="AR869" i="5" s="1"/>
  <c r="C915" i="5"/>
  <c r="AR915" i="5" s="1"/>
  <c r="C916" i="5"/>
  <c r="AR916" i="5" s="1"/>
  <c r="C908" i="5"/>
  <c r="AR908" i="5" s="1"/>
  <c r="C938" i="5"/>
  <c r="AR938" i="5" s="1"/>
  <c r="C937" i="5"/>
  <c r="AR937" i="5" s="1"/>
  <c r="C895" i="5"/>
  <c r="AR895" i="5" s="1"/>
  <c r="C922" i="5"/>
  <c r="AR922" i="5" s="1"/>
  <c r="C962" i="5"/>
  <c r="AR962" i="5" s="1"/>
  <c r="C919" i="5"/>
  <c r="AR919" i="5" s="1"/>
  <c r="C890" i="5"/>
  <c r="AR890" i="5" s="1"/>
  <c r="C935" i="5"/>
  <c r="AR935" i="5" s="1"/>
  <c r="C1025" i="5"/>
  <c r="AR1025" i="5" s="1"/>
  <c r="C985" i="5"/>
  <c r="AR985" i="5" s="1"/>
  <c r="C1005" i="5"/>
  <c r="AR1005" i="5" s="1"/>
  <c r="C1009" i="5"/>
  <c r="AR1009" i="5" s="1"/>
  <c r="C994" i="5"/>
  <c r="AR994" i="5" s="1"/>
  <c r="C1019" i="5"/>
  <c r="AR1019" i="5" s="1"/>
  <c r="C933" i="5"/>
  <c r="AR933" i="5" s="1"/>
  <c r="C940" i="5"/>
  <c r="AR940" i="5" s="1"/>
  <c r="C956" i="5"/>
  <c r="AR956" i="5" s="1"/>
  <c r="C1028" i="5"/>
  <c r="AR1028" i="5" s="1"/>
  <c r="C1022" i="5"/>
  <c r="AR1022" i="5" s="1"/>
  <c r="C872" i="5"/>
  <c r="AR872" i="5" s="1"/>
  <c r="C899" i="5"/>
  <c r="AR899" i="5" s="1"/>
  <c r="C896" i="5"/>
  <c r="AR896" i="5" s="1"/>
  <c r="C878" i="5"/>
  <c r="AR878" i="5" s="1"/>
  <c r="C918" i="5"/>
  <c r="AR918" i="5" s="1"/>
  <c r="C1003" i="5"/>
  <c r="AR1003" i="5" s="1"/>
  <c r="C988" i="5"/>
  <c r="AR988" i="5" s="1"/>
  <c r="C944" i="5"/>
  <c r="AR944" i="5" s="1"/>
  <c r="C891" i="5"/>
  <c r="AR891" i="5" s="1"/>
  <c r="C885" i="5"/>
  <c r="AR885" i="5" s="1"/>
  <c r="C888" i="5"/>
  <c r="AR888" i="5" s="1"/>
  <c r="C917" i="5"/>
  <c r="AR917" i="5" s="1"/>
  <c r="C1004" i="5"/>
  <c r="AR1004" i="5" s="1"/>
  <c r="C946" i="5"/>
  <c r="AR946" i="5" s="1"/>
  <c r="C859" i="5"/>
  <c r="AR859" i="5" s="1"/>
  <c r="C927" i="5"/>
  <c r="AR927" i="5" s="1"/>
  <c r="C951" i="5"/>
  <c r="AR951" i="5" s="1"/>
  <c r="C950" i="5"/>
  <c r="AR950" i="5" s="1"/>
  <c r="C974" i="5"/>
  <c r="AR974" i="5" s="1"/>
  <c r="C897" i="5"/>
  <c r="AR897" i="5" s="1"/>
  <c r="C911" i="5"/>
  <c r="AR911" i="5" s="1"/>
  <c r="C939" i="5"/>
  <c r="AR939" i="5" s="1"/>
  <c r="C973" i="5"/>
  <c r="AR973" i="5" s="1"/>
  <c r="C880" i="5"/>
  <c r="AR880" i="5" s="1"/>
  <c r="C907" i="5"/>
  <c r="AR907" i="5" s="1"/>
  <c r="C874" i="5"/>
  <c r="AR874" i="5" s="1"/>
  <c r="C1016" i="5"/>
  <c r="AR1016" i="5" s="1"/>
  <c r="C774" i="5"/>
  <c r="AR774" i="5" s="1"/>
  <c r="C771" i="5"/>
  <c r="AR771" i="5" s="1"/>
  <c r="C701" i="5"/>
  <c r="AR701" i="5" s="1"/>
  <c r="C745" i="5"/>
  <c r="AR745" i="5" s="1"/>
  <c r="C845" i="5"/>
  <c r="AR845" i="5" s="1"/>
  <c r="C851" i="5"/>
  <c r="AR851" i="5" s="1"/>
  <c r="C854" i="5"/>
  <c r="AR854" i="5" s="1"/>
  <c r="C852" i="5"/>
  <c r="AR852" i="5" s="1"/>
  <c r="C855" i="5"/>
  <c r="AR855" i="5" s="1"/>
  <c r="C853" i="5"/>
  <c r="AR853" i="5" s="1"/>
  <c r="C764" i="5"/>
  <c r="AR764" i="5" s="1"/>
  <c r="C798" i="5"/>
  <c r="AR798" i="5" s="1"/>
  <c r="C751" i="5"/>
  <c r="AR751" i="5" s="1"/>
  <c r="C710" i="5"/>
  <c r="AR710" i="5" s="1"/>
  <c r="C739" i="5"/>
  <c r="AR739" i="5" s="1"/>
  <c r="C763" i="5"/>
  <c r="AR763" i="5" s="1"/>
  <c r="C730" i="5"/>
  <c r="AR730" i="5" s="1"/>
  <c r="C761" i="5"/>
  <c r="AR761" i="5" s="1"/>
  <c r="C726" i="5"/>
  <c r="AR726" i="5" s="1"/>
  <c r="C765" i="5"/>
  <c r="AR765" i="5" s="1"/>
  <c r="C760" i="5"/>
  <c r="AR760" i="5" s="1"/>
  <c r="C706" i="5"/>
  <c r="AR706" i="5" s="1"/>
  <c r="C736" i="5"/>
  <c r="AR736" i="5" s="1"/>
  <c r="C830" i="5"/>
  <c r="AR830" i="5" s="1"/>
  <c r="C703" i="5"/>
  <c r="AR703" i="5" s="1"/>
  <c r="C792" i="5"/>
  <c r="AR792" i="5" s="1"/>
  <c r="C794" i="5"/>
  <c r="AR794" i="5" s="1"/>
  <c r="C809" i="5"/>
  <c r="AR809" i="5" s="1"/>
  <c r="C813" i="5"/>
  <c r="AR813" i="5" s="1"/>
  <c r="C737" i="5"/>
  <c r="AR737" i="5" s="1"/>
  <c r="C769" i="5"/>
  <c r="AR769" i="5" s="1"/>
  <c r="C753" i="5"/>
  <c r="AR753" i="5" s="1"/>
  <c r="C758" i="5"/>
  <c r="AR758" i="5" s="1"/>
  <c r="C832" i="5"/>
  <c r="AR832" i="5" s="1"/>
  <c r="C815" i="5"/>
  <c r="AR815" i="5" s="1"/>
  <c r="C842" i="5"/>
  <c r="AR842" i="5" s="1"/>
  <c r="C846" i="5"/>
  <c r="AR846" i="5" s="1"/>
  <c r="C843" i="5"/>
  <c r="AR843" i="5" s="1"/>
  <c r="C723" i="5"/>
  <c r="AR723" i="5" s="1"/>
  <c r="C834" i="5"/>
  <c r="AR834" i="5" s="1"/>
  <c r="C844" i="5"/>
  <c r="AR844" i="5" s="1"/>
  <c r="C847" i="5"/>
  <c r="AR847" i="5" s="1"/>
  <c r="C829" i="5"/>
  <c r="AR829" i="5" s="1"/>
  <c r="C838" i="5"/>
  <c r="AR838" i="5" s="1"/>
  <c r="C836" i="5"/>
  <c r="AR836" i="5" s="1"/>
  <c r="C841" i="5"/>
  <c r="AR841" i="5" s="1"/>
  <c r="C850" i="5"/>
  <c r="AR850" i="5" s="1"/>
  <c r="C857" i="5"/>
  <c r="AR857" i="5" s="1"/>
  <c r="C772" i="5"/>
  <c r="AR772" i="5" s="1"/>
  <c r="C721" i="5"/>
  <c r="AR721" i="5" s="1"/>
  <c r="C740" i="5"/>
  <c r="AR740" i="5" s="1"/>
  <c r="C754" i="5"/>
  <c r="AR754" i="5" s="1"/>
  <c r="C719" i="5"/>
  <c r="AR719" i="5" s="1"/>
  <c r="C747" i="5"/>
  <c r="AR747" i="5" s="1"/>
  <c r="C750" i="5"/>
  <c r="AR750" i="5" s="1"/>
  <c r="C746" i="5"/>
  <c r="AR746" i="5" s="1"/>
  <c r="C848" i="5"/>
  <c r="AR848" i="5" s="1"/>
  <c r="C839" i="5"/>
  <c r="AR839" i="5" s="1"/>
  <c r="C835" i="5"/>
  <c r="AR835" i="5" s="1"/>
  <c r="C840" i="5"/>
  <c r="AR840" i="5" s="1"/>
  <c r="C819" i="5"/>
  <c r="AR819" i="5" s="1"/>
  <c r="C828" i="5"/>
  <c r="AR828" i="5" s="1"/>
  <c r="C777" i="5"/>
  <c r="AR777" i="5" s="1"/>
  <c r="C797" i="5"/>
  <c r="AR797" i="5" s="1"/>
  <c r="C805" i="5"/>
  <c r="AR805" i="5" s="1"/>
  <c r="C784" i="5"/>
  <c r="AR784" i="5" s="1"/>
  <c r="C827" i="5"/>
  <c r="AR827" i="5" s="1"/>
  <c r="C802" i="5"/>
  <c r="AR802" i="5" s="1"/>
  <c r="C814" i="5"/>
  <c r="AR814" i="5" s="1"/>
  <c r="C816" i="5"/>
  <c r="AR816" i="5" s="1"/>
  <c r="C824" i="5"/>
  <c r="AR824" i="5" s="1"/>
  <c r="C715" i="5"/>
  <c r="AR715" i="5" s="1"/>
  <c r="C796" i="5"/>
  <c r="AR796" i="5" s="1"/>
  <c r="C780" i="5"/>
  <c r="AR780" i="5" s="1"/>
  <c r="C825" i="5"/>
  <c r="AR825" i="5" s="1"/>
  <c r="C785" i="5"/>
  <c r="AR785" i="5" s="1"/>
  <c r="C795" i="5"/>
  <c r="AR795" i="5" s="1"/>
  <c r="C789" i="5"/>
  <c r="AR789" i="5" s="1"/>
  <c r="C786" i="5"/>
  <c r="AR786" i="5" s="1"/>
  <c r="C817" i="5"/>
  <c r="AR817" i="5" s="1"/>
  <c r="C808" i="5"/>
  <c r="AR808" i="5" s="1"/>
  <c r="C810" i="5"/>
  <c r="AR810" i="5" s="1"/>
  <c r="C752" i="5"/>
  <c r="AR752" i="5" s="1"/>
  <c r="C756" i="5"/>
  <c r="AR756" i="5" s="1"/>
  <c r="C734" i="5"/>
  <c r="AR734" i="5" s="1"/>
  <c r="C724" i="5"/>
  <c r="AR724" i="5" s="1"/>
  <c r="C716" i="5"/>
  <c r="AR716" i="5" s="1"/>
  <c r="C767" i="5"/>
  <c r="AR767" i="5" s="1"/>
  <c r="C744" i="5"/>
  <c r="AR744" i="5" s="1"/>
  <c r="C735" i="5"/>
  <c r="AR735" i="5" s="1"/>
  <c r="C717" i="5"/>
  <c r="AR717" i="5" s="1"/>
  <c r="C768" i="5"/>
  <c r="AR768" i="5" s="1"/>
  <c r="C770" i="5"/>
  <c r="AR770" i="5" s="1"/>
  <c r="C742" i="5"/>
  <c r="AR742" i="5" s="1"/>
  <c r="C727" i="5"/>
  <c r="AR727" i="5" s="1"/>
  <c r="C755" i="5"/>
  <c r="AR755" i="5" s="1"/>
  <c r="C782" i="5"/>
  <c r="AR782" i="5" s="1"/>
  <c r="C788" i="5"/>
  <c r="AR788" i="5" s="1"/>
  <c r="C803" i="5"/>
  <c r="AR803" i="5" s="1"/>
  <c r="C778" i="5"/>
  <c r="AR778" i="5" s="1"/>
  <c r="C779" i="5"/>
  <c r="AR779" i="5" s="1"/>
  <c r="C748" i="5"/>
  <c r="AR748" i="5" s="1"/>
  <c r="C804" i="5"/>
  <c r="AR804" i="5" s="1"/>
  <c r="C787" i="5"/>
  <c r="AR787" i="5" s="1"/>
  <c r="C831" i="5"/>
  <c r="AR831" i="5" s="1"/>
  <c r="C837" i="5"/>
  <c r="AR837" i="5" s="1"/>
  <c r="C833" i="5"/>
  <c r="AR833" i="5" s="1"/>
  <c r="C856" i="5"/>
  <c r="AR856" i="5" s="1"/>
  <c r="C849" i="5"/>
  <c r="AR849" i="5" s="1"/>
  <c r="C714" i="5"/>
  <c r="AR714" i="5" s="1"/>
  <c r="C766" i="5"/>
  <c r="AR766" i="5" s="1"/>
  <c r="C718" i="5"/>
  <c r="AR718" i="5" s="1"/>
  <c r="C826" i="5"/>
  <c r="AR826" i="5" s="1"/>
  <c r="C773" i="5"/>
  <c r="AR773" i="5" s="1"/>
  <c r="C791" i="5"/>
  <c r="AR791" i="5" s="1"/>
  <c r="C713" i="5"/>
  <c r="AR713" i="5" s="1"/>
  <c r="C762" i="5"/>
  <c r="AR762" i="5" s="1"/>
  <c r="C801" i="5"/>
  <c r="AR801" i="5" s="1"/>
  <c r="C783" i="5"/>
  <c r="AR783" i="5" s="1"/>
  <c r="C823" i="5"/>
  <c r="AR823" i="5" s="1"/>
  <c r="C800" i="5"/>
  <c r="AR800" i="5" s="1"/>
  <c r="C806" i="5"/>
  <c r="AR806" i="5" s="1"/>
  <c r="C757" i="5"/>
  <c r="AR757" i="5" s="1"/>
  <c r="C807" i="5"/>
  <c r="AR807" i="5" s="1"/>
  <c r="C858" i="5"/>
  <c r="AR858" i="5" s="1"/>
  <c r="C775" i="5"/>
  <c r="AR775" i="5" s="1"/>
  <c r="C702" i="5"/>
  <c r="AR702" i="5" s="1"/>
  <c r="C738" i="5"/>
  <c r="AR738" i="5" s="1"/>
  <c r="C707" i="5"/>
  <c r="AR707" i="5" s="1"/>
  <c r="C822" i="5"/>
  <c r="AR822" i="5" s="1"/>
  <c r="C793" i="5"/>
  <c r="AR793" i="5" s="1"/>
  <c r="C812" i="5"/>
  <c r="AR812" i="5" s="1"/>
  <c r="C799" i="5"/>
  <c r="AR799" i="5" s="1"/>
  <c r="C741" i="5"/>
  <c r="AR741" i="5" s="1"/>
  <c r="C820" i="5"/>
  <c r="AR820" i="5" s="1"/>
  <c r="C781" i="5"/>
  <c r="AR781" i="5" s="1"/>
  <c r="C709" i="5"/>
  <c r="AR709" i="5" s="1"/>
  <c r="C728" i="5"/>
  <c r="AR728" i="5" s="1"/>
  <c r="C821" i="5"/>
  <c r="AR821" i="5" s="1"/>
  <c r="C790" i="5"/>
  <c r="AR790" i="5" s="1"/>
  <c r="C704" i="5"/>
  <c r="AR704" i="5" s="1"/>
  <c r="C705" i="5"/>
  <c r="AR705" i="5" s="1"/>
  <c r="C749" i="5"/>
  <c r="AR749" i="5" s="1"/>
  <c r="C729" i="5"/>
  <c r="AR729" i="5" s="1"/>
  <c r="C725" i="5"/>
  <c r="AR725" i="5" s="1"/>
  <c r="C720" i="5"/>
  <c r="AR720" i="5" s="1"/>
  <c r="C711" i="5"/>
  <c r="AR711" i="5" s="1"/>
  <c r="C722" i="5"/>
  <c r="AR722" i="5" s="1"/>
  <c r="C712" i="5"/>
  <c r="AR712" i="5" s="1"/>
  <c r="C743" i="5"/>
  <c r="AR743" i="5" s="1"/>
  <c r="C708" i="5"/>
  <c r="AR708" i="5" s="1"/>
  <c r="C759" i="5"/>
  <c r="AR759" i="5" s="1"/>
  <c r="C818" i="5"/>
  <c r="AR818" i="5" s="1"/>
  <c r="C811" i="5"/>
  <c r="AR811" i="5" s="1"/>
  <c r="C731" i="5"/>
  <c r="AR731" i="5" s="1"/>
  <c r="C732" i="5"/>
  <c r="AR732" i="5" s="1"/>
  <c r="C733" i="5"/>
  <c r="AR733" i="5" s="1"/>
  <c r="C776" i="5"/>
  <c r="AR776" i="5" s="1"/>
  <c r="C670" i="5"/>
  <c r="AR670" i="5" s="1"/>
  <c r="C682" i="5"/>
  <c r="AR682" i="5" s="1"/>
  <c r="C680" i="5"/>
  <c r="AR680" i="5" s="1"/>
  <c r="C637" i="5"/>
  <c r="AR637" i="5" s="1"/>
  <c r="C629" i="5"/>
  <c r="AR629" i="5" s="1"/>
  <c r="C650" i="5"/>
  <c r="AR650" i="5" s="1"/>
  <c r="C700" i="5"/>
  <c r="AR700" i="5" s="1"/>
  <c r="C686" i="5"/>
  <c r="AR686" i="5" s="1"/>
  <c r="C698" i="5"/>
  <c r="AR698" i="5" s="1"/>
  <c r="C642" i="5"/>
  <c r="AR642" i="5" s="1"/>
  <c r="C635" i="5"/>
  <c r="AR635" i="5" s="1"/>
  <c r="C677" i="5"/>
  <c r="AR677" i="5" s="1"/>
  <c r="C663" i="5"/>
  <c r="AR663" i="5" s="1"/>
  <c r="C653" i="5"/>
  <c r="AR653" i="5" s="1"/>
  <c r="C661" i="5"/>
  <c r="AR661" i="5" s="1"/>
  <c r="C631" i="5"/>
  <c r="AR631" i="5" s="1"/>
  <c r="C638" i="5"/>
  <c r="AR638" i="5" s="1"/>
  <c r="C651" i="5"/>
  <c r="AR651" i="5" s="1"/>
  <c r="C648" i="5"/>
  <c r="AR648" i="5" s="1"/>
  <c r="C676" i="5"/>
  <c r="AR676" i="5" s="1"/>
  <c r="C699" i="5"/>
  <c r="AR699" i="5" s="1"/>
  <c r="C669" i="5"/>
  <c r="AR669" i="5" s="1"/>
  <c r="C687" i="5"/>
  <c r="AR687" i="5" s="1"/>
  <c r="C691" i="5"/>
  <c r="AR691" i="5" s="1"/>
  <c r="C692" i="5"/>
  <c r="AR692" i="5" s="1"/>
  <c r="C630" i="5"/>
  <c r="AR630" i="5" s="1"/>
  <c r="C632" i="5"/>
  <c r="AR632" i="5" s="1"/>
  <c r="C685" i="5"/>
  <c r="AR685" i="5" s="1"/>
  <c r="C664" i="5"/>
  <c r="AR664" i="5" s="1"/>
  <c r="C659" i="5"/>
  <c r="AR659" i="5" s="1"/>
  <c r="C662" i="5"/>
  <c r="AR662" i="5" s="1"/>
  <c r="C684" i="5"/>
  <c r="AR684" i="5" s="1"/>
  <c r="C646" i="5"/>
  <c r="AR646" i="5" s="1"/>
  <c r="C674" i="5"/>
  <c r="AR674" i="5" s="1"/>
  <c r="C643" i="5"/>
  <c r="AR643" i="5" s="1"/>
  <c r="C634" i="5"/>
  <c r="AR634" i="5" s="1"/>
  <c r="C681" i="5"/>
  <c r="AR681" i="5" s="1"/>
  <c r="C641" i="5"/>
  <c r="AR641" i="5" s="1"/>
  <c r="C665" i="5"/>
  <c r="AR665" i="5" s="1"/>
  <c r="C667" i="5"/>
  <c r="AR667" i="5" s="1"/>
  <c r="C660" i="5"/>
  <c r="AR660" i="5" s="1"/>
  <c r="C679" i="5"/>
  <c r="AR679" i="5" s="1"/>
  <c r="C640" i="5"/>
  <c r="AR640" i="5" s="1"/>
  <c r="C672" i="5"/>
  <c r="AR672" i="5" s="1"/>
  <c r="C673" i="5"/>
  <c r="AR673" i="5" s="1"/>
  <c r="C678" i="5"/>
  <c r="AR678" i="5" s="1"/>
  <c r="C655" i="5"/>
  <c r="AR655" i="5" s="1"/>
  <c r="C666" i="5"/>
  <c r="AR666" i="5" s="1"/>
  <c r="C675" i="5"/>
  <c r="AR675" i="5" s="1"/>
  <c r="C639" i="5"/>
  <c r="AR639" i="5" s="1"/>
  <c r="C633" i="5"/>
  <c r="AR633" i="5" s="1"/>
  <c r="C693" i="5"/>
  <c r="AR693" i="5" s="1"/>
  <c r="C688" i="5"/>
  <c r="AR688" i="5" s="1"/>
  <c r="C696" i="5"/>
  <c r="AR696" i="5" s="1"/>
  <c r="C697" i="5"/>
  <c r="AR697" i="5" s="1"/>
  <c r="C694" i="5"/>
  <c r="AR694" i="5" s="1"/>
  <c r="C695" i="5"/>
  <c r="AR695" i="5" s="1"/>
  <c r="C654" i="5"/>
  <c r="AR654" i="5" s="1"/>
  <c r="C636" i="5"/>
  <c r="AR636" i="5" s="1"/>
  <c r="C668" i="5"/>
  <c r="AR668" i="5" s="1"/>
  <c r="C690" i="5"/>
  <c r="AR690" i="5" s="1"/>
  <c r="C645" i="5"/>
  <c r="AR645" i="5" s="1"/>
  <c r="C656" i="5"/>
  <c r="AR656" i="5" s="1"/>
  <c r="C644" i="5"/>
  <c r="AR644" i="5" s="1"/>
  <c r="C689" i="5"/>
  <c r="AR689" i="5" s="1"/>
  <c r="C657" i="5"/>
  <c r="AR657" i="5" s="1"/>
  <c r="C658" i="5"/>
  <c r="AR658" i="5" s="1"/>
  <c r="C671" i="5"/>
  <c r="AR671" i="5" s="1"/>
  <c r="C683" i="5"/>
  <c r="AR683" i="5" s="1"/>
  <c r="C647" i="5"/>
  <c r="AR647" i="5" s="1"/>
  <c r="C649" i="5"/>
  <c r="AR649" i="5" s="1"/>
  <c r="C652" i="5"/>
  <c r="AR652" i="5" s="1"/>
  <c r="C552" i="5"/>
  <c r="AR552" i="5" s="1"/>
  <c r="C562" i="5"/>
  <c r="AR562" i="5" s="1"/>
  <c r="C577" i="5"/>
  <c r="AR577" i="5" s="1"/>
  <c r="C527" i="5"/>
  <c r="AR527" i="5" s="1"/>
  <c r="C561" i="5"/>
  <c r="AR561" i="5" s="1"/>
  <c r="C559" i="5"/>
  <c r="AR559" i="5" s="1"/>
  <c r="C530" i="5"/>
  <c r="AR530" i="5" s="1"/>
  <c r="C556" i="5"/>
  <c r="AR556" i="5" s="1"/>
  <c r="C589" i="5"/>
  <c r="AR589" i="5" s="1"/>
  <c r="C596" i="5"/>
  <c r="AR596" i="5" s="1"/>
  <c r="C535" i="5"/>
  <c r="AR535" i="5" s="1"/>
  <c r="C609" i="5"/>
  <c r="AR609" i="5" s="1"/>
  <c r="C623" i="5"/>
  <c r="AR623" i="5" s="1"/>
  <c r="C619" i="5"/>
  <c r="AR619" i="5" s="1"/>
  <c r="C618" i="5"/>
  <c r="AR618" i="5" s="1"/>
  <c r="C620" i="5"/>
  <c r="AR620" i="5" s="1"/>
  <c r="C617" i="5"/>
  <c r="AR617" i="5" s="1"/>
  <c r="C613" i="5"/>
  <c r="AR613" i="5" s="1"/>
  <c r="C615" i="5"/>
  <c r="AR615" i="5" s="1"/>
  <c r="C616" i="5"/>
  <c r="AR616" i="5" s="1"/>
  <c r="C571" i="5"/>
  <c r="AR571" i="5" s="1"/>
  <c r="C526" i="5"/>
  <c r="AR526" i="5" s="1"/>
  <c r="C529" i="5"/>
  <c r="AR529" i="5" s="1"/>
  <c r="C518" i="5"/>
  <c r="AR518" i="5" s="1"/>
  <c r="C520" i="5"/>
  <c r="AR520" i="5" s="1"/>
  <c r="C611" i="5"/>
  <c r="AR611" i="5" s="1"/>
  <c r="C563" i="5"/>
  <c r="AR563" i="5" s="1"/>
  <c r="C580" i="5"/>
  <c r="AR580" i="5" s="1"/>
  <c r="C541" i="5"/>
  <c r="AR541" i="5" s="1"/>
  <c r="C602" i="5"/>
  <c r="AR602" i="5" s="1"/>
  <c r="C545" i="5"/>
  <c r="AR545" i="5" s="1"/>
  <c r="C549" i="5"/>
  <c r="AR549" i="5" s="1"/>
  <c r="C606" i="5"/>
  <c r="AR606" i="5" s="1"/>
  <c r="C516" i="5"/>
  <c r="AR516" i="5" s="1"/>
  <c r="C584" i="5"/>
  <c r="AR584" i="5" s="1"/>
  <c r="C550" i="5"/>
  <c r="AR550" i="5" s="1"/>
  <c r="C610" i="5"/>
  <c r="AR610" i="5" s="1"/>
  <c r="C592" i="5"/>
  <c r="AR592" i="5" s="1"/>
  <c r="C544" i="5"/>
  <c r="AR544" i="5" s="1"/>
  <c r="C536" i="5"/>
  <c r="AR536" i="5" s="1"/>
  <c r="C533" i="5"/>
  <c r="AR533" i="5" s="1"/>
  <c r="C543" i="5"/>
  <c r="AR543" i="5" s="1"/>
  <c r="C525" i="5"/>
  <c r="AR525" i="5" s="1"/>
  <c r="C528" i="5"/>
  <c r="AR528" i="5" s="1"/>
  <c r="C573" i="5"/>
  <c r="AR573" i="5" s="1"/>
  <c r="C569" i="5"/>
  <c r="AR569" i="5" s="1"/>
  <c r="C576" i="5"/>
  <c r="AR576" i="5" s="1"/>
  <c r="C567" i="5"/>
  <c r="AR567" i="5" s="1"/>
  <c r="C608" i="5"/>
  <c r="AR608" i="5" s="1"/>
  <c r="C546" i="5"/>
  <c r="AR546" i="5" s="1"/>
  <c r="C578" i="5"/>
  <c r="AR578" i="5" s="1"/>
  <c r="C554" i="5"/>
  <c r="AR554" i="5" s="1"/>
  <c r="C591" i="5"/>
  <c r="AR591" i="5" s="1"/>
  <c r="C519" i="5"/>
  <c r="AR519" i="5" s="1"/>
  <c r="C595" i="5"/>
  <c r="AR595" i="5" s="1"/>
  <c r="C551" i="5"/>
  <c r="AR551" i="5" s="1"/>
  <c r="C568" i="5"/>
  <c r="AR568" i="5" s="1"/>
  <c r="C607" i="5"/>
  <c r="AR607" i="5" s="1"/>
  <c r="C538" i="5"/>
  <c r="AR538" i="5" s="1"/>
  <c r="C522" i="5"/>
  <c r="AR522" i="5" s="1"/>
  <c r="C558" i="5"/>
  <c r="AR558" i="5" s="1"/>
  <c r="C517" i="5"/>
  <c r="AR517" i="5" s="1"/>
  <c r="C539" i="5"/>
  <c r="AR539" i="5" s="1"/>
  <c r="C574" i="5"/>
  <c r="AR574" i="5" s="1"/>
  <c r="C524" i="5"/>
  <c r="AR524" i="5" s="1"/>
  <c r="C579" i="5"/>
  <c r="AR579" i="5" s="1"/>
  <c r="C597" i="5"/>
  <c r="AR597" i="5" s="1"/>
  <c r="C628" i="5"/>
  <c r="AR628" i="5" s="1"/>
  <c r="C553" i="5"/>
  <c r="AR553" i="5" s="1"/>
  <c r="C593" i="5"/>
  <c r="AR593" i="5" s="1"/>
  <c r="C625" i="5"/>
  <c r="AR625" i="5" s="1"/>
  <c r="C612" i="5"/>
  <c r="AR612" i="5" s="1"/>
  <c r="C542" i="5"/>
  <c r="AR542" i="5" s="1"/>
  <c r="C598" i="5"/>
  <c r="AR598" i="5" s="1"/>
  <c r="C599" i="5"/>
  <c r="AR599" i="5" s="1"/>
  <c r="C605" i="5"/>
  <c r="AR605" i="5" s="1"/>
  <c r="C600" i="5"/>
  <c r="AR600" i="5" s="1"/>
  <c r="C566" i="5"/>
  <c r="AR566" i="5" s="1"/>
  <c r="C560" i="5"/>
  <c r="AR560" i="5" s="1"/>
  <c r="C564" i="5"/>
  <c r="AR564" i="5" s="1"/>
  <c r="C604" i="5"/>
  <c r="AR604" i="5" s="1"/>
  <c r="C537" i="5"/>
  <c r="AR537" i="5" s="1"/>
  <c r="C548" i="5"/>
  <c r="AR548" i="5" s="1"/>
  <c r="C587" i="5"/>
  <c r="AR587" i="5" s="1"/>
  <c r="C540" i="5"/>
  <c r="AR540" i="5" s="1"/>
  <c r="C534" i="5"/>
  <c r="AR534" i="5" s="1"/>
  <c r="C588" i="5"/>
  <c r="AR588" i="5" s="1"/>
  <c r="C585" i="5"/>
  <c r="AR585" i="5" s="1"/>
  <c r="C555" i="5"/>
  <c r="AR555" i="5" s="1"/>
  <c r="C581" i="5"/>
  <c r="AR581" i="5" s="1"/>
  <c r="C586" i="5"/>
  <c r="AR586" i="5" s="1"/>
  <c r="C531" i="5"/>
  <c r="AR531" i="5" s="1"/>
  <c r="C627" i="5"/>
  <c r="AR627" i="5" s="1"/>
  <c r="C603" i="5"/>
  <c r="AR603" i="5" s="1"/>
  <c r="C565" i="5"/>
  <c r="AR565" i="5" s="1"/>
  <c r="C532" i="5"/>
  <c r="AR532" i="5" s="1"/>
  <c r="C622" i="5"/>
  <c r="AR622" i="5" s="1"/>
  <c r="C621" i="5"/>
  <c r="AR621" i="5" s="1"/>
  <c r="C614" i="5"/>
  <c r="AR614" i="5" s="1"/>
  <c r="C601" i="5"/>
  <c r="AR601" i="5" s="1"/>
  <c r="C624" i="5"/>
  <c r="AR624" i="5" s="1"/>
  <c r="C521" i="5"/>
  <c r="AR521" i="5" s="1"/>
  <c r="C572" i="5"/>
  <c r="AR572" i="5" s="1"/>
  <c r="C582" i="5"/>
  <c r="AR582" i="5" s="1"/>
  <c r="C547" i="5"/>
  <c r="AR547" i="5" s="1"/>
  <c r="C590" i="5"/>
  <c r="AR590" i="5" s="1"/>
  <c r="C594" i="5"/>
  <c r="AR594" i="5" s="1"/>
  <c r="C557" i="5"/>
  <c r="AR557" i="5" s="1"/>
  <c r="C575" i="5"/>
  <c r="AR575" i="5" s="1"/>
  <c r="C570" i="5"/>
  <c r="AR570" i="5" s="1"/>
  <c r="C523" i="5"/>
  <c r="AR523" i="5" s="1"/>
  <c r="C626" i="5"/>
  <c r="AR626" i="5" s="1"/>
  <c r="C583" i="5"/>
  <c r="AR583" i="5" s="1"/>
  <c r="C515" i="5"/>
  <c r="AR515" i="5" s="1"/>
  <c r="C491" i="5"/>
  <c r="AR491" i="5" s="1"/>
  <c r="C492" i="5"/>
  <c r="AR492" i="5" s="1"/>
  <c r="C493" i="5"/>
  <c r="AR493" i="5" s="1"/>
  <c r="C483" i="5"/>
  <c r="AR483" i="5" s="1"/>
  <c r="C482" i="5"/>
  <c r="AR482" i="5" s="1"/>
  <c r="C480" i="5"/>
  <c r="AR480" i="5" s="1"/>
  <c r="C506" i="5"/>
  <c r="AR506" i="5" s="1"/>
  <c r="C514" i="5"/>
  <c r="AR514" i="5" s="1"/>
  <c r="C479" i="5"/>
  <c r="AR479" i="5" s="1"/>
  <c r="C513" i="5"/>
  <c r="AR513" i="5" s="1"/>
  <c r="C509" i="5"/>
  <c r="AR509" i="5" s="1"/>
  <c r="C508" i="5"/>
  <c r="AR508" i="5" s="1"/>
  <c r="C495" i="5"/>
  <c r="AR495" i="5" s="1"/>
  <c r="C485" i="5"/>
  <c r="AR485" i="5" s="1"/>
  <c r="C487" i="5"/>
  <c r="AR487" i="5" s="1"/>
  <c r="C489" i="5"/>
  <c r="AR489" i="5" s="1"/>
  <c r="C497" i="5"/>
  <c r="AR497" i="5" s="1"/>
  <c r="C490" i="5"/>
  <c r="AR490" i="5" s="1"/>
  <c r="C505" i="5"/>
  <c r="AR505" i="5" s="1"/>
  <c r="C486" i="5"/>
  <c r="AR486" i="5" s="1"/>
  <c r="C501" i="5"/>
  <c r="AR501" i="5" s="1"/>
  <c r="C502" i="5"/>
  <c r="AR502" i="5" s="1"/>
  <c r="C496" i="5"/>
  <c r="AR496" i="5" s="1"/>
  <c r="C512" i="5"/>
  <c r="AR512" i="5" s="1"/>
  <c r="C511" i="5"/>
  <c r="AR511" i="5" s="1"/>
  <c r="C510" i="5"/>
  <c r="AR510" i="5" s="1"/>
  <c r="C494" i="5"/>
  <c r="AR494" i="5" s="1"/>
  <c r="C507" i="5"/>
  <c r="AR507" i="5" s="1"/>
  <c r="C499" i="5"/>
  <c r="AR499" i="5" s="1"/>
  <c r="C500" i="5"/>
  <c r="AR500" i="5" s="1"/>
  <c r="C484" i="5"/>
  <c r="AR484" i="5" s="1"/>
  <c r="C488" i="5"/>
  <c r="AR488" i="5" s="1"/>
  <c r="C504" i="5"/>
  <c r="AR504" i="5" s="1"/>
  <c r="C503" i="5"/>
  <c r="AR503" i="5" s="1"/>
  <c r="C481" i="5"/>
  <c r="AR481" i="5" s="1"/>
  <c r="C498" i="5"/>
  <c r="AR498" i="5" s="1"/>
  <c r="C478" i="5"/>
  <c r="AR478" i="5" s="1"/>
  <c r="C477" i="5"/>
  <c r="AR477" i="5" s="1"/>
  <c r="C448" i="5"/>
  <c r="AR448" i="5" s="1"/>
  <c r="C455" i="5"/>
  <c r="AR455" i="5" s="1"/>
  <c r="C453" i="5"/>
  <c r="AR453" i="5" s="1"/>
  <c r="C443" i="5"/>
  <c r="AR443" i="5" s="1"/>
  <c r="C461" i="5"/>
  <c r="AR461" i="5" s="1"/>
  <c r="C438" i="5"/>
  <c r="AR438" i="5" s="1"/>
  <c r="C445" i="5"/>
  <c r="AR445" i="5" s="1"/>
  <c r="C441" i="5"/>
  <c r="AR441" i="5" s="1"/>
  <c r="C459" i="5"/>
  <c r="AR459" i="5" s="1"/>
  <c r="C470" i="5"/>
  <c r="AR470" i="5" s="1"/>
  <c r="C469" i="5"/>
  <c r="AR469" i="5" s="1"/>
  <c r="C464" i="5"/>
  <c r="AR464" i="5" s="1"/>
  <c r="C449" i="5"/>
  <c r="AR449" i="5" s="1"/>
  <c r="C465" i="5"/>
  <c r="AR465" i="5" s="1"/>
  <c r="C468" i="5"/>
  <c r="AR468" i="5" s="1"/>
  <c r="C446" i="5"/>
  <c r="AR446" i="5" s="1"/>
  <c r="C471" i="5"/>
  <c r="AR471" i="5" s="1"/>
  <c r="C472" i="5"/>
  <c r="AR472" i="5" s="1"/>
  <c r="C462" i="5"/>
  <c r="AR462" i="5" s="1"/>
  <c r="C454" i="5"/>
  <c r="AR454" i="5" s="1"/>
  <c r="C456" i="5"/>
  <c r="AR456" i="5" s="1"/>
  <c r="C439" i="5"/>
  <c r="AR439" i="5" s="1"/>
  <c r="C452" i="5"/>
  <c r="AR452" i="5" s="1"/>
  <c r="C466" i="5"/>
  <c r="AR466" i="5" s="1"/>
  <c r="C475" i="5"/>
  <c r="AR475" i="5" s="1"/>
  <c r="C442" i="5"/>
  <c r="AR442" i="5" s="1"/>
  <c r="C473" i="5"/>
  <c r="AR473" i="5" s="1"/>
  <c r="C476" i="5"/>
  <c r="AR476" i="5" s="1"/>
  <c r="C474" i="5"/>
  <c r="AR474" i="5" s="1"/>
  <c r="C451" i="5"/>
  <c r="AR451" i="5" s="1"/>
  <c r="C437" i="5"/>
  <c r="AR437" i="5" s="1"/>
  <c r="C436" i="5"/>
  <c r="AR436" i="5" s="1"/>
  <c r="C457" i="5"/>
  <c r="AR457" i="5" s="1"/>
  <c r="C447" i="5"/>
  <c r="AR447" i="5" s="1"/>
  <c r="C458" i="5"/>
  <c r="AR458" i="5" s="1"/>
  <c r="C440" i="5"/>
  <c r="AR440" i="5" s="1"/>
  <c r="C460" i="5"/>
  <c r="AR460" i="5" s="1"/>
  <c r="C450" i="5"/>
  <c r="AR450" i="5" s="1"/>
  <c r="C463" i="5"/>
  <c r="AR463" i="5" s="1"/>
  <c r="C444" i="5"/>
  <c r="AR444" i="5" s="1"/>
  <c r="C467" i="5"/>
  <c r="AR467" i="5" s="1"/>
  <c r="C405" i="5"/>
  <c r="AR405" i="5" s="1"/>
  <c r="C409" i="5"/>
  <c r="AR409" i="5" s="1"/>
  <c r="C403" i="5"/>
  <c r="AR403" i="5" s="1"/>
  <c r="C406" i="5"/>
  <c r="AR406" i="5" s="1"/>
  <c r="C413" i="5"/>
  <c r="AR413" i="5" s="1"/>
  <c r="C434" i="5"/>
  <c r="AR434" i="5" s="1"/>
  <c r="C404" i="5"/>
  <c r="AR404" i="5" s="1"/>
  <c r="C408" i="5"/>
  <c r="AR408" i="5" s="1"/>
  <c r="C418" i="5"/>
  <c r="AR418" i="5" s="1"/>
  <c r="C401" i="5"/>
  <c r="AR401" i="5" s="1"/>
  <c r="C402" i="5"/>
  <c r="AR402" i="5" s="1"/>
  <c r="C422" i="5"/>
  <c r="AR422" i="5" s="1"/>
  <c r="C435" i="5"/>
  <c r="AR435" i="5" s="1"/>
  <c r="C433" i="5"/>
  <c r="AR433" i="5" s="1"/>
  <c r="C412" i="5"/>
  <c r="AR412" i="5" s="1"/>
  <c r="C410" i="5"/>
  <c r="AR410" i="5" s="1"/>
  <c r="C428" i="5"/>
  <c r="AR428" i="5" s="1"/>
  <c r="C415" i="5"/>
  <c r="AR415" i="5" s="1"/>
  <c r="C424" i="5"/>
  <c r="AR424" i="5" s="1"/>
  <c r="C425" i="5"/>
  <c r="AR425" i="5" s="1"/>
  <c r="C431" i="5"/>
  <c r="AR431" i="5" s="1"/>
  <c r="C430" i="5"/>
  <c r="AR430" i="5" s="1"/>
  <c r="C427" i="5"/>
  <c r="AR427" i="5" s="1"/>
  <c r="C429" i="5"/>
  <c r="AR429" i="5" s="1"/>
  <c r="C426" i="5"/>
  <c r="AR426" i="5" s="1"/>
  <c r="C416" i="5"/>
  <c r="AR416" i="5" s="1"/>
  <c r="C423" i="5"/>
  <c r="AR423" i="5" s="1"/>
  <c r="C421" i="5"/>
  <c r="AR421" i="5" s="1"/>
  <c r="C420" i="5"/>
  <c r="AR420" i="5" s="1"/>
  <c r="C407" i="5"/>
  <c r="AR407" i="5" s="1"/>
  <c r="C414" i="5"/>
  <c r="AR414" i="5" s="1"/>
  <c r="C411" i="5"/>
  <c r="AR411" i="5" s="1"/>
  <c r="C417" i="5"/>
  <c r="AR417" i="5" s="1"/>
  <c r="C419" i="5"/>
  <c r="AR419" i="5" s="1"/>
  <c r="C432" i="5"/>
  <c r="AR432" i="5" s="1"/>
  <c r="C399" i="5"/>
  <c r="AR399" i="5" s="1"/>
  <c r="C396" i="5"/>
  <c r="AR396" i="5" s="1"/>
  <c r="C388" i="5"/>
  <c r="AR388" i="5" s="1"/>
  <c r="C394" i="5"/>
  <c r="AR394" i="5" s="1"/>
  <c r="C389" i="5"/>
  <c r="AR389" i="5" s="1"/>
  <c r="C390" i="5"/>
  <c r="AR390" i="5" s="1"/>
  <c r="C393" i="5"/>
  <c r="AR393" i="5" s="1"/>
  <c r="C392" i="5"/>
  <c r="AR392" i="5" s="1"/>
  <c r="C385" i="5"/>
  <c r="AR385" i="5" s="1"/>
  <c r="C381" i="5"/>
  <c r="AR381" i="5" s="1"/>
  <c r="C383" i="5"/>
  <c r="AR383" i="5" s="1"/>
  <c r="C398" i="5"/>
  <c r="AR398" i="5" s="1"/>
  <c r="C384" i="5"/>
  <c r="AR384" i="5" s="1"/>
  <c r="C395" i="5"/>
  <c r="AR395" i="5" s="1"/>
  <c r="C387" i="5"/>
  <c r="AR387" i="5" s="1"/>
  <c r="C380" i="5"/>
  <c r="AR380" i="5" s="1"/>
  <c r="C391" i="5"/>
  <c r="AR391" i="5" s="1"/>
  <c r="C386" i="5"/>
  <c r="AR386" i="5" s="1"/>
  <c r="C400" i="5"/>
  <c r="AR400" i="5" s="1"/>
  <c r="C397" i="5"/>
  <c r="AR397" i="5" s="1"/>
  <c r="C379" i="5"/>
  <c r="AR379" i="5" s="1"/>
  <c r="C382" i="5"/>
  <c r="AR382" i="5" s="1"/>
  <c r="C377" i="5"/>
  <c r="AR377" i="5" s="1"/>
  <c r="C355" i="5"/>
  <c r="AR355" i="5" s="1"/>
  <c r="C354" i="5"/>
  <c r="AR354" i="5" s="1"/>
  <c r="C356" i="5"/>
  <c r="AR356" i="5" s="1"/>
  <c r="C353" i="5"/>
  <c r="AR353" i="5" s="1"/>
  <c r="C358" i="5"/>
  <c r="AR358" i="5" s="1"/>
  <c r="C357" i="5"/>
  <c r="AR357" i="5" s="1"/>
  <c r="C371" i="5"/>
  <c r="AR371" i="5" s="1"/>
  <c r="C364" i="5"/>
  <c r="AR364" i="5" s="1"/>
  <c r="C367" i="5"/>
  <c r="AR367" i="5" s="1"/>
  <c r="C366" i="5"/>
  <c r="AR366" i="5" s="1"/>
  <c r="C378" i="5"/>
  <c r="AR378" i="5" s="1"/>
  <c r="C360" i="5"/>
  <c r="AR360" i="5" s="1"/>
  <c r="C359" i="5"/>
  <c r="AR359" i="5" s="1"/>
  <c r="C368" i="5"/>
  <c r="AR368" i="5" s="1"/>
  <c r="C376" i="5"/>
  <c r="AR376" i="5" s="1"/>
  <c r="C361" i="5"/>
  <c r="AR361" i="5" s="1"/>
  <c r="C362" i="5"/>
  <c r="AR362" i="5" s="1"/>
  <c r="C375" i="5"/>
  <c r="AR375" i="5" s="1"/>
  <c r="C374" i="5"/>
  <c r="AR374" i="5" s="1"/>
  <c r="C372" i="5"/>
  <c r="AR372" i="5" s="1"/>
  <c r="C363" i="5"/>
  <c r="AR363" i="5" s="1"/>
  <c r="C373" i="5"/>
  <c r="AR373" i="5" s="1"/>
  <c r="C365" i="5"/>
  <c r="AR365" i="5" s="1"/>
  <c r="C369" i="5"/>
  <c r="AR369" i="5" s="1"/>
  <c r="C370" i="5"/>
  <c r="AR370" i="5" s="1"/>
  <c r="C338" i="5"/>
  <c r="AR338" i="5" s="1"/>
  <c r="C335" i="5"/>
  <c r="AR335" i="5" s="1"/>
  <c r="C342" i="5"/>
  <c r="AR342" i="5" s="1"/>
  <c r="C334" i="5"/>
  <c r="AR334" i="5" s="1"/>
  <c r="C333" i="5"/>
  <c r="AR333" i="5" s="1"/>
  <c r="C337" i="5"/>
  <c r="AR337" i="5" s="1"/>
  <c r="C344" i="5"/>
  <c r="AR344" i="5" s="1"/>
  <c r="C345" i="5"/>
  <c r="AR345" i="5" s="1"/>
  <c r="C348" i="5"/>
  <c r="AR348" i="5" s="1"/>
  <c r="C350" i="5"/>
  <c r="AR350" i="5" s="1"/>
  <c r="C349" i="5"/>
  <c r="AR349" i="5" s="1"/>
  <c r="C343" i="5"/>
  <c r="AR343" i="5" s="1"/>
  <c r="C351" i="5"/>
  <c r="AR351" i="5" s="1"/>
  <c r="C352" i="5"/>
  <c r="AR352" i="5" s="1"/>
  <c r="C340" i="5"/>
  <c r="AR340" i="5" s="1"/>
  <c r="C347" i="5"/>
  <c r="AR347" i="5" s="1"/>
  <c r="C341" i="5"/>
  <c r="AR341" i="5" s="1"/>
  <c r="C346" i="5"/>
  <c r="AR346" i="5" s="1"/>
  <c r="C336" i="5"/>
  <c r="AR336" i="5" s="1"/>
  <c r="C339" i="5"/>
  <c r="AR339" i="5" s="1"/>
  <c r="C331" i="5"/>
  <c r="AR331" i="5" s="1"/>
  <c r="C332" i="5"/>
  <c r="AR332" i="5" s="1"/>
  <c r="C325" i="5"/>
  <c r="AR325" i="5" s="1"/>
  <c r="C327" i="5"/>
  <c r="AR327" i="5" s="1"/>
  <c r="C330" i="5"/>
  <c r="AR330" i="5" s="1"/>
  <c r="C328" i="5"/>
  <c r="AR328" i="5" s="1"/>
  <c r="C324" i="5"/>
  <c r="AR324" i="5" s="1"/>
  <c r="C329" i="5"/>
  <c r="AR329" i="5" s="1"/>
  <c r="C326" i="5"/>
  <c r="AR326" i="5" s="1"/>
  <c r="C323" i="5"/>
  <c r="AR323" i="5" s="1"/>
  <c r="C288" i="5"/>
  <c r="AR288" i="5" s="1"/>
  <c r="C289" i="5"/>
  <c r="AR289" i="5" s="1"/>
  <c r="C313" i="5"/>
  <c r="AR313" i="5" s="1"/>
  <c r="C310" i="5"/>
  <c r="AR310" i="5" s="1"/>
  <c r="C304" i="5"/>
  <c r="AR304" i="5" s="1"/>
  <c r="C307" i="5"/>
  <c r="AR307" i="5" s="1"/>
  <c r="C306" i="5"/>
  <c r="AR306" i="5" s="1"/>
  <c r="C314" i="5"/>
  <c r="AR314" i="5" s="1"/>
  <c r="C291" i="5"/>
  <c r="AR291" i="5" s="1"/>
  <c r="C292" i="5"/>
  <c r="AR292" i="5" s="1"/>
  <c r="C286" i="5"/>
  <c r="AR286" i="5" s="1"/>
  <c r="C293" i="5"/>
  <c r="AR293" i="5" s="1"/>
  <c r="C295" i="5"/>
  <c r="AR295" i="5" s="1"/>
  <c r="C308" i="5"/>
  <c r="AR308" i="5" s="1"/>
  <c r="C309" i="5"/>
  <c r="AR309" i="5" s="1"/>
  <c r="C305" i="5"/>
  <c r="AR305" i="5" s="1"/>
  <c r="C303" i="5"/>
  <c r="AR303" i="5" s="1"/>
  <c r="C311" i="5"/>
  <c r="AR311" i="5" s="1"/>
  <c r="C302" i="5"/>
  <c r="AR302" i="5" s="1"/>
  <c r="C290" i="5"/>
  <c r="AR290" i="5" s="1"/>
  <c r="C317" i="5"/>
  <c r="AR317" i="5" s="1"/>
  <c r="C301" i="5"/>
  <c r="AR301" i="5" s="1"/>
  <c r="C298" i="5"/>
  <c r="AR298" i="5" s="1"/>
  <c r="C320" i="5"/>
  <c r="AR320" i="5" s="1"/>
  <c r="C318" i="5"/>
  <c r="AR318" i="5" s="1"/>
  <c r="C296" i="5"/>
  <c r="AR296" i="5" s="1"/>
  <c r="C297" i="5"/>
  <c r="AR297" i="5" s="1"/>
  <c r="C312" i="5"/>
  <c r="AR312" i="5" s="1"/>
  <c r="C315" i="5"/>
  <c r="AR315" i="5" s="1"/>
  <c r="C294" i="5"/>
  <c r="AR294" i="5" s="1"/>
  <c r="C300" i="5"/>
  <c r="AR300" i="5" s="1"/>
  <c r="C299" i="5"/>
  <c r="AR299" i="5" s="1"/>
  <c r="C287" i="5"/>
  <c r="AR287" i="5" s="1"/>
  <c r="C316" i="5"/>
  <c r="AR316" i="5" s="1"/>
  <c r="C319" i="5"/>
  <c r="AR319" i="5" s="1"/>
  <c r="C321" i="5"/>
  <c r="AR321" i="5" s="1"/>
  <c r="C285" i="5"/>
  <c r="AR285" i="5" s="1"/>
  <c r="C322" i="5"/>
  <c r="AR322" i="5" s="1"/>
  <c r="C283" i="5"/>
  <c r="C284" i="5"/>
  <c r="AR284" i="5" s="1"/>
  <c r="C281" i="5"/>
  <c r="AR281" i="5" s="1"/>
  <c r="C280" i="5"/>
  <c r="AR280" i="5" s="1"/>
  <c r="C267" i="5"/>
  <c r="AR267" i="5" s="1"/>
  <c r="C272" i="5"/>
  <c r="AR272" i="5" s="1"/>
  <c r="C282" i="5"/>
  <c r="AR282" i="5" s="1"/>
  <c r="C268" i="5"/>
  <c r="AR268" i="5" s="1"/>
  <c r="C276" i="5"/>
  <c r="AR276" i="5" s="1"/>
  <c r="C269" i="5"/>
  <c r="AR269" i="5" s="1"/>
  <c r="C273" i="5"/>
  <c r="AR273" i="5" s="1"/>
  <c r="C274" i="5"/>
  <c r="AR274" i="5" s="1"/>
  <c r="C279" i="5"/>
  <c r="AR279" i="5" s="1"/>
  <c r="C277" i="5"/>
  <c r="AR277" i="5" s="1"/>
  <c r="C278" i="5"/>
  <c r="AR278" i="5" s="1"/>
  <c r="C275" i="5"/>
  <c r="AR275" i="5" s="1"/>
  <c r="C271" i="5"/>
  <c r="AR271" i="5" s="1"/>
  <c r="C270" i="5"/>
  <c r="AR270" i="5" s="1"/>
  <c r="C263" i="5"/>
  <c r="AR263" i="5" s="1"/>
  <c r="C262" i="5"/>
  <c r="AR262" i="5" s="1"/>
  <c r="C265" i="5"/>
  <c r="AR265" i="5" s="1"/>
  <c r="C264" i="5"/>
  <c r="AR264" i="5" s="1"/>
  <c r="C266" i="5"/>
  <c r="AR266" i="5" s="1"/>
  <c r="C261" i="5"/>
  <c r="AR261" i="5" s="1"/>
  <c r="C238" i="5"/>
  <c r="AR238" i="5" s="1"/>
  <c r="C224" i="5"/>
  <c r="AR224" i="5" s="1"/>
  <c r="C237" i="5"/>
  <c r="AR237" i="5" s="1"/>
  <c r="C58" i="5"/>
  <c r="AR58" i="5" s="1"/>
  <c r="C43" i="5"/>
  <c r="AR43" i="5" s="1"/>
  <c r="C59" i="5"/>
  <c r="AR59" i="5" s="1"/>
  <c r="C2" i="5"/>
  <c r="AR2" i="5" s="1"/>
  <c r="C3" i="5"/>
  <c r="AR3" i="5" s="1"/>
  <c r="AQ1404" i="5"/>
  <c r="AQ1402" i="5"/>
  <c r="AQ1400" i="5"/>
  <c r="AQ1401" i="5"/>
  <c r="AQ1403" i="5"/>
  <c r="AQ1396" i="5"/>
  <c r="AQ1398" i="5"/>
  <c r="AQ1397" i="5"/>
  <c r="AQ1395" i="5"/>
  <c r="AQ1399" i="5"/>
  <c r="AQ1394" i="5"/>
  <c r="AQ1393" i="5"/>
  <c r="AQ1391" i="5"/>
  <c r="AQ1392" i="5"/>
  <c r="AQ1390" i="5"/>
  <c r="AQ1389" i="5"/>
  <c r="AQ1388" i="5"/>
  <c r="AQ1387" i="5"/>
  <c r="AQ1375" i="5"/>
  <c r="AQ1381" i="5"/>
  <c r="AQ1380" i="5"/>
  <c r="AQ1377" i="5"/>
  <c r="AQ1376" i="5"/>
  <c r="AQ1382" i="5"/>
  <c r="AQ1384" i="5"/>
  <c r="AQ1378" i="5"/>
  <c r="AQ1385" i="5"/>
  <c r="AQ1386" i="5"/>
  <c r="AQ1379" i="5"/>
  <c r="AQ1383" i="5"/>
  <c r="AQ1374" i="5"/>
  <c r="AQ1372" i="5"/>
  <c r="AQ1373" i="5"/>
  <c r="AQ1371" i="5"/>
  <c r="AQ1363" i="5"/>
  <c r="AQ1366" i="5"/>
  <c r="AQ1364" i="5"/>
  <c r="AQ1365" i="5"/>
  <c r="AQ1369" i="5"/>
  <c r="AQ1362" i="5"/>
  <c r="AQ1367" i="5"/>
  <c r="AQ1370" i="5"/>
  <c r="AQ1368" i="5"/>
  <c r="AQ1332" i="5"/>
  <c r="AQ1340" i="5"/>
  <c r="AQ1343" i="5"/>
  <c r="AQ1344" i="5"/>
  <c r="AQ1348" i="5"/>
  <c r="AQ1351" i="5"/>
  <c r="AQ1341" i="5"/>
  <c r="AQ1349" i="5"/>
  <c r="AQ1355" i="5"/>
  <c r="AQ1354" i="5"/>
  <c r="AQ1338" i="5"/>
  <c r="AQ1342" i="5"/>
  <c r="AQ1350" i="5"/>
  <c r="AQ1346" i="5"/>
  <c r="AQ1333" i="5"/>
  <c r="AQ1334" i="5"/>
  <c r="AQ1336" i="5"/>
  <c r="AQ1335" i="5"/>
  <c r="AQ1337" i="5"/>
  <c r="AQ1345" i="5"/>
  <c r="AQ1339" i="5"/>
  <c r="AQ1360" i="5"/>
  <c r="AQ1353" i="5"/>
  <c r="AQ1347" i="5"/>
  <c r="AQ1361" i="5"/>
  <c r="AQ1356" i="5"/>
  <c r="AQ1358" i="5"/>
  <c r="AQ1359" i="5"/>
  <c r="AQ1352" i="5"/>
  <c r="AQ1357" i="5"/>
  <c r="AQ1331" i="5"/>
  <c r="AQ1317" i="5"/>
  <c r="AQ1316" i="5"/>
  <c r="AQ1318" i="5"/>
  <c r="AQ1322" i="5"/>
  <c r="AQ1325" i="5"/>
  <c r="AQ1328" i="5"/>
  <c r="AQ1323" i="5"/>
  <c r="AQ1324" i="5"/>
  <c r="AQ1320" i="5"/>
  <c r="AQ1319" i="5"/>
  <c r="AQ1327" i="5"/>
  <c r="AQ1321" i="5"/>
  <c r="AQ1329" i="5"/>
  <c r="AQ1330" i="5"/>
  <c r="AQ1326" i="5"/>
  <c r="AQ1305" i="5"/>
  <c r="AQ1300" i="5"/>
  <c r="AQ1301" i="5"/>
  <c r="AQ1302" i="5"/>
  <c r="AQ1304" i="5"/>
  <c r="AQ1313" i="5"/>
  <c r="AQ1315" i="5"/>
  <c r="AQ1312" i="5"/>
  <c r="AQ1314" i="5"/>
  <c r="AQ1294" i="5"/>
  <c r="AQ1295" i="5"/>
  <c r="AQ1297" i="5"/>
  <c r="AQ1308" i="5"/>
  <c r="AQ1303" i="5"/>
  <c r="AQ1296" i="5"/>
  <c r="AQ1291" i="5"/>
  <c r="AQ1293" i="5"/>
  <c r="AQ1292" i="5"/>
  <c r="AQ1298" i="5"/>
  <c r="AQ1299" i="5"/>
  <c r="AQ1307" i="5"/>
  <c r="AQ1310" i="5"/>
  <c r="AQ1309" i="5"/>
  <c r="AQ1311" i="5"/>
  <c r="AQ1306" i="5"/>
  <c r="AQ1290" i="5"/>
  <c r="AQ1286" i="5"/>
  <c r="AQ1284" i="5"/>
  <c r="AQ1282" i="5"/>
  <c r="AQ1283" i="5"/>
  <c r="AQ1289" i="5"/>
  <c r="AQ1279" i="5"/>
  <c r="AQ1281" i="5"/>
  <c r="AQ1285" i="5"/>
  <c r="AQ1280" i="5"/>
  <c r="AQ1288" i="5"/>
  <c r="AQ1287" i="5"/>
  <c r="AQ1277" i="5"/>
  <c r="AQ1278" i="5"/>
  <c r="AQ1276" i="5"/>
  <c r="AQ1269" i="5"/>
  <c r="AQ1274" i="5"/>
  <c r="AQ1270" i="5"/>
  <c r="AQ1263" i="5"/>
  <c r="AQ1272" i="5"/>
  <c r="AQ1260" i="5"/>
  <c r="AQ1266" i="5"/>
  <c r="AQ1268" i="5"/>
  <c r="AQ1267" i="5"/>
  <c r="AQ1254" i="5"/>
  <c r="AQ1271" i="5"/>
  <c r="AQ1273" i="5"/>
  <c r="AQ1262" i="5"/>
  <c r="AQ1259" i="5"/>
  <c r="AQ1275" i="5"/>
  <c r="AQ1265" i="5"/>
  <c r="AQ1258" i="5"/>
  <c r="AQ1261" i="5"/>
  <c r="AQ1257" i="5"/>
  <c r="AQ1264" i="5"/>
  <c r="AQ1253" i="5"/>
  <c r="AQ1256" i="5"/>
  <c r="AQ1255" i="5"/>
  <c r="AQ1252" i="5"/>
  <c r="AQ1251" i="5"/>
  <c r="AQ1250" i="5"/>
  <c r="AQ1249" i="5"/>
  <c r="AQ1244" i="5"/>
  <c r="AQ1248" i="5"/>
  <c r="AQ1246" i="5"/>
  <c r="AQ1245" i="5"/>
  <c r="AQ1247" i="5"/>
  <c r="AQ1242" i="5"/>
  <c r="AQ1243" i="5"/>
  <c r="AQ1241" i="5"/>
  <c r="AQ1240" i="5"/>
  <c r="AQ1239" i="5"/>
  <c r="AQ1238" i="5"/>
  <c r="AQ1235" i="5"/>
  <c r="AQ1237" i="5"/>
  <c r="AQ1234" i="5"/>
  <c r="AQ1236" i="5"/>
  <c r="AQ1233" i="5"/>
  <c r="AQ1231" i="5"/>
  <c r="AQ1232" i="5"/>
  <c r="AQ1230" i="5"/>
  <c r="AQ1229" i="5"/>
  <c r="AQ1228" i="5"/>
  <c r="AQ1223" i="5"/>
  <c r="AQ1222" i="5"/>
  <c r="AQ1221" i="5"/>
  <c r="AQ1226" i="5"/>
  <c r="AQ1220" i="5"/>
  <c r="AQ1227" i="5"/>
  <c r="AQ1224" i="5"/>
  <c r="AQ1225" i="5"/>
  <c r="AQ1219" i="5"/>
  <c r="AQ1218" i="5"/>
  <c r="AQ1217" i="5"/>
  <c r="AQ1216" i="5"/>
  <c r="AQ1215" i="5"/>
  <c r="AQ1209" i="5"/>
  <c r="AQ1208" i="5"/>
  <c r="AQ1210" i="5"/>
  <c r="AQ1213" i="5"/>
  <c r="AQ1214" i="5"/>
  <c r="AQ1212" i="5"/>
  <c r="AQ1211" i="5"/>
  <c r="AQ1207" i="5"/>
  <c r="AQ1206" i="5"/>
  <c r="AQ1204" i="5"/>
  <c r="AQ1205" i="5"/>
  <c r="AQ1203" i="5"/>
  <c r="AQ1202" i="5"/>
  <c r="AQ1197" i="5"/>
  <c r="AQ1199" i="5"/>
  <c r="AQ1198" i="5"/>
  <c r="AQ1201" i="5"/>
  <c r="AQ1200" i="5"/>
  <c r="AQ1196" i="5"/>
  <c r="AQ1187" i="5"/>
  <c r="AQ1188" i="5"/>
  <c r="AQ1194" i="5"/>
  <c r="AQ1192" i="5"/>
  <c r="AQ1193" i="5"/>
  <c r="AQ1190" i="5"/>
  <c r="AQ1189" i="5"/>
  <c r="AQ1191" i="5"/>
  <c r="AQ1195" i="5"/>
  <c r="AQ1183" i="5"/>
  <c r="AQ1182" i="5"/>
  <c r="AQ1180" i="5"/>
  <c r="AQ1181" i="5"/>
  <c r="AQ1184" i="5"/>
  <c r="AQ1186" i="5"/>
  <c r="AQ1185" i="5"/>
  <c r="AQ1167" i="5"/>
  <c r="AQ1165" i="5"/>
  <c r="AQ1166" i="5"/>
  <c r="AQ1171" i="5"/>
  <c r="AQ1168" i="5"/>
  <c r="AQ1175" i="5"/>
  <c r="AQ1176" i="5"/>
  <c r="AQ1174" i="5"/>
  <c r="AQ1169" i="5"/>
  <c r="AQ1178" i="5"/>
  <c r="AQ1179" i="5"/>
  <c r="AQ1177" i="5"/>
  <c r="AQ1172" i="5"/>
  <c r="AQ1170" i="5"/>
  <c r="AQ1173" i="5"/>
  <c r="AQ1156" i="5"/>
  <c r="AQ1161" i="5"/>
  <c r="AQ1147" i="5"/>
  <c r="AQ1148" i="5"/>
  <c r="AQ1151" i="5"/>
  <c r="AQ1146" i="5"/>
  <c r="AQ1158" i="5"/>
  <c r="AQ1149" i="5"/>
  <c r="AQ1159" i="5"/>
  <c r="AQ1164" i="5"/>
  <c r="AQ1153" i="5"/>
  <c r="AQ1145" i="5"/>
  <c r="AQ1152" i="5"/>
  <c r="AQ1160" i="5"/>
  <c r="AQ1155" i="5"/>
  <c r="AQ1157" i="5"/>
  <c r="AQ1142" i="5"/>
  <c r="AQ1150" i="5"/>
  <c r="AQ1162" i="5"/>
  <c r="AQ1163" i="5"/>
  <c r="AQ1144" i="5"/>
  <c r="AQ1154" i="5"/>
  <c r="AQ1143" i="5"/>
  <c r="AQ1139" i="5"/>
  <c r="AQ1138" i="5"/>
  <c r="AQ1135" i="5"/>
  <c r="AQ1136" i="5"/>
  <c r="AQ1137" i="5"/>
  <c r="AQ1141" i="5"/>
  <c r="AQ1140" i="5"/>
  <c r="AQ1133" i="5"/>
  <c r="AQ1132" i="5"/>
  <c r="AQ1134" i="5"/>
  <c r="AQ1131" i="5"/>
  <c r="AQ1130" i="5"/>
  <c r="AQ1129" i="5"/>
  <c r="AQ1128" i="5"/>
  <c r="AQ1125" i="5"/>
  <c r="AQ1127" i="5"/>
  <c r="AQ1124" i="5"/>
  <c r="AQ1126" i="5"/>
  <c r="AQ1123" i="5"/>
  <c r="AQ1120" i="5"/>
  <c r="AQ1122" i="5"/>
  <c r="AQ1121" i="5"/>
  <c r="AQ1118" i="5"/>
  <c r="AQ1119" i="5"/>
  <c r="AQ1116" i="5"/>
  <c r="AQ1117" i="5"/>
  <c r="AQ1114" i="5"/>
  <c r="AQ1115" i="5"/>
  <c r="AQ1112" i="5"/>
  <c r="AQ1113" i="5"/>
  <c r="AQ1110" i="5"/>
  <c r="AQ1109" i="5"/>
  <c r="AQ1111" i="5"/>
  <c r="AQ1108" i="5"/>
  <c r="AQ1107" i="5"/>
  <c r="AQ1106" i="5"/>
  <c r="AQ1105" i="5"/>
  <c r="AQ1104" i="5"/>
  <c r="AQ1103" i="5"/>
  <c r="AQ1102" i="5"/>
  <c r="AQ1101" i="5"/>
  <c r="AQ1100" i="5"/>
  <c r="AQ1098" i="5"/>
  <c r="AQ1099" i="5"/>
  <c r="AQ1097" i="5"/>
  <c r="AQ1095" i="5"/>
  <c r="AQ1093" i="5"/>
  <c r="AQ1094" i="5"/>
  <c r="AQ1096" i="5"/>
  <c r="AQ1092" i="5"/>
  <c r="AQ1091" i="5"/>
  <c r="AQ1084" i="5"/>
  <c r="AQ1088" i="5"/>
  <c r="AQ1086" i="5"/>
  <c r="AQ1083" i="5"/>
  <c r="AQ1085" i="5"/>
  <c r="AQ1087" i="5"/>
  <c r="AQ1090" i="5"/>
  <c r="AQ1089" i="5"/>
  <c r="AQ1076" i="5"/>
  <c r="AQ1080" i="5"/>
  <c r="AQ1082" i="5"/>
  <c r="AQ1079" i="5"/>
  <c r="AQ1081" i="5"/>
  <c r="AQ1077" i="5"/>
  <c r="AQ1078" i="5"/>
  <c r="AQ1069" i="5"/>
  <c r="AQ1073" i="5"/>
  <c r="AQ1075" i="5"/>
  <c r="AQ1074" i="5"/>
  <c r="AQ1070" i="5"/>
  <c r="AQ1071" i="5"/>
  <c r="AQ1072" i="5"/>
  <c r="AQ1065" i="5"/>
  <c r="AQ1068" i="5"/>
  <c r="AQ1067" i="5"/>
  <c r="AQ1061" i="5"/>
  <c r="AQ1062" i="5"/>
  <c r="AQ1064" i="5"/>
  <c r="AQ1066" i="5"/>
  <c r="AQ1063" i="5"/>
  <c r="AQ1054" i="5"/>
  <c r="AQ1059" i="5"/>
  <c r="AQ1058" i="5"/>
  <c r="AQ1057" i="5"/>
  <c r="AQ1060" i="5"/>
  <c r="AQ1053" i="5"/>
  <c r="AQ1055" i="5"/>
  <c r="AQ1056" i="5"/>
  <c r="AQ1042" i="5"/>
  <c r="AQ1045" i="5"/>
  <c r="AQ1043" i="5"/>
  <c r="AQ1048" i="5"/>
  <c r="AQ1046" i="5"/>
  <c r="AQ1049" i="5"/>
  <c r="AQ1050" i="5"/>
  <c r="AQ1047" i="5"/>
  <c r="AQ1044" i="5"/>
  <c r="AQ1052" i="5"/>
  <c r="AQ1051" i="5"/>
  <c r="AQ1040" i="5"/>
  <c r="AQ1039" i="5"/>
  <c r="AQ1041" i="5"/>
  <c r="AQ1036" i="5"/>
  <c r="AQ1038" i="5"/>
  <c r="AQ1037" i="5"/>
  <c r="AQ1034" i="5"/>
  <c r="AQ1035" i="5"/>
  <c r="AQ1033" i="5"/>
  <c r="AQ1031" i="5"/>
  <c r="AQ1032" i="5"/>
  <c r="AQ883" i="5"/>
  <c r="AQ996" i="5"/>
  <c r="AQ1012" i="5"/>
  <c r="AQ975" i="5"/>
  <c r="AQ967" i="5"/>
  <c r="AQ862" i="5"/>
  <c r="AQ968" i="5"/>
  <c r="AQ864" i="5"/>
  <c r="AQ982" i="5"/>
  <c r="AQ978" i="5"/>
  <c r="AQ981" i="5"/>
  <c r="AQ993" i="5"/>
  <c r="AQ1006" i="5"/>
  <c r="AQ886" i="5"/>
  <c r="AQ914" i="5"/>
  <c r="AQ992" i="5"/>
  <c r="AQ990" i="5"/>
  <c r="AQ991" i="5"/>
  <c r="AQ995" i="5"/>
  <c r="AQ882" i="5"/>
  <c r="AQ942" i="5"/>
  <c r="AQ925" i="5"/>
  <c r="AQ923" i="5"/>
  <c r="AQ949" i="5"/>
  <c r="AQ910" i="5"/>
  <c r="AQ960" i="5"/>
  <c r="AQ1024" i="5"/>
  <c r="AQ1021" i="5"/>
  <c r="AQ977" i="5"/>
  <c r="AQ955" i="5"/>
  <c r="AQ894" i="5"/>
  <c r="AQ930" i="5"/>
  <c r="AQ957" i="5"/>
  <c r="AQ958" i="5"/>
  <c r="AQ1002" i="5"/>
  <c r="AQ1000" i="5"/>
  <c r="AQ970" i="5"/>
  <c r="AQ971" i="5"/>
  <c r="AQ884" i="5"/>
  <c r="AQ902" i="5"/>
  <c r="AQ887" i="5"/>
  <c r="AQ889" i="5"/>
  <c r="AQ936" i="5"/>
  <c r="AQ959" i="5"/>
  <c r="AQ987" i="5"/>
  <c r="AQ1023" i="5"/>
  <c r="AQ1027" i="5"/>
  <c r="AQ1029" i="5"/>
  <c r="AQ1001" i="5"/>
  <c r="AQ932" i="5"/>
  <c r="AQ929" i="5"/>
  <c r="AQ924" i="5"/>
  <c r="AQ966" i="5"/>
  <c r="AQ1007" i="5"/>
  <c r="AQ999" i="5"/>
  <c r="AQ1014" i="5"/>
  <c r="AQ979" i="5"/>
  <c r="AQ1017" i="5"/>
  <c r="AQ871" i="5"/>
  <c r="AQ931" i="5"/>
  <c r="AQ893" i="5"/>
  <c r="AQ941" i="5"/>
  <c r="AQ965" i="5"/>
  <c r="AQ903" i="5"/>
  <c r="AQ904" i="5"/>
  <c r="AQ876" i="5"/>
  <c r="AQ921" i="5"/>
  <c r="AQ943" i="5"/>
  <c r="AQ934" i="5"/>
  <c r="AQ901" i="5"/>
  <c r="AQ905" i="5"/>
  <c r="AQ947" i="5"/>
  <c r="AQ875" i="5"/>
  <c r="AQ945" i="5"/>
  <c r="AQ948" i="5"/>
  <c r="AQ952" i="5"/>
  <c r="AQ953" i="5"/>
  <c r="AQ963" i="5"/>
  <c r="AQ954" i="5"/>
  <c r="AQ863" i="5"/>
  <c r="AQ961" i="5"/>
  <c r="AQ879" i="5"/>
  <c r="AQ969" i="5"/>
  <c r="AQ926" i="5"/>
  <c r="AQ866" i="5"/>
  <c r="AQ900" i="5"/>
  <c r="AQ1030" i="5"/>
  <c r="AQ1011" i="5"/>
  <c r="AQ1013" i="5"/>
  <c r="AQ928" i="5"/>
  <c r="AQ912" i="5"/>
  <c r="AQ976" i="5"/>
  <c r="AQ964" i="5"/>
  <c r="AQ860" i="5"/>
  <c r="AQ861" i="5"/>
  <c r="AQ980" i="5"/>
  <c r="AQ867" i="5"/>
  <c r="AQ906" i="5"/>
  <c r="AQ972" i="5"/>
  <c r="AQ873" i="5"/>
  <c r="AQ997" i="5"/>
  <c r="AQ1010" i="5"/>
  <c r="AQ986" i="5"/>
  <c r="AQ989" i="5"/>
  <c r="AQ1020" i="5"/>
  <c r="AQ998" i="5"/>
  <c r="AQ984" i="5"/>
  <c r="AQ1015" i="5"/>
  <c r="AQ983" i="5"/>
  <c r="AQ1018" i="5"/>
  <c r="AQ920" i="5"/>
  <c r="AQ1026" i="5"/>
  <c r="AQ1008" i="5"/>
  <c r="AQ898" i="5"/>
  <c r="AQ870" i="5"/>
  <c r="AQ877" i="5"/>
  <c r="AQ881" i="5"/>
  <c r="AQ868" i="5"/>
  <c r="AQ892" i="5"/>
  <c r="AQ865" i="5"/>
  <c r="AQ913" i="5"/>
  <c r="AQ909" i="5"/>
  <c r="AQ869" i="5"/>
  <c r="AQ915" i="5"/>
  <c r="AQ916" i="5"/>
  <c r="AQ908" i="5"/>
  <c r="AQ938" i="5"/>
  <c r="AQ937" i="5"/>
  <c r="AQ895" i="5"/>
  <c r="AQ922" i="5"/>
  <c r="AQ962" i="5"/>
  <c r="AQ919" i="5"/>
  <c r="AQ890" i="5"/>
  <c r="AQ935" i="5"/>
  <c r="AQ1025" i="5"/>
  <c r="AQ985" i="5"/>
  <c r="AQ1005" i="5"/>
  <c r="AQ1009" i="5"/>
  <c r="AQ994" i="5"/>
  <c r="AQ1019" i="5"/>
  <c r="AQ933" i="5"/>
  <c r="AQ940" i="5"/>
  <c r="AQ956" i="5"/>
  <c r="AQ1028" i="5"/>
  <c r="AQ1022" i="5"/>
  <c r="AQ872" i="5"/>
  <c r="AQ899" i="5"/>
  <c r="AQ896" i="5"/>
  <c r="AQ878" i="5"/>
  <c r="AQ918" i="5"/>
  <c r="AQ1003" i="5"/>
  <c r="AQ988" i="5"/>
  <c r="AQ944" i="5"/>
  <c r="AQ891" i="5"/>
  <c r="AQ885" i="5"/>
  <c r="AQ888" i="5"/>
  <c r="AQ917" i="5"/>
  <c r="AQ1004" i="5"/>
  <c r="AQ946" i="5"/>
  <c r="AQ859" i="5"/>
  <c r="AQ927" i="5"/>
  <c r="AQ951" i="5"/>
  <c r="AQ950" i="5"/>
  <c r="AQ974" i="5"/>
  <c r="AQ897" i="5"/>
  <c r="AQ911" i="5"/>
  <c r="AQ939" i="5"/>
  <c r="AQ973" i="5"/>
  <c r="AQ880" i="5"/>
  <c r="AQ907" i="5"/>
  <c r="AQ874" i="5"/>
  <c r="AQ1016" i="5"/>
  <c r="AQ774" i="5"/>
  <c r="AQ771" i="5"/>
  <c r="AQ701" i="5"/>
  <c r="AQ745" i="5"/>
  <c r="AQ845" i="5"/>
  <c r="AQ851" i="5"/>
  <c r="AQ854" i="5"/>
  <c r="AQ852" i="5"/>
  <c r="AQ855" i="5"/>
  <c r="AQ853" i="5"/>
  <c r="AQ764" i="5"/>
  <c r="AQ798" i="5"/>
  <c r="AQ751" i="5"/>
  <c r="AQ710" i="5"/>
  <c r="AQ739" i="5"/>
  <c r="AQ763" i="5"/>
  <c r="AQ730" i="5"/>
  <c r="AQ761" i="5"/>
  <c r="AQ726" i="5"/>
  <c r="AQ765" i="5"/>
  <c r="AQ760" i="5"/>
  <c r="AQ706" i="5"/>
  <c r="AQ736" i="5"/>
  <c r="AQ830" i="5"/>
  <c r="AQ703" i="5"/>
  <c r="AQ792" i="5"/>
  <c r="AQ794" i="5"/>
  <c r="AQ809" i="5"/>
  <c r="AQ813" i="5"/>
  <c r="AQ737" i="5"/>
  <c r="AQ769" i="5"/>
  <c r="AQ753" i="5"/>
  <c r="AQ758" i="5"/>
  <c r="AQ832" i="5"/>
  <c r="AQ815" i="5"/>
  <c r="AQ842" i="5"/>
  <c r="AQ846" i="5"/>
  <c r="AQ843" i="5"/>
  <c r="AQ723" i="5"/>
  <c r="AQ834" i="5"/>
  <c r="AQ844" i="5"/>
  <c r="AQ847" i="5"/>
  <c r="AQ829" i="5"/>
  <c r="AQ838" i="5"/>
  <c r="AQ836" i="5"/>
  <c r="AQ841" i="5"/>
  <c r="AQ850" i="5"/>
  <c r="AQ857" i="5"/>
  <c r="AQ772" i="5"/>
  <c r="AQ721" i="5"/>
  <c r="AQ740" i="5"/>
  <c r="AQ754" i="5"/>
  <c r="AQ719" i="5"/>
  <c r="AQ747" i="5"/>
  <c r="AQ750" i="5"/>
  <c r="AQ746" i="5"/>
  <c r="AQ848" i="5"/>
  <c r="AQ839" i="5"/>
  <c r="AQ835" i="5"/>
  <c r="AQ840" i="5"/>
  <c r="AQ819" i="5"/>
  <c r="AQ828" i="5"/>
  <c r="AQ777" i="5"/>
  <c r="AQ797" i="5"/>
  <c r="AQ805" i="5"/>
  <c r="AQ784" i="5"/>
  <c r="AQ827" i="5"/>
  <c r="AQ802" i="5"/>
  <c r="AQ814" i="5"/>
  <c r="AQ816" i="5"/>
  <c r="AQ824" i="5"/>
  <c r="AQ715" i="5"/>
  <c r="AQ796" i="5"/>
  <c r="AQ780" i="5"/>
  <c r="AQ825" i="5"/>
  <c r="AQ785" i="5"/>
  <c r="AQ795" i="5"/>
  <c r="AQ789" i="5"/>
  <c r="AQ786" i="5"/>
  <c r="AQ817" i="5"/>
  <c r="AQ808" i="5"/>
  <c r="AQ810" i="5"/>
  <c r="AQ752" i="5"/>
  <c r="AQ756" i="5"/>
  <c r="AQ734" i="5"/>
  <c r="AQ724" i="5"/>
  <c r="AQ716" i="5"/>
  <c r="AQ767" i="5"/>
  <c r="AQ744" i="5"/>
  <c r="AQ735" i="5"/>
  <c r="AQ717" i="5"/>
  <c r="AQ768" i="5"/>
  <c r="AQ770" i="5"/>
  <c r="AQ742" i="5"/>
  <c r="AQ727" i="5"/>
  <c r="AQ755" i="5"/>
  <c r="AQ782" i="5"/>
  <c r="AQ788" i="5"/>
  <c r="AQ803" i="5"/>
  <c r="AQ778" i="5"/>
  <c r="AQ779" i="5"/>
  <c r="AQ748" i="5"/>
  <c r="AQ804" i="5"/>
  <c r="AQ787" i="5"/>
  <c r="AQ831" i="5"/>
  <c r="AQ837" i="5"/>
  <c r="AQ833" i="5"/>
  <c r="AQ856" i="5"/>
  <c r="AQ849" i="5"/>
  <c r="AQ714" i="5"/>
  <c r="AQ766" i="5"/>
  <c r="AQ718" i="5"/>
  <c r="AQ826" i="5"/>
  <c r="AQ773" i="5"/>
  <c r="AQ791" i="5"/>
  <c r="AQ713" i="5"/>
  <c r="AQ762" i="5"/>
  <c r="AQ801" i="5"/>
  <c r="AQ783" i="5"/>
  <c r="AQ823" i="5"/>
  <c r="AQ800" i="5"/>
  <c r="AQ806" i="5"/>
  <c r="AQ757" i="5"/>
  <c r="AQ807" i="5"/>
  <c r="AQ858" i="5"/>
  <c r="AQ775" i="5"/>
  <c r="AQ702" i="5"/>
  <c r="AQ738" i="5"/>
  <c r="AQ707" i="5"/>
  <c r="AQ822" i="5"/>
  <c r="AQ793" i="5"/>
  <c r="AQ812" i="5"/>
  <c r="AQ799" i="5"/>
  <c r="AQ741" i="5"/>
  <c r="AQ820" i="5"/>
  <c r="AQ781" i="5"/>
  <c r="AQ709" i="5"/>
  <c r="AQ728" i="5"/>
  <c r="AQ821" i="5"/>
  <c r="AQ790" i="5"/>
  <c r="AQ704" i="5"/>
  <c r="AQ705" i="5"/>
  <c r="AQ749" i="5"/>
  <c r="AQ729" i="5"/>
  <c r="AQ725" i="5"/>
  <c r="AQ720" i="5"/>
  <c r="AQ711" i="5"/>
  <c r="AQ722" i="5"/>
  <c r="AQ712" i="5"/>
  <c r="AQ743" i="5"/>
  <c r="AQ708" i="5"/>
  <c r="AQ759" i="5"/>
  <c r="AQ818" i="5"/>
  <c r="AQ811" i="5"/>
  <c r="AQ731" i="5"/>
  <c r="AQ732" i="5"/>
  <c r="AQ733" i="5"/>
  <c r="AQ776" i="5"/>
  <c r="AQ670" i="5"/>
  <c r="AQ682" i="5"/>
  <c r="AQ680" i="5"/>
  <c r="AQ637" i="5"/>
  <c r="AQ629" i="5"/>
  <c r="AQ650" i="5"/>
  <c r="AQ700" i="5"/>
  <c r="AQ686" i="5"/>
  <c r="AQ698" i="5"/>
  <c r="AQ642" i="5"/>
  <c r="AQ635" i="5"/>
  <c r="AQ677" i="5"/>
  <c r="AQ663" i="5"/>
  <c r="AQ653" i="5"/>
  <c r="AQ661" i="5"/>
  <c r="AQ631" i="5"/>
  <c r="AQ638" i="5"/>
  <c r="AQ651" i="5"/>
  <c r="AQ648" i="5"/>
  <c r="AQ676" i="5"/>
  <c r="AQ699" i="5"/>
  <c r="AQ669" i="5"/>
  <c r="AQ687" i="5"/>
  <c r="AQ691" i="5"/>
  <c r="AQ692" i="5"/>
  <c r="AQ630" i="5"/>
  <c r="AQ632" i="5"/>
  <c r="AQ685" i="5"/>
  <c r="AQ664" i="5"/>
  <c r="AQ659" i="5"/>
  <c r="AQ662" i="5"/>
  <c r="AQ684" i="5"/>
  <c r="AQ646" i="5"/>
  <c r="AQ674" i="5"/>
  <c r="AQ643" i="5"/>
  <c r="AQ634" i="5"/>
  <c r="AQ681" i="5"/>
  <c r="AQ641" i="5"/>
  <c r="AQ665" i="5"/>
  <c r="AQ667" i="5"/>
  <c r="AQ660" i="5"/>
  <c r="AQ679" i="5"/>
  <c r="AQ640" i="5"/>
  <c r="AQ672" i="5"/>
  <c r="AQ673" i="5"/>
  <c r="AQ678" i="5"/>
  <c r="AQ655" i="5"/>
  <c r="AQ666" i="5"/>
  <c r="AQ675" i="5"/>
  <c r="AQ639" i="5"/>
  <c r="AQ633" i="5"/>
  <c r="AQ693" i="5"/>
  <c r="AQ688" i="5"/>
  <c r="AQ696" i="5"/>
  <c r="AQ697" i="5"/>
  <c r="AQ694" i="5"/>
  <c r="AQ695" i="5"/>
  <c r="AQ654" i="5"/>
  <c r="AQ636" i="5"/>
  <c r="AQ668" i="5"/>
  <c r="AQ690" i="5"/>
  <c r="AQ645" i="5"/>
  <c r="AQ656" i="5"/>
  <c r="AQ644" i="5"/>
  <c r="AQ689" i="5"/>
  <c r="AQ657" i="5"/>
  <c r="AQ658" i="5"/>
  <c r="AQ671" i="5"/>
  <c r="AQ683" i="5"/>
  <c r="AQ647" i="5"/>
  <c r="AQ649" i="5"/>
  <c r="AQ652" i="5"/>
  <c r="AQ552" i="5"/>
  <c r="AQ562" i="5"/>
  <c r="AQ577" i="5"/>
  <c r="AQ527" i="5"/>
  <c r="AQ561" i="5"/>
  <c r="AQ559" i="5"/>
  <c r="AQ530" i="5"/>
  <c r="AQ556" i="5"/>
  <c r="AQ589" i="5"/>
  <c r="AQ596" i="5"/>
  <c r="AQ535" i="5"/>
  <c r="AQ609" i="5"/>
  <c r="AQ623" i="5"/>
  <c r="AQ619" i="5"/>
  <c r="AQ618" i="5"/>
  <c r="AQ620" i="5"/>
  <c r="AQ617" i="5"/>
  <c r="AQ613" i="5"/>
  <c r="AQ615" i="5"/>
  <c r="AQ616" i="5"/>
  <c r="AQ571" i="5"/>
  <c r="AQ526" i="5"/>
  <c r="AQ529" i="5"/>
  <c r="AQ518" i="5"/>
  <c r="AQ520" i="5"/>
  <c r="AQ611" i="5"/>
  <c r="AQ563" i="5"/>
  <c r="AQ580" i="5"/>
  <c r="AQ541" i="5"/>
  <c r="AQ602" i="5"/>
  <c r="AQ545" i="5"/>
  <c r="AQ549" i="5"/>
  <c r="AQ606" i="5"/>
  <c r="AQ516" i="5"/>
  <c r="AQ584" i="5"/>
  <c r="AQ550" i="5"/>
  <c r="AQ610" i="5"/>
  <c r="AQ592" i="5"/>
  <c r="AQ544" i="5"/>
  <c r="AQ536" i="5"/>
  <c r="AQ533" i="5"/>
  <c r="AQ543" i="5"/>
  <c r="AQ525" i="5"/>
  <c r="AQ528" i="5"/>
  <c r="AQ573" i="5"/>
  <c r="AQ569" i="5"/>
  <c r="AQ576" i="5"/>
  <c r="AQ567" i="5"/>
  <c r="AQ608" i="5"/>
  <c r="AQ546" i="5"/>
  <c r="AQ578" i="5"/>
  <c r="AQ554" i="5"/>
  <c r="AQ591" i="5"/>
  <c r="AQ519" i="5"/>
  <c r="AQ595" i="5"/>
  <c r="AQ551" i="5"/>
  <c r="AQ568" i="5"/>
  <c r="AQ607" i="5"/>
  <c r="AQ538" i="5"/>
  <c r="AQ522" i="5"/>
  <c r="AQ558" i="5"/>
  <c r="AQ517" i="5"/>
  <c r="AQ539" i="5"/>
  <c r="AQ574" i="5"/>
  <c r="AQ524" i="5"/>
  <c r="AQ579" i="5"/>
  <c r="AQ597" i="5"/>
  <c r="AQ628" i="5"/>
  <c r="AQ553" i="5"/>
  <c r="AQ593" i="5"/>
  <c r="AQ625" i="5"/>
  <c r="AQ612" i="5"/>
  <c r="AQ542" i="5"/>
  <c r="AQ598" i="5"/>
  <c r="AQ599" i="5"/>
  <c r="AQ605" i="5"/>
  <c r="AQ600" i="5"/>
  <c r="AQ566" i="5"/>
  <c r="AQ560" i="5"/>
  <c r="AQ564" i="5"/>
  <c r="AQ604" i="5"/>
  <c r="AQ537" i="5"/>
  <c r="AQ548" i="5"/>
  <c r="AQ587" i="5"/>
  <c r="AQ540" i="5"/>
  <c r="AQ534" i="5"/>
  <c r="AQ588" i="5"/>
  <c r="AQ585" i="5"/>
  <c r="AQ555" i="5"/>
  <c r="AQ581" i="5"/>
  <c r="AQ586" i="5"/>
  <c r="AQ531" i="5"/>
  <c r="AQ627" i="5"/>
  <c r="AQ603" i="5"/>
  <c r="AQ565" i="5"/>
  <c r="AQ532" i="5"/>
  <c r="AQ622" i="5"/>
  <c r="AQ621" i="5"/>
  <c r="AQ614" i="5"/>
  <c r="AQ601" i="5"/>
  <c r="AQ624" i="5"/>
  <c r="AQ521" i="5"/>
  <c r="AQ572" i="5"/>
  <c r="AQ582" i="5"/>
  <c r="AQ547" i="5"/>
  <c r="AQ590" i="5"/>
  <c r="AQ594" i="5"/>
  <c r="AQ557" i="5"/>
  <c r="AQ575" i="5"/>
  <c r="AQ570" i="5"/>
  <c r="AQ523" i="5"/>
  <c r="AQ626" i="5"/>
  <c r="AQ583" i="5"/>
  <c r="AQ515" i="5"/>
  <c r="AQ491" i="5"/>
  <c r="AQ492" i="5"/>
  <c r="AQ493" i="5"/>
  <c r="AQ483" i="5"/>
  <c r="AQ482" i="5"/>
  <c r="AQ480" i="5"/>
  <c r="AQ506" i="5"/>
  <c r="AQ514" i="5"/>
  <c r="AQ479" i="5"/>
  <c r="AQ513" i="5"/>
  <c r="AQ509" i="5"/>
  <c r="AQ508" i="5"/>
  <c r="AQ495" i="5"/>
  <c r="AQ485" i="5"/>
  <c r="AQ487" i="5"/>
  <c r="AQ489" i="5"/>
  <c r="AQ497" i="5"/>
  <c r="AQ490" i="5"/>
  <c r="AQ505" i="5"/>
  <c r="AQ486" i="5"/>
  <c r="AQ501" i="5"/>
  <c r="AQ502" i="5"/>
  <c r="AQ496" i="5"/>
  <c r="AQ512" i="5"/>
  <c r="AQ511" i="5"/>
  <c r="AQ510" i="5"/>
  <c r="AQ494" i="5"/>
  <c r="AQ507" i="5"/>
  <c r="AQ499" i="5"/>
  <c r="AQ500" i="5"/>
  <c r="AQ484" i="5"/>
  <c r="AQ488" i="5"/>
  <c r="AQ504" i="5"/>
  <c r="AQ503" i="5"/>
  <c r="AQ481" i="5"/>
  <c r="AQ498" i="5"/>
  <c r="AQ478" i="5"/>
  <c r="AQ477" i="5"/>
  <c r="AQ448" i="5"/>
  <c r="AQ455" i="5"/>
  <c r="AQ453" i="5"/>
  <c r="AQ443" i="5"/>
  <c r="AQ461" i="5"/>
  <c r="AQ438" i="5"/>
  <c r="AQ445" i="5"/>
  <c r="AQ441" i="5"/>
  <c r="AQ459" i="5"/>
  <c r="AQ470" i="5"/>
  <c r="AQ469" i="5"/>
  <c r="AQ464" i="5"/>
  <c r="AQ449" i="5"/>
  <c r="AQ465" i="5"/>
  <c r="AQ468" i="5"/>
  <c r="AQ446" i="5"/>
  <c r="AQ471" i="5"/>
  <c r="AQ472" i="5"/>
  <c r="AQ462" i="5"/>
  <c r="AQ454" i="5"/>
  <c r="AQ456" i="5"/>
  <c r="AQ439" i="5"/>
  <c r="AQ452" i="5"/>
  <c r="AQ466" i="5"/>
  <c r="AQ475" i="5"/>
  <c r="AQ442" i="5"/>
  <c r="AQ473" i="5"/>
  <c r="AQ476" i="5"/>
  <c r="AQ474" i="5"/>
  <c r="AQ451" i="5"/>
  <c r="AQ437" i="5"/>
  <c r="AQ436" i="5"/>
  <c r="AQ457" i="5"/>
  <c r="AQ447" i="5"/>
  <c r="AQ458" i="5"/>
  <c r="AQ440" i="5"/>
  <c r="AQ460" i="5"/>
  <c r="AQ450" i="5"/>
  <c r="AQ463" i="5"/>
  <c r="AQ444" i="5"/>
  <c r="AQ467" i="5"/>
  <c r="AQ405" i="5"/>
  <c r="AQ409" i="5"/>
  <c r="AQ403" i="5"/>
  <c r="AQ406" i="5"/>
  <c r="AQ413" i="5"/>
  <c r="AQ434" i="5"/>
  <c r="AQ404" i="5"/>
  <c r="AQ408" i="5"/>
  <c r="AQ418" i="5"/>
  <c r="AQ401" i="5"/>
  <c r="AQ402" i="5"/>
  <c r="AQ422" i="5"/>
  <c r="AQ435" i="5"/>
  <c r="AQ433" i="5"/>
  <c r="AQ412" i="5"/>
  <c r="AQ410" i="5"/>
  <c r="AQ428" i="5"/>
  <c r="AQ415" i="5"/>
  <c r="AQ424" i="5"/>
  <c r="AQ425" i="5"/>
  <c r="AQ431" i="5"/>
  <c r="AQ430" i="5"/>
  <c r="AQ427" i="5"/>
  <c r="AQ429" i="5"/>
  <c r="AQ426" i="5"/>
  <c r="AQ416" i="5"/>
  <c r="AQ423" i="5"/>
  <c r="AQ421" i="5"/>
  <c r="AQ420" i="5"/>
  <c r="AQ407" i="5"/>
  <c r="AQ414" i="5"/>
  <c r="AQ411" i="5"/>
  <c r="AQ417" i="5"/>
  <c r="AQ419" i="5"/>
  <c r="AQ432" i="5"/>
  <c r="AQ399" i="5"/>
  <c r="AQ396" i="5"/>
  <c r="AQ388" i="5"/>
  <c r="AQ394" i="5"/>
  <c r="AQ389" i="5"/>
  <c r="AQ390" i="5"/>
  <c r="AQ393" i="5"/>
  <c r="AQ392" i="5"/>
  <c r="AQ385" i="5"/>
  <c r="AQ381" i="5"/>
  <c r="AQ383" i="5"/>
  <c r="AQ398" i="5"/>
  <c r="AQ384" i="5"/>
  <c r="AQ395" i="5"/>
  <c r="AQ387" i="5"/>
  <c r="AQ380" i="5"/>
  <c r="AQ391" i="5"/>
  <c r="AQ386" i="5"/>
  <c r="AQ400" i="5"/>
  <c r="AQ397" i="5"/>
  <c r="AQ379" i="5"/>
  <c r="AQ382" i="5"/>
  <c r="AQ377" i="5"/>
  <c r="AQ355" i="5"/>
  <c r="AQ354" i="5"/>
  <c r="AQ356" i="5"/>
  <c r="AQ353" i="5"/>
  <c r="AQ358" i="5"/>
  <c r="AQ357" i="5"/>
  <c r="AQ371" i="5"/>
  <c r="AQ364" i="5"/>
  <c r="AQ367" i="5"/>
  <c r="AQ366" i="5"/>
  <c r="AQ378" i="5"/>
  <c r="AQ360" i="5"/>
  <c r="AQ359" i="5"/>
  <c r="AQ368" i="5"/>
  <c r="AQ376" i="5"/>
  <c r="AQ361" i="5"/>
  <c r="AQ362" i="5"/>
  <c r="AQ375" i="5"/>
  <c r="AQ374" i="5"/>
  <c r="AQ372" i="5"/>
  <c r="AQ363" i="5"/>
  <c r="AQ373" i="5"/>
  <c r="AQ365" i="5"/>
  <c r="AQ369" i="5"/>
  <c r="AQ370" i="5"/>
  <c r="AQ338" i="5"/>
  <c r="AQ335" i="5"/>
  <c r="AQ342" i="5"/>
  <c r="AQ334" i="5"/>
  <c r="AQ333" i="5"/>
  <c r="AQ337" i="5"/>
  <c r="AQ344" i="5"/>
  <c r="AQ345" i="5"/>
  <c r="AQ348" i="5"/>
  <c r="AQ350" i="5"/>
  <c r="AQ349" i="5"/>
  <c r="AQ343" i="5"/>
  <c r="AQ351" i="5"/>
  <c r="AQ352" i="5"/>
  <c r="AQ340" i="5"/>
  <c r="AQ347" i="5"/>
  <c r="AQ341" i="5"/>
  <c r="AQ346" i="5"/>
  <c r="AQ336" i="5"/>
  <c r="AQ339" i="5"/>
  <c r="AQ331" i="5"/>
  <c r="AQ332" i="5"/>
  <c r="AQ325" i="5"/>
  <c r="AQ327" i="5"/>
  <c r="AQ330" i="5"/>
  <c r="AQ328" i="5"/>
  <c r="AQ324" i="5"/>
  <c r="AQ329" i="5"/>
  <c r="AQ326" i="5"/>
  <c r="AQ323" i="5"/>
  <c r="AQ288" i="5"/>
  <c r="AQ289" i="5"/>
  <c r="AQ313" i="5"/>
  <c r="AQ310" i="5"/>
  <c r="AQ304" i="5"/>
  <c r="AQ307" i="5"/>
  <c r="AQ306" i="5"/>
  <c r="AQ314" i="5"/>
  <c r="AQ291" i="5"/>
  <c r="AQ292" i="5"/>
  <c r="AQ286" i="5"/>
  <c r="AQ293" i="5"/>
  <c r="AQ295" i="5"/>
  <c r="AQ308" i="5"/>
  <c r="AQ309" i="5"/>
  <c r="AQ305" i="5"/>
  <c r="AQ303" i="5"/>
  <c r="AQ311" i="5"/>
  <c r="AQ302" i="5"/>
  <c r="AQ290" i="5"/>
  <c r="AQ317" i="5"/>
  <c r="AQ301" i="5"/>
  <c r="AQ298" i="5"/>
  <c r="AQ320" i="5"/>
  <c r="AQ318" i="5"/>
  <c r="AQ296" i="5"/>
  <c r="AQ297" i="5"/>
  <c r="AQ312" i="5"/>
  <c r="AQ315" i="5"/>
  <c r="AQ294" i="5"/>
  <c r="AQ300" i="5"/>
  <c r="AQ299" i="5"/>
  <c r="AQ287" i="5"/>
  <c r="AQ316" i="5"/>
  <c r="AQ319" i="5"/>
  <c r="AQ321" i="5"/>
  <c r="AQ285" i="5"/>
  <c r="AQ322" i="5"/>
  <c r="AQ283" i="5"/>
  <c r="AQ284" i="5"/>
  <c r="AQ281" i="5"/>
  <c r="AQ280" i="5"/>
  <c r="AQ267" i="5"/>
  <c r="AQ272" i="5"/>
  <c r="AQ282" i="5"/>
  <c r="AQ268" i="5"/>
  <c r="AQ276" i="5"/>
  <c r="AQ269" i="5"/>
  <c r="AQ273" i="5"/>
  <c r="AQ274" i="5"/>
  <c r="AQ279" i="5"/>
  <c r="AQ277" i="5"/>
  <c r="AQ278" i="5"/>
  <c r="AQ275" i="5"/>
  <c r="AQ271" i="5"/>
  <c r="AQ270" i="5"/>
  <c r="AQ256" i="5"/>
  <c r="AQ263" i="5"/>
  <c r="AQ246" i="5"/>
  <c r="AQ254" i="5"/>
  <c r="AQ247" i="5"/>
  <c r="AQ262" i="5"/>
  <c r="AQ239" i="5"/>
  <c r="AQ251" i="5"/>
  <c r="AQ249" i="5"/>
  <c r="AQ252" i="5"/>
  <c r="AQ250" i="5"/>
  <c r="AQ248" i="5"/>
  <c r="AQ255" i="5"/>
  <c r="AQ245" i="5"/>
  <c r="AQ253" i="5"/>
  <c r="AQ258" i="5"/>
  <c r="AQ244" i="5"/>
  <c r="AQ241" i="5"/>
  <c r="AQ242" i="5"/>
  <c r="AQ240" i="5"/>
  <c r="AQ243" i="5"/>
  <c r="AQ257" i="5"/>
  <c r="AQ259" i="5"/>
  <c r="AQ265" i="5"/>
  <c r="AQ264" i="5"/>
  <c r="AQ260" i="5"/>
  <c r="AQ266" i="5"/>
  <c r="AQ261" i="5"/>
  <c r="AQ232" i="5"/>
  <c r="AQ207" i="5"/>
  <c r="AQ193" i="5"/>
  <c r="AQ194" i="5"/>
  <c r="AQ200" i="5"/>
  <c r="AQ203" i="5"/>
  <c r="AQ205" i="5"/>
  <c r="AQ208" i="5"/>
  <c r="AQ215" i="5"/>
  <c r="AQ216" i="5"/>
  <c r="AQ201" i="5"/>
  <c r="AQ196" i="5"/>
  <c r="AQ199" i="5"/>
  <c r="AQ204" i="5"/>
  <c r="AQ217" i="5"/>
  <c r="AQ235" i="5"/>
  <c r="AQ213" i="5"/>
  <c r="AQ198" i="5"/>
  <c r="AQ227" i="5"/>
  <c r="AQ236" i="5"/>
  <c r="AQ221" i="5"/>
  <c r="AQ191" i="5"/>
  <c r="AQ188" i="5"/>
  <c r="AQ190" i="5"/>
  <c r="AQ187" i="5"/>
  <c r="AQ192" i="5"/>
  <c r="AQ206" i="5"/>
  <c r="AQ202" i="5"/>
  <c r="AQ233" i="5"/>
  <c r="AQ234" i="5"/>
  <c r="AQ219" i="5"/>
  <c r="AQ214" i="5"/>
  <c r="AQ212" i="5"/>
  <c r="AQ209" i="5"/>
  <c r="AQ218" i="5"/>
  <c r="AQ211" i="5"/>
  <c r="AQ222" i="5"/>
  <c r="AQ220" i="5"/>
  <c r="AQ186" i="5"/>
  <c r="AQ226" i="5"/>
  <c r="AQ223" i="5"/>
  <c r="AQ184" i="5"/>
  <c r="AQ185" i="5"/>
  <c r="AQ229" i="5"/>
  <c r="AQ231" i="5"/>
  <c r="AQ230" i="5"/>
  <c r="AQ228" i="5"/>
  <c r="AQ225" i="5"/>
  <c r="AQ238" i="5"/>
  <c r="AQ197" i="5"/>
  <c r="AQ195" i="5"/>
  <c r="AQ189" i="5"/>
  <c r="AQ224" i="5"/>
  <c r="AQ210" i="5"/>
  <c r="AQ237" i="5"/>
  <c r="AQ181" i="5"/>
  <c r="AQ183" i="5"/>
  <c r="AQ178" i="5"/>
  <c r="AQ172" i="5"/>
  <c r="AQ174" i="5"/>
  <c r="AQ175" i="5"/>
  <c r="AQ176" i="5"/>
  <c r="AQ170" i="5"/>
  <c r="AQ173" i="5"/>
  <c r="AQ182" i="5"/>
  <c r="AQ180" i="5"/>
  <c r="AQ179" i="5"/>
  <c r="AQ171" i="5"/>
  <c r="AQ177" i="5"/>
  <c r="AQ101" i="5"/>
  <c r="AQ122" i="5"/>
  <c r="AQ100" i="5"/>
  <c r="AQ157" i="5"/>
  <c r="AQ109" i="5"/>
  <c r="AQ126" i="5"/>
  <c r="AQ154" i="5"/>
  <c r="AQ124" i="5"/>
  <c r="AQ71" i="5"/>
  <c r="AQ90" i="5"/>
  <c r="AQ94" i="5"/>
  <c r="AQ65" i="5"/>
  <c r="AQ75" i="5"/>
  <c r="AQ149" i="5"/>
  <c r="AQ78" i="5"/>
  <c r="AQ66" i="5"/>
  <c r="AQ80" i="5"/>
  <c r="AQ82" i="5"/>
  <c r="AQ95" i="5"/>
  <c r="AQ79" i="5"/>
  <c r="AQ92" i="5"/>
  <c r="AQ163" i="5"/>
  <c r="AQ161" i="5"/>
  <c r="AQ150" i="5"/>
  <c r="AQ147" i="5"/>
  <c r="AQ104" i="5"/>
  <c r="AQ141" i="5"/>
  <c r="AQ130" i="5"/>
  <c r="AQ169" i="5"/>
  <c r="AQ129" i="5"/>
  <c r="AQ105" i="5"/>
  <c r="AQ156" i="5"/>
  <c r="AQ158" i="5"/>
  <c r="AQ162" i="5"/>
  <c r="AQ164" i="5"/>
  <c r="AQ113" i="5"/>
  <c r="AQ119" i="5"/>
  <c r="AQ114" i="5"/>
  <c r="AQ116" i="5"/>
  <c r="AQ112" i="5"/>
  <c r="AQ107" i="5"/>
  <c r="AQ117" i="5"/>
  <c r="AQ108" i="5"/>
  <c r="AQ111" i="5"/>
  <c r="AQ120" i="5"/>
  <c r="AQ110" i="5"/>
  <c r="AQ118" i="5"/>
  <c r="AQ115" i="5"/>
  <c r="AQ106" i="5"/>
  <c r="AQ127" i="5"/>
  <c r="AQ125" i="5"/>
  <c r="AQ123" i="5"/>
  <c r="AQ128" i="5"/>
  <c r="AQ145" i="5"/>
  <c r="AQ166" i="5"/>
  <c r="AQ102" i="5"/>
  <c r="AQ99" i="5"/>
  <c r="AQ97" i="5"/>
  <c r="AQ96" i="5"/>
  <c r="AQ98" i="5"/>
  <c r="AQ153" i="5"/>
  <c r="AQ151" i="5"/>
  <c r="AQ103" i="5"/>
  <c r="AQ159" i="5"/>
  <c r="AQ146" i="5"/>
  <c r="AQ144" i="5"/>
  <c r="AQ155" i="5"/>
  <c r="AQ168" i="5"/>
  <c r="AQ148" i="5"/>
  <c r="AQ132" i="5"/>
  <c r="AQ135" i="5"/>
  <c r="AQ134" i="5"/>
  <c r="AQ138" i="5"/>
  <c r="AQ136" i="5"/>
  <c r="AQ139" i="5"/>
  <c r="AQ133" i="5"/>
  <c r="AQ137" i="5"/>
  <c r="AQ160" i="5"/>
  <c r="AQ142" i="5"/>
  <c r="AQ143" i="5"/>
  <c r="AQ165" i="5"/>
  <c r="AQ167" i="5"/>
  <c r="AQ62" i="5"/>
  <c r="AQ140" i="5"/>
  <c r="AQ81" i="5"/>
  <c r="AQ93" i="5"/>
  <c r="AQ69" i="5"/>
  <c r="AQ87" i="5"/>
  <c r="AQ83" i="5"/>
  <c r="AQ89" i="5"/>
  <c r="AQ121" i="5"/>
  <c r="AQ76" i="5"/>
  <c r="AQ85" i="5"/>
  <c r="AQ72" i="5"/>
  <c r="AQ77" i="5"/>
  <c r="AQ64" i="5"/>
  <c r="AQ70" i="5"/>
  <c r="AQ63" i="5"/>
  <c r="AQ74" i="5"/>
  <c r="AQ152" i="5"/>
  <c r="AQ84" i="5"/>
  <c r="AQ68" i="5"/>
  <c r="AQ73" i="5"/>
  <c r="AQ86" i="5"/>
  <c r="AQ67" i="5"/>
  <c r="AQ60" i="5"/>
  <c r="AQ91" i="5"/>
  <c r="AQ88" i="5"/>
  <c r="AQ61" i="5"/>
  <c r="AQ131" i="5"/>
  <c r="AQ44" i="5"/>
  <c r="AQ56" i="5"/>
  <c r="AQ58" i="5"/>
  <c r="AQ48" i="5"/>
  <c r="AQ18" i="5"/>
  <c r="AQ25" i="5"/>
  <c r="AQ20" i="5"/>
  <c r="AQ30" i="5"/>
  <c r="AQ41" i="5"/>
  <c r="AQ36" i="5"/>
  <c r="AQ23" i="5"/>
  <c r="AQ6" i="5"/>
  <c r="AQ37" i="5"/>
  <c r="AQ29" i="5"/>
  <c r="AQ32" i="5"/>
  <c r="AQ5" i="5"/>
  <c r="AQ47" i="5"/>
  <c r="AQ46" i="5"/>
  <c r="AQ49" i="5"/>
  <c r="AQ57" i="5"/>
  <c r="AQ50" i="5"/>
  <c r="AQ28" i="5"/>
  <c r="AQ17" i="5"/>
  <c r="AQ10" i="5"/>
  <c r="AQ4" i="5"/>
  <c r="AQ12" i="5"/>
  <c r="AQ21" i="5"/>
  <c r="AQ15" i="5"/>
  <c r="AQ54" i="5"/>
  <c r="AQ53" i="5"/>
  <c r="AQ51" i="5"/>
  <c r="AQ42" i="5"/>
  <c r="AQ52" i="5"/>
  <c r="AQ35" i="5"/>
  <c r="AQ33" i="5"/>
  <c r="AQ8" i="5"/>
  <c r="AQ9" i="5"/>
  <c r="AQ39" i="5"/>
  <c r="AQ31" i="5"/>
  <c r="AQ22" i="5"/>
  <c r="AQ11" i="5"/>
  <c r="AQ16" i="5"/>
  <c r="AQ43" i="5"/>
  <c r="AQ40" i="5"/>
  <c r="AQ13" i="5"/>
  <c r="AQ34" i="5"/>
  <c r="AQ38" i="5"/>
  <c r="AQ26" i="5"/>
  <c r="AQ27" i="5"/>
  <c r="AQ7" i="5"/>
  <c r="AQ55" i="5"/>
  <c r="AQ45" i="5"/>
  <c r="AQ19" i="5"/>
  <c r="AQ24" i="5"/>
  <c r="AQ14" i="5"/>
  <c r="AQ59" i="5"/>
  <c r="AQ2" i="5"/>
  <c r="AQ3" i="5"/>
  <c r="AP1404" i="5"/>
  <c r="AP1402" i="5"/>
  <c r="AP1400" i="5"/>
  <c r="AP1401" i="5"/>
  <c r="AP1403" i="5"/>
  <c r="AP1396" i="5"/>
  <c r="AP1398" i="5"/>
  <c r="AP1397" i="5"/>
  <c r="AP1395" i="5"/>
  <c r="AP1399" i="5"/>
  <c r="AP1394" i="5"/>
  <c r="AP1393" i="5"/>
  <c r="AP1391" i="5"/>
  <c r="AP1392" i="5"/>
  <c r="AP1390" i="5"/>
  <c r="AP1389" i="5"/>
  <c r="AP1388" i="5"/>
  <c r="AP1387" i="5"/>
  <c r="AP1375" i="5"/>
  <c r="AP1381" i="5"/>
  <c r="AP1380" i="5"/>
  <c r="AP1377" i="5"/>
  <c r="AP1376" i="5"/>
  <c r="AP1382" i="5"/>
  <c r="AP1384" i="5"/>
  <c r="AP1378" i="5"/>
  <c r="AP1385" i="5"/>
  <c r="AP1386" i="5"/>
  <c r="AP1379" i="5"/>
  <c r="AP1383" i="5"/>
  <c r="AP1374" i="5"/>
  <c r="AP1372" i="5"/>
  <c r="AP1373" i="5"/>
  <c r="AP1371" i="5"/>
  <c r="AP1363" i="5"/>
  <c r="AP1366" i="5"/>
  <c r="AP1364" i="5"/>
  <c r="AP1365" i="5"/>
  <c r="AP1369" i="5"/>
  <c r="AP1362" i="5"/>
  <c r="AP1367" i="5"/>
  <c r="AP1370" i="5"/>
  <c r="AP1368" i="5"/>
  <c r="AP1332" i="5"/>
  <c r="AP1340" i="5"/>
  <c r="AP1343" i="5"/>
  <c r="AP1344" i="5"/>
  <c r="AP1348" i="5"/>
  <c r="AP1351" i="5"/>
  <c r="AP1341" i="5"/>
  <c r="AP1349" i="5"/>
  <c r="AP1355" i="5"/>
  <c r="AP1354" i="5"/>
  <c r="AP1338" i="5"/>
  <c r="AP1342" i="5"/>
  <c r="AP1350" i="5"/>
  <c r="AP1346" i="5"/>
  <c r="AP1333" i="5"/>
  <c r="AP1334" i="5"/>
  <c r="AP1336" i="5"/>
  <c r="AP1335" i="5"/>
  <c r="AP1337" i="5"/>
  <c r="AP1345" i="5"/>
  <c r="AP1339" i="5"/>
  <c r="AP1360" i="5"/>
  <c r="AP1353" i="5"/>
  <c r="AP1347" i="5"/>
  <c r="AP1361" i="5"/>
  <c r="AP1356" i="5"/>
  <c r="AP1358" i="5"/>
  <c r="AP1359" i="5"/>
  <c r="AP1352" i="5"/>
  <c r="AP1357" i="5"/>
  <c r="AP1331" i="5"/>
  <c r="AP1317" i="5"/>
  <c r="AP1316" i="5"/>
  <c r="AP1318" i="5"/>
  <c r="AP1322" i="5"/>
  <c r="AP1325" i="5"/>
  <c r="AP1328" i="5"/>
  <c r="AP1323" i="5"/>
  <c r="AP1324" i="5"/>
  <c r="AP1320" i="5"/>
  <c r="AP1319" i="5"/>
  <c r="AP1327" i="5"/>
  <c r="AP1321" i="5"/>
  <c r="AP1329" i="5"/>
  <c r="AP1330" i="5"/>
  <c r="AP1326" i="5"/>
  <c r="AP1305" i="5"/>
  <c r="AP1300" i="5"/>
  <c r="AP1301" i="5"/>
  <c r="AP1302" i="5"/>
  <c r="AP1304" i="5"/>
  <c r="AP1313" i="5"/>
  <c r="AP1315" i="5"/>
  <c r="AP1312" i="5"/>
  <c r="AP1314" i="5"/>
  <c r="AP1294" i="5"/>
  <c r="AP1295" i="5"/>
  <c r="AP1297" i="5"/>
  <c r="AP1308" i="5"/>
  <c r="AP1303" i="5"/>
  <c r="AP1296" i="5"/>
  <c r="AP1291" i="5"/>
  <c r="AP1293" i="5"/>
  <c r="AP1292" i="5"/>
  <c r="AP1298" i="5"/>
  <c r="AP1299" i="5"/>
  <c r="AP1307" i="5"/>
  <c r="AP1310" i="5"/>
  <c r="AP1309" i="5"/>
  <c r="AP1311" i="5"/>
  <c r="AP1306" i="5"/>
  <c r="AP1290" i="5"/>
  <c r="AP1286" i="5"/>
  <c r="AP1284" i="5"/>
  <c r="AP1282" i="5"/>
  <c r="AP1283" i="5"/>
  <c r="AP1289" i="5"/>
  <c r="AP1279" i="5"/>
  <c r="AP1281" i="5"/>
  <c r="AP1285" i="5"/>
  <c r="AP1280" i="5"/>
  <c r="AP1288" i="5"/>
  <c r="AP1287" i="5"/>
  <c r="AP1277" i="5"/>
  <c r="AP1278" i="5"/>
  <c r="AP1276" i="5"/>
  <c r="AP1269" i="5"/>
  <c r="AP1274" i="5"/>
  <c r="AP1270" i="5"/>
  <c r="AP1263" i="5"/>
  <c r="AP1272" i="5"/>
  <c r="AP1260" i="5"/>
  <c r="AP1266" i="5"/>
  <c r="AP1268" i="5"/>
  <c r="AP1267" i="5"/>
  <c r="AP1254" i="5"/>
  <c r="AP1271" i="5"/>
  <c r="AP1273" i="5"/>
  <c r="AP1262" i="5"/>
  <c r="AP1259" i="5"/>
  <c r="AP1275" i="5"/>
  <c r="AP1265" i="5"/>
  <c r="AP1258" i="5"/>
  <c r="AP1261" i="5"/>
  <c r="AP1257" i="5"/>
  <c r="AP1264" i="5"/>
  <c r="AP1253" i="5"/>
  <c r="AP1256" i="5"/>
  <c r="AP1255" i="5"/>
  <c r="AP1252" i="5"/>
  <c r="AP1251" i="5"/>
  <c r="AP1250" i="5"/>
  <c r="AP1249" i="5"/>
  <c r="AP1244" i="5"/>
  <c r="AP1248" i="5"/>
  <c r="AP1246" i="5"/>
  <c r="AP1245" i="5"/>
  <c r="AP1247" i="5"/>
  <c r="AP1242" i="5"/>
  <c r="AP1243" i="5"/>
  <c r="AP1241" i="5"/>
  <c r="AP1240" i="5"/>
  <c r="AP1239" i="5"/>
  <c r="AP1238" i="5"/>
  <c r="AP1235" i="5"/>
  <c r="AP1237" i="5"/>
  <c r="AP1234" i="5"/>
  <c r="AP1236" i="5"/>
  <c r="AP1233" i="5"/>
  <c r="AP1231" i="5"/>
  <c r="AP1232" i="5"/>
  <c r="AP1230" i="5"/>
  <c r="AP1229" i="5"/>
  <c r="AP1228" i="5"/>
  <c r="AP1223" i="5"/>
  <c r="AP1222" i="5"/>
  <c r="AP1221" i="5"/>
  <c r="AP1226" i="5"/>
  <c r="AP1220" i="5"/>
  <c r="AP1227" i="5"/>
  <c r="AP1224" i="5"/>
  <c r="AP1225" i="5"/>
  <c r="AP1219" i="5"/>
  <c r="AP1218" i="5"/>
  <c r="AP1217" i="5"/>
  <c r="AP1216" i="5"/>
  <c r="AP1215" i="5"/>
  <c r="AP1209" i="5"/>
  <c r="AP1208" i="5"/>
  <c r="AP1210" i="5"/>
  <c r="AP1213" i="5"/>
  <c r="AP1214" i="5"/>
  <c r="AP1212" i="5"/>
  <c r="AP1211" i="5"/>
  <c r="AP1207" i="5"/>
  <c r="AP1206" i="5"/>
  <c r="AP1204" i="5"/>
  <c r="AP1205" i="5"/>
  <c r="AP1203" i="5"/>
  <c r="AP1202" i="5"/>
  <c r="AP1197" i="5"/>
  <c r="AP1199" i="5"/>
  <c r="AP1198" i="5"/>
  <c r="AP1201" i="5"/>
  <c r="AP1200" i="5"/>
  <c r="AP1196" i="5"/>
  <c r="AP1187" i="5"/>
  <c r="AP1188" i="5"/>
  <c r="AP1194" i="5"/>
  <c r="AP1192" i="5"/>
  <c r="AP1193" i="5"/>
  <c r="AP1190" i="5"/>
  <c r="AP1189" i="5"/>
  <c r="AP1191" i="5"/>
  <c r="AP1195" i="5"/>
  <c r="AP1183" i="5"/>
  <c r="AP1182" i="5"/>
  <c r="AP1180" i="5"/>
  <c r="AP1181" i="5"/>
  <c r="AP1184" i="5"/>
  <c r="AP1186" i="5"/>
  <c r="AP1185" i="5"/>
  <c r="AP1167" i="5"/>
  <c r="AP1165" i="5"/>
  <c r="AP1166" i="5"/>
  <c r="AP1171" i="5"/>
  <c r="AP1168" i="5"/>
  <c r="AP1175" i="5"/>
  <c r="AP1176" i="5"/>
  <c r="AP1174" i="5"/>
  <c r="AP1169" i="5"/>
  <c r="AP1178" i="5"/>
  <c r="AP1179" i="5"/>
  <c r="AP1177" i="5"/>
  <c r="AP1172" i="5"/>
  <c r="AP1170" i="5"/>
  <c r="AP1173" i="5"/>
  <c r="AP1156" i="5"/>
  <c r="AP1161" i="5"/>
  <c r="AP1147" i="5"/>
  <c r="AP1148" i="5"/>
  <c r="AP1151" i="5"/>
  <c r="AP1146" i="5"/>
  <c r="AP1158" i="5"/>
  <c r="AP1149" i="5"/>
  <c r="AP1159" i="5"/>
  <c r="AP1164" i="5"/>
  <c r="AP1153" i="5"/>
  <c r="AP1145" i="5"/>
  <c r="AP1152" i="5"/>
  <c r="AP1160" i="5"/>
  <c r="AP1155" i="5"/>
  <c r="AP1157" i="5"/>
  <c r="AP1142" i="5"/>
  <c r="AP1150" i="5"/>
  <c r="AP1162" i="5"/>
  <c r="AP1163" i="5"/>
  <c r="AP1144" i="5"/>
  <c r="AP1154" i="5"/>
  <c r="AP1143" i="5"/>
  <c r="AP1139" i="5"/>
  <c r="AP1138" i="5"/>
  <c r="AP1135" i="5"/>
  <c r="AP1136" i="5"/>
  <c r="AP1137" i="5"/>
  <c r="AP1141" i="5"/>
  <c r="AP1140" i="5"/>
  <c r="AP1133" i="5"/>
  <c r="AP1132" i="5"/>
  <c r="AP1134" i="5"/>
  <c r="AP1131" i="5"/>
  <c r="AP1130" i="5"/>
  <c r="AP1129" i="5"/>
  <c r="AP1128" i="5"/>
  <c r="AP1125" i="5"/>
  <c r="AP1127" i="5"/>
  <c r="AP1124" i="5"/>
  <c r="AP1126" i="5"/>
  <c r="AP1123" i="5"/>
  <c r="AP1120" i="5"/>
  <c r="AP1122" i="5"/>
  <c r="AP1121" i="5"/>
  <c r="AP1118" i="5"/>
  <c r="AP1119" i="5"/>
  <c r="AP1116" i="5"/>
  <c r="AP1117" i="5"/>
  <c r="AP1114" i="5"/>
  <c r="AP1115" i="5"/>
  <c r="AP1112" i="5"/>
  <c r="AP1113" i="5"/>
  <c r="AP1110" i="5"/>
  <c r="AP1109" i="5"/>
  <c r="AP1111" i="5"/>
  <c r="AP1108" i="5"/>
  <c r="AP1107" i="5"/>
  <c r="AP1106" i="5"/>
  <c r="AP1105" i="5"/>
  <c r="AP1104" i="5"/>
  <c r="AP1103" i="5"/>
  <c r="AP1102" i="5"/>
  <c r="AP1101" i="5"/>
  <c r="AP1100" i="5"/>
  <c r="AP1098" i="5"/>
  <c r="AP1099" i="5"/>
  <c r="AP1097" i="5"/>
  <c r="AP1095" i="5"/>
  <c r="AP1093" i="5"/>
  <c r="AP1094" i="5"/>
  <c r="AP1096" i="5"/>
  <c r="AP1092" i="5"/>
  <c r="AP1091" i="5"/>
  <c r="AP1084" i="5"/>
  <c r="AP1088" i="5"/>
  <c r="AP1086" i="5"/>
  <c r="AP1083" i="5"/>
  <c r="AP1085" i="5"/>
  <c r="AP1087" i="5"/>
  <c r="AP1090" i="5"/>
  <c r="AP1089" i="5"/>
  <c r="AP1076" i="5"/>
  <c r="AP1080" i="5"/>
  <c r="AP1082" i="5"/>
  <c r="AP1079" i="5"/>
  <c r="AP1081" i="5"/>
  <c r="AP1077" i="5"/>
  <c r="AP1078" i="5"/>
  <c r="AP1069" i="5"/>
  <c r="AP1073" i="5"/>
  <c r="AP1075" i="5"/>
  <c r="AP1074" i="5"/>
  <c r="AP1070" i="5"/>
  <c r="AP1071" i="5"/>
  <c r="AP1072" i="5"/>
  <c r="AP1065" i="5"/>
  <c r="AP1068" i="5"/>
  <c r="AP1067" i="5"/>
  <c r="AP1061" i="5"/>
  <c r="AP1062" i="5"/>
  <c r="AP1064" i="5"/>
  <c r="AP1066" i="5"/>
  <c r="AP1063" i="5"/>
  <c r="AP1054" i="5"/>
  <c r="AP1059" i="5"/>
  <c r="AP1058" i="5"/>
  <c r="AP1057" i="5"/>
  <c r="AP1060" i="5"/>
  <c r="AP1053" i="5"/>
  <c r="AP1055" i="5"/>
  <c r="AP1056" i="5"/>
  <c r="AP1042" i="5"/>
  <c r="AP1045" i="5"/>
  <c r="AP1043" i="5"/>
  <c r="AP1048" i="5"/>
  <c r="AP1046" i="5"/>
  <c r="AP1049" i="5"/>
  <c r="AP1050" i="5"/>
  <c r="AP1047" i="5"/>
  <c r="AP1044" i="5"/>
  <c r="AP1052" i="5"/>
  <c r="AP1051" i="5"/>
  <c r="AP1040" i="5"/>
  <c r="AP1039" i="5"/>
  <c r="AP1041" i="5"/>
  <c r="AP1036" i="5"/>
  <c r="AP1038" i="5"/>
  <c r="AP1037" i="5"/>
  <c r="AP1034" i="5"/>
  <c r="AP1035" i="5"/>
  <c r="AP1033" i="5"/>
  <c r="AP1031" i="5"/>
  <c r="AP1032" i="5"/>
  <c r="AP883" i="5"/>
  <c r="AP996" i="5"/>
  <c r="AP1012" i="5"/>
  <c r="AP975" i="5"/>
  <c r="AP967" i="5"/>
  <c r="AP862" i="5"/>
  <c r="AP968" i="5"/>
  <c r="AP864" i="5"/>
  <c r="AP982" i="5"/>
  <c r="AP978" i="5"/>
  <c r="AP981" i="5"/>
  <c r="AP993" i="5"/>
  <c r="AP1006" i="5"/>
  <c r="AP886" i="5"/>
  <c r="AP914" i="5"/>
  <c r="AP992" i="5"/>
  <c r="AP990" i="5"/>
  <c r="AP991" i="5"/>
  <c r="AP995" i="5"/>
  <c r="AP882" i="5"/>
  <c r="AP942" i="5"/>
  <c r="AP925" i="5"/>
  <c r="AP923" i="5"/>
  <c r="AP949" i="5"/>
  <c r="AP910" i="5"/>
  <c r="AP960" i="5"/>
  <c r="AP1024" i="5"/>
  <c r="AP1021" i="5"/>
  <c r="AP977" i="5"/>
  <c r="AP955" i="5"/>
  <c r="AP894" i="5"/>
  <c r="AP930" i="5"/>
  <c r="AP957" i="5"/>
  <c r="AP958" i="5"/>
  <c r="AP1002" i="5"/>
  <c r="AP1000" i="5"/>
  <c r="AP970" i="5"/>
  <c r="AP971" i="5"/>
  <c r="AP884" i="5"/>
  <c r="AP902" i="5"/>
  <c r="AP887" i="5"/>
  <c r="AP889" i="5"/>
  <c r="AP936" i="5"/>
  <c r="AP959" i="5"/>
  <c r="AP987" i="5"/>
  <c r="AP1023" i="5"/>
  <c r="AP1027" i="5"/>
  <c r="AP1029" i="5"/>
  <c r="AP1001" i="5"/>
  <c r="AP932" i="5"/>
  <c r="AP929" i="5"/>
  <c r="AP924" i="5"/>
  <c r="AP966" i="5"/>
  <c r="AP1007" i="5"/>
  <c r="AP999" i="5"/>
  <c r="AP1014" i="5"/>
  <c r="AP979" i="5"/>
  <c r="AP1017" i="5"/>
  <c r="AP871" i="5"/>
  <c r="AP931" i="5"/>
  <c r="AP893" i="5"/>
  <c r="AP941" i="5"/>
  <c r="AP965" i="5"/>
  <c r="AP903" i="5"/>
  <c r="AP904" i="5"/>
  <c r="AP876" i="5"/>
  <c r="AP921" i="5"/>
  <c r="AP943" i="5"/>
  <c r="AP934" i="5"/>
  <c r="AP901" i="5"/>
  <c r="AP905" i="5"/>
  <c r="AP947" i="5"/>
  <c r="AP875" i="5"/>
  <c r="AP945" i="5"/>
  <c r="AP948" i="5"/>
  <c r="AP952" i="5"/>
  <c r="AP953" i="5"/>
  <c r="AP963" i="5"/>
  <c r="AP954" i="5"/>
  <c r="AP863" i="5"/>
  <c r="AP961" i="5"/>
  <c r="AP879" i="5"/>
  <c r="AP969" i="5"/>
  <c r="AP926" i="5"/>
  <c r="AP866" i="5"/>
  <c r="AP900" i="5"/>
  <c r="AP1030" i="5"/>
  <c r="AP1011" i="5"/>
  <c r="AP1013" i="5"/>
  <c r="AP928" i="5"/>
  <c r="AP912" i="5"/>
  <c r="AP976" i="5"/>
  <c r="AP964" i="5"/>
  <c r="AP860" i="5"/>
  <c r="AP861" i="5"/>
  <c r="AP980" i="5"/>
  <c r="AP867" i="5"/>
  <c r="AP906" i="5"/>
  <c r="AP972" i="5"/>
  <c r="AP873" i="5"/>
  <c r="AP997" i="5"/>
  <c r="AP1010" i="5"/>
  <c r="AP986" i="5"/>
  <c r="AP989" i="5"/>
  <c r="AP1020" i="5"/>
  <c r="AP998" i="5"/>
  <c r="AP984" i="5"/>
  <c r="AP1015" i="5"/>
  <c r="AP983" i="5"/>
  <c r="AP1018" i="5"/>
  <c r="AP920" i="5"/>
  <c r="AP1026" i="5"/>
  <c r="AP1008" i="5"/>
  <c r="AP898" i="5"/>
  <c r="AP870" i="5"/>
  <c r="AP877" i="5"/>
  <c r="AP881" i="5"/>
  <c r="AP868" i="5"/>
  <c r="AP892" i="5"/>
  <c r="AP865" i="5"/>
  <c r="AP913" i="5"/>
  <c r="AP909" i="5"/>
  <c r="AP869" i="5"/>
  <c r="AP915" i="5"/>
  <c r="AP916" i="5"/>
  <c r="AP908" i="5"/>
  <c r="AP938" i="5"/>
  <c r="AP937" i="5"/>
  <c r="AP895" i="5"/>
  <c r="AP922" i="5"/>
  <c r="AP962" i="5"/>
  <c r="AP919" i="5"/>
  <c r="AP890" i="5"/>
  <c r="AP935" i="5"/>
  <c r="AP1025" i="5"/>
  <c r="AP985" i="5"/>
  <c r="AP1005" i="5"/>
  <c r="AP1009" i="5"/>
  <c r="AP994" i="5"/>
  <c r="AP1019" i="5"/>
  <c r="AP933" i="5"/>
  <c r="AP940" i="5"/>
  <c r="AP956" i="5"/>
  <c r="AP1028" i="5"/>
  <c r="AP1022" i="5"/>
  <c r="AP872" i="5"/>
  <c r="AP899" i="5"/>
  <c r="AP896" i="5"/>
  <c r="AP878" i="5"/>
  <c r="AP918" i="5"/>
  <c r="AP1003" i="5"/>
  <c r="AP988" i="5"/>
  <c r="AP944" i="5"/>
  <c r="AP891" i="5"/>
  <c r="AP885" i="5"/>
  <c r="AP888" i="5"/>
  <c r="AP917" i="5"/>
  <c r="AP1004" i="5"/>
  <c r="AP946" i="5"/>
  <c r="AP859" i="5"/>
  <c r="AP927" i="5"/>
  <c r="AP951" i="5"/>
  <c r="AP950" i="5"/>
  <c r="AP974" i="5"/>
  <c r="AP897" i="5"/>
  <c r="AP911" i="5"/>
  <c r="AP939" i="5"/>
  <c r="AP973" i="5"/>
  <c r="AP880" i="5"/>
  <c r="AP907" i="5"/>
  <c r="AP874" i="5"/>
  <c r="AP1016" i="5"/>
  <c r="AP774" i="5"/>
  <c r="AP771" i="5"/>
  <c r="AP701" i="5"/>
  <c r="AP745" i="5"/>
  <c r="AP845" i="5"/>
  <c r="AP851" i="5"/>
  <c r="AP854" i="5"/>
  <c r="AP852" i="5"/>
  <c r="AP855" i="5"/>
  <c r="AP853" i="5"/>
  <c r="AP764" i="5"/>
  <c r="AP798" i="5"/>
  <c r="AP751" i="5"/>
  <c r="AP710" i="5"/>
  <c r="AP739" i="5"/>
  <c r="AP763" i="5"/>
  <c r="AP730" i="5"/>
  <c r="AP761" i="5"/>
  <c r="AP726" i="5"/>
  <c r="AP765" i="5"/>
  <c r="AP760" i="5"/>
  <c r="AP706" i="5"/>
  <c r="AP736" i="5"/>
  <c r="AP830" i="5"/>
  <c r="AP703" i="5"/>
  <c r="AP792" i="5"/>
  <c r="AP794" i="5"/>
  <c r="AP809" i="5"/>
  <c r="AP813" i="5"/>
  <c r="AP737" i="5"/>
  <c r="AP769" i="5"/>
  <c r="AP753" i="5"/>
  <c r="AP758" i="5"/>
  <c r="AP832" i="5"/>
  <c r="AP815" i="5"/>
  <c r="AP842" i="5"/>
  <c r="AP846" i="5"/>
  <c r="AP843" i="5"/>
  <c r="AP723" i="5"/>
  <c r="AP834" i="5"/>
  <c r="AP844" i="5"/>
  <c r="AP847" i="5"/>
  <c r="AP829" i="5"/>
  <c r="AP838" i="5"/>
  <c r="AP836" i="5"/>
  <c r="AP841" i="5"/>
  <c r="AP850" i="5"/>
  <c r="AP857" i="5"/>
  <c r="AP772" i="5"/>
  <c r="AP721" i="5"/>
  <c r="AP740" i="5"/>
  <c r="AP754" i="5"/>
  <c r="AP719" i="5"/>
  <c r="AP747" i="5"/>
  <c r="AP750" i="5"/>
  <c r="AP746" i="5"/>
  <c r="AP848" i="5"/>
  <c r="AP839" i="5"/>
  <c r="AP835" i="5"/>
  <c r="AP840" i="5"/>
  <c r="AP819" i="5"/>
  <c r="AP828" i="5"/>
  <c r="AP777" i="5"/>
  <c r="AP797" i="5"/>
  <c r="AP805" i="5"/>
  <c r="AP784" i="5"/>
  <c r="AP827" i="5"/>
  <c r="AP802" i="5"/>
  <c r="AP814" i="5"/>
  <c r="AP816" i="5"/>
  <c r="AP824" i="5"/>
  <c r="AP715" i="5"/>
  <c r="AP796" i="5"/>
  <c r="AP780" i="5"/>
  <c r="AP825" i="5"/>
  <c r="AP785" i="5"/>
  <c r="AP795" i="5"/>
  <c r="AP789" i="5"/>
  <c r="AP786" i="5"/>
  <c r="AP817" i="5"/>
  <c r="AP808" i="5"/>
  <c r="AP810" i="5"/>
  <c r="AP752" i="5"/>
  <c r="AP756" i="5"/>
  <c r="AP734" i="5"/>
  <c r="AP724" i="5"/>
  <c r="AP716" i="5"/>
  <c r="AP767" i="5"/>
  <c r="AP744" i="5"/>
  <c r="AP735" i="5"/>
  <c r="AP717" i="5"/>
  <c r="AP768" i="5"/>
  <c r="AP770" i="5"/>
  <c r="AP742" i="5"/>
  <c r="AP727" i="5"/>
  <c r="AP755" i="5"/>
  <c r="AP782" i="5"/>
  <c r="AP788" i="5"/>
  <c r="AP803" i="5"/>
  <c r="AP778" i="5"/>
  <c r="AP779" i="5"/>
  <c r="AP748" i="5"/>
  <c r="AP804" i="5"/>
  <c r="AP787" i="5"/>
  <c r="AP831" i="5"/>
  <c r="AP837" i="5"/>
  <c r="AP833" i="5"/>
  <c r="AP856" i="5"/>
  <c r="AP849" i="5"/>
  <c r="AP714" i="5"/>
  <c r="AP766" i="5"/>
  <c r="AP718" i="5"/>
  <c r="AP826" i="5"/>
  <c r="AP773" i="5"/>
  <c r="AP791" i="5"/>
  <c r="AP713" i="5"/>
  <c r="AP762" i="5"/>
  <c r="AP801" i="5"/>
  <c r="AP783" i="5"/>
  <c r="AP823" i="5"/>
  <c r="AP800" i="5"/>
  <c r="AP806" i="5"/>
  <c r="AP757" i="5"/>
  <c r="AP807" i="5"/>
  <c r="AP858" i="5"/>
  <c r="AP775" i="5"/>
  <c r="AP702" i="5"/>
  <c r="AP738" i="5"/>
  <c r="AP707" i="5"/>
  <c r="AP822" i="5"/>
  <c r="AP793" i="5"/>
  <c r="AP812" i="5"/>
  <c r="AP799" i="5"/>
  <c r="AP741" i="5"/>
  <c r="AP820" i="5"/>
  <c r="AP781" i="5"/>
  <c r="AP709" i="5"/>
  <c r="AP728" i="5"/>
  <c r="AP821" i="5"/>
  <c r="AP790" i="5"/>
  <c r="AP704" i="5"/>
  <c r="AP705" i="5"/>
  <c r="AP749" i="5"/>
  <c r="AP729" i="5"/>
  <c r="AP725" i="5"/>
  <c r="AP720" i="5"/>
  <c r="AP711" i="5"/>
  <c r="AP722" i="5"/>
  <c r="AP712" i="5"/>
  <c r="AP743" i="5"/>
  <c r="AP708" i="5"/>
  <c r="AP759" i="5"/>
  <c r="AP818" i="5"/>
  <c r="AP811" i="5"/>
  <c r="AP731" i="5"/>
  <c r="AP732" i="5"/>
  <c r="AP733" i="5"/>
  <c r="AP776" i="5"/>
  <c r="AP670" i="5"/>
  <c r="AP682" i="5"/>
  <c r="AP680" i="5"/>
  <c r="AP637" i="5"/>
  <c r="AP629" i="5"/>
  <c r="AP650" i="5"/>
  <c r="AP700" i="5"/>
  <c r="AP686" i="5"/>
  <c r="AP698" i="5"/>
  <c r="AP642" i="5"/>
  <c r="AP635" i="5"/>
  <c r="AP677" i="5"/>
  <c r="AP663" i="5"/>
  <c r="AP653" i="5"/>
  <c r="AP661" i="5"/>
  <c r="AP631" i="5"/>
  <c r="AP638" i="5"/>
  <c r="AP651" i="5"/>
  <c r="AP648" i="5"/>
  <c r="AP676" i="5"/>
  <c r="AP699" i="5"/>
  <c r="AP669" i="5"/>
  <c r="AP687" i="5"/>
  <c r="AP691" i="5"/>
  <c r="AP692" i="5"/>
  <c r="AP630" i="5"/>
  <c r="AP632" i="5"/>
  <c r="AP685" i="5"/>
  <c r="AP664" i="5"/>
  <c r="AP659" i="5"/>
  <c r="AP662" i="5"/>
  <c r="AP684" i="5"/>
  <c r="AP646" i="5"/>
  <c r="AP674" i="5"/>
  <c r="AP643" i="5"/>
  <c r="AP634" i="5"/>
  <c r="AP681" i="5"/>
  <c r="AP641" i="5"/>
  <c r="AP665" i="5"/>
  <c r="AP667" i="5"/>
  <c r="AP660" i="5"/>
  <c r="AP679" i="5"/>
  <c r="AP640" i="5"/>
  <c r="AP672" i="5"/>
  <c r="AP673" i="5"/>
  <c r="AP678" i="5"/>
  <c r="AP655" i="5"/>
  <c r="AP666" i="5"/>
  <c r="AP675" i="5"/>
  <c r="AP639" i="5"/>
  <c r="AP633" i="5"/>
  <c r="AP693" i="5"/>
  <c r="AP688" i="5"/>
  <c r="AP696" i="5"/>
  <c r="AP697" i="5"/>
  <c r="AP694" i="5"/>
  <c r="AP695" i="5"/>
  <c r="AP654" i="5"/>
  <c r="AP636" i="5"/>
  <c r="AP668" i="5"/>
  <c r="AP690" i="5"/>
  <c r="AP645" i="5"/>
  <c r="AP656" i="5"/>
  <c r="AP644" i="5"/>
  <c r="AP689" i="5"/>
  <c r="AP657" i="5"/>
  <c r="AP658" i="5"/>
  <c r="AP671" i="5"/>
  <c r="AP683" i="5"/>
  <c r="AP647" i="5"/>
  <c r="AP649" i="5"/>
  <c r="AP652" i="5"/>
  <c r="AP552" i="5"/>
  <c r="AP562" i="5"/>
  <c r="AP577" i="5"/>
  <c r="AP527" i="5"/>
  <c r="AP561" i="5"/>
  <c r="AP559" i="5"/>
  <c r="AP530" i="5"/>
  <c r="AP556" i="5"/>
  <c r="AP589" i="5"/>
  <c r="AP596" i="5"/>
  <c r="AP535" i="5"/>
  <c r="AP609" i="5"/>
  <c r="AP623" i="5"/>
  <c r="AP619" i="5"/>
  <c r="AP618" i="5"/>
  <c r="AP620" i="5"/>
  <c r="AP617" i="5"/>
  <c r="AP613" i="5"/>
  <c r="AP615" i="5"/>
  <c r="AP616" i="5"/>
  <c r="AP571" i="5"/>
  <c r="AP526" i="5"/>
  <c r="AP529" i="5"/>
  <c r="AP518" i="5"/>
  <c r="AP520" i="5"/>
  <c r="AP611" i="5"/>
  <c r="AP563" i="5"/>
  <c r="AP580" i="5"/>
  <c r="AP541" i="5"/>
  <c r="AP602" i="5"/>
  <c r="AP545" i="5"/>
  <c r="AP549" i="5"/>
  <c r="AP606" i="5"/>
  <c r="AP516" i="5"/>
  <c r="AP584" i="5"/>
  <c r="AP550" i="5"/>
  <c r="AP610" i="5"/>
  <c r="AP592" i="5"/>
  <c r="AP544" i="5"/>
  <c r="AP536" i="5"/>
  <c r="AP533" i="5"/>
  <c r="AP543" i="5"/>
  <c r="AP525" i="5"/>
  <c r="AP528" i="5"/>
  <c r="AP573" i="5"/>
  <c r="AP569" i="5"/>
  <c r="AP576" i="5"/>
  <c r="AP567" i="5"/>
  <c r="AP608" i="5"/>
  <c r="AP546" i="5"/>
  <c r="AP578" i="5"/>
  <c r="AP554" i="5"/>
  <c r="AP591" i="5"/>
  <c r="AP519" i="5"/>
  <c r="AP595" i="5"/>
  <c r="AP551" i="5"/>
  <c r="AP568" i="5"/>
  <c r="AP607" i="5"/>
  <c r="AP538" i="5"/>
  <c r="AP522" i="5"/>
  <c r="AP558" i="5"/>
  <c r="AP517" i="5"/>
  <c r="AP539" i="5"/>
  <c r="AP574" i="5"/>
  <c r="AP524" i="5"/>
  <c r="AP579" i="5"/>
  <c r="AP597" i="5"/>
  <c r="AP628" i="5"/>
  <c r="AP553" i="5"/>
  <c r="AP593" i="5"/>
  <c r="AP625" i="5"/>
  <c r="AP612" i="5"/>
  <c r="AP542" i="5"/>
  <c r="AP598" i="5"/>
  <c r="AP599" i="5"/>
  <c r="AP605" i="5"/>
  <c r="AP600" i="5"/>
  <c r="AP566" i="5"/>
  <c r="AP560" i="5"/>
  <c r="AP564" i="5"/>
  <c r="AP604" i="5"/>
  <c r="AP537" i="5"/>
  <c r="AP548" i="5"/>
  <c r="AP587" i="5"/>
  <c r="AP540" i="5"/>
  <c r="AP534" i="5"/>
  <c r="AP588" i="5"/>
  <c r="AP585" i="5"/>
  <c r="AP555" i="5"/>
  <c r="AP581" i="5"/>
  <c r="AP586" i="5"/>
  <c r="AP531" i="5"/>
  <c r="AP627" i="5"/>
  <c r="AP603" i="5"/>
  <c r="AP565" i="5"/>
  <c r="AP532" i="5"/>
  <c r="AP622" i="5"/>
  <c r="AP621" i="5"/>
  <c r="AP614" i="5"/>
  <c r="AP601" i="5"/>
  <c r="AP624" i="5"/>
  <c r="AP521" i="5"/>
  <c r="AP572" i="5"/>
  <c r="AP582" i="5"/>
  <c r="AP547" i="5"/>
  <c r="AP590" i="5"/>
  <c r="AP594" i="5"/>
  <c r="AP557" i="5"/>
  <c r="AP575" i="5"/>
  <c r="AP570" i="5"/>
  <c r="AP523" i="5"/>
  <c r="AP626" i="5"/>
  <c r="AP583" i="5"/>
  <c r="AP515" i="5"/>
  <c r="AP491" i="5"/>
  <c r="AP492" i="5"/>
  <c r="AP493" i="5"/>
  <c r="AP483" i="5"/>
  <c r="AP482" i="5"/>
  <c r="AP480" i="5"/>
  <c r="AP506" i="5"/>
  <c r="AP514" i="5"/>
  <c r="AP479" i="5"/>
  <c r="AP513" i="5"/>
  <c r="AP509" i="5"/>
  <c r="AP508" i="5"/>
  <c r="AP495" i="5"/>
  <c r="AP485" i="5"/>
  <c r="AP487" i="5"/>
  <c r="AP489" i="5"/>
  <c r="AP497" i="5"/>
  <c r="AP490" i="5"/>
  <c r="AP505" i="5"/>
  <c r="AP486" i="5"/>
  <c r="AP501" i="5"/>
  <c r="AP502" i="5"/>
  <c r="AP496" i="5"/>
  <c r="AP512" i="5"/>
  <c r="AP511" i="5"/>
  <c r="AP510" i="5"/>
  <c r="AP494" i="5"/>
  <c r="AP507" i="5"/>
  <c r="AP499" i="5"/>
  <c r="AP500" i="5"/>
  <c r="AP484" i="5"/>
  <c r="AP488" i="5"/>
  <c r="AP504" i="5"/>
  <c r="AP503" i="5"/>
  <c r="AP481" i="5"/>
  <c r="AP498" i="5"/>
  <c r="AP478" i="5"/>
  <c r="AP477" i="5"/>
  <c r="AP448" i="5"/>
  <c r="AP455" i="5"/>
  <c r="AP453" i="5"/>
  <c r="AP443" i="5"/>
  <c r="AP461" i="5"/>
  <c r="AP438" i="5"/>
  <c r="AP445" i="5"/>
  <c r="AP441" i="5"/>
  <c r="AP459" i="5"/>
  <c r="AP470" i="5"/>
  <c r="AP469" i="5"/>
  <c r="AP464" i="5"/>
  <c r="AP449" i="5"/>
  <c r="AP465" i="5"/>
  <c r="AP468" i="5"/>
  <c r="AP446" i="5"/>
  <c r="AP471" i="5"/>
  <c r="AP472" i="5"/>
  <c r="AP462" i="5"/>
  <c r="AP454" i="5"/>
  <c r="AP456" i="5"/>
  <c r="AP439" i="5"/>
  <c r="AP452" i="5"/>
  <c r="AP466" i="5"/>
  <c r="AP475" i="5"/>
  <c r="AP442" i="5"/>
  <c r="AP473" i="5"/>
  <c r="AP476" i="5"/>
  <c r="AP474" i="5"/>
  <c r="AP451" i="5"/>
  <c r="AP437" i="5"/>
  <c r="AP436" i="5"/>
  <c r="AP457" i="5"/>
  <c r="AP447" i="5"/>
  <c r="AP458" i="5"/>
  <c r="AP440" i="5"/>
  <c r="AP460" i="5"/>
  <c r="AP450" i="5"/>
  <c r="AP463" i="5"/>
  <c r="AP444" i="5"/>
  <c r="AP467" i="5"/>
  <c r="AP405" i="5"/>
  <c r="AP409" i="5"/>
  <c r="AP403" i="5"/>
  <c r="AP406" i="5"/>
  <c r="AP413" i="5"/>
  <c r="AP434" i="5"/>
  <c r="AP404" i="5"/>
  <c r="AP408" i="5"/>
  <c r="AP418" i="5"/>
  <c r="AP401" i="5"/>
  <c r="AP402" i="5"/>
  <c r="AP422" i="5"/>
  <c r="AP435" i="5"/>
  <c r="AP433" i="5"/>
  <c r="AP412" i="5"/>
  <c r="AP410" i="5"/>
  <c r="AP428" i="5"/>
  <c r="AP415" i="5"/>
  <c r="AP424" i="5"/>
  <c r="AP425" i="5"/>
  <c r="AP431" i="5"/>
  <c r="AP430" i="5"/>
  <c r="AP427" i="5"/>
  <c r="AP429" i="5"/>
  <c r="AP426" i="5"/>
  <c r="AP416" i="5"/>
  <c r="AP423" i="5"/>
  <c r="AP421" i="5"/>
  <c r="AP420" i="5"/>
  <c r="AP407" i="5"/>
  <c r="AP414" i="5"/>
  <c r="AP411" i="5"/>
  <c r="AP417" i="5"/>
  <c r="AP419" i="5"/>
  <c r="AP432" i="5"/>
  <c r="AP399" i="5"/>
  <c r="AP396" i="5"/>
  <c r="AP388" i="5"/>
  <c r="AP394" i="5"/>
  <c r="AP389" i="5"/>
  <c r="AP390" i="5"/>
  <c r="AP393" i="5"/>
  <c r="AP392" i="5"/>
  <c r="AP385" i="5"/>
  <c r="AP381" i="5"/>
  <c r="AP383" i="5"/>
  <c r="AP398" i="5"/>
  <c r="AP384" i="5"/>
  <c r="AP395" i="5"/>
  <c r="AP387" i="5"/>
  <c r="AP380" i="5"/>
  <c r="AP391" i="5"/>
  <c r="AP386" i="5"/>
  <c r="AP400" i="5"/>
  <c r="AP397" i="5"/>
  <c r="AP379" i="5"/>
  <c r="AP382" i="5"/>
  <c r="AP377" i="5"/>
  <c r="AP355" i="5"/>
  <c r="AP354" i="5"/>
  <c r="AP356" i="5"/>
  <c r="AP353" i="5"/>
  <c r="AP358" i="5"/>
  <c r="AP357" i="5"/>
  <c r="AP371" i="5"/>
  <c r="AP364" i="5"/>
  <c r="AP367" i="5"/>
  <c r="AP366" i="5"/>
  <c r="AP378" i="5"/>
  <c r="AP360" i="5"/>
  <c r="AP359" i="5"/>
  <c r="AP368" i="5"/>
  <c r="AP376" i="5"/>
  <c r="AP361" i="5"/>
  <c r="AP362" i="5"/>
  <c r="AP375" i="5"/>
  <c r="AP374" i="5"/>
  <c r="AP372" i="5"/>
  <c r="AP363" i="5"/>
  <c r="AP373" i="5"/>
  <c r="AP365" i="5"/>
  <c r="AP369" i="5"/>
  <c r="AP370" i="5"/>
  <c r="AP338" i="5"/>
  <c r="AP335" i="5"/>
  <c r="AP342" i="5"/>
  <c r="AP334" i="5"/>
  <c r="AP333" i="5"/>
  <c r="AP337" i="5"/>
  <c r="AP344" i="5"/>
  <c r="AP345" i="5"/>
  <c r="AP348" i="5"/>
  <c r="AP350" i="5"/>
  <c r="AP349" i="5"/>
  <c r="AP343" i="5"/>
  <c r="AP351" i="5"/>
  <c r="AP352" i="5"/>
  <c r="AP340" i="5"/>
  <c r="AP347" i="5"/>
  <c r="AP341" i="5"/>
  <c r="AP346" i="5"/>
  <c r="AP336" i="5"/>
  <c r="AP339" i="5"/>
  <c r="AP331" i="5"/>
  <c r="AP332" i="5"/>
  <c r="AP325" i="5"/>
  <c r="AP327" i="5"/>
  <c r="AP330" i="5"/>
  <c r="AP328" i="5"/>
  <c r="AP324" i="5"/>
  <c r="AP329" i="5"/>
  <c r="AP326" i="5"/>
  <c r="AP323" i="5"/>
  <c r="AP288" i="5"/>
  <c r="AP289" i="5"/>
  <c r="AP313" i="5"/>
  <c r="AP310" i="5"/>
  <c r="AP304" i="5"/>
  <c r="AP307" i="5"/>
  <c r="AP306" i="5"/>
  <c r="AP314" i="5"/>
  <c r="AP291" i="5"/>
  <c r="AP292" i="5"/>
  <c r="AP286" i="5"/>
  <c r="AP293" i="5"/>
  <c r="AP295" i="5"/>
  <c r="AP308" i="5"/>
  <c r="AP309" i="5"/>
  <c r="AP305" i="5"/>
  <c r="AP303" i="5"/>
  <c r="AP311" i="5"/>
  <c r="AP302" i="5"/>
  <c r="AP290" i="5"/>
  <c r="AP317" i="5"/>
  <c r="AP301" i="5"/>
  <c r="AP298" i="5"/>
  <c r="AP320" i="5"/>
  <c r="AP318" i="5"/>
  <c r="AP296" i="5"/>
  <c r="AP297" i="5"/>
  <c r="AP312" i="5"/>
  <c r="AP315" i="5"/>
  <c r="AP294" i="5"/>
  <c r="AP300" i="5"/>
  <c r="AP299" i="5"/>
  <c r="AP287" i="5"/>
  <c r="AP316" i="5"/>
  <c r="AP319" i="5"/>
  <c r="AP321" i="5"/>
  <c r="AP285" i="5"/>
  <c r="AP322" i="5"/>
  <c r="AP283" i="5"/>
  <c r="AP284" i="5"/>
  <c r="AP281" i="5"/>
  <c r="AP280" i="5"/>
  <c r="AP267" i="5"/>
  <c r="AP272" i="5"/>
  <c r="AP282" i="5"/>
  <c r="AP268" i="5"/>
  <c r="AP276" i="5"/>
  <c r="AP269" i="5"/>
  <c r="AP273" i="5"/>
  <c r="AP274" i="5"/>
  <c r="AP279" i="5"/>
  <c r="AP277" i="5"/>
  <c r="AP278" i="5"/>
  <c r="AP275" i="5"/>
  <c r="AP271" i="5"/>
  <c r="AP270" i="5"/>
  <c r="AP256" i="5"/>
  <c r="AP263" i="5"/>
  <c r="AP246" i="5"/>
  <c r="AP254" i="5"/>
  <c r="AP247" i="5"/>
  <c r="AP262" i="5"/>
  <c r="AP239" i="5"/>
  <c r="AP251" i="5"/>
  <c r="AP249" i="5"/>
  <c r="AP252" i="5"/>
  <c r="AP250" i="5"/>
  <c r="AP248" i="5"/>
  <c r="AP255" i="5"/>
  <c r="AP245" i="5"/>
  <c r="AP253" i="5"/>
  <c r="AP258" i="5"/>
  <c r="AP244" i="5"/>
  <c r="AP241" i="5"/>
  <c r="AP242" i="5"/>
  <c r="AP240" i="5"/>
  <c r="AP243" i="5"/>
  <c r="AP257" i="5"/>
  <c r="AP259" i="5"/>
  <c r="AP265" i="5"/>
  <c r="AP264" i="5"/>
  <c r="AP260" i="5"/>
  <c r="AP266" i="5"/>
  <c r="AP261" i="5"/>
  <c r="AP232" i="5"/>
  <c r="AP207" i="5"/>
  <c r="AP193" i="5"/>
  <c r="AP194" i="5"/>
  <c r="AP200" i="5"/>
  <c r="AP203" i="5"/>
  <c r="AP205" i="5"/>
  <c r="AP208" i="5"/>
  <c r="AP215" i="5"/>
  <c r="AP216" i="5"/>
  <c r="AP201" i="5"/>
  <c r="AP196" i="5"/>
  <c r="AP199" i="5"/>
  <c r="AP204" i="5"/>
  <c r="AP217" i="5"/>
  <c r="AP235" i="5"/>
  <c r="AP213" i="5"/>
  <c r="AP198" i="5"/>
  <c r="AP227" i="5"/>
  <c r="AP236" i="5"/>
  <c r="AP221" i="5"/>
  <c r="AP191" i="5"/>
  <c r="AP188" i="5"/>
  <c r="AP190" i="5"/>
  <c r="AP187" i="5"/>
  <c r="AP192" i="5"/>
  <c r="AP206" i="5"/>
  <c r="AP202" i="5"/>
  <c r="AP233" i="5"/>
  <c r="AP234" i="5"/>
  <c r="AP219" i="5"/>
  <c r="AP214" i="5"/>
  <c r="AP212" i="5"/>
  <c r="AP209" i="5"/>
  <c r="AP218" i="5"/>
  <c r="AP211" i="5"/>
  <c r="AP222" i="5"/>
  <c r="AP220" i="5"/>
  <c r="AP186" i="5"/>
  <c r="AP226" i="5"/>
  <c r="AP223" i="5"/>
  <c r="AP184" i="5"/>
  <c r="AP185" i="5"/>
  <c r="AP229" i="5"/>
  <c r="AP231" i="5"/>
  <c r="AP230" i="5"/>
  <c r="AP228" i="5"/>
  <c r="AP225" i="5"/>
  <c r="AP238" i="5"/>
  <c r="AP197" i="5"/>
  <c r="AP195" i="5"/>
  <c r="AP189" i="5"/>
  <c r="AP224" i="5"/>
  <c r="AP210" i="5"/>
  <c r="AP237" i="5"/>
  <c r="AP181" i="5"/>
  <c r="AP183" i="5"/>
  <c r="AP178" i="5"/>
  <c r="AP172" i="5"/>
  <c r="AP174" i="5"/>
  <c r="AP175" i="5"/>
  <c r="AP176" i="5"/>
  <c r="AP170" i="5"/>
  <c r="AP173" i="5"/>
  <c r="AP182" i="5"/>
  <c r="AP180" i="5"/>
  <c r="AP179" i="5"/>
  <c r="AP171" i="5"/>
  <c r="AP177" i="5"/>
  <c r="AP101" i="5"/>
  <c r="AP122" i="5"/>
  <c r="AP100" i="5"/>
  <c r="AP157" i="5"/>
  <c r="AP109" i="5"/>
  <c r="AP126" i="5"/>
  <c r="AP154" i="5"/>
  <c r="AP124" i="5"/>
  <c r="AP71" i="5"/>
  <c r="AP90" i="5"/>
  <c r="AP94" i="5"/>
  <c r="AP65" i="5"/>
  <c r="AP75" i="5"/>
  <c r="AP149" i="5"/>
  <c r="AP78" i="5"/>
  <c r="AP66" i="5"/>
  <c r="AP80" i="5"/>
  <c r="AP82" i="5"/>
  <c r="AP95" i="5"/>
  <c r="AP79" i="5"/>
  <c r="AP92" i="5"/>
  <c r="AP163" i="5"/>
  <c r="AP161" i="5"/>
  <c r="AP150" i="5"/>
  <c r="AP147" i="5"/>
  <c r="AP104" i="5"/>
  <c r="AP141" i="5"/>
  <c r="AP130" i="5"/>
  <c r="AP169" i="5"/>
  <c r="AP129" i="5"/>
  <c r="AP105" i="5"/>
  <c r="AP156" i="5"/>
  <c r="AP158" i="5"/>
  <c r="AP162" i="5"/>
  <c r="AP164" i="5"/>
  <c r="AP113" i="5"/>
  <c r="AP119" i="5"/>
  <c r="AP114" i="5"/>
  <c r="AP116" i="5"/>
  <c r="AP112" i="5"/>
  <c r="AP107" i="5"/>
  <c r="AP117" i="5"/>
  <c r="AP108" i="5"/>
  <c r="AP111" i="5"/>
  <c r="AP120" i="5"/>
  <c r="AP110" i="5"/>
  <c r="AP118" i="5"/>
  <c r="AP115" i="5"/>
  <c r="AP106" i="5"/>
  <c r="AP127" i="5"/>
  <c r="AP125" i="5"/>
  <c r="AP123" i="5"/>
  <c r="AP128" i="5"/>
  <c r="AP145" i="5"/>
  <c r="AP166" i="5"/>
  <c r="AP102" i="5"/>
  <c r="AP99" i="5"/>
  <c r="AP97" i="5"/>
  <c r="AP96" i="5"/>
  <c r="AP98" i="5"/>
  <c r="AP153" i="5"/>
  <c r="AP151" i="5"/>
  <c r="AP103" i="5"/>
  <c r="AP159" i="5"/>
  <c r="AP146" i="5"/>
  <c r="AP144" i="5"/>
  <c r="AP155" i="5"/>
  <c r="AP168" i="5"/>
  <c r="AP148" i="5"/>
  <c r="AP132" i="5"/>
  <c r="AP135" i="5"/>
  <c r="AP134" i="5"/>
  <c r="AP138" i="5"/>
  <c r="AP136" i="5"/>
  <c r="AP139" i="5"/>
  <c r="AP133" i="5"/>
  <c r="AP137" i="5"/>
  <c r="AP160" i="5"/>
  <c r="AP142" i="5"/>
  <c r="AP143" i="5"/>
  <c r="AP165" i="5"/>
  <c r="AP167" i="5"/>
  <c r="AP62" i="5"/>
  <c r="AP140" i="5"/>
  <c r="AP81" i="5"/>
  <c r="AP93" i="5"/>
  <c r="AP69" i="5"/>
  <c r="AP87" i="5"/>
  <c r="AP83" i="5"/>
  <c r="AP89" i="5"/>
  <c r="AP121" i="5"/>
  <c r="AP76" i="5"/>
  <c r="AP85" i="5"/>
  <c r="AP72" i="5"/>
  <c r="AP77" i="5"/>
  <c r="AP64" i="5"/>
  <c r="AP70" i="5"/>
  <c r="AP63" i="5"/>
  <c r="AP74" i="5"/>
  <c r="AP152" i="5"/>
  <c r="AP84" i="5"/>
  <c r="AP68" i="5"/>
  <c r="AP73" i="5"/>
  <c r="AP86" i="5"/>
  <c r="AP67" i="5"/>
  <c r="AP60" i="5"/>
  <c r="AP91" i="5"/>
  <c r="AP88" i="5"/>
  <c r="AP61" i="5"/>
  <c r="AP131" i="5"/>
  <c r="AP44" i="5"/>
  <c r="AP56" i="5"/>
  <c r="AP58" i="5"/>
  <c r="AP48" i="5"/>
  <c r="AP18" i="5"/>
  <c r="AP25" i="5"/>
  <c r="AP20" i="5"/>
  <c r="AP30" i="5"/>
  <c r="AP41" i="5"/>
  <c r="AP36" i="5"/>
  <c r="AP23" i="5"/>
  <c r="AP6" i="5"/>
  <c r="AP37" i="5"/>
  <c r="AP29" i="5"/>
  <c r="AP32" i="5"/>
  <c r="AP5" i="5"/>
  <c r="AP47" i="5"/>
  <c r="AP46" i="5"/>
  <c r="AP49" i="5"/>
  <c r="AP57" i="5"/>
  <c r="AP50" i="5"/>
  <c r="AP28" i="5"/>
  <c r="AP17" i="5"/>
  <c r="AP10" i="5"/>
  <c r="AP4" i="5"/>
  <c r="AP12" i="5"/>
  <c r="AP21" i="5"/>
  <c r="AP15" i="5"/>
  <c r="AP54" i="5"/>
  <c r="AP53" i="5"/>
  <c r="AP51" i="5"/>
  <c r="AP42" i="5"/>
  <c r="AP52" i="5"/>
  <c r="AP35" i="5"/>
  <c r="AP33" i="5"/>
  <c r="AP8" i="5"/>
  <c r="AP9" i="5"/>
  <c r="AP39" i="5"/>
  <c r="AP31" i="5"/>
  <c r="AP22" i="5"/>
  <c r="AP11" i="5"/>
  <c r="AP16" i="5"/>
  <c r="AP43" i="5"/>
  <c r="AP40" i="5"/>
  <c r="AP13" i="5"/>
  <c r="AP34" i="5"/>
  <c r="AP38" i="5"/>
  <c r="AP26" i="5"/>
  <c r="AP27" i="5"/>
  <c r="AP7" i="5"/>
  <c r="AP55" i="5"/>
  <c r="AP45" i="5"/>
  <c r="AP19" i="5"/>
  <c r="AP24" i="5"/>
  <c r="AP14" i="5"/>
  <c r="AP59" i="5"/>
  <c r="AP2" i="5"/>
  <c r="AP3" i="5"/>
  <c r="C20" i="5" l="1"/>
  <c r="AR20" i="5" s="1"/>
  <c r="C20" i="6"/>
  <c r="C21" i="5"/>
  <c r="AR21" i="5" s="1"/>
  <c r="C21" i="6"/>
  <c r="C7" i="6"/>
  <c r="C4" i="6"/>
  <c r="C23" i="5"/>
  <c r="AR23" i="5" s="1"/>
  <c r="C23" i="6"/>
  <c r="C22" i="5"/>
  <c r="AR22" i="5" s="1"/>
  <c r="BB22" i="5" s="1"/>
  <c r="C22" i="6"/>
  <c r="C15" i="6"/>
  <c r="C6" i="6"/>
  <c r="C9" i="6"/>
  <c r="C5" i="6"/>
  <c r="C8" i="6"/>
  <c r="C11" i="6"/>
  <c r="AU283" i="5"/>
  <c r="BA283" i="5" s="1"/>
  <c r="AU23" i="6"/>
  <c r="AU1242" i="5"/>
  <c r="AU20" i="6"/>
  <c r="BA20" i="6"/>
  <c r="BA22" i="6"/>
  <c r="AU1280" i="5"/>
  <c r="AU22" i="6"/>
  <c r="AR1279" i="5"/>
  <c r="AR21" i="6"/>
  <c r="AU1279" i="5"/>
  <c r="BA1279" i="5" s="1"/>
  <c r="AU21" i="6"/>
  <c r="AR1242" i="5"/>
  <c r="BB20" i="6" s="1"/>
  <c r="AR20" i="6"/>
  <c r="AR1280" i="5"/>
  <c r="BB1280" i="5" s="1"/>
  <c r="AR283" i="5"/>
  <c r="BB23" i="6" s="1"/>
  <c r="AR23" i="6"/>
  <c r="C12" i="6"/>
  <c r="C14" i="6"/>
  <c r="C13" i="6"/>
  <c r="BA13" i="6"/>
  <c r="BA15" i="6"/>
  <c r="AU14" i="6"/>
  <c r="BA12" i="6"/>
  <c r="BB3" i="6"/>
  <c r="BA14" i="6"/>
  <c r="AU13" i="6"/>
  <c r="AU12" i="6"/>
  <c r="BB15" i="6"/>
  <c r="BB14" i="6"/>
  <c r="BB13" i="6"/>
  <c r="AR15" i="6"/>
  <c r="BB12" i="6"/>
  <c r="AR14" i="6"/>
  <c r="AR13" i="6"/>
  <c r="AR12" i="6"/>
  <c r="AU15" i="6"/>
  <c r="BA11" i="6"/>
  <c r="AU10" i="6"/>
  <c r="BA10" i="6"/>
  <c r="BB11" i="6"/>
  <c r="BB10" i="6"/>
  <c r="BA9" i="6"/>
  <c r="BA7" i="6"/>
  <c r="AR11" i="6"/>
  <c r="AR10" i="6"/>
  <c r="AU11" i="6"/>
  <c r="BA5" i="6"/>
  <c r="BA3" i="6"/>
  <c r="BA8" i="6"/>
  <c r="AR5" i="6"/>
  <c r="BA4" i="6"/>
  <c r="AU8" i="6"/>
  <c r="BB4" i="6"/>
  <c r="BA6" i="6"/>
  <c r="BB2" i="6"/>
  <c r="AR4" i="6"/>
  <c r="AU7" i="6"/>
  <c r="AR3" i="6"/>
  <c r="AU6" i="6"/>
  <c r="AR2" i="6"/>
  <c r="AU5" i="6"/>
  <c r="AU4" i="6"/>
  <c r="AU3" i="6"/>
  <c r="AU2" i="6"/>
  <c r="BB9" i="6"/>
  <c r="BB8" i="6"/>
  <c r="BB7" i="6"/>
  <c r="AR9" i="6"/>
  <c r="BB6" i="6"/>
  <c r="AR8" i="6"/>
  <c r="BB5" i="6"/>
  <c r="AR7" i="6"/>
  <c r="AR6" i="6"/>
  <c r="AU9" i="6"/>
  <c r="BA449" i="5"/>
  <c r="BB113" i="5"/>
  <c r="BB26" i="5"/>
  <c r="BB8" i="5"/>
  <c r="BB10" i="5"/>
  <c r="BB131" i="5"/>
  <c r="BB63" i="5"/>
  <c r="BB151" i="5"/>
  <c r="BB127" i="5"/>
  <c r="BB104" i="5"/>
  <c r="BB149" i="5"/>
  <c r="BB172" i="5"/>
  <c r="BB218" i="5"/>
  <c r="BB188" i="5"/>
  <c r="BB201" i="5"/>
  <c r="BB276" i="5"/>
  <c r="BB319" i="5"/>
  <c r="BB298" i="5"/>
  <c r="BB286" i="5"/>
  <c r="BB326" i="5"/>
  <c r="BB341" i="5"/>
  <c r="BB333" i="5"/>
  <c r="BB375" i="5"/>
  <c r="BB357" i="5"/>
  <c r="BB386" i="5"/>
  <c r="BB390" i="5"/>
  <c r="BB420" i="5"/>
  <c r="BB428" i="5"/>
  <c r="BB413" i="5"/>
  <c r="BB447" i="5"/>
  <c r="BB439" i="5"/>
  <c r="BB470" i="5"/>
  <c r="BB498" i="5"/>
  <c r="BB512" i="5"/>
  <c r="BB495" i="5"/>
  <c r="BB491" i="5"/>
  <c r="BB572" i="5"/>
  <c r="BB586" i="5"/>
  <c r="BB560" i="5"/>
  <c r="BB597" i="5"/>
  <c r="BB595" i="5"/>
  <c r="BB525" i="5"/>
  <c r="BB545" i="5"/>
  <c r="BB615" i="5"/>
  <c r="BB530" i="5"/>
  <c r="BB658" i="5"/>
  <c r="BB697" i="5"/>
  <c r="BB640" i="5"/>
  <c r="BB662" i="5"/>
  <c r="BB648" i="5"/>
  <c r="BB700" i="5"/>
  <c r="BB818" i="5"/>
  <c r="BB704" i="5"/>
  <c r="BB707" i="5"/>
  <c r="BB801" i="5"/>
  <c r="BB837" i="5"/>
  <c r="BB742" i="5"/>
  <c r="BB810" i="5"/>
  <c r="BB816" i="5"/>
  <c r="BB839" i="5"/>
  <c r="BB841" i="5"/>
  <c r="BB832" i="5"/>
  <c r="BB706" i="5"/>
  <c r="BB853" i="5"/>
  <c r="BB907" i="5"/>
  <c r="BB1004" i="5"/>
  <c r="BB872" i="5"/>
  <c r="BB935" i="5"/>
  <c r="BB909" i="5"/>
  <c r="BB1018" i="5"/>
  <c r="BB906" i="5"/>
  <c r="BB900" i="5"/>
  <c r="BB945" i="5"/>
  <c r="BB941" i="5"/>
  <c r="BB932" i="5"/>
  <c r="BB971" i="5"/>
  <c r="BB960" i="5"/>
  <c r="BB886" i="5"/>
  <c r="BB996" i="5"/>
  <c r="BB1039" i="5"/>
  <c r="BB1042" i="5"/>
  <c r="BB1062" i="5"/>
  <c r="BB1078" i="5"/>
  <c r="BB1086" i="5"/>
  <c r="BB1100" i="5"/>
  <c r="BB1113" i="5"/>
  <c r="BB1126" i="5"/>
  <c r="BB1133" i="5"/>
  <c r="BB1162" i="5"/>
  <c r="BB1158" i="5"/>
  <c r="BB1178" i="5"/>
  <c r="BB1184" i="5"/>
  <c r="BB1188" i="5"/>
  <c r="BB1206" i="5"/>
  <c r="BB1217" i="5"/>
  <c r="BB1229" i="5"/>
  <c r="BB1241" i="5"/>
  <c r="BB1251" i="5"/>
  <c r="BB13" i="5"/>
  <c r="BB52" i="5"/>
  <c r="BB91" i="5"/>
  <c r="BB96" i="5"/>
  <c r="BB171" i="5"/>
  <c r="BB236" i="5"/>
  <c r="BB38" i="5"/>
  <c r="BB17" i="5"/>
  <c r="BB23" i="5"/>
  <c r="BB70" i="5"/>
  <c r="BB260" i="5"/>
  <c r="BB268" i="5"/>
  <c r="BB316" i="5"/>
  <c r="BB301" i="5"/>
  <c r="BB292" i="5"/>
  <c r="BB329" i="5"/>
  <c r="BB347" i="5"/>
  <c r="BB334" i="5"/>
  <c r="BB362" i="5"/>
  <c r="BB358" i="5"/>
  <c r="BB391" i="5"/>
  <c r="BB389" i="5"/>
  <c r="BB115" i="5"/>
  <c r="BB177" i="5"/>
  <c r="BB221" i="5"/>
  <c r="BB40" i="5"/>
  <c r="BB57" i="5"/>
  <c r="BB60" i="5"/>
  <c r="BB72" i="5"/>
  <c r="BB132" i="5"/>
  <c r="BB97" i="5"/>
  <c r="BB110" i="5"/>
  <c r="BB162" i="5"/>
  <c r="BB163" i="5"/>
  <c r="BB90" i="5"/>
  <c r="BB179" i="5"/>
  <c r="BB185" i="5"/>
  <c r="BB227" i="5"/>
  <c r="BB259" i="5"/>
  <c r="BB250" i="5"/>
  <c r="BB271" i="5"/>
  <c r="BB267" i="5"/>
  <c r="BB300" i="5"/>
  <c r="BB302" i="5"/>
  <c r="BB306" i="5"/>
  <c r="BB330" i="5"/>
  <c r="BB351" i="5"/>
  <c r="BB338" i="5"/>
  <c r="BB368" i="5"/>
  <c r="BB354" i="5"/>
  <c r="BB395" i="5"/>
  <c r="BB396" i="5"/>
  <c r="BB426" i="5"/>
  <c r="BB435" i="5"/>
  <c r="BB14" i="5"/>
  <c r="BB51" i="5"/>
  <c r="BB49" i="5"/>
  <c r="BB20" i="5"/>
  <c r="BB85" i="5"/>
  <c r="BB165" i="5"/>
  <c r="BB148" i="5"/>
  <c r="BB99" i="5"/>
  <c r="BB120" i="5"/>
  <c r="BB158" i="5"/>
  <c r="BB71" i="5"/>
  <c r="BB180" i="5"/>
  <c r="BB210" i="5"/>
  <c r="BB234" i="5"/>
  <c r="BB198" i="5"/>
  <c r="BB252" i="5"/>
  <c r="BB275" i="5"/>
  <c r="BB280" i="5"/>
  <c r="BB294" i="5"/>
  <c r="BB311" i="5"/>
  <c r="BB307" i="5"/>
  <c r="BB327" i="5"/>
  <c r="BB343" i="5"/>
  <c r="BB370" i="5"/>
  <c r="BB359" i="5"/>
  <c r="BB355" i="5"/>
  <c r="BB384" i="5"/>
  <c r="BB399" i="5"/>
  <c r="BB429" i="5"/>
  <c r="BB422" i="5"/>
  <c r="BB467" i="5"/>
  <c r="BB474" i="5"/>
  <c r="BB471" i="5"/>
  <c r="BB461" i="5"/>
  <c r="BB484" i="5"/>
  <c r="BB505" i="5"/>
  <c r="BB514" i="5"/>
  <c r="BB570" i="5"/>
  <c r="BB621" i="5"/>
  <c r="BB534" i="5"/>
  <c r="BB598" i="5"/>
  <c r="BB517" i="5"/>
  <c r="BB546" i="5"/>
  <c r="BB592" i="5"/>
  <c r="BB611" i="5"/>
  <c r="BB619" i="5"/>
  <c r="BB562" i="5"/>
  <c r="BB645" i="5"/>
  <c r="BB639" i="5"/>
  <c r="BB641" i="5"/>
  <c r="BB630" i="5"/>
  <c r="BB653" i="5"/>
  <c r="BB682" i="5"/>
  <c r="BB722" i="5"/>
  <c r="BB781" i="5"/>
  <c r="BB826" i="5"/>
  <c r="BB779" i="5"/>
  <c r="BB744" i="5"/>
  <c r="BB795" i="5"/>
  <c r="BB805" i="5"/>
  <c r="BB719" i="5"/>
  <c r="BB844" i="5"/>
  <c r="BB813" i="5"/>
  <c r="BB730" i="5"/>
  <c r="BB845" i="5"/>
  <c r="BB897" i="5"/>
  <c r="BB944" i="5"/>
  <c r="BB933" i="5"/>
  <c r="BB895" i="5"/>
  <c r="BB881" i="5"/>
  <c r="BB1020" i="5"/>
  <c r="BB964" i="5"/>
  <c r="BB961" i="5"/>
  <c r="BB934" i="5"/>
  <c r="BB979" i="5"/>
  <c r="BB987" i="5"/>
  <c r="BB957" i="5"/>
  <c r="BB942" i="5"/>
  <c r="BB982" i="5"/>
  <c r="BB1033" i="5"/>
  <c r="BB1047" i="5"/>
  <c r="BB1057" i="5"/>
  <c r="BB1072" i="5"/>
  <c r="BB1080" i="5"/>
  <c r="BB1096" i="5"/>
  <c r="BB1105" i="5"/>
  <c r="BB1116" i="5"/>
  <c r="BB1135" i="5"/>
  <c r="BB1160" i="5"/>
  <c r="BB1161" i="5"/>
  <c r="BB1168" i="5"/>
  <c r="BB1195" i="5"/>
  <c r="BB1198" i="5"/>
  <c r="BB1213" i="5"/>
  <c r="BB1227" i="5"/>
  <c r="BB1264" i="5"/>
  <c r="BB1268" i="5"/>
  <c r="BB1287" i="5"/>
  <c r="BB1291" i="5"/>
  <c r="BB1304" i="5"/>
  <c r="BB1324" i="5"/>
  <c r="BB1359" i="5"/>
  <c r="BB1337" i="5"/>
  <c r="BB1341" i="5"/>
  <c r="BB1365" i="5"/>
  <c r="BB1378" i="5"/>
  <c r="BB1392" i="5"/>
  <c r="BB1402" i="5"/>
  <c r="BB35" i="5"/>
  <c r="BB255" i="5"/>
  <c r="BB24" i="5"/>
  <c r="BB16" i="5"/>
  <c r="BB53" i="5"/>
  <c r="BB46" i="5"/>
  <c r="BB25" i="5"/>
  <c r="BB86" i="5"/>
  <c r="BB143" i="5"/>
  <c r="BB168" i="5"/>
  <c r="BB102" i="5"/>
  <c r="BB79" i="5"/>
  <c r="BB224" i="5"/>
  <c r="BB233" i="5"/>
  <c r="BB213" i="5"/>
  <c r="BB200" i="5"/>
  <c r="BB249" i="5"/>
  <c r="BB118" i="5"/>
  <c r="BB214" i="5"/>
  <c r="BB11" i="5"/>
  <c r="BB73" i="5"/>
  <c r="BB121" i="5"/>
  <c r="BB142" i="5"/>
  <c r="BB155" i="5"/>
  <c r="BB95" i="5"/>
  <c r="BB154" i="5"/>
  <c r="BB189" i="5"/>
  <c r="BB226" i="5"/>
  <c r="BB277" i="5"/>
  <c r="BB284" i="5"/>
  <c r="BB312" i="5"/>
  <c r="BB305" i="5"/>
  <c r="BB310" i="5"/>
  <c r="BB332" i="5"/>
  <c r="BB350" i="5"/>
  <c r="BB365" i="5"/>
  <c r="BB378" i="5"/>
  <c r="BB382" i="5"/>
  <c r="BB383" i="5"/>
  <c r="BB419" i="5"/>
  <c r="BB430" i="5"/>
  <c r="BB401" i="5"/>
  <c r="BB463" i="5"/>
  <c r="BB473" i="5"/>
  <c r="BB468" i="5"/>
  <c r="BB453" i="5"/>
  <c r="BB499" i="5"/>
  <c r="BB497" i="5"/>
  <c r="BB480" i="5"/>
  <c r="BB62" i="5"/>
  <c r="BB45" i="5"/>
  <c r="BB5" i="5"/>
  <c r="BB160" i="5"/>
  <c r="BB145" i="5"/>
  <c r="BB129" i="5"/>
  <c r="BB217" i="5"/>
  <c r="BB193" i="5"/>
  <c r="BB279" i="5"/>
  <c r="BB297" i="5"/>
  <c r="BB309" i="5"/>
  <c r="BB313" i="5"/>
  <c r="BB331" i="5"/>
  <c r="BB348" i="5"/>
  <c r="BB373" i="5"/>
  <c r="BB366" i="5"/>
  <c r="BB381" i="5"/>
  <c r="BB417" i="5"/>
  <c r="BB431" i="5"/>
  <c r="BB418" i="5"/>
  <c r="BB450" i="5"/>
  <c r="BB442" i="5"/>
  <c r="BB465" i="5"/>
  <c r="BB455" i="5"/>
  <c r="BB507" i="5"/>
  <c r="BB28" i="5"/>
  <c r="BB183" i="5"/>
  <c r="BB55" i="5"/>
  <c r="BB21" i="5"/>
  <c r="BB32" i="5"/>
  <c r="BB58" i="5"/>
  <c r="BB84" i="5"/>
  <c r="BB83" i="5"/>
  <c r="BB128" i="5"/>
  <c r="BB107" i="5"/>
  <c r="BB169" i="5"/>
  <c r="BB80" i="5"/>
  <c r="BB197" i="5"/>
  <c r="BB192" i="5"/>
  <c r="BB204" i="5"/>
  <c r="BB207" i="5"/>
  <c r="BB241" i="5"/>
  <c r="BB262" i="5"/>
  <c r="BB161" i="5"/>
  <c r="BB208" i="5"/>
  <c r="BB7" i="5"/>
  <c r="BB12" i="5"/>
  <c r="BB29" i="5"/>
  <c r="BB56" i="5"/>
  <c r="BB87" i="5"/>
  <c r="BB133" i="5"/>
  <c r="BB123" i="5"/>
  <c r="BB112" i="5"/>
  <c r="BB130" i="5"/>
  <c r="BB66" i="5"/>
  <c r="BB157" i="5"/>
  <c r="BB238" i="5"/>
  <c r="BB222" i="5"/>
  <c r="BB187" i="5"/>
  <c r="BB199" i="5"/>
  <c r="BB232" i="5"/>
  <c r="BB244" i="5"/>
  <c r="BB247" i="5"/>
  <c r="BB9" i="5"/>
  <c r="BB4" i="5"/>
  <c r="BB37" i="5"/>
  <c r="BB74" i="5"/>
  <c r="BB69" i="5"/>
  <c r="BB139" i="5"/>
  <c r="BB103" i="5"/>
  <c r="BB125" i="5"/>
  <c r="BB141" i="5"/>
  <c r="BB78" i="5"/>
  <c r="BB100" i="5"/>
  <c r="BB174" i="5"/>
  <c r="BB211" i="5"/>
  <c r="BB190" i="5"/>
  <c r="BB196" i="5"/>
  <c r="BB258" i="5"/>
  <c r="BB254" i="5"/>
  <c r="BB269" i="5"/>
  <c r="BB321" i="5"/>
  <c r="BB320" i="5"/>
  <c r="BB293" i="5"/>
  <c r="BB323" i="5"/>
  <c r="BB346" i="5"/>
  <c r="BB337" i="5"/>
  <c r="BB374" i="5"/>
  <c r="BB371" i="5"/>
  <c r="BB400" i="5"/>
  <c r="BB393" i="5"/>
  <c r="BB407" i="5"/>
  <c r="BB415" i="5"/>
  <c r="BB434" i="5"/>
  <c r="BB458" i="5"/>
  <c r="BB452" i="5"/>
  <c r="BB469" i="5"/>
  <c r="BB478" i="5"/>
  <c r="BB511" i="5"/>
  <c r="BB492" i="5"/>
  <c r="BB582" i="5"/>
  <c r="BB531" i="5"/>
  <c r="BB564" i="5"/>
  <c r="BB628" i="5"/>
  <c r="BB551" i="5"/>
  <c r="BB528" i="5"/>
  <c r="BB549" i="5"/>
  <c r="BB616" i="5"/>
  <c r="BB556" i="5"/>
  <c r="BB671" i="5"/>
  <c r="BB694" i="5"/>
  <c r="BB672" i="5"/>
  <c r="BB684" i="5"/>
  <c r="BB676" i="5"/>
  <c r="BB686" i="5"/>
  <c r="BB811" i="5"/>
  <c r="BB705" i="5"/>
  <c r="BB822" i="5"/>
  <c r="BB783" i="5"/>
  <c r="BB833" i="5"/>
  <c r="BB727" i="5"/>
  <c r="BB752" i="5"/>
  <c r="BB824" i="5"/>
  <c r="BB835" i="5"/>
  <c r="BB850" i="5"/>
  <c r="BB815" i="5"/>
  <c r="BB736" i="5"/>
  <c r="BB421" i="5"/>
  <c r="BB410" i="5"/>
  <c r="BB406" i="5"/>
  <c r="BB457" i="5"/>
  <c r="BB456" i="5"/>
  <c r="BB459" i="5"/>
  <c r="BB481" i="5"/>
  <c r="BB496" i="5"/>
  <c r="BB508" i="5"/>
  <c r="BB515" i="5"/>
  <c r="BB521" i="5"/>
  <c r="BB581" i="5"/>
  <c r="BB566" i="5"/>
  <c r="BB579" i="5"/>
  <c r="BB519" i="5"/>
  <c r="BB543" i="5"/>
  <c r="BB602" i="5"/>
  <c r="BB613" i="5"/>
  <c r="BB559" i="5"/>
  <c r="BB657" i="5"/>
  <c r="BB696" i="5"/>
  <c r="BB679" i="5"/>
  <c r="BB659" i="5"/>
  <c r="BB651" i="5"/>
  <c r="BB650" i="5"/>
  <c r="BB759" i="5"/>
  <c r="BB790" i="5"/>
  <c r="BB738" i="5"/>
  <c r="BB762" i="5"/>
  <c r="BB831" i="5"/>
  <c r="BB770" i="5"/>
  <c r="BB808" i="5"/>
  <c r="BB814" i="5"/>
  <c r="BB848" i="5"/>
  <c r="BB836" i="5"/>
  <c r="BB758" i="5"/>
  <c r="BB760" i="5"/>
  <c r="BB855" i="5"/>
  <c r="BB880" i="5"/>
  <c r="BB917" i="5"/>
  <c r="BB1022" i="5"/>
  <c r="BB890" i="5"/>
  <c r="BB913" i="5"/>
  <c r="BB983" i="5"/>
  <c r="BB867" i="5"/>
  <c r="BB866" i="5"/>
  <c r="BB875" i="5"/>
  <c r="BB893" i="5"/>
  <c r="BB1001" i="5"/>
  <c r="BB970" i="5"/>
  <c r="BB910" i="5"/>
  <c r="BB1006" i="5"/>
  <c r="BB883" i="5"/>
  <c r="BB1040" i="5"/>
  <c r="BB1056" i="5"/>
  <c r="BB1061" i="5"/>
  <c r="BB1077" i="5"/>
  <c r="BB1088" i="5"/>
  <c r="BB1101" i="5"/>
  <c r="BB1112" i="5"/>
  <c r="BB1124" i="5"/>
  <c r="BB1140" i="5"/>
  <c r="BB1150" i="5"/>
  <c r="BB1146" i="5"/>
  <c r="BB1169" i="5"/>
  <c r="BB1181" i="5"/>
  <c r="BB1187" i="5"/>
  <c r="BB1207" i="5"/>
  <c r="BB1218" i="5"/>
  <c r="BB1230" i="5"/>
  <c r="BB1243" i="5"/>
  <c r="BB1252" i="5"/>
  <c r="BA622" i="5"/>
  <c r="BA1354" i="5"/>
  <c r="BA1242" i="5"/>
  <c r="BA1148" i="5"/>
  <c r="BA1100" i="5"/>
  <c r="BA1050" i="5"/>
  <c r="BA491" i="5"/>
  <c r="BB405" i="5"/>
  <c r="BB451" i="5"/>
  <c r="BB472" i="5"/>
  <c r="BB438" i="5"/>
  <c r="BB488" i="5"/>
  <c r="BB486" i="5"/>
  <c r="BB479" i="5"/>
  <c r="BB523" i="5"/>
  <c r="BB614" i="5"/>
  <c r="BB588" i="5"/>
  <c r="BB599" i="5"/>
  <c r="BB539" i="5"/>
  <c r="BB578" i="5"/>
  <c r="BB544" i="5"/>
  <c r="BB563" i="5"/>
  <c r="BB618" i="5"/>
  <c r="BB577" i="5"/>
  <c r="BB656" i="5"/>
  <c r="BB633" i="5"/>
  <c r="BB665" i="5"/>
  <c r="BB632" i="5"/>
  <c r="BB661" i="5"/>
  <c r="BB680" i="5"/>
  <c r="BB712" i="5"/>
  <c r="BB709" i="5"/>
  <c r="BB858" i="5"/>
  <c r="BB773" i="5"/>
  <c r="BB748" i="5"/>
  <c r="BB735" i="5"/>
  <c r="BB789" i="5"/>
  <c r="BB784" i="5"/>
  <c r="BB847" i="5"/>
  <c r="BB737" i="5"/>
  <c r="BB761" i="5"/>
  <c r="BB851" i="5"/>
  <c r="BB911" i="5"/>
  <c r="BB891" i="5"/>
  <c r="BB940" i="5"/>
  <c r="BB922" i="5"/>
  <c r="BB868" i="5"/>
  <c r="BB998" i="5"/>
  <c r="BB860" i="5"/>
  <c r="BB879" i="5"/>
  <c r="BB901" i="5"/>
  <c r="BB1017" i="5"/>
  <c r="BB1023" i="5"/>
  <c r="BB958" i="5"/>
  <c r="BB925" i="5"/>
  <c r="BB978" i="5"/>
  <c r="BB1031" i="5"/>
  <c r="BB1044" i="5"/>
  <c r="BB1060" i="5"/>
  <c r="BB1065" i="5"/>
  <c r="BB1082" i="5"/>
  <c r="BB1092" i="5"/>
  <c r="BB1104" i="5"/>
  <c r="BB1117" i="5"/>
  <c r="BB1136" i="5"/>
  <c r="BB1155" i="5"/>
  <c r="BB1147" i="5"/>
  <c r="BB1175" i="5"/>
  <c r="BB1183" i="5"/>
  <c r="BB1201" i="5"/>
  <c r="BB1214" i="5"/>
  <c r="BB1224" i="5"/>
  <c r="BB1234" i="5"/>
  <c r="BB1245" i="5"/>
  <c r="BB557" i="5"/>
  <c r="BB532" i="5"/>
  <c r="BB587" i="5"/>
  <c r="BB612" i="5"/>
  <c r="BB522" i="5"/>
  <c r="BB567" i="5"/>
  <c r="BB550" i="5"/>
  <c r="BB518" i="5"/>
  <c r="BB609" i="5"/>
  <c r="BB652" i="5"/>
  <c r="BB668" i="5"/>
  <c r="BB666" i="5"/>
  <c r="BB634" i="5"/>
  <c r="BB691" i="5"/>
  <c r="BB677" i="5"/>
  <c r="BB776" i="5"/>
  <c r="BB720" i="5"/>
  <c r="BB741" i="5"/>
  <c r="BB757" i="5"/>
  <c r="BB766" i="5"/>
  <c r="BB803" i="5"/>
  <c r="BB716" i="5"/>
  <c r="BB825" i="5"/>
  <c r="BB777" i="5"/>
  <c r="BB740" i="5"/>
  <c r="BB723" i="5"/>
  <c r="BB794" i="5"/>
  <c r="BB739" i="5"/>
  <c r="BB950" i="5"/>
  <c r="BB1003" i="5"/>
  <c r="BB994" i="5"/>
  <c r="BB870" i="5"/>
  <c r="BB986" i="5"/>
  <c r="BB912" i="5"/>
  <c r="BB954" i="5"/>
  <c r="BB921" i="5"/>
  <c r="BB999" i="5"/>
  <c r="BB936" i="5"/>
  <c r="BB894" i="5"/>
  <c r="BB995" i="5"/>
  <c r="BB968" i="5"/>
  <c r="BB1034" i="5"/>
  <c r="BB1049" i="5"/>
  <c r="BB1059" i="5"/>
  <c r="BB1070" i="5"/>
  <c r="BB1089" i="5"/>
  <c r="BB1107" i="5"/>
  <c r="BB1118" i="5"/>
  <c r="BB1129" i="5"/>
  <c r="BB1139" i="5"/>
  <c r="BB1145" i="5"/>
  <c r="BB1173" i="5"/>
  <c r="BB1166" i="5"/>
  <c r="BB1189" i="5"/>
  <c r="BB1197" i="5"/>
  <c r="BB1208" i="5"/>
  <c r="BB1226" i="5"/>
  <c r="BB1261" i="5"/>
  <c r="BB1260" i="5"/>
  <c r="BB1290" i="5"/>
  <c r="BB1296" i="5"/>
  <c r="BB1301" i="5"/>
  <c r="BB1328" i="5"/>
  <c r="BB1356" i="5"/>
  <c r="BB1336" i="5"/>
  <c r="BB1348" i="5"/>
  <c r="BB1366" i="5"/>
  <c r="BB1382" i="5"/>
  <c r="BB1393" i="5"/>
  <c r="BB1235" i="5"/>
  <c r="BB1238" i="5"/>
  <c r="BB1244" i="5"/>
  <c r="BB1265" i="5"/>
  <c r="BB1272" i="5"/>
  <c r="BB1281" i="5"/>
  <c r="BB1311" i="5"/>
  <c r="BB1308" i="5"/>
  <c r="BB1305" i="5"/>
  <c r="BB1322" i="5"/>
  <c r="BB1333" i="5"/>
  <c r="BB1343" i="5"/>
  <c r="BB1371" i="5"/>
  <c r="BB1377" i="5"/>
  <c r="BB1399" i="5"/>
  <c r="BA1035" i="5"/>
  <c r="BB1275" i="5"/>
  <c r="BB1263" i="5"/>
  <c r="BB1279" i="5"/>
  <c r="BB1309" i="5"/>
  <c r="BB1297" i="5"/>
  <c r="BB1326" i="5"/>
  <c r="BB1346" i="5"/>
  <c r="BB1340" i="5"/>
  <c r="BB1373" i="5"/>
  <c r="BB1380" i="5"/>
  <c r="BB1395" i="5"/>
  <c r="BB39" i="5"/>
  <c r="BB152" i="5"/>
  <c r="BB159" i="5"/>
  <c r="BB175" i="5"/>
  <c r="BB1239" i="5"/>
  <c r="BB1249" i="5"/>
  <c r="BA1225" i="5"/>
  <c r="BB44" i="5"/>
  <c r="BB261" i="5"/>
  <c r="BB81" i="5"/>
  <c r="BB106" i="5"/>
  <c r="BB119" i="5"/>
  <c r="BB101" i="5"/>
  <c r="BB178" i="5"/>
  <c r="BB230" i="5"/>
  <c r="BB209" i="5"/>
  <c r="BB191" i="5"/>
  <c r="BB245" i="5"/>
  <c r="BB34" i="5"/>
  <c r="BB36" i="5"/>
  <c r="BB98" i="5"/>
  <c r="BB150" i="5"/>
  <c r="BB65" i="5"/>
  <c r="BA6" i="5"/>
  <c r="BA1283" i="5"/>
  <c r="BA966" i="5"/>
  <c r="BB43" i="5"/>
  <c r="BB67" i="5"/>
  <c r="BB92" i="5"/>
  <c r="BB184" i="5"/>
  <c r="BB203" i="5"/>
  <c r="BB257" i="5"/>
  <c r="BB1236" i="5"/>
  <c r="BB1247" i="5"/>
  <c r="BB76" i="5"/>
  <c r="BB111" i="5"/>
  <c r="BB156" i="5"/>
  <c r="BB124" i="5"/>
  <c r="BB182" i="5"/>
  <c r="BB223" i="5"/>
  <c r="BB243" i="5"/>
  <c r="BB278" i="5"/>
  <c r="BB281" i="5"/>
  <c r="BB315" i="5"/>
  <c r="BB303" i="5"/>
  <c r="BB304" i="5"/>
  <c r="BB325" i="5"/>
  <c r="BB47" i="5"/>
  <c r="BB105" i="5"/>
  <c r="BB235" i="5"/>
  <c r="BB194" i="5"/>
  <c r="BB240" i="5"/>
  <c r="BB1237" i="5"/>
  <c r="BB1246" i="5"/>
  <c r="BB68" i="5"/>
  <c r="BB117" i="5"/>
  <c r="BB239" i="5"/>
  <c r="BB137" i="5"/>
  <c r="BB109" i="5"/>
  <c r="BB274" i="5"/>
  <c r="BB322" i="5"/>
  <c r="BB296" i="5"/>
  <c r="BB308" i="5"/>
  <c r="BB289" i="5"/>
  <c r="BB339" i="5"/>
  <c r="BB345" i="5"/>
  <c r="BB363" i="5"/>
  <c r="BB367" i="5"/>
  <c r="BB379" i="5"/>
  <c r="BB385" i="5"/>
  <c r="BB411" i="5"/>
  <c r="BB425" i="5"/>
  <c r="BB408" i="5"/>
  <c r="BB460" i="5"/>
  <c r="BB475" i="5"/>
  <c r="BB449" i="5"/>
  <c r="BB448" i="5"/>
  <c r="BB494" i="5"/>
  <c r="BB487" i="5"/>
  <c r="BB483" i="5"/>
  <c r="BB590" i="5"/>
  <c r="BB603" i="5"/>
  <c r="BB537" i="5"/>
  <c r="BB593" i="5"/>
  <c r="BB607" i="5"/>
  <c r="BB569" i="5"/>
  <c r="BB516" i="5"/>
  <c r="BB526" i="5"/>
  <c r="BB596" i="5"/>
  <c r="BB647" i="5"/>
  <c r="BB654" i="5"/>
  <c r="BB678" i="5"/>
  <c r="BB674" i="5"/>
  <c r="BB669" i="5"/>
  <c r="BB642" i="5"/>
  <c r="BB732" i="5"/>
  <c r="BB729" i="5"/>
  <c r="BB812" i="5"/>
  <c r="BB800" i="5"/>
  <c r="BB849" i="5"/>
  <c r="BB782" i="5"/>
  <c r="BB734" i="5"/>
  <c r="BB796" i="5"/>
  <c r="BB819" i="5"/>
  <c r="BB772" i="5"/>
  <c r="BB846" i="5"/>
  <c r="BB703" i="5"/>
  <c r="BB751" i="5"/>
  <c r="BB774" i="5"/>
  <c r="BB927" i="5"/>
  <c r="BB878" i="5"/>
  <c r="BB1005" i="5"/>
  <c r="BB916" i="5"/>
  <c r="BB1008" i="5"/>
  <c r="BB997" i="5"/>
  <c r="BB1013" i="5"/>
  <c r="BB953" i="5"/>
  <c r="BB904" i="5"/>
  <c r="BB966" i="5"/>
  <c r="BB887" i="5"/>
  <c r="BB977" i="5"/>
  <c r="BB990" i="5"/>
  <c r="BB967" i="5"/>
  <c r="BB1038" i="5"/>
  <c r="BB1048" i="5"/>
  <c r="BB1063" i="5"/>
  <c r="BB1075" i="5"/>
  <c r="BB1087" i="5"/>
  <c r="BB1097" i="5"/>
  <c r="BB1122" i="5"/>
  <c r="BB1131" i="5"/>
  <c r="BB1154" i="5"/>
  <c r="BB1164" i="5"/>
  <c r="BB1172" i="5"/>
  <c r="BB1167" i="5"/>
  <c r="BB1193" i="5"/>
  <c r="BB1203" i="5"/>
  <c r="BB1222" i="5"/>
  <c r="BB349" i="5"/>
  <c r="BB369" i="5"/>
  <c r="BB360" i="5"/>
  <c r="BB377" i="5"/>
  <c r="BB398" i="5"/>
  <c r="BB432" i="5"/>
  <c r="BB402" i="5"/>
  <c r="BB446" i="5"/>
  <c r="BB443" i="5"/>
  <c r="BB500" i="5"/>
  <c r="BB490" i="5"/>
  <c r="BB506" i="5"/>
  <c r="BB575" i="5"/>
  <c r="BB622" i="5"/>
  <c r="BB540" i="5"/>
  <c r="BB542" i="5"/>
  <c r="BB558" i="5"/>
  <c r="BB608" i="5"/>
  <c r="BB610" i="5"/>
  <c r="BB520" i="5"/>
  <c r="BB623" i="5"/>
  <c r="BB552" i="5"/>
  <c r="BB690" i="5"/>
  <c r="BB675" i="5"/>
  <c r="BB681" i="5"/>
  <c r="BB692" i="5"/>
  <c r="BB663" i="5"/>
  <c r="BB670" i="5"/>
  <c r="BB711" i="5"/>
  <c r="BB820" i="5"/>
  <c r="BB807" i="5"/>
  <c r="BB718" i="5"/>
  <c r="BB778" i="5"/>
  <c r="BB767" i="5"/>
  <c r="BB785" i="5"/>
  <c r="BB797" i="5"/>
  <c r="BB754" i="5"/>
  <c r="BB834" i="5"/>
  <c r="BB809" i="5"/>
  <c r="BB763" i="5"/>
  <c r="BB745" i="5"/>
  <c r="BB974" i="5"/>
  <c r="BB988" i="5"/>
  <c r="BB1019" i="5"/>
  <c r="BB937" i="5"/>
  <c r="BB877" i="5"/>
  <c r="BB976" i="5"/>
  <c r="BB863" i="5"/>
  <c r="BB943" i="5"/>
  <c r="BB1014" i="5"/>
  <c r="BB959" i="5"/>
  <c r="BB930" i="5"/>
  <c r="BB882" i="5"/>
  <c r="BB864" i="5"/>
  <c r="BB1035" i="5"/>
  <c r="BB1050" i="5"/>
  <c r="BB1058" i="5"/>
  <c r="BB1071" i="5"/>
  <c r="BB1076" i="5"/>
  <c r="BB1094" i="5"/>
  <c r="BB1106" i="5"/>
  <c r="BB1119" i="5"/>
  <c r="BB1128" i="5"/>
  <c r="BB1138" i="5"/>
  <c r="BB1152" i="5"/>
  <c r="BB1156" i="5"/>
  <c r="BB1171" i="5"/>
  <c r="BB1191" i="5"/>
  <c r="BB1199" i="5"/>
  <c r="BB1210" i="5"/>
  <c r="BB1220" i="5"/>
  <c r="BB1257" i="5"/>
  <c r="BB1266" i="5"/>
  <c r="BB1302" i="5"/>
  <c r="BB1323" i="5"/>
  <c r="BB1358" i="5"/>
  <c r="BB1335" i="5"/>
  <c r="BB1351" i="5"/>
  <c r="BB1364" i="5"/>
  <c r="BB1384" i="5"/>
  <c r="BB1391" i="5"/>
  <c r="BB1404" i="5"/>
  <c r="BA786" i="5"/>
  <c r="BB489" i="5"/>
  <c r="BB482" i="5"/>
  <c r="BB594" i="5"/>
  <c r="BB565" i="5"/>
  <c r="BB548" i="5"/>
  <c r="BB625" i="5"/>
  <c r="BB538" i="5"/>
  <c r="BB576" i="5"/>
  <c r="BB584" i="5"/>
  <c r="BB529" i="5"/>
  <c r="BB535" i="5"/>
  <c r="BB649" i="5"/>
  <c r="BB636" i="5"/>
  <c r="BB655" i="5"/>
  <c r="BB643" i="5"/>
  <c r="BB687" i="5"/>
  <c r="BB635" i="5"/>
  <c r="BB733" i="5"/>
  <c r="BB725" i="5"/>
  <c r="BB799" i="5"/>
  <c r="BB806" i="5"/>
  <c r="BB714" i="5"/>
  <c r="BB788" i="5"/>
  <c r="BB724" i="5"/>
  <c r="BB780" i="5"/>
  <c r="BB828" i="5"/>
  <c r="BB721" i="5"/>
  <c r="BB843" i="5"/>
  <c r="BB792" i="5"/>
  <c r="BB710" i="5"/>
  <c r="BB771" i="5"/>
  <c r="BB951" i="5"/>
  <c r="BB918" i="5"/>
  <c r="BB1009" i="5"/>
  <c r="BB908" i="5"/>
  <c r="BB898" i="5"/>
  <c r="BB1010" i="5"/>
  <c r="BB928" i="5"/>
  <c r="BB963" i="5"/>
  <c r="BB876" i="5"/>
  <c r="BB1007" i="5"/>
  <c r="BB889" i="5"/>
  <c r="BB955" i="5"/>
  <c r="BB991" i="5"/>
  <c r="BB862" i="5"/>
  <c r="BB1037" i="5"/>
  <c r="BB1046" i="5"/>
  <c r="BB1054" i="5"/>
  <c r="BB1074" i="5"/>
  <c r="BB1090" i="5"/>
  <c r="BB1095" i="5"/>
  <c r="BB1108" i="5"/>
  <c r="BB1121" i="5"/>
  <c r="BB1130" i="5"/>
  <c r="BB1143" i="5"/>
  <c r="BB1153" i="5"/>
  <c r="BB1170" i="5"/>
  <c r="BB1165" i="5"/>
  <c r="BB1190" i="5"/>
  <c r="BB1202" i="5"/>
  <c r="BB1209" i="5"/>
  <c r="BB1221" i="5"/>
  <c r="BB1248" i="5"/>
  <c r="BB1258" i="5"/>
  <c r="BB1285" i="5"/>
  <c r="BB1306" i="5"/>
  <c r="BB1303" i="5"/>
  <c r="BB1300" i="5"/>
  <c r="BB1325" i="5"/>
  <c r="BB1361" i="5"/>
  <c r="BB1334" i="5"/>
  <c r="BB1344" i="5"/>
  <c r="BB1363" i="5"/>
  <c r="BB1376" i="5"/>
  <c r="BB1394" i="5"/>
  <c r="BB764" i="5"/>
  <c r="BB874" i="5"/>
  <c r="BB946" i="5"/>
  <c r="BB899" i="5"/>
  <c r="BB1025" i="5"/>
  <c r="BB869" i="5"/>
  <c r="BB920" i="5"/>
  <c r="BB972" i="5"/>
  <c r="BB1030" i="5"/>
  <c r="BB948" i="5"/>
  <c r="BB965" i="5"/>
  <c r="BB929" i="5"/>
  <c r="BB884" i="5"/>
  <c r="BB1024" i="5"/>
  <c r="BB914" i="5"/>
  <c r="BB1012" i="5"/>
  <c r="BB1041" i="5"/>
  <c r="BB1045" i="5"/>
  <c r="BB1064" i="5"/>
  <c r="BB1069" i="5"/>
  <c r="BB1083" i="5"/>
  <c r="BB1098" i="5"/>
  <c r="BB1110" i="5"/>
  <c r="BB1123" i="5"/>
  <c r="BB1132" i="5"/>
  <c r="BB1163" i="5"/>
  <c r="BB1149" i="5"/>
  <c r="BB1179" i="5"/>
  <c r="BB1186" i="5"/>
  <c r="BB1194" i="5"/>
  <c r="BB1204" i="5"/>
  <c r="BB1216" i="5"/>
  <c r="BB1228" i="5"/>
  <c r="BB1259" i="5"/>
  <c r="BB1270" i="5"/>
  <c r="BB1289" i="5"/>
  <c r="BB1310" i="5"/>
  <c r="BB1295" i="5"/>
  <c r="BB1330" i="5"/>
  <c r="BB1318" i="5"/>
  <c r="BB1350" i="5"/>
  <c r="BB1332" i="5"/>
  <c r="BB1372" i="5"/>
  <c r="BB1381" i="5"/>
  <c r="BB1397" i="5"/>
  <c r="BB1273" i="5"/>
  <c r="BB1269" i="5"/>
  <c r="BB1314" i="5"/>
  <c r="BB1321" i="5"/>
  <c r="BB1317" i="5"/>
  <c r="BB1353" i="5"/>
  <c r="BB1338" i="5"/>
  <c r="BB1370" i="5"/>
  <c r="BB1383" i="5"/>
  <c r="BB1387" i="5"/>
  <c r="BB1396" i="5"/>
  <c r="BA1394" i="5"/>
  <c r="BA1384" i="5"/>
  <c r="BA1374" i="5"/>
  <c r="BA1353" i="5"/>
  <c r="BA1341" i="5"/>
  <c r="BA1294" i="5"/>
  <c r="BA1304" i="5"/>
  <c r="BA1286" i="5"/>
  <c r="BA1272" i="5"/>
  <c r="BA1267" i="5"/>
  <c r="BA1246" i="5"/>
  <c r="BA1194" i="5"/>
  <c r="BA1166" i="5"/>
  <c r="BA1162" i="5"/>
  <c r="BA1130" i="5"/>
  <c r="BA1108" i="5"/>
  <c r="BA1096" i="5"/>
  <c r="BA1086" i="5"/>
  <c r="BA1071" i="5"/>
  <c r="BA1057" i="5"/>
  <c r="BA1049" i="5"/>
  <c r="BA887" i="5"/>
  <c r="BA886" i="5"/>
  <c r="BA1009" i="5"/>
  <c r="BA972" i="5"/>
  <c r="BA965" i="5"/>
  <c r="BA986" i="5"/>
  <c r="BA943" i="5"/>
  <c r="BA1012" i="5"/>
  <c r="BA1013" i="5"/>
  <c r="BA954" i="5"/>
  <c r="BA916" i="5"/>
  <c r="BA858" i="5"/>
  <c r="BA800" i="5"/>
  <c r="BA729" i="5"/>
  <c r="BA833" i="5"/>
  <c r="BC833" i="5" s="1"/>
  <c r="BD833" i="5" s="1"/>
  <c r="BA781" i="5"/>
  <c r="BC781" i="5" s="1"/>
  <c r="BD781" i="5" s="1"/>
  <c r="BA723" i="5"/>
  <c r="BA831" i="5"/>
  <c r="BA714" i="5"/>
  <c r="BA812" i="5"/>
  <c r="BA805" i="5"/>
  <c r="BA677" i="5"/>
  <c r="BA665" i="5"/>
  <c r="BA653" i="5"/>
  <c r="BA648" i="5"/>
  <c r="BA532" i="5"/>
  <c r="BA539" i="5"/>
  <c r="BA588" i="5"/>
  <c r="BA537" i="5"/>
  <c r="BA577" i="5"/>
  <c r="BA486" i="5"/>
  <c r="BA499" i="5"/>
  <c r="BA476" i="5"/>
  <c r="BA444" i="5"/>
  <c r="BA434" i="5"/>
  <c r="BA431" i="5"/>
  <c r="BA411" i="5"/>
  <c r="BA398" i="5"/>
  <c r="BA383" i="5"/>
  <c r="BA365" i="5"/>
  <c r="BA357" i="5"/>
  <c r="BA337" i="5"/>
  <c r="BA302" i="5"/>
  <c r="BA311" i="5"/>
  <c r="BA306" i="5"/>
  <c r="BA278" i="5"/>
  <c r="BA242" i="5"/>
  <c r="BA213" i="5"/>
  <c r="BA189" i="5"/>
  <c r="BA172" i="5"/>
  <c r="BA63" i="5"/>
  <c r="BA151" i="5"/>
  <c r="BA68" i="5"/>
  <c r="BA97" i="5"/>
  <c r="BA45" i="5"/>
  <c r="BA57" i="5"/>
  <c r="BA21" i="5"/>
  <c r="BA39" i="5"/>
  <c r="BA1268" i="5"/>
  <c r="BB427" i="5"/>
  <c r="BB444" i="5"/>
  <c r="BB476" i="5"/>
  <c r="BB989" i="5"/>
  <c r="BB1288" i="5"/>
  <c r="BA11" i="5"/>
  <c r="BB19" i="5"/>
  <c r="BB54" i="5"/>
  <c r="BB18" i="5"/>
  <c r="BB166" i="5"/>
  <c r="BB108" i="5"/>
  <c r="BB173" i="5"/>
  <c r="BB202" i="5"/>
  <c r="BB251" i="5"/>
  <c r="BB701" i="5"/>
  <c r="BB938" i="5"/>
  <c r="BB1093" i="5"/>
  <c r="BA823" i="5"/>
  <c r="BA590" i="5"/>
  <c r="BA433" i="5"/>
  <c r="BA104" i="5"/>
  <c r="BB15" i="5"/>
  <c r="BB48" i="5"/>
  <c r="BB89" i="5"/>
  <c r="BB144" i="5"/>
  <c r="BB82" i="5"/>
  <c r="BB126" i="5"/>
  <c r="BB170" i="5"/>
  <c r="BB195" i="5"/>
  <c r="BB186" i="5"/>
  <c r="BB206" i="5"/>
  <c r="BB242" i="5"/>
  <c r="BA301" i="5"/>
  <c r="BB31" i="5"/>
  <c r="BB146" i="5"/>
  <c r="BB176" i="5"/>
  <c r="BB220" i="5"/>
  <c r="BB1111" i="5"/>
  <c r="BB273" i="5"/>
  <c r="BB285" i="5"/>
  <c r="BB318" i="5"/>
  <c r="BB295" i="5"/>
  <c r="BB288" i="5"/>
  <c r="BB336" i="5"/>
  <c r="BB344" i="5"/>
  <c r="BB372" i="5"/>
  <c r="BB364" i="5"/>
  <c r="BB397" i="5"/>
  <c r="BB392" i="5"/>
  <c r="BB414" i="5"/>
  <c r="BB424" i="5"/>
  <c r="BB404" i="5"/>
  <c r="BB440" i="5"/>
  <c r="BB466" i="5"/>
  <c r="BB464" i="5"/>
  <c r="BB477" i="5"/>
  <c r="BB510" i="5"/>
  <c r="BB485" i="5"/>
  <c r="BB493" i="5"/>
  <c r="BB547" i="5"/>
  <c r="BB627" i="5"/>
  <c r="BB604" i="5"/>
  <c r="BB553" i="5"/>
  <c r="BB568" i="5"/>
  <c r="BB573" i="5"/>
  <c r="BB606" i="5"/>
  <c r="BB571" i="5"/>
  <c r="BB589" i="5"/>
  <c r="BB683" i="5"/>
  <c r="BB695" i="5"/>
  <c r="BB673" i="5"/>
  <c r="BB646" i="5"/>
  <c r="BB699" i="5"/>
  <c r="BB698" i="5"/>
  <c r="BB731" i="5"/>
  <c r="BB749" i="5"/>
  <c r="BB793" i="5"/>
  <c r="BB823" i="5"/>
  <c r="BB856" i="5"/>
  <c r="BB755" i="5"/>
  <c r="BB756" i="5"/>
  <c r="BB715" i="5"/>
  <c r="BB840" i="5"/>
  <c r="BB857" i="5"/>
  <c r="BB842" i="5"/>
  <c r="BB830" i="5"/>
  <c r="BB798" i="5"/>
  <c r="BB1016" i="5"/>
  <c r="BB859" i="5"/>
  <c r="BB896" i="5"/>
  <c r="BB985" i="5"/>
  <c r="BB915" i="5"/>
  <c r="BB1026" i="5"/>
  <c r="BB873" i="5"/>
  <c r="BB1011" i="5"/>
  <c r="BB952" i="5"/>
  <c r="BB903" i="5"/>
  <c r="BB924" i="5"/>
  <c r="BB902" i="5"/>
  <c r="BB1021" i="5"/>
  <c r="BB992" i="5"/>
  <c r="BB975" i="5"/>
  <c r="BB1036" i="5"/>
  <c r="BB1043" i="5"/>
  <c r="BB1066" i="5"/>
  <c r="BB1073" i="5"/>
  <c r="BB1085" i="5"/>
  <c r="BB1099" i="5"/>
  <c r="BB1109" i="5"/>
  <c r="BB1120" i="5"/>
  <c r="BB1134" i="5"/>
  <c r="BB1144" i="5"/>
  <c r="BB1159" i="5"/>
  <c r="BB1177" i="5"/>
  <c r="BB1185" i="5"/>
  <c r="BB1192" i="5"/>
  <c r="BB1205" i="5"/>
  <c r="BB1215" i="5"/>
  <c r="BB1223" i="5"/>
  <c r="BA664" i="5"/>
  <c r="BA1339" i="5"/>
  <c r="BA1326" i="5"/>
  <c r="BA1239" i="5"/>
  <c r="BA1220" i="5"/>
  <c r="BA1212" i="5"/>
  <c r="BA1200" i="5"/>
  <c r="BA1177" i="5"/>
  <c r="BA1159" i="5"/>
  <c r="BA1120" i="5"/>
  <c r="BA1036" i="5"/>
  <c r="BA998" i="5"/>
  <c r="BA877" i="5"/>
  <c r="BA897" i="5"/>
  <c r="BA708" i="5"/>
  <c r="BA747" i="5"/>
  <c r="BA751" i="5"/>
  <c r="BA810" i="5"/>
  <c r="BA699" i="5"/>
  <c r="BA695" i="5"/>
  <c r="BA553" i="5"/>
  <c r="BA554" i="5"/>
  <c r="BA578" i="5"/>
  <c r="BA561" i="5"/>
  <c r="BA502" i="5"/>
  <c r="BA463" i="5"/>
  <c r="BA471" i="5"/>
  <c r="BA324" i="5"/>
  <c r="BA291" i="5"/>
  <c r="BA265" i="5"/>
  <c r="BA232" i="5"/>
  <c r="BA186" i="5"/>
  <c r="BA187" i="5"/>
  <c r="BA133" i="5"/>
  <c r="BA166" i="5"/>
  <c r="BA108" i="5"/>
  <c r="BC108" i="5" s="1"/>
  <c r="BD108" i="5" s="1"/>
  <c r="BA112" i="5"/>
  <c r="BA94" i="5"/>
  <c r="BA48" i="5"/>
  <c r="BA1066" i="5"/>
  <c r="BB27" i="5"/>
  <c r="BB116" i="5"/>
  <c r="BB225" i="5"/>
  <c r="BB1240" i="5"/>
  <c r="BB1250" i="5"/>
  <c r="BA1393" i="5"/>
  <c r="BA1385" i="5"/>
  <c r="BA1365" i="5"/>
  <c r="BA1338" i="5"/>
  <c r="BA1350" i="5"/>
  <c r="BA1320" i="5"/>
  <c r="BA1311" i="5"/>
  <c r="BA1292" i="5"/>
  <c r="BA1290" i="5"/>
  <c r="BA1288" i="5"/>
  <c r="BA1271" i="5"/>
  <c r="BA1257" i="5"/>
  <c r="BA1234" i="5"/>
  <c r="BA1211" i="5"/>
  <c r="BA1202" i="5"/>
  <c r="BA1190" i="5"/>
  <c r="BA1165" i="5"/>
  <c r="BA1171" i="5"/>
  <c r="BA1163" i="5"/>
  <c r="BA1140" i="5"/>
  <c r="BA1118" i="5"/>
  <c r="BA1107" i="5"/>
  <c r="BA1093" i="5"/>
  <c r="BA1084" i="5"/>
  <c r="BA1069" i="5"/>
  <c r="BA1059" i="5"/>
  <c r="BA1048" i="5"/>
  <c r="BA997" i="5"/>
  <c r="BA907" i="5"/>
  <c r="BA910" i="5"/>
  <c r="BA985" i="5"/>
  <c r="BA892" i="5"/>
  <c r="BA898" i="5"/>
  <c r="BA942" i="5"/>
  <c r="BA719" i="5"/>
  <c r="BB6" i="5"/>
  <c r="BB93" i="5"/>
  <c r="BB136" i="5"/>
  <c r="BB114" i="5"/>
  <c r="BB122" i="5"/>
  <c r="BB228" i="5"/>
  <c r="BB266" i="5"/>
  <c r="BB253" i="5"/>
  <c r="BB246" i="5"/>
  <c r="BB1262" i="5"/>
  <c r="BB1274" i="5"/>
  <c r="BB1283" i="5"/>
  <c r="BB1307" i="5"/>
  <c r="BB1294" i="5"/>
  <c r="BB1329" i="5"/>
  <c r="BB1316" i="5"/>
  <c r="BB1347" i="5"/>
  <c r="BB1342" i="5"/>
  <c r="BB1368" i="5"/>
  <c r="BB1374" i="5"/>
  <c r="BB1375" i="5"/>
  <c r="BB1398" i="5"/>
  <c r="BA487" i="5"/>
  <c r="BA1404" i="5"/>
  <c r="BA1391" i="5"/>
  <c r="BA1383" i="5"/>
  <c r="BA1372" i="5"/>
  <c r="BA1355" i="5"/>
  <c r="BA1342" i="5"/>
  <c r="BA1315" i="5"/>
  <c r="BA1302" i="5"/>
  <c r="BA1280" i="5"/>
  <c r="BA1265" i="5"/>
  <c r="BA1263" i="5"/>
  <c r="BA1247" i="5"/>
  <c r="BA1235" i="5"/>
  <c r="BA1221" i="5"/>
  <c r="BA1214" i="5"/>
  <c r="BA1201" i="5"/>
  <c r="BA1192" i="5"/>
  <c r="BA1172" i="5"/>
  <c r="BA1161" i="5"/>
  <c r="BA1145" i="5"/>
  <c r="BA1136" i="5"/>
  <c r="BA1128" i="5"/>
  <c r="BA1119" i="5"/>
  <c r="BA1106" i="5"/>
  <c r="BA1095" i="5"/>
  <c r="BA1080" i="5"/>
  <c r="BA1072" i="5"/>
  <c r="BA1060" i="5"/>
  <c r="BA1044" i="5"/>
  <c r="BA1034" i="5"/>
  <c r="BA991" i="5"/>
  <c r="BA902" i="5"/>
  <c r="BA885" i="5"/>
  <c r="BA1017" i="5"/>
  <c r="BA879" i="5"/>
  <c r="BA964" i="5"/>
  <c r="BA945" i="5"/>
  <c r="BA1029" i="5"/>
  <c r="BA896" i="5"/>
  <c r="BA979" i="5"/>
  <c r="BA778" i="5"/>
  <c r="BA366" i="5"/>
  <c r="BA334" i="5"/>
  <c r="BA115" i="5"/>
  <c r="BB33" i="5"/>
  <c r="BB61" i="5"/>
  <c r="BB138" i="5"/>
  <c r="BB153" i="5"/>
  <c r="BB147" i="5"/>
  <c r="BB75" i="5"/>
  <c r="BB216" i="5"/>
  <c r="BB263" i="5"/>
  <c r="BB1299" i="5"/>
  <c r="BA1392" i="5"/>
  <c r="BA1377" i="5"/>
  <c r="BA1368" i="5"/>
  <c r="BA1332" i="5"/>
  <c r="BA1340" i="5"/>
  <c r="BA1343" i="5"/>
  <c r="BA1324" i="5"/>
  <c r="BA1312" i="5"/>
  <c r="BA1301" i="5"/>
  <c r="BA1254" i="5"/>
  <c r="BA1244" i="5"/>
  <c r="BA1236" i="5"/>
  <c r="BA1223" i="5"/>
  <c r="BA1210" i="5"/>
  <c r="BA1199" i="5"/>
  <c r="BA1188" i="5"/>
  <c r="BA1179" i="5"/>
  <c r="BA1160" i="5"/>
  <c r="BA1147" i="5"/>
  <c r="BA1141" i="5"/>
  <c r="BA1129" i="5"/>
  <c r="BA1116" i="5"/>
  <c r="BA1105" i="5"/>
  <c r="BA1094" i="5"/>
  <c r="BA1082" i="5"/>
  <c r="BA1073" i="5"/>
  <c r="BA1055" i="5"/>
  <c r="BA1046" i="5"/>
  <c r="BA1033" i="5"/>
  <c r="BA990" i="5"/>
  <c r="BA906" i="5"/>
  <c r="BA899" i="5"/>
  <c r="BA982" i="5"/>
  <c r="BA969" i="5"/>
  <c r="BA1019" i="5"/>
  <c r="BA947" i="5"/>
  <c r="BA1015" i="5"/>
  <c r="BA882" i="5"/>
  <c r="BA1002" i="5"/>
  <c r="BA926" i="5"/>
  <c r="BA922" i="5"/>
  <c r="BA1008" i="5"/>
  <c r="BA934" i="5"/>
  <c r="BA792" i="5"/>
  <c r="BA794" i="5"/>
  <c r="BA731" i="5"/>
  <c r="BA713" i="5"/>
  <c r="BA771" i="5"/>
  <c r="BA775" i="5"/>
  <c r="BA796" i="5"/>
  <c r="BA807" i="5"/>
  <c r="BA730" i="5"/>
  <c r="BA853" i="5"/>
  <c r="BA744" i="5"/>
  <c r="BA802" i="5"/>
  <c r="BA692" i="5"/>
  <c r="BA687" i="5"/>
  <c r="BA641" i="5"/>
  <c r="BA697" i="5"/>
  <c r="BA671" i="5"/>
  <c r="BA670" i="5"/>
  <c r="BA628" i="5"/>
  <c r="BA518" i="5"/>
  <c r="BA552" i="5"/>
  <c r="BA595" i="5"/>
  <c r="BA550" i="5"/>
  <c r="BA540" i="5"/>
  <c r="BA583" i="5"/>
  <c r="BA568" i="5"/>
  <c r="BA614" i="5"/>
  <c r="BA624" i="5"/>
  <c r="BA481" i="5"/>
  <c r="BA497" i="5"/>
  <c r="BA496" i="5"/>
  <c r="BA473" i="5"/>
  <c r="BA438" i="5"/>
  <c r="BA437" i="5"/>
  <c r="BA446" i="5"/>
  <c r="BA406" i="5"/>
  <c r="BA430" i="5"/>
  <c r="BB3" i="5"/>
  <c r="BB88" i="5"/>
  <c r="BB64" i="5"/>
  <c r="BB140" i="5"/>
  <c r="BB134" i="5"/>
  <c r="BB231" i="5"/>
  <c r="BB212" i="5"/>
  <c r="BB215" i="5"/>
  <c r="BB264" i="5"/>
  <c r="BB256" i="5"/>
  <c r="BB282" i="5"/>
  <c r="BB287" i="5"/>
  <c r="BB317" i="5"/>
  <c r="BB291" i="5"/>
  <c r="BB324" i="5"/>
  <c r="BB340" i="5"/>
  <c r="BB342" i="5"/>
  <c r="BB361" i="5"/>
  <c r="BB353" i="5"/>
  <c r="BB380" i="5"/>
  <c r="BB394" i="5"/>
  <c r="BB423" i="5"/>
  <c r="BB412" i="5"/>
  <c r="BB403" i="5"/>
  <c r="BB436" i="5"/>
  <c r="BB454" i="5"/>
  <c r="BB441" i="5"/>
  <c r="BB503" i="5"/>
  <c r="BB502" i="5"/>
  <c r="BB509" i="5"/>
  <c r="BB583" i="5"/>
  <c r="BB624" i="5"/>
  <c r="BB555" i="5"/>
  <c r="BB600" i="5"/>
  <c r="BB524" i="5"/>
  <c r="BB591" i="5"/>
  <c r="BB533" i="5"/>
  <c r="BB541" i="5"/>
  <c r="BB617" i="5"/>
  <c r="BB561" i="5"/>
  <c r="BB689" i="5"/>
  <c r="BB688" i="5"/>
  <c r="BB660" i="5"/>
  <c r="BB664" i="5"/>
  <c r="BB638" i="5"/>
  <c r="BB629" i="5"/>
  <c r="BB708" i="5"/>
  <c r="BB821" i="5"/>
  <c r="BB702" i="5"/>
  <c r="BB713" i="5"/>
  <c r="BB787" i="5"/>
  <c r="BB768" i="5"/>
  <c r="BB817" i="5"/>
  <c r="BB802" i="5"/>
  <c r="BB746" i="5"/>
  <c r="BB838" i="5"/>
  <c r="BB753" i="5"/>
  <c r="BB765" i="5"/>
  <c r="BB852" i="5"/>
  <c r="BB973" i="5"/>
  <c r="BB888" i="5"/>
  <c r="BB1028" i="5"/>
  <c r="BB919" i="5"/>
  <c r="BB865" i="5"/>
  <c r="BB1015" i="5"/>
  <c r="BB980" i="5"/>
  <c r="BB926" i="5"/>
  <c r="BB947" i="5"/>
  <c r="BB931" i="5"/>
  <c r="BB1029" i="5"/>
  <c r="BB1000" i="5"/>
  <c r="BB949" i="5"/>
  <c r="BB993" i="5"/>
  <c r="BB1032" i="5"/>
  <c r="BB1051" i="5"/>
  <c r="BB1055" i="5"/>
  <c r="BB1067" i="5"/>
  <c r="BB1081" i="5"/>
  <c r="BB1084" i="5"/>
  <c r="BB1102" i="5"/>
  <c r="BB1115" i="5"/>
  <c r="BB1127" i="5"/>
  <c r="BB1141" i="5"/>
  <c r="BB1142" i="5"/>
  <c r="BB1151" i="5"/>
  <c r="BB1174" i="5"/>
  <c r="BB1180" i="5"/>
  <c r="BB1196" i="5"/>
  <c r="BB1211" i="5"/>
  <c r="BB1219" i="5"/>
  <c r="BB1232" i="5"/>
  <c r="BB1255" i="5"/>
  <c r="BB1271" i="5"/>
  <c r="BB1276" i="5"/>
  <c r="BB1282" i="5"/>
  <c r="BB1298" i="5"/>
  <c r="BB1312" i="5"/>
  <c r="BB1327" i="5"/>
  <c r="BB1331" i="5"/>
  <c r="BB1360" i="5"/>
  <c r="BB1354" i="5"/>
  <c r="BB1367" i="5"/>
  <c r="BB1379" i="5"/>
  <c r="BB1388" i="5"/>
  <c r="BB1403" i="5"/>
  <c r="BA1402" i="5"/>
  <c r="BA1359" i="5"/>
  <c r="BA1305" i="5"/>
  <c r="BA1291" i="5"/>
  <c r="BA1219" i="5"/>
  <c r="BA1154" i="5"/>
  <c r="BA1115" i="5"/>
  <c r="BA1032" i="5"/>
  <c r="BA948" i="5"/>
  <c r="BA1014" i="5"/>
  <c r="BA953" i="5"/>
  <c r="BB2" i="5"/>
  <c r="BB50" i="5"/>
  <c r="BB41" i="5"/>
  <c r="BB77" i="5"/>
  <c r="BB135" i="5"/>
  <c r="BB164" i="5"/>
  <c r="BB94" i="5"/>
  <c r="BB181" i="5"/>
  <c r="BB229" i="5"/>
  <c r="BB265" i="5"/>
  <c r="BB248" i="5"/>
  <c r="BB270" i="5"/>
  <c r="BB272" i="5"/>
  <c r="BB299" i="5"/>
  <c r="BB290" i="5"/>
  <c r="BB314" i="5"/>
  <c r="BB328" i="5"/>
  <c r="BB352" i="5"/>
  <c r="BB335" i="5"/>
  <c r="BB376" i="5"/>
  <c r="BB356" i="5"/>
  <c r="BB387" i="5"/>
  <c r="BB388" i="5"/>
  <c r="BB416" i="5"/>
  <c r="BB433" i="5"/>
  <c r="BB409" i="5"/>
  <c r="BB437" i="5"/>
  <c r="BB462" i="5"/>
  <c r="BB445" i="5"/>
  <c r="BB504" i="5"/>
  <c r="BB501" i="5"/>
  <c r="BB513" i="5"/>
  <c r="BB626" i="5"/>
  <c r="BB601" i="5"/>
  <c r="BB585" i="5"/>
  <c r="BB605" i="5"/>
  <c r="BB574" i="5"/>
  <c r="BB554" i="5"/>
  <c r="BB536" i="5"/>
  <c r="BB580" i="5"/>
  <c r="BB620" i="5"/>
  <c r="BB527" i="5"/>
  <c r="BB644" i="5"/>
  <c r="BB693" i="5"/>
  <c r="BB667" i="5"/>
  <c r="BB685" i="5"/>
  <c r="BB631" i="5"/>
  <c r="BB637" i="5"/>
  <c r="BB743" i="5"/>
  <c r="BB728" i="5"/>
  <c r="BB775" i="5"/>
  <c r="BB791" i="5"/>
  <c r="BB804" i="5"/>
  <c r="BB717" i="5"/>
  <c r="BB786" i="5"/>
  <c r="BB827" i="5"/>
  <c r="BB750" i="5"/>
  <c r="BB829" i="5"/>
  <c r="BB769" i="5"/>
  <c r="BB726" i="5"/>
  <c r="BB854" i="5"/>
  <c r="BB939" i="5"/>
  <c r="BB885" i="5"/>
  <c r="BB956" i="5"/>
  <c r="BB962" i="5"/>
  <c r="BB892" i="5"/>
  <c r="BB984" i="5"/>
  <c r="BB861" i="5"/>
  <c r="BB969" i="5"/>
  <c r="BB905" i="5"/>
  <c r="BB871" i="5"/>
  <c r="BB1027" i="5"/>
  <c r="BB1002" i="5"/>
  <c r="BB923" i="5"/>
  <c r="BB981" i="5"/>
  <c r="BB1052" i="5"/>
  <c r="BB1053" i="5"/>
  <c r="BB1068" i="5"/>
  <c r="BB1079" i="5"/>
  <c r="BB1091" i="5"/>
  <c r="BB1103" i="5"/>
  <c r="BB1114" i="5"/>
  <c r="BB1125" i="5"/>
  <c r="BB1137" i="5"/>
  <c r="BB1157" i="5"/>
  <c r="BB1148" i="5"/>
  <c r="BB1176" i="5"/>
  <c r="BB1182" i="5"/>
  <c r="BB1200" i="5"/>
  <c r="BB1212" i="5"/>
  <c r="BB1225" i="5"/>
  <c r="BB1231" i="5"/>
  <c r="BB1256" i="5"/>
  <c r="BB1254" i="5"/>
  <c r="BB1278" i="5"/>
  <c r="BB1284" i="5"/>
  <c r="BB1292" i="5"/>
  <c r="BB1315" i="5"/>
  <c r="BB1319" i="5"/>
  <c r="BB1357" i="5"/>
  <c r="BB1339" i="5"/>
  <c r="BB1355" i="5"/>
  <c r="BB1362" i="5"/>
  <c r="BB1386" i="5"/>
  <c r="BB1389" i="5"/>
  <c r="BB1401" i="5"/>
  <c r="BA890" i="5"/>
  <c r="BB59" i="5"/>
  <c r="BB42" i="5"/>
  <c r="BB30" i="5"/>
  <c r="BB167" i="5"/>
  <c r="BB237" i="5"/>
  <c r="BB219" i="5"/>
  <c r="BB205" i="5"/>
  <c r="BB747" i="5"/>
  <c r="BB1233" i="5"/>
  <c r="BB1253" i="5"/>
  <c r="BB1267" i="5"/>
  <c r="BB1277" i="5"/>
  <c r="BB1286" i="5"/>
  <c r="BB1293" i="5"/>
  <c r="BB1313" i="5"/>
  <c r="BB1320" i="5"/>
  <c r="BB1352" i="5"/>
  <c r="BB1345" i="5"/>
  <c r="BB1349" i="5"/>
  <c r="BB1369" i="5"/>
  <c r="BB1385" i="5"/>
  <c r="BB1390" i="5"/>
  <c r="BB1400" i="5"/>
  <c r="BA100" i="5"/>
  <c r="BA1396" i="5"/>
  <c r="BA1378" i="5"/>
  <c r="BA1371" i="5"/>
  <c r="BA1361" i="5"/>
  <c r="BA1337" i="5"/>
  <c r="BA1335" i="5"/>
  <c r="BA1329" i="5"/>
  <c r="BA1328" i="5"/>
  <c r="BA1303" i="5"/>
  <c r="BA1299" i="5"/>
  <c r="BA1281" i="5"/>
  <c r="BA1259" i="5"/>
  <c r="BA1262" i="5"/>
  <c r="BA1248" i="5"/>
  <c r="BA1237" i="5"/>
  <c r="BA1227" i="5"/>
  <c r="BA1215" i="5"/>
  <c r="BA1204" i="5"/>
  <c r="BA1193" i="5"/>
  <c r="BA1182" i="5"/>
  <c r="BA1175" i="5"/>
  <c r="BA1151" i="5"/>
  <c r="BA1149" i="5"/>
  <c r="BA1134" i="5"/>
  <c r="BA1121" i="5"/>
  <c r="BA1111" i="5"/>
  <c r="BA1099" i="5"/>
  <c r="BA1088" i="5"/>
  <c r="BA1074" i="5"/>
  <c r="BA1062" i="5"/>
  <c r="BA1052" i="5"/>
  <c r="BA1038" i="5"/>
  <c r="BA1021" i="5"/>
  <c r="BA988" i="5"/>
  <c r="BA866" i="5"/>
  <c r="BA1018" i="5"/>
  <c r="BA894" i="5"/>
  <c r="BC894" i="5" s="1"/>
  <c r="BD894" i="5" s="1"/>
  <c r="BA938" i="5"/>
  <c r="BA1030" i="5"/>
  <c r="BA944" i="5"/>
  <c r="BA827" i="5"/>
  <c r="BA738" i="5"/>
  <c r="BA643" i="5"/>
  <c r="BA645" i="5"/>
  <c r="BA567" i="5"/>
  <c r="BA566" i="5"/>
  <c r="BA413" i="5"/>
  <c r="BA377" i="5"/>
  <c r="BA220" i="5"/>
  <c r="BA142" i="5"/>
  <c r="BA89" i="5"/>
  <c r="BA1395" i="5"/>
  <c r="BA1376" i="5"/>
  <c r="BA1364" i="5"/>
  <c r="BA1351" i="5"/>
  <c r="BA1346" i="5"/>
  <c r="BA1352" i="5"/>
  <c r="BA1322" i="5"/>
  <c r="BA1307" i="5"/>
  <c r="BA1309" i="5"/>
  <c r="BA1313" i="5"/>
  <c r="BA1284" i="5"/>
  <c r="BA1266" i="5"/>
  <c r="BA1255" i="5"/>
  <c r="BA1249" i="5"/>
  <c r="BA1238" i="5"/>
  <c r="BA1226" i="5"/>
  <c r="BA1203" i="5"/>
  <c r="BA1187" i="5"/>
  <c r="BA1178" i="5"/>
  <c r="BA1176" i="5"/>
  <c r="BA1142" i="5"/>
  <c r="BA1143" i="5"/>
  <c r="BA1131" i="5"/>
  <c r="BA1122" i="5"/>
  <c r="BA1110" i="5"/>
  <c r="BA1097" i="5"/>
  <c r="BA1085" i="5"/>
  <c r="BA1070" i="5"/>
  <c r="BA1061" i="5"/>
  <c r="BA1047" i="5"/>
  <c r="BA1037" i="5"/>
  <c r="BA983" i="5"/>
  <c r="BA900" i="5"/>
  <c r="BA862" i="5"/>
  <c r="BA1010" i="5"/>
  <c r="BA970" i="5"/>
  <c r="BA876" i="5"/>
  <c r="BA1020" i="5"/>
  <c r="BA973" i="5"/>
  <c r="BA875" i="5"/>
  <c r="BA1004" i="5"/>
  <c r="BA634" i="5"/>
  <c r="BA560" i="5"/>
  <c r="BC560" i="5" s="1"/>
  <c r="BD560" i="5" s="1"/>
  <c r="BA513" i="5"/>
  <c r="BA376" i="5"/>
  <c r="BA253" i="5"/>
  <c r="BA217" i="5"/>
  <c r="BA66" i="5"/>
  <c r="BA981" i="5"/>
  <c r="BA946" i="5"/>
  <c r="BA878" i="5"/>
  <c r="BA1003" i="5"/>
  <c r="BA960" i="5"/>
  <c r="BA915" i="5"/>
  <c r="BA935" i="5"/>
  <c r="BA832" i="5"/>
  <c r="BA779" i="5"/>
  <c r="BA705" i="5"/>
  <c r="BA815" i="5"/>
  <c r="BA762" i="5"/>
  <c r="BC762" i="5" s="1"/>
  <c r="BD762" i="5" s="1"/>
  <c r="BA760" i="5"/>
  <c r="BA776" i="5"/>
  <c r="BA813" i="5"/>
  <c r="BA756" i="5"/>
  <c r="BA818" i="5"/>
  <c r="BA735" i="5"/>
  <c r="BA757" i="5"/>
  <c r="BA739" i="5"/>
  <c r="BA688" i="5"/>
  <c r="BA689" i="5"/>
  <c r="BA662" i="5"/>
  <c r="BA700" i="5"/>
  <c r="BC700" i="5" s="1"/>
  <c r="BD700" i="5" s="1"/>
  <c r="BA675" i="5"/>
  <c r="BA630" i="5"/>
  <c r="BA542" i="5"/>
  <c r="BA521" i="5"/>
  <c r="BA597" i="5"/>
  <c r="BA604" i="5"/>
  <c r="BA531" i="5"/>
  <c r="BA610" i="5"/>
  <c r="BA535" i="5"/>
  <c r="BA559" i="5"/>
  <c r="BA603" i="5"/>
  <c r="BA495" i="5"/>
  <c r="BA494" i="5"/>
  <c r="BA490" i="5"/>
  <c r="BA466" i="5"/>
  <c r="BA460" i="5"/>
  <c r="BA452" i="5"/>
  <c r="BA468" i="5"/>
  <c r="BA420" i="5"/>
  <c r="BC420" i="5" s="1"/>
  <c r="BD420" i="5" s="1"/>
  <c r="BA409" i="5"/>
  <c r="BA410" i="5"/>
  <c r="BA399" i="5"/>
  <c r="BA380" i="5"/>
  <c r="BA364" i="5"/>
  <c r="BA373" i="5"/>
  <c r="BA346" i="5"/>
  <c r="BA328" i="5"/>
  <c r="BA300" i="5"/>
  <c r="BA310" i="5"/>
  <c r="BA299" i="5"/>
  <c r="BA289" i="5"/>
  <c r="BA280" i="5"/>
  <c r="BA245" i="5"/>
  <c r="BA259" i="5"/>
  <c r="BA225" i="5"/>
  <c r="BA184" i="5"/>
  <c r="BA207" i="5"/>
  <c r="BA229" i="5"/>
  <c r="BA188" i="5"/>
  <c r="BA178" i="5"/>
  <c r="BA122" i="5"/>
  <c r="BA150" i="5"/>
  <c r="BA61" i="5"/>
  <c r="BA146" i="5"/>
  <c r="BA119" i="5"/>
  <c r="BA114" i="5"/>
  <c r="BA87" i="5"/>
  <c r="BA92" i="5"/>
  <c r="BA167" i="5"/>
  <c r="BA17" i="5"/>
  <c r="BA54" i="5"/>
  <c r="BA20" i="5"/>
  <c r="BA9" i="5"/>
  <c r="BA43" i="5"/>
  <c r="BA927" i="5"/>
  <c r="BA872" i="5"/>
  <c r="BA1001" i="5"/>
  <c r="BA870" i="5"/>
  <c r="BA798" i="5"/>
  <c r="BA704" i="5"/>
  <c r="BA826" i="5"/>
  <c r="BA728" i="5"/>
  <c r="BA736" i="5"/>
  <c r="BA722" i="5"/>
  <c r="BA806" i="5"/>
  <c r="BA819" i="5"/>
  <c r="BA764" i="5"/>
  <c r="BA855" i="5"/>
  <c r="BA767" i="5"/>
  <c r="BA804" i="5"/>
  <c r="BA694" i="5"/>
  <c r="BA690" i="5"/>
  <c r="BA673" i="5"/>
  <c r="BA661" i="5"/>
  <c r="BA676" i="5"/>
  <c r="BA667" i="5"/>
  <c r="BA627" i="5"/>
  <c r="BA517" i="5"/>
  <c r="BA572" i="5"/>
  <c r="BA596" i="5"/>
  <c r="BA545" i="5"/>
  <c r="BA586" i="5"/>
  <c r="BA574" i="5"/>
  <c r="BA569" i="5"/>
  <c r="BA621" i="5"/>
  <c r="BA549" i="5"/>
  <c r="BA505" i="5"/>
  <c r="BA480" i="5"/>
  <c r="BA498" i="5"/>
  <c r="BA465" i="5"/>
  <c r="BA459" i="5"/>
  <c r="BA456" i="5"/>
  <c r="BC456" i="5" s="1"/>
  <c r="BD456" i="5" s="1"/>
  <c r="BA447" i="5"/>
  <c r="BA421" i="5"/>
  <c r="BC421" i="5" s="1"/>
  <c r="BD421" i="5" s="1"/>
  <c r="BA408" i="5"/>
  <c r="BA401" i="5"/>
  <c r="BA385" i="5"/>
  <c r="BA362" i="5"/>
  <c r="BA355" i="5"/>
  <c r="BA325" i="5"/>
  <c r="BA320" i="5"/>
  <c r="BA313" i="5"/>
  <c r="BA298" i="5"/>
  <c r="BA269" i="5"/>
  <c r="BA275" i="5"/>
  <c r="BA251" i="5"/>
  <c r="BA240" i="5"/>
  <c r="BA230" i="5"/>
  <c r="BA237" i="5"/>
  <c r="BA185" i="5"/>
  <c r="BA215" i="5"/>
  <c r="BA224" i="5"/>
  <c r="BA173" i="5"/>
  <c r="BA147" i="5"/>
  <c r="BA60" i="5"/>
  <c r="BA139" i="5"/>
  <c r="BA113" i="5"/>
  <c r="BA105" i="5"/>
  <c r="BA93" i="5"/>
  <c r="BA70" i="5"/>
  <c r="BA77" i="5"/>
  <c r="BA5" i="5"/>
  <c r="BA51" i="5"/>
  <c r="BA47" i="5"/>
  <c r="BA29" i="5"/>
  <c r="BA50" i="5"/>
  <c r="BA386" i="5"/>
  <c r="BA372" i="5"/>
  <c r="BA375" i="5"/>
  <c r="BA359" i="5"/>
  <c r="BA348" i="5"/>
  <c r="BC348" i="5" s="1"/>
  <c r="BD348" i="5" s="1"/>
  <c r="BA323" i="5"/>
  <c r="BA303" i="5"/>
  <c r="BC303" i="5" s="1"/>
  <c r="BD303" i="5" s="1"/>
  <c r="BA312" i="5"/>
  <c r="BA297" i="5"/>
  <c r="BA276" i="5"/>
  <c r="BA274" i="5"/>
  <c r="BA247" i="5"/>
  <c r="BA248" i="5"/>
  <c r="BA227" i="5"/>
  <c r="BA233" i="5"/>
  <c r="BA193" i="5"/>
  <c r="BA196" i="5"/>
  <c r="BA223" i="5"/>
  <c r="BA174" i="5"/>
  <c r="BA103" i="5"/>
  <c r="BA137" i="5"/>
  <c r="BA159" i="5"/>
  <c r="BA1390" i="5"/>
  <c r="BA1381" i="5"/>
  <c r="BA1363" i="5"/>
  <c r="BA1360" i="5"/>
  <c r="BA1317" i="5"/>
  <c r="BA1289" i="5"/>
  <c r="BA1277" i="5"/>
  <c r="BA1274" i="5"/>
  <c r="BA1256" i="5"/>
  <c r="BA1245" i="5"/>
  <c r="BA1233" i="5"/>
  <c r="BA1209" i="5"/>
  <c r="BA1197" i="5"/>
  <c r="BA1184" i="5"/>
  <c r="BA1173" i="5"/>
  <c r="BA1157" i="5"/>
  <c r="BA1139" i="5"/>
  <c r="BA1104" i="5"/>
  <c r="BA1092" i="5"/>
  <c r="BA1076" i="5"/>
  <c r="BA1067" i="5"/>
  <c r="BA1056" i="5"/>
  <c r="BA1043" i="5"/>
  <c r="BA992" i="5"/>
  <c r="BA867" i="5"/>
  <c r="BA904" i="5"/>
  <c r="BA1016" i="5"/>
  <c r="BA873" i="5"/>
  <c r="BA976" i="5"/>
  <c r="BA888" i="5"/>
  <c r="BA931" i="5"/>
  <c r="BA919" i="5"/>
  <c r="BA1000" i="5"/>
  <c r="BA913" i="5"/>
  <c r="BA702" i="5"/>
  <c r="BA793" i="5"/>
  <c r="BA706" i="5"/>
  <c r="BC706" i="5" s="1"/>
  <c r="BD706" i="5" s="1"/>
  <c r="BA789" i="5"/>
  <c r="BA720" i="5"/>
  <c r="BA770" i="5"/>
  <c r="BA715" i="5"/>
  <c r="BA741" i="5"/>
  <c r="BA811" i="5"/>
  <c r="BA763" i="5"/>
  <c r="BA852" i="5"/>
  <c r="BA703" i="5"/>
  <c r="BA801" i="5"/>
  <c r="BA691" i="5"/>
  <c r="BA632" i="5"/>
  <c r="BA639" i="5"/>
  <c r="BA696" i="5"/>
  <c r="BA668" i="5"/>
  <c r="BA674" i="5"/>
  <c r="BA551" i="5"/>
  <c r="BA623" i="5"/>
  <c r="BA571" i="5"/>
  <c r="BA594" i="5"/>
  <c r="BA520" i="5"/>
  <c r="BA587" i="5"/>
  <c r="BA528" i="5"/>
  <c r="BA534" i="5"/>
  <c r="BA606" i="5"/>
  <c r="BA616" i="5"/>
  <c r="BC616" i="5" s="1"/>
  <c r="BD616" i="5" s="1"/>
  <c r="BA515" i="5"/>
  <c r="BA484" i="5"/>
  <c r="BA511" i="5"/>
  <c r="BA462" i="5"/>
  <c r="BA1401" i="5"/>
  <c r="BA1389" i="5"/>
  <c r="BA1386" i="5"/>
  <c r="BA1370" i="5"/>
  <c r="BA1358" i="5"/>
  <c r="BA1336" i="5"/>
  <c r="BA1347" i="5"/>
  <c r="BA1321" i="5"/>
  <c r="BA1314" i="5"/>
  <c r="BA1298" i="5"/>
  <c r="BA1282" i="5"/>
  <c r="BA1278" i="5"/>
  <c r="BA1269" i="5"/>
  <c r="BA1261" i="5"/>
  <c r="BA1231" i="5"/>
  <c r="BA1222" i="5"/>
  <c r="BA1213" i="5"/>
  <c r="BA1198" i="5"/>
  <c r="BA1185" i="5"/>
  <c r="BA1174" i="5"/>
  <c r="BA1146" i="5"/>
  <c r="BA1158" i="5"/>
  <c r="BA1138" i="5"/>
  <c r="BA1127" i="5"/>
  <c r="BA1117" i="5"/>
  <c r="BA1103" i="5"/>
  <c r="BA1091" i="5"/>
  <c r="BA1081" i="5"/>
  <c r="BA1068" i="5"/>
  <c r="BA1058" i="5"/>
  <c r="BA1045" i="5"/>
  <c r="BA996" i="5"/>
  <c r="BA901" i="5"/>
  <c r="BA903" i="5"/>
  <c r="BA987" i="5"/>
  <c r="BA968" i="5"/>
  <c r="BA884" i="5"/>
  <c r="BA977" i="5"/>
  <c r="BA936" i="5"/>
  <c r="BA930" i="5"/>
  <c r="BA952" i="5"/>
  <c r="BA921" i="5"/>
  <c r="BA917" i="5"/>
  <c r="BA869" i="5"/>
  <c r="BA843" i="5"/>
  <c r="BA799" i="5"/>
  <c r="BA848" i="5"/>
  <c r="BA785" i="5"/>
  <c r="BA712" i="5"/>
  <c r="BA717" i="5"/>
  <c r="BA716" i="5"/>
  <c r="BA759" i="5"/>
  <c r="BA766" i="5"/>
  <c r="BA727" i="5"/>
  <c r="BA816" i="5"/>
  <c r="BA701" i="5"/>
  <c r="BA803" i="5"/>
  <c r="BA636" i="5"/>
  <c r="BA655" i="5"/>
  <c r="BA672" i="5"/>
  <c r="BA651" i="5"/>
  <c r="BA681" i="5"/>
  <c r="BA669" i="5"/>
  <c r="BA519" i="5"/>
  <c r="BA611" i="5"/>
  <c r="BA570" i="5"/>
  <c r="BA593" i="5"/>
  <c r="BA543" i="5"/>
  <c r="BA536" i="5"/>
  <c r="BA585" i="5"/>
  <c r="BA581" i="5"/>
  <c r="BA524" i="5"/>
  <c r="BA615" i="5"/>
  <c r="BA503" i="5"/>
  <c r="BA1400" i="5"/>
  <c r="BA1388" i="5"/>
  <c r="BA1380" i="5"/>
  <c r="BA1369" i="5"/>
  <c r="BA1027" i="5"/>
  <c r="BA941" i="5"/>
  <c r="BA1399" i="5"/>
  <c r="BA1387" i="5"/>
  <c r="BA1375" i="5"/>
  <c r="BA1362" i="5"/>
  <c r="BA1345" i="5"/>
  <c r="BA1327" i="5"/>
  <c r="BA1319" i="5"/>
  <c r="BA1295" i="5"/>
  <c r="BA1297" i="5"/>
  <c r="BA1273" i="5"/>
  <c r="BA1260" i="5"/>
  <c r="BA1230" i="5"/>
  <c r="BA1217" i="5"/>
  <c r="BA1207" i="5"/>
  <c r="BA1196" i="5"/>
  <c r="BA1180" i="5"/>
  <c r="BA1167" i="5"/>
  <c r="BA1155" i="5"/>
  <c r="BA1135" i="5"/>
  <c r="BA1125" i="5"/>
  <c r="BA1112" i="5"/>
  <c r="BA1087" i="5"/>
  <c r="BA1078" i="5"/>
  <c r="BA1041" i="5"/>
  <c r="BA868" i="5"/>
  <c r="BA995" i="5"/>
  <c r="BA865" i="5"/>
  <c r="BA860" i="5"/>
  <c r="BA971" i="5"/>
  <c r="BA959" i="5"/>
  <c r="BA975" i="5"/>
  <c r="BA962" i="5"/>
  <c r="BA1028" i="5"/>
  <c r="BA956" i="5"/>
  <c r="BA951" i="5"/>
  <c r="BA1011" i="5"/>
  <c r="BA1022" i="5"/>
  <c r="BC1022" i="5" s="1"/>
  <c r="BD1022" i="5" s="1"/>
  <c r="BA933" i="5"/>
  <c r="BA845" i="5"/>
  <c r="BA707" i="5"/>
  <c r="BA847" i="5"/>
  <c r="BA784" i="5"/>
  <c r="BA721" i="5"/>
  <c r="BA737" i="5"/>
  <c r="BA774" i="5"/>
  <c r="BA849" i="5"/>
  <c r="BA822" i="5"/>
  <c r="BA829" i="5"/>
  <c r="BA788" i="5"/>
  <c r="BA765" i="5"/>
  <c r="BA740" i="5"/>
  <c r="BA656" i="5"/>
  <c r="BA650" i="5"/>
  <c r="BA679" i="5"/>
  <c r="BA684" i="5"/>
  <c r="BA680" i="5"/>
  <c r="BA660" i="5"/>
  <c r="BA556" i="5"/>
  <c r="BA618" i="5"/>
  <c r="BA525" i="5"/>
  <c r="BA592" i="5"/>
  <c r="BA612" i="5"/>
  <c r="BA602" i="5"/>
  <c r="BA582" i="5"/>
  <c r="BA529" i="5"/>
  <c r="BA557" i="5"/>
  <c r="BA493" i="5"/>
  <c r="BA458" i="5"/>
  <c r="BA469" i="5"/>
  <c r="BA454" i="5"/>
  <c r="BA407" i="5"/>
  <c r="BA349" i="5"/>
  <c r="BA330" i="5"/>
  <c r="BA136" i="5"/>
  <c r="BA107" i="5"/>
  <c r="BA55" i="5"/>
  <c r="BA1397" i="5"/>
  <c r="BA1382" i="5"/>
  <c r="BA1373" i="5"/>
  <c r="BA1367" i="5"/>
  <c r="BA1356" i="5"/>
  <c r="BA1348" i="5"/>
  <c r="BA1325" i="5"/>
  <c r="BA1316" i="5"/>
  <c r="BA1296" i="5"/>
  <c r="BA1293" i="5"/>
  <c r="BA1285" i="5"/>
  <c r="BA1253" i="5"/>
  <c r="BA1252" i="5"/>
  <c r="BA1251" i="5"/>
  <c r="BA1241" i="5"/>
  <c r="BA1229" i="5"/>
  <c r="BA1218" i="5"/>
  <c r="BA1205" i="5"/>
  <c r="BA1189" i="5"/>
  <c r="BA1186" i="5"/>
  <c r="BA1169" i="5"/>
  <c r="BC1169" i="5" s="1"/>
  <c r="BD1169" i="5" s="1"/>
  <c r="BA1164" i="5"/>
  <c r="BA1152" i="5"/>
  <c r="BA1133" i="5"/>
  <c r="BA1124" i="5"/>
  <c r="BA1113" i="5"/>
  <c r="BA1098" i="5"/>
  <c r="BA1083" i="5"/>
  <c r="BA1079" i="5"/>
  <c r="BA1063" i="5"/>
  <c r="BA1054" i="5"/>
  <c r="BA1039" i="5"/>
  <c r="BA908" i="5"/>
  <c r="BA993" i="5"/>
  <c r="BA864" i="5"/>
  <c r="BA980" i="5"/>
  <c r="BA940" i="5"/>
  <c r="BA939" i="5"/>
  <c r="BA918" i="5"/>
  <c r="BA974" i="5"/>
  <c r="BA861" i="5"/>
  <c r="BA1023" i="5"/>
  <c r="BC1023" i="5" s="1"/>
  <c r="BD1023" i="5" s="1"/>
  <c r="BA929" i="5"/>
  <c r="BA924" i="5"/>
  <c r="BA920" i="5"/>
  <c r="BA999" i="5"/>
  <c r="BA932" i="5"/>
  <c r="BC932" i="5" s="1"/>
  <c r="BD932" i="5" s="1"/>
  <c r="BA795" i="5"/>
  <c r="BA718" i="5"/>
  <c r="BA844" i="5"/>
  <c r="BA824" i="5"/>
  <c r="BA726" i="5"/>
  <c r="BA857" i="5"/>
  <c r="BA856" i="5"/>
  <c r="BA830" i="5"/>
  <c r="BA752" i="5"/>
  <c r="BA839" i="5"/>
  <c r="BA809" i="5"/>
  <c r="BA769" i="5"/>
  <c r="BA755" i="5"/>
  <c r="BA642" i="5"/>
  <c r="BA649" i="5"/>
  <c r="BA678" i="5"/>
  <c r="BA683" i="5"/>
  <c r="BA682" i="5"/>
  <c r="BA647" i="5"/>
  <c r="BA613" i="5"/>
  <c r="BA609" i="5"/>
  <c r="BA584" i="5"/>
  <c r="BA591" i="5"/>
  <c r="BA626" i="5"/>
  <c r="BA579" i="5"/>
  <c r="BA533" i="5"/>
  <c r="BA544" i="5"/>
  <c r="BA558" i="5"/>
  <c r="BA477" i="5"/>
  <c r="BA504" i="5"/>
  <c r="BA501" i="5"/>
  <c r="BA488" i="5"/>
  <c r="BA457" i="5"/>
  <c r="BA467" i="5"/>
  <c r="BC467" i="5" s="1"/>
  <c r="BD467" i="5" s="1"/>
  <c r="BA405" i="5"/>
  <c r="BA419" i="5"/>
  <c r="BC419" i="5" s="1"/>
  <c r="BD419" i="5" s="1"/>
  <c r="BA416" i="5"/>
  <c r="BA382" i="5"/>
  <c r="BA395" i="5"/>
  <c r="BA353" i="5"/>
  <c r="BA371" i="5"/>
  <c r="BA335" i="5"/>
  <c r="BA339" i="5"/>
  <c r="BA332" i="5"/>
  <c r="BA286" i="5"/>
  <c r="BA317" i="5"/>
  <c r="BA295" i="5"/>
  <c r="BA272" i="5"/>
  <c r="BA260" i="5"/>
  <c r="BA266" i="5"/>
  <c r="BA244" i="5"/>
  <c r="BA208" i="5"/>
  <c r="BA216" i="5"/>
  <c r="BA200" i="5"/>
  <c r="BA210" i="5"/>
  <c r="BC210" i="5" s="1"/>
  <c r="BD210" i="5" s="1"/>
  <c r="BA183" i="5"/>
  <c r="BA62" i="5"/>
  <c r="BA109" i="5"/>
  <c r="BA64" i="5"/>
  <c r="BA157" i="5"/>
  <c r="BA116" i="5"/>
  <c r="BA148" i="5"/>
  <c r="BA95" i="5"/>
  <c r="BA126" i="5"/>
  <c r="BA135" i="5"/>
  <c r="BA67" i="5"/>
  <c r="BA16" i="5"/>
  <c r="BA24" i="5"/>
  <c r="BA52" i="5"/>
  <c r="BA1398" i="5"/>
  <c r="BA1379" i="5"/>
  <c r="BA1366" i="5"/>
  <c r="BA1357" i="5"/>
  <c r="BA1333" i="5"/>
  <c r="BA1344" i="5"/>
  <c r="BA1330" i="5"/>
  <c r="BA1318" i="5"/>
  <c r="BA1310" i="5"/>
  <c r="BA1308" i="5"/>
  <c r="BA1275" i="5"/>
  <c r="BA1270" i="5"/>
  <c r="BA1250" i="5"/>
  <c r="BA1240" i="5"/>
  <c r="BA1228" i="5"/>
  <c r="BA1216" i="5"/>
  <c r="BA1206" i="5"/>
  <c r="BA1191" i="5"/>
  <c r="BA1181" i="5"/>
  <c r="BA1170" i="5"/>
  <c r="BA1156" i="5"/>
  <c r="BA1153" i="5"/>
  <c r="BC1153" i="5" s="1"/>
  <c r="BD1153" i="5" s="1"/>
  <c r="BA1132" i="5"/>
  <c r="BA1123" i="5"/>
  <c r="BA1109" i="5"/>
  <c r="BA1101" i="5"/>
  <c r="BA1089" i="5"/>
  <c r="BA1075" i="5"/>
  <c r="BA1064" i="5"/>
  <c r="BA1051" i="5"/>
  <c r="BA1040" i="5"/>
  <c r="BA1024" i="5"/>
  <c r="BA978" i="5"/>
  <c r="BA863" i="5"/>
  <c r="BA984" i="5"/>
  <c r="BA893" i="5"/>
  <c r="BA891" i="5"/>
  <c r="BA958" i="5"/>
  <c r="BA883" i="5"/>
  <c r="BA1025" i="5"/>
  <c r="BA1005" i="5"/>
  <c r="BA928" i="5"/>
  <c r="BA950" i="5"/>
  <c r="BA871" i="5"/>
  <c r="BA1007" i="5"/>
  <c r="BA912" i="5"/>
  <c r="BA791" i="5"/>
  <c r="BA733" i="5"/>
  <c r="BA846" i="5"/>
  <c r="BA761" i="5"/>
  <c r="BA854" i="5"/>
  <c r="BA851" i="5"/>
  <c r="BA787" i="5"/>
  <c r="BA758" i="5"/>
  <c r="BA834" i="5"/>
  <c r="BA820" i="5"/>
  <c r="BA748" i="5"/>
  <c r="BA754" i="5"/>
  <c r="BA652" i="5"/>
  <c r="BA646" i="5"/>
  <c r="BA638" i="5"/>
  <c r="BA686" i="5"/>
  <c r="BA631" i="5"/>
  <c r="BA658" i="5"/>
  <c r="BA555" i="5"/>
  <c r="BA600" i="5"/>
  <c r="BA625" i="5"/>
  <c r="BA589" i="5"/>
  <c r="BA538" i="5"/>
  <c r="BA530" i="5"/>
  <c r="BA580" i="5"/>
  <c r="BA562" i="5"/>
  <c r="BA482" i="5"/>
  <c r="BA514" i="5"/>
  <c r="BA500" i="5"/>
  <c r="BA489" i="5"/>
  <c r="BA441" i="5"/>
  <c r="BA439" i="5"/>
  <c r="BA453" i="5"/>
  <c r="BA415" i="5"/>
  <c r="BA432" i="5"/>
  <c r="BA397" i="5"/>
  <c r="BC397" i="5" s="1"/>
  <c r="BD397" i="5" s="1"/>
  <c r="BA387" i="5"/>
  <c r="BA356" i="5"/>
  <c r="BA361" i="5"/>
  <c r="BA338" i="5"/>
  <c r="BA343" i="5"/>
  <c r="BA331" i="5"/>
  <c r="BA287" i="5"/>
  <c r="BA284" i="5"/>
  <c r="BA294" i="5"/>
  <c r="BC294" i="5" s="1"/>
  <c r="BD294" i="5" s="1"/>
  <c r="BA281" i="5"/>
  <c r="BA264" i="5"/>
  <c r="BA255" i="5"/>
  <c r="BA241" i="5"/>
  <c r="BA231" i="5"/>
  <c r="BA205" i="5"/>
  <c r="BA197" i="5"/>
  <c r="BA202" i="5"/>
  <c r="BA180" i="5"/>
  <c r="BA71" i="5"/>
  <c r="BA72" i="5"/>
  <c r="BA155" i="5"/>
  <c r="BA102" i="5"/>
  <c r="BA118" i="5"/>
  <c r="BA131" i="5"/>
  <c r="BA128" i="5"/>
  <c r="BA134" i="5"/>
  <c r="BA59" i="5"/>
  <c r="BA15" i="5"/>
  <c r="BA23" i="5"/>
  <c r="BA44" i="5"/>
  <c r="BA33" i="5"/>
  <c r="BA1334" i="5"/>
  <c r="BA1349" i="5"/>
  <c r="BA1331" i="5"/>
  <c r="BA1323" i="5"/>
  <c r="BA1306" i="5"/>
  <c r="BA1300" i="5"/>
  <c r="BA1287" i="5"/>
  <c r="BA1276" i="5"/>
  <c r="BA1264" i="5"/>
  <c r="BA1258" i="5"/>
  <c r="BA1243" i="5"/>
  <c r="BA1232" i="5"/>
  <c r="BA1224" i="5"/>
  <c r="BA1208" i="5"/>
  <c r="BA1195" i="5"/>
  <c r="BA1183" i="5"/>
  <c r="BA1168" i="5"/>
  <c r="BA1144" i="5"/>
  <c r="BA1150" i="5"/>
  <c r="BA1137" i="5"/>
  <c r="BA1126" i="5"/>
  <c r="BC1126" i="5" s="1"/>
  <c r="BD1126" i="5" s="1"/>
  <c r="BA1114" i="5"/>
  <c r="BA1102" i="5"/>
  <c r="BA1090" i="5"/>
  <c r="BA1077" i="5"/>
  <c r="BA1065" i="5"/>
  <c r="BA1053" i="5"/>
  <c r="BA1042" i="5"/>
  <c r="BA1031" i="5"/>
  <c r="BA994" i="5"/>
  <c r="BA905" i="5"/>
  <c r="BA909" i="5"/>
  <c r="BA889" i="5"/>
  <c r="BA967" i="5"/>
  <c r="BA895" i="5"/>
  <c r="BA881" i="5"/>
  <c r="BA963" i="5"/>
  <c r="BA957" i="5"/>
  <c r="BA925" i="5"/>
  <c r="BA937" i="5"/>
  <c r="BA859" i="5"/>
  <c r="BA842" i="5"/>
  <c r="BA734" i="5"/>
  <c r="BA850" i="5"/>
  <c r="BA825" i="5"/>
  <c r="BC825" i="5" s="1"/>
  <c r="BD825" i="5" s="1"/>
  <c r="BA772" i="5"/>
  <c r="BA753" i="5"/>
  <c r="BA724" i="5"/>
  <c r="BA750" i="5"/>
  <c r="BA749" i="5"/>
  <c r="BA838" i="5"/>
  <c r="BA814" i="5"/>
  <c r="BA742" i="5"/>
  <c r="BA790" i="5"/>
  <c r="BA654" i="5"/>
  <c r="BA635" i="5"/>
  <c r="BA640" i="5"/>
  <c r="BA685" i="5"/>
  <c r="BA663" i="5"/>
  <c r="BA698" i="5"/>
  <c r="BA598" i="5"/>
  <c r="BA617" i="5"/>
  <c r="BA565" i="5"/>
  <c r="BA541" i="5"/>
  <c r="BA516" i="5"/>
  <c r="BA575" i="5"/>
  <c r="BA608" i="5"/>
  <c r="BA564" i="5"/>
  <c r="BA563" i="5"/>
  <c r="BA607" i="5"/>
  <c r="BA510" i="5"/>
  <c r="BA508" i="5"/>
  <c r="BA478" i="5"/>
  <c r="BA442" i="5"/>
  <c r="BA451" i="5"/>
  <c r="BA455" i="5"/>
  <c r="BA427" i="5"/>
  <c r="BC427" i="5" s="1"/>
  <c r="BD427" i="5" s="1"/>
  <c r="BA435" i="5"/>
  <c r="BA417" i="5"/>
  <c r="BA400" i="5"/>
  <c r="BA391" i="5"/>
  <c r="BA354" i="5"/>
  <c r="BA358" i="5"/>
  <c r="BA351" i="5"/>
  <c r="BA344" i="5"/>
  <c r="BA329" i="5"/>
  <c r="BA285" i="5"/>
  <c r="BA314" i="5"/>
  <c r="BA318" i="5"/>
  <c r="BA282" i="5"/>
  <c r="BA263" i="5"/>
  <c r="BA256" i="5"/>
  <c r="BA257" i="5"/>
  <c r="BA228" i="5"/>
  <c r="BA235" i="5"/>
  <c r="BA199" i="5"/>
  <c r="BA226" i="5"/>
  <c r="BA176" i="5"/>
  <c r="BA175" i="5"/>
  <c r="BA161" i="5"/>
  <c r="BA121" i="5"/>
  <c r="BA164" i="5"/>
  <c r="BA120" i="5"/>
  <c r="BA163" i="5"/>
  <c r="BA149" i="5"/>
  <c r="BA138" i="5"/>
  <c r="BA86" i="5"/>
  <c r="BA83" i="5"/>
  <c r="BA12" i="5"/>
  <c r="BA25" i="5"/>
  <c r="BA429" i="5"/>
  <c r="BA414" i="5"/>
  <c r="BA393" i="5"/>
  <c r="BA396" i="5"/>
  <c r="BA363" i="5"/>
  <c r="BA370" i="5"/>
  <c r="BA342" i="5"/>
  <c r="BA290" i="5"/>
  <c r="BA308" i="5"/>
  <c r="BA271" i="5"/>
  <c r="BA262" i="5"/>
  <c r="BA246" i="5"/>
  <c r="BA254" i="5"/>
  <c r="BA209" i="5"/>
  <c r="BA206" i="5"/>
  <c r="BA201" i="5"/>
  <c r="BC201" i="5" s="1"/>
  <c r="BD201" i="5" s="1"/>
  <c r="BA214" i="5"/>
  <c r="BA182" i="5"/>
  <c r="BA140" i="5"/>
  <c r="BA74" i="5"/>
  <c r="BA160" i="5"/>
  <c r="BA153" i="5"/>
  <c r="BA79" i="5"/>
  <c r="BA129" i="5"/>
  <c r="BA90" i="5"/>
  <c r="BA82" i="5"/>
  <c r="BA30" i="5"/>
  <c r="BA40" i="5"/>
  <c r="BA19" i="5"/>
  <c r="BA880" i="5"/>
  <c r="BA989" i="5"/>
  <c r="BA955" i="5"/>
  <c r="BA923" i="5"/>
  <c r="BA1026" i="5"/>
  <c r="BA1006" i="5"/>
  <c r="BA911" i="5"/>
  <c r="BA797" i="5"/>
  <c r="BA732" i="5"/>
  <c r="BA841" i="5"/>
  <c r="BA782" i="5"/>
  <c r="BA710" i="5"/>
  <c r="BA828" i="5"/>
  <c r="BA836" i="5"/>
  <c r="BA768" i="5"/>
  <c r="BA808" i="5"/>
  <c r="BA709" i="5"/>
  <c r="BA743" i="5"/>
  <c r="BA637" i="5"/>
  <c r="BA693" i="5"/>
  <c r="BA666" i="5"/>
  <c r="BA657" i="5"/>
  <c r="BA547" i="5"/>
  <c r="BA599" i="5"/>
  <c r="BA619" i="5"/>
  <c r="BA527" i="5"/>
  <c r="BA576" i="5"/>
  <c r="BA523" i="5"/>
  <c r="BA483" i="5"/>
  <c r="BA506" i="5"/>
  <c r="BA512" i="5"/>
  <c r="BA485" i="5"/>
  <c r="BA461" i="5"/>
  <c r="BA450" i="5"/>
  <c r="BA448" i="5"/>
  <c r="BA424" i="5"/>
  <c r="BA404" i="5"/>
  <c r="BA388" i="5"/>
  <c r="BA381" i="5"/>
  <c r="BA360" i="5"/>
  <c r="BA347" i="5"/>
  <c r="BA345" i="5"/>
  <c r="BA307" i="5"/>
  <c r="BA316" i="5"/>
  <c r="BC316" i="5" s="1"/>
  <c r="BD316" i="5" s="1"/>
  <c r="BA293" i="5"/>
  <c r="BA270" i="5"/>
  <c r="BA258" i="5"/>
  <c r="BA252" i="5"/>
  <c r="BA238" i="5"/>
  <c r="BA222" i="5"/>
  <c r="BA195" i="5"/>
  <c r="BA191" i="5"/>
  <c r="BA179" i="5"/>
  <c r="BA158" i="5"/>
  <c r="BA98" i="5"/>
  <c r="BA69" i="5"/>
  <c r="BA156" i="5"/>
  <c r="BA110" i="5"/>
  <c r="BA99" i="5"/>
  <c r="BA123" i="5"/>
  <c r="BA53" i="5"/>
  <c r="BA4" i="5"/>
  <c r="BA22" i="5"/>
  <c r="BA35" i="5"/>
  <c r="BA36" i="5"/>
  <c r="BA961" i="5"/>
  <c r="BA949" i="5"/>
  <c r="BA874" i="5"/>
  <c r="BA914" i="5"/>
  <c r="BA777" i="5"/>
  <c r="BA725" i="5"/>
  <c r="BA840" i="5"/>
  <c r="BA783" i="5"/>
  <c r="BA711" i="5"/>
  <c r="BA780" i="5"/>
  <c r="BA835" i="5"/>
  <c r="BA773" i="5"/>
  <c r="BA817" i="5"/>
  <c r="BA821" i="5"/>
  <c r="BA745" i="5"/>
  <c r="BA746" i="5"/>
  <c r="BA837" i="5"/>
  <c r="BA633" i="5"/>
  <c r="BA644" i="5"/>
  <c r="BA659" i="5"/>
  <c r="BA629" i="5"/>
  <c r="BA522" i="5"/>
  <c r="BA573" i="5"/>
  <c r="BA620" i="5"/>
  <c r="BA605" i="5"/>
  <c r="BA601" i="5"/>
  <c r="BA546" i="5"/>
  <c r="BC546" i="5" s="1"/>
  <c r="BD546" i="5" s="1"/>
  <c r="BA548" i="5"/>
  <c r="BA526" i="5"/>
  <c r="BA507" i="5"/>
  <c r="BA492" i="5"/>
  <c r="BA443" i="5"/>
  <c r="BA475" i="5"/>
  <c r="BA445" i="5"/>
  <c r="BA472" i="5"/>
  <c r="BA422" i="5"/>
  <c r="BA403" i="5"/>
  <c r="BA412" i="5"/>
  <c r="BA384" i="5"/>
  <c r="BA379" i="5"/>
  <c r="BA369" i="5"/>
  <c r="BA340" i="5"/>
  <c r="BA336" i="5"/>
  <c r="BA309" i="5"/>
  <c r="BA322" i="5"/>
  <c r="BA304" i="5"/>
  <c r="BA292" i="5"/>
  <c r="BA268" i="5"/>
  <c r="BA250" i="5"/>
  <c r="BA212" i="5"/>
  <c r="BA211" i="5"/>
  <c r="BA194" i="5"/>
  <c r="BA190" i="5"/>
  <c r="BA177" i="5"/>
  <c r="BA141" i="5"/>
  <c r="BA168" i="5"/>
  <c r="BA73" i="5"/>
  <c r="BA154" i="5"/>
  <c r="BC154" i="5" s="1"/>
  <c r="BD154" i="5" s="1"/>
  <c r="BA125" i="5"/>
  <c r="BA117" i="5"/>
  <c r="BA106" i="5"/>
  <c r="BA56" i="5"/>
  <c r="BA8" i="5"/>
  <c r="BA7" i="5"/>
  <c r="BA18" i="5"/>
  <c r="BA132" i="5"/>
  <c r="BA65" i="5"/>
  <c r="BA101" i="5"/>
  <c r="BA81" i="5"/>
  <c r="BA85" i="5"/>
  <c r="BA76" i="5"/>
  <c r="BA58" i="5"/>
  <c r="BA26" i="5"/>
  <c r="BC26" i="5" s="1"/>
  <c r="BD26" i="5" s="1"/>
  <c r="BA41" i="5"/>
  <c r="BA42" i="5"/>
  <c r="BA32" i="5"/>
  <c r="BA470" i="5"/>
  <c r="BA440" i="5"/>
  <c r="BA425" i="5"/>
  <c r="BA418" i="5"/>
  <c r="BA423" i="5"/>
  <c r="BA390" i="5"/>
  <c r="BA394" i="5"/>
  <c r="BA367" i="5"/>
  <c r="BA378" i="5"/>
  <c r="BA352" i="5"/>
  <c r="BA333" i="5"/>
  <c r="BA326" i="5"/>
  <c r="BA305" i="5"/>
  <c r="BA321" i="5"/>
  <c r="BA296" i="5"/>
  <c r="BA279" i="5"/>
  <c r="BA267" i="5"/>
  <c r="BA261" i="5"/>
  <c r="BA249" i="5"/>
  <c r="BC249" i="5" s="1"/>
  <c r="BD249" i="5" s="1"/>
  <c r="BA218" i="5"/>
  <c r="BA204" i="5"/>
  <c r="BA236" i="5"/>
  <c r="BA203" i="5"/>
  <c r="BA198" i="5"/>
  <c r="BA170" i="5"/>
  <c r="BA169" i="5"/>
  <c r="BA111" i="5"/>
  <c r="BA144" i="5"/>
  <c r="BA127" i="5"/>
  <c r="BA152" i="5"/>
  <c r="BA96" i="5"/>
  <c r="BA80" i="5"/>
  <c r="BA78" i="5"/>
  <c r="BA88" i="5"/>
  <c r="BA14" i="5"/>
  <c r="BA49" i="5"/>
  <c r="BA28" i="5"/>
  <c r="BA38" i="5"/>
  <c r="BA31" i="5"/>
  <c r="BA509" i="5"/>
  <c r="BA479" i="5"/>
  <c r="BA464" i="5"/>
  <c r="BA436" i="5"/>
  <c r="BA474" i="5"/>
  <c r="BA426" i="5"/>
  <c r="BA402" i="5"/>
  <c r="BA428" i="5"/>
  <c r="BA389" i="5"/>
  <c r="BA392" i="5"/>
  <c r="BA368" i="5"/>
  <c r="BC368" i="5" s="1"/>
  <c r="BD368" i="5" s="1"/>
  <c r="BA374" i="5"/>
  <c r="BA350" i="5"/>
  <c r="BA341" i="5"/>
  <c r="BA327" i="5"/>
  <c r="BA288" i="5"/>
  <c r="BA315" i="5"/>
  <c r="BA319" i="5"/>
  <c r="BA277" i="5"/>
  <c r="BA273" i="5"/>
  <c r="BA243" i="5"/>
  <c r="BA239" i="5"/>
  <c r="BA234" i="5"/>
  <c r="BA219" i="5"/>
  <c r="BA221" i="5"/>
  <c r="BC221" i="5" s="1"/>
  <c r="BD221" i="5" s="1"/>
  <c r="BA192" i="5"/>
  <c r="BA171" i="5"/>
  <c r="BA181" i="5"/>
  <c r="BA130" i="5"/>
  <c r="BA165" i="5"/>
  <c r="BA162" i="5"/>
  <c r="BA124" i="5"/>
  <c r="BA143" i="5"/>
  <c r="BA145" i="5"/>
  <c r="BA75" i="5"/>
  <c r="BA91" i="5"/>
  <c r="BA84" i="5"/>
  <c r="BA13" i="5"/>
  <c r="BC13" i="5" s="1"/>
  <c r="BD13" i="5" s="1"/>
  <c r="BA46" i="5"/>
  <c r="BA27" i="5"/>
  <c r="BA37" i="5"/>
  <c r="BA2" i="5"/>
  <c r="BA34" i="5"/>
  <c r="BA10" i="5"/>
  <c r="BA3" i="5"/>
  <c r="BC277" i="5" l="1"/>
  <c r="BD277" i="5" s="1"/>
  <c r="BC56" i="5"/>
  <c r="BD56" i="5" s="1"/>
  <c r="BC78" i="5"/>
  <c r="BD78" i="5" s="1"/>
  <c r="BC1228" i="5"/>
  <c r="BD1228" i="5" s="1"/>
  <c r="BC80" i="5"/>
  <c r="BD80" i="5" s="1"/>
  <c r="BC382" i="5"/>
  <c r="BD382" i="5" s="1"/>
  <c r="BC1397" i="5"/>
  <c r="BD1397" i="5" s="1"/>
  <c r="BC323" i="5"/>
  <c r="BD323" i="5" s="1"/>
  <c r="AR22" i="6"/>
  <c r="BC829" i="5"/>
  <c r="BD829" i="5" s="1"/>
  <c r="BC23" i="6"/>
  <c r="BC507" i="5"/>
  <c r="BD507" i="5" s="1"/>
  <c r="BC387" i="5"/>
  <c r="BD387" i="5" s="1"/>
  <c r="BB283" i="5"/>
  <c r="BC53" i="5"/>
  <c r="BD53" i="5" s="1"/>
  <c r="BC469" i="5"/>
  <c r="BD469" i="5" s="1"/>
  <c r="BC1301" i="5"/>
  <c r="BD1301" i="5" s="1"/>
  <c r="BB1242" i="5"/>
  <c r="BC1242" i="5" s="1"/>
  <c r="BD1242" i="5" s="1"/>
  <c r="BA2" i="6"/>
  <c r="BC610" i="5"/>
  <c r="BD610" i="5" s="1"/>
  <c r="BC646" i="5"/>
  <c r="BD646" i="5" s="1"/>
  <c r="BC1186" i="5"/>
  <c r="BD1186" i="5" s="1"/>
  <c r="BC1041" i="5"/>
  <c r="BD1041" i="5" s="1"/>
  <c r="BC1300" i="5"/>
  <c r="BD1300" i="5" s="1"/>
  <c r="BC21" i="6"/>
  <c r="BC402" i="5"/>
  <c r="BD402" i="5" s="1"/>
  <c r="BC14" i="5"/>
  <c r="BD14" i="5" s="1"/>
  <c r="BC180" i="5"/>
  <c r="BD180" i="5" s="1"/>
  <c r="BC1025" i="5"/>
  <c r="BD1025" i="5" s="1"/>
  <c r="BC1235" i="5"/>
  <c r="BD1235" i="5" s="1"/>
  <c r="BC707" i="5"/>
  <c r="BD707" i="5" s="1"/>
  <c r="BC1343" i="5"/>
  <c r="BD1343" i="5" s="1"/>
  <c r="BC942" i="5"/>
  <c r="BD942" i="5" s="1"/>
  <c r="BC674" i="5"/>
  <c r="BD674" i="5" s="1"/>
  <c r="BC113" i="5"/>
  <c r="BD113" i="5" s="1"/>
  <c r="BA21" i="6"/>
  <c r="BC239" i="5"/>
  <c r="BD239" i="5" s="1"/>
  <c r="BC379" i="5"/>
  <c r="BD379" i="5" s="1"/>
  <c r="BC953" i="5"/>
  <c r="BD953" i="5" s="1"/>
  <c r="BC338" i="5"/>
  <c r="BD338" i="5" s="1"/>
  <c r="BC68" i="5"/>
  <c r="BD68" i="5" s="1"/>
  <c r="BC22" i="6"/>
  <c r="BB22" i="6"/>
  <c r="BC941" i="5"/>
  <c r="BD941" i="5" s="1"/>
  <c r="BC369" i="5"/>
  <c r="BD369" i="5" s="1"/>
  <c r="BC1054" i="5"/>
  <c r="BD1054" i="5" s="1"/>
  <c r="BC1161" i="5"/>
  <c r="BD1161" i="5" s="1"/>
  <c r="BC897" i="5"/>
  <c r="BD897" i="5" s="1"/>
  <c r="BB21" i="6"/>
  <c r="BC10" i="5"/>
  <c r="BD10" i="5" s="1"/>
  <c r="BC1202" i="5"/>
  <c r="BD1202" i="5" s="1"/>
  <c r="BC20" i="6"/>
  <c r="BA23" i="6"/>
  <c r="BC1083" i="5"/>
  <c r="BD1083" i="5" s="1"/>
  <c r="BC724" i="5"/>
  <c r="BD724" i="5" s="1"/>
  <c r="BC1344" i="5"/>
  <c r="BD1344" i="5" s="1"/>
  <c r="BC649" i="5"/>
  <c r="BD649" i="5" s="1"/>
  <c r="BC681" i="5"/>
  <c r="BD681" i="5" s="1"/>
  <c r="BC1030" i="5"/>
  <c r="BD1030" i="5" s="1"/>
  <c r="BC264" i="5"/>
  <c r="BD264" i="5" s="1"/>
  <c r="BC750" i="5"/>
  <c r="BD750" i="5" s="1"/>
  <c r="BC1216" i="5"/>
  <c r="BD1216" i="5" s="1"/>
  <c r="BC772" i="5"/>
  <c r="BD772" i="5" s="1"/>
  <c r="BC692" i="5"/>
  <c r="BD692" i="5" s="1"/>
  <c r="BC1014" i="5"/>
  <c r="BD1014" i="5" s="1"/>
  <c r="BC1340" i="5"/>
  <c r="BD1340" i="5" s="1"/>
  <c r="BC1119" i="5"/>
  <c r="BD1119" i="5" s="1"/>
  <c r="BC912" i="5"/>
  <c r="BD912" i="5" s="1"/>
  <c r="BC98" i="5"/>
  <c r="BD98" i="5" s="1"/>
  <c r="BC834" i="5"/>
  <c r="BD834" i="5" s="1"/>
  <c r="BC1236" i="5"/>
  <c r="BD1236" i="5" s="1"/>
  <c r="BC1224" i="5"/>
  <c r="BD1224" i="5" s="1"/>
  <c r="BC1097" i="5"/>
  <c r="BD1097" i="5" s="1"/>
  <c r="BC675" i="5"/>
  <c r="BD675" i="5" s="1"/>
  <c r="BC1074" i="5"/>
  <c r="BD1074" i="5" s="1"/>
  <c r="BC1124" i="5"/>
  <c r="BD1124" i="5" s="1"/>
  <c r="BC73" i="5"/>
  <c r="BD73" i="5" s="1"/>
  <c r="BC381" i="5"/>
  <c r="BD381" i="5" s="1"/>
  <c r="BC811" i="5"/>
  <c r="BD811" i="5" s="1"/>
  <c r="BC1001" i="5"/>
  <c r="BD1001" i="5" s="1"/>
  <c r="BC905" i="5"/>
  <c r="BD905" i="5" s="1"/>
  <c r="BC668" i="5"/>
  <c r="BD668" i="5" s="1"/>
  <c r="BC746" i="5"/>
  <c r="BD746" i="5" s="1"/>
  <c r="BC863" i="5"/>
  <c r="BD863" i="5" s="1"/>
  <c r="BC1260" i="5"/>
  <c r="BD1260" i="5" s="1"/>
  <c r="BC566" i="5"/>
  <c r="BD566" i="5" s="1"/>
  <c r="BC212" i="5"/>
  <c r="BD212" i="5" s="1"/>
  <c r="BC1209" i="5"/>
  <c r="BD1209" i="5" s="1"/>
  <c r="BC506" i="5"/>
  <c r="BD506" i="5" s="1"/>
  <c r="BC1098" i="5"/>
  <c r="BD1098" i="5" s="1"/>
  <c r="BC35" i="5"/>
  <c r="BD35" i="5" s="1"/>
  <c r="BC1234" i="5"/>
  <c r="BD1234" i="5" s="1"/>
  <c r="BC2" i="6"/>
  <c r="BC42" i="5"/>
  <c r="BD42" i="5" s="1"/>
  <c r="BC14" i="6"/>
  <c r="BC334" i="5"/>
  <c r="BD334" i="5" s="1"/>
  <c r="BC505" i="5"/>
  <c r="BD505" i="5" s="1"/>
  <c r="BC493" i="5"/>
  <c r="BD493" i="5" s="1"/>
  <c r="BC114" i="5"/>
  <c r="BD114" i="5" s="1"/>
  <c r="BC840" i="5"/>
  <c r="BD840" i="5" s="1"/>
  <c r="BC1316" i="5"/>
  <c r="BD1316" i="5" s="1"/>
  <c r="BC1011" i="5"/>
  <c r="BD1011" i="5" s="1"/>
  <c r="BC543" i="5"/>
  <c r="BD543" i="5" s="1"/>
  <c r="BC1146" i="5"/>
  <c r="BD1146" i="5" s="1"/>
  <c r="BC9" i="6"/>
  <c r="BC15" i="6"/>
  <c r="BC954" i="5"/>
  <c r="BD954" i="5" s="1"/>
  <c r="BC13" i="6"/>
  <c r="BC301" i="5"/>
  <c r="BD301" i="5" s="1"/>
  <c r="BC12" i="6"/>
  <c r="BC227" i="5"/>
  <c r="BD227" i="5" s="1"/>
  <c r="BC720" i="5"/>
  <c r="BD720" i="5" s="1"/>
  <c r="BC428" i="5"/>
  <c r="BD428" i="5" s="1"/>
  <c r="BC8" i="5"/>
  <c r="BD8" i="5" s="1"/>
  <c r="BC118" i="5"/>
  <c r="BD118" i="5" s="1"/>
  <c r="BC208" i="5"/>
  <c r="BD208" i="5" s="1"/>
  <c r="BC1245" i="5"/>
  <c r="BD1245" i="5" s="1"/>
  <c r="BC95" i="5"/>
  <c r="BD95" i="5" s="1"/>
  <c r="BC784" i="5"/>
  <c r="BD784" i="5" s="1"/>
  <c r="BC238" i="5"/>
  <c r="BD238" i="5" s="1"/>
  <c r="BC136" i="5"/>
  <c r="BD136" i="5" s="1"/>
  <c r="BC375" i="5"/>
  <c r="BD375" i="5" s="1"/>
  <c r="BC486" i="5"/>
  <c r="BD486" i="5" s="1"/>
  <c r="BC75" i="5"/>
  <c r="BD75" i="5" s="1"/>
  <c r="BC1287" i="5"/>
  <c r="BD1287" i="5" s="1"/>
  <c r="BC139" i="5"/>
  <c r="BD139" i="5" s="1"/>
  <c r="BC269" i="5"/>
  <c r="BD269" i="5" s="1"/>
  <c r="BC357" i="5"/>
  <c r="BD357" i="5" s="1"/>
  <c r="BC548" i="5"/>
  <c r="BD548" i="5" s="1"/>
  <c r="BC450" i="5"/>
  <c r="BD450" i="5" s="1"/>
  <c r="BC30" i="5"/>
  <c r="BD30" i="5" s="1"/>
  <c r="BC11" i="6"/>
  <c r="BC822" i="5"/>
  <c r="BD822" i="5" s="1"/>
  <c r="BC1078" i="5"/>
  <c r="BD1078" i="5" s="1"/>
  <c r="BC816" i="5"/>
  <c r="BD816" i="5" s="1"/>
  <c r="BC1140" i="5"/>
  <c r="BD1140" i="5" s="1"/>
  <c r="BC384" i="5"/>
  <c r="BD384" i="5" s="1"/>
  <c r="BC412" i="5"/>
  <c r="BD412" i="5" s="1"/>
  <c r="BC821" i="5"/>
  <c r="BD821" i="5" s="1"/>
  <c r="BC415" i="5"/>
  <c r="BD415" i="5" s="1"/>
  <c r="BC224" i="5"/>
  <c r="BD224" i="5" s="1"/>
  <c r="BC480" i="5"/>
  <c r="BD480" i="5" s="1"/>
  <c r="BC1082" i="5"/>
  <c r="BD1082" i="5" s="1"/>
  <c r="BC378" i="5"/>
  <c r="BD378" i="5" s="1"/>
  <c r="BC813" i="5"/>
  <c r="BD813" i="5" s="1"/>
  <c r="BC1329" i="5"/>
  <c r="BD1329" i="5" s="1"/>
  <c r="BC1172" i="5"/>
  <c r="BD1172" i="5" s="1"/>
  <c r="BC278" i="5"/>
  <c r="BD278" i="5" s="1"/>
  <c r="BC898" i="5"/>
  <c r="BD898" i="5" s="1"/>
  <c r="BC125" i="5"/>
  <c r="BD125" i="5" s="1"/>
  <c r="BC351" i="5"/>
  <c r="BD351" i="5" s="1"/>
  <c r="BC1135" i="5"/>
  <c r="BD1135" i="5" s="1"/>
  <c r="BC1377" i="5"/>
  <c r="BD1377" i="5" s="1"/>
  <c r="BC115" i="5"/>
  <c r="BD115" i="5" s="1"/>
  <c r="BC588" i="5"/>
  <c r="BD588" i="5" s="1"/>
  <c r="BC85" i="5"/>
  <c r="BD85" i="5" s="1"/>
  <c r="BC304" i="5"/>
  <c r="BD304" i="5" s="1"/>
  <c r="BC360" i="5"/>
  <c r="BD360" i="5" s="1"/>
  <c r="BC523" i="5"/>
  <c r="BD523" i="5" s="1"/>
  <c r="BC663" i="5"/>
  <c r="BD663" i="5" s="1"/>
  <c r="BC557" i="5"/>
  <c r="BD557" i="5" s="1"/>
  <c r="BC959" i="5"/>
  <c r="BD959" i="5" s="1"/>
  <c r="BC910" i="5"/>
  <c r="BD910" i="5" s="1"/>
  <c r="BC260" i="5"/>
  <c r="BD260" i="5" s="1"/>
  <c r="BC847" i="5"/>
  <c r="BD847" i="5" s="1"/>
  <c r="BC449" i="5"/>
  <c r="BD449" i="5" s="1"/>
  <c r="BC107" i="5"/>
  <c r="BD107" i="5" s="1"/>
  <c r="BC673" i="5"/>
  <c r="BD673" i="5" s="1"/>
  <c r="BC1291" i="5"/>
  <c r="BD1291" i="5" s="1"/>
  <c r="BC1244" i="5"/>
  <c r="BD1244" i="5" s="1"/>
  <c r="BC189" i="5"/>
  <c r="BD189" i="5" s="1"/>
  <c r="BC880" i="5"/>
  <c r="BD880" i="5" s="1"/>
  <c r="BC999" i="5"/>
  <c r="BD999" i="5" s="1"/>
  <c r="BC740" i="5"/>
  <c r="BD740" i="5" s="1"/>
  <c r="BC987" i="5"/>
  <c r="BD987" i="5" s="1"/>
  <c r="BC213" i="5"/>
  <c r="BD213" i="5" s="1"/>
  <c r="BC1150" i="5"/>
  <c r="BD1150" i="5" s="1"/>
  <c r="BC1104" i="5"/>
  <c r="BD1104" i="5" s="1"/>
  <c r="BC662" i="5"/>
  <c r="BD662" i="5" s="1"/>
  <c r="BC1129" i="5"/>
  <c r="BD1129" i="5" s="1"/>
  <c r="BC790" i="5"/>
  <c r="BD790" i="5" s="1"/>
  <c r="BC901" i="5"/>
  <c r="BD901" i="5" s="1"/>
  <c r="BC841" i="5"/>
  <c r="BD841" i="5" s="1"/>
  <c r="BC24" i="5"/>
  <c r="BD24" i="5" s="1"/>
  <c r="BC10" i="6"/>
  <c r="BC406" i="5"/>
  <c r="BD406" i="5" s="1"/>
  <c r="BC945" i="5"/>
  <c r="BD945" i="5" s="1"/>
  <c r="BC90" i="5"/>
  <c r="BD90" i="5" s="1"/>
  <c r="BC429" i="5"/>
  <c r="BD429" i="5" s="1"/>
  <c r="BC1310" i="5"/>
  <c r="BD1310" i="5" s="1"/>
  <c r="BC682" i="5"/>
  <c r="BD682" i="5" s="1"/>
  <c r="BC386" i="5"/>
  <c r="BD386" i="5" s="1"/>
  <c r="BC572" i="5"/>
  <c r="BD572" i="5" s="1"/>
  <c r="BC764" i="5"/>
  <c r="BD764" i="5" s="1"/>
  <c r="BC45" i="5"/>
  <c r="BD45" i="5" s="1"/>
  <c r="BC458" i="5"/>
  <c r="BD458" i="5" s="1"/>
  <c r="BC313" i="5"/>
  <c r="BD313" i="5" s="1"/>
  <c r="BC465" i="5"/>
  <c r="BD465" i="5" s="1"/>
  <c r="BC634" i="5"/>
  <c r="BD634" i="5" s="1"/>
  <c r="BC730" i="5"/>
  <c r="BD730" i="5" s="1"/>
  <c r="BC1290" i="5"/>
  <c r="BD1290" i="5" s="1"/>
  <c r="BC218" i="5"/>
  <c r="BD218" i="5" s="1"/>
  <c r="BC12" i="5"/>
  <c r="BD12" i="5" s="1"/>
  <c r="BC598" i="5"/>
  <c r="BD598" i="5" s="1"/>
  <c r="BC1241" i="5"/>
  <c r="BD1241" i="5" s="1"/>
  <c r="BC1373" i="5"/>
  <c r="BD1373" i="5" s="1"/>
  <c r="BC519" i="5"/>
  <c r="BD519" i="5" s="1"/>
  <c r="BC528" i="5"/>
  <c r="BD528" i="5" s="1"/>
  <c r="BC320" i="5"/>
  <c r="BD320" i="5" s="1"/>
  <c r="BC1077" i="5"/>
  <c r="BD1077" i="5" s="1"/>
  <c r="BC835" i="5"/>
  <c r="BD835" i="5" s="1"/>
  <c r="BC347" i="5"/>
  <c r="BD347" i="5" s="1"/>
  <c r="BC271" i="5"/>
  <c r="BD271" i="5" s="1"/>
  <c r="BC508" i="5"/>
  <c r="BD508" i="5" s="1"/>
  <c r="BC71" i="5"/>
  <c r="BD71" i="5" s="1"/>
  <c r="BC544" i="5"/>
  <c r="BD544" i="5" s="1"/>
  <c r="BC716" i="5"/>
  <c r="BD716" i="5" s="1"/>
  <c r="BC796" i="5"/>
  <c r="BD796" i="5" s="1"/>
  <c r="BC1213" i="5"/>
  <c r="BD1213" i="5" s="1"/>
  <c r="BC310" i="5"/>
  <c r="BD310" i="5" s="1"/>
  <c r="BC327" i="5"/>
  <c r="BD327" i="5" s="1"/>
  <c r="BC390" i="5"/>
  <c r="BD390" i="5" s="1"/>
  <c r="BC780" i="5"/>
  <c r="BD780" i="5" s="1"/>
  <c r="BC895" i="5"/>
  <c r="BD895" i="5" s="1"/>
  <c r="BC331" i="5"/>
  <c r="BD331" i="5" s="1"/>
  <c r="BC489" i="5"/>
  <c r="BD489" i="5" s="1"/>
  <c r="BC1333" i="5"/>
  <c r="BD1333" i="5" s="1"/>
  <c r="BC940" i="5"/>
  <c r="BD940" i="5" s="1"/>
  <c r="BC188" i="5"/>
  <c r="BD188" i="5" s="1"/>
  <c r="BC63" i="5"/>
  <c r="BD63" i="5" s="1"/>
  <c r="BC219" i="5"/>
  <c r="BD219" i="5" s="1"/>
  <c r="BC492" i="5"/>
  <c r="BD492" i="5" s="1"/>
  <c r="BC1305" i="5"/>
  <c r="BD1305" i="5" s="1"/>
  <c r="BC112" i="5"/>
  <c r="BD112" i="5" s="1"/>
  <c r="BC4" i="5"/>
  <c r="BD4" i="5" s="1"/>
  <c r="BC672" i="5"/>
  <c r="BD672" i="5" s="1"/>
  <c r="BC207" i="5"/>
  <c r="BD207" i="5" s="1"/>
  <c r="BC1387" i="5"/>
  <c r="BD1387" i="5" s="1"/>
  <c r="BC636" i="5"/>
  <c r="BD636" i="5" s="1"/>
  <c r="BC217" i="5"/>
  <c r="BD217" i="5" s="1"/>
  <c r="BC1010" i="5"/>
  <c r="BD1010" i="5" s="1"/>
  <c r="BC1365" i="5"/>
  <c r="BD1365" i="5" s="1"/>
  <c r="BC190" i="5"/>
  <c r="BD190" i="5" s="1"/>
  <c r="BC652" i="5"/>
  <c r="BD652" i="5" s="1"/>
  <c r="BC924" i="5"/>
  <c r="BD924" i="5" s="1"/>
  <c r="BC251" i="5"/>
  <c r="BD251" i="5" s="1"/>
  <c r="BC1111" i="5"/>
  <c r="BD1111" i="5" s="1"/>
  <c r="BC545" i="5"/>
  <c r="BD545" i="5" s="1"/>
  <c r="BC82" i="5"/>
  <c r="BD82" i="5" s="1"/>
  <c r="BC414" i="5"/>
  <c r="BD414" i="5" s="1"/>
  <c r="BC161" i="5"/>
  <c r="BD161" i="5" s="1"/>
  <c r="BC814" i="5"/>
  <c r="BD814" i="5" s="1"/>
  <c r="BC1183" i="5"/>
  <c r="BD1183" i="5" s="1"/>
  <c r="BC1348" i="5"/>
  <c r="BD1348" i="5" s="1"/>
  <c r="BC696" i="5"/>
  <c r="BD696" i="5" s="1"/>
  <c r="BC872" i="5"/>
  <c r="BD872" i="5" s="1"/>
  <c r="BC744" i="5"/>
  <c r="BD744" i="5" s="1"/>
  <c r="BC8" i="6"/>
  <c r="BC143" i="5"/>
  <c r="BD143" i="5" s="1"/>
  <c r="BC1031" i="5"/>
  <c r="BD1031" i="5" s="1"/>
  <c r="BC830" i="5"/>
  <c r="BD830" i="5" s="1"/>
  <c r="BC34" i="5"/>
  <c r="BD34" i="5" s="1"/>
  <c r="BC797" i="5"/>
  <c r="BD797" i="5" s="1"/>
  <c r="BC451" i="5"/>
  <c r="BD451" i="5" s="1"/>
  <c r="BC281" i="5"/>
  <c r="BD281" i="5" s="1"/>
  <c r="BC1218" i="5"/>
  <c r="BD1218" i="5" s="1"/>
  <c r="BC371" i="5"/>
  <c r="BD371" i="5" s="1"/>
  <c r="BC867" i="5"/>
  <c r="BD867" i="5" s="1"/>
  <c r="BC468" i="5"/>
  <c r="BD468" i="5" s="1"/>
  <c r="BC948" i="5"/>
  <c r="BD948" i="5" s="1"/>
  <c r="BC267" i="5"/>
  <c r="BD267" i="5" s="1"/>
  <c r="BC3" i="6"/>
  <c r="BC22" i="5"/>
  <c r="BD22" i="5" s="1"/>
  <c r="BC795" i="5"/>
  <c r="BD795" i="5" s="1"/>
  <c r="BC615" i="5"/>
  <c r="BD615" i="5" s="1"/>
  <c r="BC1020" i="5"/>
  <c r="BD1020" i="5" s="1"/>
  <c r="BC1034" i="5"/>
  <c r="BD1034" i="5" s="1"/>
  <c r="BC886" i="5"/>
  <c r="BD886" i="5" s="1"/>
  <c r="BC141" i="5"/>
  <c r="BD141" i="5" s="1"/>
  <c r="BC619" i="5"/>
  <c r="BD619" i="5" s="1"/>
  <c r="BC370" i="5"/>
  <c r="BD370" i="5" s="1"/>
  <c r="BC845" i="5"/>
  <c r="BD845" i="5" s="1"/>
  <c r="BC92" i="5"/>
  <c r="BD92" i="5" s="1"/>
  <c r="BC1048" i="5"/>
  <c r="BD1048" i="5" s="1"/>
  <c r="BC169" i="5"/>
  <c r="BD169" i="5" s="1"/>
  <c r="BC132" i="5"/>
  <c r="BD132" i="5" s="1"/>
  <c r="BC177" i="5"/>
  <c r="BD177" i="5" s="1"/>
  <c r="BC584" i="5"/>
  <c r="BD584" i="5" s="1"/>
  <c r="BC1296" i="5"/>
  <c r="BD1296" i="5" s="1"/>
  <c r="BC1237" i="5"/>
  <c r="BD1237" i="5" s="1"/>
  <c r="BC1072" i="5"/>
  <c r="BD1072" i="5" s="1"/>
  <c r="BC7" i="6"/>
  <c r="BC470" i="5"/>
  <c r="BD470" i="5" s="1"/>
  <c r="BC837" i="5"/>
  <c r="BD837" i="5" s="1"/>
  <c r="BC448" i="5"/>
  <c r="BD448" i="5" s="1"/>
  <c r="BC782" i="5"/>
  <c r="BD782" i="5" s="1"/>
  <c r="BC396" i="5"/>
  <c r="BD396" i="5" s="1"/>
  <c r="BC435" i="5"/>
  <c r="BD435" i="5" s="1"/>
  <c r="BC457" i="5"/>
  <c r="BD457" i="5" s="1"/>
  <c r="BC1039" i="5"/>
  <c r="BD1039" i="5" s="1"/>
  <c r="BC1158" i="5"/>
  <c r="BD1158" i="5" s="1"/>
  <c r="BC586" i="5"/>
  <c r="BD586" i="5" s="1"/>
  <c r="BC1304" i="5"/>
  <c r="BD1304" i="5" s="1"/>
  <c r="BC243" i="5"/>
  <c r="BD243" i="5" s="1"/>
  <c r="BC326" i="5"/>
  <c r="BD326" i="5" s="1"/>
  <c r="BC131" i="5"/>
  <c r="BD131" i="5" s="1"/>
  <c r="BC1279" i="5"/>
  <c r="BD1279" i="5" s="1"/>
  <c r="BC1189" i="5"/>
  <c r="BD1189" i="5" s="1"/>
  <c r="BC525" i="5"/>
  <c r="BD525" i="5" s="1"/>
  <c r="BC515" i="5"/>
  <c r="BD515" i="5" s="1"/>
  <c r="BC447" i="5"/>
  <c r="BD447" i="5" s="1"/>
  <c r="BC767" i="5"/>
  <c r="BD767" i="5" s="1"/>
  <c r="BC779" i="5"/>
  <c r="BD779" i="5" s="1"/>
  <c r="BC1396" i="5"/>
  <c r="BD1396" i="5" s="1"/>
  <c r="BC273" i="5"/>
  <c r="BD273" i="5" s="1"/>
  <c r="BC211" i="5"/>
  <c r="BD211" i="5" s="1"/>
  <c r="BC461" i="5"/>
  <c r="BD461" i="5" s="1"/>
  <c r="BC455" i="5"/>
  <c r="BD455" i="5" s="1"/>
  <c r="BC978" i="5"/>
  <c r="BD978" i="5" s="1"/>
  <c r="BC1308" i="5"/>
  <c r="BD1308" i="5" s="1"/>
  <c r="BC16" i="5"/>
  <c r="BD16" i="5" s="1"/>
  <c r="BC339" i="5"/>
  <c r="BD339" i="5" s="1"/>
  <c r="BC1205" i="5"/>
  <c r="BD1205" i="5" s="1"/>
  <c r="BC917" i="5"/>
  <c r="BD917" i="5" s="1"/>
  <c r="BC280" i="5"/>
  <c r="BD280" i="5" s="1"/>
  <c r="BC832" i="5"/>
  <c r="BD832" i="5" s="1"/>
  <c r="BC983" i="5"/>
  <c r="BD983" i="5" s="1"/>
  <c r="BC1160" i="5"/>
  <c r="BD1160" i="5" s="1"/>
  <c r="BC236" i="5"/>
  <c r="BD236" i="5" s="1"/>
  <c r="BC874" i="5"/>
  <c r="BD874" i="5" s="1"/>
  <c r="BC1024" i="5"/>
  <c r="BD1024" i="5" s="1"/>
  <c r="BC200" i="5"/>
  <c r="BD200" i="5" s="1"/>
  <c r="BC1184" i="5"/>
  <c r="BD1184" i="5" s="1"/>
  <c r="BC60" i="5"/>
  <c r="BD60" i="5" s="1"/>
  <c r="BC298" i="5"/>
  <c r="BD298" i="5" s="1"/>
  <c r="BC935" i="5"/>
  <c r="BD935" i="5" s="1"/>
  <c r="BC2" i="5"/>
  <c r="BD2" i="5" s="1"/>
  <c r="BC165" i="5"/>
  <c r="BD165" i="5" s="1"/>
  <c r="BC250" i="5"/>
  <c r="BD250" i="5" s="1"/>
  <c r="BC329" i="5"/>
  <c r="BD329" i="5" s="1"/>
  <c r="BC957" i="5"/>
  <c r="BD957" i="5" s="1"/>
  <c r="BC1336" i="5"/>
  <c r="BD1336" i="5" s="1"/>
  <c r="BC1381" i="5"/>
  <c r="BD1381" i="5" s="1"/>
  <c r="BC517" i="5"/>
  <c r="BD517" i="5" s="1"/>
  <c r="BC1047" i="5"/>
  <c r="BD1047" i="5" s="1"/>
  <c r="BC11" i="5"/>
  <c r="BD11" i="5" s="1"/>
  <c r="BC268" i="5"/>
  <c r="BD268" i="5" s="1"/>
  <c r="BC422" i="5"/>
  <c r="BD422" i="5" s="1"/>
  <c r="BC158" i="5"/>
  <c r="BD158" i="5" s="1"/>
  <c r="BC1006" i="5"/>
  <c r="BD1006" i="5" s="1"/>
  <c r="BC226" i="5"/>
  <c r="BD226" i="5" s="1"/>
  <c r="BC1334" i="5"/>
  <c r="BD1334" i="5" s="1"/>
  <c r="BC600" i="5"/>
  <c r="BD600" i="5" s="1"/>
  <c r="BC918" i="5"/>
  <c r="BD918" i="5" s="1"/>
  <c r="BC737" i="5"/>
  <c r="BD737" i="5" s="1"/>
  <c r="BC691" i="5"/>
  <c r="BD691" i="5" s="1"/>
  <c r="BC29" i="5"/>
  <c r="BD29" i="5" s="1"/>
  <c r="BC806" i="5"/>
  <c r="BD806" i="5" s="1"/>
  <c r="BC9" i="5"/>
  <c r="BD9" i="5" s="1"/>
  <c r="BC452" i="5"/>
  <c r="BD452" i="5" s="1"/>
  <c r="BC1004" i="5"/>
  <c r="BD1004" i="5" s="1"/>
  <c r="BC1061" i="5"/>
  <c r="BD1061" i="5" s="1"/>
  <c r="BC1203" i="5"/>
  <c r="BD1203" i="5" s="1"/>
  <c r="BC567" i="5"/>
  <c r="BD567" i="5" s="1"/>
  <c r="BC1175" i="5"/>
  <c r="BD1175" i="5" s="1"/>
  <c r="BC96" i="5"/>
  <c r="BD96" i="5" s="1"/>
  <c r="BC76" i="5"/>
  <c r="BD76" i="5" s="1"/>
  <c r="BC179" i="5"/>
  <c r="BD179" i="5" s="1"/>
  <c r="BC709" i="5"/>
  <c r="BD709" i="5" s="1"/>
  <c r="BC199" i="5"/>
  <c r="BD199" i="5" s="1"/>
  <c r="BC1113" i="5"/>
  <c r="BD1113" i="5" s="1"/>
  <c r="BC1251" i="5"/>
  <c r="BD1251" i="5" s="1"/>
  <c r="BC722" i="5"/>
  <c r="BD722" i="5" s="1"/>
  <c r="BC1003" i="5"/>
  <c r="BD1003" i="5" s="1"/>
  <c r="BC645" i="5"/>
  <c r="BD645" i="5" s="1"/>
  <c r="BC151" i="5"/>
  <c r="BD151" i="5" s="1"/>
  <c r="BC214" i="5"/>
  <c r="BD214" i="5" s="1"/>
  <c r="BC356" i="5"/>
  <c r="BD356" i="5" s="1"/>
  <c r="BC612" i="5"/>
  <c r="BD612" i="5" s="1"/>
  <c r="BC995" i="5"/>
  <c r="BD995" i="5" s="1"/>
  <c r="BC511" i="5"/>
  <c r="BD511" i="5" s="1"/>
  <c r="BC603" i="5"/>
  <c r="BD603" i="5" s="1"/>
  <c r="BC1148" i="5"/>
  <c r="BD1148" i="5" s="1"/>
  <c r="BC982" i="5"/>
  <c r="BD982" i="5" s="1"/>
  <c r="BC648" i="5"/>
  <c r="BD648" i="5" s="1"/>
  <c r="BC145" i="5"/>
  <c r="BD145" i="5" s="1"/>
  <c r="BC18" i="5"/>
  <c r="BD18" i="5" s="1"/>
  <c r="BC40" i="5"/>
  <c r="BD40" i="5" s="1"/>
  <c r="BC1275" i="5"/>
  <c r="BD1275" i="5" s="1"/>
  <c r="BC52" i="5"/>
  <c r="BD52" i="5" s="1"/>
  <c r="BC752" i="5"/>
  <c r="BD752" i="5" s="1"/>
  <c r="BC592" i="5"/>
  <c r="BD592" i="5" s="1"/>
  <c r="BC1399" i="5"/>
  <c r="BD1399" i="5" s="1"/>
  <c r="BC1139" i="5"/>
  <c r="BD1139" i="5" s="1"/>
  <c r="BC1317" i="5"/>
  <c r="BD1317" i="5" s="1"/>
  <c r="BC105" i="5"/>
  <c r="BD105" i="5" s="1"/>
  <c r="BC559" i="5"/>
  <c r="BD559" i="5" s="1"/>
  <c r="BC925" i="5"/>
  <c r="BD925" i="5" s="1"/>
  <c r="BC1356" i="5"/>
  <c r="BD1356" i="5" s="1"/>
  <c r="BC133" i="5"/>
  <c r="BD133" i="5" s="1"/>
  <c r="BC183" i="5"/>
  <c r="BD183" i="5" s="1"/>
  <c r="BC770" i="5"/>
  <c r="BD770" i="5" s="1"/>
  <c r="BC119" i="5"/>
  <c r="BD119" i="5" s="1"/>
  <c r="BC540" i="5"/>
  <c r="BD540" i="5" s="1"/>
  <c r="BC1195" i="5"/>
  <c r="BD1195" i="5" s="1"/>
  <c r="BC911" i="5"/>
  <c r="BD911" i="5" s="1"/>
  <c r="BC25" i="5"/>
  <c r="BD25" i="5" s="1"/>
  <c r="BC974" i="5"/>
  <c r="BD974" i="5" s="1"/>
  <c r="BC774" i="5"/>
  <c r="BD774" i="5" s="1"/>
  <c r="BC632" i="5"/>
  <c r="BD632" i="5" s="1"/>
  <c r="BC247" i="5"/>
  <c r="BD247" i="5" s="1"/>
  <c r="BC150" i="5"/>
  <c r="BD150" i="5" s="1"/>
  <c r="BC1187" i="5"/>
  <c r="BD1187" i="5" s="1"/>
  <c r="BC1017" i="5"/>
  <c r="BD1017" i="5" s="1"/>
  <c r="BC1128" i="5"/>
  <c r="BD1128" i="5" s="1"/>
  <c r="BC1265" i="5"/>
  <c r="BD1265" i="5" s="1"/>
  <c r="BC1012" i="5"/>
  <c r="BD1012" i="5" s="1"/>
  <c r="BC474" i="5"/>
  <c r="BD474" i="5" s="1"/>
  <c r="BC344" i="5"/>
  <c r="BD344" i="5" s="1"/>
  <c r="BC558" i="5"/>
  <c r="BD558" i="5" s="1"/>
  <c r="BC1125" i="5"/>
  <c r="BD1125" i="5" s="1"/>
  <c r="BC597" i="5"/>
  <c r="BD597" i="5" s="1"/>
  <c r="BC818" i="5"/>
  <c r="BD818" i="5" s="1"/>
  <c r="BC960" i="5"/>
  <c r="BD960" i="5" s="1"/>
  <c r="BC394" i="5"/>
  <c r="BD394" i="5" s="1"/>
  <c r="BC292" i="5"/>
  <c r="BD292" i="5" s="1"/>
  <c r="BC1026" i="5"/>
  <c r="BD1026" i="5" s="1"/>
  <c r="BC555" i="5"/>
  <c r="BD555" i="5" s="1"/>
  <c r="BC244" i="5"/>
  <c r="BD244" i="5" s="1"/>
  <c r="BC395" i="5"/>
  <c r="BD395" i="5" s="1"/>
  <c r="BC669" i="5"/>
  <c r="BD669" i="5" s="1"/>
  <c r="BC936" i="5"/>
  <c r="BD936" i="5" s="1"/>
  <c r="BC1233" i="5"/>
  <c r="BD1233" i="5" s="1"/>
  <c r="BC276" i="5"/>
  <c r="BD276" i="5" s="1"/>
  <c r="BC820" i="5"/>
  <c r="BD820" i="5" s="1"/>
  <c r="BC510" i="5"/>
  <c r="BD510" i="5" s="1"/>
  <c r="BC1102" i="5"/>
  <c r="BD1102" i="5" s="1"/>
  <c r="BC1155" i="5"/>
  <c r="BD1155" i="5" s="1"/>
  <c r="BC192" i="5"/>
  <c r="BD192" i="5" s="1"/>
  <c r="BC354" i="5"/>
  <c r="BD354" i="5" s="1"/>
  <c r="BC1133" i="5"/>
  <c r="BD1133" i="5" s="1"/>
  <c r="BC971" i="5"/>
  <c r="BD971" i="5" s="1"/>
  <c r="BC549" i="5"/>
  <c r="BD549" i="5" s="1"/>
  <c r="BC229" i="5"/>
  <c r="BD229" i="5" s="1"/>
  <c r="BC738" i="5"/>
  <c r="BD738" i="5" s="1"/>
  <c r="BC481" i="5"/>
  <c r="BD481" i="5" s="1"/>
  <c r="BC671" i="5"/>
  <c r="BD671" i="5" s="1"/>
  <c r="BC509" i="5"/>
  <c r="BD509" i="5" s="1"/>
  <c r="BC626" i="5"/>
  <c r="BD626" i="5" s="1"/>
  <c r="BC1117" i="5"/>
  <c r="BD1117" i="5" s="1"/>
  <c r="BC539" i="5"/>
  <c r="BD539" i="5" s="1"/>
  <c r="BC1122" i="5"/>
  <c r="BD1122" i="5" s="1"/>
  <c r="BC1395" i="5"/>
  <c r="BD1395" i="5" s="1"/>
  <c r="BC944" i="5"/>
  <c r="BD944" i="5" s="1"/>
  <c r="BC614" i="5"/>
  <c r="BD614" i="5" s="1"/>
  <c r="BC532" i="5"/>
  <c r="BD532" i="5" s="1"/>
  <c r="BC483" i="5"/>
  <c r="BD483" i="5" s="1"/>
  <c r="BC1090" i="5"/>
  <c r="BD1090" i="5" s="1"/>
  <c r="BC20" i="5"/>
  <c r="BD20" i="5" s="1"/>
  <c r="BC1346" i="5"/>
  <c r="BD1346" i="5" s="1"/>
  <c r="BC1118" i="5"/>
  <c r="BD1118" i="5" s="1"/>
  <c r="BC1130" i="5"/>
  <c r="BD1130" i="5" s="1"/>
  <c r="BC479" i="5"/>
  <c r="BD479" i="5" s="1"/>
  <c r="BC579" i="5"/>
  <c r="BD579" i="5" s="1"/>
  <c r="BC103" i="5"/>
  <c r="BD103" i="5" s="1"/>
  <c r="BC1238" i="5"/>
  <c r="BD1238" i="5" s="1"/>
  <c r="BC751" i="5"/>
  <c r="BD751" i="5" s="1"/>
  <c r="BC972" i="5"/>
  <c r="BD972" i="5" s="1"/>
  <c r="BC309" i="5"/>
  <c r="BD309" i="5" s="1"/>
  <c r="BC222" i="5"/>
  <c r="BD222" i="5" s="1"/>
  <c r="BC257" i="5"/>
  <c r="BD257" i="5" s="1"/>
  <c r="BC640" i="5"/>
  <c r="BD640" i="5" s="1"/>
  <c r="BC1362" i="5"/>
  <c r="BD1362" i="5" s="1"/>
  <c r="BC383" i="5"/>
  <c r="BD383" i="5" s="1"/>
  <c r="BC644" i="5"/>
  <c r="BD644" i="5" s="1"/>
  <c r="BC163" i="5"/>
  <c r="BD163" i="5" s="1"/>
  <c r="BC6" i="6"/>
  <c r="BC1092" i="5"/>
  <c r="BD1092" i="5" s="1"/>
  <c r="BC70" i="5"/>
  <c r="BD70" i="5" s="1"/>
  <c r="BC970" i="5"/>
  <c r="BD970" i="5" s="1"/>
  <c r="BC1116" i="5"/>
  <c r="BD1116" i="5" s="1"/>
  <c r="BC979" i="5"/>
  <c r="BD979" i="5" s="1"/>
  <c r="BC321" i="5"/>
  <c r="BD321" i="5" s="1"/>
  <c r="BC340" i="5"/>
  <c r="BD340" i="5" s="1"/>
  <c r="BC633" i="5"/>
  <c r="BD633" i="5" s="1"/>
  <c r="BC252" i="5"/>
  <c r="BD252" i="5" s="1"/>
  <c r="BC839" i="5"/>
  <c r="BD839" i="5" s="1"/>
  <c r="BC330" i="5"/>
  <c r="BD330" i="5" s="1"/>
  <c r="BC551" i="5"/>
  <c r="BD551" i="5" s="1"/>
  <c r="BC380" i="5"/>
  <c r="BD380" i="5" s="1"/>
  <c r="BC1266" i="5"/>
  <c r="BD1266" i="5" s="1"/>
  <c r="BC1371" i="5"/>
  <c r="BD1371" i="5" s="1"/>
  <c r="BC777" i="5"/>
  <c r="BD777" i="5" s="1"/>
  <c r="BC575" i="5"/>
  <c r="BD575" i="5" s="1"/>
  <c r="BC128" i="5"/>
  <c r="BD128" i="5" s="1"/>
  <c r="BC62" i="5"/>
  <c r="BD62" i="5" s="1"/>
  <c r="BC349" i="5"/>
  <c r="BD349" i="5" s="1"/>
  <c r="BC399" i="5"/>
  <c r="BD399" i="5" s="1"/>
  <c r="BC705" i="5"/>
  <c r="BD705" i="5" s="1"/>
  <c r="BC862" i="5"/>
  <c r="BD862" i="5" s="1"/>
  <c r="BC5" i="6"/>
  <c r="BC1221" i="5"/>
  <c r="BD1221" i="5" s="1"/>
  <c r="BC389" i="5"/>
  <c r="BD389" i="5" s="1"/>
  <c r="BC7" i="5"/>
  <c r="BD7" i="5" s="1"/>
  <c r="BC318" i="5"/>
  <c r="BD318" i="5" s="1"/>
  <c r="BC859" i="5"/>
  <c r="BD859" i="5" s="1"/>
  <c r="BC255" i="5"/>
  <c r="BD255" i="5" s="1"/>
  <c r="BC754" i="5"/>
  <c r="BD754" i="5" s="1"/>
  <c r="BC233" i="5"/>
  <c r="BD233" i="5" s="1"/>
  <c r="BC410" i="5"/>
  <c r="BD410" i="5" s="1"/>
  <c r="BC900" i="5"/>
  <c r="BD900" i="5" s="1"/>
  <c r="BC1372" i="5"/>
  <c r="BD1372" i="5" s="1"/>
  <c r="BC434" i="5"/>
  <c r="BD434" i="5" s="1"/>
  <c r="BC665" i="5"/>
  <c r="BD665" i="5" s="1"/>
  <c r="BC666" i="5"/>
  <c r="BD666" i="5" s="1"/>
  <c r="BC855" i="5"/>
  <c r="BD855" i="5" s="1"/>
  <c r="BC409" i="5"/>
  <c r="BD409" i="5" s="1"/>
  <c r="BC1106" i="5"/>
  <c r="BD1106" i="5" s="1"/>
  <c r="BC1383" i="5"/>
  <c r="BD1383" i="5" s="1"/>
  <c r="BC1069" i="5"/>
  <c r="BD1069" i="5" s="1"/>
  <c r="BC1071" i="5"/>
  <c r="BD1071" i="5" s="1"/>
  <c r="BC491" i="5"/>
  <c r="BD491" i="5" s="1"/>
  <c r="BC1087" i="5"/>
  <c r="BD1087" i="5" s="1"/>
  <c r="BC921" i="5"/>
  <c r="BD921" i="5" s="1"/>
  <c r="BC879" i="5"/>
  <c r="BD879" i="5" s="1"/>
  <c r="BC1013" i="5"/>
  <c r="BD1013" i="5" s="1"/>
  <c r="BC442" i="5"/>
  <c r="BD442" i="5" s="1"/>
  <c r="BC1229" i="5"/>
  <c r="BD1229" i="5" s="1"/>
  <c r="BC534" i="5"/>
  <c r="BD534" i="5" s="1"/>
  <c r="BC819" i="5"/>
  <c r="BD819" i="5" s="1"/>
  <c r="BC311" i="5"/>
  <c r="BD311" i="5" s="1"/>
  <c r="BC1100" i="5"/>
  <c r="BD1100" i="5" s="1"/>
  <c r="BC315" i="5"/>
  <c r="BD315" i="5" s="1"/>
  <c r="BC367" i="5"/>
  <c r="BD367" i="5" s="1"/>
  <c r="BC117" i="5"/>
  <c r="BD117" i="5" s="1"/>
  <c r="BC928" i="5"/>
  <c r="BD928" i="5" s="1"/>
  <c r="BC678" i="5"/>
  <c r="BD678" i="5" s="1"/>
  <c r="BC759" i="5"/>
  <c r="BD759" i="5" s="1"/>
  <c r="BC122" i="5"/>
  <c r="BD122" i="5" s="1"/>
  <c r="BC4" i="6"/>
  <c r="BC1280" i="5"/>
  <c r="BD1280" i="5" s="1"/>
  <c r="BC590" i="5"/>
  <c r="BD590" i="5" s="1"/>
  <c r="BC943" i="5"/>
  <c r="BD943" i="5" s="1"/>
  <c r="BC333" i="5"/>
  <c r="BD333" i="5" s="1"/>
  <c r="BC1042" i="5"/>
  <c r="BD1042" i="5" s="1"/>
  <c r="BC748" i="5"/>
  <c r="BD748" i="5" s="1"/>
  <c r="BC618" i="5"/>
  <c r="BD618" i="5" s="1"/>
  <c r="BC641" i="5"/>
  <c r="BD641" i="5" s="1"/>
  <c r="BC1392" i="5"/>
  <c r="BD1392" i="5" s="1"/>
  <c r="BC302" i="5"/>
  <c r="BD302" i="5" s="1"/>
  <c r="BC601" i="5"/>
  <c r="BD601" i="5" s="1"/>
  <c r="BC175" i="5"/>
  <c r="BD175" i="5" s="1"/>
  <c r="BC565" i="5"/>
  <c r="BD565" i="5" s="1"/>
  <c r="BC838" i="5"/>
  <c r="BD838" i="5" s="1"/>
  <c r="BC102" i="5"/>
  <c r="BD102" i="5" s="1"/>
  <c r="BC589" i="5"/>
  <c r="BD589" i="5" s="1"/>
  <c r="BC1170" i="5"/>
  <c r="BD1170" i="5" s="1"/>
  <c r="BC67" i="5"/>
  <c r="BD67" i="5" s="1"/>
  <c r="BC849" i="5"/>
  <c r="BD849" i="5" s="1"/>
  <c r="BC1369" i="5"/>
  <c r="BD1369" i="5" s="1"/>
  <c r="BC570" i="5"/>
  <c r="BD570" i="5" s="1"/>
  <c r="BC1173" i="5"/>
  <c r="BD1173" i="5" s="1"/>
  <c r="BC596" i="5"/>
  <c r="BD596" i="5" s="1"/>
  <c r="BC739" i="5"/>
  <c r="BD739" i="5" s="1"/>
  <c r="BC1018" i="5"/>
  <c r="BD1018" i="5" s="1"/>
  <c r="BC1259" i="5"/>
  <c r="BD1259" i="5" s="1"/>
  <c r="BC366" i="5"/>
  <c r="BD366" i="5" s="1"/>
  <c r="BC232" i="5"/>
  <c r="BD232" i="5" s="1"/>
  <c r="BC683" i="5"/>
  <c r="BD683" i="5" s="1"/>
  <c r="BC789" i="5"/>
  <c r="BD789" i="5" s="1"/>
  <c r="BC904" i="5"/>
  <c r="BD904" i="5" s="1"/>
  <c r="BC1363" i="5"/>
  <c r="BD1363" i="5" s="1"/>
  <c r="BC430" i="5"/>
  <c r="BD430" i="5" s="1"/>
  <c r="BC723" i="5"/>
  <c r="BD723" i="5" s="1"/>
  <c r="BC1384" i="5"/>
  <c r="BD1384" i="5" s="1"/>
  <c r="BC472" i="5"/>
  <c r="BD472" i="5" s="1"/>
  <c r="BC1206" i="5"/>
  <c r="BD1206" i="5" s="1"/>
  <c r="BC684" i="5"/>
  <c r="BD684" i="5" s="1"/>
  <c r="BC498" i="5"/>
  <c r="BD498" i="5" s="1"/>
  <c r="BC550" i="5"/>
  <c r="BD550" i="5" s="1"/>
  <c r="BC81" i="5"/>
  <c r="BD81" i="5" s="1"/>
  <c r="BC685" i="5"/>
  <c r="BD685" i="5" s="1"/>
  <c r="BC500" i="5"/>
  <c r="BD500" i="5" s="1"/>
  <c r="BC883" i="5"/>
  <c r="BD883" i="5" s="1"/>
  <c r="BC1089" i="5"/>
  <c r="BD1089" i="5" s="1"/>
  <c r="BC650" i="5"/>
  <c r="BD650" i="5" s="1"/>
  <c r="BC712" i="5"/>
  <c r="BD712" i="5" s="1"/>
  <c r="BC1103" i="5"/>
  <c r="BD1103" i="5" s="1"/>
  <c r="BC1386" i="5"/>
  <c r="BD1386" i="5" s="1"/>
  <c r="BC913" i="5"/>
  <c r="BD913" i="5" s="1"/>
  <c r="BC1056" i="5"/>
  <c r="BD1056" i="5" s="1"/>
  <c r="BC137" i="5"/>
  <c r="BD137" i="5" s="1"/>
  <c r="BC215" i="5"/>
  <c r="BD215" i="5" s="1"/>
  <c r="BC552" i="5"/>
  <c r="BD552" i="5" s="1"/>
  <c r="BC1324" i="5"/>
  <c r="BD1324" i="5" s="1"/>
  <c r="BC463" i="5"/>
  <c r="BD463" i="5" s="1"/>
  <c r="BC761" i="5"/>
  <c r="BD761" i="5" s="1"/>
  <c r="BC656" i="5"/>
  <c r="BD656" i="5" s="1"/>
  <c r="BC860" i="5"/>
  <c r="BD860" i="5" s="1"/>
  <c r="BC1180" i="5"/>
  <c r="BD1180" i="5" s="1"/>
  <c r="BC5" i="5"/>
  <c r="BD5" i="5" s="1"/>
  <c r="BC661" i="5"/>
  <c r="BD661" i="5" s="1"/>
  <c r="BC776" i="5"/>
  <c r="BD776" i="5" s="1"/>
  <c r="BC1247" i="5"/>
  <c r="BD1247" i="5" s="1"/>
  <c r="BC877" i="5"/>
  <c r="BD877" i="5" s="1"/>
  <c r="BC828" i="5"/>
  <c r="BD828" i="5" s="1"/>
  <c r="BC482" i="5"/>
  <c r="BD482" i="5" s="1"/>
  <c r="BC846" i="5"/>
  <c r="BD846" i="5" s="1"/>
  <c r="BC1379" i="5"/>
  <c r="BD1379" i="5" s="1"/>
  <c r="BC809" i="5"/>
  <c r="BD809" i="5" s="1"/>
  <c r="BC602" i="5"/>
  <c r="BD602" i="5" s="1"/>
  <c r="BC655" i="5"/>
  <c r="BD655" i="5" s="1"/>
  <c r="BC174" i="5"/>
  <c r="BD174" i="5" s="1"/>
  <c r="BC385" i="5"/>
  <c r="BD385" i="5" s="1"/>
  <c r="BC760" i="5"/>
  <c r="BD760" i="5" s="1"/>
  <c r="BC1337" i="5"/>
  <c r="BD1337" i="5" s="1"/>
  <c r="BC1210" i="5"/>
  <c r="BD1210" i="5" s="1"/>
  <c r="BC916" i="5"/>
  <c r="BD916" i="5" s="1"/>
  <c r="BC38" i="5"/>
  <c r="BD38" i="5" s="1"/>
  <c r="BC599" i="5"/>
  <c r="BD599" i="5" s="1"/>
  <c r="BC120" i="5"/>
  <c r="BD120" i="5" s="1"/>
  <c r="BC417" i="5"/>
  <c r="BD417" i="5" s="1"/>
  <c r="BC933" i="5"/>
  <c r="BD933" i="5" s="1"/>
  <c r="BC401" i="5"/>
  <c r="BD401" i="5" s="1"/>
  <c r="BC704" i="5"/>
  <c r="BD704" i="5" s="1"/>
  <c r="BC1088" i="5"/>
  <c r="BD1088" i="5" s="1"/>
  <c r="BC1227" i="5"/>
  <c r="BD1227" i="5" s="1"/>
  <c r="BC677" i="5"/>
  <c r="BD677" i="5" s="1"/>
  <c r="BC28" i="5"/>
  <c r="BD28" i="5" s="1"/>
  <c r="BC994" i="5"/>
  <c r="BD994" i="5" s="1"/>
  <c r="BC196" i="5"/>
  <c r="BD196" i="5" s="1"/>
  <c r="BC87" i="5"/>
  <c r="BD87" i="5" s="1"/>
  <c r="BC1136" i="5"/>
  <c r="BD1136" i="5" s="1"/>
  <c r="BC32" i="5"/>
  <c r="BD32" i="5" s="1"/>
  <c r="BC270" i="5"/>
  <c r="BD270" i="5" s="1"/>
  <c r="BC121" i="5"/>
  <c r="BD121" i="5" s="1"/>
  <c r="BC742" i="5"/>
  <c r="BD742" i="5" s="1"/>
  <c r="BC1168" i="5"/>
  <c r="BD1168" i="5" s="1"/>
  <c r="BC530" i="5"/>
  <c r="BD530" i="5" s="1"/>
  <c r="BC332" i="5"/>
  <c r="BD332" i="5" s="1"/>
  <c r="BC613" i="5"/>
  <c r="BD613" i="5" s="1"/>
  <c r="BC929" i="5"/>
  <c r="BD929" i="5" s="1"/>
  <c r="BC1230" i="5"/>
  <c r="BD1230" i="5" s="1"/>
  <c r="BC193" i="5"/>
  <c r="BD193" i="5" s="1"/>
  <c r="BC359" i="5"/>
  <c r="BD359" i="5" s="1"/>
  <c r="BC259" i="5"/>
  <c r="BD259" i="5" s="1"/>
  <c r="BC938" i="5"/>
  <c r="BD938" i="5" s="1"/>
  <c r="BC1378" i="5"/>
  <c r="BD1378" i="5" s="1"/>
  <c r="BC624" i="5"/>
  <c r="BD624" i="5" s="1"/>
  <c r="BC1145" i="5"/>
  <c r="BD1145" i="5" s="1"/>
  <c r="BC57" i="5"/>
  <c r="BD57" i="5" s="1"/>
  <c r="BC731" i="5"/>
  <c r="BD731" i="5" s="1"/>
  <c r="BC1302" i="5"/>
  <c r="BD1302" i="5" s="1"/>
  <c r="BC285" i="5"/>
  <c r="BD285" i="5" s="1"/>
  <c r="BC871" i="5"/>
  <c r="BD871" i="5" s="1"/>
  <c r="BC556" i="5"/>
  <c r="BD556" i="5" s="1"/>
  <c r="BC1273" i="5"/>
  <c r="BD1273" i="5" s="1"/>
  <c r="BC727" i="5"/>
  <c r="BD727" i="5" s="1"/>
  <c r="BC1016" i="5"/>
  <c r="BD1016" i="5" s="1"/>
  <c r="BC1309" i="5"/>
  <c r="BD1309" i="5" s="1"/>
  <c r="BC377" i="5"/>
  <c r="BD377" i="5" s="1"/>
  <c r="BC100" i="5"/>
  <c r="BD100" i="5" s="1"/>
  <c r="BC1359" i="5"/>
  <c r="BD1359" i="5" s="1"/>
  <c r="BC568" i="5"/>
  <c r="BD568" i="5" s="1"/>
  <c r="BC687" i="5"/>
  <c r="BD687" i="5" s="1"/>
  <c r="BC794" i="5"/>
  <c r="BD794" i="5" s="1"/>
  <c r="BC97" i="5"/>
  <c r="BD97" i="5" s="1"/>
  <c r="BC337" i="5"/>
  <c r="BD337" i="5" s="1"/>
  <c r="BC831" i="5"/>
  <c r="BD831" i="5" s="1"/>
  <c r="BC1050" i="5"/>
  <c r="BD1050" i="5" s="1"/>
  <c r="BC319" i="5"/>
  <c r="BD319" i="5" s="1"/>
  <c r="BC605" i="5"/>
  <c r="BD605" i="5" s="1"/>
  <c r="BC307" i="5"/>
  <c r="BD307" i="5" s="1"/>
  <c r="BC637" i="5"/>
  <c r="BD637" i="5" s="1"/>
  <c r="BC749" i="5"/>
  <c r="BD749" i="5" s="1"/>
  <c r="BC453" i="5"/>
  <c r="BD453" i="5" s="1"/>
  <c r="BC1040" i="5"/>
  <c r="BD1040" i="5" s="1"/>
  <c r="BC1181" i="5"/>
  <c r="BD1181" i="5" s="1"/>
  <c r="BC726" i="5"/>
  <c r="BD726" i="5" s="1"/>
  <c r="BC1380" i="5"/>
  <c r="BD1380" i="5" s="1"/>
  <c r="BC611" i="5"/>
  <c r="BD611" i="5" s="1"/>
  <c r="BC639" i="5"/>
  <c r="BD639" i="5" s="1"/>
  <c r="BC459" i="5"/>
  <c r="BD459" i="5" s="1"/>
  <c r="BC757" i="5"/>
  <c r="BD757" i="5" s="1"/>
  <c r="BC413" i="5"/>
  <c r="BD413" i="5" s="1"/>
  <c r="BC866" i="5"/>
  <c r="BD866" i="5" s="1"/>
  <c r="BC1281" i="5"/>
  <c r="BD1281" i="5" s="1"/>
  <c r="BC890" i="5"/>
  <c r="BD890" i="5" s="1"/>
  <c r="BC1044" i="5"/>
  <c r="BD1044" i="5" s="1"/>
  <c r="BC1162" i="5"/>
  <c r="BD1162" i="5" s="1"/>
  <c r="BC37" i="5"/>
  <c r="BD37" i="5" s="1"/>
  <c r="BC130" i="5"/>
  <c r="BD130" i="5" s="1"/>
  <c r="BC773" i="5"/>
  <c r="BD773" i="5" s="1"/>
  <c r="BC478" i="5"/>
  <c r="BD478" i="5" s="1"/>
  <c r="BC284" i="5"/>
  <c r="BD284" i="5" s="1"/>
  <c r="BC680" i="5"/>
  <c r="BD680" i="5" s="1"/>
  <c r="BC1197" i="5"/>
  <c r="BD1197" i="5" s="1"/>
  <c r="BC907" i="5"/>
  <c r="BD907" i="5" s="1"/>
  <c r="BC721" i="5"/>
  <c r="BD721" i="5" s="1"/>
  <c r="BC46" i="5"/>
  <c r="BD46" i="5" s="1"/>
  <c r="BC160" i="5"/>
  <c r="BD160" i="5" s="1"/>
  <c r="BC851" i="5"/>
  <c r="BD851" i="5" s="1"/>
  <c r="BC679" i="5"/>
  <c r="BD679" i="5" s="1"/>
  <c r="BC587" i="5"/>
  <c r="BD587" i="5" s="1"/>
  <c r="BC300" i="5"/>
  <c r="BD300" i="5" s="1"/>
  <c r="BC1328" i="5"/>
  <c r="BD1328" i="5" s="1"/>
  <c r="BC595" i="5"/>
  <c r="BD595" i="5" s="1"/>
  <c r="BC922" i="5"/>
  <c r="BD922" i="5" s="1"/>
  <c r="BC1033" i="5"/>
  <c r="BD1033" i="5" s="1"/>
  <c r="BC1080" i="5"/>
  <c r="BD1080" i="5" s="1"/>
  <c r="BC471" i="5"/>
  <c r="BD471" i="5" s="1"/>
  <c r="BC341" i="5"/>
  <c r="BD341" i="5" s="1"/>
  <c r="BC127" i="5"/>
  <c r="BD127" i="5" s="1"/>
  <c r="BC1188" i="5"/>
  <c r="BD1188" i="5" s="1"/>
  <c r="BC168" i="5"/>
  <c r="BD168" i="5" s="1"/>
  <c r="BC563" i="5"/>
  <c r="BD563" i="5" s="1"/>
  <c r="BC197" i="5"/>
  <c r="BD197" i="5" s="1"/>
  <c r="BC514" i="5"/>
  <c r="BD514" i="5" s="1"/>
  <c r="BC958" i="5"/>
  <c r="BD958" i="5" s="1"/>
  <c r="BC582" i="5"/>
  <c r="BD582" i="5" s="1"/>
  <c r="BC785" i="5"/>
  <c r="BD785" i="5" s="1"/>
  <c r="BC362" i="5"/>
  <c r="BD362" i="5" s="1"/>
  <c r="BC346" i="5"/>
  <c r="BD346" i="5" s="1"/>
  <c r="BC490" i="5"/>
  <c r="BD490" i="5" s="1"/>
  <c r="BC964" i="5"/>
  <c r="BD964" i="5" s="1"/>
  <c r="BC1338" i="5"/>
  <c r="BD1338" i="5" s="1"/>
  <c r="BC1272" i="5"/>
  <c r="BD1272" i="5" s="1"/>
  <c r="BC91" i="5"/>
  <c r="BD91" i="5" s="1"/>
  <c r="BC400" i="5"/>
  <c r="BD400" i="5" s="1"/>
  <c r="BC850" i="5"/>
  <c r="BD850" i="5" s="1"/>
  <c r="BC909" i="5"/>
  <c r="BD909" i="5" s="1"/>
  <c r="BC865" i="5"/>
  <c r="BD865" i="5" s="1"/>
  <c r="BC1196" i="5"/>
  <c r="BD1196" i="5" s="1"/>
  <c r="BC848" i="5"/>
  <c r="BD848" i="5" s="1"/>
  <c r="BC826" i="5"/>
  <c r="BD826" i="5" s="1"/>
  <c r="BC373" i="5"/>
  <c r="BD373" i="5" s="1"/>
  <c r="BC1035" i="5"/>
  <c r="BD1035" i="5" s="1"/>
  <c r="BC1354" i="5"/>
  <c r="BD1354" i="5" s="1"/>
  <c r="BC1214" i="5"/>
  <c r="BD1214" i="5" s="1"/>
  <c r="BC305" i="5"/>
  <c r="BD305" i="5" s="1"/>
  <c r="BC258" i="5"/>
  <c r="BD258" i="5" s="1"/>
  <c r="BC286" i="5"/>
  <c r="BD286" i="5" s="1"/>
  <c r="BC609" i="5"/>
  <c r="BD609" i="5" s="1"/>
  <c r="BC868" i="5"/>
  <c r="BD868" i="5" s="1"/>
  <c r="BC1217" i="5"/>
  <c r="BD1217" i="5" s="1"/>
  <c r="BC536" i="5"/>
  <c r="BD536" i="5" s="1"/>
  <c r="BC803" i="5"/>
  <c r="BD803" i="5" s="1"/>
  <c r="BC694" i="5"/>
  <c r="BD694" i="5" s="1"/>
  <c r="BC798" i="5"/>
  <c r="BD798" i="5" s="1"/>
  <c r="BC815" i="5"/>
  <c r="BD815" i="5" s="1"/>
  <c r="BC1131" i="5"/>
  <c r="BD1131" i="5" s="1"/>
  <c r="BC104" i="5"/>
  <c r="BD104" i="5" s="1"/>
  <c r="BC21" i="5"/>
  <c r="BD21" i="5" s="1"/>
  <c r="BC306" i="5"/>
  <c r="BD306" i="5" s="1"/>
  <c r="BC805" i="5"/>
  <c r="BD805" i="5" s="1"/>
  <c r="BC1086" i="5"/>
  <c r="BD1086" i="5" s="1"/>
  <c r="BC436" i="5"/>
  <c r="BD436" i="5" s="1"/>
  <c r="BC844" i="5"/>
  <c r="BD844" i="5" s="1"/>
  <c r="BC3" i="5"/>
  <c r="BD3" i="5" s="1"/>
  <c r="BC49" i="5"/>
  <c r="BD49" i="5" s="1"/>
  <c r="BC198" i="5"/>
  <c r="BD198" i="5" s="1"/>
  <c r="BC110" i="5"/>
  <c r="BD110" i="5" s="1"/>
  <c r="BC657" i="5"/>
  <c r="BD657" i="5" s="1"/>
  <c r="BC393" i="5"/>
  <c r="BD393" i="5" s="1"/>
  <c r="BC488" i="5"/>
  <c r="BD488" i="5" s="1"/>
  <c r="BC407" i="5"/>
  <c r="BD407" i="5" s="1"/>
  <c r="BC701" i="5"/>
  <c r="BD701" i="5" s="1"/>
  <c r="BC996" i="5"/>
  <c r="BD996" i="5" s="1"/>
  <c r="BC484" i="5"/>
  <c r="BD484" i="5" s="1"/>
  <c r="BC870" i="5"/>
  <c r="BD870" i="5" s="1"/>
  <c r="BC142" i="5"/>
  <c r="BD142" i="5" s="1"/>
  <c r="BC1248" i="5"/>
  <c r="BD1248" i="5" s="1"/>
  <c r="BC697" i="5"/>
  <c r="BD697" i="5" s="1"/>
  <c r="BC1105" i="5"/>
  <c r="BD1105" i="5" s="1"/>
  <c r="BC902" i="5"/>
  <c r="BD902" i="5" s="1"/>
  <c r="BC499" i="5"/>
  <c r="BD499" i="5" s="1"/>
  <c r="BC1096" i="5"/>
  <c r="BD1096" i="5" s="1"/>
  <c r="BC41" i="5"/>
  <c r="BD41" i="5" s="1"/>
  <c r="BC69" i="5"/>
  <c r="BD69" i="5" s="1"/>
  <c r="BC254" i="5"/>
  <c r="BD254" i="5" s="1"/>
  <c r="BC577" i="5"/>
  <c r="BD577" i="5" s="1"/>
  <c r="BC986" i="5"/>
  <c r="BD986" i="5" s="1"/>
  <c r="BC426" i="5"/>
  <c r="BD426" i="5" s="1"/>
  <c r="BC204" i="5"/>
  <c r="BD204" i="5" s="1"/>
  <c r="BC512" i="5"/>
  <c r="BD512" i="5" s="1"/>
  <c r="BC129" i="5"/>
  <c r="BD129" i="5" s="1"/>
  <c r="BC246" i="5"/>
  <c r="BD246" i="5" s="1"/>
  <c r="BC1065" i="5"/>
  <c r="BD1065" i="5" s="1"/>
  <c r="BC1208" i="5"/>
  <c r="BD1208" i="5" s="1"/>
  <c r="BC155" i="5"/>
  <c r="BD155" i="5" s="1"/>
  <c r="BC950" i="5"/>
  <c r="BD950" i="5" s="1"/>
  <c r="BC216" i="5"/>
  <c r="BD216" i="5" s="1"/>
  <c r="BC1112" i="5"/>
  <c r="BD1112" i="5" s="1"/>
  <c r="BC1297" i="5"/>
  <c r="BD1297" i="5" s="1"/>
  <c r="BC766" i="5"/>
  <c r="BD766" i="5" s="1"/>
  <c r="BC1198" i="5"/>
  <c r="BD1198" i="5" s="1"/>
  <c r="BC1347" i="5"/>
  <c r="BD1347" i="5" s="1"/>
  <c r="BC248" i="5"/>
  <c r="BD248" i="5" s="1"/>
  <c r="BC531" i="5"/>
  <c r="BD531" i="5" s="1"/>
  <c r="BC1178" i="5"/>
  <c r="BD1178" i="5" s="1"/>
  <c r="BC1402" i="5"/>
  <c r="BD1402" i="5" s="1"/>
  <c r="BC810" i="5"/>
  <c r="BD810" i="5" s="1"/>
  <c r="BC283" i="5"/>
  <c r="BD283" i="5" s="1"/>
  <c r="BC537" i="5"/>
  <c r="BD537" i="5" s="1"/>
  <c r="BC965" i="5"/>
  <c r="BD965" i="5" s="1"/>
  <c r="BC966" i="5"/>
  <c r="BD966" i="5" s="1"/>
  <c r="BC162" i="5"/>
  <c r="BD162" i="5" s="1"/>
  <c r="BC58" i="5"/>
  <c r="BD58" i="5" s="1"/>
  <c r="BC961" i="5"/>
  <c r="BD961" i="5" s="1"/>
  <c r="BC79" i="5"/>
  <c r="BD79" i="5" s="1"/>
  <c r="BC262" i="5"/>
  <c r="BD262" i="5" s="1"/>
  <c r="BC963" i="5"/>
  <c r="BD963" i="5" s="1"/>
  <c r="BC72" i="5"/>
  <c r="BD72" i="5" s="1"/>
  <c r="BC439" i="5"/>
  <c r="BD439" i="5" s="1"/>
  <c r="BC758" i="5"/>
  <c r="BD758" i="5" s="1"/>
  <c r="BC126" i="5"/>
  <c r="BD126" i="5" s="1"/>
  <c r="BC824" i="5"/>
  <c r="BD824" i="5" s="1"/>
  <c r="BC1388" i="5"/>
  <c r="BD1388" i="5" s="1"/>
  <c r="BC930" i="5"/>
  <c r="BD930" i="5" s="1"/>
  <c r="BC735" i="5"/>
  <c r="BD735" i="5" s="1"/>
  <c r="BC1322" i="5"/>
  <c r="BD1322" i="5" s="1"/>
  <c r="BC934" i="5"/>
  <c r="BD934" i="5" s="1"/>
  <c r="BC906" i="5"/>
  <c r="BD906" i="5" s="1"/>
  <c r="BC1147" i="5"/>
  <c r="BD1147" i="5" s="1"/>
  <c r="BC1060" i="5"/>
  <c r="BD1060" i="5" s="1"/>
  <c r="BC1201" i="5"/>
  <c r="BD1201" i="5" s="1"/>
  <c r="BC1311" i="5"/>
  <c r="BD1311" i="5" s="1"/>
  <c r="BC365" i="5"/>
  <c r="BD365" i="5" s="1"/>
  <c r="BC1166" i="5"/>
  <c r="BD1166" i="5" s="1"/>
  <c r="BC1382" i="5"/>
  <c r="BD1382" i="5" s="1"/>
  <c r="BC171" i="5"/>
  <c r="BD171" i="5" s="1"/>
  <c r="BC191" i="5"/>
  <c r="BD191" i="5" s="1"/>
  <c r="BC808" i="5"/>
  <c r="BD808" i="5" s="1"/>
  <c r="BC86" i="5"/>
  <c r="BD86" i="5" s="1"/>
  <c r="BC358" i="5"/>
  <c r="BD358" i="5" s="1"/>
  <c r="BC753" i="5"/>
  <c r="BD753" i="5" s="1"/>
  <c r="BC1243" i="5"/>
  <c r="BD1243" i="5" s="1"/>
  <c r="BC658" i="5"/>
  <c r="BD658" i="5" s="1"/>
  <c r="BC642" i="5"/>
  <c r="BD642" i="5" s="1"/>
  <c r="BC1252" i="5"/>
  <c r="BD1252" i="5" s="1"/>
  <c r="BC801" i="5"/>
  <c r="BD801" i="5" s="1"/>
  <c r="BC325" i="5"/>
  <c r="BD325" i="5" s="1"/>
  <c r="BC521" i="5"/>
  <c r="BD521" i="5" s="1"/>
  <c r="BC875" i="5"/>
  <c r="BD875" i="5" s="1"/>
  <c r="BC1070" i="5"/>
  <c r="BD1070" i="5" s="1"/>
  <c r="BC1326" i="5"/>
  <c r="BD1326" i="5" s="1"/>
  <c r="BC74" i="5"/>
  <c r="BD74" i="5" s="1"/>
  <c r="BC1114" i="5"/>
  <c r="BD1114" i="5" s="1"/>
  <c r="BC23" i="5"/>
  <c r="BD23" i="5" s="1"/>
  <c r="BC343" i="5"/>
  <c r="BD343" i="5" s="1"/>
  <c r="BC631" i="5"/>
  <c r="BD631" i="5" s="1"/>
  <c r="BC55" i="5"/>
  <c r="BD55" i="5" s="1"/>
  <c r="BC651" i="5"/>
  <c r="BD651" i="5" s="1"/>
  <c r="BC703" i="5"/>
  <c r="BD703" i="5" s="1"/>
  <c r="BC51" i="5"/>
  <c r="BD51" i="5" s="1"/>
  <c r="BC355" i="5"/>
  <c r="BD355" i="5" s="1"/>
  <c r="BC676" i="5"/>
  <c r="BD676" i="5" s="1"/>
  <c r="BC542" i="5"/>
  <c r="BD542" i="5" s="1"/>
  <c r="BC1226" i="5"/>
  <c r="BD1226" i="5" s="1"/>
  <c r="BC643" i="5"/>
  <c r="BD643" i="5" s="1"/>
  <c r="BC438" i="5"/>
  <c r="BD438" i="5" s="1"/>
  <c r="BC1095" i="5"/>
  <c r="BD1095" i="5" s="1"/>
  <c r="BC1059" i="5"/>
  <c r="BD1059" i="5" s="1"/>
  <c r="BC411" i="5"/>
  <c r="BD411" i="5" s="1"/>
  <c r="BC622" i="5"/>
  <c r="BD622" i="5" s="1"/>
  <c r="BC84" i="5"/>
  <c r="BD84" i="5" s="1"/>
  <c r="BC350" i="5"/>
  <c r="BD350" i="5" s="1"/>
  <c r="BC279" i="5"/>
  <c r="BD279" i="5" s="1"/>
  <c r="BC418" i="5"/>
  <c r="BD418" i="5" s="1"/>
  <c r="BC101" i="5"/>
  <c r="BD101" i="5" s="1"/>
  <c r="BC659" i="5"/>
  <c r="BD659" i="5" s="1"/>
  <c r="BC388" i="5"/>
  <c r="BD388" i="5" s="1"/>
  <c r="BC836" i="5"/>
  <c r="BD836" i="5" s="1"/>
  <c r="BC149" i="5"/>
  <c r="BD149" i="5" s="1"/>
  <c r="BC391" i="5"/>
  <c r="BD391" i="5" s="1"/>
  <c r="BC1264" i="5"/>
  <c r="BD1264" i="5" s="1"/>
  <c r="BC686" i="5"/>
  <c r="BD686" i="5" s="1"/>
  <c r="BC1101" i="5"/>
  <c r="BD1101" i="5" s="1"/>
  <c r="BC1240" i="5"/>
  <c r="BD1240" i="5" s="1"/>
  <c r="BC157" i="5"/>
  <c r="BD157" i="5" s="1"/>
  <c r="BC769" i="5"/>
  <c r="BD769" i="5" s="1"/>
  <c r="BC968" i="5"/>
  <c r="BD968" i="5" s="1"/>
  <c r="BC1389" i="5"/>
  <c r="BD1389" i="5" s="1"/>
  <c r="BC594" i="5"/>
  <c r="BD594" i="5" s="1"/>
  <c r="BC1256" i="5"/>
  <c r="BD1256" i="5" s="1"/>
  <c r="BC17" i="5"/>
  <c r="BD17" i="5" s="1"/>
  <c r="BC630" i="5"/>
  <c r="BD630" i="5" s="1"/>
  <c r="BC946" i="5"/>
  <c r="BD946" i="5" s="1"/>
  <c r="BC1062" i="5"/>
  <c r="BD1062" i="5" s="1"/>
  <c r="BC1115" i="5"/>
  <c r="BD1115" i="5" s="1"/>
  <c r="BC473" i="5"/>
  <c r="BD473" i="5" s="1"/>
  <c r="BC518" i="5"/>
  <c r="BD518" i="5" s="1"/>
  <c r="BC431" i="5"/>
  <c r="BD431" i="5" s="1"/>
  <c r="BC653" i="5"/>
  <c r="BD653" i="5" s="1"/>
  <c r="BC858" i="5"/>
  <c r="BD858" i="5" s="1"/>
  <c r="BC1049" i="5"/>
  <c r="BD1049" i="5" s="1"/>
  <c r="BC374" i="5"/>
  <c r="BD374" i="5" s="1"/>
  <c r="BC564" i="5"/>
  <c r="BD564" i="5" s="1"/>
  <c r="BC638" i="5"/>
  <c r="BD638" i="5" s="1"/>
  <c r="BC891" i="5"/>
  <c r="BD891" i="5" s="1"/>
  <c r="BC405" i="5"/>
  <c r="BD405" i="5" s="1"/>
  <c r="BC993" i="5"/>
  <c r="BD993" i="5" s="1"/>
  <c r="BC1375" i="5"/>
  <c r="BD1375" i="5" s="1"/>
  <c r="BC581" i="5"/>
  <c r="BD581" i="5" s="1"/>
  <c r="BC763" i="5"/>
  <c r="BD763" i="5" s="1"/>
  <c r="BC237" i="5"/>
  <c r="BD237" i="5" s="1"/>
  <c r="BC621" i="5"/>
  <c r="BD621" i="5" s="1"/>
  <c r="BC1110" i="5"/>
  <c r="BD1110" i="5" s="1"/>
  <c r="BC1376" i="5"/>
  <c r="BD1376" i="5" s="1"/>
  <c r="BC496" i="5"/>
  <c r="BD496" i="5" s="1"/>
  <c r="BC628" i="5"/>
  <c r="BD628" i="5" s="1"/>
  <c r="BC1263" i="5"/>
  <c r="BD1263" i="5" s="1"/>
  <c r="BC1084" i="5"/>
  <c r="BD1084" i="5" s="1"/>
  <c r="BC998" i="5"/>
  <c r="BD998" i="5" s="1"/>
  <c r="BC1268" i="5"/>
  <c r="BD1268" i="5" s="1"/>
  <c r="BC1057" i="5"/>
  <c r="BD1057" i="5" s="1"/>
  <c r="BC234" i="5"/>
  <c r="BD234" i="5" s="1"/>
  <c r="BC123" i="5"/>
  <c r="BD123" i="5" s="1"/>
  <c r="BC424" i="5"/>
  <c r="BD424" i="5" s="1"/>
  <c r="BC562" i="5"/>
  <c r="BD562" i="5" s="1"/>
  <c r="BC893" i="5"/>
  <c r="BD893" i="5" s="1"/>
  <c r="BC1270" i="5"/>
  <c r="BD1270" i="5" s="1"/>
  <c r="BC109" i="5"/>
  <c r="BD109" i="5" s="1"/>
  <c r="BC317" i="5"/>
  <c r="BD317" i="5" s="1"/>
  <c r="BC1207" i="5"/>
  <c r="BD1207" i="5" s="1"/>
  <c r="BC585" i="5"/>
  <c r="BD585" i="5" s="1"/>
  <c r="BC1138" i="5"/>
  <c r="BD1138" i="5" s="1"/>
  <c r="BC931" i="5"/>
  <c r="BD931" i="5" s="1"/>
  <c r="BC495" i="5"/>
  <c r="BD495" i="5" s="1"/>
  <c r="BC66" i="5"/>
  <c r="BD66" i="5" s="1"/>
  <c r="BC1255" i="5"/>
  <c r="BD1255" i="5" s="1"/>
  <c r="BC497" i="5"/>
  <c r="BD497" i="5" s="1"/>
  <c r="BC670" i="5"/>
  <c r="BD670" i="5" s="1"/>
  <c r="BC719" i="5"/>
  <c r="BD719" i="5" s="1"/>
  <c r="BC578" i="5"/>
  <c r="BD578" i="5" s="1"/>
  <c r="BC39" i="5"/>
  <c r="BD39" i="5" s="1"/>
  <c r="BC444" i="5"/>
  <c r="BD444" i="5" s="1"/>
  <c r="BC253" i="5"/>
  <c r="BD253" i="5" s="1"/>
  <c r="BC187" i="5"/>
  <c r="BD187" i="5" s="1"/>
  <c r="BC812" i="5"/>
  <c r="BD812" i="5" s="1"/>
  <c r="BC124" i="5"/>
  <c r="BD124" i="5" s="1"/>
  <c r="BC203" i="5"/>
  <c r="BD203" i="5" s="1"/>
  <c r="BC745" i="5"/>
  <c r="BD745" i="5" s="1"/>
  <c r="BC156" i="5"/>
  <c r="BD156" i="5" s="1"/>
  <c r="BC293" i="5"/>
  <c r="BD293" i="5" s="1"/>
  <c r="BC732" i="5"/>
  <c r="BD732" i="5" s="1"/>
  <c r="BC209" i="5"/>
  <c r="BD209" i="5" s="1"/>
  <c r="BC937" i="5"/>
  <c r="BD937" i="5" s="1"/>
  <c r="BC1323" i="5"/>
  <c r="BD1323" i="5" s="1"/>
  <c r="BC432" i="5"/>
  <c r="BD432" i="5" s="1"/>
  <c r="BC1007" i="5"/>
  <c r="BD1007" i="5" s="1"/>
  <c r="BC1156" i="5"/>
  <c r="BD1156" i="5" s="1"/>
  <c r="BC951" i="5"/>
  <c r="BD951" i="5" s="1"/>
  <c r="BC1027" i="5"/>
  <c r="BD1027" i="5" s="1"/>
  <c r="BC593" i="5"/>
  <c r="BD593" i="5" s="1"/>
  <c r="BC1314" i="5"/>
  <c r="BD1314" i="5" s="1"/>
  <c r="BC1157" i="5"/>
  <c r="BD1157" i="5" s="1"/>
  <c r="BC275" i="5"/>
  <c r="BD275" i="5" s="1"/>
  <c r="BC245" i="5"/>
  <c r="BD245" i="5" s="1"/>
  <c r="BC535" i="5"/>
  <c r="BD535" i="5" s="1"/>
  <c r="BC1142" i="5"/>
  <c r="BD1142" i="5" s="1"/>
  <c r="BC1121" i="5"/>
  <c r="BD1121" i="5" s="1"/>
  <c r="BC1254" i="5"/>
  <c r="BD1254" i="5" s="1"/>
  <c r="BC991" i="5"/>
  <c r="BD991" i="5" s="1"/>
  <c r="BC186" i="5"/>
  <c r="BD186" i="5" s="1"/>
  <c r="BC1108" i="5"/>
  <c r="BD1108" i="5" s="1"/>
  <c r="BC1341" i="5"/>
  <c r="BD1341" i="5" s="1"/>
  <c r="BC403" i="5"/>
  <c r="BD403" i="5" s="1"/>
  <c r="BC949" i="5"/>
  <c r="BD949" i="5" s="1"/>
  <c r="BC625" i="5"/>
  <c r="BD625" i="5" s="1"/>
  <c r="BC1318" i="5"/>
  <c r="BD1318" i="5" s="1"/>
  <c r="BC477" i="5"/>
  <c r="BD477" i="5" s="1"/>
  <c r="BC1058" i="5"/>
  <c r="BD1058" i="5" s="1"/>
  <c r="BC606" i="5"/>
  <c r="BD606" i="5" s="1"/>
  <c r="BC927" i="5"/>
  <c r="BD927" i="5" s="1"/>
  <c r="BC289" i="5"/>
  <c r="BD289" i="5" s="1"/>
  <c r="BC899" i="5"/>
  <c r="BD899" i="5" s="1"/>
  <c r="BC778" i="5"/>
  <c r="BD778" i="5" s="1"/>
  <c r="BC1192" i="5"/>
  <c r="BD1192" i="5" s="1"/>
  <c r="BC1163" i="5"/>
  <c r="BD1163" i="5" s="1"/>
  <c r="BC1374" i="5"/>
  <c r="BD1374" i="5" s="1"/>
  <c r="BC743" i="5"/>
  <c r="BD743" i="5" s="1"/>
  <c r="BC1295" i="5"/>
  <c r="BD1295" i="5" s="1"/>
  <c r="BC50" i="5"/>
  <c r="BD50" i="5" s="1"/>
  <c r="BC915" i="5"/>
  <c r="BD915" i="5" s="1"/>
  <c r="BC988" i="5"/>
  <c r="BD988" i="5" s="1"/>
  <c r="BC1299" i="5"/>
  <c r="BD1299" i="5" s="1"/>
  <c r="BC1171" i="5"/>
  <c r="BD1171" i="5" s="1"/>
  <c r="BC27" i="5"/>
  <c r="BD27" i="5" s="1"/>
  <c r="BC573" i="5"/>
  <c r="BD573" i="5" s="1"/>
  <c r="BC83" i="5"/>
  <c r="BD83" i="5" s="1"/>
  <c r="BC881" i="5"/>
  <c r="BD881" i="5" s="1"/>
  <c r="BC287" i="5"/>
  <c r="BD287" i="5" s="1"/>
  <c r="BC1005" i="5"/>
  <c r="BD1005" i="5" s="1"/>
  <c r="BC1064" i="5"/>
  <c r="BD1064" i="5" s="1"/>
  <c r="BC939" i="5"/>
  <c r="BD939" i="5" s="1"/>
  <c r="BC975" i="5"/>
  <c r="BD975" i="5" s="1"/>
  <c r="BC1400" i="5"/>
  <c r="BD1400" i="5" s="1"/>
  <c r="BC1222" i="5"/>
  <c r="BD1222" i="5" s="1"/>
  <c r="BC1358" i="5"/>
  <c r="BD1358" i="5" s="1"/>
  <c r="BC1390" i="5"/>
  <c r="BD1390" i="5" s="1"/>
  <c r="BC274" i="5"/>
  <c r="BD274" i="5" s="1"/>
  <c r="BC1021" i="5"/>
  <c r="BD1021" i="5" s="1"/>
  <c r="BC1303" i="5"/>
  <c r="BD1303" i="5" s="1"/>
  <c r="BC990" i="5"/>
  <c r="BD990" i="5" s="1"/>
  <c r="BC997" i="5"/>
  <c r="BD997" i="5" s="1"/>
  <c r="BC324" i="5"/>
  <c r="BD324" i="5" s="1"/>
  <c r="BC1239" i="5"/>
  <c r="BD1239" i="5" s="1"/>
  <c r="BC152" i="5"/>
  <c r="BD152" i="5" s="1"/>
  <c r="BC261" i="5"/>
  <c r="BD261" i="5" s="1"/>
  <c r="BC522" i="5"/>
  <c r="BD522" i="5" s="1"/>
  <c r="BC923" i="5"/>
  <c r="BD923" i="5" s="1"/>
  <c r="BC235" i="5"/>
  <c r="BD235" i="5" s="1"/>
  <c r="BC1075" i="5"/>
  <c r="BD1075" i="5" s="1"/>
  <c r="BC148" i="5"/>
  <c r="BD148" i="5" s="1"/>
  <c r="BC266" i="5"/>
  <c r="BD266" i="5" s="1"/>
  <c r="BC977" i="5"/>
  <c r="BD977" i="5" s="1"/>
  <c r="BC1370" i="5"/>
  <c r="BD1370" i="5" s="1"/>
  <c r="BC1043" i="5"/>
  <c r="BD1043" i="5" s="1"/>
  <c r="BC159" i="5"/>
  <c r="BD159" i="5" s="1"/>
  <c r="BC47" i="5"/>
  <c r="BD47" i="5" s="1"/>
  <c r="BC178" i="5"/>
  <c r="BD178" i="5" s="1"/>
  <c r="BC460" i="5"/>
  <c r="BD460" i="5" s="1"/>
  <c r="BC1038" i="5"/>
  <c r="BD1038" i="5" s="1"/>
  <c r="BC853" i="5"/>
  <c r="BD853" i="5" s="1"/>
  <c r="BC1179" i="5"/>
  <c r="BD1179" i="5" s="1"/>
  <c r="BC1190" i="5"/>
  <c r="BD1190" i="5" s="1"/>
  <c r="BC48" i="5"/>
  <c r="BD48" i="5" s="1"/>
  <c r="BC172" i="5"/>
  <c r="BD172" i="5" s="1"/>
  <c r="BC423" i="5"/>
  <c r="BD423" i="5" s="1"/>
  <c r="BC322" i="5"/>
  <c r="BD322" i="5" s="1"/>
  <c r="BC629" i="5"/>
  <c r="BD629" i="5" s="1"/>
  <c r="BC711" i="5"/>
  <c r="BD711" i="5" s="1"/>
  <c r="BC195" i="5"/>
  <c r="BD195" i="5" s="1"/>
  <c r="BC576" i="5"/>
  <c r="BD576" i="5" s="1"/>
  <c r="BC228" i="5"/>
  <c r="BD228" i="5" s="1"/>
  <c r="BC607" i="5"/>
  <c r="BD607" i="5" s="1"/>
  <c r="BC1258" i="5"/>
  <c r="BD1258" i="5" s="1"/>
  <c r="BC854" i="5"/>
  <c r="BD854" i="5" s="1"/>
  <c r="BC116" i="5"/>
  <c r="BD116" i="5" s="1"/>
  <c r="BC416" i="5"/>
  <c r="BD416" i="5" s="1"/>
  <c r="BC755" i="5"/>
  <c r="BD755" i="5" s="1"/>
  <c r="BC1253" i="5"/>
  <c r="BD1253" i="5" s="1"/>
  <c r="BC884" i="5"/>
  <c r="BD884" i="5" s="1"/>
  <c r="BC297" i="5"/>
  <c r="BD297" i="5" s="1"/>
  <c r="BC736" i="5"/>
  <c r="BD736" i="5" s="1"/>
  <c r="BC54" i="5"/>
  <c r="BD54" i="5" s="1"/>
  <c r="BC466" i="5"/>
  <c r="BD466" i="5" s="1"/>
  <c r="BC1085" i="5"/>
  <c r="BD1085" i="5" s="1"/>
  <c r="BC1193" i="5"/>
  <c r="BD1193" i="5" s="1"/>
  <c r="BC1046" i="5"/>
  <c r="BD1046" i="5" s="1"/>
  <c r="BC887" i="5"/>
  <c r="BD887" i="5" s="1"/>
  <c r="BC1267" i="5"/>
  <c r="BD1267" i="5" s="1"/>
  <c r="BC443" i="5"/>
  <c r="BD443" i="5" s="1"/>
  <c r="BC783" i="5"/>
  <c r="BD783" i="5" s="1"/>
  <c r="BC889" i="5"/>
  <c r="BD889" i="5" s="1"/>
  <c r="BC1366" i="5"/>
  <c r="BD1366" i="5" s="1"/>
  <c r="BC272" i="5"/>
  <c r="BD272" i="5" s="1"/>
  <c r="BC864" i="5"/>
  <c r="BD864" i="5" s="1"/>
  <c r="BC1152" i="5"/>
  <c r="BD1152" i="5" s="1"/>
  <c r="BC1285" i="5"/>
  <c r="BD1285" i="5" s="1"/>
  <c r="BC524" i="5"/>
  <c r="BD524" i="5" s="1"/>
  <c r="BC1261" i="5"/>
  <c r="BD1261" i="5" s="1"/>
  <c r="BC852" i="5"/>
  <c r="BD852" i="5" s="1"/>
  <c r="BC1000" i="5"/>
  <c r="BD1000" i="5" s="1"/>
  <c r="BC312" i="5"/>
  <c r="BD312" i="5" s="1"/>
  <c r="BC185" i="5"/>
  <c r="BD185" i="5" s="1"/>
  <c r="BC728" i="5"/>
  <c r="BD728" i="5" s="1"/>
  <c r="BC1364" i="5"/>
  <c r="BD1364" i="5" s="1"/>
  <c r="BC1204" i="5"/>
  <c r="BD1204" i="5" s="1"/>
  <c r="BC1335" i="5"/>
  <c r="BD1335" i="5" s="1"/>
  <c r="BC807" i="5"/>
  <c r="BD807" i="5" s="1"/>
  <c r="BC1002" i="5"/>
  <c r="BD1002" i="5" s="1"/>
  <c r="BC1199" i="5"/>
  <c r="BD1199" i="5" s="1"/>
  <c r="BC111" i="5"/>
  <c r="BD111" i="5" s="1"/>
  <c r="BC296" i="5"/>
  <c r="BD296" i="5" s="1"/>
  <c r="BC425" i="5"/>
  <c r="BD425" i="5" s="1"/>
  <c r="BC336" i="5"/>
  <c r="BD336" i="5" s="1"/>
  <c r="BC404" i="5"/>
  <c r="BD404" i="5" s="1"/>
  <c r="BC256" i="5"/>
  <c r="BD256" i="5" s="1"/>
  <c r="BC635" i="5"/>
  <c r="BD635" i="5" s="1"/>
  <c r="BC1137" i="5"/>
  <c r="BD1137" i="5" s="1"/>
  <c r="BC1276" i="5"/>
  <c r="BD1276" i="5" s="1"/>
  <c r="BC59" i="5"/>
  <c r="BD59" i="5" s="1"/>
  <c r="BC1250" i="5"/>
  <c r="BD1250" i="5" s="1"/>
  <c r="BC295" i="5"/>
  <c r="BD295" i="5" s="1"/>
  <c r="BC591" i="5"/>
  <c r="BD591" i="5" s="1"/>
  <c r="BC1164" i="5"/>
  <c r="BD1164" i="5" s="1"/>
  <c r="BC1293" i="5"/>
  <c r="BD1293" i="5" s="1"/>
  <c r="BC1127" i="5"/>
  <c r="BD1127" i="5" s="1"/>
  <c r="BC1269" i="5"/>
  <c r="BD1269" i="5" s="1"/>
  <c r="BC1401" i="5"/>
  <c r="BD1401" i="5" s="1"/>
  <c r="BC77" i="5"/>
  <c r="BD77" i="5" s="1"/>
  <c r="BC876" i="5"/>
  <c r="BD876" i="5" s="1"/>
  <c r="BC1249" i="5"/>
  <c r="BD1249" i="5" s="1"/>
  <c r="BC882" i="5"/>
  <c r="BD882" i="5" s="1"/>
  <c r="BC440" i="5"/>
  <c r="BD440" i="5" s="1"/>
  <c r="BC710" i="5"/>
  <c r="BD710" i="5" s="1"/>
  <c r="BC363" i="5"/>
  <c r="BD363" i="5" s="1"/>
  <c r="BC263" i="5"/>
  <c r="BD263" i="5" s="1"/>
  <c r="BC608" i="5"/>
  <c r="BD608" i="5" s="1"/>
  <c r="BC654" i="5"/>
  <c r="BD654" i="5" s="1"/>
  <c r="BC733" i="5"/>
  <c r="BD733" i="5" s="1"/>
  <c r="BC1123" i="5"/>
  <c r="BD1123" i="5" s="1"/>
  <c r="BC1398" i="5"/>
  <c r="BD1398" i="5" s="1"/>
  <c r="BC920" i="5"/>
  <c r="BD920" i="5" s="1"/>
  <c r="BC908" i="5"/>
  <c r="BD908" i="5" s="1"/>
  <c r="BC765" i="5"/>
  <c r="BD765" i="5" s="1"/>
  <c r="BC799" i="5"/>
  <c r="BD799" i="5" s="1"/>
  <c r="BC1278" i="5"/>
  <c r="BD1278" i="5" s="1"/>
  <c r="BC462" i="5"/>
  <c r="BD462" i="5" s="1"/>
  <c r="BC623" i="5"/>
  <c r="BD623" i="5" s="1"/>
  <c r="BC1277" i="5"/>
  <c r="BD1277" i="5" s="1"/>
  <c r="BC223" i="5"/>
  <c r="BD223" i="5" s="1"/>
  <c r="BC230" i="5"/>
  <c r="BD230" i="5" s="1"/>
  <c r="BC569" i="5"/>
  <c r="BD569" i="5" s="1"/>
  <c r="BC364" i="5"/>
  <c r="BD364" i="5" s="1"/>
  <c r="BC1361" i="5"/>
  <c r="BD1361" i="5" s="1"/>
  <c r="BC1154" i="5"/>
  <c r="BD1154" i="5" s="1"/>
  <c r="BC1223" i="5"/>
  <c r="BD1223" i="5" s="1"/>
  <c r="BC1332" i="5"/>
  <c r="BD1332" i="5" s="1"/>
  <c r="BC1404" i="5"/>
  <c r="BD1404" i="5" s="1"/>
  <c r="BC170" i="5"/>
  <c r="BD170" i="5" s="1"/>
  <c r="BC526" i="5"/>
  <c r="BD526" i="5" s="1"/>
  <c r="BC99" i="5"/>
  <c r="BD99" i="5" s="1"/>
  <c r="BC282" i="5"/>
  <c r="BD282" i="5" s="1"/>
  <c r="BC1144" i="5"/>
  <c r="BD1144" i="5" s="1"/>
  <c r="BC241" i="5"/>
  <c r="BD241" i="5" s="1"/>
  <c r="BC1132" i="5"/>
  <c r="BD1132" i="5" s="1"/>
  <c r="BC788" i="5"/>
  <c r="BD788" i="5" s="1"/>
  <c r="BC843" i="5"/>
  <c r="BD843" i="5" s="1"/>
  <c r="BC1282" i="5"/>
  <c r="BD1282" i="5" s="1"/>
  <c r="BC741" i="5"/>
  <c r="BD741" i="5" s="1"/>
  <c r="BC888" i="5"/>
  <c r="BD888" i="5" s="1"/>
  <c r="BC1289" i="5"/>
  <c r="BD1289" i="5" s="1"/>
  <c r="BC240" i="5"/>
  <c r="BD240" i="5" s="1"/>
  <c r="BC408" i="5"/>
  <c r="BD408" i="5" s="1"/>
  <c r="BC574" i="5"/>
  <c r="BD574" i="5" s="1"/>
  <c r="BC225" i="5"/>
  <c r="BD225" i="5" s="1"/>
  <c r="BC771" i="5"/>
  <c r="BD771" i="5" s="1"/>
  <c r="BC947" i="5"/>
  <c r="BD947" i="5" s="1"/>
  <c r="BC1094" i="5"/>
  <c r="BD1094" i="5" s="1"/>
  <c r="BC1368" i="5"/>
  <c r="BD1368" i="5" s="1"/>
  <c r="BC487" i="5"/>
  <c r="BD487" i="5" s="1"/>
  <c r="BC1107" i="5"/>
  <c r="BD1107" i="5" s="1"/>
  <c r="BC1257" i="5"/>
  <c r="BD1257" i="5" s="1"/>
  <c r="BC1393" i="5"/>
  <c r="BD1393" i="5" s="1"/>
  <c r="BC6" i="5"/>
  <c r="BD6" i="5" s="1"/>
  <c r="BC242" i="5"/>
  <c r="BD242" i="5" s="1"/>
  <c r="BC800" i="5"/>
  <c r="BD800" i="5" s="1"/>
  <c r="BC1286" i="5"/>
  <c r="BD1286" i="5" s="1"/>
  <c r="BC729" i="5"/>
  <c r="BD729" i="5" s="1"/>
  <c r="BC1225" i="5"/>
  <c r="BD1225" i="5" s="1"/>
  <c r="BC1294" i="5"/>
  <c r="BD1294" i="5" s="1"/>
  <c r="BC786" i="5"/>
  <c r="BD786" i="5" s="1"/>
  <c r="BC1283" i="5"/>
  <c r="BD1283" i="5" s="1"/>
  <c r="BC31" i="5"/>
  <c r="BD31" i="5" s="1"/>
  <c r="BC65" i="5"/>
  <c r="BD65" i="5" s="1"/>
  <c r="BC182" i="5"/>
  <c r="BD182" i="5" s="1"/>
  <c r="BC205" i="5"/>
  <c r="BD205" i="5" s="1"/>
  <c r="BC361" i="5"/>
  <c r="BD361" i="5" s="1"/>
  <c r="BC64" i="5"/>
  <c r="BD64" i="5" s="1"/>
  <c r="BC571" i="5"/>
  <c r="BD571" i="5" s="1"/>
  <c r="BC919" i="5"/>
  <c r="BD919" i="5" s="1"/>
  <c r="BC1076" i="5"/>
  <c r="BD1076" i="5" s="1"/>
  <c r="BC1274" i="5"/>
  <c r="BD1274" i="5" s="1"/>
  <c r="BC167" i="5"/>
  <c r="BD167" i="5" s="1"/>
  <c r="BC494" i="5"/>
  <c r="BD494" i="5" s="1"/>
  <c r="BC981" i="5"/>
  <c r="BD981" i="5" s="1"/>
  <c r="BC827" i="5"/>
  <c r="BD827" i="5" s="1"/>
  <c r="BC1215" i="5"/>
  <c r="BD1215" i="5" s="1"/>
  <c r="BC1073" i="5"/>
  <c r="BD1073" i="5" s="1"/>
  <c r="BC1391" i="5"/>
  <c r="BD1391" i="5" s="1"/>
  <c r="BC1220" i="5"/>
  <c r="BD1220" i="5" s="1"/>
  <c r="BC725" i="5"/>
  <c r="BD725" i="5" s="1"/>
  <c r="BC19" i="5"/>
  <c r="BD19" i="5" s="1"/>
  <c r="BC734" i="5"/>
  <c r="BD734" i="5" s="1"/>
  <c r="BC231" i="5"/>
  <c r="BD231" i="5" s="1"/>
  <c r="BC690" i="5"/>
  <c r="BD690" i="5" s="1"/>
  <c r="BC184" i="5"/>
  <c r="BD184" i="5" s="1"/>
  <c r="BC775" i="5"/>
  <c r="BD775" i="5" s="1"/>
  <c r="BC1093" i="5"/>
  <c r="BD1093" i="5" s="1"/>
  <c r="BC1385" i="5"/>
  <c r="BD1385" i="5" s="1"/>
  <c r="BC714" i="5"/>
  <c r="BD714" i="5" s="1"/>
  <c r="BC194" i="5"/>
  <c r="BD194" i="5" s="1"/>
  <c r="BC206" i="5"/>
  <c r="BD206" i="5" s="1"/>
  <c r="BC516" i="5"/>
  <c r="BD516" i="5" s="1"/>
  <c r="BC1306" i="5"/>
  <c r="BD1306" i="5" s="1"/>
  <c r="BC1325" i="5"/>
  <c r="BD1325" i="5" s="1"/>
  <c r="BC869" i="5"/>
  <c r="BD869" i="5" s="1"/>
  <c r="BC1298" i="5"/>
  <c r="BD1298" i="5" s="1"/>
  <c r="BC976" i="5"/>
  <c r="BD976" i="5" s="1"/>
  <c r="BC804" i="5"/>
  <c r="BD804" i="5" s="1"/>
  <c r="BC1143" i="5"/>
  <c r="BD1143" i="5" s="1"/>
  <c r="BC1284" i="5"/>
  <c r="BD1284" i="5" s="1"/>
  <c r="BC1019" i="5"/>
  <c r="BD1019" i="5" s="1"/>
  <c r="BC1271" i="5"/>
  <c r="BD1271" i="5" s="1"/>
  <c r="BC1353" i="5"/>
  <c r="BD1353" i="5" s="1"/>
  <c r="BC914" i="5"/>
  <c r="BD914" i="5" s="1"/>
  <c r="BC538" i="5"/>
  <c r="BD538" i="5" s="1"/>
  <c r="BC647" i="5"/>
  <c r="BD647" i="5" s="1"/>
  <c r="BC856" i="5"/>
  <c r="BD856" i="5" s="1"/>
  <c r="BC1063" i="5"/>
  <c r="BD1063" i="5" s="1"/>
  <c r="BC688" i="5"/>
  <c r="BD688" i="5" s="1"/>
  <c r="BC1313" i="5"/>
  <c r="BD1313" i="5" s="1"/>
  <c r="BC1036" i="5"/>
  <c r="BD1036" i="5" s="1"/>
  <c r="BC693" i="5"/>
  <c r="BD693" i="5" s="1"/>
  <c r="BC1045" i="5"/>
  <c r="BD1045" i="5" s="1"/>
  <c r="BC1185" i="5"/>
  <c r="BD1185" i="5" s="1"/>
  <c r="BC1321" i="5"/>
  <c r="BD1321" i="5" s="1"/>
  <c r="BC985" i="5"/>
  <c r="BD985" i="5" s="1"/>
  <c r="BC106" i="5"/>
  <c r="BD106" i="5" s="1"/>
  <c r="BC617" i="5"/>
  <c r="BD617" i="5" s="1"/>
  <c r="BC1037" i="5"/>
  <c r="BD1037" i="5" s="1"/>
  <c r="BC1149" i="5"/>
  <c r="BD1149" i="5" s="1"/>
  <c r="BC792" i="5"/>
  <c r="BD792" i="5" s="1"/>
  <c r="BC1009" i="5"/>
  <c r="BD1009" i="5" s="1"/>
  <c r="BC1194" i="5"/>
  <c r="BD1194" i="5" s="1"/>
  <c r="BC1394" i="5"/>
  <c r="BD1394" i="5" s="1"/>
  <c r="BC93" i="5"/>
  <c r="BD93" i="5" s="1"/>
  <c r="BC620" i="5"/>
  <c r="BD620" i="5" s="1"/>
  <c r="BC345" i="5"/>
  <c r="BD345" i="5" s="1"/>
  <c r="BC1051" i="5"/>
  <c r="BD1051" i="5" s="1"/>
  <c r="BC1191" i="5"/>
  <c r="BD1191" i="5" s="1"/>
  <c r="BC1330" i="5"/>
  <c r="BD1330" i="5" s="1"/>
  <c r="BC43" i="5"/>
  <c r="BD43" i="5" s="1"/>
  <c r="BC299" i="5"/>
  <c r="BD299" i="5" s="1"/>
  <c r="BC476" i="5"/>
  <c r="BD476" i="5" s="1"/>
  <c r="BC398" i="5"/>
  <c r="BD398" i="5" s="1"/>
  <c r="BC1246" i="5"/>
  <c r="BD1246" i="5" s="1"/>
  <c r="BC288" i="5"/>
  <c r="BD288" i="5" s="1"/>
  <c r="BC36" i="5"/>
  <c r="BD36" i="5" s="1"/>
  <c r="BC33" i="5"/>
  <c r="BD33" i="5" s="1"/>
  <c r="BC793" i="5"/>
  <c r="BD793" i="5" s="1"/>
  <c r="BC992" i="5"/>
  <c r="BD992" i="5" s="1"/>
  <c r="BC446" i="5"/>
  <c r="BD446" i="5" s="1"/>
  <c r="BC1008" i="5"/>
  <c r="BD1008" i="5" s="1"/>
  <c r="BC896" i="5"/>
  <c r="BD896" i="5" s="1"/>
  <c r="BC1165" i="5"/>
  <c r="BD1165" i="5" s="1"/>
  <c r="BC554" i="5"/>
  <c r="BD554" i="5" s="1"/>
  <c r="BC1159" i="5"/>
  <c r="BD1159" i="5" s="1"/>
  <c r="BC464" i="5"/>
  <c r="BD464" i="5" s="1"/>
  <c r="BC445" i="5"/>
  <c r="BD445" i="5" s="1"/>
  <c r="BC308" i="5"/>
  <c r="BD308" i="5" s="1"/>
  <c r="BC44" i="5"/>
  <c r="BD44" i="5" s="1"/>
  <c r="BC533" i="5"/>
  <c r="BD533" i="5" s="1"/>
  <c r="BC718" i="5"/>
  <c r="BD718" i="5" s="1"/>
  <c r="BC1029" i="5"/>
  <c r="BD1029" i="5" s="1"/>
  <c r="BC553" i="5"/>
  <c r="BD553" i="5" s="1"/>
  <c r="BC1177" i="5"/>
  <c r="BD1177" i="5" s="1"/>
  <c r="BC664" i="5"/>
  <c r="BD664" i="5" s="1"/>
  <c r="BC475" i="5"/>
  <c r="BD475" i="5" s="1"/>
  <c r="BC955" i="5"/>
  <c r="BD955" i="5" s="1"/>
  <c r="BC290" i="5"/>
  <c r="BD290" i="5" s="1"/>
  <c r="BC967" i="5"/>
  <c r="BD967" i="5" s="1"/>
  <c r="BC980" i="5"/>
  <c r="BD980" i="5" s="1"/>
  <c r="BC529" i="5"/>
  <c r="BD529" i="5" s="1"/>
  <c r="BC1167" i="5"/>
  <c r="BD1167" i="5" s="1"/>
  <c r="BC1345" i="5"/>
  <c r="BD1345" i="5" s="1"/>
  <c r="BC520" i="5"/>
  <c r="BD520" i="5" s="1"/>
  <c r="BC328" i="5"/>
  <c r="BD328" i="5" s="1"/>
  <c r="BC878" i="5"/>
  <c r="BD878" i="5" s="1"/>
  <c r="BC973" i="5"/>
  <c r="BD973" i="5" s="1"/>
  <c r="BC1351" i="5"/>
  <c r="BD1351" i="5" s="1"/>
  <c r="BC1052" i="5"/>
  <c r="BD1052" i="5" s="1"/>
  <c r="BC1350" i="5"/>
  <c r="BD1350" i="5" s="1"/>
  <c r="BC1200" i="5"/>
  <c r="BD1200" i="5" s="1"/>
  <c r="BC1327" i="5"/>
  <c r="BD1327" i="5" s="1"/>
  <c r="BC503" i="5"/>
  <c r="BD503" i="5" s="1"/>
  <c r="BC717" i="5"/>
  <c r="BD717" i="5" s="1"/>
  <c r="BC1091" i="5"/>
  <c r="BD1091" i="5" s="1"/>
  <c r="BC1231" i="5"/>
  <c r="BD1231" i="5" s="1"/>
  <c r="BC702" i="5"/>
  <c r="BD702" i="5" s="1"/>
  <c r="BC667" i="5"/>
  <c r="BD667" i="5" s="1"/>
  <c r="BC756" i="5"/>
  <c r="BD756" i="5" s="1"/>
  <c r="BC1182" i="5"/>
  <c r="BD1182" i="5" s="1"/>
  <c r="BC437" i="5"/>
  <c r="BD437" i="5" s="1"/>
  <c r="BC1312" i="5"/>
  <c r="BD1312" i="5" s="1"/>
  <c r="BC1355" i="5"/>
  <c r="BD1355" i="5" s="1"/>
  <c r="BC265" i="5"/>
  <c r="BD265" i="5" s="1"/>
  <c r="BC1120" i="5"/>
  <c r="BD1120" i="5" s="1"/>
  <c r="BC768" i="5"/>
  <c r="BD768" i="5" s="1"/>
  <c r="BC138" i="5"/>
  <c r="BD138" i="5" s="1"/>
  <c r="BC202" i="5"/>
  <c r="BD202" i="5" s="1"/>
  <c r="BC1357" i="5"/>
  <c r="BD1357" i="5" s="1"/>
  <c r="BC1032" i="5"/>
  <c r="BD1032" i="5" s="1"/>
  <c r="BC926" i="5"/>
  <c r="BD926" i="5" s="1"/>
  <c r="BC291" i="5"/>
  <c r="BD291" i="5" s="1"/>
  <c r="BC144" i="5"/>
  <c r="BD144" i="5" s="1"/>
  <c r="BC527" i="5"/>
  <c r="BD527" i="5" s="1"/>
  <c r="BC989" i="5"/>
  <c r="BD989" i="5" s="1"/>
  <c r="BC140" i="5"/>
  <c r="BD140" i="5" s="1"/>
  <c r="BC342" i="5"/>
  <c r="BD342" i="5" s="1"/>
  <c r="BC15" i="5"/>
  <c r="BD15" i="5" s="1"/>
  <c r="BC1067" i="5"/>
  <c r="BD1067" i="5" s="1"/>
  <c r="BC1055" i="5"/>
  <c r="BD1055" i="5" s="1"/>
  <c r="BC1211" i="5"/>
  <c r="BD1211" i="5" s="1"/>
  <c r="BC1339" i="5"/>
  <c r="BD1339" i="5" s="1"/>
  <c r="BC134" i="5"/>
  <c r="BD134" i="5" s="1"/>
  <c r="BC1015" i="5"/>
  <c r="BD1015" i="5" s="1"/>
  <c r="BC695" i="5"/>
  <c r="BD695" i="5" s="1"/>
  <c r="BC1212" i="5"/>
  <c r="BD1212" i="5" s="1"/>
  <c r="BC903" i="5"/>
  <c r="BD903" i="5" s="1"/>
  <c r="BC392" i="5"/>
  <c r="BD392" i="5" s="1"/>
  <c r="BC547" i="5"/>
  <c r="BD547" i="5" s="1"/>
  <c r="BC164" i="5"/>
  <c r="BD164" i="5" s="1"/>
  <c r="BC842" i="5"/>
  <c r="BD842" i="5" s="1"/>
  <c r="BC580" i="5"/>
  <c r="BD580" i="5" s="1"/>
  <c r="BC791" i="5"/>
  <c r="BD791" i="5" s="1"/>
  <c r="BC984" i="5"/>
  <c r="BD984" i="5" s="1"/>
  <c r="BC89" i="5"/>
  <c r="BD89" i="5" s="1"/>
  <c r="BC1099" i="5"/>
  <c r="BD1099" i="5" s="1"/>
  <c r="BC1219" i="5"/>
  <c r="BD1219" i="5" s="1"/>
  <c r="BC885" i="5"/>
  <c r="BD885" i="5" s="1"/>
  <c r="BC699" i="5"/>
  <c r="BD699" i="5" s="1"/>
  <c r="BC715" i="5"/>
  <c r="BD715" i="5" s="1"/>
  <c r="BC689" i="5"/>
  <c r="BD689" i="5" s="1"/>
  <c r="BC713" i="5"/>
  <c r="BD713" i="5" s="1"/>
  <c r="BC166" i="5"/>
  <c r="BD166" i="5" s="1"/>
  <c r="BC314" i="5"/>
  <c r="BD314" i="5" s="1"/>
  <c r="BC541" i="5"/>
  <c r="BD541" i="5" s="1"/>
  <c r="BC501" i="5"/>
  <c r="BD501" i="5" s="1"/>
  <c r="BC454" i="5"/>
  <c r="BD454" i="5" s="1"/>
  <c r="BC1174" i="5"/>
  <c r="BD1174" i="5" s="1"/>
  <c r="BC873" i="5"/>
  <c r="BD873" i="5" s="1"/>
  <c r="BC376" i="5"/>
  <c r="BD376" i="5" s="1"/>
  <c r="BC220" i="5"/>
  <c r="BD220" i="5" s="1"/>
  <c r="BC1262" i="5"/>
  <c r="BD1262" i="5" s="1"/>
  <c r="BC969" i="5"/>
  <c r="BD969" i="5" s="1"/>
  <c r="BC892" i="5"/>
  <c r="BD892" i="5" s="1"/>
  <c r="BC1288" i="5"/>
  <c r="BD1288" i="5" s="1"/>
  <c r="BC88" i="5"/>
  <c r="BD88" i="5" s="1"/>
  <c r="BC352" i="5"/>
  <c r="BD352" i="5" s="1"/>
  <c r="BC485" i="5"/>
  <c r="BD485" i="5" s="1"/>
  <c r="BC1053" i="5"/>
  <c r="BD1053" i="5" s="1"/>
  <c r="BC1331" i="5"/>
  <c r="BD1331" i="5" s="1"/>
  <c r="BC335" i="5"/>
  <c r="BD335" i="5" s="1"/>
  <c r="BC504" i="5"/>
  <c r="BD504" i="5" s="1"/>
  <c r="BC857" i="5"/>
  <c r="BD857" i="5" s="1"/>
  <c r="BC861" i="5"/>
  <c r="BD861" i="5" s="1"/>
  <c r="BC1079" i="5"/>
  <c r="BD1079" i="5" s="1"/>
  <c r="BC956" i="5"/>
  <c r="BD956" i="5" s="1"/>
  <c r="BC1360" i="5"/>
  <c r="BD1360" i="5" s="1"/>
  <c r="BC372" i="5"/>
  <c r="BD372" i="5" s="1"/>
  <c r="BC146" i="5"/>
  <c r="BD146" i="5" s="1"/>
  <c r="BC513" i="5"/>
  <c r="BD513" i="5" s="1"/>
  <c r="BC1176" i="5"/>
  <c r="BD1176" i="5" s="1"/>
  <c r="BC1134" i="5"/>
  <c r="BD1134" i="5" s="1"/>
  <c r="BC1403" i="5"/>
  <c r="BD1403" i="5" s="1"/>
  <c r="BC1315" i="5"/>
  <c r="BD1315" i="5" s="1"/>
  <c r="BC433" i="5"/>
  <c r="BD433" i="5" s="1"/>
  <c r="BC817" i="5"/>
  <c r="BD817" i="5" s="1"/>
  <c r="BC176" i="5"/>
  <c r="BD176" i="5" s="1"/>
  <c r="BC1349" i="5"/>
  <c r="BD1349" i="5" s="1"/>
  <c r="BC135" i="5"/>
  <c r="BD135" i="5" s="1"/>
  <c r="BC1367" i="5"/>
  <c r="BD1367" i="5" s="1"/>
  <c r="BC660" i="5"/>
  <c r="BD660" i="5" s="1"/>
  <c r="BC1028" i="5"/>
  <c r="BD1028" i="5" s="1"/>
  <c r="BC952" i="5"/>
  <c r="BD952" i="5" s="1"/>
  <c r="BC61" i="5"/>
  <c r="BD61" i="5" s="1"/>
  <c r="BC1307" i="5"/>
  <c r="BD1307" i="5" s="1"/>
  <c r="BC583" i="5"/>
  <c r="BD583" i="5" s="1"/>
  <c r="BC1141" i="5"/>
  <c r="BD1141" i="5" s="1"/>
  <c r="BC1292" i="5"/>
  <c r="BD1292" i="5" s="1"/>
  <c r="BC502" i="5"/>
  <c r="BD502" i="5" s="1"/>
  <c r="BC747" i="5"/>
  <c r="BD747" i="5" s="1"/>
  <c r="BC353" i="5"/>
  <c r="BD353" i="5" s="1"/>
  <c r="BC962" i="5"/>
  <c r="BD962" i="5" s="1"/>
  <c r="BC1068" i="5"/>
  <c r="BD1068" i="5" s="1"/>
  <c r="BC147" i="5"/>
  <c r="BD147" i="5" s="1"/>
  <c r="BC604" i="5"/>
  <c r="BD604" i="5" s="1"/>
  <c r="BC1151" i="5"/>
  <c r="BD1151" i="5" s="1"/>
  <c r="BC802" i="5"/>
  <c r="BD802" i="5" s="1"/>
  <c r="BC561" i="5"/>
  <c r="BD561" i="5" s="1"/>
  <c r="BC823" i="5"/>
  <c r="BD823" i="5" s="1"/>
  <c r="BC1109" i="5"/>
  <c r="BD1109" i="5" s="1"/>
  <c r="BC94" i="5"/>
  <c r="BD94" i="5" s="1"/>
  <c r="BC181" i="5"/>
  <c r="BD181" i="5" s="1"/>
  <c r="BC153" i="5"/>
  <c r="BD153" i="5" s="1"/>
  <c r="BC698" i="5"/>
  <c r="BD698" i="5" s="1"/>
  <c r="BC1232" i="5"/>
  <c r="BD1232" i="5" s="1"/>
  <c r="BC441" i="5"/>
  <c r="BD441" i="5" s="1"/>
  <c r="BC787" i="5"/>
  <c r="BD787" i="5" s="1"/>
  <c r="BC1319" i="5"/>
  <c r="BD1319" i="5" s="1"/>
  <c r="BC1081" i="5"/>
  <c r="BD1081" i="5" s="1"/>
  <c r="BC173" i="5"/>
  <c r="BD173" i="5" s="1"/>
  <c r="BC627" i="5"/>
  <c r="BD627" i="5" s="1"/>
  <c r="BC1352" i="5"/>
  <c r="BD1352" i="5" s="1"/>
  <c r="BC1342" i="5"/>
  <c r="BD1342" i="5" s="1"/>
  <c r="BC1320" i="5"/>
  <c r="BD1320" i="5" s="1"/>
  <c r="BC1066" i="5"/>
  <c r="BD1066" i="5" s="1"/>
  <c r="BC708" i="5"/>
  <c r="BD708" i="5" s="1"/>
  <c r="U26" i="2" l="1"/>
  <c r="U9" i="2"/>
  <c r="U10" i="2"/>
  <c r="U11" i="2"/>
  <c r="P9" i="2"/>
  <c r="P10" i="2"/>
  <c r="U32" i="2"/>
  <c r="U31" i="2"/>
  <c r="U30" i="2"/>
  <c r="U29" i="2"/>
  <c r="U28" i="2"/>
  <c r="U16" i="2"/>
  <c r="U15" i="2"/>
  <c r="U14" i="2"/>
  <c r="U13" i="2"/>
  <c r="U12" i="2"/>
  <c r="BI651" i="5"/>
  <c r="P25" i="2"/>
  <c r="P16" i="2"/>
  <c r="P15" i="2"/>
  <c r="P14" i="2"/>
  <c r="P13" i="2"/>
  <c r="P12" i="2"/>
  <c r="P11" i="2"/>
  <c r="P4" i="2"/>
  <c r="CF235" i="1"/>
  <c r="CF221" i="1"/>
  <c r="CF222" i="1"/>
  <c r="CF223" i="1"/>
  <c r="CF224" i="1"/>
  <c r="CF225" i="1"/>
  <c r="CF226" i="1"/>
  <c r="CF227" i="1"/>
  <c r="CF228" i="1"/>
  <c r="CF229" i="1"/>
  <c r="CF230" i="1"/>
  <c r="CF294" i="1"/>
  <c r="CF236" i="1"/>
  <c r="CF237" i="1"/>
  <c r="CF238" i="1"/>
  <c r="CF239" i="1"/>
  <c r="CF240" i="1"/>
  <c r="CF241" i="1"/>
  <c r="CF231" i="1"/>
  <c r="CF232" i="1"/>
  <c r="CF215" i="1"/>
  <c r="CF216" i="1"/>
  <c r="CF217" i="1"/>
  <c r="CF233" i="1"/>
  <c r="CF234" i="1"/>
  <c r="CF218" i="1"/>
  <c r="CF56" i="1"/>
  <c r="CF57" i="1"/>
  <c r="CF58" i="1"/>
  <c r="CF59" i="1"/>
  <c r="CF60" i="1"/>
  <c r="CF61" i="1"/>
  <c r="CF62" i="1"/>
  <c r="CF63" i="1"/>
  <c r="CF64" i="1"/>
  <c r="CF65" i="1"/>
  <c r="CF66" i="1"/>
  <c r="CF67" i="1"/>
  <c r="CF68" i="1"/>
  <c r="CF69" i="1"/>
  <c r="CF70" i="1"/>
  <c r="CF71" i="1"/>
  <c r="CF72" i="1"/>
  <c r="CF73" i="1"/>
  <c r="CF74" i="1"/>
  <c r="CF75" i="1"/>
  <c r="CF76" i="1"/>
  <c r="CF77" i="1"/>
  <c r="CF78" i="1"/>
  <c r="CF79" i="1"/>
  <c r="CF80" i="1"/>
  <c r="CF81" i="1"/>
  <c r="CF82" i="1"/>
  <c r="CF83" i="1"/>
  <c r="CF2" i="1"/>
  <c r="CF84" i="1"/>
  <c r="CF85" i="1"/>
  <c r="CF86" i="1"/>
  <c r="CF87" i="1"/>
  <c r="CF88" i="1"/>
  <c r="CF3" i="1"/>
  <c r="CF4" i="1"/>
  <c r="CF89" i="1"/>
  <c r="CF5" i="1"/>
  <c r="CF6" i="1"/>
  <c r="CF7" i="1"/>
  <c r="CF8" i="1"/>
  <c r="CF9" i="1"/>
  <c r="CF10" i="1"/>
  <c r="CF11" i="1"/>
  <c r="CF12" i="1"/>
  <c r="CF13" i="1"/>
  <c r="CF14" i="1"/>
  <c r="CF15" i="1"/>
  <c r="CF90" i="1"/>
  <c r="CF91" i="1"/>
  <c r="CF92" i="1"/>
  <c r="CF93" i="1"/>
  <c r="CF94" i="1"/>
  <c r="CF95" i="1"/>
  <c r="CF96" i="1"/>
  <c r="CF16" i="1"/>
  <c r="CF17" i="1"/>
  <c r="CF18" i="1"/>
  <c r="CF19" i="1"/>
  <c r="CF97" i="1"/>
  <c r="CF98" i="1"/>
  <c r="CF99" i="1"/>
  <c r="CF20" i="1"/>
  <c r="CF100" i="1"/>
  <c r="CF101" i="1"/>
  <c r="CF21" i="1"/>
  <c r="CF22" i="1"/>
  <c r="CF23" i="1"/>
  <c r="CF24" i="1"/>
  <c r="CF25" i="1"/>
  <c r="CF26" i="1"/>
  <c r="CF27" i="1"/>
  <c r="CF28" i="1"/>
  <c r="CF29" i="1"/>
  <c r="CF30" i="1"/>
  <c r="CF31" i="1"/>
  <c r="CF32" i="1"/>
  <c r="CF33" i="1"/>
  <c r="CF34" i="1"/>
  <c r="CF35" i="1"/>
  <c r="CF36" i="1"/>
  <c r="CF37" i="1"/>
  <c r="CF38" i="1"/>
  <c r="CF39" i="1"/>
  <c r="CF40" i="1"/>
  <c r="CF41" i="1"/>
  <c r="CF42" i="1"/>
  <c r="CF43" i="1"/>
  <c r="CF44" i="1"/>
  <c r="CF45" i="1"/>
  <c r="CF46" i="1"/>
  <c r="CF47" i="1"/>
  <c r="CF48" i="1"/>
  <c r="CF49" i="1"/>
  <c r="CF50" i="1"/>
  <c r="CF51" i="1"/>
  <c r="CF52" i="1"/>
  <c r="CF302" i="1"/>
  <c r="CF305" i="1"/>
  <c r="CF301" i="1"/>
  <c r="CF304" i="1"/>
  <c r="CF303" i="1"/>
  <c r="CF291" i="1"/>
  <c r="CF309" i="1"/>
  <c r="CF306" i="1"/>
  <c r="CF53" i="1"/>
  <c r="CF298" i="1"/>
  <c r="CF299" i="1"/>
  <c r="CF297" i="1"/>
  <c r="CF295" i="1"/>
  <c r="CF312" i="1"/>
  <c r="CF242" i="1"/>
  <c r="CF243" i="1"/>
  <c r="CF244" i="1"/>
  <c r="CF245" i="1"/>
  <c r="CF246" i="1"/>
  <c r="CF264" i="1"/>
  <c r="CF247" i="1"/>
  <c r="CF248" i="1"/>
  <c r="CF249" i="1"/>
  <c r="CF250" i="1"/>
  <c r="CF251" i="1"/>
  <c r="CF252" i="1"/>
  <c r="CF253" i="1"/>
  <c r="CF254" i="1"/>
  <c r="CF255" i="1"/>
  <c r="CF256" i="1"/>
  <c r="CF257" i="1"/>
  <c r="CF258" i="1"/>
  <c r="CF259" i="1"/>
  <c r="CF260" i="1"/>
  <c r="CF261" i="1"/>
  <c r="CF262" i="1"/>
  <c r="CF263" i="1"/>
  <c r="CF311" i="1"/>
  <c r="CF310" i="1"/>
  <c r="CF313" i="1"/>
  <c r="CF314" i="1"/>
  <c r="CF308" i="1"/>
  <c r="CF197" i="1"/>
  <c r="CF307" i="1"/>
  <c r="CF265" i="1"/>
  <c r="CF266" i="1"/>
  <c r="CF267" i="1"/>
  <c r="CF268" i="1"/>
  <c r="CF269" i="1"/>
  <c r="CF270" i="1"/>
  <c r="CF271" i="1"/>
  <c r="CF272" i="1"/>
  <c r="CF273" i="1"/>
  <c r="CF274" i="1"/>
  <c r="CF275" i="1"/>
  <c r="CF276" i="1"/>
  <c r="CF277" i="1"/>
  <c r="CF278" i="1"/>
  <c r="CF279" i="1"/>
  <c r="CF280" i="1"/>
  <c r="CF281" i="1"/>
  <c r="CF282" i="1"/>
  <c r="CF283" i="1"/>
  <c r="CF284" i="1"/>
  <c r="CF285" i="1"/>
  <c r="CF286" i="1"/>
  <c r="CF287" i="1"/>
  <c r="CF288" i="1"/>
  <c r="CF289" i="1"/>
  <c r="CF290" i="1"/>
  <c r="CF320" i="1"/>
  <c r="CF315" i="1"/>
  <c r="CF292" i="1"/>
  <c r="CF293" i="1"/>
  <c r="CF300" i="1"/>
  <c r="CF318" i="1"/>
  <c r="CF296" i="1"/>
  <c r="CF102" i="1"/>
  <c r="CF103" i="1"/>
  <c r="CF104" i="1"/>
  <c r="CF105" i="1"/>
  <c r="CF106" i="1"/>
  <c r="CF107" i="1"/>
  <c r="CF108" i="1"/>
  <c r="CF109" i="1"/>
  <c r="CF54" i="1"/>
  <c r="CF110" i="1"/>
  <c r="CF111" i="1"/>
  <c r="CF112" i="1"/>
  <c r="CF113" i="1"/>
  <c r="CF114" i="1"/>
  <c r="CF115" i="1"/>
  <c r="CF116" i="1"/>
  <c r="CF117" i="1"/>
  <c r="CF118" i="1"/>
  <c r="CF119" i="1"/>
  <c r="CF120" i="1"/>
  <c r="CF121" i="1"/>
  <c r="CF122" i="1"/>
  <c r="CF123" i="1"/>
  <c r="CF124" i="1"/>
  <c r="CF317" i="1"/>
  <c r="CF125" i="1"/>
  <c r="CF126" i="1"/>
  <c r="CF127" i="1"/>
  <c r="CF128" i="1"/>
  <c r="CF129" i="1"/>
  <c r="CF130" i="1"/>
  <c r="CF131" i="1"/>
  <c r="CF132" i="1"/>
  <c r="CF133" i="1"/>
  <c r="CF134" i="1"/>
  <c r="CF55" i="1"/>
  <c r="CF135" i="1"/>
  <c r="CF136" i="1"/>
  <c r="CF137" i="1"/>
  <c r="CF138" i="1"/>
  <c r="CF139" i="1"/>
  <c r="CF140" i="1"/>
  <c r="CF141" i="1"/>
  <c r="CF142" i="1"/>
  <c r="CF143" i="1"/>
  <c r="CF144" i="1"/>
  <c r="CF145" i="1"/>
  <c r="CF146" i="1"/>
  <c r="CF147" i="1"/>
  <c r="CF148" i="1"/>
  <c r="CF149" i="1"/>
  <c r="CF150" i="1"/>
  <c r="CF151" i="1"/>
  <c r="CF152" i="1"/>
  <c r="CF153" i="1"/>
  <c r="CF154" i="1"/>
  <c r="CF155" i="1"/>
  <c r="CF156" i="1"/>
  <c r="CF157" i="1"/>
  <c r="CF158" i="1"/>
  <c r="CF159" i="1"/>
  <c r="CF160" i="1"/>
  <c r="CF161" i="1"/>
  <c r="CF162" i="1"/>
  <c r="CF163" i="1"/>
  <c r="CF164" i="1"/>
  <c r="CF165" i="1"/>
  <c r="CF166" i="1"/>
  <c r="CF167" i="1"/>
  <c r="CF168" i="1"/>
  <c r="CF169" i="1"/>
  <c r="CF170" i="1"/>
  <c r="CF219" i="1"/>
  <c r="CF319" i="1"/>
  <c r="CF180" i="1"/>
  <c r="CF173" i="1"/>
  <c r="CF181" i="1"/>
  <c r="CF182" i="1"/>
  <c r="CF183" i="1"/>
  <c r="CF184" i="1"/>
  <c r="CF208" i="1"/>
  <c r="CF220" i="1"/>
  <c r="CF209" i="1"/>
  <c r="CF203" i="1"/>
  <c r="CF210" i="1"/>
  <c r="CF211" i="1"/>
  <c r="CF212" i="1"/>
  <c r="CF213" i="1"/>
  <c r="CF214" i="1"/>
  <c r="CF174" i="1"/>
  <c r="CF206" i="1"/>
  <c r="CF198" i="1"/>
  <c r="CF199" i="1"/>
  <c r="CF204" i="1"/>
  <c r="CF205" i="1"/>
  <c r="CF207" i="1"/>
  <c r="CF200" i="1"/>
  <c r="CF201" i="1"/>
  <c r="CF202" i="1"/>
  <c r="CF192" i="1"/>
  <c r="CF193" i="1"/>
  <c r="CF194" i="1"/>
  <c r="CF195" i="1"/>
  <c r="CF196" i="1"/>
  <c r="CF190" i="1"/>
  <c r="CF191" i="1"/>
  <c r="CF185" i="1"/>
  <c r="CF186" i="1"/>
  <c r="CF188" i="1"/>
  <c r="CF187" i="1"/>
  <c r="CF189" i="1"/>
  <c r="CF175" i="1"/>
  <c r="CF176" i="1"/>
  <c r="CF177" i="1"/>
  <c r="CF171" i="1"/>
  <c r="CF172" i="1"/>
  <c r="CF178" i="1"/>
  <c r="CF179" i="1"/>
  <c r="CF316" i="1"/>
  <c r="CA235" i="1"/>
  <c r="CA221" i="1"/>
  <c r="CA222" i="1"/>
  <c r="CA223" i="1"/>
  <c r="CA224" i="1"/>
  <c r="CA225" i="1"/>
  <c r="CA226" i="1"/>
  <c r="CA227" i="1"/>
  <c r="CA228" i="1"/>
  <c r="CA229" i="1"/>
  <c r="CA230" i="1"/>
  <c r="CA294" i="1"/>
  <c r="CA236" i="1"/>
  <c r="CA237" i="1"/>
  <c r="CA238" i="1"/>
  <c r="CA239" i="1"/>
  <c r="CA240" i="1"/>
  <c r="CA241" i="1"/>
  <c r="CA231" i="1"/>
  <c r="CA232" i="1"/>
  <c r="CA215" i="1"/>
  <c r="CA216" i="1"/>
  <c r="CA217" i="1"/>
  <c r="CA233" i="1"/>
  <c r="CA234" i="1"/>
  <c r="CA218" i="1"/>
  <c r="CA56" i="1"/>
  <c r="CA57" i="1"/>
  <c r="CA58" i="1"/>
  <c r="CA59" i="1"/>
  <c r="CA60" i="1"/>
  <c r="CA61" i="1"/>
  <c r="CA62" i="1"/>
  <c r="CA63" i="1"/>
  <c r="CA64" i="1"/>
  <c r="CA65" i="1"/>
  <c r="CA66" i="1"/>
  <c r="CA67" i="1"/>
  <c r="CA68" i="1"/>
  <c r="CA69" i="1"/>
  <c r="CA70" i="1"/>
  <c r="CA71" i="1"/>
  <c r="CA72" i="1"/>
  <c r="CA73" i="1"/>
  <c r="CA74" i="1"/>
  <c r="CA75" i="1"/>
  <c r="CA76" i="1"/>
  <c r="CA77" i="1"/>
  <c r="CA78" i="1"/>
  <c r="CA79" i="1"/>
  <c r="CA80" i="1"/>
  <c r="CA81" i="1"/>
  <c r="CA82" i="1"/>
  <c r="CA83" i="1"/>
  <c r="CA2" i="1"/>
  <c r="CA84" i="1"/>
  <c r="CA85" i="1"/>
  <c r="CA86" i="1"/>
  <c r="CA87" i="1"/>
  <c r="CA88" i="1"/>
  <c r="CA3" i="1"/>
  <c r="CA4" i="1"/>
  <c r="CA89" i="1"/>
  <c r="CA5" i="1"/>
  <c r="CA6" i="1"/>
  <c r="CA7" i="1"/>
  <c r="CA8" i="1"/>
  <c r="CA9" i="1"/>
  <c r="CA10" i="1"/>
  <c r="CA11" i="1"/>
  <c r="CA12" i="1"/>
  <c r="CA13" i="1"/>
  <c r="CA14" i="1"/>
  <c r="CA15" i="1"/>
  <c r="CA90" i="1"/>
  <c r="CA91" i="1"/>
  <c r="CA92" i="1"/>
  <c r="CA93" i="1"/>
  <c r="CA94" i="1"/>
  <c r="CA95" i="1"/>
  <c r="CA96" i="1"/>
  <c r="CA16" i="1"/>
  <c r="CA17" i="1"/>
  <c r="CA18" i="1"/>
  <c r="CA19" i="1"/>
  <c r="CA97" i="1"/>
  <c r="CA98" i="1"/>
  <c r="CA99" i="1"/>
  <c r="CA20" i="1"/>
  <c r="CA100" i="1"/>
  <c r="CA101" i="1"/>
  <c r="CA21" i="1"/>
  <c r="CA22" i="1"/>
  <c r="CA23" i="1"/>
  <c r="CA24" i="1"/>
  <c r="CA25" i="1"/>
  <c r="CA26" i="1"/>
  <c r="CA27" i="1"/>
  <c r="CA28" i="1"/>
  <c r="CA29" i="1"/>
  <c r="CA30" i="1"/>
  <c r="CA31" i="1"/>
  <c r="CA32" i="1"/>
  <c r="CA33" i="1"/>
  <c r="CA34" i="1"/>
  <c r="CA35" i="1"/>
  <c r="CA36" i="1"/>
  <c r="CA37" i="1"/>
  <c r="CA38" i="1"/>
  <c r="CA39" i="1"/>
  <c r="CA40" i="1"/>
  <c r="CA41" i="1"/>
  <c r="CA42" i="1"/>
  <c r="CA43" i="1"/>
  <c r="CA44" i="1"/>
  <c r="CA45" i="1"/>
  <c r="CA46" i="1"/>
  <c r="CA47" i="1"/>
  <c r="CA48" i="1"/>
  <c r="CA49" i="1"/>
  <c r="CA50" i="1"/>
  <c r="CA51" i="1"/>
  <c r="CA52" i="1"/>
  <c r="CA302" i="1"/>
  <c r="CA305" i="1"/>
  <c r="CA301" i="1"/>
  <c r="CA304" i="1"/>
  <c r="CA303" i="1"/>
  <c r="CA291" i="1"/>
  <c r="CA309" i="1"/>
  <c r="CA306" i="1"/>
  <c r="CA53" i="1"/>
  <c r="CA298" i="1"/>
  <c r="CA299" i="1"/>
  <c r="CA297" i="1"/>
  <c r="CA295" i="1"/>
  <c r="CA312" i="1"/>
  <c r="CA242" i="1"/>
  <c r="CA243" i="1"/>
  <c r="CA244" i="1"/>
  <c r="CA245" i="1"/>
  <c r="CA246" i="1"/>
  <c r="CA264" i="1"/>
  <c r="CA247" i="1"/>
  <c r="CA248" i="1"/>
  <c r="CA249" i="1"/>
  <c r="CA250" i="1"/>
  <c r="CA251" i="1"/>
  <c r="CA252" i="1"/>
  <c r="CA253" i="1"/>
  <c r="CA254" i="1"/>
  <c r="CA255" i="1"/>
  <c r="CA256" i="1"/>
  <c r="CA257" i="1"/>
  <c r="CA258" i="1"/>
  <c r="CA259" i="1"/>
  <c r="CA260" i="1"/>
  <c r="CA261" i="1"/>
  <c r="CA262" i="1"/>
  <c r="CA263" i="1"/>
  <c r="CA311" i="1"/>
  <c r="CA310" i="1"/>
  <c r="CA313" i="1"/>
  <c r="CA314" i="1"/>
  <c r="CA308" i="1"/>
  <c r="CA197" i="1"/>
  <c r="CA307" i="1"/>
  <c r="CA265" i="1"/>
  <c r="CA266" i="1"/>
  <c r="CA267" i="1"/>
  <c r="CA268" i="1"/>
  <c r="CA269" i="1"/>
  <c r="CA270" i="1"/>
  <c r="CA271" i="1"/>
  <c r="CA272" i="1"/>
  <c r="CA273" i="1"/>
  <c r="CA274" i="1"/>
  <c r="CA275" i="1"/>
  <c r="CA276" i="1"/>
  <c r="CA277" i="1"/>
  <c r="CA278" i="1"/>
  <c r="CA279" i="1"/>
  <c r="CA280" i="1"/>
  <c r="CA281" i="1"/>
  <c r="CA282" i="1"/>
  <c r="CA283" i="1"/>
  <c r="CA284" i="1"/>
  <c r="CA285" i="1"/>
  <c r="CA286" i="1"/>
  <c r="CA287" i="1"/>
  <c r="CA288" i="1"/>
  <c r="CA289" i="1"/>
  <c r="CA290" i="1"/>
  <c r="CA320" i="1"/>
  <c r="CA315" i="1"/>
  <c r="CA292" i="1"/>
  <c r="CA293" i="1"/>
  <c r="CA300" i="1"/>
  <c r="CA318" i="1"/>
  <c r="CA296" i="1"/>
  <c r="CA102" i="1"/>
  <c r="CA103" i="1"/>
  <c r="CA104" i="1"/>
  <c r="CA105" i="1"/>
  <c r="CA106" i="1"/>
  <c r="CA107" i="1"/>
  <c r="CA108" i="1"/>
  <c r="CA109" i="1"/>
  <c r="CA54" i="1"/>
  <c r="CA110" i="1"/>
  <c r="CA111" i="1"/>
  <c r="CA112" i="1"/>
  <c r="CA113" i="1"/>
  <c r="CA114" i="1"/>
  <c r="CA115" i="1"/>
  <c r="CA116" i="1"/>
  <c r="CA117" i="1"/>
  <c r="CA118" i="1"/>
  <c r="CA119" i="1"/>
  <c r="CA120" i="1"/>
  <c r="CA121" i="1"/>
  <c r="CA122" i="1"/>
  <c r="CA123" i="1"/>
  <c r="CA124" i="1"/>
  <c r="CA317" i="1"/>
  <c r="CA125" i="1"/>
  <c r="CA126" i="1"/>
  <c r="CA127" i="1"/>
  <c r="CA128" i="1"/>
  <c r="CA129" i="1"/>
  <c r="CA130" i="1"/>
  <c r="CA131" i="1"/>
  <c r="CA132" i="1"/>
  <c r="CA133" i="1"/>
  <c r="CA134" i="1"/>
  <c r="CA55" i="1"/>
  <c r="CA135" i="1"/>
  <c r="CA136" i="1"/>
  <c r="CA137" i="1"/>
  <c r="CA138" i="1"/>
  <c r="CA139" i="1"/>
  <c r="CA140" i="1"/>
  <c r="CA141" i="1"/>
  <c r="CA142" i="1"/>
  <c r="CA143" i="1"/>
  <c r="CA144" i="1"/>
  <c r="CA145" i="1"/>
  <c r="CA146" i="1"/>
  <c r="CA147" i="1"/>
  <c r="CA148" i="1"/>
  <c r="CA149" i="1"/>
  <c r="CA150" i="1"/>
  <c r="CA151" i="1"/>
  <c r="CA152" i="1"/>
  <c r="CA153" i="1"/>
  <c r="CA154" i="1"/>
  <c r="CA155" i="1"/>
  <c r="CA156" i="1"/>
  <c r="CA157" i="1"/>
  <c r="CA158" i="1"/>
  <c r="CA159" i="1"/>
  <c r="CA160" i="1"/>
  <c r="CA161" i="1"/>
  <c r="CA162" i="1"/>
  <c r="CA163" i="1"/>
  <c r="CA164" i="1"/>
  <c r="CA165" i="1"/>
  <c r="CA166" i="1"/>
  <c r="CA167" i="1"/>
  <c r="CA168" i="1"/>
  <c r="CA169" i="1"/>
  <c r="CA170" i="1"/>
  <c r="CA219" i="1"/>
  <c r="CA319" i="1"/>
  <c r="CA180" i="1"/>
  <c r="CA173" i="1"/>
  <c r="CA181" i="1"/>
  <c r="CA182" i="1"/>
  <c r="CA183" i="1"/>
  <c r="CA184" i="1"/>
  <c r="CA208" i="1"/>
  <c r="CA220" i="1"/>
  <c r="CA209" i="1"/>
  <c r="CA203" i="1"/>
  <c r="CA210" i="1"/>
  <c r="CA211" i="1"/>
  <c r="CA212" i="1"/>
  <c r="CA213" i="1"/>
  <c r="CA214" i="1"/>
  <c r="CA174" i="1"/>
  <c r="CA206" i="1"/>
  <c r="CA198" i="1"/>
  <c r="CA199" i="1"/>
  <c r="CA204" i="1"/>
  <c r="CA205" i="1"/>
  <c r="CA207" i="1"/>
  <c r="CA200" i="1"/>
  <c r="CA201" i="1"/>
  <c r="CA202" i="1"/>
  <c r="CA192" i="1"/>
  <c r="CA193" i="1"/>
  <c r="CA194" i="1"/>
  <c r="CA195" i="1"/>
  <c r="CA196" i="1"/>
  <c r="CA190" i="1"/>
  <c r="CA191" i="1"/>
  <c r="CA185" i="1"/>
  <c r="CA186" i="1"/>
  <c r="CA188" i="1"/>
  <c r="CA187" i="1"/>
  <c r="CA189" i="1"/>
  <c r="CA175" i="1"/>
  <c r="CA176" i="1"/>
  <c r="CA177" i="1"/>
  <c r="CA171" i="1"/>
  <c r="CA172" i="1"/>
  <c r="CA178" i="1"/>
  <c r="CA179" i="1"/>
  <c r="CA316" i="1"/>
  <c r="CB235" i="1"/>
  <c r="CB221" i="1"/>
  <c r="CB222" i="1"/>
  <c r="CB223" i="1"/>
  <c r="CB224" i="1"/>
  <c r="CB225" i="1"/>
  <c r="CB226" i="1"/>
  <c r="CB227" i="1"/>
  <c r="CB228" i="1"/>
  <c r="CB229" i="1"/>
  <c r="CB230" i="1"/>
  <c r="CB294" i="1"/>
  <c r="CB236" i="1"/>
  <c r="CB237" i="1"/>
  <c r="CB238" i="1"/>
  <c r="CB239" i="1"/>
  <c r="CB240" i="1"/>
  <c r="CB241" i="1"/>
  <c r="CB231" i="1"/>
  <c r="CB232" i="1"/>
  <c r="CB215" i="1"/>
  <c r="CB216" i="1"/>
  <c r="CB217" i="1"/>
  <c r="CB233" i="1"/>
  <c r="CB234" i="1"/>
  <c r="CB218" i="1"/>
  <c r="CB56" i="1"/>
  <c r="CB57" i="1"/>
  <c r="CB58" i="1"/>
  <c r="CB59" i="1"/>
  <c r="CB60" i="1"/>
  <c r="CB61" i="1"/>
  <c r="CB62" i="1"/>
  <c r="CB63" i="1"/>
  <c r="CB64" i="1"/>
  <c r="CB65" i="1"/>
  <c r="CB66" i="1"/>
  <c r="CB67" i="1"/>
  <c r="CB68" i="1"/>
  <c r="CB69" i="1"/>
  <c r="CB70" i="1"/>
  <c r="CB71" i="1"/>
  <c r="CB72" i="1"/>
  <c r="CB73" i="1"/>
  <c r="CB74" i="1"/>
  <c r="CB75" i="1"/>
  <c r="CB76" i="1"/>
  <c r="CB77" i="1"/>
  <c r="CB78" i="1"/>
  <c r="CB79" i="1"/>
  <c r="CB80" i="1"/>
  <c r="CB81" i="1"/>
  <c r="CB82" i="1"/>
  <c r="CB83" i="1"/>
  <c r="CB2" i="1"/>
  <c r="CB84" i="1"/>
  <c r="CB85" i="1"/>
  <c r="CB86" i="1"/>
  <c r="CB87" i="1"/>
  <c r="CB88" i="1"/>
  <c r="CB3" i="1"/>
  <c r="CB4" i="1"/>
  <c r="CB89" i="1"/>
  <c r="CB5" i="1"/>
  <c r="CB6" i="1"/>
  <c r="CB7" i="1"/>
  <c r="CB8" i="1"/>
  <c r="CB9" i="1"/>
  <c r="CB10" i="1"/>
  <c r="CB11" i="1"/>
  <c r="CB12" i="1"/>
  <c r="CB13" i="1"/>
  <c r="CB14" i="1"/>
  <c r="CB15" i="1"/>
  <c r="CB90" i="1"/>
  <c r="CB91" i="1"/>
  <c r="CB92" i="1"/>
  <c r="CB93" i="1"/>
  <c r="CB94" i="1"/>
  <c r="CB95" i="1"/>
  <c r="CB96" i="1"/>
  <c r="CB16" i="1"/>
  <c r="CB17" i="1"/>
  <c r="CB18" i="1"/>
  <c r="CB19" i="1"/>
  <c r="CB97" i="1"/>
  <c r="CB98" i="1"/>
  <c r="CB99" i="1"/>
  <c r="CB20" i="1"/>
  <c r="CB100" i="1"/>
  <c r="CB101" i="1"/>
  <c r="CB21" i="1"/>
  <c r="CB22" i="1"/>
  <c r="CB23" i="1"/>
  <c r="CB24" i="1"/>
  <c r="CB25" i="1"/>
  <c r="CB26" i="1"/>
  <c r="CB27" i="1"/>
  <c r="CB28" i="1"/>
  <c r="CB29" i="1"/>
  <c r="CB30" i="1"/>
  <c r="CB31" i="1"/>
  <c r="CB32" i="1"/>
  <c r="CB33" i="1"/>
  <c r="CB34" i="1"/>
  <c r="CB35" i="1"/>
  <c r="CB36" i="1"/>
  <c r="CB37" i="1"/>
  <c r="CB38" i="1"/>
  <c r="CB39" i="1"/>
  <c r="CB40" i="1"/>
  <c r="CB41" i="1"/>
  <c r="CB42" i="1"/>
  <c r="CB43" i="1"/>
  <c r="CB44" i="1"/>
  <c r="CB45" i="1"/>
  <c r="CB46" i="1"/>
  <c r="CB47" i="1"/>
  <c r="CB48" i="1"/>
  <c r="CB49" i="1"/>
  <c r="CB50" i="1"/>
  <c r="CB51" i="1"/>
  <c r="CB52" i="1"/>
  <c r="CB302" i="1"/>
  <c r="CB305" i="1"/>
  <c r="CB301" i="1"/>
  <c r="CB304" i="1"/>
  <c r="CB303" i="1"/>
  <c r="CB291" i="1"/>
  <c r="CB309" i="1"/>
  <c r="CB306" i="1"/>
  <c r="CB53" i="1"/>
  <c r="CB298" i="1"/>
  <c r="CB299" i="1"/>
  <c r="CB297" i="1"/>
  <c r="CB295" i="1"/>
  <c r="CB312" i="1"/>
  <c r="CB242" i="1"/>
  <c r="CB243" i="1"/>
  <c r="CB244" i="1"/>
  <c r="CB245" i="1"/>
  <c r="CB246" i="1"/>
  <c r="CB264" i="1"/>
  <c r="CB247" i="1"/>
  <c r="CB248" i="1"/>
  <c r="CB249" i="1"/>
  <c r="CB250" i="1"/>
  <c r="CB251" i="1"/>
  <c r="CB252" i="1"/>
  <c r="CB253" i="1"/>
  <c r="CB254" i="1"/>
  <c r="CB255" i="1"/>
  <c r="CB256" i="1"/>
  <c r="CB257" i="1"/>
  <c r="CB258" i="1"/>
  <c r="CB259" i="1"/>
  <c r="CB260" i="1"/>
  <c r="CB261" i="1"/>
  <c r="CB262" i="1"/>
  <c r="CB263" i="1"/>
  <c r="CB311" i="1"/>
  <c r="CB310" i="1"/>
  <c r="CB313" i="1"/>
  <c r="CB314" i="1"/>
  <c r="CB308" i="1"/>
  <c r="CB197" i="1"/>
  <c r="CB307" i="1"/>
  <c r="CB265" i="1"/>
  <c r="CB266" i="1"/>
  <c r="CB267" i="1"/>
  <c r="CB268" i="1"/>
  <c r="CB269" i="1"/>
  <c r="CB270" i="1"/>
  <c r="CB271" i="1"/>
  <c r="CB272" i="1"/>
  <c r="CB273" i="1"/>
  <c r="CB274" i="1"/>
  <c r="CB275" i="1"/>
  <c r="CB276" i="1"/>
  <c r="CB277" i="1"/>
  <c r="CB278" i="1"/>
  <c r="CB279" i="1"/>
  <c r="CB280" i="1"/>
  <c r="CB281" i="1"/>
  <c r="CB282" i="1"/>
  <c r="CB283" i="1"/>
  <c r="CB284" i="1"/>
  <c r="CB285" i="1"/>
  <c r="CB286" i="1"/>
  <c r="CB287" i="1"/>
  <c r="CB288" i="1"/>
  <c r="CB289" i="1"/>
  <c r="CB290" i="1"/>
  <c r="CB320" i="1"/>
  <c r="CB315" i="1"/>
  <c r="CB292" i="1"/>
  <c r="CB293" i="1"/>
  <c r="CB300" i="1"/>
  <c r="CB318" i="1"/>
  <c r="CB296" i="1"/>
  <c r="CB102" i="1"/>
  <c r="CB103" i="1"/>
  <c r="CB104" i="1"/>
  <c r="CB105" i="1"/>
  <c r="CB106" i="1"/>
  <c r="CB107" i="1"/>
  <c r="CB108" i="1"/>
  <c r="CB109" i="1"/>
  <c r="CB54" i="1"/>
  <c r="CB110" i="1"/>
  <c r="CB111" i="1"/>
  <c r="CB112" i="1"/>
  <c r="CB113" i="1"/>
  <c r="CB114" i="1"/>
  <c r="CB115" i="1"/>
  <c r="CB116" i="1"/>
  <c r="CB117" i="1"/>
  <c r="CB118" i="1"/>
  <c r="CB119" i="1"/>
  <c r="CB120" i="1"/>
  <c r="CB121" i="1"/>
  <c r="CB122" i="1"/>
  <c r="CB123" i="1"/>
  <c r="CB124" i="1"/>
  <c r="CB317" i="1"/>
  <c r="CB125" i="1"/>
  <c r="CB126" i="1"/>
  <c r="CB127" i="1"/>
  <c r="CB128" i="1"/>
  <c r="CB129" i="1"/>
  <c r="CB130" i="1"/>
  <c r="CB131" i="1"/>
  <c r="CB132" i="1"/>
  <c r="CB133" i="1"/>
  <c r="CB134" i="1"/>
  <c r="CB55" i="1"/>
  <c r="CB135" i="1"/>
  <c r="CB136" i="1"/>
  <c r="CB137" i="1"/>
  <c r="CB138" i="1"/>
  <c r="CB139" i="1"/>
  <c r="CB140" i="1"/>
  <c r="CB141" i="1"/>
  <c r="CB142" i="1"/>
  <c r="CB143" i="1"/>
  <c r="CB144" i="1"/>
  <c r="CB145" i="1"/>
  <c r="CB146" i="1"/>
  <c r="CB147" i="1"/>
  <c r="CB148" i="1"/>
  <c r="CB149" i="1"/>
  <c r="CB150" i="1"/>
  <c r="CB151" i="1"/>
  <c r="CB152" i="1"/>
  <c r="CB153" i="1"/>
  <c r="CB154" i="1"/>
  <c r="CB155" i="1"/>
  <c r="CB156" i="1"/>
  <c r="CB157" i="1"/>
  <c r="CB158" i="1"/>
  <c r="CB159" i="1"/>
  <c r="CB160" i="1"/>
  <c r="CB161" i="1"/>
  <c r="CB162" i="1"/>
  <c r="CB163" i="1"/>
  <c r="CB164" i="1"/>
  <c r="CB165" i="1"/>
  <c r="CB166" i="1"/>
  <c r="CB167" i="1"/>
  <c r="CB168" i="1"/>
  <c r="CB169" i="1"/>
  <c r="CB170" i="1"/>
  <c r="CB219" i="1"/>
  <c r="CB319" i="1"/>
  <c r="CB180" i="1"/>
  <c r="CB173" i="1"/>
  <c r="CB181" i="1"/>
  <c r="CB182" i="1"/>
  <c r="CB183" i="1"/>
  <c r="CB184" i="1"/>
  <c r="CB208" i="1"/>
  <c r="CB220" i="1"/>
  <c r="CB209" i="1"/>
  <c r="CB203" i="1"/>
  <c r="CB210" i="1"/>
  <c r="CB211" i="1"/>
  <c r="CB212" i="1"/>
  <c r="CB213" i="1"/>
  <c r="CB214" i="1"/>
  <c r="CB174" i="1"/>
  <c r="CB206" i="1"/>
  <c r="CB198" i="1"/>
  <c r="CB199" i="1"/>
  <c r="CB204" i="1"/>
  <c r="CB205" i="1"/>
  <c r="CB207" i="1"/>
  <c r="CB200" i="1"/>
  <c r="CB201" i="1"/>
  <c r="CB202" i="1"/>
  <c r="CB192" i="1"/>
  <c r="CB193" i="1"/>
  <c r="CB194" i="1"/>
  <c r="CB195" i="1"/>
  <c r="CB196" i="1"/>
  <c r="CB190" i="1"/>
  <c r="CB191" i="1"/>
  <c r="CB185" i="1"/>
  <c r="CB186" i="1"/>
  <c r="CB188" i="1"/>
  <c r="CB187" i="1"/>
  <c r="CB189" i="1"/>
  <c r="CB175" i="1"/>
  <c r="CB176" i="1"/>
  <c r="CB177" i="1"/>
  <c r="CB171" i="1"/>
  <c r="CB172" i="1"/>
  <c r="CB178" i="1"/>
  <c r="CB179" i="1"/>
  <c r="CB316" i="1"/>
  <c r="CD235" i="1"/>
  <c r="CD221" i="1"/>
  <c r="CD222" i="1"/>
  <c r="CD223" i="1"/>
  <c r="CD224" i="1"/>
  <c r="CD225" i="1"/>
  <c r="CD226" i="1"/>
  <c r="CD227" i="1"/>
  <c r="CD228" i="1"/>
  <c r="CD229" i="1"/>
  <c r="CD230" i="1"/>
  <c r="CD294" i="1"/>
  <c r="CD236" i="1"/>
  <c r="CD237" i="1"/>
  <c r="CD238" i="1"/>
  <c r="CD239" i="1"/>
  <c r="CD240" i="1"/>
  <c r="CD241" i="1"/>
  <c r="CD231" i="1"/>
  <c r="CD232" i="1"/>
  <c r="CD215" i="1"/>
  <c r="CD216" i="1"/>
  <c r="CD217" i="1"/>
  <c r="CD233" i="1"/>
  <c r="CD234" i="1"/>
  <c r="CD218" i="1"/>
  <c r="CD56" i="1"/>
  <c r="CD57" i="1"/>
  <c r="CD58" i="1"/>
  <c r="CD59" i="1"/>
  <c r="CD60" i="1"/>
  <c r="CD61" i="1"/>
  <c r="CD62" i="1"/>
  <c r="CD63" i="1"/>
  <c r="CD64" i="1"/>
  <c r="CD65" i="1"/>
  <c r="CD66" i="1"/>
  <c r="CD67" i="1"/>
  <c r="CD68" i="1"/>
  <c r="CD69" i="1"/>
  <c r="CD70" i="1"/>
  <c r="CD71" i="1"/>
  <c r="CD72" i="1"/>
  <c r="CD73" i="1"/>
  <c r="CD74" i="1"/>
  <c r="CD75" i="1"/>
  <c r="CD76" i="1"/>
  <c r="CD77" i="1"/>
  <c r="CD78" i="1"/>
  <c r="CD79" i="1"/>
  <c r="CD80" i="1"/>
  <c r="CD81" i="1"/>
  <c r="CD82" i="1"/>
  <c r="CD83" i="1"/>
  <c r="CD2" i="1"/>
  <c r="CD84" i="1"/>
  <c r="CD85" i="1"/>
  <c r="CD86" i="1"/>
  <c r="CD87" i="1"/>
  <c r="CD88" i="1"/>
  <c r="CD3" i="1"/>
  <c r="CD4" i="1"/>
  <c r="CD89" i="1"/>
  <c r="CD5" i="1"/>
  <c r="CD6" i="1"/>
  <c r="CD7" i="1"/>
  <c r="CD8" i="1"/>
  <c r="CD9" i="1"/>
  <c r="CD10" i="1"/>
  <c r="CD11" i="1"/>
  <c r="CD12" i="1"/>
  <c r="CD13" i="1"/>
  <c r="CD14" i="1"/>
  <c r="CD15" i="1"/>
  <c r="CD90" i="1"/>
  <c r="CD91" i="1"/>
  <c r="CD92" i="1"/>
  <c r="CD93" i="1"/>
  <c r="CD94" i="1"/>
  <c r="CD95" i="1"/>
  <c r="CD96" i="1"/>
  <c r="CD16" i="1"/>
  <c r="CD17" i="1"/>
  <c r="CD18" i="1"/>
  <c r="CD19" i="1"/>
  <c r="CD97" i="1"/>
  <c r="CD98" i="1"/>
  <c r="CD99" i="1"/>
  <c r="CD20" i="1"/>
  <c r="CD100" i="1"/>
  <c r="CD101" i="1"/>
  <c r="CD21" i="1"/>
  <c r="CD22" i="1"/>
  <c r="CD23" i="1"/>
  <c r="CD24" i="1"/>
  <c r="CD25" i="1"/>
  <c r="CD26" i="1"/>
  <c r="CD27" i="1"/>
  <c r="CD28" i="1"/>
  <c r="CD29" i="1"/>
  <c r="CD30" i="1"/>
  <c r="CD31" i="1"/>
  <c r="CD32" i="1"/>
  <c r="CD33" i="1"/>
  <c r="CD34" i="1"/>
  <c r="CD35" i="1"/>
  <c r="CD36" i="1"/>
  <c r="CD37" i="1"/>
  <c r="CD38" i="1"/>
  <c r="CD39" i="1"/>
  <c r="CD40" i="1"/>
  <c r="CD41" i="1"/>
  <c r="CD42" i="1"/>
  <c r="CD43" i="1"/>
  <c r="CD44" i="1"/>
  <c r="CD45" i="1"/>
  <c r="CD46" i="1"/>
  <c r="CD47" i="1"/>
  <c r="CD48" i="1"/>
  <c r="CD49" i="1"/>
  <c r="CD50" i="1"/>
  <c r="CD51" i="1"/>
  <c r="CD52" i="1"/>
  <c r="CD302" i="1"/>
  <c r="CD305" i="1"/>
  <c r="CD301" i="1"/>
  <c r="CD304" i="1"/>
  <c r="CD303" i="1"/>
  <c r="CD291" i="1"/>
  <c r="CD309" i="1"/>
  <c r="CD306" i="1"/>
  <c r="CD53" i="1"/>
  <c r="CD298" i="1"/>
  <c r="CD299" i="1"/>
  <c r="CD297" i="1"/>
  <c r="CD295" i="1"/>
  <c r="CD312" i="1"/>
  <c r="CD242" i="1"/>
  <c r="CD243" i="1"/>
  <c r="CD244" i="1"/>
  <c r="CD245" i="1"/>
  <c r="CD246" i="1"/>
  <c r="CD264" i="1"/>
  <c r="CD247" i="1"/>
  <c r="CD248" i="1"/>
  <c r="CD249" i="1"/>
  <c r="CD250" i="1"/>
  <c r="CD251" i="1"/>
  <c r="CD252" i="1"/>
  <c r="CD253" i="1"/>
  <c r="CD254" i="1"/>
  <c r="CD255" i="1"/>
  <c r="CD256" i="1"/>
  <c r="CD257" i="1"/>
  <c r="CD258" i="1"/>
  <c r="CD259" i="1"/>
  <c r="CD260" i="1"/>
  <c r="CD261" i="1"/>
  <c r="CD262" i="1"/>
  <c r="CD263" i="1"/>
  <c r="CD311" i="1"/>
  <c r="CD310" i="1"/>
  <c r="CD313" i="1"/>
  <c r="CD314" i="1"/>
  <c r="CD308" i="1"/>
  <c r="CD197" i="1"/>
  <c r="CD307" i="1"/>
  <c r="CD265" i="1"/>
  <c r="CD266" i="1"/>
  <c r="CD267" i="1"/>
  <c r="CD268" i="1"/>
  <c r="CD269" i="1"/>
  <c r="CD270" i="1"/>
  <c r="CD271" i="1"/>
  <c r="CD272" i="1"/>
  <c r="CD273" i="1"/>
  <c r="CD274" i="1"/>
  <c r="CD275" i="1"/>
  <c r="CD276" i="1"/>
  <c r="CD277" i="1"/>
  <c r="CD278" i="1"/>
  <c r="CD279" i="1"/>
  <c r="CD280" i="1"/>
  <c r="CD281" i="1"/>
  <c r="CD282" i="1"/>
  <c r="CD283" i="1"/>
  <c r="CD284" i="1"/>
  <c r="CD285" i="1"/>
  <c r="CD286" i="1"/>
  <c r="CD287" i="1"/>
  <c r="CD288" i="1"/>
  <c r="CD289" i="1"/>
  <c r="CD290" i="1"/>
  <c r="CD320" i="1"/>
  <c r="CD315" i="1"/>
  <c r="CD292" i="1"/>
  <c r="CD293" i="1"/>
  <c r="CD300" i="1"/>
  <c r="CD318" i="1"/>
  <c r="CD296" i="1"/>
  <c r="CD102" i="1"/>
  <c r="CD103" i="1"/>
  <c r="CD104" i="1"/>
  <c r="CD105" i="1"/>
  <c r="CD106" i="1"/>
  <c r="CD107" i="1"/>
  <c r="CD108" i="1"/>
  <c r="CD109" i="1"/>
  <c r="CD54" i="1"/>
  <c r="CD110" i="1"/>
  <c r="CD111" i="1"/>
  <c r="CD112" i="1"/>
  <c r="CD113" i="1"/>
  <c r="CD114" i="1"/>
  <c r="CD115" i="1"/>
  <c r="CD116" i="1"/>
  <c r="CD117" i="1"/>
  <c r="CD118" i="1"/>
  <c r="CD119" i="1"/>
  <c r="CD120" i="1"/>
  <c r="CD121" i="1"/>
  <c r="CD122" i="1"/>
  <c r="CD123" i="1"/>
  <c r="CD124" i="1"/>
  <c r="CD317" i="1"/>
  <c r="CD125" i="1"/>
  <c r="CD126" i="1"/>
  <c r="CD127" i="1"/>
  <c r="CD128" i="1"/>
  <c r="CD129" i="1"/>
  <c r="CD130" i="1"/>
  <c r="CD131" i="1"/>
  <c r="CD132" i="1"/>
  <c r="CD133" i="1"/>
  <c r="CD134" i="1"/>
  <c r="CD55" i="1"/>
  <c r="CD135" i="1"/>
  <c r="CD136" i="1"/>
  <c r="CD137" i="1"/>
  <c r="CD138" i="1"/>
  <c r="CD139" i="1"/>
  <c r="CD140" i="1"/>
  <c r="CD141" i="1"/>
  <c r="CD142" i="1"/>
  <c r="CD143" i="1"/>
  <c r="CD144" i="1"/>
  <c r="CD145" i="1"/>
  <c r="CD146" i="1"/>
  <c r="CD147" i="1"/>
  <c r="CD148" i="1"/>
  <c r="CD149" i="1"/>
  <c r="CD150" i="1"/>
  <c r="CD151" i="1"/>
  <c r="CD152" i="1"/>
  <c r="CD153" i="1"/>
  <c r="CD154" i="1"/>
  <c r="CD155" i="1"/>
  <c r="CD156" i="1"/>
  <c r="CD157" i="1"/>
  <c r="CD158" i="1"/>
  <c r="CD159" i="1"/>
  <c r="CD160" i="1"/>
  <c r="CD161" i="1"/>
  <c r="CD162" i="1"/>
  <c r="CD163" i="1"/>
  <c r="CD164" i="1"/>
  <c r="CD165" i="1"/>
  <c r="CD166" i="1"/>
  <c r="CD167" i="1"/>
  <c r="CD168" i="1"/>
  <c r="CD169" i="1"/>
  <c r="CD170" i="1"/>
  <c r="CD219" i="1"/>
  <c r="CD319" i="1"/>
  <c r="CD180" i="1"/>
  <c r="CD173" i="1"/>
  <c r="CD181" i="1"/>
  <c r="CD182" i="1"/>
  <c r="CD183" i="1"/>
  <c r="CD184" i="1"/>
  <c r="CD208" i="1"/>
  <c r="CD220" i="1"/>
  <c r="CD209" i="1"/>
  <c r="CD203" i="1"/>
  <c r="CD210" i="1"/>
  <c r="CD211" i="1"/>
  <c r="CD212" i="1"/>
  <c r="CD213" i="1"/>
  <c r="CD214" i="1"/>
  <c r="CD174" i="1"/>
  <c r="CD206" i="1"/>
  <c r="CD198" i="1"/>
  <c r="CD199" i="1"/>
  <c r="CD204" i="1"/>
  <c r="CD205" i="1"/>
  <c r="CD207" i="1"/>
  <c r="CD200" i="1"/>
  <c r="CD201" i="1"/>
  <c r="CD202" i="1"/>
  <c r="CD192" i="1"/>
  <c r="CD193" i="1"/>
  <c r="CD194" i="1"/>
  <c r="CD195" i="1"/>
  <c r="CD196" i="1"/>
  <c r="CD190" i="1"/>
  <c r="CD191" i="1"/>
  <c r="CD185" i="1"/>
  <c r="CD186" i="1"/>
  <c r="CD188" i="1"/>
  <c r="CD187" i="1"/>
  <c r="CD189" i="1"/>
  <c r="CD175" i="1"/>
  <c r="CD176" i="1"/>
  <c r="CD177" i="1"/>
  <c r="CD171" i="1"/>
  <c r="CD172" i="1"/>
  <c r="CD178" i="1"/>
  <c r="CD179" i="1"/>
  <c r="CD316" i="1"/>
  <c r="CC235" i="1"/>
  <c r="CC221" i="1"/>
  <c r="CC222" i="1"/>
  <c r="CC223" i="1"/>
  <c r="CC224" i="1"/>
  <c r="CC225" i="1"/>
  <c r="CC226" i="1"/>
  <c r="CC227" i="1"/>
  <c r="CC228" i="1"/>
  <c r="CC229" i="1"/>
  <c r="CC230" i="1"/>
  <c r="CC294" i="1"/>
  <c r="CC236" i="1"/>
  <c r="CC237" i="1"/>
  <c r="CC238" i="1"/>
  <c r="CC239" i="1"/>
  <c r="CC240" i="1"/>
  <c r="CC241" i="1"/>
  <c r="CC231" i="1"/>
  <c r="CC232" i="1"/>
  <c r="CC215" i="1"/>
  <c r="CC216" i="1"/>
  <c r="CC217" i="1"/>
  <c r="CC233" i="1"/>
  <c r="CC234" i="1"/>
  <c r="CC218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2" i="1"/>
  <c r="CC84" i="1"/>
  <c r="CC85" i="1"/>
  <c r="CC86" i="1"/>
  <c r="CC87" i="1"/>
  <c r="CC88" i="1"/>
  <c r="CC3" i="1"/>
  <c r="CC4" i="1"/>
  <c r="CC89" i="1"/>
  <c r="CC5" i="1"/>
  <c r="CC6" i="1"/>
  <c r="CC7" i="1"/>
  <c r="CC8" i="1"/>
  <c r="CC9" i="1"/>
  <c r="CC10" i="1"/>
  <c r="CC11" i="1"/>
  <c r="CC12" i="1"/>
  <c r="CC13" i="1"/>
  <c r="CC14" i="1"/>
  <c r="CC15" i="1"/>
  <c r="CC90" i="1"/>
  <c r="CC91" i="1"/>
  <c r="CC92" i="1"/>
  <c r="CC93" i="1"/>
  <c r="CC94" i="1"/>
  <c r="CC95" i="1"/>
  <c r="CC96" i="1"/>
  <c r="CC16" i="1"/>
  <c r="CC17" i="1"/>
  <c r="CC18" i="1"/>
  <c r="CC19" i="1"/>
  <c r="CC97" i="1"/>
  <c r="CC98" i="1"/>
  <c r="CC99" i="1"/>
  <c r="CC20" i="1"/>
  <c r="CC100" i="1"/>
  <c r="CC101" i="1"/>
  <c r="CC21" i="1"/>
  <c r="CC22" i="1"/>
  <c r="CC23" i="1"/>
  <c r="CC24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C39" i="1"/>
  <c r="CC40" i="1"/>
  <c r="CC41" i="1"/>
  <c r="CC42" i="1"/>
  <c r="CC43" i="1"/>
  <c r="CC44" i="1"/>
  <c r="CC45" i="1"/>
  <c r="CC46" i="1"/>
  <c r="CC47" i="1"/>
  <c r="CC48" i="1"/>
  <c r="CC49" i="1"/>
  <c r="CC50" i="1"/>
  <c r="CC51" i="1"/>
  <c r="CC52" i="1"/>
  <c r="CC302" i="1"/>
  <c r="CC305" i="1"/>
  <c r="CC301" i="1"/>
  <c r="CC304" i="1"/>
  <c r="CC303" i="1"/>
  <c r="CC291" i="1"/>
  <c r="CC309" i="1"/>
  <c r="CC306" i="1"/>
  <c r="CC53" i="1"/>
  <c r="CC298" i="1"/>
  <c r="CC299" i="1"/>
  <c r="CC297" i="1"/>
  <c r="CC295" i="1"/>
  <c r="CC312" i="1"/>
  <c r="CC242" i="1"/>
  <c r="CC243" i="1"/>
  <c r="CC244" i="1"/>
  <c r="CC245" i="1"/>
  <c r="CC246" i="1"/>
  <c r="CC264" i="1"/>
  <c r="CC247" i="1"/>
  <c r="CC248" i="1"/>
  <c r="CC249" i="1"/>
  <c r="CC250" i="1"/>
  <c r="CC251" i="1"/>
  <c r="CC252" i="1"/>
  <c r="CC253" i="1"/>
  <c r="CC254" i="1"/>
  <c r="CC255" i="1"/>
  <c r="CC256" i="1"/>
  <c r="CC257" i="1"/>
  <c r="CC258" i="1"/>
  <c r="CC259" i="1"/>
  <c r="CC260" i="1"/>
  <c r="CC261" i="1"/>
  <c r="CC262" i="1"/>
  <c r="CC263" i="1"/>
  <c r="CC311" i="1"/>
  <c r="CC310" i="1"/>
  <c r="CC313" i="1"/>
  <c r="CC314" i="1"/>
  <c r="CC308" i="1"/>
  <c r="CC197" i="1"/>
  <c r="CC307" i="1"/>
  <c r="CC265" i="1"/>
  <c r="CC266" i="1"/>
  <c r="CC267" i="1"/>
  <c r="CC268" i="1"/>
  <c r="CC269" i="1"/>
  <c r="CC270" i="1"/>
  <c r="CC271" i="1"/>
  <c r="CC272" i="1"/>
  <c r="CC273" i="1"/>
  <c r="CC274" i="1"/>
  <c r="CC275" i="1"/>
  <c r="CC276" i="1"/>
  <c r="CC277" i="1"/>
  <c r="CC278" i="1"/>
  <c r="CC279" i="1"/>
  <c r="CC280" i="1"/>
  <c r="CC281" i="1"/>
  <c r="CC282" i="1"/>
  <c r="CC283" i="1"/>
  <c r="CC284" i="1"/>
  <c r="CC285" i="1"/>
  <c r="CC286" i="1"/>
  <c r="CC287" i="1"/>
  <c r="CC288" i="1"/>
  <c r="CC289" i="1"/>
  <c r="CC290" i="1"/>
  <c r="CC320" i="1"/>
  <c r="CC315" i="1"/>
  <c r="CC292" i="1"/>
  <c r="CC293" i="1"/>
  <c r="CC300" i="1"/>
  <c r="CC318" i="1"/>
  <c r="CC296" i="1"/>
  <c r="CC102" i="1"/>
  <c r="CC103" i="1"/>
  <c r="CC104" i="1"/>
  <c r="CC105" i="1"/>
  <c r="CC106" i="1"/>
  <c r="CC107" i="1"/>
  <c r="CC108" i="1"/>
  <c r="CC109" i="1"/>
  <c r="CC54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123" i="1"/>
  <c r="CC124" i="1"/>
  <c r="CC317" i="1"/>
  <c r="CC125" i="1"/>
  <c r="CC126" i="1"/>
  <c r="CC127" i="1"/>
  <c r="CC128" i="1"/>
  <c r="CC129" i="1"/>
  <c r="CC130" i="1"/>
  <c r="CC131" i="1"/>
  <c r="CC132" i="1"/>
  <c r="CC133" i="1"/>
  <c r="CC134" i="1"/>
  <c r="CC55" i="1"/>
  <c r="CC135" i="1"/>
  <c r="CC136" i="1"/>
  <c r="CC137" i="1"/>
  <c r="CC138" i="1"/>
  <c r="CC139" i="1"/>
  <c r="CC140" i="1"/>
  <c r="CC141" i="1"/>
  <c r="CC142" i="1"/>
  <c r="CC143" i="1"/>
  <c r="CC144" i="1"/>
  <c r="CC145" i="1"/>
  <c r="CC146" i="1"/>
  <c r="CC147" i="1"/>
  <c r="CC148" i="1"/>
  <c r="CC149" i="1"/>
  <c r="CC150" i="1"/>
  <c r="CC151" i="1"/>
  <c r="CC152" i="1"/>
  <c r="CC153" i="1"/>
  <c r="CC154" i="1"/>
  <c r="CC155" i="1"/>
  <c r="CC156" i="1"/>
  <c r="CC157" i="1"/>
  <c r="CC158" i="1"/>
  <c r="CC159" i="1"/>
  <c r="CC160" i="1"/>
  <c r="CC161" i="1"/>
  <c r="CC162" i="1"/>
  <c r="CC163" i="1"/>
  <c r="CC164" i="1"/>
  <c r="CC165" i="1"/>
  <c r="CC166" i="1"/>
  <c r="CC167" i="1"/>
  <c r="CC168" i="1"/>
  <c r="CC169" i="1"/>
  <c r="CC170" i="1"/>
  <c r="CC219" i="1"/>
  <c r="CC319" i="1"/>
  <c r="CC180" i="1"/>
  <c r="CC173" i="1"/>
  <c r="CC181" i="1"/>
  <c r="CC182" i="1"/>
  <c r="CC183" i="1"/>
  <c r="CC184" i="1"/>
  <c r="CC208" i="1"/>
  <c r="CC220" i="1"/>
  <c r="CC209" i="1"/>
  <c r="CC203" i="1"/>
  <c r="CC210" i="1"/>
  <c r="CC211" i="1"/>
  <c r="CC212" i="1"/>
  <c r="CC213" i="1"/>
  <c r="CC214" i="1"/>
  <c r="CC174" i="1"/>
  <c r="CC206" i="1"/>
  <c r="CC198" i="1"/>
  <c r="CC199" i="1"/>
  <c r="CC204" i="1"/>
  <c r="CC205" i="1"/>
  <c r="CC207" i="1"/>
  <c r="CC200" i="1"/>
  <c r="CC201" i="1"/>
  <c r="CC202" i="1"/>
  <c r="CC192" i="1"/>
  <c r="CC193" i="1"/>
  <c r="CC194" i="1"/>
  <c r="CC195" i="1"/>
  <c r="CC196" i="1"/>
  <c r="CC190" i="1"/>
  <c r="CC191" i="1"/>
  <c r="CC185" i="1"/>
  <c r="CC186" i="1"/>
  <c r="CC188" i="1"/>
  <c r="CC187" i="1"/>
  <c r="CC189" i="1"/>
  <c r="CC175" i="1"/>
  <c r="CC176" i="1"/>
  <c r="CC177" i="1"/>
  <c r="CC171" i="1"/>
  <c r="CC172" i="1"/>
  <c r="CC178" i="1"/>
  <c r="CC179" i="1"/>
  <c r="CC316" i="1"/>
  <c r="BZ235" i="1"/>
  <c r="BZ221" i="1"/>
  <c r="BZ222" i="1"/>
  <c r="BZ223" i="1"/>
  <c r="BZ224" i="1"/>
  <c r="BZ225" i="1"/>
  <c r="BZ226" i="1"/>
  <c r="BZ227" i="1"/>
  <c r="BZ228" i="1"/>
  <c r="BZ229" i="1"/>
  <c r="BZ230" i="1"/>
  <c r="BZ294" i="1"/>
  <c r="BZ236" i="1"/>
  <c r="BZ237" i="1"/>
  <c r="BZ238" i="1"/>
  <c r="BZ239" i="1"/>
  <c r="BZ240" i="1"/>
  <c r="BZ241" i="1"/>
  <c r="BZ231" i="1"/>
  <c r="BZ232" i="1"/>
  <c r="BZ215" i="1"/>
  <c r="BZ216" i="1"/>
  <c r="BZ217" i="1"/>
  <c r="BZ233" i="1"/>
  <c r="BZ234" i="1"/>
  <c r="BZ218" i="1"/>
  <c r="BZ56" i="1"/>
  <c r="BZ57" i="1"/>
  <c r="BZ58" i="1"/>
  <c r="BZ59" i="1"/>
  <c r="BZ60" i="1"/>
  <c r="BZ61" i="1"/>
  <c r="BZ62" i="1"/>
  <c r="BZ63" i="1"/>
  <c r="BZ64" i="1"/>
  <c r="BZ65" i="1"/>
  <c r="BZ66" i="1"/>
  <c r="BZ67" i="1"/>
  <c r="BZ68" i="1"/>
  <c r="BZ69" i="1"/>
  <c r="BZ70" i="1"/>
  <c r="BZ71" i="1"/>
  <c r="BZ72" i="1"/>
  <c r="BZ73" i="1"/>
  <c r="BZ74" i="1"/>
  <c r="BZ75" i="1"/>
  <c r="BZ76" i="1"/>
  <c r="BZ77" i="1"/>
  <c r="BZ78" i="1"/>
  <c r="BZ79" i="1"/>
  <c r="BZ80" i="1"/>
  <c r="BZ81" i="1"/>
  <c r="BZ82" i="1"/>
  <c r="BZ83" i="1"/>
  <c r="BZ2" i="1"/>
  <c r="BZ84" i="1"/>
  <c r="BZ85" i="1"/>
  <c r="BZ86" i="1"/>
  <c r="BZ87" i="1"/>
  <c r="BZ88" i="1"/>
  <c r="BZ3" i="1"/>
  <c r="BZ4" i="1"/>
  <c r="BZ89" i="1"/>
  <c r="BZ5" i="1"/>
  <c r="BZ6" i="1"/>
  <c r="BZ7" i="1"/>
  <c r="BZ8" i="1"/>
  <c r="BZ9" i="1"/>
  <c r="BZ10" i="1"/>
  <c r="BZ11" i="1"/>
  <c r="BZ12" i="1"/>
  <c r="BZ13" i="1"/>
  <c r="BZ14" i="1"/>
  <c r="BZ15" i="1"/>
  <c r="BZ90" i="1"/>
  <c r="BZ91" i="1"/>
  <c r="BZ92" i="1"/>
  <c r="BZ93" i="1"/>
  <c r="BZ94" i="1"/>
  <c r="BZ95" i="1"/>
  <c r="BZ96" i="1"/>
  <c r="BZ16" i="1"/>
  <c r="BZ17" i="1"/>
  <c r="BZ18" i="1"/>
  <c r="BZ19" i="1"/>
  <c r="BZ97" i="1"/>
  <c r="BZ98" i="1"/>
  <c r="BZ99" i="1"/>
  <c r="BZ20" i="1"/>
  <c r="BZ100" i="1"/>
  <c r="BZ101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4" i="1"/>
  <c r="BZ45" i="1"/>
  <c r="BZ46" i="1"/>
  <c r="BZ47" i="1"/>
  <c r="BZ48" i="1"/>
  <c r="BZ49" i="1"/>
  <c r="BZ50" i="1"/>
  <c r="BZ51" i="1"/>
  <c r="BZ52" i="1"/>
  <c r="BZ302" i="1"/>
  <c r="BZ305" i="1"/>
  <c r="BZ301" i="1"/>
  <c r="BZ304" i="1"/>
  <c r="BZ303" i="1"/>
  <c r="BZ291" i="1"/>
  <c r="BZ309" i="1"/>
  <c r="BZ306" i="1"/>
  <c r="BZ53" i="1"/>
  <c r="BZ298" i="1"/>
  <c r="BZ299" i="1"/>
  <c r="BZ297" i="1"/>
  <c r="BZ295" i="1"/>
  <c r="BZ312" i="1"/>
  <c r="BZ242" i="1"/>
  <c r="BZ243" i="1"/>
  <c r="BZ244" i="1"/>
  <c r="BZ245" i="1"/>
  <c r="BZ246" i="1"/>
  <c r="BZ264" i="1"/>
  <c r="BZ247" i="1"/>
  <c r="BZ248" i="1"/>
  <c r="BZ249" i="1"/>
  <c r="BZ250" i="1"/>
  <c r="BZ251" i="1"/>
  <c r="BZ252" i="1"/>
  <c r="BZ253" i="1"/>
  <c r="BZ254" i="1"/>
  <c r="BZ255" i="1"/>
  <c r="BZ256" i="1"/>
  <c r="BZ257" i="1"/>
  <c r="BZ258" i="1"/>
  <c r="BZ259" i="1"/>
  <c r="BZ260" i="1"/>
  <c r="BZ261" i="1"/>
  <c r="BZ262" i="1"/>
  <c r="BZ263" i="1"/>
  <c r="BZ311" i="1"/>
  <c r="BZ310" i="1"/>
  <c r="BZ313" i="1"/>
  <c r="BZ314" i="1"/>
  <c r="BZ308" i="1"/>
  <c r="BZ197" i="1"/>
  <c r="BZ307" i="1"/>
  <c r="BZ265" i="1"/>
  <c r="BZ266" i="1"/>
  <c r="BZ267" i="1"/>
  <c r="BZ268" i="1"/>
  <c r="BZ269" i="1"/>
  <c r="BZ270" i="1"/>
  <c r="BZ271" i="1"/>
  <c r="BZ272" i="1"/>
  <c r="BZ273" i="1"/>
  <c r="BZ274" i="1"/>
  <c r="BZ275" i="1"/>
  <c r="BZ276" i="1"/>
  <c r="BZ277" i="1"/>
  <c r="BZ278" i="1"/>
  <c r="BZ279" i="1"/>
  <c r="BZ280" i="1"/>
  <c r="BZ281" i="1"/>
  <c r="BZ282" i="1"/>
  <c r="BZ283" i="1"/>
  <c r="BZ284" i="1"/>
  <c r="BZ285" i="1"/>
  <c r="BZ286" i="1"/>
  <c r="BZ287" i="1"/>
  <c r="BZ288" i="1"/>
  <c r="BZ289" i="1"/>
  <c r="BZ290" i="1"/>
  <c r="BZ320" i="1"/>
  <c r="BZ315" i="1"/>
  <c r="BZ292" i="1"/>
  <c r="BZ293" i="1"/>
  <c r="BZ300" i="1"/>
  <c r="BZ318" i="1"/>
  <c r="BZ296" i="1"/>
  <c r="BZ102" i="1"/>
  <c r="BZ103" i="1"/>
  <c r="BZ104" i="1"/>
  <c r="BZ105" i="1"/>
  <c r="BZ106" i="1"/>
  <c r="BZ107" i="1"/>
  <c r="BZ108" i="1"/>
  <c r="BZ109" i="1"/>
  <c r="BZ54" i="1"/>
  <c r="BZ110" i="1"/>
  <c r="BZ111" i="1"/>
  <c r="BZ112" i="1"/>
  <c r="BZ113" i="1"/>
  <c r="BZ114" i="1"/>
  <c r="BZ115" i="1"/>
  <c r="BZ116" i="1"/>
  <c r="BZ117" i="1"/>
  <c r="BZ118" i="1"/>
  <c r="BZ119" i="1"/>
  <c r="BZ120" i="1"/>
  <c r="BZ121" i="1"/>
  <c r="BZ122" i="1"/>
  <c r="BZ123" i="1"/>
  <c r="BZ124" i="1"/>
  <c r="BZ317" i="1"/>
  <c r="BZ125" i="1"/>
  <c r="BZ126" i="1"/>
  <c r="BZ127" i="1"/>
  <c r="BZ128" i="1"/>
  <c r="BZ129" i="1"/>
  <c r="BZ130" i="1"/>
  <c r="BZ131" i="1"/>
  <c r="BZ132" i="1"/>
  <c r="BZ133" i="1"/>
  <c r="BZ134" i="1"/>
  <c r="BZ55" i="1"/>
  <c r="BZ135" i="1"/>
  <c r="BZ136" i="1"/>
  <c r="BZ137" i="1"/>
  <c r="BZ138" i="1"/>
  <c r="BZ139" i="1"/>
  <c r="BZ140" i="1"/>
  <c r="BZ141" i="1"/>
  <c r="BZ142" i="1"/>
  <c r="BZ143" i="1"/>
  <c r="BZ144" i="1"/>
  <c r="BZ145" i="1"/>
  <c r="BZ146" i="1"/>
  <c r="BZ147" i="1"/>
  <c r="BZ148" i="1"/>
  <c r="BZ149" i="1"/>
  <c r="BZ150" i="1"/>
  <c r="BZ151" i="1"/>
  <c r="BZ152" i="1"/>
  <c r="BZ153" i="1"/>
  <c r="BZ154" i="1"/>
  <c r="BZ155" i="1"/>
  <c r="BZ156" i="1"/>
  <c r="BZ157" i="1"/>
  <c r="BZ158" i="1"/>
  <c r="BZ159" i="1"/>
  <c r="BZ160" i="1"/>
  <c r="BZ161" i="1"/>
  <c r="BZ162" i="1"/>
  <c r="BZ163" i="1"/>
  <c r="BZ164" i="1"/>
  <c r="BZ165" i="1"/>
  <c r="BZ166" i="1"/>
  <c r="BZ167" i="1"/>
  <c r="BZ168" i="1"/>
  <c r="BZ169" i="1"/>
  <c r="BZ170" i="1"/>
  <c r="BZ219" i="1"/>
  <c r="BZ319" i="1"/>
  <c r="BZ180" i="1"/>
  <c r="BZ173" i="1"/>
  <c r="BZ181" i="1"/>
  <c r="BZ182" i="1"/>
  <c r="BZ183" i="1"/>
  <c r="BZ184" i="1"/>
  <c r="BZ208" i="1"/>
  <c r="BZ220" i="1"/>
  <c r="BZ209" i="1"/>
  <c r="BZ203" i="1"/>
  <c r="BZ210" i="1"/>
  <c r="BZ211" i="1"/>
  <c r="BZ212" i="1"/>
  <c r="BZ213" i="1"/>
  <c r="BZ214" i="1"/>
  <c r="BZ174" i="1"/>
  <c r="BZ206" i="1"/>
  <c r="BZ198" i="1"/>
  <c r="BZ199" i="1"/>
  <c r="BZ204" i="1"/>
  <c r="BZ205" i="1"/>
  <c r="BZ207" i="1"/>
  <c r="BZ200" i="1"/>
  <c r="BZ201" i="1"/>
  <c r="BZ202" i="1"/>
  <c r="BZ192" i="1"/>
  <c r="BZ193" i="1"/>
  <c r="BZ194" i="1"/>
  <c r="BZ195" i="1"/>
  <c r="BZ196" i="1"/>
  <c r="BZ190" i="1"/>
  <c r="BZ191" i="1"/>
  <c r="BZ185" i="1"/>
  <c r="BZ186" i="1"/>
  <c r="BZ188" i="1"/>
  <c r="BZ187" i="1"/>
  <c r="BZ189" i="1"/>
  <c r="BZ175" i="1"/>
  <c r="BZ176" i="1"/>
  <c r="BZ177" i="1"/>
  <c r="BZ171" i="1"/>
  <c r="BZ172" i="1"/>
  <c r="BZ178" i="1"/>
  <c r="BZ179" i="1"/>
  <c r="BZ316" i="1"/>
  <c r="BY235" i="1"/>
  <c r="BY221" i="1"/>
  <c r="BY222" i="1"/>
  <c r="BY223" i="1"/>
  <c r="BY224" i="1"/>
  <c r="BY225" i="1"/>
  <c r="BY226" i="1"/>
  <c r="BY227" i="1"/>
  <c r="BY228" i="1"/>
  <c r="BY229" i="1"/>
  <c r="BY230" i="1"/>
  <c r="BY294" i="1"/>
  <c r="BY236" i="1"/>
  <c r="BY237" i="1"/>
  <c r="BY238" i="1"/>
  <c r="BY239" i="1"/>
  <c r="BY240" i="1"/>
  <c r="BY241" i="1"/>
  <c r="BY231" i="1"/>
  <c r="BY232" i="1"/>
  <c r="BY215" i="1"/>
  <c r="BY216" i="1"/>
  <c r="BY217" i="1"/>
  <c r="BY233" i="1"/>
  <c r="BY234" i="1"/>
  <c r="BY218" i="1"/>
  <c r="BY56" i="1"/>
  <c r="BY57" i="1"/>
  <c r="BY58" i="1"/>
  <c r="BY59" i="1"/>
  <c r="BY60" i="1"/>
  <c r="BY61" i="1"/>
  <c r="BY62" i="1"/>
  <c r="BY63" i="1"/>
  <c r="BY64" i="1"/>
  <c r="BY65" i="1"/>
  <c r="BY66" i="1"/>
  <c r="BY67" i="1"/>
  <c r="BY68" i="1"/>
  <c r="BY69" i="1"/>
  <c r="BY70" i="1"/>
  <c r="BY71" i="1"/>
  <c r="BY72" i="1"/>
  <c r="BY73" i="1"/>
  <c r="BY74" i="1"/>
  <c r="BY75" i="1"/>
  <c r="BY76" i="1"/>
  <c r="BY77" i="1"/>
  <c r="BY78" i="1"/>
  <c r="BY79" i="1"/>
  <c r="BY80" i="1"/>
  <c r="BY81" i="1"/>
  <c r="BY82" i="1"/>
  <c r="BY83" i="1"/>
  <c r="BY2" i="1"/>
  <c r="BY84" i="1"/>
  <c r="BY85" i="1"/>
  <c r="BY86" i="1"/>
  <c r="BY87" i="1"/>
  <c r="BY88" i="1"/>
  <c r="BY3" i="1"/>
  <c r="BY4" i="1"/>
  <c r="BY89" i="1"/>
  <c r="BY5" i="1"/>
  <c r="BY6" i="1"/>
  <c r="BY7" i="1"/>
  <c r="BY8" i="1"/>
  <c r="BY9" i="1"/>
  <c r="BY10" i="1"/>
  <c r="BY11" i="1"/>
  <c r="BY12" i="1"/>
  <c r="BY13" i="1"/>
  <c r="BY14" i="1"/>
  <c r="BY15" i="1"/>
  <c r="BY90" i="1"/>
  <c r="BY91" i="1"/>
  <c r="BY92" i="1"/>
  <c r="BY93" i="1"/>
  <c r="BY94" i="1"/>
  <c r="BY95" i="1"/>
  <c r="BY96" i="1"/>
  <c r="BY16" i="1"/>
  <c r="BY17" i="1"/>
  <c r="BY18" i="1"/>
  <c r="BY19" i="1"/>
  <c r="BY97" i="1"/>
  <c r="BY98" i="1"/>
  <c r="BY99" i="1"/>
  <c r="BY20" i="1"/>
  <c r="BY100" i="1"/>
  <c r="BY101" i="1"/>
  <c r="BY21" i="1"/>
  <c r="BY22" i="1"/>
  <c r="BY23" i="1"/>
  <c r="BY24" i="1"/>
  <c r="BY25" i="1"/>
  <c r="BY26" i="1"/>
  <c r="BY27" i="1"/>
  <c r="BY28" i="1"/>
  <c r="BY29" i="1"/>
  <c r="BY30" i="1"/>
  <c r="BY31" i="1"/>
  <c r="BY32" i="1"/>
  <c r="BY33" i="1"/>
  <c r="BY34" i="1"/>
  <c r="BY35" i="1"/>
  <c r="BY36" i="1"/>
  <c r="BY37" i="1"/>
  <c r="BY38" i="1"/>
  <c r="BY39" i="1"/>
  <c r="BY40" i="1"/>
  <c r="BY41" i="1"/>
  <c r="BY42" i="1"/>
  <c r="BY43" i="1"/>
  <c r="BY44" i="1"/>
  <c r="BY45" i="1"/>
  <c r="BY46" i="1"/>
  <c r="BY47" i="1"/>
  <c r="BY48" i="1"/>
  <c r="BY49" i="1"/>
  <c r="BY50" i="1"/>
  <c r="BY51" i="1"/>
  <c r="BY52" i="1"/>
  <c r="BY302" i="1"/>
  <c r="BY305" i="1"/>
  <c r="BY301" i="1"/>
  <c r="BY304" i="1"/>
  <c r="BY303" i="1"/>
  <c r="BY291" i="1"/>
  <c r="BY309" i="1"/>
  <c r="BY306" i="1"/>
  <c r="BY53" i="1"/>
  <c r="BY298" i="1"/>
  <c r="BY299" i="1"/>
  <c r="BY297" i="1"/>
  <c r="BY295" i="1"/>
  <c r="BY312" i="1"/>
  <c r="BY242" i="1"/>
  <c r="BY243" i="1"/>
  <c r="BY244" i="1"/>
  <c r="BY245" i="1"/>
  <c r="BY246" i="1"/>
  <c r="BY264" i="1"/>
  <c r="BY247" i="1"/>
  <c r="BY248" i="1"/>
  <c r="BY249" i="1"/>
  <c r="BY250" i="1"/>
  <c r="BY251" i="1"/>
  <c r="BY252" i="1"/>
  <c r="BY253" i="1"/>
  <c r="BY254" i="1"/>
  <c r="BY255" i="1"/>
  <c r="BY256" i="1"/>
  <c r="BY257" i="1"/>
  <c r="BY258" i="1"/>
  <c r="BY259" i="1"/>
  <c r="BY260" i="1"/>
  <c r="BY261" i="1"/>
  <c r="BY262" i="1"/>
  <c r="BY263" i="1"/>
  <c r="BY311" i="1"/>
  <c r="BY310" i="1"/>
  <c r="BY313" i="1"/>
  <c r="BY314" i="1"/>
  <c r="BY308" i="1"/>
  <c r="BY197" i="1"/>
  <c r="BY307" i="1"/>
  <c r="BY265" i="1"/>
  <c r="BY266" i="1"/>
  <c r="BY267" i="1"/>
  <c r="BY268" i="1"/>
  <c r="BY269" i="1"/>
  <c r="BY270" i="1"/>
  <c r="BY271" i="1"/>
  <c r="BY272" i="1"/>
  <c r="BY273" i="1"/>
  <c r="BY274" i="1"/>
  <c r="BY275" i="1"/>
  <c r="BY276" i="1"/>
  <c r="BY277" i="1"/>
  <c r="BY278" i="1"/>
  <c r="BY279" i="1"/>
  <c r="BY280" i="1"/>
  <c r="BY281" i="1"/>
  <c r="BY282" i="1"/>
  <c r="BY283" i="1"/>
  <c r="BY284" i="1"/>
  <c r="BY285" i="1"/>
  <c r="BY286" i="1"/>
  <c r="BY287" i="1"/>
  <c r="BY288" i="1"/>
  <c r="BY289" i="1"/>
  <c r="BY290" i="1"/>
  <c r="BY320" i="1"/>
  <c r="BY315" i="1"/>
  <c r="BY292" i="1"/>
  <c r="BY293" i="1"/>
  <c r="BY300" i="1"/>
  <c r="BY318" i="1"/>
  <c r="BY296" i="1"/>
  <c r="BY102" i="1"/>
  <c r="BY103" i="1"/>
  <c r="BY104" i="1"/>
  <c r="BY105" i="1"/>
  <c r="BY106" i="1"/>
  <c r="BY107" i="1"/>
  <c r="BY108" i="1"/>
  <c r="BY109" i="1"/>
  <c r="BY54" i="1"/>
  <c r="BY110" i="1"/>
  <c r="BY111" i="1"/>
  <c r="BY112" i="1"/>
  <c r="BY113" i="1"/>
  <c r="BY114" i="1"/>
  <c r="BY115" i="1"/>
  <c r="BY116" i="1"/>
  <c r="BY117" i="1"/>
  <c r="BY118" i="1"/>
  <c r="BY119" i="1"/>
  <c r="BY120" i="1"/>
  <c r="BY121" i="1"/>
  <c r="BY122" i="1"/>
  <c r="BY123" i="1"/>
  <c r="BY124" i="1"/>
  <c r="BY317" i="1"/>
  <c r="BY125" i="1"/>
  <c r="BY126" i="1"/>
  <c r="BY127" i="1"/>
  <c r="BY128" i="1"/>
  <c r="BY129" i="1"/>
  <c r="BY130" i="1"/>
  <c r="BY131" i="1"/>
  <c r="BY132" i="1"/>
  <c r="BY133" i="1"/>
  <c r="BY134" i="1"/>
  <c r="BY55" i="1"/>
  <c r="BY135" i="1"/>
  <c r="BY136" i="1"/>
  <c r="BY137" i="1"/>
  <c r="BY138" i="1"/>
  <c r="BY139" i="1"/>
  <c r="BY140" i="1"/>
  <c r="BY141" i="1"/>
  <c r="BY142" i="1"/>
  <c r="BY143" i="1"/>
  <c r="BY144" i="1"/>
  <c r="BY145" i="1"/>
  <c r="BY146" i="1"/>
  <c r="BY147" i="1"/>
  <c r="BY148" i="1"/>
  <c r="BY149" i="1"/>
  <c r="BY150" i="1"/>
  <c r="BY151" i="1"/>
  <c r="BY152" i="1"/>
  <c r="BY153" i="1"/>
  <c r="BY154" i="1"/>
  <c r="BY155" i="1"/>
  <c r="BY156" i="1"/>
  <c r="BY157" i="1"/>
  <c r="BY158" i="1"/>
  <c r="BY159" i="1"/>
  <c r="BY160" i="1"/>
  <c r="BY161" i="1"/>
  <c r="BY162" i="1"/>
  <c r="BY163" i="1"/>
  <c r="BY164" i="1"/>
  <c r="BY165" i="1"/>
  <c r="BY166" i="1"/>
  <c r="BY167" i="1"/>
  <c r="BY168" i="1"/>
  <c r="BY169" i="1"/>
  <c r="BY170" i="1"/>
  <c r="BY219" i="1"/>
  <c r="BY319" i="1"/>
  <c r="BY180" i="1"/>
  <c r="BY173" i="1"/>
  <c r="BY181" i="1"/>
  <c r="BY182" i="1"/>
  <c r="BY183" i="1"/>
  <c r="BY184" i="1"/>
  <c r="BY208" i="1"/>
  <c r="BY220" i="1"/>
  <c r="BY209" i="1"/>
  <c r="BY203" i="1"/>
  <c r="BY210" i="1"/>
  <c r="BY211" i="1"/>
  <c r="BY212" i="1"/>
  <c r="BY213" i="1"/>
  <c r="BY214" i="1"/>
  <c r="BY174" i="1"/>
  <c r="BY206" i="1"/>
  <c r="BY198" i="1"/>
  <c r="BY199" i="1"/>
  <c r="BY204" i="1"/>
  <c r="BY205" i="1"/>
  <c r="BY207" i="1"/>
  <c r="BY200" i="1"/>
  <c r="BY201" i="1"/>
  <c r="BY202" i="1"/>
  <c r="BY192" i="1"/>
  <c r="BY193" i="1"/>
  <c r="BY194" i="1"/>
  <c r="BY195" i="1"/>
  <c r="BY196" i="1"/>
  <c r="BY190" i="1"/>
  <c r="BY191" i="1"/>
  <c r="BY185" i="1"/>
  <c r="BY186" i="1"/>
  <c r="BY188" i="1"/>
  <c r="BY187" i="1"/>
  <c r="BY189" i="1"/>
  <c r="BY175" i="1"/>
  <c r="BY176" i="1"/>
  <c r="BY177" i="1"/>
  <c r="BY171" i="1"/>
  <c r="BY172" i="1"/>
  <c r="BY178" i="1"/>
  <c r="BY179" i="1"/>
  <c r="BY316" i="1"/>
  <c r="BX235" i="1"/>
  <c r="BX221" i="1"/>
  <c r="BX222" i="1"/>
  <c r="BX223" i="1"/>
  <c r="BX224" i="1"/>
  <c r="BX225" i="1"/>
  <c r="BX226" i="1"/>
  <c r="BX227" i="1"/>
  <c r="BX228" i="1"/>
  <c r="BX229" i="1"/>
  <c r="BX230" i="1"/>
  <c r="BX294" i="1"/>
  <c r="BX236" i="1"/>
  <c r="BX237" i="1"/>
  <c r="BX238" i="1"/>
  <c r="BX239" i="1"/>
  <c r="BX240" i="1"/>
  <c r="BX241" i="1"/>
  <c r="BX231" i="1"/>
  <c r="BX232" i="1"/>
  <c r="BX215" i="1"/>
  <c r="BX216" i="1"/>
  <c r="BX217" i="1"/>
  <c r="BX233" i="1"/>
  <c r="BX234" i="1"/>
  <c r="BX218" i="1"/>
  <c r="BX56" i="1"/>
  <c r="BX57" i="1"/>
  <c r="BX58" i="1"/>
  <c r="BX59" i="1"/>
  <c r="BX60" i="1"/>
  <c r="BX61" i="1"/>
  <c r="BX62" i="1"/>
  <c r="BX63" i="1"/>
  <c r="BX64" i="1"/>
  <c r="BX65" i="1"/>
  <c r="BX66" i="1"/>
  <c r="BX67" i="1"/>
  <c r="BX68" i="1"/>
  <c r="BX69" i="1"/>
  <c r="BX70" i="1"/>
  <c r="BX71" i="1"/>
  <c r="BX72" i="1"/>
  <c r="BX73" i="1"/>
  <c r="BX74" i="1"/>
  <c r="BX75" i="1"/>
  <c r="BX76" i="1"/>
  <c r="BX77" i="1"/>
  <c r="BX78" i="1"/>
  <c r="BX79" i="1"/>
  <c r="BX80" i="1"/>
  <c r="BX81" i="1"/>
  <c r="BX82" i="1"/>
  <c r="BX83" i="1"/>
  <c r="BX2" i="1"/>
  <c r="BX84" i="1"/>
  <c r="BX85" i="1"/>
  <c r="BX86" i="1"/>
  <c r="BX87" i="1"/>
  <c r="BX88" i="1"/>
  <c r="BX3" i="1"/>
  <c r="BX4" i="1"/>
  <c r="BX89" i="1"/>
  <c r="BX5" i="1"/>
  <c r="BX6" i="1"/>
  <c r="BX7" i="1"/>
  <c r="BX8" i="1"/>
  <c r="BX9" i="1"/>
  <c r="BX10" i="1"/>
  <c r="BX11" i="1"/>
  <c r="BX12" i="1"/>
  <c r="BX13" i="1"/>
  <c r="BX14" i="1"/>
  <c r="BX15" i="1"/>
  <c r="BX90" i="1"/>
  <c r="BX91" i="1"/>
  <c r="BX92" i="1"/>
  <c r="BX93" i="1"/>
  <c r="BX94" i="1"/>
  <c r="BX95" i="1"/>
  <c r="BX96" i="1"/>
  <c r="BX16" i="1"/>
  <c r="BX17" i="1"/>
  <c r="BX18" i="1"/>
  <c r="BX19" i="1"/>
  <c r="BX97" i="1"/>
  <c r="BX98" i="1"/>
  <c r="BX99" i="1"/>
  <c r="BX20" i="1"/>
  <c r="BX100" i="1"/>
  <c r="BX101" i="1"/>
  <c r="BX21" i="1"/>
  <c r="BX22" i="1"/>
  <c r="BX23" i="1"/>
  <c r="BX24" i="1"/>
  <c r="BX25" i="1"/>
  <c r="BX26" i="1"/>
  <c r="BX27" i="1"/>
  <c r="BX28" i="1"/>
  <c r="BX29" i="1"/>
  <c r="BX30" i="1"/>
  <c r="BX31" i="1"/>
  <c r="BX32" i="1"/>
  <c r="BX33" i="1"/>
  <c r="BX34" i="1"/>
  <c r="BX35" i="1"/>
  <c r="BX36" i="1"/>
  <c r="BX37" i="1"/>
  <c r="BX38" i="1"/>
  <c r="BX39" i="1"/>
  <c r="BX40" i="1"/>
  <c r="BX41" i="1"/>
  <c r="BX42" i="1"/>
  <c r="BX43" i="1"/>
  <c r="BX44" i="1"/>
  <c r="BX45" i="1"/>
  <c r="BX46" i="1"/>
  <c r="BX47" i="1"/>
  <c r="BX48" i="1"/>
  <c r="BX49" i="1"/>
  <c r="BX50" i="1"/>
  <c r="BX51" i="1"/>
  <c r="BX52" i="1"/>
  <c r="BX302" i="1"/>
  <c r="BX305" i="1"/>
  <c r="BX301" i="1"/>
  <c r="BX304" i="1"/>
  <c r="BX303" i="1"/>
  <c r="BX291" i="1"/>
  <c r="BX309" i="1"/>
  <c r="BX306" i="1"/>
  <c r="BX53" i="1"/>
  <c r="BX298" i="1"/>
  <c r="BX299" i="1"/>
  <c r="BX297" i="1"/>
  <c r="BX295" i="1"/>
  <c r="BX312" i="1"/>
  <c r="BX242" i="1"/>
  <c r="BX243" i="1"/>
  <c r="BX244" i="1"/>
  <c r="BX245" i="1"/>
  <c r="BX246" i="1"/>
  <c r="BX264" i="1"/>
  <c r="BX247" i="1"/>
  <c r="BX248" i="1"/>
  <c r="BX249" i="1"/>
  <c r="BX250" i="1"/>
  <c r="BX251" i="1"/>
  <c r="BX252" i="1"/>
  <c r="BX253" i="1"/>
  <c r="BX254" i="1"/>
  <c r="BX255" i="1"/>
  <c r="BX256" i="1"/>
  <c r="BX257" i="1"/>
  <c r="BX258" i="1"/>
  <c r="BX259" i="1"/>
  <c r="BX260" i="1"/>
  <c r="BX261" i="1"/>
  <c r="BX262" i="1"/>
  <c r="BX263" i="1"/>
  <c r="BX311" i="1"/>
  <c r="BX310" i="1"/>
  <c r="BX313" i="1"/>
  <c r="BX314" i="1"/>
  <c r="BX308" i="1"/>
  <c r="BX197" i="1"/>
  <c r="BX307" i="1"/>
  <c r="BX265" i="1"/>
  <c r="BX266" i="1"/>
  <c r="BX267" i="1"/>
  <c r="BX268" i="1"/>
  <c r="BX269" i="1"/>
  <c r="BX270" i="1"/>
  <c r="BX271" i="1"/>
  <c r="BX272" i="1"/>
  <c r="BX273" i="1"/>
  <c r="BX274" i="1"/>
  <c r="BX275" i="1"/>
  <c r="BX276" i="1"/>
  <c r="BX277" i="1"/>
  <c r="BX278" i="1"/>
  <c r="BX279" i="1"/>
  <c r="BX280" i="1"/>
  <c r="BX281" i="1"/>
  <c r="BX282" i="1"/>
  <c r="BX283" i="1"/>
  <c r="BX284" i="1"/>
  <c r="BX285" i="1"/>
  <c r="BX286" i="1"/>
  <c r="BX287" i="1"/>
  <c r="BX288" i="1"/>
  <c r="BX289" i="1"/>
  <c r="BX290" i="1"/>
  <c r="BX320" i="1"/>
  <c r="BX315" i="1"/>
  <c r="BX292" i="1"/>
  <c r="BX293" i="1"/>
  <c r="BX300" i="1"/>
  <c r="BX318" i="1"/>
  <c r="BX296" i="1"/>
  <c r="BX102" i="1"/>
  <c r="BX103" i="1"/>
  <c r="BX104" i="1"/>
  <c r="BX105" i="1"/>
  <c r="BX106" i="1"/>
  <c r="BX107" i="1"/>
  <c r="BX108" i="1"/>
  <c r="BX109" i="1"/>
  <c r="BX54" i="1"/>
  <c r="BX110" i="1"/>
  <c r="BX111" i="1"/>
  <c r="BX112" i="1"/>
  <c r="BX113" i="1"/>
  <c r="BX114" i="1"/>
  <c r="BX115" i="1"/>
  <c r="BX116" i="1"/>
  <c r="BX117" i="1"/>
  <c r="BX118" i="1"/>
  <c r="BX119" i="1"/>
  <c r="BX120" i="1"/>
  <c r="BX121" i="1"/>
  <c r="BX122" i="1"/>
  <c r="BX123" i="1"/>
  <c r="BX124" i="1"/>
  <c r="BX317" i="1"/>
  <c r="BX125" i="1"/>
  <c r="BX126" i="1"/>
  <c r="BX127" i="1"/>
  <c r="BX128" i="1"/>
  <c r="BX129" i="1"/>
  <c r="BX130" i="1"/>
  <c r="BX131" i="1"/>
  <c r="BX132" i="1"/>
  <c r="BX133" i="1"/>
  <c r="BX134" i="1"/>
  <c r="BX55" i="1"/>
  <c r="BX135" i="1"/>
  <c r="BX136" i="1"/>
  <c r="BX137" i="1"/>
  <c r="BX138" i="1"/>
  <c r="BX139" i="1"/>
  <c r="BX140" i="1"/>
  <c r="BX141" i="1"/>
  <c r="BX142" i="1"/>
  <c r="BX143" i="1"/>
  <c r="BX144" i="1"/>
  <c r="BX145" i="1"/>
  <c r="BX146" i="1"/>
  <c r="BX147" i="1"/>
  <c r="BX148" i="1"/>
  <c r="BX149" i="1"/>
  <c r="BX150" i="1"/>
  <c r="BX151" i="1"/>
  <c r="BX152" i="1"/>
  <c r="BX153" i="1"/>
  <c r="BX154" i="1"/>
  <c r="BX155" i="1"/>
  <c r="BX156" i="1"/>
  <c r="BX157" i="1"/>
  <c r="BX158" i="1"/>
  <c r="BX159" i="1"/>
  <c r="BX160" i="1"/>
  <c r="BX161" i="1"/>
  <c r="BX162" i="1"/>
  <c r="BX163" i="1"/>
  <c r="BX164" i="1"/>
  <c r="BX165" i="1"/>
  <c r="BX166" i="1"/>
  <c r="BX167" i="1"/>
  <c r="BX168" i="1"/>
  <c r="BX169" i="1"/>
  <c r="BX170" i="1"/>
  <c r="BX219" i="1"/>
  <c r="BX319" i="1"/>
  <c r="BX180" i="1"/>
  <c r="BX173" i="1"/>
  <c r="BX181" i="1"/>
  <c r="BX182" i="1"/>
  <c r="BX183" i="1"/>
  <c r="BX184" i="1"/>
  <c r="BX208" i="1"/>
  <c r="BX220" i="1"/>
  <c r="BX209" i="1"/>
  <c r="BX203" i="1"/>
  <c r="BX210" i="1"/>
  <c r="BX211" i="1"/>
  <c r="BX212" i="1"/>
  <c r="BX213" i="1"/>
  <c r="BX214" i="1"/>
  <c r="BX174" i="1"/>
  <c r="BX206" i="1"/>
  <c r="BX198" i="1"/>
  <c r="BX199" i="1"/>
  <c r="BX204" i="1"/>
  <c r="BX205" i="1"/>
  <c r="BX207" i="1"/>
  <c r="BX200" i="1"/>
  <c r="BX201" i="1"/>
  <c r="BX202" i="1"/>
  <c r="BX192" i="1"/>
  <c r="BX193" i="1"/>
  <c r="BX194" i="1"/>
  <c r="BX195" i="1"/>
  <c r="BX196" i="1"/>
  <c r="BX190" i="1"/>
  <c r="BX191" i="1"/>
  <c r="BX185" i="1"/>
  <c r="BX186" i="1"/>
  <c r="BX188" i="1"/>
  <c r="BX187" i="1"/>
  <c r="BX189" i="1"/>
  <c r="BX175" i="1"/>
  <c r="BX176" i="1"/>
  <c r="BX177" i="1"/>
  <c r="BX171" i="1"/>
  <c r="BX172" i="1"/>
  <c r="BX178" i="1"/>
  <c r="BX179" i="1"/>
  <c r="BX316" i="1"/>
  <c r="BW235" i="1"/>
  <c r="BW221" i="1"/>
  <c r="BW222" i="1"/>
  <c r="BW223" i="1"/>
  <c r="BW224" i="1"/>
  <c r="BW225" i="1"/>
  <c r="BW226" i="1"/>
  <c r="BW227" i="1"/>
  <c r="BW228" i="1"/>
  <c r="BW229" i="1"/>
  <c r="BW230" i="1"/>
  <c r="BW294" i="1"/>
  <c r="BW236" i="1"/>
  <c r="BW237" i="1"/>
  <c r="BW238" i="1"/>
  <c r="BW239" i="1"/>
  <c r="BW240" i="1"/>
  <c r="BW241" i="1"/>
  <c r="BW231" i="1"/>
  <c r="BW232" i="1"/>
  <c r="BW215" i="1"/>
  <c r="BW216" i="1"/>
  <c r="BW217" i="1"/>
  <c r="BW233" i="1"/>
  <c r="BW234" i="1"/>
  <c r="BW218" i="1"/>
  <c r="BW56" i="1"/>
  <c r="BW57" i="1"/>
  <c r="BW58" i="1"/>
  <c r="BW59" i="1"/>
  <c r="BW60" i="1"/>
  <c r="BW61" i="1"/>
  <c r="BW62" i="1"/>
  <c r="BW63" i="1"/>
  <c r="BW64" i="1"/>
  <c r="BW65" i="1"/>
  <c r="BW66" i="1"/>
  <c r="BW67" i="1"/>
  <c r="BW68" i="1"/>
  <c r="BW69" i="1"/>
  <c r="BW70" i="1"/>
  <c r="BW71" i="1"/>
  <c r="BW72" i="1"/>
  <c r="BW73" i="1"/>
  <c r="BW74" i="1"/>
  <c r="BW75" i="1"/>
  <c r="BW76" i="1"/>
  <c r="BW77" i="1"/>
  <c r="BW78" i="1"/>
  <c r="BW79" i="1"/>
  <c r="BW80" i="1"/>
  <c r="BW81" i="1"/>
  <c r="BW82" i="1"/>
  <c r="BW83" i="1"/>
  <c r="BW2" i="1"/>
  <c r="BW84" i="1"/>
  <c r="BW85" i="1"/>
  <c r="BW86" i="1"/>
  <c r="BW87" i="1"/>
  <c r="BW88" i="1"/>
  <c r="BW3" i="1"/>
  <c r="BW4" i="1"/>
  <c r="BW89" i="1"/>
  <c r="BW5" i="1"/>
  <c r="BW6" i="1"/>
  <c r="BW7" i="1"/>
  <c r="BW8" i="1"/>
  <c r="BW9" i="1"/>
  <c r="BW10" i="1"/>
  <c r="BW11" i="1"/>
  <c r="BW12" i="1"/>
  <c r="BW13" i="1"/>
  <c r="BW14" i="1"/>
  <c r="BW15" i="1"/>
  <c r="BW90" i="1"/>
  <c r="BW91" i="1"/>
  <c r="BW92" i="1"/>
  <c r="BW93" i="1"/>
  <c r="BW94" i="1"/>
  <c r="BW95" i="1"/>
  <c r="BW96" i="1"/>
  <c r="BW16" i="1"/>
  <c r="BW17" i="1"/>
  <c r="BW18" i="1"/>
  <c r="BW19" i="1"/>
  <c r="BW97" i="1"/>
  <c r="BW98" i="1"/>
  <c r="BW99" i="1"/>
  <c r="BW20" i="1"/>
  <c r="BW100" i="1"/>
  <c r="BW101" i="1"/>
  <c r="BW21" i="1"/>
  <c r="BW22" i="1"/>
  <c r="BW23" i="1"/>
  <c r="BW24" i="1"/>
  <c r="BW25" i="1"/>
  <c r="BW26" i="1"/>
  <c r="BW27" i="1"/>
  <c r="BW28" i="1"/>
  <c r="BW29" i="1"/>
  <c r="BW30" i="1"/>
  <c r="BW31" i="1"/>
  <c r="BW32" i="1"/>
  <c r="BW33" i="1"/>
  <c r="BW34" i="1"/>
  <c r="BW35" i="1"/>
  <c r="BW36" i="1"/>
  <c r="BW37" i="1"/>
  <c r="BW38" i="1"/>
  <c r="BW39" i="1"/>
  <c r="BW40" i="1"/>
  <c r="BW41" i="1"/>
  <c r="BW42" i="1"/>
  <c r="BW43" i="1"/>
  <c r="BW44" i="1"/>
  <c r="BW45" i="1"/>
  <c r="BW46" i="1"/>
  <c r="BW47" i="1"/>
  <c r="BW48" i="1"/>
  <c r="BW49" i="1"/>
  <c r="BW50" i="1"/>
  <c r="BW51" i="1"/>
  <c r="BW52" i="1"/>
  <c r="BW302" i="1"/>
  <c r="BW305" i="1"/>
  <c r="BW301" i="1"/>
  <c r="BW304" i="1"/>
  <c r="BW303" i="1"/>
  <c r="BW291" i="1"/>
  <c r="BW309" i="1"/>
  <c r="BW306" i="1"/>
  <c r="BW53" i="1"/>
  <c r="BW298" i="1"/>
  <c r="BW299" i="1"/>
  <c r="BW297" i="1"/>
  <c r="BW295" i="1"/>
  <c r="BW312" i="1"/>
  <c r="BW242" i="1"/>
  <c r="BW243" i="1"/>
  <c r="BW244" i="1"/>
  <c r="BW245" i="1"/>
  <c r="BW246" i="1"/>
  <c r="BW264" i="1"/>
  <c r="BW247" i="1"/>
  <c r="BW248" i="1"/>
  <c r="BW249" i="1"/>
  <c r="BW250" i="1"/>
  <c r="BW251" i="1"/>
  <c r="BW252" i="1"/>
  <c r="BW253" i="1"/>
  <c r="BW254" i="1"/>
  <c r="BW255" i="1"/>
  <c r="BW256" i="1"/>
  <c r="BW257" i="1"/>
  <c r="BW258" i="1"/>
  <c r="BW259" i="1"/>
  <c r="BW260" i="1"/>
  <c r="BW261" i="1"/>
  <c r="BW262" i="1"/>
  <c r="BW263" i="1"/>
  <c r="BW311" i="1"/>
  <c r="BW310" i="1"/>
  <c r="BW313" i="1"/>
  <c r="BW314" i="1"/>
  <c r="BW308" i="1"/>
  <c r="BW197" i="1"/>
  <c r="BW307" i="1"/>
  <c r="BW265" i="1"/>
  <c r="BW266" i="1"/>
  <c r="BW267" i="1"/>
  <c r="BW268" i="1"/>
  <c r="BW269" i="1"/>
  <c r="BW270" i="1"/>
  <c r="BW271" i="1"/>
  <c r="BW272" i="1"/>
  <c r="BW273" i="1"/>
  <c r="BW274" i="1"/>
  <c r="BW275" i="1"/>
  <c r="BW276" i="1"/>
  <c r="BW277" i="1"/>
  <c r="BW278" i="1"/>
  <c r="BW279" i="1"/>
  <c r="BW280" i="1"/>
  <c r="BW281" i="1"/>
  <c r="BW282" i="1"/>
  <c r="BW283" i="1"/>
  <c r="BW284" i="1"/>
  <c r="BW285" i="1"/>
  <c r="BW286" i="1"/>
  <c r="BW287" i="1"/>
  <c r="BW288" i="1"/>
  <c r="BW289" i="1"/>
  <c r="BW290" i="1"/>
  <c r="BW320" i="1"/>
  <c r="BW315" i="1"/>
  <c r="BW292" i="1"/>
  <c r="BW293" i="1"/>
  <c r="BW300" i="1"/>
  <c r="BW318" i="1"/>
  <c r="BW296" i="1"/>
  <c r="BW102" i="1"/>
  <c r="BW103" i="1"/>
  <c r="BW104" i="1"/>
  <c r="BW105" i="1"/>
  <c r="BW106" i="1"/>
  <c r="BW107" i="1"/>
  <c r="BW108" i="1"/>
  <c r="BW109" i="1"/>
  <c r="BW54" i="1"/>
  <c r="BW110" i="1"/>
  <c r="BW111" i="1"/>
  <c r="BW112" i="1"/>
  <c r="BW113" i="1"/>
  <c r="BW114" i="1"/>
  <c r="BW115" i="1"/>
  <c r="BW116" i="1"/>
  <c r="BW117" i="1"/>
  <c r="BW118" i="1"/>
  <c r="BW119" i="1"/>
  <c r="BW120" i="1"/>
  <c r="BW121" i="1"/>
  <c r="BW122" i="1"/>
  <c r="BW123" i="1"/>
  <c r="BW124" i="1"/>
  <c r="BW317" i="1"/>
  <c r="BW125" i="1"/>
  <c r="BW126" i="1"/>
  <c r="BW127" i="1"/>
  <c r="BW128" i="1"/>
  <c r="BW129" i="1"/>
  <c r="BW130" i="1"/>
  <c r="BW131" i="1"/>
  <c r="BW132" i="1"/>
  <c r="BW133" i="1"/>
  <c r="BW134" i="1"/>
  <c r="BW55" i="1"/>
  <c r="BW135" i="1"/>
  <c r="BW136" i="1"/>
  <c r="BW137" i="1"/>
  <c r="BW138" i="1"/>
  <c r="BW139" i="1"/>
  <c r="BW140" i="1"/>
  <c r="BW141" i="1"/>
  <c r="BW142" i="1"/>
  <c r="BW143" i="1"/>
  <c r="BW144" i="1"/>
  <c r="BW145" i="1"/>
  <c r="BW146" i="1"/>
  <c r="BW147" i="1"/>
  <c r="BW148" i="1"/>
  <c r="BW149" i="1"/>
  <c r="BW150" i="1"/>
  <c r="BW151" i="1"/>
  <c r="BW152" i="1"/>
  <c r="BW153" i="1"/>
  <c r="BW154" i="1"/>
  <c r="BW155" i="1"/>
  <c r="BW156" i="1"/>
  <c r="BW157" i="1"/>
  <c r="BW158" i="1"/>
  <c r="BW159" i="1"/>
  <c r="BW160" i="1"/>
  <c r="BW161" i="1"/>
  <c r="BW162" i="1"/>
  <c r="BW163" i="1"/>
  <c r="BW164" i="1"/>
  <c r="BW165" i="1"/>
  <c r="BW166" i="1"/>
  <c r="BW167" i="1"/>
  <c r="BW168" i="1"/>
  <c r="BW169" i="1"/>
  <c r="BW170" i="1"/>
  <c r="BW219" i="1"/>
  <c r="BW319" i="1"/>
  <c r="BW180" i="1"/>
  <c r="BW173" i="1"/>
  <c r="BW181" i="1"/>
  <c r="BW182" i="1"/>
  <c r="BW183" i="1"/>
  <c r="BW184" i="1"/>
  <c r="BW208" i="1"/>
  <c r="BW220" i="1"/>
  <c r="BW209" i="1"/>
  <c r="BW203" i="1"/>
  <c r="BW210" i="1"/>
  <c r="BW211" i="1"/>
  <c r="BW212" i="1"/>
  <c r="BW213" i="1"/>
  <c r="BW214" i="1"/>
  <c r="BW174" i="1"/>
  <c r="BW206" i="1"/>
  <c r="BW198" i="1"/>
  <c r="BW199" i="1"/>
  <c r="BW204" i="1"/>
  <c r="BW205" i="1"/>
  <c r="BW207" i="1"/>
  <c r="BW200" i="1"/>
  <c r="BW201" i="1"/>
  <c r="BW202" i="1"/>
  <c r="BW192" i="1"/>
  <c r="BW193" i="1"/>
  <c r="BW194" i="1"/>
  <c r="BW195" i="1"/>
  <c r="BW196" i="1"/>
  <c r="BW190" i="1"/>
  <c r="BW191" i="1"/>
  <c r="BW185" i="1"/>
  <c r="BW186" i="1"/>
  <c r="BW188" i="1"/>
  <c r="BW187" i="1"/>
  <c r="BW189" i="1"/>
  <c r="BW175" i="1"/>
  <c r="BW176" i="1"/>
  <c r="BW177" i="1"/>
  <c r="BW171" i="1"/>
  <c r="BW172" i="1"/>
  <c r="BW178" i="1"/>
  <c r="BW179" i="1"/>
  <c r="BW316" i="1"/>
  <c r="BV235" i="1"/>
  <c r="BV221" i="1"/>
  <c r="BV222" i="1"/>
  <c r="BV223" i="1"/>
  <c r="BV224" i="1"/>
  <c r="BV225" i="1"/>
  <c r="BV226" i="1"/>
  <c r="BV227" i="1"/>
  <c r="BV228" i="1"/>
  <c r="BV229" i="1"/>
  <c r="BV230" i="1"/>
  <c r="BV294" i="1"/>
  <c r="BV236" i="1"/>
  <c r="BV237" i="1"/>
  <c r="BV238" i="1"/>
  <c r="BV239" i="1"/>
  <c r="BV240" i="1"/>
  <c r="BV241" i="1"/>
  <c r="BV231" i="1"/>
  <c r="BV232" i="1"/>
  <c r="BV215" i="1"/>
  <c r="BV216" i="1"/>
  <c r="BV217" i="1"/>
  <c r="BV233" i="1"/>
  <c r="BV234" i="1"/>
  <c r="BV218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2" i="1"/>
  <c r="BV84" i="1"/>
  <c r="BV85" i="1"/>
  <c r="BV86" i="1"/>
  <c r="BV87" i="1"/>
  <c r="BV88" i="1"/>
  <c r="BV3" i="1"/>
  <c r="BV4" i="1"/>
  <c r="BV89" i="1"/>
  <c r="BV5" i="1"/>
  <c r="BV6" i="1"/>
  <c r="BV7" i="1"/>
  <c r="BV8" i="1"/>
  <c r="BV9" i="1"/>
  <c r="BV10" i="1"/>
  <c r="BV11" i="1"/>
  <c r="BV12" i="1"/>
  <c r="BV13" i="1"/>
  <c r="BV14" i="1"/>
  <c r="BV15" i="1"/>
  <c r="BV90" i="1"/>
  <c r="BV91" i="1"/>
  <c r="BV92" i="1"/>
  <c r="BV93" i="1"/>
  <c r="BV94" i="1"/>
  <c r="BV95" i="1"/>
  <c r="BV96" i="1"/>
  <c r="BV16" i="1"/>
  <c r="BV17" i="1"/>
  <c r="BV18" i="1"/>
  <c r="BV19" i="1"/>
  <c r="BV97" i="1"/>
  <c r="BV98" i="1"/>
  <c r="BV99" i="1"/>
  <c r="BV20" i="1"/>
  <c r="BV100" i="1"/>
  <c r="BV101" i="1"/>
  <c r="BV21" i="1"/>
  <c r="BV22" i="1"/>
  <c r="BV2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302" i="1"/>
  <c r="BV305" i="1"/>
  <c r="BV301" i="1"/>
  <c r="BV304" i="1"/>
  <c r="BV303" i="1"/>
  <c r="BV291" i="1"/>
  <c r="BV309" i="1"/>
  <c r="BV306" i="1"/>
  <c r="BV53" i="1"/>
  <c r="BV298" i="1"/>
  <c r="BV299" i="1"/>
  <c r="BV297" i="1"/>
  <c r="BV295" i="1"/>
  <c r="BV312" i="1"/>
  <c r="BV242" i="1"/>
  <c r="BV243" i="1"/>
  <c r="BV244" i="1"/>
  <c r="BV245" i="1"/>
  <c r="BV246" i="1"/>
  <c r="BV264" i="1"/>
  <c r="BV247" i="1"/>
  <c r="BV248" i="1"/>
  <c r="BV249" i="1"/>
  <c r="BV250" i="1"/>
  <c r="BV251" i="1"/>
  <c r="BV252" i="1"/>
  <c r="BV253" i="1"/>
  <c r="BV254" i="1"/>
  <c r="BV255" i="1"/>
  <c r="BV256" i="1"/>
  <c r="BV257" i="1"/>
  <c r="BV258" i="1"/>
  <c r="BV259" i="1"/>
  <c r="BV260" i="1"/>
  <c r="BV261" i="1"/>
  <c r="BV262" i="1"/>
  <c r="BV263" i="1"/>
  <c r="BV311" i="1"/>
  <c r="BV310" i="1"/>
  <c r="BV313" i="1"/>
  <c r="BV314" i="1"/>
  <c r="BV308" i="1"/>
  <c r="BV197" i="1"/>
  <c r="BV307" i="1"/>
  <c r="BV265" i="1"/>
  <c r="BV266" i="1"/>
  <c r="BV267" i="1"/>
  <c r="BV268" i="1"/>
  <c r="BV269" i="1"/>
  <c r="BV270" i="1"/>
  <c r="BV271" i="1"/>
  <c r="BV272" i="1"/>
  <c r="BV273" i="1"/>
  <c r="BV274" i="1"/>
  <c r="BV275" i="1"/>
  <c r="BV276" i="1"/>
  <c r="BV277" i="1"/>
  <c r="BV278" i="1"/>
  <c r="BV279" i="1"/>
  <c r="BV280" i="1"/>
  <c r="BV281" i="1"/>
  <c r="BV282" i="1"/>
  <c r="BV283" i="1"/>
  <c r="BV284" i="1"/>
  <c r="BV285" i="1"/>
  <c r="BV286" i="1"/>
  <c r="BV287" i="1"/>
  <c r="BV288" i="1"/>
  <c r="BV289" i="1"/>
  <c r="BV290" i="1"/>
  <c r="BV320" i="1"/>
  <c r="BV315" i="1"/>
  <c r="BV292" i="1"/>
  <c r="BV293" i="1"/>
  <c r="BV300" i="1"/>
  <c r="BV318" i="1"/>
  <c r="BV296" i="1"/>
  <c r="BV102" i="1"/>
  <c r="BV103" i="1"/>
  <c r="BV104" i="1"/>
  <c r="BV105" i="1"/>
  <c r="BV106" i="1"/>
  <c r="BV107" i="1"/>
  <c r="BV108" i="1"/>
  <c r="BV109" i="1"/>
  <c r="BV54" i="1"/>
  <c r="BV110" i="1"/>
  <c r="BV111" i="1"/>
  <c r="BV112" i="1"/>
  <c r="BV113" i="1"/>
  <c r="BV114" i="1"/>
  <c r="BV115" i="1"/>
  <c r="BV116" i="1"/>
  <c r="BV117" i="1"/>
  <c r="BV118" i="1"/>
  <c r="BV119" i="1"/>
  <c r="BV120" i="1"/>
  <c r="BV121" i="1"/>
  <c r="BV122" i="1"/>
  <c r="BV123" i="1"/>
  <c r="BV124" i="1"/>
  <c r="BV317" i="1"/>
  <c r="BV125" i="1"/>
  <c r="BV126" i="1"/>
  <c r="BV127" i="1"/>
  <c r="BV128" i="1"/>
  <c r="BV129" i="1"/>
  <c r="BV130" i="1"/>
  <c r="BV131" i="1"/>
  <c r="BV132" i="1"/>
  <c r="BV133" i="1"/>
  <c r="BV134" i="1"/>
  <c r="BV55" i="1"/>
  <c r="BV135" i="1"/>
  <c r="BV136" i="1"/>
  <c r="BV137" i="1"/>
  <c r="BV138" i="1"/>
  <c r="BV139" i="1"/>
  <c r="BV140" i="1"/>
  <c r="BV141" i="1"/>
  <c r="BV142" i="1"/>
  <c r="BV143" i="1"/>
  <c r="BV144" i="1"/>
  <c r="BV145" i="1"/>
  <c r="BV146" i="1"/>
  <c r="BV147" i="1"/>
  <c r="BV148" i="1"/>
  <c r="BV149" i="1"/>
  <c r="BV150" i="1"/>
  <c r="BV151" i="1"/>
  <c r="BV152" i="1"/>
  <c r="BV153" i="1"/>
  <c r="BV154" i="1"/>
  <c r="BV155" i="1"/>
  <c r="BV156" i="1"/>
  <c r="BV157" i="1"/>
  <c r="BV158" i="1"/>
  <c r="BV159" i="1"/>
  <c r="BV160" i="1"/>
  <c r="BV161" i="1"/>
  <c r="BV162" i="1"/>
  <c r="BV163" i="1"/>
  <c r="BV164" i="1"/>
  <c r="BV165" i="1"/>
  <c r="BV166" i="1"/>
  <c r="BV167" i="1"/>
  <c r="BV168" i="1"/>
  <c r="BV169" i="1"/>
  <c r="BV170" i="1"/>
  <c r="BV219" i="1"/>
  <c r="BV319" i="1"/>
  <c r="BV180" i="1"/>
  <c r="BV173" i="1"/>
  <c r="BV181" i="1"/>
  <c r="BV182" i="1"/>
  <c r="BV183" i="1"/>
  <c r="BV184" i="1"/>
  <c r="BV208" i="1"/>
  <c r="BV220" i="1"/>
  <c r="BV209" i="1"/>
  <c r="BV203" i="1"/>
  <c r="BV210" i="1"/>
  <c r="BV211" i="1"/>
  <c r="BV212" i="1"/>
  <c r="BV213" i="1"/>
  <c r="BV214" i="1"/>
  <c r="BV174" i="1"/>
  <c r="BV206" i="1"/>
  <c r="BV198" i="1"/>
  <c r="BV199" i="1"/>
  <c r="BV204" i="1"/>
  <c r="BV205" i="1"/>
  <c r="BV207" i="1"/>
  <c r="BV200" i="1"/>
  <c r="BV201" i="1"/>
  <c r="BV202" i="1"/>
  <c r="BV192" i="1"/>
  <c r="BV193" i="1"/>
  <c r="BV194" i="1"/>
  <c r="BV195" i="1"/>
  <c r="BV196" i="1"/>
  <c r="BV190" i="1"/>
  <c r="BV191" i="1"/>
  <c r="BV185" i="1"/>
  <c r="BV186" i="1"/>
  <c r="BV188" i="1"/>
  <c r="BV187" i="1"/>
  <c r="BV189" i="1"/>
  <c r="BV175" i="1"/>
  <c r="BV176" i="1"/>
  <c r="BV177" i="1"/>
  <c r="BV171" i="1"/>
  <c r="BV172" i="1"/>
  <c r="BV178" i="1"/>
  <c r="BV179" i="1"/>
  <c r="BV316" i="1"/>
  <c r="BU235" i="1"/>
  <c r="BU221" i="1"/>
  <c r="BU222" i="1"/>
  <c r="BU223" i="1"/>
  <c r="BU224" i="1"/>
  <c r="BU225" i="1"/>
  <c r="BU226" i="1"/>
  <c r="BU227" i="1"/>
  <c r="BU228" i="1"/>
  <c r="BU229" i="1"/>
  <c r="BU230" i="1"/>
  <c r="BU294" i="1"/>
  <c r="BU236" i="1"/>
  <c r="BU237" i="1"/>
  <c r="BU238" i="1"/>
  <c r="BU239" i="1"/>
  <c r="BU240" i="1"/>
  <c r="BU241" i="1"/>
  <c r="BU231" i="1"/>
  <c r="BU232" i="1"/>
  <c r="BU215" i="1"/>
  <c r="BU216" i="1"/>
  <c r="BU217" i="1"/>
  <c r="BU233" i="1"/>
  <c r="BU234" i="1"/>
  <c r="BU218" i="1"/>
  <c r="BU56" i="1"/>
  <c r="BU57" i="1"/>
  <c r="BU58" i="1"/>
  <c r="BU59" i="1"/>
  <c r="BU60" i="1"/>
  <c r="BU61" i="1"/>
  <c r="BU62" i="1"/>
  <c r="BU63" i="1"/>
  <c r="BU64" i="1"/>
  <c r="BU65" i="1"/>
  <c r="BU66" i="1"/>
  <c r="BU67" i="1"/>
  <c r="BU68" i="1"/>
  <c r="BU69" i="1"/>
  <c r="BU70" i="1"/>
  <c r="BU71" i="1"/>
  <c r="BU72" i="1"/>
  <c r="BU73" i="1"/>
  <c r="BU74" i="1"/>
  <c r="BU75" i="1"/>
  <c r="BU76" i="1"/>
  <c r="BU77" i="1"/>
  <c r="BU78" i="1"/>
  <c r="BU79" i="1"/>
  <c r="BU80" i="1"/>
  <c r="BU81" i="1"/>
  <c r="BU82" i="1"/>
  <c r="BU83" i="1"/>
  <c r="BU2" i="1"/>
  <c r="BU84" i="1"/>
  <c r="BU85" i="1"/>
  <c r="BU86" i="1"/>
  <c r="BU87" i="1"/>
  <c r="BU88" i="1"/>
  <c r="BU3" i="1"/>
  <c r="BU4" i="1"/>
  <c r="BU89" i="1"/>
  <c r="BU5" i="1"/>
  <c r="BU6" i="1"/>
  <c r="BU7" i="1"/>
  <c r="BU8" i="1"/>
  <c r="BU9" i="1"/>
  <c r="BU10" i="1"/>
  <c r="BU11" i="1"/>
  <c r="BU12" i="1"/>
  <c r="BU13" i="1"/>
  <c r="BU14" i="1"/>
  <c r="BU15" i="1"/>
  <c r="BU90" i="1"/>
  <c r="BU91" i="1"/>
  <c r="BU92" i="1"/>
  <c r="BU93" i="1"/>
  <c r="BU94" i="1"/>
  <c r="BU95" i="1"/>
  <c r="BU96" i="1"/>
  <c r="BU16" i="1"/>
  <c r="BU17" i="1"/>
  <c r="BU18" i="1"/>
  <c r="BU19" i="1"/>
  <c r="BU97" i="1"/>
  <c r="BU98" i="1"/>
  <c r="BU99" i="1"/>
  <c r="BU20" i="1"/>
  <c r="BU100" i="1"/>
  <c r="BU101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U49" i="1"/>
  <c r="BU50" i="1"/>
  <c r="BU51" i="1"/>
  <c r="BU52" i="1"/>
  <c r="BU302" i="1"/>
  <c r="BU305" i="1"/>
  <c r="BU301" i="1"/>
  <c r="BU304" i="1"/>
  <c r="BU303" i="1"/>
  <c r="BU291" i="1"/>
  <c r="BU309" i="1"/>
  <c r="BU306" i="1"/>
  <c r="BU53" i="1"/>
  <c r="BU298" i="1"/>
  <c r="BU299" i="1"/>
  <c r="BU297" i="1"/>
  <c r="BU295" i="1"/>
  <c r="BU312" i="1"/>
  <c r="BU242" i="1"/>
  <c r="BU243" i="1"/>
  <c r="BU244" i="1"/>
  <c r="BU245" i="1"/>
  <c r="BU246" i="1"/>
  <c r="BU264" i="1"/>
  <c r="BU247" i="1"/>
  <c r="BU248" i="1"/>
  <c r="BU249" i="1"/>
  <c r="BU250" i="1"/>
  <c r="BU251" i="1"/>
  <c r="BU252" i="1"/>
  <c r="BU253" i="1"/>
  <c r="BU254" i="1"/>
  <c r="BU255" i="1"/>
  <c r="BU256" i="1"/>
  <c r="BU257" i="1"/>
  <c r="BU258" i="1"/>
  <c r="BU259" i="1"/>
  <c r="BU260" i="1"/>
  <c r="BU261" i="1"/>
  <c r="BU262" i="1"/>
  <c r="BU263" i="1"/>
  <c r="BU311" i="1"/>
  <c r="BU310" i="1"/>
  <c r="BU313" i="1"/>
  <c r="BU314" i="1"/>
  <c r="BU308" i="1"/>
  <c r="BU197" i="1"/>
  <c r="BU307" i="1"/>
  <c r="BU265" i="1"/>
  <c r="BU266" i="1"/>
  <c r="BU267" i="1"/>
  <c r="BU268" i="1"/>
  <c r="BU269" i="1"/>
  <c r="BU270" i="1"/>
  <c r="BU271" i="1"/>
  <c r="BU272" i="1"/>
  <c r="BU273" i="1"/>
  <c r="BU274" i="1"/>
  <c r="BU275" i="1"/>
  <c r="BU276" i="1"/>
  <c r="BU277" i="1"/>
  <c r="BU278" i="1"/>
  <c r="BU279" i="1"/>
  <c r="BU280" i="1"/>
  <c r="BU281" i="1"/>
  <c r="BU282" i="1"/>
  <c r="BU283" i="1"/>
  <c r="BU284" i="1"/>
  <c r="BU285" i="1"/>
  <c r="BU286" i="1"/>
  <c r="BU287" i="1"/>
  <c r="BU288" i="1"/>
  <c r="BU289" i="1"/>
  <c r="BU290" i="1"/>
  <c r="BU320" i="1"/>
  <c r="BU315" i="1"/>
  <c r="BU292" i="1"/>
  <c r="BU293" i="1"/>
  <c r="BU300" i="1"/>
  <c r="BU318" i="1"/>
  <c r="BU296" i="1"/>
  <c r="BU102" i="1"/>
  <c r="BU103" i="1"/>
  <c r="BU104" i="1"/>
  <c r="BU105" i="1"/>
  <c r="BU106" i="1"/>
  <c r="BU107" i="1"/>
  <c r="BU108" i="1"/>
  <c r="BU109" i="1"/>
  <c r="BU54" i="1"/>
  <c r="BU110" i="1"/>
  <c r="BU111" i="1"/>
  <c r="BU112" i="1"/>
  <c r="BU113" i="1"/>
  <c r="BU114" i="1"/>
  <c r="BU115" i="1"/>
  <c r="BU116" i="1"/>
  <c r="BU117" i="1"/>
  <c r="BU118" i="1"/>
  <c r="BU119" i="1"/>
  <c r="BU120" i="1"/>
  <c r="BU121" i="1"/>
  <c r="BU122" i="1"/>
  <c r="BU123" i="1"/>
  <c r="BU124" i="1"/>
  <c r="BU317" i="1"/>
  <c r="BU125" i="1"/>
  <c r="BU126" i="1"/>
  <c r="BU127" i="1"/>
  <c r="BU128" i="1"/>
  <c r="BU129" i="1"/>
  <c r="BU130" i="1"/>
  <c r="BU131" i="1"/>
  <c r="BU132" i="1"/>
  <c r="BU133" i="1"/>
  <c r="BU134" i="1"/>
  <c r="BU55" i="1"/>
  <c r="BU135" i="1"/>
  <c r="BU136" i="1"/>
  <c r="BU137" i="1"/>
  <c r="BU138" i="1"/>
  <c r="BU139" i="1"/>
  <c r="BU140" i="1"/>
  <c r="BU141" i="1"/>
  <c r="BU142" i="1"/>
  <c r="BU143" i="1"/>
  <c r="BU144" i="1"/>
  <c r="BU145" i="1"/>
  <c r="BU146" i="1"/>
  <c r="BU147" i="1"/>
  <c r="BU148" i="1"/>
  <c r="BU149" i="1"/>
  <c r="BU150" i="1"/>
  <c r="BU151" i="1"/>
  <c r="BU152" i="1"/>
  <c r="BU153" i="1"/>
  <c r="BU154" i="1"/>
  <c r="BU155" i="1"/>
  <c r="BU156" i="1"/>
  <c r="BU157" i="1"/>
  <c r="BU158" i="1"/>
  <c r="BU159" i="1"/>
  <c r="BU160" i="1"/>
  <c r="BU161" i="1"/>
  <c r="BU162" i="1"/>
  <c r="BU163" i="1"/>
  <c r="BU164" i="1"/>
  <c r="BU165" i="1"/>
  <c r="BU166" i="1"/>
  <c r="BU167" i="1"/>
  <c r="BU168" i="1"/>
  <c r="BU169" i="1"/>
  <c r="BU170" i="1"/>
  <c r="BU219" i="1"/>
  <c r="BU319" i="1"/>
  <c r="BU180" i="1"/>
  <c r="BU173" i="1"/>
  <c r="BU181" i="1"/>
  <c r="BU182" i="1"/>
  <c r="BU183" i="1"/>
  <c r="BU184" i="1"/>
  <c r="BU208" i="1"/>
  <c r="BU220" i="1"/>
  <c r="BU209" i="1"/>
  <c r="BU203" i="1"/>
  <c r="BU210" i="1"/>
  <c r="BU211" i="1"/>
  <c r="BU212" i="1"/>
  <c r="BU213" i="1"/>
  <c r="BU214" i="1"/>
  <c r="BU174" i="1"/>
  <c r="BU206" i="1"/>
  <c r="BU198" i="1"/>
  <c r="BU199" i="1"/>
  <c r="BU204" i="1"/>
  <c r="BU205" i="1"/>
  <c r="BU207" i="1"/>
  <c r="BU200" i="1"/>
  <c r="BU201" i="1"/>
  <c r="BU202" i="1"/>
  <c r="BU192" i="1"/>
  <c r="BU193" i="1"/>
  <c r="BU194" i="1"/>
  <c r="BU195" i="1"/>
  <c r="BU196" i="1"/>
  <c r="BU190" i="1"/>
  <c r="BU191" i="1"/>
  <c r="BU185" i="1"/>
  <c r="BU186" i="1"/>
  <c r="BU188" i="1"/>
  <c r="BU187" i="1"/>
  <c r="BU189" i="1"/>
  <c r="BU175" i="1"/>
  <c r="BU176" i="1"/>
  <c r="BU177" i="1"/>
  <c r="BU171" i="1"/>
  <c r="BU172" i="1"/>
  <c r="BU178" i="1"/>
  <c r="BU179" i="1"/>
  <c r="BU316" i="1"/>
  <c r="BR235" i="1"/>
  <c r="BR221" i="1"/>
  <c r="BR222" i="1"/>
  <c r="BR223" i="1"/>
  <c r="BR224" i="1"/>
  <c r="BR225" i="1"/>
  <c r="BR226" i="1"/>
  <c r="BR227" i="1"/>
  <c r="BR228" i="1"/>
  <c r="BR229" i="1"/>
  <c r="BR230" i="1"/>
  <c r="BR294" i="1"/>
  <c r="BR236" i="1"/>
  <c r="BR237" i="1"/>
  <c r="BR238" i="1"/>
  <c r="BR239" i="1"/>
  <c r="BR240" i="1"/>
  <c r="BR241" i="1"/>
  <c r="BR231" i="1"/>
  <c r="BR232" i="1"/>
  <c r="BR215" i="1"/>
  <c r="BR216" i="1"/>
  <c r="BR217" i="1"/>
  <c r="BR233" i="1"/>
  <c r="BR234" i="1"/>
  <c r="BR218" i="1"/>
  <c r="BR56" i="1"/>
  <c r="BR57" i="1"/>
  <c r="BR58" i="1"/>
  <c r="BR59" i="1"/>
  <c r="BR60" i="1"/>
  <c r="BR61" i="1"/>
  <c r="BR62" i="1"/>
  <c r="BR63" i="1"/>
  <c r="BR64" i="1"/>
  <c r="BR65" i="1"/>
  <c r="BR66" i="1"/>
  <c r="BR67" i="1"/>
  <c r="BR68" i="1"/>
  <c r="BR69" i="1"/>
  <c r="BR70" i="1"/>
  <c r="BR71" i="1"/>
  <c r="BR72" i="1"/>
  <c r="BR73" i="1"/>
  <c r="BR74" i="1"/>
  <c r="BR75" i="1"/>
  <c r="BR76" i="1"/>
  <c r="BR77" i="1"/>
  <c r="BR78" i="1"/>
  <c r="BR79" i="1"/>
  <c r="BR80" i="1"/>
  <c r="BR81" i="1"/>
  <c r="BR82" i="1"/>
  <c r="BR83" i="1"/>
  <c r="BR2" i="1"/>
  <c r="BR84" i="1"/>
  <c r="BR85" i="1"/>
  <c r="BR86" i="1"/>
  <c r="BR87" i="1"/>
  <c r="BR88" i="1"/>
  <c r="BR3" i="1"/>
  <c r="BR4" i="1"/>
  <c r="BR89" i="1"/>
  <c r="BR5" i="1"/>
  <c r="BR6" i="1"/>
  <c r="BR7" i="1"/>
  <c r="BR8" i="1"/>
  <c r="BR9" i="1"/>
  <c r="BR10" i="1"/>
  <c r="BR11" i="1"/>
  <c r="BR12" i="1"/>
  <c r="BR13" i="1"/>
  <c r="BR14" i="1"/>
  <c r="BR15" i="1"/>
  <c r="BR90" i="1"/>
  <c r="BR91" i="1"/>
  <c r="BR92" i="1"/>
  <c r="BR93" i="1"/>
  <c r="BR94" i="1"/>
  <c r="BR95" i="1"/>
  <c r="BR96" i="1"/>
  <c r="BR16" i="1"/>
  <c r="BR17" i="1"/>
  <c r="BR18" i="1"/>
  <c r="BR19" i="1"/>
  <c r="BR97" i="1"/>
  <c r="BR98" i="1"/>
  <c r="BR99" i="1"/>
  <c r="BR20" i="1"/>
  <c r="BR100" i="1"/>
  <c r="BR101" i="1"/>
  <c r="BR21" i="1"/>
  <c r="BR22" i="1"/>
  <c r="BR23" i="1"/>
  <c r="BR24" i="1"/>
  <c r="BR25" i="1"/>
  <c r="BR26" i="1"/>
  <c r="BR27" i="1"/>
  <c r="BR28" i="1"/>
  <c r="BR29" i="1"/>
  <c r="BR30" i="1"/>
  <c r="BR31" i="1"/>
  <c r="BR32" i="1"/>
  <c r="BR33" i="1"/>
  <c r="BR34" i="1"/>
  <c r="BR35" i="1"/>
  <c r="BR36" i="1"/>
  <c r="BR37" i="1"/>
  <c r="BR38" i="1"/>
  <c r="BR39" i="1"/>
  <c r="BR40" i="1"/>
  <c r="BR41" i="1"/>
  <c r="BR42" i="1"/>
  <c r="BR43" i="1"/>
  <c r="BR44" i="1"/>
  <c r="BR45" i="1"/>
  <c r="BR46" i="1"/>
  <c r="BR47" i="1"/>
  <c r="BR48" i="1"/>
  <c r="BR49" i="1"/>
  <c r="BR50" i="1"/>
  <c r="BR51" i="1"/>
  <c r="BR52" i="1"/>
  <c r="BR302" i="1"/>
  <c r="BR305" i="1"/>
  <c r="BR301" i="1"/>
  <c r="BR304" i="1"/>
  <c r="BR303" i="1"/>
  <c r="BR291" i="1"/>
  <c r="BR309" i="1"/>
  <c r="BR306" i="1"/>
  <c r="BR53" i="1"/>
  <c r="BR298" i="1"/>
  <c r="BR299" i="1"/>
  <c r="BR297" i="1"/>
  <c r="BR295" i="1"/>
  <c r="BR312" i="1"/>
  <c r="BR242" i="1"/>
  <c r="BR243" i="1"/>
  <c r="BR244" i="1"/>
  <c r="BR245" i="1"/>
  <c r="BR246" i="1"/>
  <c r="BR264" i="1"/>
  <c r="BR247" i="1"/>
  <c r="BR248" i="1"/>
  <c r="BR249" i="1"/>
  <c r="BR250" i="1"/>
  <c r="BR251" i="1"/>
  <c r="BR252" i="1"/>
  <c r="BR253" i="1"/>
  <c r="BR254" i="1"/>
  <c r="BR255" i="1"/>
  <c r="BR256" i="1"/>
  <c r="BR257" i="1"/>
  <c r="BR258" i="1"/>
  <c r="BR259" i="1"/>
  <c r="BR260" i="1"/>
  <c r="BR261" i="1"/>
  <c r="BR262" i="1"/>
  <c r="BR263" i="1"/>
  <c r="BR311" i="1"/>
  <c r="BR310" i="1"/>
  <c r="BR313" i="1"/>
  <c r="BR314" i="1"/>
  <c r="BR308" i="1"/>
  <c r="BR197" i="1"/>
  <c r="BR307" i="1"/>
  <c r="BR265" i="1"/>
  <c r="BR266" i="1"/>
  <c r="BR267" i="1"/>
  <c r="BR268" i="1"/>
  <c r="BR269" i="1"/>
  <c r="BR270" i="1"/>
  <c r="BR271" i="1"/>
  <c r="BR272" i="1"/>
  <c r="BR273" i="1"/>
  <c r="BR274" i="1"/>
  <c r="BR275" i="1"/>
  <c r="BR276" i="1"/>
  <c r="BR277" i="1"/>
  <c r="BR278" i="1"/>
  <c r="BR279" i="1"/>
  <c r="BR280" i="1"/>
  <c r="BR281" i="1"/>
  <c r="BR282" i="1"/>
  <c r="BR283" i="1"/>
  <c r="BR284" i="1"/>
  <c r="BR285" i="1"/>
  <c r="BR286" i="1"/>
  <c r="BR287" i="1"/>
  <c r="BR288" i="1"/>
  <c r="BR289" i="1"/>
  <c r="BR290" i="1"/>
  <c r="BR320" i="1"/>
  <c r="BR315" i="1"/>
  <c r="BR292" i="1"/>
  <c r="BR293" i="1"/>
  <c r="BR300" i="1"/>
  <c r="BR318" i="1"/>
  <c r="BR296" i="1"/>
  <c r="BR102" i="1"/>
  <c r="BR103" i="1"/>
  <c r="BR104" i="1"/>
  <c r="BR105" i="1"/>
  <c r="BR106" i="1"/>
  <c r="BR107" i="1"/>
  <c r="BR108" i="1"/>
  <c r="BR109" i="1"/>
  <c r="BR54" i="1"/>
  <c r="BR110" i="1"/>
  <c r="BR111" i="1"/>
  <c r="BR112" i="1"/>
  <c r="BR113" i="1"/>
  <c r="BR114" i="1"/>
  <c r="BR115" i="1"/>
  <c r="BR116" i="1"/>
  <c r="BR117" i="1"/>
  <c r="BR118" i="1"/>
  <c r="BR119" i="1"/>
  <c r="BR120" i="1"/>
  <c r="BR121" i="1"/>
  <c r="BR122" i="1"/>
  <c r="BR123" i="1"/>
  <c r="BR124" i="1"/>
  <c r="BR317" i="1"/>
  <c r="BR125" i="1"/>
  <c r="BR126" i="1"/>
  <c r="BR127" i="1"/>
  <c r="BR128" i="1"/>
  <c r="BR129" i="1"/>
  <c r="BR130" i="1"/>
  <c r="BR131" i="1"/>
  <c r="BR132" i="1"/>
  <c r="BR133" i="1"/>
  <c r="BR134" i="1"/>
  <c r="BR55" i="1"/>
  <c r="BR135" i="1"/>
  <c r="BR136" i="1"/>
  <c r="BR137" i="1"/>
  <c r="BR138" i="1"/>
  <c r="BR139" i="1"/>
  <c r="BR140" i="1"/>
  <c r="BR141" i="1"/>
  <c r="BR142" i="1"/>
  <c r="BR143" i="1"/>
  <c r="BR144" i="1"/>
  <c r="BR145" i="1"/>
  <c r="BR146" i="1"/>
  <c r="BR147" i="1"/>
  <c r="BR148" i="1"/>
  <c r="BR149" i="1"/>
  <c r="BR150" i="1"/>
  <c r="BR151" i="1"/>
  <c r="BR152" i="1"/>
  <c r="BR153" i="1"/>
  <c r="BR154" i="1"/>
  <c r="BR155" i="1"/>
  <c r="BR156" i="1"/>
  <c r="BR157" i="1"/>
  <c r="BR158" i="1"/>
  <c r="BR159" i="1"/>
  <c r="BR160" i="1"/>
  <c r="BR161" i="1"/>
  <c r="BR162" i="1"/>
  <c r="BR163" i="1"/>
  <c r="BR164" i="1"/>
  <c r="BR165" i="1"/>
  <c r="BR166" i="1"/>
  <c r="BR167" i="1"/>
  <c r="BR168" i="1"/>
  <c r="BR169" i="1"/>
  <c r="BR170" i="1"/>
  <c r="BR219" i="1"/>
  <c r="BR319" i="1"/>
  <c r="BR180" i="1"/>
  <c r="BR173" i="1"/>
  <c r="BR181" i="1"/>
  <c r="BR182" i="1"/>
  <c r="BR183" i="1"/>
  <c r="BR184" i="1"/>
  <c r="BR208" i="1"/>
  <c r="BR220" i="1"/>
  <c r="BR209" i="1"/>
  <c r="BR203" i="1"/>
  <c r="BR210" i="1"/>
  <c r="BR211" i="1"/>
  <c r="BR212" i="1"/>
  <c r="BR213" i="1"/>
  <c r="BR214" i="1"/>
  <c r="BR174" i="1"/>
  <c r="BR206" i="1"/>
  <c r="BR198" i="1"/>
  <c r="BR199" i="1"/>
  <c r="BR204" i="1"/>
  <c r="BR205" i="1"/>
  <c r="BR207" i="1"/>
  <c r="BR200" i="1"/>
  <c r="BR201" i="1"/>
  <c r="BR202" i="1"/>
  <c r="BR192" i="1"/>
  <c r="BR193" i="1"/>
  <c r="BR194" i="1"/>
  <c r="BR195" i="1"/>
  <c r="BR196" i="1"/>
  <c r="BR190" i="1"/>
  <c r="BR191" i="1"/>
  <c r="BR185" i="1"/>
  <c r="BR186" i="1"/>
  <c r="BR188" i="1"/>
  <c r="BR187" i="1"/>
  <c r="BR189" i="1"/>
  <c r="BR175" i="1"/>
  <c r="BR176" i="1"/>
  <c r="BR177" i="1"/>
  <c r="BR171" i="1"/>
  <c r="BR172" i="1"/>
  <c r="BR178" i="1"/>
  <c r="BR179" i="1"/>
  <c r="BR316" i="1"/>
  <c r="BS235" i="1"/>
  <c r="BS221" i="1"/>
  <c r="BS222" i="1"/>
  <c r="BS223" i="1"/>
  <c r="BS224" i="1"/>
  <c r="BS225" i="1"/>
  <c r="BS226" i="1"/>
  <c r="BS227" i="1"/>
  <c r="BS228" i="1"/>
  <c r="BS229" i="1"/>
  <c r="BS230" i="1"/>
  <c r="BS294" i="1"/>
  <c r="BS236" i="1"/>
  <c r="BS237" i="1"/>
  <c r="BS238" i="1"/>
  <c r="BS239" i="1"/>
  <c r="BS240" i="1"/>
  <c r="BS241" i="1"/>
  <c r="BS231" i="1"/>
  <c r="BS232" i="1"/>
  <c r="BS215" i="1"/>
  <c r="BS216" i="1"/>
  <c r="BS217" i="1"/>
  <c r="BS233" i="1"/>
  <c r="BS234" i="1"/>
  <c r="BS218" i="1"/>
  <c r="BS56" i="1"/>
  <c r="BS57" i="1"/>
  <c r="BS58" i="1"/>
  <c r="BS59" i="1"/>
  <c r="BS60" i="1"/>
  <c r="BS61" i="1"/>
  <c r="BS62" i="1"/>
  <c r="BS63" i="1"/>
  <c r="BS64" i="1"/>
  <c r="BS65" i="1"/>
  <c r="BS66" i="1"/>
  <c r="BS67" i="1"/>
  <c r="BS68" i="1"/>
  <c r="BS69" i="1"/>
  <c r="BS70" i="1"/>
  <c r="BS71" i="1"/>
  <c r="BS72" i="1"/>
  <c r="BS73" i="1"/>
  <c r="BS74" i="1"/>
  <c r="BS75" i="1"/>
  <c r="BS76" i="1"/>
  <c r="BS77" i="1"/>
  <c r="BS78" i="1"/>
  <c r="BS79" i="1"/>
  <c r="BS80" i="1"/>
  <c r="BS81" i="1"/>
  <c r="BS82" i="1"/>
  <c r="BS83" i="1"/>
  <c r="BS2" i="1"/>
  <c r="BS84" i="1"/>
  <c r="BS85" i="1"/>
  <c r="BS86" i="1"/>
  <c r="BS87" i="1"/>
  <c r="BS88" i="1"/>
  <c r="BS3" i="1"/>
  <c r="BS4" i="1"/>
  <c r="BS89" i="1"/>
  <c r="BS5" i="1"/>
  <c r="BS6" i="1"/>
  <c r="BS7" i="1"/>
  <c r="BS8" i="1"/>
  <c r="BS9" i="1"/>
  <c r="BS10" i="1"/>
  <c r="BS11" i="1"/>
  <c r="BS12" i="1"/>
  <c r="BS13" i="1"/>
  <c r="BS14" i="1"/>
  <c r="BS15" i="1"/>
  <c r="BS90" i="1"/>
  <c r="BS91" i="1"/>
  <c r="BS92" i="1"/>
  <c r="BS93" i="1"/>
  <c r="BS94" i="1"/>
  <c r="BS95" i="1"/>
  <c r="BS96" i="1"/>
  <c r="BS16" i="1"/>
  <c r="BS17" i="1"/>
  <c r="BS18" i="1"/>
  <c r="BS19" i="1"/>
  <c r="BS97" i="1"/>
  <c r="BS98" i="1"/>
  <c r="BS99" i="1"/>
  <c r="BS20" i="1"/>
  <c r="BS100" i="1"/>
  <c r="BS101" i="1"/>
  <c r="BS21" i="1"/>
  <c r="BS22" i="1"/>
  <c r="BS23" i="1"/>
  <c r="BS24" i="1"/>
  <c r="BS25" i="1"/>
  <c r="BS26" i="1"/>
  <c r="BS27" i="1"/>
  <c r="BS28" i="1"/>
  <c r="BS29" i="1"/>
  <c r="BS30" i="1"/>
  <c r="BS3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302" i="1"/>
  <c r="BS305" i="1"/>
  <c r="BS301" i="1"/>
  <c r="BS304" i="1"/>
  <c r="BS303" i="1"/>
  <c r="BS291" i="1"/>
  <c r="BS309" i="1"/>
  <c r="BS306" i="1"/>
  <c r="BS53" i="1"/>
  <c r="BS298" i="1"/>
  <c r="BS299" i="1"/>
  <c r="BS297" i="1"/>
  <c r="BS295" i="1"/>
  <c r="BS312" i="1"/>
  <c r="BS242" i="1"/>
  <c r="BS243" i="1"/>
  <c r="BS244" i="1"/>
  <c r="BS245" i="1"/>
  <c r="BS246" i="1"/>
  <c r="BS264" i="1"/>
  <c r="BS247" i="1"/>
  <c r="BS248" i="1"/>
  <c r="BS249" i="1"/>
  <c r="BS250" i="1"/>
  <c r="BS251" i="1"/>
  <c r="BS252" i="1"/>
  <c r="BS253" i="1"/>
  <c r="BS254" i="1"/>
  <c r="BS255" i="1"/>
  <c r="BS256" i="1"/>
  <c r="BS257" i="1"/>
  <c r="BS258" i="1"/>
  <c r="BS259" i="1"/>
  <c r="BS260" i="1"/>
  <c r="BS261" i="1"/>
  <c r="BS262" i="1"/>
  <c r="BS263" i="1"/>
  <c r="BS311" i="1"/>
  <c r="BS310" i="1"/>
  <c r="BS313" i="1"/>
  <c r="BS314" i="1"/>
  <c r="BS308" i="1"/>
  <c r="BS197" i="1"/>
  <c r="BS307" i="1"/>
  <c r="BS265" i="1"/>
  <c r="BS266" i="1"/>
  <c r="BS267" i="1"/>
  <c r="BS268" i="1"/>
  <c r="BS269" i="1"/>
  <c r="BS270" i="1"/>
  <c r="BS271" i="1"/>
  <c r="BS272" i="1"/>
  <c r="BS273" i="1"/>
  <c r="BS274" i="1"/>
  <c r="BS275" i="1"/>
  <c r="BS276" i="1"/>
  <c r="BS277" i="1"/>
  <c r="BS278" i="1"/>
  <c r="BS279" i="1"/>
  <c r="BS280" i="1"/>
  <c r="BS281" i="1"/>
  <c r="BS282" i="1"/>
  <c r="BS283" i="1"/>
  <c r="BS284" i="1"/>
  <c r="BS285" i="1"/>
  <c r="BS286" i="1"/>
  <c r="BS287" i="1"/>
  <c r="BS288" i="1"/>
  <c r="BS289" i="1"/>
  <c r="BS290" i="1"/>
  <c r="BS320" i="1"/>
  <c r="BS315" i="1"/>
  <c r="BS292" i="1"/>
  <c r="BS293" i="1"/>
  <c r="BS300" i="1"/>
  <c r="BS318" i="1"/>
  <c r="BS296" i="1"/>
  <c r="BS102" i="1"/>
  <c r="BS103" i="1"/>
  <c r="BS104" i="1"/>
  <c r="BS105" i="1"/>
  <c r="BS106" i="1"/>
  <c r="BS107" i="1"/>
  <c r="BS108" i="1"/>
  <c r="BS109" i="1"/>
  <c r="BS54" i="1"/>
  <c r="BS110" i="1"/>
  <c r="BS111" i="1"/>
  <c r="BS112" i="1"/>
  <c r="BS113" i="1"/>
  <c r="BS114" i="1"/>
  <c r="BS115" i="1"/>
  <c r="BS116" i="1"/>
  <c r="BS117" i="1"/>
  <c r="BS118" i="1"/>
  <c r="BS119" i="1"/>
  <c r="BS120" i="1"/>
  <c r="BS121" i="1"/>
  <c r="BS122" i="1"/>
  <c r="BS123" i="1"/>
  <c r="BS124" i="1"/>
  <c r="BS317" i="1"/>
  <c r="BS125" i="1"/>
  <c r="BS126" i="1"/>
  <c r="BS127" i="1"/>
  <c r="BS128" i="1"/>
  <c r="BS129" i="1"/>
  <c r="BS130" i="1"/>
  <c r="BS131" i="1"/>
  <c r="BS132" i="1"/>
  <c r="BS133" i="1"/>
  <c r="BS134" i="1"/>
  <c r="BS55" i="1"/>
  <c r="BS135" i="1"/>
  <c r="BS136" i="1"/>
  <c r="BS137" i="1"/>
  <c r="BS138" i="1"/>
  <c r="BS139" i="1"/>
  <c r="BS140" i="1"/>
  <c r="BS141" i="1"/>
  <c r="BS142" i="1"/>
  <c r="BS143" i="1"/>
  <c r="BS144" i="1"/>
  <c r="BS145" i="1"/>
  <c r="BS146" i="1"/>
  <c r="BS147" i="1"/>
  <c r="BS148" i="1"/>
  <c r="BS149" i="1"/>
  <c r="BS150" i="1"/>
  <c r="BS151" i="1"/>
  <c r="BS152" i="1"/>
  <c r="BS153" i="1"/>
  <c r="BS154" i="1"/>
  <c r="BS155" i="1"/>
  <c r="BS156" i="1"/>
  <c r="BS157" i="1"/>
  <c r="BS158" i="1"/>
  <c r="BS159" i="1"/>
  <c r="BS160" i="1"/>
  <c r="BS161" i="1"/>
  <c r="BS162" i="1"/>
  <c r="BS163" i="1"/>
  <c r="BS164" i="1"/>
  <c r="BS165" i="1"/>
  <c r="BS166" i="1"/>
  <c r="BS167" i="1"/>
  <c r="BS168" i="1"/>
  <c r="BS169" i="1"/>
  <c r="BS170" i="1"/>
  <c r="BS219" i="1"/>
  <c r="BS319" i="1"/>
  <c r="BS180" i="1"/>
  <c r="BS173" i="1"/>
  <c r="BS181" i="1"/>
  <c r="BS182" i="1"/>
  <c r="BS183" i="1"/>
  <c r="BS184" i="1"/>
  <c r="BS208" i="1"/>
  <c r="BS220" i="1"/>
  <c r="BS209" i="1"/>
  <c r="BS203" i="1"/>
  <c r="BS210" i="1"/>
  <c r="BS211" i="1"/>
  <c r="BS212" i="1"/>
  <c r="BS213" i="1"/>
  <c r="BS214" i="1"/>
  <c r="BS174" i="1"/>
  <c r="BS206" i="1"/>
  <c r="BS198" i="1"/>
  <c r="BS199" i="1"/>
  <c r="BS204" i="1"/>
  <c r="BS205" i="1"/>
  <c r="BS207" i="1"/>
  <c r="BS200" i="1"/>
  <c r="BS201" i="1"/>
  <c r="BS202" i="1"/>
  <c r="BS192" i="1"/>
  <c r="BS193" i="1"/>
  <c r="BS194" i="1"/>
  <c r="BS195" i="1"/>
  <c r="BS196" i="1"/>
  <c r="BS190" i="1"/>
  <c r="BS191" i="1"/>
  <c r="BS185" i="1"/>
  <c r="BS186" i="1"/>
  <c r="BS188" i="1"/>
  <c r="BS187" i="1"/>
  <c r="BS189" i="1"/>
  <c r="BS175" i="1"/>
  <c r="BS176" i="1"/>
  <c r="BS177" i="1"/>
  <c r="BS171" i="1"/>
  <c r="BS172" i="1"/>
  <c r="BS178" i="1"/>
  <c r="BS179" i="1"/>
  <c r="BS316" i="1"/>
  <c r="BT235" i="1"/>
  <c r="BT221" i="1"/>
  <c r="BT222" i="1"/>
  <c r="BT223" i="1"/>
  <c r="BT224" i="1"/>
  <c r="BT225" i="1"/>
  <c r="BT226" i="1"/>
  <c r="BT227" i="1"/>
  <c r="BT228" i="1"/>
  <c r="BT229" i="1"/>
  <c r="BT230" i="1"/>
  <c r="BT294" i="1"/>
  <c r="BT236" i="1"/>
  <c r="BT237" i="1"/>
  <c r="BT238" i="1"/>
  <c r="BT239" i="1"/>
  <c r="BT240" i="1"/>
  <c r="BT241" i="1"/>
  <c r="BT231" i="1"/>
  <c r="BT232" i="1"/>
  <c r="BT215" i="1"/>
  <c r="BT216" i="1"/>
  <c r="BT217" i="1"/>
  <c r="BT233" i="1"/>
  <c r="BT234" i="1"/>
  <c r="BT218" i="1"/>
  <c r="BT56" i="1"/>
  <c r="BT57" i="1"/>
  <c r="BT58" i="1"/>
  <c r="BT59" i="1"/>
  <c r="BT60" i="1"/>
  <c r="BT61" i="1"/>
  <c r="BT62" i="1"/>
  <c r="BT63" i="1"/>
  <c r="BT64" i="1"/>
  <c r="BT65" i="1"/>
  <c r="BT66" i="1"/>
  <c r="BT67" i="1"/>
  <c r="BT68" i="1"/>
  <c r="BT69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2" i="1"/>
  <c r="BT84" i="1"/>
  <c r="BT85" i="1"/>
  <c r="BT86" i="1"/>
  <c r="BT87" i="1"/>
  <c r="BT88" i="1"/>
  <c r="BT3" i="1"/>
  <c r="BT4" i="1"/>
  <c r="BT89" i="1"/>
  <c r="BT5" i="1"/>
  <c r="BT6" i="1"/>
  <c r="BT7" i="1"/>
  <c r="BT8" i="1"/>
  <c r="BT9" i="1"/>
  <c r="BT10" i="1"/>
  <c r="BT11" i="1"/>
  <c r="BT12" i="1"/>
  <c r="BT13" i="1"/>
  <c r="BT14" i="1"/>
  <c r="BT15" i="1"/>
  <c r="BT90" i="1"/>
  <c r="BT91" i="1"/>
  <c r="BT92" i="1"/>
  <c r="BT93" i="1"/>
  <c r="BT94" i="1"/>
  <c r="BT95" i="1"/>
  <c r="BT96" i="1"/>
  <c r="BT16" i="1"/>
  <c r="BT17" i="1"/>
  <c r="BT18" i="1"/>
  <c r="BT19" i="1"/>
  <c r="BT97" i="1"/>
  <c r="BT98" i="1"/>
  <c r="BT99" i="1"/>
  <c r="BT20" i="1"/>
  <c r="BT100" i="1"/>
  <c r="BT101" i="1"/>
  <c r="BT21" i="1"/>
  <c r="BT22" i="1"/>
  <c r="BT23" i="1"/>
  <c r="BT24" i="1"/>
  <c r="BT25" i="1"/>
  <c r="BT26" i="1"/>
  <c r="BT27" i="1"/>
  <c r="BT28" i="1"/>
  <c r="BT29" i="1"/>
  <c r="BT30" i="1"/>
  <c r="BT31" i="1"/>
  <c r="BT32" i="1"/>
  <c r="BT33" i="1"/>
  <c r="BT34" i="1"/>
  <c r="BT35" i="1"/>
  <c r="BT36" i="1"/>
  <c r="BT37" i="1"/>
  <c r="BT38" i="1"/>
  <c r="BT39" i="1"/>
  <c r="BT40" i="1"/>
  <c r="BT41" i="1"/>
  <c r="BT42" i="1"/>
  <c r="BT43" i="1"/>
  <c r="BT44" i="1"/>
  <c r="BT45" i="1"/>
  <c r="BT46" i="1"/>
  <c r="BT47" i="1"/>
  <c r="BT48" i="1"/>
  <c r="BT49" i="1"/>
  <c r="BT50" i="1"/>
  <c r="BT51" i="1"/>
  <c r="BT52" i="1"/>
  <c r="BT302" i="1"/>
  <c r="BT305" i="1"/>
  <c r="BT301" i="1"/>
  <c r="BT304" i="1"/>
  <c r="BT303" i="1"/>
  <c r="BT291" i="1"/>
  <c r="BT309" i="1"/>
  <c r="BT306" i="1"/>
  <c r="BT53" i="1"/>
  <c r="BT298" i="1"/>
  <c r="BT299" i="1"/>
  <c r="BT297" i="1"/>
  <c r="BT295" i="1"/>
  <c r="BT312" i="1"/>
  <c r="BT242" i="1"/>
  <c r="BT243" i="1"/>
  <c r="BT244" i="1"/>
  <c r="BT245" i="1"/>
  <c r="BT246" i="1"/>
  <c r="BT264" i="1"/>
  <c r="BT247" i="1"/>
  <c r="BT248" i="1"/>
  <c r="BT249" i="1"/>
  <c r="BT250" i="1"/>
  <c r="BT251" i="1"/>
  <c r="BT252" i="1"/>
  <c r="BT253" i="1"/>
  <c r="BT254" i="1"/>
  <c r="BT255" i="1"/>
  <c r="BT256" i="1"/>
  <c r="BT257" i="1"/>
  <c r="BT258" i="1"/>
  <c r="BT259" i="1"/>
  <c r="BT260" i="1"/>
  <c r="BT261" i="1"/>
  <c r="BT262" i="1"/>
  <c r="BT263" i="1"/>
  <c r="BT311" i="1"/>
  <c r="BT310" i="1"/>
  <c r="BT313" i="1"/>
  <c r="BT314" i="1"/>
  <c r="BT308" i="1"/>
  <c r="BT197" i="1"/>
  <c r="BT307" i="1"/>
  <c r="BT265" i="1"/>
  <c r="BT266" i="1"/>
  <c r="BT267" i="1"/>
  <c r="BT268" i="1"/>
  <c r="BT269" i="1"/>
  <c r="BT270" i="1"/>
  <c r="BT271" i="1"/>
  <c r="BT272" i="1"/>
  <c r="BT273" i="1"/>
  <c r="BT274" i="1"/>
  <c r="BT275" i="1"/>
  <c r="BT276" i="1"/>
  <c r="BT277" i="1"/>
  <c r="BT278" i="1"/>
  <c r="BT279" i="1"/>
  <c r="BT280" i="1"/>
  <c r="BT281" i="1"/>
  <c r="BT282" i="1"/>
  <c r="BT283" i="1"/>
  <c r="BT284" i="1"/>
  <c r="BT285" i="1"/>
  <c r="BT286" i="1"/>
  <c r="BT287" i="1"/>
  <c r="BT288" i="1"/>
  <c r="BT289" i="1"/>
  <c r="BT290" i="1"/>
  <c r="BT320" i="1"/>
  <c r="BT315" i="1"/>
  <c r="BT292" i="1"/>
  <c r="BT293" i="1"/>
  <c r="BT300" i="1"/>
  <c r="BT318" i="1"/>
  <c r="BT296" i="1"/>
  <c r="BT102" i="1"/>
  <c r="BT103" i="1"/>
  <c r="BT104" i="1"/>
  <c r="BT105" i="1"/>
  <c r="BT106" i="1"/>
  <c r="BT107" i="1"/>
  <c r="BT108" i="1"/>
  <c r="BT109" i="1"/>
  <c r="BT54" i="1"/>
  <c r="BT110" i="1"/>
  <c r="BT111" i="1"/>
  <c r="BT112" i="1"/>
  <c r="BT113" i="1"/>
  <c r="BT114" i="1"/>
  <c r="BT115" i="1"/>
  <c r="BT116" i="1"/>
  <c r="BT117" i="1"/>
  <c r="BT118" i="1"/>
  <c r="BT119" i="1"/>
  <c r="BT120" i="1"/>
  <c r="BT121" i="1"/>
  <c r="BT122" i="1"/>
  <c r="BT123" i="1"/>
  <c r="BT124" i="1"/>
  <c r="BT317" i="1"/>
  <c r="BT125" i="1"/>
  <c r="BT126" i="1"/>
  <c r="BT127" i="1"/>
  <c r="BT128" i="1"/>
  <c r="BT129" i="1"/>
  <c r="BT130" i="1"/>
  <c r="BT131" i="1"/>
  <c r="BT132" i="1"/>
  <c r="BT133" i="1"/>
  <c r="BT134" i="1"/>
  <c r="BT55" i="1"/>
  <c r="BT135" i="1"/>
  <c r="BT136" i="1"/>
  <c r="BT137" i="1"/>
  <c r="BT138" i="1"/>
  <c r="BT139" i="1"/>
  <c r="BT140" i="1"/>
  <c r="BT141" i="1"/>
  <c r="BT142" i="1"/>
  <c r="BT143" i="1"/>
  <c r="BT144" i="1"/>
  <c r="BT145" i="1"/>
  <c r="BT146" i="1"/>
  <c r="BT147" i="1"/>
  <c r="BT148" i="1"/>
  <c r="BT149" i="1"/>
  <c r="BT150" i="1"/>
  <c r="BT151" i="1"/>
  <c r="BT152" i="1"/>
  <c r="BT153" i="1"/>
  <c r="BT154" i="1"/>
  <c r="BT155" i="1"/>
  <c r="BT156" i="1"/>
  <c r="BT157" i="1"/>
  <c r="BT158" i="1"/>
  <c r="BT159" i="1"/>
  <c r="BT160" i="1"/>
  <c r="BT161" i="1"/>
  <c r="BT162" i="1"/>
  <c r="BT163" i="1"/>
  <c r="BT164" i="1"/>
  <c r="BT165" i="1"/>
  <c r="BT166" i="1"/>
  <c r="BT167" i="1"/>
  <c r="BT168" i="1"/>
  <c r="BT169" i="1"/>
  <c r="BT170" i="1"/>
  <c r="BT219" i="1"/>
  <c r="BT319" i="1"/>
  <c r="BT180" i="1"/>
  <c r="BT173" i="1"/>
  <c r="BT181" i="1"/>
  <c r="BT182" i="1"/>
  <c r="BT183" i="1"/>
  <c r="BT184" i="1"/>
  <c r="BT208" i="1"/>
  <c r="BT220" i="1"/>
  <c r="BT209" i="1"/>
  <c r="BT203" i="1"/>
  <c r="BT210" i="1"/>
  <c r="BT211" i="1"/>
  <c r="BT212" i="1"/>
  <c r="BT213" i="1"/>
  <c r="BT214" i="1"/>
  <c r="BT174" i="1"/>
  <c r="BT206" i="1"/>
  <c r="BT198" i="1"/>
  <c r="BT199" i="1"/>
  <c r="BT204" i="1"/>
  <c r="BT205" i="1"/>
  <c r="BT207" i="1"/>
  <c r="BT200" i="1"/>
  <c r="BT201" i="1"/>
  <c r="BT202" i="1"/>
  <c r="BT192" i="1"/>
  <c r="BT193" i="1"/>
  <c r="BT194" i="1"/>
  <c r="BT195" i="1"/>
  <c r="BT196" i="1"/>
  <c r="BT190" i="1"/>
  <c r="BT191" i="1"/>
  <c r="BT185" i="1"/>
  <c r="BT186" i="1"/>
  <c r="BT188" i="1"/>
  <c r="BT187" i="1"/>
  <c r="BT189" i="1"/>
  <c r="BT175" i="1"/>
  <c r="BT176" i="1"/>
  <c r="BT177" i="1"/>
  <c r="BT171" i="1"/>
  <c r="BT172" i="1"/>
  <c r="BT178" i="1"/>
  <c r="BT179" i="1"/>
  <c r="BT316" i="1"/>
  <c r="BQ235" i="1"/>
  <c r="BQ221" i="1"/>
  <c r="BQ222" i="1"/>
  <c r="BQ223" i="1"/>
  <c r="BQ224" i="1"/>
  <c r="BQ225" i="1"/>
  <c r="BQ226" i="1"/>
  <c r="BQ227" i="1"/>
  <c r="BQ228" i="1"/>
  <c r="BQ229" i="1"/>
  <c r="BQ230" i="1"/>
  <c r="BQ294" i="1"/>
  <c r="BQ236" i="1"/>
  <c r="BQ237" i="1"/>
  <c r="BQ238" i="1"/>
  <c r="BQ239" i="1"/>
  <c r="BQ240" i="1"/>
  <c r="BQ241" i="1"/>
  <c r="BQ231" i="1"/>
  <c r="BQ232" i="1"/>
  <c r="BQ215" i="1"/>
  <c r="BQ216" i="1"/>
  <c r="BQ217" i="1"/>
  <c r="BQ233" i="1"/>
  <c r="BQ234" i="1"/>
  <c r="BQ218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2" i="1"/>
  <c r="BQ84" i="1"/>
  <c r="BQ85" i="1"/>
  <c r="BQ86" i="1"/>
  <c r="BQ87" i="1"/>
  <c r="BQ88" i="1"/>
  <c r="BQ3" i="1"/>
  <c r="BQ4" i="1"/>
  <c r="BQ89" i="1"/>
  <c r="BQ5" i="1"/>
  <c r="BQ6" i="1"/>
  <c r="BQ7" i="1"/>
  <c r="BQ8" i="1"/>
  <c r="BQ9" i="1"/>
  <c r="BQ10" i="1"/>
  <c r="BQ11" i="1"/>
  <c r="BQ12" i="1"/>
  <c r="BQ13" i="1"/>
  <c r="BQ14" i="1"/>
  <c r="BQ15" i="1"/>
  <c r="BQ90" i="1"/>
  <c r="BQ91" i="1"/>
  <c r="BQ92" i="1"/>
  <c r="BQ93" i="1"/>
  <c r="BQ94" i="1"/>
  <c r="BQ95" i="1"/>
  <c r="BQ96" i="1"/>
  <c r="BQ16" i="1"/>
  <c r="BQ17" i="1"/>
  <c r="BQ18" i="1"/>
  <c r="BQ19" i="1"/>
  <c r="BQ97" i="1"/>
  <c r="BQ98" i="1"/>
  <c r="BQ99" i="1"/>
  <c r="BQ20" i="1"/>
  <c r="BQ100" i="1"/>
  <c r="BQ101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302" i="1"/>
  <c r="BQ305" i="1"/>
  <c r="BQ301" i="1"/>
  <c r="BQ304" i="1"/>
  <c r="BQ303" i="1"/>
  <c r="BQ291" i="1"/>
  <c r="BQ309" i="1"/>
  <c r="BQ306" i="1"/>
  <c r="BQ53" i="1"/>
  <c r="BQ298" i="1"/>
  <c r="BQ299" i="1"/>
  <c r="BQ297" i="1"/>
  <c r="BQ295" i="1"/>
  <c r="BQ312" i="1"/>
  <c r="BQ242" i="1"/>
  <c r="BQ243" i="1"/>
  <c r="BQ244" i="1"/>
  <c r="BQ245" i="1"/>
  <c r="BQ246" i="1"/>
  <c r="BQ264" i="1"/>
  <c r="BQ247" i="1"/>
  <c r="BQ248" i="1"/>
  <c r="BQ249" i="1"/>
  <c r="BQ250" i="1"/>
  <c r="BQ251" i="1"/>
  <c r="BQ252" i="1"/>
  <c r="BQ253" i="1"/>
  <c r="BQ254" i="1"/>
  <c r="BQ255" i="1"/>
  <c r="BQ256" i="1"/>
  <c r="BQ257" i="1"/>
  <c r="BQ258" i="1"/>
  <c r="BQ259" i="1"/>
  <c r="BQ260" i="1"/>
  <c r="BQ261" i="1"/>
  <c r="BQ262" i="1"/>
  <c r="BQ263" i="1"/>
  <c r="BQ311" i="1"/>
  <c r="BQ310" i="1"/>
  <c r="BQ313" i="1"/>
  <c r="BQ314" i="1"/>
  <c r="BQ308" i="1"/>
  <c r="BQ197" i="1"/>
  <c r="BQ307" i="1"/>
  <c r="BQ265" i="1"/>
  <c r="BQ266" i="1"/>
  <c r="BQ267" i="1"/>
  <c r="BQ268" i="1"/>
  <c r="BQ269" i="1"/>
  <c r="BQ270" i="1"/>
  <c r="BQ271" i="1"/>
  <c r="BQ272" i="1"/>
  <c r="BQ273" i="1"/>
  <c r="BQ274" i="1"/>
  <c r="BQ275" i="1"/>
  <c r="BQ276" i="1"/>
  <c r="BQ277" i="1"/>
  <c r="BQ278" i="1"/>
  <c r="BQ279" i="1"/>
  <c r="BQ280" i="1"/>
  <c r="BQ281" i="1"/>
  <c r="BQ282" i="1"/>
  <c r="BQ283" i="1"/>
  <c r="BQ284" i="1"/>
  <c r="BQ285" i="1"/>
  <c r="BQ286" i="1"/>
  <c r="BQ287" i="1"/>
  <c r="BQ288" i="1"/>
  <c r="BQ289" i="1"/>
  <c r="BQ290" i="1"/>
  <c r="BQ320" i="1"/>
  <c r="BQ315" i="1"/>
  <c r="BQ292" i="1"/>
  <c r="BQ293" i="1"/>
  <c r="BQ300" i="1"/>
  <c r="BQ318" i="1"/>
  <c r="BQ296" i="1"/>
  <c r="BQ102" i="1"/>
  <c r="BQ103" i="1"/>
  <c r="BQ104" i="1"/>
  <c r="BQ105" i="1"/>
  <c r="BQ106" i="1"/>
  <c r="BQ107" i="1"/>
  <c r="BQ108" i="1"/>
  <c r="BQ109" i="1"/>
  <c r="BQ54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317" i="1"/>
  <c r="BQ125" i="1"/>
  <c r="BQ126" i="1"/>
  <c r="BQ127" i="1"/>
  <c r="BQ128" i="1"/>
  <c r="BQ129" i="1"/>
  <c r="BQ130" i="1"/>
  <c r="BQ131" i="1"/>
  <c r="BQ132" i="1"/>
  <c r="BQ133" i="1"/>
  <c r="BQ134" i="1"/>
  <c r="BQ55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219" i="1"/>
  <c r="BQ319" i="1"/>
  <c r="BQ180" i="1"/>
  <c r="BQ173" i="1"/>
  <c r="BQ181" i="1"/>
  <c r="BQ182" i="1"/>
  <c r="BQ183" i="1"/>
  <c r="BQ184" i="1"/>
  <c r="BQ208" i="1"/>
  <c r="BQ220" i="1"/>
  <c r="BQ209" i="1"/>
  <c r="BQ203" i="1"/>
  <c r="BQ210" i="1"/>
  <c r="BQ211" i="1"/>
  <c r="BQ212" i="1"/>
  <c r="BQ213" i="1"/>
  <c r="BQ214" i="1"/>
  <c r="BQ174" i="1"/>
  <c r="BQ206" i="1"/>
  <c r="BQ198" i="1"/>
  <c r="BQ199" i="1"/>
  <c r="BQ204" i="1"/>
  <c r="BQ205" i="1"/>
  <c r="BQ207" i="1"/>
  <c r="BQ200" i="1"/>
  <c r="BQ201" i="1"/>
  <c r="BQ202" i="1"/>
  <c r="BQ192" i="1"/>
  <c r="BQ193" i="1"/>
  <c r="BQ194" i="1"/>
  <c r="BQ195" i="1"/>
  <c r="BQ196" i="1"/>
  <c r="BQ190" i="1"/>
  <c r="BQ191" i="1"/>
  <c r="BQ185" i="1"/>
  <c r="BQ186" i="1"/>
  <c r="BQ188" i="1"/>
  <c r="BQ187" i="1"/>
  <c r="BQ189" i="1"/>
  <c r="BQ175" i="1"/>
  <c r="BQ176" i="1"/>
  <c r="BQ177" i="1"/>
  <c r="BQ171" i="1"/>
  <c r="BQ172" i="1"/>
  <c r="BQ178" i="1"/>
  <c r="BQ179" i="1"/>
  <c r="BQ316" i="1"/>
  <c r="BI22" i="6" l="1"/>
  <c r="BI20" i="6"/>
  <c r="BI23" i="6"/>
  <c r="BI21" i="6"/>
  <c r="BI15" i="6"/>
  <c r="BI3" i="6"/>
  <c r="BI13" i="6"/>
  <c r="BI8" i="6"/>
  <c r="BI11" i="6"/>
  <c r="BI6" i="6"/>
  <c r="BI4" i="6"/>
  <c r="BI14" i="6"/>
  <c r="BI9" i="6"/>
  <c r="BI12" i="6"/>
  <c r="BI7" i="6"/>
  <c r="BI2" i="6"/>
  <c r="BI10" i="6"/>
  <c r="BI5" i="6"/>
  <c r="CG235" i="1"/>
  <c r="CM298" i="1"/>
  <c r="BF3" i="5"/>
  <c r="BF1036" i="5"/>
  <c r="BF1049" i="5"/>
  <c r="BF474" i="5"/>
  <c r="BF50" i="5"/>
  <c r="BF790" i="5"/>
  <c r="BF1033" i="5"/>
  <c r="BF1044" i="5"/>
  <c r="BF1110" i="5"/>
  <c r="BF1122" i="5"/>
  <c r="BF43" i="5"/>
  <c r="BF1054" i="5"/>
  <c r="BF1066" i="5"/>
  <c r="BF1144" i="5"/>
  <c r="BF1243" i="5"/>
  <c r="BF1276" i="5"/>
  <c r="BF1334" i="5"/>
  <c r="BF332" i="5"/>
  <c r="BF837" i="5"/>
  <c r="BF549" i="5"/>
  <c r="BF603" i="5"/>
  <c r="BF1051" i="5"/>
  <c r="BF1147" i="5"/>
  <c r="BF1194" i="5"/>
  <c r="BF1203" i="5"/>
  <c r="BF1050" i="5"/>
  <c r="BF1067" i="5"/>
  <c r="BF1204" i="5"/>
  <c r="BF1216" i="5"/>
  <c r="BF1229" i="5"/>
  <c r="BF1294" i="5"/>
  <c r="BF1333" i="5"/>
  <c r="BF1389" i="5"/>
  <c r="BF1402" i="5"/>
  <c r="BF1073" i="5"/>
  <c r="BF1136" i="5"/>
  <c r="BF1206" i="5"/>
  <c r="BF1307" i="5"/>
  <c r="BF1329" i="5"/>
  <c r="BF1390" i="5"/>
  <c r="BF1039" i="5"/>
  <c r="BF1117" i="5"/>
  <c r="BF1191" i="5"/>
  <c r="BF1231" i="5"/>
  <c r="BF1330" i="5"/>
  <c r="BF1041" i="5"/>
  <c r="BF1069" i="5"/>
  <c r="BF1128" i="5"/>
  <c r="BF1233" i="5"/>
  <c r="BF1271" i="5"/>
  <c r="BF1358" i="5"/>
  <c r="BF1391" i="5"/>
  <c r="BF1042" i="5"/>
  <c r="BF1103" i="5"/>
  <c r="BF1170" i="5"/>
  <c r="BF1186" i="5"/>
  <c r="BF1196" i="5"/>
  <c r="BF1219" i="5"/>
  <c r="BF1299" i="5"/>
  <c r="BF1045" i="5"/>
  <c r="BF1104" i="5"/>
  <c r="BF1130" i="5"/>
  <c r="BF1169" i="5"/>
  <c r="BF1223" i="5"/>
  <c r="BF1281" i="5"/>
  <c r="BF1043" i="5"/>
  <c r="BF1079" i="5"/>
  <c r="BF1134" i="5"/>
  <c r="BF1164" i="5"/>
  <c r="BF1167" i="5"/>
  <c r="BF1185" i="5"/>
  <c r="BF1210" i="5"/>
  <c r="BF1295" i="5"/>
  <c r="BF1355" i="5"/>
  <c r="BF1046" i="5"/>
  <c r="BF1106" i="5"/>
  <c r="BF1120" i="5"/>
  <c r="BF1184" i="5"/>
  <c r="BF1239" i="5"/>
  <c r="BF1285" i="5"/>
  <c r="BF1376" i="5"/>
  <c r="BF1048" i="5"/>
  <c r="BF1081" i="5"/>
  <c r="BF1155" i="5"/>
  <c r="BF1173" i="5"/>
  <c r="BF1201" i="5"/>
  <c r="BF1211" i="5"/>
  <c r="BF1220" i="5"/>
  <c r="BF1305" i="5"/>
  <c r="BF1364" i="5"/>
  <c r="BF1398" i="5"/>
  <c r="BF1047" i="5"/>
  <c r="BF1179" i="5"/>
  <c r="BF1202" i="5"/>
  <c r="BF1282" i="5"/>
  <c r="BF1351" i="5"/>
  <c r="BF1379" i="5"/>
  <c r="BF1172" i="5"/>
  <c r="BF1052" i="5"/>
  <c r="BF1227" i="5"/>
  <c r="BF1366" i="5"/>
  <c r="BF1240" i="5"/>
  <c r="BF1399" i="5"/>
  <c r="BF1289" i="5"/>
  <c r="BF1315" i="5"/>
  <c r="BF1160" i="5"/>
  <c r="CM229" i="1"/>
  <c r="BF11" i="5"/>
  <c r="BF52" i="5"/>
  <c r="BF24" i="5"/>
  <c r="BF67" i="5"/>
  <c r="BF135" i="5"/>
  <c r="BF126" i="5"/>
  <c r="BF95" i="5"/>
  <c r="BF210" i="5"/>
  <c r="BF244" i="5"/>
  <c r="BF266" i="5"/>
  <c r="BF260" i="5"/>
  <c r="BF19" i="5"/>
  <c r="BF40" i="5"/>
  <c r="BF30" i="5"/>
  <c r="BF82" i="5"/>
  <c r="BF90" i="5"/>
  <c r="BF129" i="5"/>
  <c r="BF79" i="5"/>
  <c r="BF10" i="5"/>
  <c r="BF34" i="5"/>
  <c r="BF25" i="5"/>
  <c r="BF83" i="5"/>
  <c r="BF86" i="5"/>
  <c r="BF138" i="5"/>
  <c r="BF149" i="5"/>
  <c r="BF175" i="5"/>
  <c r="BF176" i="5"/>
  <c r="BF226" i="5"/>
  <c r="BF318" i="5"/>
  <c r="BF31" i="5"/>
  <c r="BF38" i="5"/>
  <c r="BF28" i="5"/>
  <c r="BF32" i="5"/>
  <c r="BF42" i="5"/>
  <c r="BF41" i="5"/>
  <c r="BF76" i="5"/>
  <c r="BF85" i="5"/>
  <c r="BF81" i="5"/>
  <c r="BF48" i="5"/>
  <c r="BF39" i="5"/>
  <c r="BF21" i="5"/>
  <c r="BF97" i="5"/>
  <c r="BF68" i="5"/>
  <c r="BF94" i="5"/>
  <c r="BF189" i="5"/>
  <c r="BF232" i="5"/>
  <c r="BF291" i="5"/>
  <c r="BF306" i="5"/>
  <c r="BF357" i="5"/>
  <c r="BF383" i="5"/>
  <c r="BF411" i="5"/>
  <c r="BF431" i="5"/>
  <c r="BF471" i="5"/>
  <c r="BF444" i="5"/>
  <c r="BF499" i="5"/>
  <c r="BF561" i="5"/>
  <c r="BF577" i="5"/>
  <c r="BF578" i="5"/>
  <c r="BF648" i="5"/>
  <c r="BF653" i="5"/>
  <c r="BF665" i="5"/>
  <c r="BF810" i="5"/>
  <c r="BF805" i="5"/>
  <c r="BF747" i="5"/>
  <c r="BF812" i="5"/>
  <c r="BF831" i="5"/>
  <c r="BF858" i="5"/>
  <c r="BF897" i="5"/>
  <c r="BF916" i="5"/>
  <c r="BF954" i="5"/>
  <c r="BF1013" i="5"/>
  <c r="BF1012" i="5"/>
  <c r="BF18" i="5"/>
  <c r="BF7" i="5"/>
  <c r="BF8" i="5"/>
  <c r="BF106" i="5"/>
  <c r="BF20" i="5"/>
  <c r="BF99" i="5"/>
  <c r="BF169" i="5"/>
  <c r="BF192" i="5"/>
  <c r="BF185" i="5"/>
  <c r="BF295" i="5"/>
  <c r="BF305" i="5"/>
  <c r="BF373" i="5"/>
  <c r="BF381" i="5"/>
  <c r="BF397" i="5"/>
  <c r="BF416" i="5"/>
  <c r="BF498" i="5"/>
  <c r="BF580" i="5"/>
  <c r="BF675" i="5"/>
  <c r="BF659" i="5"/>
  <c r="BF740" i="5"/>
  <c r="BF742" i="5"/>
  <c r="BF763" i="5"/>
  <c r="BF807" i="5"/>
  <c r="BF806" i="5"/>
  <c r="BF859" i="5"/>
  <c r="BF917" i="5"/>
  <c r="BF919" i="5"/>
  <c r="BF926" i="5"/>
  <c r="BF22" i="5"/>
  <c r="BF128" i="5"/>
  <c r="BF203" i="5"/>
  <c r="BF249" i="5"/>
  <c r="BF270" i="5"/>
  <c r="BF308" i="5"/>
  <c r="BF303" i="5"/>
  <c r="BF325" i="5"/>
  <c r="BF369" i="5"/>
  <c r="BF387" i="5"/>
  <c r="BF382" i="5"/>
  <c r="BF414" i="5"/>
  <c r="BF440" i="5"/>
  <c r="BF490" i="5"/>
  <c r="BF562" i="5"/>
  <c r="BF582" i="5"/>
  <c r="BF575" i="5"/>
  <c r="BF630" i="5"/>
  <c r="BF664" i="5"/>
  <c r="BF701" i="5"/>
  <c r="BF852" i="5"/>
  <c r="BF730" i="5"/>
  <c r="BF819" i="5"/>
  <c r="BF813" i="5"/>
  <c r="BF1000" i="5"/>
  <c r="BF922" i="5"/>
  <c r="BF927" i="5"/>
  <c r="BF1003" i="5"/>
  <c r="BF958" i="5"/>
  <c r="BF23" i="5"/>
  <c r="BF84" i="5"/>
  <c r="BF75" i="5"/>
  <c r="BF196" i="5"/>
  <c r="BF319" i="5"/>
  <c r="BF320" i="5"/>
  <c r="BF340" i="5"/>
  <c r="BF360" i="5"/>
  <c r="BF395" i="5"/>
  <c r="BF393" i="5"/>
  <c r="BF417" i="5"/>
  <c r="BF437" i="5"/>
  <c r="BF608" i="5"/>
  <c r="BF629" i="5"/>
  <c r="BF686" i="5"/>
  <c r="BF803" i="5"/>
  <c r="BF764" i="5"/>
  <c r="BF835" i="5"/>
  <c r="BF913" i="5"/>
  <c r="BF942" i="5"/>
  <c r="BF1004" i="5"/>
  <c r="BF36" i="5"/>
  <c r="BF88" i="5"/>
  <c r="BF80" i="5"/>
  <c r="BF171" i="5"/>
  <c r="BF215" i="5"/>
  <c r="BF296" i="5"/>
  <c r="BF336" i="5"/>
  <c r="BF396" i="5"/>
  <c r="BF400" i="5"/>
  <c r="BF428" i="5"/>
  <c r="BF446" i="5"/>
  <c r="BF456" i="5"/>
  <c r="BF460" i="5"/>
  <c r="BF512" i="5"/>
  <c r="BF557" i="5"/>
  <c r="BF564" i="5"/>
  <c r="BF585" i="5"/>
  <c r="BF657" i="5"/>
  <c r="BF631" i="5"/>
  <c r="BF801" i="5"/>
  <c r="BF744" i="5"/>
  <c r="BF855" i="5"/>
  <c r="BF836" i="5"/>
  <c r="BF29" i="5"/>
  <c r="BF123" i="5"/>
  <c r="BF66" i="5"/>
  <c r="BF224" i="5"/>
  <c r="BF230" i="5"/>
  <c r="BF299" i="5"/>
  <c r="BF331" i="5"/>
  <c r="BF342" i="5"/>
  <c r="BF368" i="5"/>
  <c r="BF394" i="5"/>
  <c r="BF408" i="5"/>
  <c r="BF472" i="5"/>
  <c r="BF450" i="5"/>
  <c r="BF488" i="5"/>
  <c r="BF493" i="5"/>
  <c r="BF510" i="5"/>
  <c r="BF615" i="5"/>
  <c r="BF606" i="5"/>
  <c r="BF568" i="5"/>
  <c r="BF574" i="5"/>
  <c r="BF660" i="5"/>
  <c r="BF663" i="5"/>
  <c r="BF757" i="5"/>
  <c r="BF745" i="5"/>
  <c r="BF808" i="5"/>
  <c r="BF758" i="5"/>
  <c r="BF914" i="5"/>
  <c r="BF1026" i="5"/>
  <c r="BF950" i="5"/>
  <c r="BF929" i="5"/>
  <c r="BF963" i="5"/>
  <c r="BF1126" i="5"/>
  <c r="BF1331" i="5"/>
  <c r="BF9" i="5"/>
  <c r="BF134" i="5"/>
  <c r="BF89" i="5"/>
  <c r="BF181" i="5"/>
  <c r="BF188" i="5"/>
  <c r="BF273" i="5"/>
  <c r="BF304" i="5"/>
  <c r="BF287" i="5"/>
  <c r="BF401" i="5"/>
  <c r="BF409" i="5"/>
  <c r="BF422" i="5"/>
  <c r="BF448" i="5"/>
  <c r="BF439" i="5"/>
  <c r="BF491" i="5"/>
  <c r="BF616" i="5"/>
  <c r="BF614" i="5"/>
  <c r="BF569" i="5"/>
  <c r="BF698" i="5"/>
  <c r="BF681" i="5"/>
  <c r="BF739" i="5"/>
  <c r="BF746" i="5"/>
  <c r="BF752" i="5"/>
  <c r="BF1006" i="5"/>
  <c r="BF871" i="5"/>
  <c r="BF924" i="5"/>
  <c r="BF956" i="5"/>
  <c r="BF1027" i="5"/>
  <c r="BF936" i="5"/>
  <c r="BF35" i="5"/>
  <c r="BF91" i="5"/>
  <c r="BF131" i="5"/>
  <c r="BF125" i="5"/>
  <c r="BF98" i="5"/>
  <c r="BF170" i="5"/>
  <c r="BF190" i="5"/>
  <c r="BF233" i="5"/>
  <c r="BF217" i="5"/>
  <c r="BF267" i="5"/>
  <c r="BF289" i="5"/>
  <c r="BF286" i="5"/>
  <c r="BF350" i="5"/>
  <c r="BF378" i="5"/>
  <c r="BF372" i="5"/>
  <c r="BF410" i="5"/>
  <c r="BF403" i="5"/>
  <c r="BF453" i="5"/>
  <c r="BF467" i="5"/>
  <c r="BF515" i="5"/>
  <c r="BF624" i="5"/>
  <c r="BF621" i="5"/>
  <c r="BF546" i="5"/>
  <c r="BF622" i="5"/>
  <c r="BF590" i="5"/>
  <c r="BF668" i="5"/>
  <c r="BF743" i="5"/>
  <c r="BF820" i="5"/>
  <c r="BF839" i="5"/>
  <c r="BF822" i="5"/>
  <c r="BF750" i="5"/>
  <c r="BF911" i="5"/>
  <c r="BF1007" i="5"/>
  <c r="BF920" i="5"/>
  <c r="BF951" i="5"/>
  <c r="BF957" i="5"/>
  <c r="BF44" i="5"/>
  <c r="BF78" i="5"/>
  <c r="BF104" i="5"/>
  <c r="BF191" i="5"/>
  <c r="BF221" i="5"/>
  <c r="BF237" i="5"/>
  <c r="BF274" i="5"/>
  <c r="BF292" i="5"/>
  <c r="BF290" i="5"/>
  <c r="BF362" i="5"/>
  <c r="BF412" i="5"/>
  <c r="BF449" i="5"/>
  <c r="BF469" i="5"/>
  <c r="BF484" i="5"/>
  <c r="BF559" i="5"/>
  <c r="BF560" i="5"/>
  <c r="BF674" i="5"/>
  <c r="BF671" i="5"/>
  <c r="BF738" i="5"/>
  <c r="BF748" i="5"/>
  <c r="BF749" i="5"/>
  <c r="BF912" i="5"/>
  <c r="BF999" i="5"/>
  <c r="BF1011" i="5"/>
  <c r="BF925" i="5"/>
  <c r="BF930" i="5"/>
  <c r="BF1015" i="5"/>
  <c r="BF27" i="5"/>
  <c r="BF70" i="5"/>
  <c r="BF202" i="5"/>
  <c r="BF241" i="5"/>
  <c r="BF275" i="5"/>
  <c r="BF293" i="5"/>
  <c r="BF359" i="5"/>
  <c r="BF366" i="5"/>
  <c r="BF380" i="5"/>
  <c r="BF413" i="5"/>
  <c r="BF454" i="5"/>
  <c r="BF451" i="5"/>
  <c r="BF511" i="5"/>
  <c r="BF497" i="5"/>
  <c r="BF548" i="5"/>
  <c r="BF566" i="5"/>
  <c r="BF670" i="5"/>
  <c r="BF676" i="5"/>
  <c r="BF754" i="5"/>
  <c r="BF769" i="5"/>
  <c r="BF838" i="5"/>
  <c r="BF766" i="5"/>
  <c r="BF741" i="5"/>
  <c r="BF932" i="5"/>
  <c r="BF92" i="5"/>
  <c r="BF214" i="5"/>
  <c r="BF254" i="5"/>
  <c r="BF294" i="5"/>
  <c r="BF288" i="5"/>
  <c r="BF326" i="5"/>
  <c r="BF355" i="5"/>
  <c r="BF379" i="5"/>
  <c r="BF388" i="5"/>
  <c r="BF432" i="5"/>
  <c r="BF419" i="5"/>
  <c r="BF455" i="5"/>
  <c r="BF436" i="5"/>
  <c r="BF496" i="5"/>
  <c r="BF576" i="5"/>
  <c r="BF667" i="5"/>
  <c r="BF755" i="5"/>
  <c r="BF765" i="5"/>
  <c r="BF814" i="5"/>
  <c r="BF727" i="5"/>
  <c r="BF811" i="5"/>
  <c r="BF796" i="5"/>
  <c r="BF933" i="5"/>
  <c r="BF937" i="5"/>
  <c r="BF921" i="5"/>
  <c r="BF953" i="5"/>
  <c r="BF1002" i="5"/>
  <c r="BF93" i="5"/>
  <c r="BF229" i="5"/>
  <c r="BF370" i="5"/>
  <c r="BF447" i="5"/>
  <c r="BF923" i="5"/>
  <c r="BF861" i="5"/>
  <c r="BF1068" i="5"/>
  <c r="BF1125" i="5"/>
  <c r="BF1161" i="5"/>
  <c r="BF1165" i="5"/>
  <c r="BF1311" i="5"/>
  <c r="BF87" i="5"/>
  <c r="BF297" i="5"/>
  <c r="BF468" i="5"/>
  <c r="BF607" i="5"/>
  <c r="BF821" i="5"/>
  <c r="BF952" i="5"/>
  <c r="BF962" i="5"/>
  <c r="BF918" i="5"/>
  <c r="BF1141" i="5"/>
  <c r="BF1177" i="5"/>
  <c r="BF205" i="5"/>
  <c r="BF298" i="5"/>
  <c r="BF452" i="5"/>
  <c r="BF563" i="5"/>
  <c r="BF817" i="5"/>
  <c r="BF934" i="5"/>
  <c r="BF1014" i="5"/>
  <c r="BF1403" i="5"/>
  <c r="BF445" i="5"/>
  <c r="BF768" i="5"/>
  <c r="BF955" i="5"/>
  <c r="BF1029" i="5"/>
  <c r="BF1205" i="5"/>
  <c r="BF1245" i="5"/>
  <c r="BF1265" i="5"/>
  <c r="BF1392" i="5"/>
  <c r="BF218" i="5"/>
  <c r="BF581" i="5"/>
  <c r="BF935" i="5"/>
  <c r="BF928" i="5"/>
  <c r="BF1056" i="5"/>
  <c r="BF1189" i="5"/>
  <c r="BF33" i="5"/>
  <c r="BF1022" i="5"/>
  <c r="BF931" i="5"/>
  <c r="BF1055" i="5"/>
  <c r="BF1116" i="5"/>
  <c r="BF37" i="5"/>
  <c r="BF307" i="5"/>
  <c r="BF390" i="5"/>
  <c r="BF485" i="5"/>
  <c r="BF851" i="5"/>
  <c r="BF1001" i="5"/>
  <c r="BF989" i="5"/>
  <c r="BF1119" i="5"/>
  <c r="BF345" i="5"/>
  <c r="BF489" i="5"/>
  <c r="BF583" i="5"/>
  <c r="BF915" i="5"/>
  <c r="BF1005" i="5"/>
  <c r="BF1105" i="5"/>
  <c r="BF1118" i="5"/>
  <c r="BF343" i="5"/>
  <c r="BF423" i="5"/>
  <c r="BF500" i="5"/>
  <c r="BF658" i="5"/>
  <c r="BF802" i="5"/>
  <c r="BF1031" i="5"/>
  <c r="BF430" i="5"/>
  <c r="BF501" i="5"/>
  <c r="BF804" i="5"/>
  <c r="BF941" i="5"/>
  <c r="BF1107" i="5"/>
  <c r="BF1248" i="5"/>
  <c r="BF1253" i="5"/>
  <c r="BF77" i="5"/>
  <c r="BF682" i="5"/>
  <c r="BF767" i="5"/>
  <c r="BF896" i="5"/>
  <c r="BF1212" i="5"/>
  <c r="BF1226" i="5"/>
  <c r="BF1237" i="5"/>
  <c r="BF223" i="5"/>
  <c r="BF680" i="5"/>
  <c r="BF1034" i="5"/>
  <c r="BF735" i="5"/>
  <c r="BF1065" i="5"/>
  <c r="BF949" i="5"/>
  <c r="BF1382" i="5"/>
  <c r="BF487" i="5"/>
  <c r="BF167" i="5"/>
  <c r="CP320" i="1"/>
  <c r="BI1395" i="5"/>
  <c r="BI1396" i="5"/>
  <c r="BI1398" i="5"/>
  <c r="BI1397" i="5"/>
  <c r="BI1399" i="5"/>
  <c r="BI1402" i="5"/>
  <c r="BI1392" i="5"/>
  <c r="BI1403" i="5"/>
  <c r="BI1393" i="5"/>
  <c r="BI1400" i="5"/>
  <c r="BI1401" i="5"/>
  <c r="BI1394" i="5"/>
  <c r="BI1391" i="5"/>
  <c r="BF1264" i="5"/>
  <c r="BF1369" i="5"/>
  <c r="BF1380" i="5"/>
  <c r="BF1400" i="5"/>
  <c r="BF1277" i="5"/>
  <c r="BF1322" i="5"/>
  <c r="BF1375" i="5"/>
  <c r="BF1356" i="5"/>
  <c r="BF1254" i="5"/>
  <c r="BF1288" i="5"/>
  <c r="BF1263" i="5"/>
  <c r="BF1318" i="5"/>
  <c r="BF1213" i="5"/>
  <c r="BF1236" i="5"/>
  <c r="BF1383" i="5"/>
  <c r="BF1235" i="5"/>
  <c r="BF1267" i="5"/>
  <c r="BF1308" i="5"/>
  <c r="BF1296" i="5"/>
  <c r="BF1372" i="5"/>
  <c r="BF1385" i="5"/>
  <c r="BF1297" i="5"/>
  <c r="BF1317" i="5"/>
  <c r="BF1374" i="5"/>
  <c r="BF1396" i="5"/>
  <c r="BF1341" i="5"/>
  <c r="BF1251" i="5"/>
  <c r="CP316" i="1"/>
  <c r="BI1352" i="5"/>
  <c r="BI1346" i="5"/>
  <c r="BI1351" i="5"/>
  <c r="BI1364" i="5"/>
  <c r="BI1335" i="5"/>
  <c r="BI1337" i="5"/>
  <c r="BI1361" i="5"/>
  <c r="BI1371" i="5"/>
  <c r="BI1344" i="5"/>
  <c r="BI1333" i="5"/>
  <c r="BI1357" i="5"/>
  <c r="BI1366" i="5"/>
  <c r="BI1348" i="5"/>
  <c r="BI1356" i="5"/>
  <c r="BI1367" i="5"/>
  <c r="BI1373" i="5"/>
  <c r="BI1354" i="5"/>
  <c r="BI1345" i="5"/>
  <c r="BI1362" i="5"/>
  <c r="BI1359" i="5"/>
  <c r="BI1360" i="5"/>
  <c r="BI1363" i="5"/>
  <c r="BI1343" i="5"/>
  <c r="BI1340" i="5"/>
  <c r="BI1332" i="5"/>
  <c r="BI1368" i="5"/>
  <c r="BI1350" i="5"/>
  <c r="BI1338" i="5"/>
  <c r="BI1365" i="5"/>
  <c r="BI1369" i="5"/>
  <c r="BI1347" i="5"/>
  <c r="BI1370" i="5"/>
  <c r="BI1372" i="5"/>
  <c r="BI1341" i="5"/>
  <c r="BI1374" i="5"/>
  <c r="BI1349" i="5"/>
  <c r="BI1336" i="5"/>
  <c r="BI1342" i="5"/>
  <c r="BI1355" i="5"/>
  <c r="BI1339" i="5"/>
  <c r="BI1353" i="5"/>
  <c r="BI1334" i="5"/>
  <c r="BI1358" i="5"/>
  <c r="CM4" i="1"/>
  <c r="BF16" i="5"/>
  <c r="BF148" i="5"/>
  <c r="BF116" i="5"/>
  <c r="BF157" i="5"/>
  <c r="BF64" i="5"/>
  <c r="BF109" i="5"/>
  <c r="BF62" i="5"/>
  <c r="BF183" i="5"/>
  <c r="BF200" i="5"/>
  <c r="BF216" i="5"/>
  <c r="BF208" i="5"/>
  <c r="BF272" i="5"/>
  <c r="BF55" i="5"/>
  <c r="BF153" i="5"/>
  <c r="BF107" i="5"/>
  <c r="BF12" i="5"/>
  <c r="BF163" i="5"/>
  <c r="BF120" i="5"/>
  <c r="BF164" i="5"/>
  <c r="BF121" i="5"/>
  <c r="BF161" i="5"/>
  <c r="BF199" i="5"/>
  <c r="BF235" i="5"/>
  <c r="BF228" i="5"/>
  <c r="BF257" i="5"/>
  <c r="BF256" i="5"/>
  <c r="BF282" i="5"/>
  <c r="BF314" i="5"/>
  <c r="BF49" i="5"/>
  <c r="BF26" i="5"/>
  <c r="BF58" i="5"/>
  <c r="BF101" i="5"/>
  <c r="BF65" i="5"/>
  <c r="BF132" i="5"/>
  <c r="BF159" i="5"/>
  <c r="BF137" i="5"/>
  <c r="BF103" i="5"/>
  <c r="BF174" i="5"/>
  <c r="BF57" i="5"/>
  <c r="BF45" i="5"/>
  <c r="BF112" i="5"/>
  <c r="BF108" i="5"/>
  <c r="BF151" i="5"/>
  <c r="BF63" i="5"/>
  <c r="BF166" i="5"/>
  <c r="BF133" i="5"/>
  <c r="BF172" i="5"/>
  <c r="BF187" i="5"/>
  <c r="BF213" i="5"/>
  <c r="BF186" i="5"/>
  <c r="BF242" i="5"/>
  <c r="BF265" i="5"/>
  <c r="BF278" i="5"/>
  <c r="BF311" i="5"/>
  <c r="BF324" i="5"/>
  <c r="BF337" i="5"/>
  <c r="BF365" i="5"/>
  <c r="BF398" i="5"/>
  <c r="BF434" i="5"/>
  <c r="BF463" i="5"/>
  <c r="BF476" i="5"/>
  <c r="BF502" i="5"/>
  <c r="BF486" i="5"/>
  <c r="BF537" i="5"/>
  <c r="BF588" i="5"/>
  <c r="BF554" i="5"/>
  <c r="BF539" i="5"/>
  <c r="BF532" i="5"/>
  <c r="BF553" i="5"/>
  <c r="BF677" i="5"/>
  <c r="BF695" i="5"/>
  <c r="BF699" i="5"/>
  <c r="BF751" i="5"/>
  <c r="BF714" i="5"/>
  <c r="BF723" i="5"/>
  <c r="BF708" i="5"/>
  <c r="BF781" i="5"/>
  <c r="BF833" i="5"/>
  <c r="BF729" i="5"/>
  <c r="BF800" i="5"/>
  <c r="BF877" i="5"/>
  <c r="BF943" i="5"/>
  <c r="BF986" i="5"/>
  <c r="BF965" i="5"/>
  <c r="BF972" i="5"/>
  <c r="BF1009" i="5"/>
  <c r="BF886" i="5"/>
  <c r="BF887" i="5"/>
  <c r="BF998" i="5"/>
  <c r="BF1057" i="5"/>
  <c r="BF1071" i="5"/>
  <c r="BF56" i="5"/>
  <c r="BF6" i="5"/>
  <c r="BF100" i="5"/>
  <c r="BF2" i="5"/>
  <c r="BF53" i="5"/>
  <c r="BF114" i="5"/>
  <c r="BF127" i="5"/>
  <c r="BF69" i="5"/>
  <c r="BF179" i="5"/>
  <c r="BF220" i="5"/>
  <c r="BF239" i="5"/>
  <c r="BF251" i="5"/>
  <c r="BF268" i="5"/>
  <c r="BF315" i="5"/>
  <c r="BF323" i="5"/>
  <c r="BF334" i="5"/>
  <c r="BF376" i="5"/>
  <c r="BF429" i="5"/>
  <c r="BF427" i="5"/>
  <c r="BF470" i="5"/>
  <c r="BF473" i="5"/>
  <c r="BF494" i="5"/>
  <c r="BF513" i="5"/>
  <c r="BF523" i="5"/>
  <c r="BF533" i="5"/>
  <c r="BF602" i="5"/>
  <c r="BF516" i="5"/>
  <c r="BF593" i="5"/>
  <c r="BF571" i="5"/>
  <c r="BF518" i="5"/>
  <c r="BF645" i="5"/>
  <c r="BF646" i="5"/>
  <c r="BF816" i="5"/>
  <c r="BF776" i="5"/>
  <c r="BF711" i="5"/>
  <c r="BF782" i="5"/>
  <c r="BF846" i="5"/>
  <c r="BF718" i="5"/>
  <c r="BF845" i="5"/>
  <c r="BF979" i="5"/>
  <c r="BF878" i="5"/>
  <c r="BF973" i="5"/>
  <c r="BF1030" i="5"/>
  <c r="BF891" i="5"/>
  <c r="BF940" i="5"/>
  <c r="BF117" i="5"/>
  <c r="BF139" i="5"/>
  <c r="BF72" i="5"/>
  <c r="BF115" i="5"/>
  <c r="BF180" i="5"/>
  <c r="BF207" i="5"/>
  <c r="BF231" i="5"/>
  <c r="BF245" i="5"/>
  <c r="BF321" i="5"/>
  <c r="BF346" i="5"/>
  <c r="BF377" i="5"/>
  <c r="BF435" i="5"/>
  <c r="BF438" i="5"/>
  <c r="BF465" i="5"/>
  <c r="BF507" i="5"/>
  <c r="BF483" i="5"/>
  <c r="BF544" i="5"/>
  <c r="BF543" i="5"/>
  <c r="BF594" i="5"/>
  <c r="BF552" i="5"/>
  <c r="BF693" i="5"/>
  <c r="BF638" i="5"/>
  <c r="BF649" i="5"/>
  <c r="BF656" i="5"/>
  <c r="BF780" i="5"/>
  <c r="BF710" i="5"/>
  <c r="BF823" i="5"/>
  <c r="BF844" i="5"/>
  <c r="BF707" i="5"/>
  <c r="BF842" i="5"/>
  <c r="BF869" i="5"/>
  <c r="BF875" i="5"/>
  <c r="BF944" i="5"/>
  <c r="BF939" i="5"/>
  <c r="BF971" i="5"/>
  <c r="BF909" i="5"/>
  <c r="BF901" i="5"/>
  <c r="BF992" i="5"/>
  <c r="BF1059" i="5"/>
  <c r="BF1070" i="5"/>
  <c r="BF1085" i="5"/>
  <c r="BF1097" i="5"/>
  <c r="BF110" i="5"/>
  <c r="BF146" i="5"/>
  <c r="BF74" i="5"/>
  <c r="BF122" i="5"/>
  <c r="BF182" i="5"/>
  <c r="BF211" i="5"/>
  <c r="BF209" i="5"/>
  <c r="BF248" i="5"/>
  <c r="BF253" i="5"/>
  <c r="BF281" i="5"/>
  <c r="BF312" i="5"/>
  <c r="BF328" i="5"/>
  <c r="BF356" i="5"/>
  <c r="BF402" i="5"/>
  <c r="BF425" i="5"/>
  <c r="BF459" i="5"/>
  <c r="BF466" i="5"/>
  <c r="BF492" i="5"/>
  <c r="BF506" i="5"/>
  <c r="BF558" i="5"/>
  <c r="BF529" i="5"/>
  <c r="BF536" i="5"/>
  <c r="BF520" i="5"/>
  <c r="BF595" i="5"/>
  <c r="BF572" i="5"/>
  <c r="BF542" i="5"/>
  <c r="BF666" i="5"/>
  <c r="BF678" i="5"/>
  <c r="BF650" i="5"/>
  <c r="BF654" i="5"/>
  <c r="BF703" i="5"/>
  <c r="BF853" i="5"/>
  <c r="BF756" i="5"/>
  <c r="BF828" i="5"/>
  <c r="BF761" i="5"/>
  <c r="BF824" i="5"/>
  <c r="BF847" i="5"/>
  <c r="BF734" i="5"/>
  <c r="BF843" i="5"/>
  <c r="BF1008" i="5"/>
  <c r="BF872" i="5"/>
  <c r="BF880" i="5"/>
  <c r="BF46" i="5"/>
  <c r="BF118" i="5"/>
  <c r="BF154" i="5"/>
  <c r="BF165" i="5"/>
  <c r="BF141" i="5"/>
  <c r="BF222" i="5"/>
  <c r="BF234" i="5"/>
  <c r="BF240" i="5"/>
  <c r="BF258" i="5"/>
  <c r="BF271" i="5"/>
  <c r="BF313" i="5"/>
  <c r="BF300" i="5"/>
  <c r="BF347" i="5"/>
  <c r="BF361" i="5"/>
  <c r="BF353" i="5"/>
  <c r="BF418" i="5"/>
  <c r="BF443" i="5"/>
  <c r="BF514" i="5"/>
  <c r="BF477" i="5"/>
  <c r="BF587" i="5"/>
  <c r="BF550" i="5"/>
  <c r="BF596" i="5"/>
  <c r="BF521" i="5"/>
  <c r="BF522" i="5"/>
  <c r="BF683" i="5"/>
  <c r="BF679" i="5"/>
  <c r="BF635" i="5"/>
  <c r="BF636" i="5"/>
  <c r="BF818" i="5"/>
  <c r="BF773" i="5"/>
  <c r="BF854" i="5"/>
  <c r="BF4" i="5"/>
  <c r="BF113" i="5"/>
  <c r="BF160" i="5"/>
  <c r="BF150" i="5"/>
  <c r="BF140" i="5"/>
  <c r="BF195" i="5"/>
  <c r="BF219" i="5"/>
  <c r="BF252" i="5"/>
  <c r="BF276" i="5"/>
  <c r="BF316" i="5"/>
  <c r="BF339" i="5"/>
  <c r="BF358" i="5"/>
  <c r="BF420" i="5"/>
  <c r="BF441" i="5"/>
  <c r="BF531" i="5"/>
  <c r="BF605" i="5"/>
  <c r="BF619" i="5"/>
  <c r="BF600" i="5"/>
  <c r="BF613" i="5"/>
  <c r="BF651" i="5"/>
  <c r="BF639" i="5"/>
  <c r="BF687" i="5"/>
  <c r="BF694" i="5"/>
  <c r="BF830" i="5"/>
  <c r="BF774" i="5"/>
  <c r="BF753" i="5"/>
  <c r="BF712" i="5"/>
  <c r="BF789" i="5"/>
  <c r="BF731" i="5"/>
  <c r="BF778" i="5"/>
  <c r="BF832" i="5"/>
  <c r="BF1028" i="5"/>
  <c r="BF977" i="5"/>
  <c r="BF873" i="5"/>
  <c r="BF969" i="5"/>
  <c r="BF1017" i="5"/>
  <c r="BF910" i="5"/>
  <c r="BF900" i="5"/>
  <c r="BF1021" i="5"/>
  <c r="BF1077" i="5"/>
  <c r="BF1090" i="5"/>
  <c r="BF1195" i="5"/>
  <c r="BF15" i="5"/>
  <c r="BF119" i="5"/>
  <c r="BF162" i="5"/>
  <c r="BF168" i="5"/>
  <c r="BF197" i="5"/>
  <c r="BF204" i="5"/>
  <c r="BF225" i="5"/>
  <c r="BF255" i="5"/>
  <c r="BF269" i="5"/>
  <c r="BF349" i="5"/>
  <c r="BF351" i="5"/>
  <c r="BF374" i="5"/>
  <c r="BF367" i="5"/>
  <c r="BF386" i="5"/>
  <c r="BF457" i="5"/>
  <c r="BF508" i="5"/>
  <c r="BF503" i="5"/>
  <c r="BF610" i="5"/>
  <c r="BF601" i="5"/>
  <c r="BF567" i="5"/>
  <c r="BF609" i="5"/>
  <c r="BF556" i="5"/>
  <c r="BF696" i="5"/>
  <c r="BF641" i="5"/>
  <c r="BF690" i="5"/>
  <c r="BF709" i="5"/>
  <c r="BF834" i="5"/>
  <c r="BF724" i="5"/>
  <c r="BF717" i="5"/>
  <c r="BF720" i="5"/>
  <c r="BF786" i="5"/>
  <c r="BF704" i="5"/>
  <c r="BF779" i="5"/>
  <c r="BF13" i="5"/>
  <c r="BF144" i="5"/>
  <c r="BF201" i="5"/>
  <c r="BF246" i="5"/>
  <c r="BF283" i="5"/>
  <c r="BF330" i="5"/>
  <c r="BF344" i="5"/>
  <c r="BF385" i="5"/>
  <c r="BF424" i="5"/>
  <c r="BF458" i="5"/>
  <c r="BF478" i="5"/>
  <c r="BF509" i="5"/>
  <c r="BF535" i="5"/>
  <c r="BF584" i="5"/>
  <c r="BF618" i="5"/>
  <c r="BF598" i="5"/>
  <c r="BF669" i="5"/>
  <c r="BF697" i="5"/>
  <c r="BF673" i="5"/>
  <c r="BF688" i="5"/>
  <c r="BF716" i="5"/>
  <c r="BF770" i="5"/>
  <c r="BF713" i="5"/>
  <c r="BF826" i="5"/>
  <c r="BF705" i="5"/>
  <c r="BF777" i="5"/>
  <c r="BF890" i="5"/>
  <c r="BF14" i="5"/>
  <c r="BF145" i="5"/>
  <c r="BF142" i="5"/>
  <c r="BF60" i="5"/>
  <c r="BF173" i="5"/>
  <c r="BF243" i="5"/>
  <c r="BF284" i="5"/>
  <c r="BF329" i="5"/>
  <c r="BF341" i="5"/>
  <c r="BF352" i="5"/>
  <c r="BF375" i="5"/>
  <c r="BF399" i="5"/>
  <c r="BF404" i="5"/>
  <c r="BF442" i="5"/>
  <c r="BF479" i="5"/>
  <c r="BF481" i="5"/>
  <c r="BF527" i="5"/>
  <c r="BF589" i="5"/>
  <c r="BF591" i="5"/>
  <c r="BF525" i="5"/>
  <c r="BF617" i="5"/>
  <c r="BF661" i="5"/>
  <c r="BF689" i="5"/>
  <c r="BF809" i="5"/>
  <c r="BF829" i="5"/>
  <c r="BF759" i="5"/>
  <c r="BF715" i="5"/>
  <c r="BF771" i="5"/>
  <c r="BF728" i="5"/>
  <c r="BF815" i="5"/>
  <c r="BF725" i="5"/>
  <c r="BF797" i="5"/>
  <c r="BF888" i="5"/>
  <c r="BF945" i="5"/>
  <c r="BF5" i="5"/>
  <c r="BF96" i="5"/>
  <c r="BF102" i="5"/>
  <c r="BF61" i="5"/>
  <c r="BF136" i="5"/>
  <c r="BF178" i="5"/>
  <c r="BF236" i="5"/>
  <c r="BF184" i="5"/>
  <c r="BF261" i="5"/>
  <c r="BF317" i="5"/>
  <c r="BF285" i="5"/>
  <c r="BF327" i="5"/>
  <c r="BF333" i="5"/>
  <c r="BF384" i="5"/>
  <c r="BF415" i="5"/>
  <c r="BF405" i="5"/>
  <c r="BF464" i="5"/>
  <c r="BF505" i="5"/>
  <c r="BF538" i="5"/>
  <c r="BF626" i="5"/>
  <c r="BF592" i="5"/>
  <c r="BF565" i="5"/>
  <c r="BF611" i="5"/>
  <c r="BF551" i="5"/>
  <c r="BF662" i="5"/>
  <c r="BF634" i="5"/>
  <c r="BF637" i="5"/>
  <c r="BF788" i="5"/>
  <c r="BF775" i="5"/>
  <c r="BF736" i="5"/>
  <c r="BF762" i="5"/>
  <c r="BF840" i="5"/>
  <c r="BF732" i="5"/>
  <c r="BF791" i="5"/>
  <c r="BF47" i="5"/>
  <c r="BF17" i="5"/>
  <c r="BF105" i="5"/>
  <c r="BF124" i="5"/>
  <c r="BF73" i="5"/>
  <c r="BF130" i="5"/>
  <c r="BF177" i="5"/>
  <c r="BF193" i="5"/>
  <c r="BF212" i="5"/>
  <c r="BF247" i="5"/>
  <c r="BF280" i="5"/>
  <c r="BF301" i="5"/>
  <c r="BF348" i="5"/>
  <c r="BF364" i="5"/>
  <c r="BF407" i="5"/>
  <c r="BF462" i="5"/>
  <c r="BF480" i="5"/>
  <c r="BF495" i="5"/>
  <c r="BF526" i="5"/>
  <c r="BF530" i="5"/>
  <c r="BF579" i="5"/>
  <c r="BF612" i="5"/>
  <c r="BF541" i="5"/>
  <c r="BF570" i="5"/>
  <c r="BF623" i="5"/>
  <c r="BF700" i="5"/>
  <c r="BF644" i="5"/>
  <c r="BF643" i="5"/>
  <c r="BF652" i="5"/>
  <c r="BF722" i="5"/>
  <c r="BF760" i="5"/>
  <c r="BF783" i="5"/>
  <c r="BF841" i="5"/>
  <c r="BF733" i="5"/>
  <c r="BF795" i="5"/>
  <c r="BF279" i="5"/>
  <c r="BF597" i="5"/>
  <c r="BF684" i="5"/>
  <c r="BF719" i="5"/>
  <c r="BF772" i="5"/>
  <c r="BF798" i="5"/>
  <c r="BF1020" i="5"/>
  <c r="BF968" i="5"/>
  <c r="BF1010" i="5"/>
  <c r="BF864" i="5"/>
  <c r="BF996" i="5"/>
  <c r="BF1080" i="5"/>
  <c r="BF1096" i="5"/>
  <c r="BF1228" i="5"/>
  <c r="BF194" i="5"/>
  <c r="BF363" i="5"/>
  <c r="BF620" i="5"/>
  <c r="BF685" i="5"/>
  <c r="BF784" i="5"/>
  <c r="BF948" i="5"/>
  <c r="BF1018" i="5"/>
  <c r="BF865" i="5"/>
  <c r="BF990" i="5"/>
  <c r="BF1037" i="5"/>
  <c r="BF1099" i="5"/>
  <c r="BF1127" i="5"/>
  <c r="BF143" i="5"/>
  <c r="BF354" i="5"/>
  <c r="BF573" i="5"/>
  <c r="BF640" i="5"/>
  <c r="BF825" i="5"/>
  <c r="BF961" i="5"/>
  <c r="BF959" i="5"/>
  <c r="BF879" i="5"/>
  <c r="BF984" i="5"/>
  <c r="BF905" i="5"/>
  <c r="BF991" i="5"/>
  <c r="BF1053" i="5"/>
  <c r="BF1086" i="5"/>
  <c r="BF1101" i="5"/>
  <c r="BF1178" i="5"/>
  <c r="BF1218" i="5"/>
  <c r="BF152" i="5"/>
  <c r="BF206" i="5"/>
  <c r="BF310" i="5"/>
  <c r="BF391" i="5"/>
  <c r="BF524" i="5"/>
  <c r="BF599" i="5"/>
  <c r="BF672" i="5"/>
  <c r="BF785" i="5"/>
  <c r="BF870" i="5"/>
  <c r="BF895" i="5"/>
  <c r="BF892" i="5"/>
  <c r="BF980" i="5"/>
  <c r="BF867" i="5"/>
  <c r="BF997" i="5"/>
  <c r="BF1058" i="5"/>
  <c r="BF1088" i="5"/>
  <c r="BF1098" i="5"/>
  <c r="BF1217" i="5"/>
  <c r="BF156" i="5"/>
  <c r="BF322" i="5"/>
  <c r="BF392" i="5"/>
  <c r="BF475" i="5"/>
  <c r="BF547" i="5"/>
  <c r="BF655" i="5"/>
  <c r="BF827" i="5"/>
  <c r="BF850" i="5"/>
  <c r="BF946" i="5"/>
  <c r="BF884" i="5"/>
  <c r="BF970" i="5"/>
  <c r="BF860" i="5"/>
  <c r="BF906" i="5"/>
  <c r="BF983" i="5"/>
  <c r="BF1089" i="5"/>
  <c r="BF1100" i="5"/>
  <c r="BF155" i="5"/>
  <c r="BF227" i="5"/>
  <c r="BF309" i="5"/>
  <c r="BF389" i="5"/>
  <c r="BF461" i="5"/>
  <c r="BF534" i="5"/>
  <c r="BF555" i="5"/>
  <c r="BF632" i="5"/>
  <c r="BF787" i="5"/>
  <c r="BF848" i="5"/>
  <c r="BF883" i="5"/>
  <c r="BF1019" i="5"/>
  <c r="BF894" i="5"/>
  <c r="BF903" i="5"/>
  <c r="BF902" i="5"/>
  <c r="BF1024" i="5"/>
  <c r="BF1074" i="5"/>
  <c r="BF1083" i="5"/>
  <c r="BF1327" i="5"/>
  <c r="BF111" i="5"/>
  <c r="BF259" i="5"/>
  <c r="BF528" i="5"/>
  <c r="BF691" i="5"/>
  <c r="BF706" i="5"/>
  <c r="BF974" i="5"/>
  <c r="BF964" i="5"/>
  <c r="BF893" i="5"/>
  <c r="BF904" i="5"/>
  <c r="BF907" i="5"/>
  <c r="BF908" i="5"/>
  <c r="BF1060" i="5"/>
  <c r="BF1075" i="5"/>
  <c r="BF1087" i="5"/>
  <c r="BF51" i="5"/>
  <c r="BF147" i="5"/>
  <c r="BF250" i="5"/>
  <c r="BF692" i="5"/>
  <c r="BF856" i="5"/>
  <c r="BF799" i="5"/>
  <c r="BF975" i="5"/>
  <c r="BF898" i="5"/>
  <c r="BF889" i="5"/>
  <c r="BF899" i="5"/>
  <c r="BF988" i="5"/>
  <c r="BF868" i="5"/>
  <c r="BF54" i="5"/>
  <c r="BF158" i="5"/>
  <c r="BF540" i="5"/>
  <c r="BF857" i="5"/>
  <c r="BF793" i="5"/>
  <c r="BF874" i="5"/>
  <c r="BF1023" i="5"/>
  <c r="BF881" i="5"/>
  <c r="BF876" i="5"/>
  <c r="BF987" i="5"/>
  <c r="BF885" i="5"/>
  <c r="BF978" i="5"/>
  <c r="BF1078" i="5"/>
  <c r="BF1214" i="5"/>
  <c r="BF71" i="5"/>
  <c r="BF338" i="5"/>
  <c r="BF586" i="5"/>
  <c r="BF647" i="5"/>
  <c r="BF737" i="5"/>
  <c r="BF794" i="5"/>
  <c r="BF882" i="5"/>
  <c r="BF976" i="5"/>
  <c r="BF938" i="5"/>
  <c r="BF1016" i="5"/>
  <c r="BF862" i="5"/>
  <c r="BF993" i="5"/>
  <c r="BF1094" i="5"/>
  <c r="BF1133" i="5"/>
  <c r="BF198" i="5"/>
  <c r="BF335" i="5"/>
  <c r="BF406" i="5"/>
  <c r="BF504" i="5"/>
  <c r="BF545" i="5"/>
  <c r="BF726" i="5"/>
  <c r="BF702" i="5"/>
  <c r="BF960" i="5"/>
  <c r="BF947" i="5"/>
  <c r="BF966" i="5"/>
  <c r="BF982" i="5"/>
  <c r="BF866" i="5"/>
  <c r="BF995" i="5"/>
  <c r="BF1032" i="5"/>
  <c r="BF1076" i="5"/>
  <c r="BF1095" i="5"/>
  <c r="BF721" i="5"/>
  <c r="BF1200" i="5"/>
  <c r="BF277" i="5"/>
  <c r="BF792" i="5"/>
  <c r="BF371" i="5"/>
  <c r="BF1082" i="5"/>
  <c r="BF1093" i="5"/>
  <c r="BF421" i="5"/>
  <c r="BF1025" i="5"/>
  <c r="BF1111" i="5"/>
  <c r="BF981" i="5"/>
  <c r="BF967" i="5"/>
  <c r="BF604" i="5"/>
  <c r="BF985" i="5"/>
  <c r="BF863" i="5"/>
  <c r="BF994" i="5"/>
  <c r="CN300" i="1"/>
  <c r="BG1105" i="5"/>
  <c r="BG1254" i="5"/>
  <c r="BG1343" i="5"/>
  <c r="BG1235" i="5"/>
  <c r="BG1383" i="5"/>
  <c r="BG1225" i="5"/>
  <c r="BG1257" i="5"/>
  <c r="BG1320" i="5"/>
  <c r="BG1194" i="5"/>
  <c r="BG1266" i="5"/>
  <c r="BG1309" i="5"/>
  <c r="BG1307" i="5"/>
  <c r="BG1396" i="5"/>
  <c r="BG1040" i="5"/>
  <c r="BG1123" i="5"/>
  <c r="BG1135" i="5"/>
  <c r="BG1273" i="5"/>
  <c r="BG1183" i="5"/>
  <c r="BG1208" i="5"/>
  <c r="BG1323" i="5"/>
  <c r="BG1293" i="5"/>
  <c r="BG1298" i="5"/>
  <c r="BG1344" i="5"/>
  <c r="BG1339" i="5"/>
  <c r="BG1246" i="5"/>
  <c r="BG1277" i="5"/>
  <c r="BF1268" i="5"/>
  <c r="BF1347" i="5"/>
  <c r="BF1298" i="5"/>
  <c r="CO88" i="1"/>
  <c r="BH276" i="5"/>
  <c r="BH5" i="5"/>
  <c r="BH269" i="5"/>
  <c r="BH45" i="5"/>
  <c r="BH71" i="5"/>
  <c r="BH62" i="5"/>
  <c r="BH260" i="5"/>
  <c r="BH171" i="5"/>
  <c r="BH6" i="5"/>
  <c r="BH140" i="5"/>
  <c r="BH628" i="5"/>
  <c r="BH53" i="5"/>
  <c r="BH238" i="5"/>
  <c r="BH17" i="5"/>
  <c r="CM170" i="1"/>
  <c r="BF302" i="5"/>
  <c r="BF642" i="5"/>
  <c r="BF426" i="5"/>
  <c r="BF517" i="5"/>
  <c r="BF482" i="5"/>
  <c r="BF625" i="5"/>
  <c r="BF849" i="5"/>
  <c r="BF238" i="5"/>
  <c r="BF433" i="5"/>
  <c r="BF519" i="5"/>
  <c r="BF633" i="5"/>
  <c r="BF1109" i="5"/>
  <c r="BF1038" i="5"/>
  <c r="BF1091" i="5"/>
  <c r="BF262" i="5"/>
  <c r="CN297" i="1"/>
  <c r="BG802" i="5"/>
  <c r="BG744" i="5"/>
  <c r="BG792" i="5"/>
  <c r="BG1147" i="5"/>
  <c r="BG1179" i="5"/>
  <c r="BG1188" i="5"/>
  <c r="BG1199" i="5"/>
  <c r="BG1210" i="5"/>
  <c r="BG1236" i="5"/>
  <c r="BG1301" i="5"/>
  <c r="BG1312" i="5"/>
  <c r="BG1324" i="5"/>
  <c r="BG1340" i="5"/>
  <c r="BG1332" i="5"/>
  <c r="BG1368" i="5"/>
  <c r="BG1377" i="5"/>
  <c r="BG1403" i="5"/>
  <c r="BG704" i="5"/>
  <c r="BG991" i="5"/>
  <c r="BG1044" i="5"/>
  <c r="BG1128" i="5"/>
  <c r="BG1136" i="5"/>
  <c r="BG1172" i="5"/>
  <c r="BG1192" i="5"/>
  <c r="BG1247" i="5"/>
  <c r="BG1263" i="5"/>
  <c r="BG1302" i="5"/>
  <c r="BG1315" i="5"/>
  <c r="BG1355" i="5"/>
  <c r="BG1372" i="5"/>
  <c r="BG1391" i="5"/>
  <c r="BG1404" i="5"/>
  <c r="BG380" i="5"/>
  <c r="BG559" i="5"/>
  <c r="BG700" i="5"/>
  <c r="BG815" i="5"/>
  <c r="BG946" i="5"/>
  <c r="BG898" i="5"/>
  <c r="BG1118" i="5"/>
  <c r="BG1140" i="5"/>
  <c r="BG1163" i="5"/>
  <c r="BG1202" i="5"/>
  <c r="BG1234" i="5"/>
  <c r="BG1271" i="5"/>
  <c r="BG1288" i="5"/>
  <c r="BG1290" i="5"/>
  <c r="BG1292" i="5"/>
  <c r="BG1311" i="5"/>
  <c r="BG1350" i="5"/>
  <c r="BG1393" i="5"/>
  <c r="BG729" i="5"/>
  <c r="BG1071" i="5"/>
  <c r="BG1130" i="5"/>
  <c r="BG1162" i="5"/>
  <c r="BG1159" i="5"/>
  <c r="BG1166" i="5"/>
  <c r="BG1177" i="5"/>
  <c r="BG1212" i="5"/>
  <c r="BG629" i="5"/>
  <c r="BG644" i="5"/>
  <c r="BG1020" i="5"/>
  <c r="BG1122" i="5"/>
  <c r="BG1143" i="5"/>
  <c r="BG1176" i="5"/>
  <c r="BG1178" i="5"/>
  <c r="BG1203" i="5"/>
  <c r="BG1226" i="5"/>
  <c r="BG1238" i="5"/>
  <c r="BG1284" i="5"/>
  <c r="BG1313" i="5"/>
  <c r="BG1322" i="5"/>
  <c r="BG1395" i="5"/>
  <c r="BG170" i="5"/>
  <c r="BG381" i="5"/>
  <c r="BG743" i="5"/>
  <c r="BG911" i="5"/>
  <c r="BG989" i="5"/>
  <c r="BG1062" i="5"/>
  <c r="BG1121" i="5"/>
  <c r="BG1149" i="5"/>
  <c r="BG1151" i="5"/>
  <c r="BG1175" i="5"/>
  <c r="BG1182" i="5"/>
  <c r="BG1193" i="5"/>
  <c r="BG1227" i="5"/>
  <c r="BG1248" i="5"/>
  <c r="BG1262" i="5"/>
  <c r="BG1259" i="5"/>
  <c r="BG1281" i="5"/>
  <c r="BG1299" i="5"/>
  <c r="BG1328" i="5"/>
  <c r="BG1361" i="5"/>
  <c r="BG1371" i="5"/>
  <c r="BG1378" i="5"/>
  <c r="BG1132" i="5"/>
  <c r="BG1153" i="5"/>
  <c r="BG1156" i="5"/>
  <c r="BG1181" i="5"/>
  <c r="BG1191" i="5"/>
  <c r="BG1216" i="5"/>
  <c r="BG1240" i="5"/>
  <c r="BG1250" i="5"/>
  <c r="BG788" i="5"/>
  <c r="BG1022" i="5"/>
  <c r="BG1112" i="5"/>
  <c r="BG1148" i="5"/>
  <c r="BG1167" i="5"/>
  <c r="BG1180" i="5"/>
  <c r="BG1207" i="5"/>
  <c r="BG1217" i="5"/>
  <c r="BG1230" i="5"/>
  <c r="BG1242" i="5"/>
  <c r="BG1260" i="5"/>
  <c r="BG1283" i="5"/>
  <c r="BG1295" i="5"/>
  <c r="BG1319" i="5"/>
  <c r="BG1354" i="5"/>
  <c r="BG1345" i="5"/>
  <c r="BG1362" i="5"/>
  <c r="BG1375" i="5"/>
  <c r="BG608" i="5"/>
  <c r="BG790" i="5"/>
  <c r="BG814" i="5"/>
  <c r="BG838" i="5"/>
  <c r="BG749" i="5"/>
  <c r="BG1053" i="5"/>
  <c r="BG1065" i="5"/>
  <c r="BG1077" i="5"/>
  <c r="BG1114" i="5"/>
  <c r="BG1126" i="5"/>
  <c r="BG1150" i="5"/>
  <c r="BG1168" i="5"/>
  <c r="BG1224" i="5"/>
  <c r="BG1258" i="5"/>
  <c r="BG1264" i="5"/>
  <c r="BG1306" i="5"/>
  <c r="BG1349" i="5"/>
  <c r="BG1369" i="5"/>
  <c r="BG1380" i="5"/>
  <c r="BG611" i="5"/>
  <c r="BG701" i="5"/>
  <c r="BG816" i="5"/>
  <c r="BG727" i="5"/>
  <c r="BG1081" i="5"/>
  <c r="BG1091" i="5"/>
  <c r="BG1138" i="5"/>
  <c r="BG1158" i="5"/>
  <c r="BG1146" i="5"/>
  <c r="BG1174" i="5"/>
  <c r="BG1185" i="5"/>
  <c r="BG1213" i="5"/>
  <c r="BG1231" i="5"/>
  <c r="BG683" i="5"/>
  <c r="BG1083" i="5"/>
  <c r="BG1164" i="5"/>
  <c r="BG1274" i="5"/>
  <c r="BG1317" i="5"/>
  <c r="BG1386" i="5"/>
  <c r="BG1092" i="5"/>
  <c r="BG1154" i="5"/>
  <c r="BG1233" i="5"/>
  <c r="BG1326" i="5"/>
  <c r="BG1356" i="5"/>
  <c r="BG1098" i="5"/>
  <c r="BG1239" i="5"/>
  <c r="BG1291" i="5"/>
  <c r="BG1358" i="5"/>
  <c r="BG1384" i="5"/>
  <c r="BG1278" i="5"/>
  <c r="BG1304" i="5"/>
  <c r="BG1325" i="5"/>
  <c r="BG1360" i="5"/>
  <c r="BG1054" i="5"/>
  <c r="BG1124" i="5"/>
  <c r="BG1314" i="5"/>
  <c r="BG1341" i="5"/>
  <c r="BG1390" i="5"/>
  <c r="BG1197" i="5"/>
  <c r="BG1261" i="5"/>
  <c r="BG1285" i="5"/>
  <c r="BG1305" i="5"/>
  <c r="BG1370" i="5"/>
  <c r="BG1394" i="5"/>
  <c r="BG647" i="5"/>
  <c r="BG1205" i="5"/>
  <c r="BG1294" i="5"/>
  <c r="BG1348" i="5"/>
  <c r="BG1363" i="5"/>
  <c r="BG1398" i="5"/>
  <c r="BG801" i="5"/>
  <c r="BG715" i="5"/>
  <c r="BG1067" i="5"/>
  <c r="BG1209" i="5"/>
  <c r="BG1289" i="5"/>
  <c r="BG1318" i="5"/>
  <c r="BG1336" i="5"/>
  <c r="BG1374" i="5"/>
  <c r="BG1152" i="5"/>
  <c r="BG1218" i="5"/>
  <c r="BG1316" i="5"/>
  <c r="BG378" i="5"/>
  <c r="BG1219" i="5"/>
  <c r="BG1308" i="5"/>
  <c r="BG1321" i="5"/>
  <c r="BG1373" i="5"/>
  <c r="BG1043" i="5"/>
  <c r="BG1113" i="5"/>
  <c r="BG1115" i="5"/>
  <c r="BG752" i="5"/>
  <c r="BG1186" i="5"/>
  <c r="BG332" i="5"/>
  <c r="BG1184" i="5"/>
  <c r="BG1389" i="5"/>
  <c r="BG1245" i="5"/>
  <c r="BG1286" i="5"/>
  <c r="BG1310" i="5"/>
  <c r="BG1347" i="5"/>
  <c r="BI1255" i="5"/>
  <c r="BI1266" i="5"/>
  <c r="BI1284" i="5"/>
  <c r="BI1262" i="5"/>
  <c r="BI1259" i="5"/>
  <c r="BI1281" i="5"/>
  <c r="BI1250" i="5"/>
  <c r="BI1270" i="5"/>
  <c r="BI1275" i="5"/>
  <c r="BI1279" i="5"/>
  <c r="BI1251" i="5"/>
  <c r="BI1252" i="5"/>
  <c r="BI1253" i="5"/>
  <c r="BI1285" i="5"/>
  <c r="BI1268" i="5"/>
  <c r="BI1260" i="5"/>
  <c r="BI1273" i="5"/>
  <c r="BI1283" i="5"/>
  <c r="BI1256" i="5"/>
  <c r="BI1274" i="5"/>
  <c r="BI1277" i="5"/>
  <c r="BI1289" i="5"/>
  <c r="BI1254" i="5"/>
  <c r="BI1257" i="5"/>
  <c r="BI1271" i="5"/>
  <c r="BI1288" i="5"/>
  <c r="BI1264" i="5"/>
  <c r="BI1269" i="5"/>
  <c r="BI1265" i="5"/>
  <c r="BI1272" i="5"/>
  <c r="BI1276" i="5"/>
  <c r="BI1278" i="5"/>
  <c r="BI1280" i="5"/>
  <c r="BI1263" i="5"/>
  <c r="BI1267" i="5"/>
  <c r="BI1258" i="5"/>
  <c r="BI1261" i="5"/>
  <c r="BI1286" i="5"/>
  <c r="BI1282" i="5"/>
  <c r="BI1287" i="5"/>
  <c r="BI1238" i="5"/>
  <c r="BI1249" i="5"/>
  <c r="BI1237" i="5"/>
  <c r="BI1248" i="5"/>
  <c r="BI1240" i="5"/>
  <c r="BI1241" i="5"/>
  <c r="BI1242" i="5"/>
  <c r="BI1233" i="5"/>
  <c r="BI1245" i="5"/>
  <c r="BI1236" i="5"/>
  <c r="BI1244" i="5"/>
  <c r="BI1234" i="5"/>
  <c r="BI1235" i="5"/>
  <c r="BI1239" i="5"/>
  <c r="BI1243" i="5"/>
  <c r="BI1247" i="5"/>
  <c r="BI1246" i="5"/>
  <c r="CP193" i="1"/>
  <c r="BI325" i="5"/>
  <c r="BI334" i="5"/>
  <c r="BI355" i="5"/>
  <c r="BI366" i="5"/>
  <c r="BI362" i="5"/>
  <c r="BI385" i="5"/>
  <c r="BI401" i="5"/>
  <c r="BI408" i="5"/>
  <c r="BI421" i="5"/>
  <c r="BI447" i="5"/>
  <c r="BI456" i="5"/>
  <c r="BI459" i="5"/>
  <c r="BI465" i="5"/>
  <c r="BI498" i="5"/>
  <c r="BI480" i="5"/>
  <c r="BI331" i="5"/>
  <c r="BI343" i="5"/>
  <c r="BI323" i="5"/>
  <c r="BI337" i="5"/>
  <c r="BI369" i="5"/>
  <c r="BI377" i="5"/>
  <c r="BI387" i="5"/>
  <c r="BI382" i="5"/>
  <c r="BI414" i="5"/>
  <c r="BI435" i="5"/>
  <c r="BI426" i="5"/>
  <c r="BI440" i="5"/>
  <c r="BI438" i="5"/>
  <c r="BI466" i="5"/>
  <c r="BI499" i="5"/>
  <c r="BI507" i="5"/>
  <c r="BI513" i="5"/>
  <c r="BI526" i="5"/>
  <c r="BI548" i="5"/>
  <c r="BI560" i="5"/>
  <c r="BI546" i="5"/>
  <c r="BI601" i="5"/>
  <c r="BI605" i="5"/>
  <c r="BI620" i="5"/>
  <c r="BI573" i="5"/>
  <c r="BI522" i="5"/>
  <c r="BI629" i="5"/>
  <c r="BI664" i="5"/>
  <c r="BI659" i="5"/>
  <c r="BI644" i="5"/>
  <c r="BI634" i="5"/>
  <c r="BI633" i="5"/>
  <c r="BI837" i="5"/>
  <c r="BI746" i="5"/>
  <c r="BI745" i="5"/>
  <c r="BI821" i="5"/>
  <c r="BI817" i="5"/>
  <c r="BI773" i="5"/>
  <c r="BI835" i="5"/>
  <c r="BI780" i="5"/>
  <c r="BI711" i="5"/>
  <c r="BI783" i="5"/>
  <c r="BI840" i="5"/>
  <c r="BI725" i="5"/>
  <c r="BI777" i="5"/>
  <c r="BI328" i="5"/>
  <c r="BI340" i="5"/>
  <c r="BI360" i="5"/>
  <c r="BI356" i="5"/>
  <c r="BI395" i="5"/>
  <c r="BI393" i="5"/>
  <c r="BI417" i="5"/>
  <c r="BI402" i="5"/>
  <c r="BI425" i="5"/>
  <c r="BI437" i="5"/>
  <c r="BI460" i="5"/>
  <c r="BI476" i="5"/>
  <c r="BI492" i="5"/>
  <c r="BI506" i="5"/>
  <c r="BI483" i="5"/>
  <c r="BI523" i="5"/>
  <c r="BI576" i="5"/>
  <c r="BI566" i="5"/>
  <c r="BI527" i="5"/>
  <c r="BI622" i="5"/>
  <c r="BI567" i="5"/>
  <c r="BI619" i="5"/>
  <c r="BI599" i="5"/>
  <c r="BI547" i="5"/>
  <c r="BI657" i="5"/>
  <c r="BI666" i="5"/>
  <c r="BI693" i="5"/>
  <c r="BI645" i="5"/>
  <c r="BI643" i="5"/>
  <c r="BI637" i="5"/>
  <c r="BI738" i="5"/>
  <c r="BI743" i="5"/>
  <c r="BI709" i="5"/>
  <c r="BI808" i="5"/>
  <c r="BI768" i="5"/>
  <c r="BI827" i="5"/>
  <c r="BI836" i="5"/>
  <c r="BI828" i="5"/>
  <c r="BI710" i="5"/>
  <c r="BI782" i="5"/>
  <c r="BI841" i="5"/>
  <c r="BI732" i="5"/>
  <c r="BI797" i="5"/>
  <c r="BI324" i="5"/>
  <c r="BI347" i="5"/>
  <c r="BI361" i="5"/>
  <c r="BI353" i="5"/>
  <c r="BI396" i="5"/>
  <c r="BI400" i="5"/>
  <c r="BI428" i="5"/>
  <c r="BI418" i="5"/>
  <c r="BI446" i="5"/>
  <c r="BI452" i="5"/>
  <c r="BI463" i="5"/>
  <c r="BI443" i="5"/>
  <c r="BI512" i="5"/>
  <c r="BI514" i="5"/>
  <c r="BI482" i="5"/>
  <c r="BI562" i="5"/>
  <c r="BI580" i="5"/>
  <c r="BI530" i="5"/>
  <c r="BI538" i="5"/>
  <c r="BI589" i="5"/>
  <c r="BI590" i="5"/>
  <c r="BI625" i="5"/>
  <c r="BI600" i="5"/>
  <c r="BI555" i="5"/>
  <c r="BI658" i="5"/>
  <c r="BI631" i="5"/>
  <c r="BI686" i="5"/>
  <c r="BI638" i="5"/>
  <c r="BI646" i="5"/>
  <c r="BI652" i="5"/>
  <c r="BI754" i="5"/>
  <c r="BI748" i="5"/>
  <c r="BI820" i="5"/>
  <c r="BI834" i="5"/>
  <c r="BI758" i="5"/>
  <c r="BI787" i="5"/>
  <c r="BI851" i="5"/>
  <c r="BI854" i="5"/>
  <c r="BI761" i="5"/>
  <c r="BI823" i="5"/>
  <c r="BI846" i="5"/>
  <c r="BI733" i="5"/>
  <c r="BI791" i="5"/>
  <c r="BI336" i="5"/>
  <c r="BI338" i="5"/>
  <c r="BI371" i="5"/>
  <c r="BI363" i="5"/>
  <c r="BI391" i="5"/>
  <c r="BI389" i="5"/>
  <c r="BI423" i="5"/>
  <c r="BI406" i="5"/>
  <c r="BI468" i="5"/>
  <c r="BI444" i="5"/>
  <c r="BI475" i="5"/>
  <c r="BI485" i="5"/>
  <c r="BI500" i="5"/>
  <c r="BI504" i="5"/>
  <c r="BI477" i="5"/>
  <c r="BI558" i="5"/>
  <c r="BI544" i="5"/>
  <c r="BI533" i="5"/>
  <c r="BI579" i="5"/>
  <c r="BI626" i="5"/>
  <c r="BI591" i="5"/>
  <c r="BI584" i="5"/>
  <c r="BI609" i="5"/>
  <c r="BI613" i="5"/>
  <c r="BI647" i="5"/>
  <c r="BI682" i="5"/>
  <c r="BI683" i="5"/>
  <c r="BI678" i="5"/>
  <c r="BI649" i="5"/>
  <c r="BI642" i="5"/>
  <c r="BI755" i="5"/>
  <c r="BI769" i="5"/>
  <c r="BI809" i="5"/>
  <c r="BI839" i="5"/>
  <c r="BI752" i="5"/>
  <c r="BI830" i="5"/>
  <c r="BI856" i="5"/>
  <c r="BI857" i="5"/>
  <c r="BI726" i="5"/>
  <c r="BI824" i="5"/>
  <c r="BI844" i="5"/>
  <c r="BI718" i="5"/>
  <c r="BI795" i="5"/>
  <c r="BI345" i="5"/>
  <c r="BI335" i="5"/>
  <c r="BI370" i="5"/>
  <c r="BI354" i="5"/>
  <c r="BI392" i="5"/>
  <c r="BI390" i="5"/>
  <c r="BI430" i="5"/>
  <c r="BI420" i="5"/>
  <c r="BI471" i="5"/>
  <c r="BI445" i="5"/>
  <c r="BI461" i="5"/>
  <c r="BI489" i="5"/>
  <c r="BI501" i="5"/>
  <c r="BI487" i="5"/>
  <c r="BI557" i="5"/>
  <c r="BI529" i="5"/>
  <c r="BI582" i="5"/>
  <c r="BI602" i="5"/>
  <c r="BI612" i="5"/>
  <c r="BI592" i="5"/>
  <c r="BI525" i="5"/>
  <c r="BI618" i="5"/>
  <c r="BI556" i="5"/>
  <c r="BI660" i="5"/>
  <c r="BI680" i="5"/>
  <c r="BI684" i="5"/>
  <c r="BI679" i="5"/>
  <c r="BI650" i="5"/>
  <c r="BI656" i="5"/>
  <c r="BI740" i="5"/>
  <c r="BI765" i="5"/>
  <c r="BI788" i="5"/>
  <c r="BI829" i="5"/>
  <c r="BI822" i="5"/>
  <c r="BI849" i="5"/>
  <c r="BI774" i="5"/>
  <c r="BI737" i="5"/>
  <c r="BI721" i="5"/>
  <c r="BI784" i="5"/>
  <c r="BI847" i="5"/>
  <c r="BI707" i="5"/>
  <c r="BI845" i="5"/>
  <c r="BI332" i="5"/>
  <c r="BI344" i="5"/>
  <c r="BI350" i="5"/>
  <c r="BI378" i="5"/>
  <c r="BI372" i="5"/>
  <c r="BI399" i="5"/>
  <c r="BI411" i="5"/>
  <c r="BI403" i="5"/>
  <c r="BI424" i="5"/>
  <c r="BI453" i="5"/>
  <c r="BI467" i="5"/>
  <c r="BI458" i="5"/>
  <c r="BI478" i="5"/>
  <c r="BI509" i="5"/>
  <c r="BI515" i="5"/>
  <c r="BI616" i="5"/>
  <c r="BI606" i="5"/>
  <c r="BI534" i="5"/>
  <c r="BI528" i="5"/>
  <c r="BI587" i="5"/>
  <c r="BI520" i="5"/>
  <c r="BI594" i="5"/>
  <c r="BI571" i="5"/>
  <c r="BI623" i="5"/>
  <c r="BI551" i="5"/>
  <c r="BI674" i="5"/>
  <c r="BI668" i="5"/>
  <c r="BI696" i="5"/>
  <c r="BI639" i="5"/>
  <c r="BI632" i="5"/>
  <c r="BI691" i="5"/>
  <c r="BI801" i="5"/>
  <c r="BI703" i="5"/>
  <c r="BI852" i="5"/>
  <c r="BI763" i="5"/>
  <c r="BI811" i="5"/>
  <c r="BI741" i="5"/>
  <c r="BI715" i="5"/>
  <c r="BI770" i="5"/>
  <c r="BI720" i="5"/>
  <c r="BI789" i="5"/>
  <c r="BI706" i="5"/>
  <c r="BI793" i="5"/>
  <c r="BI702" i="5"/>
  <c r="BI330" i="5"/>
  <c r="BI341" i="5"/>
  <c r="BI352" i="5"/>
  <c r="BI375" i="5"/>
  <c r="BI380" i="5"/>
  <c r="BI398" i="5"/>
  <c r="BI412" i="5"/>
  <c r="BI404" i="5"/>
  <c r="BI433" i="5"/>
  <c r="BI449" i="5"/>
  <c r="BI469" i="5"/>
  <c r="BI442" i="5"/>
  <c r="BI479" i="5"/>
  <c r="BI484" i="5"/>
  <c r="BI481" i="5"/>
  <c r="BI624" i="5"/>
  <c r="BI614" i="5"/>
  <c r="BI568" i="5"/>
  <c r="BI583" i="5"/>
  <c r="BI540" i="5"/>
  <c r="BI550" i="5"/>
  <c r="BI595" i="5"/>
  <c r="BI552" i="5"/>
  <c r="BI518" i="5"/>
  <c r="BI628" i="5"/>
  <c r="BI670" i="5"/>
  <c r="BI671" i="5"/>
  <c r="BI697" i="5"/>
  <c r="BI641" i="5"/>
  <c r="BI687" i="5"/>
  <c r="BI692" i="5"/>
  <c r="BI802" i="5"/>
  <c r="BI744" i="5"/>
  <c r="BI853" i="5"/>
  <c r="BI730" i="5"/>
  <c r="BI807" i="5"/>
  <c r="BI796" i="5"/>
  <c r="BI775" i="5"/>
  <c r="BI771" i="5"/>
  <c r="BI713" i="5"/>
  <c r="BI786" i="5"/>
  <c r="BI731" i="5"/>
  <c r="BI794" i="5"/>
  <c r="BI792" i="5"/>
  <c r="BI327" i="5"/>
  <c r="BI348" i="5"/>
  <c r="BI373" i="5"/>
  <c r="BI365" i="5"/>
  <c r="BI379" i="5"/>
  <c r="BI388" i="5"/>
  <c r="BI432" i="5"/>
  <c r="BI419" i="5"/>
  <c r="BI407" i="5"/>
  <c r="BI455" i="5"/>
  <c r="BI436" i="5"/>
  <c r="BI462" i="5"/>
  <c r="BI496" i="5"/>
  <c r="BI494" i="5"/>
  <c r="BI495" i="5"/>
  <c r="BI603" i="5"/>
  <c r="BI559" i="5"/>
  <c r="BI535" i="5"/>
  <c r="BI610" i="5"/>
  <c r="BI531" i="5"/>
  <c r="BI604" i="5"/>
  <c r="BI597" i="5"/>
  <c r="BI521" i="5"/>
  <c r="BI542" i="5"/>
  <c r="BI630" i="5"/>
  <c r="BI675" i="5"/>
  <c r="BI700" i="5"/>
  <c r="BI662" i="5"/>
  <c r="BI689" i="5"/>
  <c r="BI688" i="5"/>
  <c r="BI739" i="5"/>
  <c r="BI757" i="5"/>
  <c r="BI735" i="5"/>
  <c r="BI719" i="5"/>
  <c r="BI818" i="5"/>
  <c r="BI756" i="5"/>
  <c r="BI813" i="5"/>
  <c r="BI776" i="5"/>
  <c r="BI760" i="5"/>
  <c r="BI762" i="5"/>
  <c r="BI815" i="5"/>
  <c r="BI705" i="5"/>
  <c r="BI779" i="5"/>
  <c r="BI832" i="5"/>
  <c r="BI358" i="5"/>
  <c r="BI472" i="5"/>
  <c r="BI488" i="5"/>
  <c r="BI607" i="5"/>
  <c r="BI608" i="5"/>
  <c r="BI541" i="5"/>
  <c r="BI598" i="5"/>
  <c r="BI685" i="5"/>
  <c r="BI654" i="5"/>
  <c r="BI814" i="5"/>
  <c r="BI750" i="5"/>
  <c r="BI772" i="5"/>
  <c r="BI734" i="5"/>
  <c r="BI374" i="5"/>
  <c r="BI410" i="5"/>
  <c r="BI448" i="5"/>
  <c r="BI491" i="5"/>
  <c r="BI615" i="5"/>
  <c r="BI585" i="5"/>
  <c r="BI593" i="5"/>
  <c r="BI519" i="5"/>
  <c r="BI636" i="5"/>
  <c r="BI816" i="5"/>
  <c r="BI759" i="5"/>
  <c r="BI712" i="5"/>
  <c r="BI799" i="5"/>
  <c r="BI329" i="5"/>
  <c r="BI364" i="5"/>
  <c r="BI413" i="5"/>
  <c r="BI454" i="5"/>
  <c r="BI511" i="5"/>
  <c r="BI549" i="5"/>
  <c r="BI574" i="5"/>
  <c r="BI596" i="5"/>
  <c r="BI627" i="5"/>
  <c r="BI661" i="5"/>
  <c r="BI694" i="5"/>
  <c r="BI855" i="5"/>
  <c r="BI806" i="5"/>
  <c r="BI728" i="5"/>
  <c r="BI778" i="5"/>
  <c r="BI326" i="5"/>
  <c r="BI376" i="5"/>
  <c r="BI416" i="5"/>
  <c r="BI474" i="5"/>
  <c r="BI490" i="5"/>
  <c r="BI561" i="5"/>
  <c r="BI537" i="5"/>
  <c r="BI539" i="5"/>
  <c r="BI648" i="5"/>
  <c r="BI677" i="5"/>
  <c r="BI810" i="5"/>
  <c r="BI747" i="5"/>
  <c r="BI831" i="5"/>
  <c r="BI781" i="5"/>
  <c r="BI800" i="5"/>
  <c r="BI339" i="5"/>
  <c r="BI368" i="5"/>
  <c r="BI409" i="5"/>
  <c r="BI450" i="5"/>
  <c r="BI493" i="5"/>
  <c r="BI563" i="5"/>
  <c r="BI575" i="5"/>
  <c r="BI565" i="5"/>
  <c r="BI698" i="5"/>
  <c r="BI640" i="5"/>
  <c r="BI790" i="5"/>
  <c r="BI838" i="5"/>
  <c r="BI724" i="5"/>
  <c r="BI825" i="5"/>
  <c r="BI842" i="5"/>
  <c r="BI349" i="5"/>
  <c r="BI367" i="5"/>
  <c r="BI431" i="5"/>
  <c r="BI439" i="5"/>
  <c r="BI508" i="5"/>
  <c r="BI524" i="5"/>
  <c r="BI536" i="5"/>
  <c r="BI570" i="5"/>
  <c r="BI669" i="5"/>
  <c r="BI672" i="5"/>
  <c r="BI803" i="5"/>
  <c r="BI727" i="5"/>
  <c r="BI716" i="5"/>
  <c r="BI785" i="5"/>
  <c r="BI843" i="5"/>
  <c r="BI333" i="5"/>
  <c r="BI383" i="5"/>
  <c r="BI415" i="5"/>
  <c r="BI451" i="5"/>
  <c r="BI497" i="5"/>
  <c r="BI621" i="5"/>
  <c r="BI586" i="5"/>
  <c r="BI572" i="5"/>
  <c r="BI667" i="5"/>
  <c r="BI673" i="5"/>
  <c r="BI804" i="5"/>
  <c r="BI764" i="5"/>
  <c r="BI722" i="5"/>
  <c r="BI826" i="5"/>
  <c r="BI798" i="5"/>
  <c r="BI359" i="5"/>
  <c r="BI384" i="5"/>
  <c r="BI405" i="5"/>
  <c r="BI464" i="5"/>
  <c r="BI505" i="5"/>
  <c r="BI569" i="5"/>
  <c r="BI545" i="5"/>
  <c r="BI517" i="5"/>
  <c r="BI676" i="5"/>
  <c r="BI690" i="5"/>
  <c r="BI767" i="5"/>
  <c r="BI819" i="5"/>
  <c r="BI736" i="5"/>
  <c r="BI704" i="5"/>
  <c r="BI357" i="5"/>
  <c r="BI397" i="5"/>
  <c r="BI427" i="5"/>
  <c r="BI473" i="5"/>
  <c r="BI486" i="5"/>
  <c r="BI578" i="5"/>
  <c r="BI554" i="5"/>
  <c r="BI553" i="5"/>
  <c r="BI665" i="5"/>
  <c r="BI699" i="5"/>
  <c r="BI751" i="5"/>
  <c r="BI714" i="5"/>
  <c r="BI708" i="5"/>
  <c r="BI729" i="5"/>
  <c r="BI346" i="5"/>
  <c r="BI502" i="5"/>
  <c r="BI653" i="5"/>
  <c r="BI723" i="5"/>
  <c r="BI342" i="5"/>
  <c r="BI510" i="5"/>
  <c r="BI663" i="5"/>
  <c r="BI753" i="5"/>
  <c r="BI351" i="5"/>
  <c r="BI503" i="5"/>
  <c r="BI681" i="5"/>
  <c r="BI717" i="5"/>
  <c r="BI381" i="5"/>
  <c r="BI577" i="5"/>
  <c r="BI695" i="5"/>
  <c r="BI833" i="5"/>
  <c r="BI394" i="5"/>
  <c r="BI564" i="5"/>
  <c r="BI635" i="5"/>
  <c r="BI850" i="5"/>
  <c r="BI386" i="5"/>
  <c r="BI581" i="5"/>
  <c r="BI655" i="5"/>
  <c r="BI848" i="5"/>
  <c r="BI429" i="5"/>
  <c r="BI588" i="5"/>
  <c r="BI805" i="5"/>
  <c r="BI858" i="5"/>
  <c r="BI422" i="5"/>
  <c r="BI543" i="5"/>
  <c r="BI701" i="5"/>
  <c r="BI470" i="5"/>
  <c r="BI532" i="5"/>
  <c r="BI812" i="5"/>
  <c r="BI441" i="5"/>
  <c r="BI617" i="5"/>
  <c r="BI749" i="5"/>
  <c r="BI434" i="5"/>
  <c r="BI457" i="5"/>
  <c r="BI516" i="5"/>
  <c r="BI611" i="5"/>
  <c r="BI742" i="5"/>
  <c r="BI766" i="5"/>
  <c r="CN190" i="1"/>
  <c r="BG223" i="5"/>
  <c r="BG196" i="5"/>
  <c r="BG193" i="5"/>
  <c r="BG233" i="5"/>
  <c r="BG227" i="5"/>
  <c r="BG248" i="5"/>
  <c r="BG247" i="5"/>
  <c r="BG274" i="5"/>
  <c r="BG276" i="5"/>
  <c r="BG297" i="5"/>
  <c r="BG312" i="5"/>
  <c r="BG303" i="5"/>
  <c r="BG323" i="5"/>
  <c r="BG348" i="5"/>
  <c r="BG188" i="5"/>
  <c r="BG229" i="5"/>
  <c r="BG207" i="5"/>
  <c r="BG184" i="5"/>
  <c r="BG225" i="5"/>
  <c r="BG259" i="5"/>
  <c r="BG245" i="5"/>
  <c r="BG280" i="5"/>
  <c r="BG299" i="5"/>
  <c r="BG310" i="5"/>
  <c r="BG300" i="5"/>
  <c r="BG328" i="5"/>
  <c r="BG346" i="5"/>
  <c r="BG192" i="5"/>
  <c r="BG185" i="5"/>
  <c r="BG212" i="5"/>
  <c r="BG241" i="5"/>
  <c r="BG246" i="5"/>
  <c r="BG273" i="5"/>
  <c r="BG269" i="5"/>
  <c r="BG304" i="5"/>
  <c r="BG287" i="5"/>
  <c r="BG330" i="5"/>
  <c r="BG359" i="5"/>
  <c r="BG375" i="5"/>
  <c r="BG372" i="5"/>
  <c r="BG430" i="5"/>
  <c r="BG438" i="5"/>
  <c r="BG473" i="5"/>
  <c r="BG496" i="5"/>
  <c r="BG497" i="5"/>
  <c r="BG481" i="5"/>
  <c r="BG583" i="5"/>
  <c r="BG540" i="5"/>
  <c r="BG595" i="5"/>
  <c r="BG552" i="5"/>
  <c r="BG670" i="5"/>
  <c r="BG641" i="5"/>
  <c r="BG692" i="5"/>
  <c r="BG853" i="5"/>
  <c r="BG730" i="5"/>
  <c r="BG796" i="5"/>
  <c r="BG775" i="5"/>
  <c r="BG771" i="5"/>
  <c r="BG786" i="5"/>
  <c r="BG934" i="5"/>
  <c r="BG1008" i="5"/>
  <c r="BG882" i="5"/>
  <c r="BG1015" i="5"/>
  <c r="BG1019" i="5"/>
  <c r="BG969" i="5"/>
  <c r="BG982" i="5"/>
  <c r="BG906" i="5"/>
  <c r="BG1082" i="5"/>
  <c r="BG1094" i="5"/>
  <c r="BG203" i="5"/>
  <c r="BG213" i="5"/>
  <c r="BG220" i="5"/>
  <c r="BG244" i="5"/>
  <c r="BG256" i="5"/>
  <c r="BG267" i="5"/>
  <c r="BG291" i="5"/>
  <c r="BG283" i="5"/>
  <c r="BG286" i="5"/>
  <c r="BG329" i="5"/>
  <c r="BG333" i="5"/>
  <c r="BG355" i="5"/>
  <c r="BG366" i="5"/>
  <c r="BG362" i="5"/>
  <c r="BG421" i="5"/>
  <c r="BG498" i="5"/>
  <c r="BG505" i="5"/>
  <c r="BG586" i="5"/>
  <c r="BG545" i="5"/>
  <c r="BG596" i="5"/>
  <c r="BG517" i="5"/>
  <c r="BG627" i="5"/>
  <c r="BG676" i="5"/>
  <c r="BG673" i="5"/>
  <c r="BG690" i="5"/>
  <c r="BG694" i="5"/>
  <c r="BG767" i="5"/>
  <c r="BG728" i="5"/>
  <c r="BG826" i="5"/>
  <c r="BG778" i="5"/>
  <c r="BG964" i="5"/>
  <c r="BG879" i="5"/>
  <c r="BG1017" i="5"/>
  <c r="BG1034" i="5"/>
  <c r="BG215" i="5"/>
  <c r="BG211" i="5"/>
  <c r="BG231" i="5"/>
  <c r="BG254" i="5"/>
  <c r="BG243" i="5"/>
  <c r="BG275" i="5"/>
  <c r="BG292" i="5"/>
  <c r="BG284" i="5"/>
  <c r="BG290" i="5"/>
  <c r="BG327" i="5"/>
  <c r="BG334" i="5"/>
  <c r="BG373" i="5"/>
  <c r="BG364" i="5"/>
  <c r="BG399" i="5"/>
  <c r="BG420" i="5"/>
  <c r="BG452" i="5"/>
  <c r="BG460" i="5"/>
  <c r="BG466" i="5"/>
  <c r="BG495" i="5"/>
  <c r="BG603" i="5"/>
  <c r="BG535" i="5"/>
  <c r="BG604" i="5"/>
  <c r="BG597" i="5"/>
  <c r="BG542" i="5"/>
  <c r="BG630" i="5"/>
  <c r="BG675" i="5"/>
  <c r="BG689" i="5"/>
  <c r="BG757" i="5"/>
  <c r="BG735" i="5"/>
  <c r="BG813" i="5"/>
  <c r="BG776" i="5"/>
  <c r="BG779" i="5"/>
  <c r="BG935" i="5"/>
  <c r="BG960" i="5"/>
  <c r="BG892" i="5"/>
  <c r="BG910" i="5"/>
  <c r="BG907" i="5"/>
  <c r="BG997" i="5"/>
  <c r="BG1048" i="5"/>
  <c r="BG1069" i="5"/>
  <c r="BG198" i="5"/>
  <c r="BG187" i="5"/>
  <c r="BG222" i="5"/>
  <c r="BG208" i="5"/>
  <c r="BG257" i="5"/>
  <c r="BG261" i="5"/>
  <c r="BG278" i="5"/>
  <c r="BG293" i="5"/>
  <c r="BG317" i="5"/>
  <c r="BG285" i="5"/>
  <c r="BG326" i="5"/>
  <c r="BG337" i="5"/>
  <c r="BG357" i="5"/>
  <c r="BG365" i="5"/>
  <c r="BG383" i="5"/>
  <c r="BG398" i="5"/>
  <c r="BG434" i="5"/>
  <c r="BG471" i="5"/>
  <c r="BG463" i="5"/>
  <c r="BG476" i="5"/>
  <c r="BG499" i="5"/>
  <c r="BG502" i="5"/>
  <c r="BG486" i="5"/>
  <c r="BG561" i="5"/>
  <c r="BG577" i="5"/>
  <c r="BG578" i="5"/>
  <c r="BG537" i="5"/>
  <c r="BG588" i="5"/>
  <c r="BG554" i="5"/>
  <c r="BG539" i="5"/>
  <c r="BG532" i="5"/>
  <c r="BG553" i="5"/>
  <c r="BG648" i="5"/>
  <c r="BG653" i="5"/>
  <c r="BG665" i="5"/>
  <c r="BG677" i="5"/>
  <c r="BG699" i="5"/>
  <c r="BG810" i="5"/>
  <c r="BG831" i="5"/>
  <c r="BG723" i="5"/>
  <c r="BG708" i="5"/>
  <c r="BG800" i="5"/>
  <c r="BG877" i="5"/>
  <c r="BG954" i="5"/>
  <c r="BG1013" i="5"/>
  <c r="BG965" i="5"/>
  <c r="BG972" i="5"/>
  <c r="BG887" i="5"/>
  <c r="BG998" i="5"/>
  <c r="BG1049" i="5"/>
  <c r="BG1086" i="5"/>
  <c r="BG1096" i="5"/>
  <c r="BG224" i="5"/>
  <c r="BG194" i="5"/>
  <c r="BG205" i="5"/>
  <c r="BG209" i="5"/>
  <c r="BG239" i="5"/>
  <c r="BG251" i="5"/>
  <c r="BG268" i="5"/>
  <c r="BG294" i="5"/>
  <c r="BG301" i="5"/>
  <c r="BG288" i="5"/>
  <c r="BG325" i="5"/>
  <c r="BG340" i="5"/>
  <c r="BG379" i="5"/>
  <c r="BG384" i="5"/>
  <c r="BG403" i="5"/>
  <c r="BG422" i="5"/>
  <c r="BG472" i="5"/>
  <c r="BG443" i="5"/>
  <c r="BG507" i="5"/>
  <c r="BG513" i="5"/>
  <c r="BG526" i="5"/>
  <c r="BG601" i="5"/>
  <c r="BG605" i="5"/>
  <c r="BG620" i="5"/>
  <c r="BG522" i="5"/>
  <c r="BG821" i="5"/>
  <c r="BG773" i="5"/>
  <c r="BG783" i="5"/>
  <c r="BG840" i="5"/>
  <c r="BG874" i="5"/>
  <c r="BG949" i="5"/>
  <c r="BG961" i="5"/>
  <c r="BG973" i="5"/>
  <c r="BG970" i="5"/>
  <c r="BG1037" i="5"/>
  <c r="BG1070" i="5"/>
  <c r="BG1249" i="5"/>
  <c r="BG1364" i="5"/>
  <c r="BG189" i="5"/>
  <c r="BG195" i="5"/>
  <c r="BG216" i="5"/>
  <c r="BG228" i="5"/>
  <c r="BG249" i="5"/>
  <c r="BG265" i="5"/>
  <c r="BG270" i="5"/>
  <c r="BG295" i="5"/>
  <c r="BG314" i="5"/>
  <c r="BG305" i="5"/>
  <c r="BG324" i="5"/>
  <c r="BG347" i="5"/>
  <c r="BG360" i="5"/>
  <c r="BG377" i="5"/>
  <c r="BG388" i="5"/>
  <c r="BG404" i="5"/>
  <c r="BG450" i="5"/>
  <c r="BG461" i="5"/>
  <c r="BG512" i="5"/>
  <c r="BG506" i="5"/>
  <c r="BG483" i="5"/>
  <c r="BG576" i="5"/>
  <c r="BG622" i="5"/>
  <c r="BG567" i="5"/>
  <c r="BG599" i="5"/>
  <c r="BG547" i="5"/>
  <c r="BG643" i="5"/>
  <c r="BG637" i="5"/>
  <c r="BG768" i="5"/>
  <c r="BG827" i="5"/>
  <c r="BG841" i="5"/>
  <c r="BG1006" i="5"/>
  <c r="BG955" i="5"/>
  <c r="BG880" i="5"/>
  <c r="BG1030" i="5"/>
  <c r="BG894" i="5"/>
  <c r="BG1018" i="5"/>
  <c r="BG866" i="5"/>
  <c r="BG1021" i="5"/>
  <c r="BG1038" i="5"/>
  <c r="BG1074" i="5"/>
  <c r="BG1088" i="5"/>
  <c r="BG190" i="5"/>
  <c r="BG197" i="5"/>
  <c r="BG206" i="5"/>
  <c r="BG234" i="5"/>
  <c r="BG240" i="5"/>
  <c r="BG253" i="5"/>
  <c r="BG281" i="5"/>
  <c r="BG308" i="5"/>
  <c r="BG315" i="5"/>
  <c r="BG320" i="5"/>
  <c r="BG336" i="5"/>
  <c r="BG338" i="5"/>
  <c r="BG361" i="5"/>
  <c r="BG356" i="5"/>
  <c r="BG387" i="5"/>
  <c r="BG397" i="5"/>
  <c r="BG432" i="5"/>
  <c r="BG433" i="5"/>
  <c r="BG453" i="5"/>
  <c r="BG489" i="5"/>
  <c r="BG500" i="5"/>
  <c r="BG514" i="5"/>
  <c r="BG482" i="5"/>
  <c r="BG562" i="5"/>
  <c r="BG580" i="5"/>
  <c r="BG530" i="5"/>
  <c r="BG538" i="5"/>
  <c r="BG589" i="5"/>
  <c r="BG590" i="5"/>
  <c r="BG600" i="5"/>
  <c r="BG555" i="5"/>
  <c r="BG631" i="5"/>
  <c r="BG686" i="5"/>
  <c r="BG646" i="5"/>
  <c r="BG652" i="5"/>
  <c r="BG754" i="5"/>
  <c r="BG820" i="5"/>
  <c r="BG834" i="5"/>
  <c r="BG787" i="5"/>
  <c r="BG854" i="5"/>
  <c r="BG823" i="5"/>
  <c r="BG846" i="5"/>
  <c r="BG1007" i="5"/>
  <c r="BG950" i="5"/>
  <c r="BG1025" i="5"/>
  <c r="BG883" i="5"/>
  <c r="BG958" i="5"/>
  <c r="BG891" i="5"/>
  <c r="BG893" i="5"/>
  <c r="BG978" i="5"/>
  <c r="BG1024" i="5"/>
  <c r="BG1051" i="5"/>
  <c r="BG1075" i="5"/>
  <c r="BG1089" i="5"/>
  <c r="BG177" i="5"/>
  <c r="BG202" i="5"/>
  <c r="BG201" i="5"/>
  <c r="BG219" i="5"/>
  <c r="BG230" i="5"/>
  <c r="BG250" i="5"/>
  <c r="BG264" i="5"/>
  <c r="BG271" i="5"/>
  <c r="BG319" i="5"/>
  <c r="BG313" i="5"/>
  <c r="BG309" i="5"/>
  <c r="BG343" i="5"/>
  <c r="BG342" i="5"/>
  <c r="BG363" i="5"/>
  <c r="BG393" i="5"/>
  <c r="BG429" i="5"/>
  <c r="BG407" i="5"/>
  <c r="BG454" i="5"/>
  <c r="BG491" i="5"/>
  <c r="BG529" i="5"/>
  <c r="BG582" i="5"/>
  <c r="BG602" i="5"/>
  <c r="BG592" i="5"/>
  <c r="BG618" i="5"/>
  <c r="BG556" i="5"/>
  <c r="BG660" i="5"/>
  <c r="BG680" i="5"/>
  <c r="BG679" i="5"/>
  <c r="BG656" i="5"/>
  <c r="BG765" i="5"/>
  <c r="BG829" i="5"/>
  <c r="BG822" i="5"/>
  <c r="BG849" i="5"/>
  <c r="BG774" i="5"/>
  <c r="BG737" i="5"/>
  <c r="BG721" i="5"/>
  <c r="BG784" i="5"/>
  <c r="BG845" i="5"/>
  <c r="BG933" i="5"/>
  <c r="BG1011" i="5"/>
  <c r="BG951" i="5"/>
  <c r="BG956" i="5"/>
  <c r="BG1028" i="5"/>
  <c r="BG962" i="5"/>
  <c r="BG975" i="5"/>
  <c r="BG959" i="5"/>
  <c r="BG966" i="5"/>
  <c r="BG971" i="5"/>
  <c r="BG865" i="5"/>
  <c r="BG995" i="5"/>
  <c r="BG868" i="5"/>
  <c r="BG1087" i="5"/>
  <c r="BG210" i="5"/>
  <c r="BG199" i="5"/>
  <c r="BG204" i="5"/>
  <c r="BG232" i="5"/>
  <c r="BG252" i="5"/>
  <c r="BG282" i="5"/>
  <c r="BG296" i="5"/>
  <c r="BG311" i="5"/>
  <c r="BG307" i="5"/>
  <c r="BG339" i="5"/>
  <c r="BG351" i="5"/>
  <c r="BG358" i="5"/>
  <c r="BG354" i="5"/>
  <c r="BG400" i="5"/>
  <c r="BG417" i="5"/>
  <c r="BG435" i="5"/>
  <c r="BG455" i="5"/>
  <c r="BG451" i="5"/>
  <c r="BG478" i="5"/>
  <c r="BG563" i="5"/>
  <c r="BG541" i="5"/>
  <c r="BG598" i="5"/>
  <c r="BG663" i="5"/>
  <c r="BG640" i="5"/>
  <c r="BG635" i="5"/>
  <c r="BG750" i="5"/>
  <c r="BG724" i="5"/>
  <c r="BG772" i="5"/>
  <c r="BG825" i="5"/>
  <c r="BG850" i="5"/>
  <c r="BG842" i="5"/>
  <c r="BG859" i="5"/>
  <c r="BG937" i="5"/>
  <c r="BG957" i="5"/>
  <c r="BG1027" i="5"/>
  <c r="BG963" i="5"/>
  <c r="BG881" i="5"/>
  <c r="BG967" i="5"/>
  <c r="BG889" i="5"/>
  <c r="BG909" i="5"/>
  <c r="BG905" i="5"/>
  <c r="BG994" i="5"/>
  <c r="BG1090" i="5"/>
  <c r="BG1300" i="5"/>
  <c r="BG214" i="5"/>
  <c r="BG221" i="5"/>
  <c r="BG237" i="5"/>
  <c r="BG217" i="5"/>
  <c r="BG255" i="5"/>
  <c r="BG262" i="5"/>
  <c r="BG277" i="5"/>
  <c r="BG298" i="5"/>
  <c r="BG322" i="5"/>
  <c r="BG349" i="5"/>
  <c r="BG350" i="5"/>
  <c r="BG374" i="5"/>
  <c r="BG389" i="5"/>
  <c r="BG426" i="5"/>
  <c r="BG474" i="5"/>
  <c r="BG479" i="5"/>
  <c r="BG581" i="5"/>
  <c r="BG585" i="5"/>
  <c r="BG536" i="5"/>
  <c r="BG593" i="5"/>
  <c r="BG519" i="5"/>
  <c r="BG669" i="5"/>
  <c r="BG672" i="5"/>
  <c r="BG655" i="5"/>
  <c r="BG766" i="5"/>
  <c r="BG759" i="5"/>
  <c r="BG716" i="5"/>
  <c r="BG717" i="5"/>
  <c r="BG785" i="5"/>
  <c r="BG848" i="5"/>
  <c r="BG799" i="5"/>
  <c r="BG843" i="5"/>
  <c r="BG952" i="5"/>
  <c r="BG890" i="5"/>
  <c r="BG977" i="5"/>
  <c r="BG884" i="5"/>
  <c r="BG968" i="5"/>
  <c r="BG987" i="5"/>
  <c r="BG903" i="5"/>
  <c r="BG996" i="5"/>
  <c r="BG200" i="5"/>
  <c r="BG477" i="5"/>
  <c r="BG591" i="5"/>
  <c r="BG726" i="5"/>
  <c r="BG974" i="5"/>
  <c r="BG993" i="5"/>
  <c r="BG236" i="5"/>
  <c r="BG306" i="5"/>
  <c r="BG367" i="5"/>
  <c r="BG594" i="5"/>
  <c r="BG852" i="5"/>
  <c r="BG976" i="5"/>
  <c r="BG235" i="5"/>
  <c r="BG321" i="5"/>
  <c r="BG584" i="5"/>
  <c r="BG678" i="5"/>
  <c r="BG839" i="5"/>
  <c r="BG824" i="5"/>
  <c r="BG186" i="5"/>
  <c r="BG316" i="5"/>
  <c r="BG394" i="5"/>
  <c r="BG639" i="5"/>
  <c r="BG919" i="5"/>
  <c r="BG873" i="5"/>
  <c r="BG1032" i="5"/>
  <c r="BG242" i="5"/>
  <c r="BG345" i="5"/>
  <c r="BG416" i="5"/>
  <c r="BG533" i="5"/>
  <c r="BG613" i="5"/>
  <c r="BG642" i="5"/>
  <c r="BG830" i="5"/>
  <c r="BG718" i="5"/>
  <c r="BG266" i="5"/>
  <c r="BG344" i="5"/>
  <c r="BG511" i="5"/>
  <c r="BG691" i="5"/>
  <c r="BG1016" i="5"/>
  <c r="BG258" i="5"/>
  <c r="BG335" i="5"/>
  <c r="BG419" i="5"/>
  <c r="BG501" i="5"/>
  <c r="BG755" i="5"/>
  <c r="BG856" i="5"/>
  <c r="BG1023" i="5"/>
  <c r="BG1063" i="5"/>
  <c r="BG263" i="5"/>
  <c r="BG352" i="5"/>
  <c r="BG418" i="5"/>
  <c r="BG587" i="5"/>
  <c r="BG674" i="5"/>
  <c r="BG702" i="5"/>
  <c r="BG904" i="5"/>
  <c r="BG191" i="5"/>
  <c r="BG272" i="5"/>
  <c r="BG371" i="5"/>
  <c r="BG504" i="5"/>
  <c r="BG626" i="5"/>
  <c r="BG682" i="5"/>
  <c r="BG769" i="5"/>
  <c r="BG932" i="5"/>
  <c r="BG861" i="5"/>
  <c r="BG1079" i="5"/>
  <c r="BG226" i="5"/>
  <c r="BG279" i="5"/>
  <c r="BG770" i="5"/>
  <c r="BG1014" i="5"/>
  <c r="BG867" i="5"/>
  <c r="BG1076" i="5"/>
  <c r="BG623" i="5"/>
  <c r="BG218" i="5"/>
  <c r="BG649" i="5"/>
  <c r="BG238" i="5"/>
  <c r="BG302" i="5"/>
  <c r="BG382" i="5"/>
  <c r="BG390" i="5"/>
  <c r="BG462" i="5"/>
  <c r="BG953" i="5"/>
  <c r="BG534" i="5"/>
  <c r="BG948" i="5"/>
  <c r="BG609" i="5"/>
  <c r="BG1268" i="5"/>
  <c r="BG1388" i="5"/>
  <c r="BG1272" i="5"/>
  <c r="CN301" i="1"/>
  <c r="BG289" i="5"/>
  <c r="BG341" i="5"/>
  <c r="BG386" i="5"/>
  <c r="BG406" i="5"/>
  <c r="BG446" i="5"/>
  <c r="BG437" i="5"/>
  <c r="BG624" i="5"/>
  <c r="BG614" i="5"/>
  <c r="BG568" i="5"/>
  <c r="BG550" i="5"/>
  <c r="BG518" i="5"/>
  <c r="BG628" i="5"/>
  <c r="BG671" i="5"/>
  <c r="BG697" i="5"/>
  <c r="BG687" i="5"/>
  <c r="BG807" i="5"/>
  <c r="BG713" i="5"/>
  <c r="BG731" i="5"/>
  <c r="BG794" i="5"/>
  <c r="BG922" i="5"/>
  <c r="BG926" i="5"/>
  <c r="BG1002" i="5"/>
  <c r="BG947" i="5"/>
  <c r="BG899" i="5"/>
  <c r="BG990" i="5"/>
  <c r="BG1033" i="5"/>
  <c r="BG1046" i="5"/>
  <c r="BG1055" i="5"/>
  <c r="BG1073" i="5"/>
  <c r="BG1116" i="5"/>
  <c r="BG1129" i="5"/>
  <c r="BG1141" i="5"/>
  <c r="BG1160" i="5"/>
  <c r="BG1223" i="5"/>
  <c r="BG1244" i="5"/>
  <c r="BG1392" i="5"/>
  <c r="BG385" i="5"/>
  <c r="BG401" i="5"/>
  <c r="BG408" i="5"/>
  <c r="BG447" i="5"/>
  <c r="BG456" i="5"/>
  <c r="BG459" i="5"/>
  <c r="BG465" i="5"/>
  <c r="BG480" i="5"/>
  <c r="BG549" i="5"/>
  <c r="BG621" i="5"/>
  <c r="BG569" i="5"/>
  <c r="BG574" i="5"/>
  <c r="BG572" i="5"/>
  <c r="BG667" i="5"/>
  <c r="BG661" i="5"/>
  <c r="BG804" i="5"/>
  <c r="BG855" i="5"/>
  <c r="BG764" i="5"/>
  <c r="BG819" i="5"/>
  <c r="BG806" i="5"/>
  <c r="BG722" i="5"/>
  <c r="BG736" i="5"/>
  <c r="BG798" i="5"/>
  <c r="BG870" i="5"/>
  <c r="BG1001" i="5"/>
  <c r="BG872" i="5"/>
  <c r="BG927" i="5"/>
  <c r="BG979" i="5"/>
  <c r="BG896" i="5"/>
  <c r="BG1029" i="5"/>
  <c r="BG945" i="5"/>
  <c r="BG885" i="5"/>
  <c r="BG902" i="5"/>
  <c r="BG1060" i="5"/>
  <c r="BG1072" i="5"/>
  <c r="BG1080" i="5"/>
  <c r="BG1095" i="5"/>
  <c r="BG1106" i="5"/>
  <c r="BG1119" i="5"/>
  <c r="BG1145" i="5"/>
  <c r="BG1161" i="5"/>
  <c r="BG1201" i="5"/>
  <c r="BG1214" i="5"/>
  <c r="BG1221" i="5"/>
  <c r="BG1265" i="5"/>
  <c r="BG1280" i="5"/>
  <c r="BG1342" i="5"/>
  <c r="BG410" i="5"/>
  <c r="BG409" i="5"/>
  <c r="BG468" i="5"/>
  <c r="BG490" i="5"/>
  <c r="BG494" i="5"/>
  <c r="BG610" i="5"/>
  <c r="BG531" i="5"/>
  <c r="BG521" i="5"/>
  <c r="BG662" i="5"/>
  <c r="BG688" i="5"/>
  <c r="BG739" i="5"/>
  <c r="BG719" i="5"/>
  <c r="BG818" i="5"/>
  <c r="BG756" i="5"/>
  <c r="BG760" i="5"/>
  <c r="BG762" i="5"/>
  <c r="BG705" i="5"/>
  <c r="BG832" i="5"/>
  <c r="BG915" i="5"/>
  <c r="BG942" i="5"/>
  <c r="BG1003" i="5"/>
  <c r="BG878" i="5"/>
  <c r="BG981" i="5"/>
  <c r="BG985" i="5"/>
  <c r="BG1035" i="5"/>
  <c r="BG1059" i="5"/>
  <c r="BG1084" i="5"/>
  <c r="BG1093" i="5"/>
  <c r="BG1107" i="5"/>
  <c r="BG1171" i="5"/>
  <c r="BG1165" i="5"/>
  <c r="BG1190" i="5"/>
  <c r="BG1211" i="5"/>
  <c r="BG1338" i="5"/>
  <c r="BG1365" i="5"/>
  <c r="BG1385" i="5"/>
  <c r="BG411" i="5"/>
  <c r="BG431" i="5"/>
  <c r="BG444" i="5"/>
  <c r="BG695" i="5"/>
  <c r="BG805" i="5"/>
  <c r="BG751" i="5"/>
  <c r="BG747" i="5"/>
  <c r="BG812" i="5"/>
  <c r="BG714" i="5"/>
  <c r="BG781" i="5"/>
  <c r="BG833" i="5"/>
  <c r="BG858" i="5"/>
  <c r="BG897" i="5"/>
  <c r="BG916" i="5"/>
  <c r="BG1012" i="5"/>
  <c r="BG943" i="5"/>
  <c r="BG986" i="5"/>
  <c r="BG1009" i="5"/>
  <c r="BG886" i="5"/>
  <c r="BG1036" i="5"/>
  <c r="BG1057" i="5"/>
  <c r="BG1108" i="5"/>
  <c r="BG1120" i="5"/>
  <c r="BG1200" i="5"/>
  <c r="BG1220" i="5"/>
  <c r="BG369" i="5"/>
  <c r="BG376" i="5"/>
  <c r="BG412" i="5"/>
  <c r="BG445" i="5"/>
  <c r="BG475" i="5"/>
  <c r="BG492" i="5"/>
  <c r="BG548" i="5"/>
  <c r="BG560" i="5"/>
  <c r="BG546" i="5"/>
  <c r="BG573" i="5"/>
  <c r="BG664" i="5"/>
  <c r="BG659" i="5"/>
  <c r="BG634" i="5"/>
  <c r="BG633" i="5"/>
  <c r="BG837" i="5"/>
  <c r="BG746" i="5"/>
  <c r="BG745" i="5"/>
  <c r="BG817" i="5"/>
  <c r="BG835" i="5"/>
  <c r="BG780" i="5"/>
  <c r="BG711" i="5"/>
  <c r="BG725" i="5"/>
  <c r="BG777" i="5"/>
  <c r="BG914" i="5"/>
  <c r="BG1004" i="5"/>
  <c r="BG875" i="5"/>
  <c r="BG876" i="5"/>
  <c r="BG1010" i="5"/>
  <c r="BG862" i="5"/>
  <c r="BG900" i="5"/>
  <c r="BG983" i="5"/>
  <c r="BG1047" i="5"/>
  <c r="BG1061" i="5"/>
  <c r="BG1085" i="5"/>
  <c r="BG1097" i="5"/>
  <c r="BG1110" i="5"/>
  <c r="BG1131" i="5"/>
  <c r="BG1142" i="5"/>
  <c r="BG1187" i="5"/>
  <c r="BG1255" i="5"/>
  <c r="BG1352" i="5"/>
  <c r="BG1346" i="5"/>
  <c r="BG1351" i="5"/>
  <c r="BG1376" i="5"/>
  <c r="BG413" i="5"/>
  <c r="BG424" i="5"/>
  <c r="BG448" i="5"/>
  <c r="BG485" i="5"/>
  <c r="BG523" i="5"/>
  <c r="BG566" i="5"/>
  <c r="BG527" i="5"/>
  <c r="BG619" i="5"/>
  <c r="BG657" i="5"/>
  <c r="BG666" i="5"/>
  <c r="BG693" i="5"/>
  <c r="BG645" i="5"/>
  <c r="BG738" i="5"/>
  <c r="BG709" i="5"/>
  <c r="BG808" i="5"/>
  <c r="BG836" i="5"/>
  <c r="BG828" i="5"/>
  <c r="BG710" i="5"/>
  <c r="BG782" i="5"/>
  <c r="BG732" i="5"/>
  <c r="BG797" i="5"/>
  <c r="BG1026" i="5"/>
  <c r="BG923" i="5"/>
  <c r="BG944" i="5"/>
  <c r="BG938" i="5"/>
  <c r="BG988" i="5"/>
  <c r="BG1052" i="5"/>
  <c r="BG1099" i="5"/>
  <c r="BG1111" i="5"/>
  <c r="BG1134" i="5"/>
  <c r="BG1204" i="5"/>
  <c r="BG1215" i="5"/>
  <c r="BG1237" i="5"/>
  <c r="BG1303" i="5"/>
  <c r="BG1329" i="5"/>
  <c r="BG1335" i="5"/>
  <c r="BG1337" i="5"/>
  <c r="BG415" i="5"/>
  <c r="BG439" i="5"/>
  <c r="BG441" i="5"/>
  <c r="BG625" i="5"/>
  <c r="BG658" i="5"/>
  <c r="BG638" i="5"/>
  <c r="BG748" i="5"/>
  <c r="BG758" i="5"/>
  <c r="BG851" i="5"/>
  <c r="BG761" i="5"/>
  <c r="BG733" i="5"/>
  <c r="BG791" i="5"/>
  <c r="BG912" i="5"/>
  <c r="BG871" i="5"/>
  <c r="BG928" i="5"/>
  <c r="BG1005" i="5"/>
  <c r="BG984" i="5"/>
  <c r="BG863" i="5"/>
  <c r="BG1064" i="5"/>
  <c r="BG1101" i="5"/>
  <c r="BG1109" i="5"/>
  <c r="BG1170" i="5"/>
  <c r="BG1206" i="5"/>
  <c r="BG1228" i="5"/>
  <c r="BG1270" i="5"/>
  <c r="BG1275" i="5"/>
  <c r="BG370" i="5"/>
  <c r="BG396" i="5"/>
  <c r="BG414" i="5"/>
  <c r="BG469" i="5"/>
  <c r="BG458" i="5"/>
  <c r="BG493" i="5"/>
  <c r="BG487" i="5"/>
  <c r="BG557" i="5"/>
  <c r="BG612" i="5"/>
  <c r="BG525" i="5"/>
  <c r="BG684" i="5"/>
  <c r="BG650" i="5"/>
  <c r="BG740" i="5"/>
  <c r="BG847" i="5"/>
  <c r="BG707" i="5"/>
  <c r="BG860" i="5"/>
  <c r="BG1041" i="5"/>
  <c r="BG1050" i="5"/>
  <c r="BG1066" i="5"/>
  <c r="BG1078" i="5"/>
  <c r="BG1100" i="5"/>
  <c r="BG1125" i="5"/>
  <c r="BG1155" i="5"/>
  <c r="BG1196" i="5"/>
  <c r="BG1297" i="5"/>
  <c r="BG1327" i="5"/>
  <c r="BG1387" i="5"/>
  <c r="BG1399" i="5"/>
  <c r="BG260" i="5"/>
  <c r="BG391" i="5"/>
  <c r="BG427" i="5"/>
  <c r="BG442" i="5"/>
  <c r="BG508" i="5"/>
  <c r="BG510" i="5"/>
  <c r="BG607" i="5"/>
  <c r="BG564" i="5"/>
  <c r="BG575" i="5"/>
  <c r="BG516" i="5"/>
  <c r="BG565" i="5"/>
  <c r="BG617" i="5"/>
  <c r="BG698" i="5"/>
  <c r="BG685" i="5"/>
  <c r="BG654" i="5"/>
  <c r="BG742" i="5"/>
  <c r="BG753" i="5"/>
  <c r="BG734" i="5"/>
  <c r="BG941" i="5"/>
  <c r="BG925" i="5"/>
  <c r="BG895" i="5"/>
  <c r="BG1031" i="5"/>
  <c r="BG1042" i="5"/>
  <c r="BG1102" i="5"/>
  <c r="BG1137" i="5"/>
  <c r="BG1144" i="5"/>
  <c r="BG1195" i="5"/>
  <c r="BG1232" i="5"/>
  <c r="BG1243" i="5"/>
  <c r="BG1276" i="5"/>
  <c r="BG1287" i="5"/>
  <c r="BG1331" i="5"/>
  <c r="BG1334" i="5"/>
  <c r="BG1400" i="5"/>
  <c r="BG331" i="5"/>
  <c r="BG368" i="5"/>
  <c r="BG392" i="5"/>
  <c r="BG428" i="5"/>
  <c r="BG402" i="5"/>
  <c r="BG436" i="5"/>
  <c r="BG464" i="5"/>
  <c r="BG509" i="5"/>
  <c r="BG503" i="5"/>
  <c r="BG615" i="5"/>
  <c r="BG524" i="5"/>
  <c r="BG543" i="5"/>
  <c r="BG570" i="5"/>
  <c r="BG681" i="5"/>
  <c r="BG651" i="5"/>
  <c r="BG636" i="5"/>
  <c r="BG803" i="5"/>
  <c r="BG712" i="5"/>
  <c r="BG869" i="5"/>
  <c r="BG917" i="5"/>
  <c r="BG921" i="5"/>
  <c r="BG930" i="5"/>
  <c r="BG936" i="5"/>
  <c r="BG901" i="5"/>
  <c r="BG1045" i="5"/>
  <c r="BG1058" i="5"/>
  <c r="BG1068" i="5"/>
  <c r="BG1103" i="5"/>
  <c r="BG1117" i="5"/>
  <c r="BG1127" i="5"/>
  <c r="BG1198" i="5"/>
  <c r="BG1222" i="5"/>
  <c r="BG318" i="5"/>
  <c r="BG353" i="5"/>
  <c r="BG449" i="5"/>
  <c r="BG809" i="5"/>
  <c r="BG999" i="5"/>
  <c r="BG1229" i="5"/>
  <c r="BG1333" i="5"/>
  <c r="BG440" i="5"/>
  <c r="BG616" i="5"/>
  <c r="BG696" i="5"/>
  <c r="BG720" i="5"/>
  <c r="BG1000" i="5"/>
  <c r="BG992" i="5"/>
  <c r="BG1381" i="5"/>
  <c r="BG395" i="5"/>
  <c r="BG467" i="5"/>
  <c r="BG558" i="5"/>
  <c r="BG920" i="5"/>
  <c r="BG918" i="5"/>
  <c r="BG908" i="5"/>
  <c r="BG1169" i="5"/>
  <c r="BG1253" i="5"/>
  <c r="BG1330" i="5"/>
  <c r="BG470" i="5"/>
  <c r="BG606" i="5"/>
  <c r="BG571" i="5"/>
  <c r="BG763" i="5"/>
  <c r="BG789" i="5"/>
  <c r="BG1104" i="5"/>
  <c r="BG1173" i="5"/>
  <c r="BG1241" i="5"/>
  <c r="BG1379" i="5"/>
  <c r="BG488" i="5"/>
  <c r="BG929" i="5"/>
  <c r="BG940" i="5"/>
  <c r="BG1189" i="5"/>
  <c r="BG1251" i="5"/>
  <c r="BG1279" i="5"/>
  <c r="BG1367" i="5"/>
  <c r="BG423" i="5"/>
  <c r="BG528" i="5"/>
  <c r="BG551" i="5"/>
  <c r="BG741" i="5"/>
  <c r="BG793" i="5"/>
  <c r="BG931" i="5"/>
  <c r="BG1056" i="5"/>
  <c r="BG579" i="5"/>
  <c r="BG795" i="5"/>
  <c r="BG980" i="5"/>
  <c r="BG1133" i="5"/>
  <c r="BG1256" i="5"/>
  <c r="BG1282" i="5"/>
  <c r="BG484" i="5"/>
  <c r="BG888" i="5"/>
  <c r="BG1139" i="5"/>
  <c r="BG1267" i="5"/>
  <c r="BG1397" i="5"/>
  <c r="BG405" i="5"/>
  <c r="BG857" i="5"/>
  <c r="BG864" i="5"/>
  <c r="BG1252" i="5"/>
  <c r="BG1359" i="5"/>
  <c r="BG1366" i="5"/>
  <c r="BG1401" i="5"/>
  <c r="BG425" i="5"/>
  <c r="BG515" i="5"/>
  <c r="BG520" i="5"/>
  <c r="BG668" i="5"/>
  <c r="BG703" i="5"/>
  <c r="BG913" i="5"/>
  <c r="BG1157" i="5"/>
  <c r="BG1269" i="5"/>
  <c r="BG1353" i="5"/>
  <c r="BG1402" i="5"/>
  <c r="BG632" i="5"/>
  <c r="BG1357" i="5"/>
  <c r="BG1382" i="5"/>
  <c r="BG811" i="5"/>
  <c r="BG844" i="5"/>
  <c r="BG706" i="5"/>
  <c r="BG457" i="5"/>
  <c r="BG924" i="5"/>
  <c r="BG544" i="5"/>
  <c r="BG939" i="5"/>
  <c r="BG1296" i="5"/>
  <c r="BG1039" i="5"/>
  <c r="BI914" i="5"/>
  <c r="BI874" i="5"/>
  <c r="BI949" i="5"/>
  <c r="BI961" i="5"/>
  <c r="BI1004" i="5"/>
  <c r="BI875" i="5"/>
  <c r="BI973" i="5"/>
  <c r="BI1020" i="5"/>
  <c r="BI876" i="5"/>
  <c r="BI970" i="5"/>
  <c r="BI1010" i="5"/>
  <c r="BI862" i="5"/>
  <c r="BI900" i="5"/>
  <c r="BI983" i="5"/>
  <c r="BI1037" i="5"/>
  <c r="BI1047" i="5"/>
  <c r="BI1061" i="5"/>
  <c r="BI1070" i="5"/>
  <c r="BI911" i="5"/>
  <c r="BI1006" i="5"/>
  <c r="BI1026" i="5"/>
  <c r="BI923" i="5"/>
  <c r="BI955" i="5"/>
  <c r="BI989" i="5"/>
  <c r="BI880" i="5"/>
  <c r="BI944" i="5"/>
  <c r="BI1030" i="5"/>
  <c r="BI938" i="5"/>
  <c r="BI894" i="5"/>
  <c r="BI1018" i="5"/>
  <c r="BI866" i="5"/>
  <c r="BI988" i="5"/>
  <c r="BI1021" i="5"/>
  <c r="BI1038" i="5"/>
  <c r="BI1052" i="5"/>
  <c r="BI1062" i="5"/>
  <c r="BI1074" i="5"/>
  <c r="BI912" i="5"/>
  <c r="BI1007" i="5"/>
  <c r="BI871" i="5"/>
  <c r="BI950" i="5"/>
  <c r="BI928" i="5"/>
  <c r="BI1005" i="5"/>
  <c r="BI1025" i="5"/>
  <c r="BI883" i="5"/>
  <c r="BI958" i="5"/>
  <c r="BI891" i="5"/>
  <c r="BI893" i="5"/>
  <c r="BI984" i="5"/>
  <c r="BI863" i="5"/>
  <c r="BI978" i="5"/>
  <c r="BI1024" i="5"/>
  <c r="BI1040" i="5"/>
  <c r="BI1051" i="5"/>
  <c r="BI1064" i="5"/>
  <c r="BI1075" i="5"/>
  <c r="BI932" i="5"/>
  <c r="BI999" i="5"/>
  <c r="BI920" i="5"/>
  <c r="BI924" i="5"/>
  <c r="BI929" i="5"/>
  <c r="BI1023" i="5"/>
  <c r="BI861" i="5"/>
  <c r="BI974" i="5"/>
  <c r="BI918" i="5"/>
  <c r="BI939" i="5"/>
  <c r="BI940" i="5"/>
  <c r="BI980" i="5"/>
  <c r="BI864" i="5"/>
  <c r="BI993" i="5"/>
  <c r="BI908" i="5"/>
  <c r="BI1039" i="5"/>
  <c r="BI1054" i="5"/>
  <c r="BI1063" i="5"/>
  <c r="BI933" i="5"/>
  <c r="BI1022" i="5"/>
  <c r="BI1011" i="5"/>
  <c r="BI951" i="5"/>
  <c r="BI956" i="5"/>
  <c r="BI1028" i="5"/>
  <c r="BI962" i="5"/>
  <c r="BI975" i="5"/>
  <c r="BI959" i="5"/>
  <c r="BI966" i="5"/>
  <c r="BI971" i="5"/>
  <c r="BI860" i="5"/>
  <c r="BI865" i="5"/>
  <c r="BI995" i="5"/>
  <c r="BI868" i="5"/>
  <c r="BI1041" i="5"/>
  <c r="BI1050" i="5"/>
  <c r="BI1066" i="5"/>
  <c r="BI913" i="5"/>
  <c r="BI1000" i="5"/>
  <c r="BI919" i="5"/>
  <c r="BI953" i="5"/>
  <c r="BI931" i="5"/>
  <c r="BI888" i="5"/>
  <c r="BI1014" i="5"/>
  <c r="BI976" i="5"/>
  <c r="BI873" i="5"/>
  <c r="BI948" i="5"/>
  <c r="BI1016" i="5"/>
  <c r="BI904" i="5"/>
  <c r="BI867" i="5"/>
  <c r="BI992" i="5"/>
  <c r="BI1032" i="5"/>
  <c r="BI1043" i="5"/>
  <c r="BI1056" i="5"/>
  <c r="BI1067" i="5"/>
  <c r="BI934" i="5"/>
  <c r="BI1008" i="5"/>
  <c r="BI922" i="5"/>
  <c r="BI926" i="5"/>
  <c r="BI1002" i="5"/>
  <c r="BI882" i="5"/>
  <c r="BI1015" i="5"/>
  <c r="BI947" i="5"/>
  <c r="BI1019" i="5"/>
  <c r="BI969" i="5"/>
  <c r="BI982" i="5"/>
  <c r="BI899" i="5"/>
  <c r="BI906" i="5"/>
  <c r="BI990" i="5"/>
  <c r="BI1033" i="5"/>
  <c r="BI1046" i="5"/>
  <c r="BI1055" i="5"/>
  <c r="BI1073" i="5"/>
  <c r="BI935" i="5"/>
  <c r="BI915" i="5"/>
  <c r="BI960" i="5"/>
  <c r="BI942" i="5"/>
  <c r="BI1003" i="5"/>
  <c r="BI878" i="5"/>
  <c r="BI946" i="5"/>
  <c r="BI981" i="5"/>
  <c r="BI898" i="5"/>
  <c r="BI892" i="5"/>
  <c r="BI985" i="5"/>
  <c r="BI910" i="5"/>
  <c r="BI907" i="5"/>
  <c r="BI997" i="5"/>
  <c r="BI1035" i="5"/>
  <c r="BI1048" i="5"/>
  <c r="BI1059" i="5"/>
  <c r="BI1069" i="5"/>
  <c r="BI937" i="5"/>
  <c r="BI957" i="5"/>
  <c r="BI881" i="5"/>
  <c r="BI889" i="5"/>
  <c r="BI994" i="5"/>
  <c r="BI1053" i="5"/>
  <c r="BI917" i="5"/>
  <c r="BI930" i="5"/>
  <c r="BI977" i="5"/>
  <c r="BI987" i="5"/>
  <c r="BI996" i="5"/>
  <c r="BI1058" i="5"/>
  <c r="BI1001" i="5"/>
  <c r="BI979" i="5"/>
  <c r="BI945" i="5"/>
  <c r="BI1017" i="5"/>
  <c r="BI991" i="5"/>
  <c r="BI1060" i="5"/>
  <c r="BI916" i="5"/>
  <c r="BI1013" i="5"/>
  <c r="BI986" i="5"/>
  <c r="BI1009" i="5"/>
  <c r="BI998" i="5"/>
  <c r="BI1057" i="5"/>
  <c r="BI941" i="5"/>
  <c r="BI1027" i="5"/>
  <c r="BI895" i="5"/>
  <c r="BI909" i="5"/>
  <c r="BI1031" i="5"/>
  <c r="BI1065" i="5"/>
  <c r="BI921" i="5"/>
  <c r="BI890" i="5"/>
  <c r="BI884" i="5"/>
  <c r="BI903" i="5"/>
  <c r="BI1068" i="5"/>
  <c r="BI872" i="5"/>
  <c r="BI896" i="5"/>
  <c r="BI964" i="5"/>
  <c r="BI885" i="5"/>
  <c r="BI1034" i="5"/>
  <c r="BI1072" i="5"/>
  <c r="BI870" i="5"/>
  <c r="BI927" i="5"/>
  <c r="BI1029" i="5"/>
  <c r="BI879" i="5"/>
  <c r="BI902" i="5"/>
  <c r="BI1044" i="5"/>
  <c r="BI897" i="5"/>
  <c r="BI954" i="5"/>
  <c r="BI943" i="5"/>
  <c r="BI972" i="5"/>
  <c r="BI887" i="5"/>
  <c r="BI1049" i="5"/>
  <c r="BI1012" i="5"/>
  <c r="BI1071" i="5"/>
  <c r="BI963" i="5"/>
  <c r="BI936" i="5"/>
  <c r="BI965" i="5"/>
  <c r="BI967" i="5"/>
  <c r="BI968" i="5"/>
  <c r="BI886" i="5"/>
  <c r="BI869" i="5"/>
  <c r="BI901" i="5"/>
  <c r="BI877" i="5"/>
  <c r="BI1036" i="5"/>
  <c r="BI925" i="5"/>
  <c r="BI1042" i="5"/>
  <c r="BI859" i="5"/>
  <c r="BI952" i="5"/>
  <c r="BI905" i="5"/>
  <c r="BI1045" i="5"/>
  <c r="CN60" i="1"/>
  <c r="BG3" i="5"/>
  <c r="BG10" i="5"/>
  <c r="BG34" i="5"/>
  <c r="BG25" i="5"/>
  <c r="BG12" i="5"/>
  <c r="BG83" i="5"/>
  <c r="BG86" i="5"/>
  <c r="BG31" i="5"/>
  <c r="BG38" i="5"/>
  <c r="BG28" i="5"/>
  <c r="BG49" i="5"/>
  <c r="BG32" i="5"/>
  <c r="BG42" i="5"/>
  <c r="BG41" i="5"/>
  <c r="BG26" i="5"/>
  <c r="BG58" i="5"/>
  <c r="BG76" i="5"/>
  <c r="BG85" i="5"/>
  <c r="BG81" i="5"/>
  <c r="BG101" i="5"/>
  <c r="BG65" i="5"/>
  <c r="BG132" i="5"/>
  <c r="BG159" i="5"/>
  <c r="BG137" i="5"/>
  <c r="BG103" i="5"/>
  <c r="BG174" i="5"/>
  <c r="BG43" i="5"/>
  <c r="BG9" i="5"/>
  <c r="BG20" i="5"/>
  <c r="BG54" i="5"/>
  <c r="BG17" i="5"/>
  <c r="BG167" i="5"/>
  <c r="BG92" i="5"/>
  <c r="BG87" i="5"/>
  <c r="BG114" i="5"/>
  <c r="BG119" i="5"/>
  <c r="BG146" i="5"/>
  <c r="BG61" i="5"/>
  <c r="BG150" i="5"/>
  <c r="BG122" i="5"/>
  <c r="BG178" i="5"/>
  <c r="BG11" i="5"/>
  <c r="BG21" i="5"/>
  <c r="BG16" i="5"/>
  <c r="BG88" i="5"/>
  <c r="BG100" i="5"/>
  <c r="BG131" i="5"/>
  <c r="BG153" i="5"/>
  <c r="BG124" i="5"/>
  <c r="BG60" i="5"/>
  <c r="BG168" i="5"/>
  <c r="BG71" i="5"/>
  <c r="BG182" i="5"/>
  <c r="BG19" i="5"/>
  <c r="BG8" i="5"/>
  <c r="BG55" i="5"/>
  <c r="BG77" i="5"/>
  <c r="BG99" i="5"/>
  <c r="BG95" i="5"/>
  <c r="BG163" i="5"/>
  <c r="BG127" i="5"/>
  <c r="BG63" i="5"/>
  <c r="BG98" i="5"/>
  <c r="BG62" i="5"/>
  <c r="BG176" i="5"/>
  <c r="BG37" i="5"/>
  <c r="BG22" i="5"/>
  <c r="BG13" i="5"/>
  <c r="BG97" i="5"/>
  <c r="BG128" i="5"/>
  <c r="BG79" i="5"/>
  <c r="BG143" i="5"/>
  <c r="BG139" i="5"/>
  <c r="BG73" i="5"/>
  <c r="BG104" i="5"/>
  <c r="BG140" i="5"/>
  <c r="BG171" i="5"/>
  <c r="BG29" i="5"/>
  <c r="BG23" i="5"/>
  <c r="BG14" i="5"/>
  <c r="BG106" i="5"/>
  <c r="BG126" i="5"/>
  <c r="BG149" i="5"/>
  <c r="BG152" i="5"/>
  <c r="BG151" i="5"/>
  <c r="BG69" i="5"/>
  <c r="BG109" i="5"/>
  <c r="BG175" i="5"/>
  <c r="BG39" i="5"/>
  <c r="BG24" i="5"/>
  <c r="BG5" i="5"/>
  <c r="BG123" i="5"/>
  <c r="BG129" i="5"/>
  <c r="BG145" i="5"/>
  <c r="BG113" i="5"/>
  <c r="BG154" i="5"/>
  <c r="BG72" i="5"/>
  <c r="BG136" i="5"/>
  <c r="BG181" i="5"/>
  <c r="BG7" i="5"/>
  <c r="BG30" i="5"/>
  <c r="BG45" i="5"/>
  <c r="BG134" i="5"/>
  <c r="BG138" i="5"/>
  <c r="BG96" i="5"/>
  <c r="BG108" i="5"/>
  <c r="BG156" i="5"/>
  <c r="BG64" i="5"/>
  <c r="BG161" i="5"/>
  <c r="BG2" i="5"/>
  <c r="BG35" i="5"/>
  <c r="BG46" i="5"/>
  <c r="BG6" i="5"/>
  <c r="BG135" i="5"/>
  <c r="BG75" i="5"/>
  <c r="BG105" i="5"/>
  <c r="BG125" i="5"/>
  <c r="BG155" i="5"/>
  <c r="BG74" i="5"/>
  <c r="BG130" i="5"/>
  <c r="BG173" i="5"/>
  <c r="BG48" i="5"/>
  <c r="BG52" i="5"/>
  <c r="BG57" i="5"/>
  <c r="BG59" i="5"/>
  <c r="BG91" i="5"/>
  <c r="BG93" i="5"/>
  <c r="BG117" i="5"/>
  <c r="BG102" i="5"/>
  <c r="BG160" i="5"/>
  <c r="BG165" i="5"/>
  <c r="BG115" i="5"/>
  <c r="BG18" i="5"/>
  <c r="BG40" i="5"/>
  <c r="BG56" i="5"/>
  <c r="BG67" i="5"/>
  <c r="BG78" i="5"/>
  <c r="BG94" i="5"/>
  <c r="BG110" i="5"/>
  <c r="BG116" i="5"/>
  <c r="BG164" i="5"/>
  <c r="BG111" i="5"/>
  <c r="BG133" i="5"/>
  <c r="BG179" i="5"/>
  <c r="BG36" i="5"/>
  <c r="BG27" i="5"/>
  <c r="BG4" i="5"/>
  <c r="BG82" i="5"/>
  <c r="BG70" i="5"/>
  <c r="BG66" i="5"/>
  <c r="BG118" i="5"/>
  <c r="BG107" i="5"/>
  <c r="BG162" i="5"/>
  <c r="BG147" i="5"/>
  <c r="BG141" i="5"/>
  <c r="BG180" i="5"/>
  <c r="BG44" i="5"/>
  <c r="BG142" i="5"/>
  <c r="BG47" i="5"/>
  <c r="BG120" i="5"/>
  <c r="BG51" i="5"/>
  <c r="BG157" i="5"/>
  <c r="BG15" i="5"/>
  <c r="BG144" i="5"/>
  <c r="BG90" i="5"/>
  <c r="BG169" i="5"/>
  <c r="BG68" i="5"/>
  <c r="BG158" i="5"/>
  <c r="BG80" i="5"/>
  <c r="BG172" i="5"/>
  <c r="BG89" i="5"/>
  <c r="BG183" i="5"/>
  <c r="BG50" i="5"/>
  <c r="BG112" i="5"/>
  <c r="BG33" i="5"/>
  <c r="BG148" i="5"/>
  <c r="BG166" i="5"/>
  <c r="BG53" i="5"/>
  <c r="BG84" i="5"/>
  <c r="BG121" i="5"/>
  <c r="BI1085" i="5"/>
  <c r="BI1097" i="5"/>
  <c r="BI1088" i="5"/>
  <c r="BI1099" i="5"/>
  <c r="BI1089" i="5"/>
  <c r="BI1101" i="5"/>
  <c r="BI1079" i="5"/>
  <c r="BI1083" i="5"/>
  <c r="BI1098" i="5"/>
  <c r="BI1078" i="5"/>
  <c r="BI1087" i="5"/>
  <c r="BI1100" i="5"/>
  <c r="BI1076" i="5"/>
  <c r="BI1092" i="5"/>
  <c r="BI1104" i="5"/>
  <c r="BI1082" i="5"/>
  <c r="BI1094" i="5"/>
  <c r="BI1105" i="5"/>
  <c r="BI1084" i="5"/>
  <c r="BI1093" i="5"/>
  <c r="BI1090" i="5"/>
  <c r="BI1091" i="5"/>
  <c r="BI1095" i="5"/>
  <c r="BI1096" i="5"/>
  <c r="BI1102" i="5"/>
  <c r="BI1103" i="5"/>
  <c r="BI1080" i="5"/>
  <c r="BI1086" i="5"/>
  <c r="BI1077" i="5"/>
  <c r="BI1081" i="5"/>
  <c r="BH1084" i="5"/>
  <c r="BH1257" i="5"/>
  <c r="BH1288" i="5"/>
  <c r="BH1393" i="5"/>
  <c r="BH1162" i="5"/>
  <c r="BH1267" i="5"/>
  <c r="BH1286" i="5"/>
  <c r="BH1061" i="5"/>
  <c r="BH1255" i="5"/>
  <c r="BH1284" i="5"/>
  <c r="BH1313" i="5"/>
  <c r="BH1352" i="5"/>
  <c r="BH1395" i="5"/>
  <c r="BH1062" i="5"/>
  <c r="BH1262" i="5"/>
  <c r="BH1299" i="5"/>
  <c r="BH1328" i="5"/>
  <c r="BH1335" i="5"/>
  <c r="BH1240" i="5"/>
  <c r="BH1250" i="5"/>
  <c r="BH1270" i="5"/>
  <c r="BH1113" i="5"/>
  <c r="BH1293" i="5"/>
  <c r="BH1316" i="5"/>
  <c r="BH1367" i="5"/>
  <c r="BH1135" i="5"/>
  <c r="BH1188" i="5"/>
  <c r="BH1233" i="5"/>
  <c r="BH1256" i="5"/>
  <c r="BH1297" i="5"/>
  <c r="BH1192" i="5"/>
  <c r="BH1236" i="5"/>
  <c r="BH1254" i="5"/>
  <c r="BH1300" i="5"/>
  <c r="BH1347" i="5"/>
  <c r="BH1235" i="5"/>
  <c r="BH1263" i="5"/>
  <c r="BH1298" i="5"/>
  <c r="BH1318" i="5"/>
  <c r="BH1280" i="5"/>
  <c r="BH1291" i="5"/>
  <c r="BH1319" i="5"/>
  <c r="BH1343" i="5"/>
  <c r="BH1198" i="5"/>
  <c r="BH1224" i="5"/>
  <c r="BH1301" i="5"/>
  <c r="BH1323" i="5"/>
  <c r="BH1321" i="5"/>
  <c r="BH1341" i="5"/>
  <c r="BH1344" i="5"/>
  <c r="BH1137" i="5"/>
  <c r="BH1380" i="5"/>
  <c r="BH1208" i="5"/>
  <c r="BH1232" i="5"/>
  <c r="BH1258" i="5"/>
  <c r="BH1276" i="5"/>
  <c r="BH1308" i="5"/>
  <c r="BH1261" i="5"/>
  <c r="BH1362" i="5"/>
  <c r="BH1375" i="5"/>
  <c r="BI1110" i="5"/>
  <c r="BI1122" i="5"/>
  <c r="BI1131" i="5"/>
  <c r="BI1111" i="5"/>
  <c r="BI1121" i="5"/>
  <c r="BI1134" i="5"/>
  <c r="BI1109" i="5"/>
  <c r="BI1123" i="5"/>
  <c r="BI1132" i="5"/>
  <c r="BI1113" i="5"/>
  <c r="BI1124" i="5"/>
  <c r="BI1133" i="5"/>
  <c r="BI1112" i="5"/>
  <c r="BI1125" i="5"/>
  <c r="BI1135" i="5"/>
  <c r="BI1115" i="5"/>
  <c r="BI1139" i="5"/>
  <c r="BI1116" i="5"/>
  <c r="BI1129" i="5"/>
  <c r="BI1141" i="5"/>
  <c r="BI1107" i="5"/>
  <c r="BI1118" i="5"/>
  <c r="BI1140" i="5"/>
  <c r="BI1126" i="5"/>
  <c r="BI1127" i="5"/>
  <c r="BI1128" i="5"/>
  <c r="BI1130" i="5"/>
  <c r="BI1137" i="5"/>
  <c r="BI1138" i="5"/>
  <c r="BI1106" i="5"/>
  <c r="BI1136" i="5"/>
  <c r="BI1119" i="5"/>
  <c r="BI1120" i="5"/>
  <c r="BI1108" i="5"/>
  <c r="BI1114" i="5"/>
  <c r="BI1117" i="5"/>
  <c r="CO236" i="1"/>
  <c r="BH31" i="5"/>
  <c r="BH38" i="5"/>
  <c r="BH88" i="5"/>
  <c r="BH78" i="5"/>
  <c r="BH198" i="5"/>
  <c r="BH32" i="5"/>
  <c r="BH42" i="5"/>
  <c r="BH76" i="5"/>
  <c r="BH85" i="5"/>
  <c r="BH359" i="5"/>
  <c r="BH446" i="5"/>
  <c r="BH437" i="5"/>
  <c r="BH496" i="5"/>
  <c r="BH624" i="5"/>
  <c r="BH614" i="5"/>
  <c r="BH50" i="5"/>
  <c r="BH77" i="5"/>
  <c r="BH70" i="5"/>
  <c r="BH355" i="5"/>
  <c r="BH43" i="5"/>
  <c r="BH48" i="5"/>
  <c r="BH97" i="5"/>
  <c r="BH68" i="5"/>
  <c r="BH33" i="5"/>
  <c r="BH134" i="5"/>
  <c r="BH294" i="5"/>
  <c r="BH331" i="5"/>
  <c r="BH387" i="5"/>
  <c r="BH432" i="5"/>
  <c r="BH453" i="5"/>
  <c r="BH489" i="5"/>
  <c r="BH500" i="5"/>
  <c r="BH562" i="5"/>
  <c r="BH11" i="5"/>
  <c r="BH67" i="5"/>
  <c r="BH135" i="5"/>
  <c r="BH295" i="5"/>
  <c r="BH332" i="5"/>
  <c r="BH395" i="5"/>
  <c r="BH416" i="5"/>
  <c r="BH449" i="5"/>
  <c r="BH488" i="5"/>
  <c r="BH501" i="5"/>
  <c r="BH558" i="5"/>
  <c r="BH10" i="5"/>
  <c r="BH83" i="5"/>
  <c r="BH86" i="5"/>
  <c r="BH293" i="5"/>
  <c r="BH411" i="5"/>
  <c r="BH468" i="5"/>
  <c r="BH490" i="5"/>
  <c r="BH615" i="5"/>
  <c r="BH559" i="5"/>
  <c r="BH535" i="5"/>
  <c r="BH630" i="5"/>
  <c r="BH675" i="5"/>
  <c r="BH739" i="5"/>
  <c r="BH757" i="5"/>
  <c r="BH735" i="5"/>
  <c r="BH719" i="5"/>
  <c r="BH818" i="5"/>
  <c r="BH935" i="5"/>
  <c r="BH915" i="5"/>
  <c r="BH960" i="5"/>
  <c r="BH942" i="5"/>
  <c r="BH1003" i="5"/>
  <c r="BH878" i="5"/>
  <c r="BH1048" i="5"/>
  <c r="BH1069" i="5"/>
  <c r="BH1118" i="5"/>
  <c r="BH1163" i="5"/>
  <c r="BH1171" i="5"/>
  <c r="BH1190" i="5"/>
  <c r="BH1225" i="5"/>
  <c r="BH1234" i="5"/>
  <c r="BH1290" i="5"/>
  <c r="BH1292" i="5"/>
  <c r="BH1320" i="5"/>
  <c r="BH1350" i="5"/>
  <c r="BH1365" i="5"/>
  <c r="BH1385" i="5"/>
  <c r="BH82" i="5"/>
  <c r="BH273" i="5"/>
  <c r="BH308" i="5"/>
  <c r="BH412" i="5"/>
  <c r="BH471" i="5"/>
  <c r="BH499" i="5"/>
  <c r="BH616" i="5"/>
  <c r="BH577" i="5"/>
  <c r="BH578" i="5"/>
  <c r="BH648" i="5"/>
  <c r="BH653" i="5"/>
  <c r="BH810" i="5"/>
  <c r="BH805" i="5"/>
  <c r="BH751" i="5"/>
  <c r="BH747" i="5"/>
  <c r="BH812" i="5"/>
  <c r="BH897" i="5"/>
  <c r="BH916" i="5"/>
  <c r="BH877" i="5"/>
  <c r="BH954" i="5"/>
  <c r="BH1013" i="5"/>
  <c r="BH1012" i="5"/>
  <c r="BH1036" i="5"/>
  <c r="BH1049" i="5"/>
  <c r="BH1108" i="5"/>
  <c r="BH1130" i="5"/>
  <c r="BH1159" i="5"/>
  <c r="BH1166" i="5"/>
  <c r="BH1194" i="5"/>
  <c r="BH1220" i="5"/>
  <c r="BH1239" i="5"/>
  <c r="BH1246" i="5"/>
  <c r="BH1304" i="5"/>
  <c r="BH18" i="5"/>
  <c r="BH84" i="5"/>
  <c r="BH318" i="5"/>
  <c r="BH413" i="5"/>
  <c r="BH472" i="5"/>
  <c r="BH492" i="5"/>
  <c r="BH549" i="5"/>
  <c r="BH548" i="5"/>
  <c r="BH560" i="5"/>
  <c r="BH629" i="5"/>
  <c r="BH664" i="5"/>
  <c r="BH837" i="5"/>
  <c r="BH746" i="5"/>
  <c r="BH745" i="5"/>
  <c r="BH821" i="5"/>
  <c r="BH817" i="5"/>
  <c r="BH914" i="5"/>
  <c r="BH874" i="5"/>
  <c r="BH949" i="5"/>
  <c r="BH961" i="5"/>
  <c r="BH1004" i="5"/>
  <c r="BH1047" i="5"/>
  <c r="BH1110" i="5"/>
  <c r="BH1131" i="5"/>
  <c r="BH1143" i="5"/>
  <c r="BH1142" i="5"/>
  <c r="BH1176" i="5"/>
  <c r="BH1187" i="5"/>
  <c r="BH1238" i="5"/>
  <c r="BH1249" i="5"/>
  <c r="BH1309" i="5"/>
  <c r="BH1322" i="5"/>
  <c r="BH1346" i="5"/>
  <c r="BH1364" i="5"/>
  <c r="BH36" i="5"/>
  <c r="BH167" i="5"/>
  <c r="BH319" i="5"/>
  <c r="BH336" i="5"/>
  <c r="BH373" i="5"/>
  <c r="BH414" i="5"/>
  <c r="BH448" i="5"/>
  <c r="BH512" i="5"/>
  <c r="BH603" i="5"/>
  <c r="BH576" i="5"/>
  <c r="BH566" i="5"/>
  <c r="BH657" i="5"/>
  <c r="BH666" i="5"/>
  <c r="BH738" i="5"/>
  <c r="BH743" i="5"/>
  <c r="BH709" i="5"/>
  <c r="BH808" i="5"/>
  <c r="BH911" i="5"/>
  <c r="BH1006" i="5"/>
  <c r="BH1026" i="5"/>
  <c r="BH923" i="5"/>
  <c r="BH955" i="5"/>
  <c r="BH989" i="5"/>
  <c r="BH1052" i="5"/>
  <c r="BH1134" i="5"/>
  <c r="BH1149" i="5"/>
  <c r="BH1151" i="5"/>
  <c r="BH1175" i="5"/>
  <c r="BH1182" i="5"/>
  <c r="BH1193" i="5"/>
  <c r="BH1204" i="5"/>
  <c r="BH1215" i="5"/>
  <c r="BH1281" i="5"/>
  <c r="BH1303" i="5"/>
  <c r="BH1329" i="5"/>
  <c r="BH1337" i="5"/>
  <c r="BH1396" i="5"/>
  <c r="BH19" i="5"/>
  <c r="BH106" i="5"/>
  <c r="BH345" i="5"/>
  <c r="BH357" i="5"/>
  <c r="BH417" i="5"/>
  <c r="BH454" i="5"/>
  <c r="BH493" i="5"/>
  <c r="BH561" i="5"/>
  <c r="BH580" i="5"/>
  <c r="BH530" i="5"/>
  <c r="BH658" i="5"/>
  <c r="BH631" i="5"/>
  <c r="BH754" i="5"/>
  <c r="BH748" i="5"/>
  <c r="BH820" i="5"/>
  <c r="BH834" i="5"/>
  <c r="BH912" i="5"/>
  <c r="BH1007" i="5"/>
  <c r="BH871" i="5"/>
  <c r="BH950" i="5"/>
  <c r="BH928" i="5"/>
  <c r="BH1005" i="5"/>
  <c r="BH1040" i="5"/>
  <c r="BH1051" i="5"/>
  <c r="BH1064" i="5"/>
  <c r="BH1123" i="5"/>
  <c r="BH1132" i="5"/>
  <c r="BH1153" i="5"/>
  <c r="BH1156" i="5"/>
  <c r="BH1170" i="5"/>
  <c r="BH1181" i="5"/>
  <c r="BH1191" i="5"/>
  <c r="BH1206" i="5"/>
  <c r="BH1216" i="5"/>
  <c r="BH37" i="5"/>
  <c r="BH123" i="5"/>
  <c r="BH428" i="5"/>
  <c r="BH455" i="5"/>
  <c r="BH526" i="5"/>
  <c r="BH544" i="5"/>
  <c r="BH533" i="5"/>
  <c r="BH647" i="5"/>
  <c r="BH682" i="5"/>
  <c r="BH755" i="5"/>
  <c r="BH769" i="5"/>
  <c r="BH809" i="5"/>
  <c r="BH839" i="5"/>
  <c r="BH932" i="5"/>
  <c r="BH999" i="5"/>
  <c r="BH920" i="5"/>
  <c r="BH924" i="5"/>
  <c r="BH929" i="5"/>
  <c r="BH1023" i="5"/>
  <c r="BH1039" i="5"/>
  <c r="BH1054" i="5"/>
  <c r="BH1063" i="5"/>
  <c r="BH1079" i="5"/>
  <c r="BH1124" i="5"/>
  <c r="BH1152" i="5"/>
  <c r="BH1164" i="5"/>
  <c r="BH1169" i="5"/>
  <c r="BH1186" i="5"/>
  <c r="BH1241" i="5"/>
  <c r="BH1251" i="5"/>
  <c r="BH1252" i="5"/>
  <c r="BH1285" i="5"/>
  <c r="BH1296" i="5"/>
  <c r="BH1348" i="5"/>
  <c r="BH90" i="5"/>
  <c r="BH380" i="5"/>
  <c r="BH474" i="5"/>
  <c r="BH485" i="5"/>
  <c r="BH523" i="5"/>
  <c r="BH529" i="5"/>
  <c r="BH582" i="5"/>
  <c r="BH660" i="5"/>
  <c r="BH680" i="5"/>
  <c r="BH740" i="5"/>
  <c r="BH765" i="5"/>
  <c r="BH788" i="5"/>
  <c r="BH829" i="5"/>
  <c r="BH933" i="5"/>
  <c r="BH1022" i="5"/>
  <c r="BH1011" i="5"/>
  <c r="BH951" i="5"/>
  <c r="BH956" i="5"/>
  <c r="BH1028" i="5"/>
  <c r="BH1041" i="5"/>
  <c r="BH1050" i="5"/>
  <c r="BH1066" i="5"/>
  <c r="BH1078" i="5"/>
  <c r="BH1112" i="5"/>
  <c r="BH291" i="5"/>
  <c r="BH396" i="5"/>
  <c r="BH401" i="5"/>
  <c r="BH511" i="5"/>
  <c r="BH606" i="5"/>
  <c r="BH568" i="5"/>
  <c r="BH670" i="5"/>
  <c r="BH802" i="5"/>
  <c r="BH744" i="5"/>
  <c r="BH853" i="5"/>
  <c r="BH730" i="5"/>
  <c r="BH934" i="5"/>
  <c r="BH1008" i="5"/>
  <c r="BH922" i="5"/>
  <c r="BH926" i="5"/>
  <c r="BH1002" i="5"/>
  <c r="BH882" i="5"/>
  <c r="BH292" i="5"/>
  <c r="BH410" i="5"/>
  <c r="BH447" i="5"/>
  <c r="BH498" i="5"/>
  <c r="BH607" i="5"/>
  <c r="BH621" i="5"/>
  <c r="BH569" i="5"/>
  <c r="BH667" i="5"/>
  <c r="BH804" i="5"/>
  <c r="BH767" i="5"/>
  <c r="BH855" i="5"/>
  <c r="BH764" i="5"/>
  <c r="BH870" i="5"/>
  <c r="BH1001" i="5"/>
  <c r="BH872" i="5"/>
  <c r="BH927" i="5"/>
  <c r="BH979" i="5"/>
  <c r="BH896" i="5"/>
  <c r="BH1044" i="5"/>
  <c r="BH381" i="5"/>
  <c r="BH790" i="5"/>
  <c r="BH919" i="5"/>
  <c r="BH1115" i="5"/>
  <c r="BH1136" i="5"/>
  <c r="BH1160" i="5"/>
  <c r="BH1209" i="5"/>
  <c r="BH1278" i="5"/>
  <c r="BH1342" i="5"/>
  <c r="BH1369" i="5"/>
  <c r="BH1383" i="5"/>
  <c r="BH803" i="5"/>
  <c r="BH925" i="5"/>
  <c r="BH1210" i="5"/>
  <c r="BH1277" i="5"/>
  <c r="BH1353" i="5"/>
  <c r="BH1370" i="5"/>
  <c r="BH1400" i="5"/>
  <c r="BH557" i="5"/>
  <c r="BH801" i="5"/>
  <c r="BH952" i="5"/>
  <c r="BH1092" i="5"/>
  <c r="BH1119" i="5"/>
  <c r="BH1155" i="5"/>
  <c r="BH1167" i="5"/>
  <c r="BH1333" i="5"/>
  <c r="BH1363" i="5"/>
  <c r="BH563" i="5"/>
  <c r="BH742" i="5"/>
  <c r="BH953" i="5"/>
  <c r="BH1150" i="5"/>
  <c r="BH1168" i="5"/>
  <c r="BH1242" i="5"/>
  <c r="BH1260" i="5"/>
  <c r="BH1368" i="5"/>
  <c r="BH491" i="5"/>
  <c r="BH524" i="5"/>
  <c r="BH701" i="5"/>
  <c r="BH859" i="5"/>
  <c r="BH957" i="5"/>
  <c r="BH1033" i="5"/>
  <c r="BH1158" i="5"/>
  <c r="BH1174" i="5"/>
  <c r="BH1264" i="5"/>
  <c r="BH1279" i="5"/>
  <c r="BH1372" i="5"/>
  <c r="BH91" i="5"/>
  <c r="BH478" i="5"/>
  <c r="BH564" i="5"/>
  <c r="BH703" i="5"/>
  <c r="BH869" i="5"/>
  <c r="BH930" i="5"/>
  <c r="BH1042" i="5"/>
  <c r="BH1073" i="5"/>
  <c r="BH1102" i="5"/>
  <c r="BH1157" i="5"/>
  <c r="BH1173" i="5"/>
  <c r="BH1197" i="5"/>
  <c r="BH1222" i="5"/>
  <c r="BH1269" i="5"/>
  <c r="BH1283" i="5"/>
  <c r="BH1302" i="5"/>
  <c r="BH1374" i="5"/>
  <c r="BH1404" i="5"/>
  <c r="BH92" i="5"/>
  <c r="BH479" i="5"/>
  <c r="BH581" i="5"/>
  <c r="BH698" i="5"/>
  <c r="BH814" i="5"/>
  <c r="BH913" i="5"/>
  <c r="BH931" i="5"/>
  <c r="BH1045" i="5"/>
  <c r="BH1072" i="5"/>
  <c r="BH1103" i="5"/>
  <c r="BH1129" i="5"/>
  <c r="BH1147" i="5"/>
  <c r="BH1179" i="5"/>
  <c r="BH1219" i="5"/>
  <c r="BH1245" i="5"/>
  <c r="BH1310" i="5"/>
  <c r="BH1317" i="5"/>
  <c r="BH608" i="5"/>
  <c r="BH674" i="5"/>
  <c r="BH852" i="5"/>
  <c r="BH917" i="5"/>
  <c r="BH890" i="5"/>
  <c r="BH1046" i="5"/>
  <c r="BH1081" i="5"/>
  <c r="BH1148" i="5"/>
  <c r="BH1180" i="5"/>
  <c r="BH1221" i="5"/>
  <c r="BH1247" i="5"/>
  <c r="BH1306" i="5"/>
  <c r="BH1349" i="5"/>
  <c r="BH289" i="5"/>
  <c r="BH585" i="5"/>
  <c r="BH663" i="5"/>
  <c r="BH838" i="5"/>
  <c r="BH1000" i="5"/>
  <c r="BH888" i="5"/>
  <c r="BH1106" i="5"/>
  <c r="BH1138" i="5"/>
  <c r="BH1144" i="5"/>
  <c r="BH1183" i="5"/>
  <c r="BH1207" i="5"/>
  <c r="BH1230" i="5"/>
  <c r="BH1326" i="5"/>
  <c r="BH1336" i="5"/>
  <c r="BH1386" i="5"/>
  <c r="BH383" i="5"/>
  <c r="BH440" i="5"/>
  <c r="BH681" i="5"/>
  <c r="BH727" i="5"/>
  <c r="BH941" i="5"/>
  <c r="BH1114" i="5"/>
  <c r="BH1139" i="5"/>
  <c r="BH1146" i="5"/>
  <c r="BH1359" i="5"/>
  <c r="BH1381" i="5"/>
  <c r="BH937" i="5"/>
  <c r="BH1104" i="5"/>
  <c r="BH1213" i="5"/>
  <c r="BH379" i="5"/>
  <c r="BH669" i="5"/>
  <c r="BH921" i="5"/>
  <c r="BH1117" i="5"/>
  <c r="BH1223" i="5"/>
  <c r="BH1354" i="5"/>
  <c r="BH668" i="5"/>
  <c r="BH1027" i="5"/>
  <c r="BH1231" i="5"/>
  <c r="BH1340" i="5"/>
  <c r="BH1128" i="5"/>
  <c r="BH1244" i="5"/>
  <c r="BH763" i="5"/>
  <c r="BH1145" i="5"/>
  <c r="BH1377" i="5"/>
  <c r="BH1154" i="5"/>
  <c r="BH534" i="5"/>
  <c r="BH1043" i="5"/>
  <c r="BH1295" i="5"/>
  <c r="BH1077" i="5"/>
  <c r="BH1324" i="5"/>
  <c r="BH1141" i="5"/>
  <c r="BH456" i="5"/>
  <c r="BH816" i="5"/>
  <c r="BH1268" i="5"/>
  <c r="CL221" i="1"/>
  <c r="CQ221" i="1" s="1"/>
  <c r="CT221" i="1" s="1"/>
  <c r="BE18" i="5"/>
  <c r="BE7" i="5"/>
  <c r="BE8" i="5"/>
  <c r="BE56" i="5"/>
  <c r="BE6" i="5"/>
  <c r="BE106" i="5"/>
  <c r="BE100" i="5"/>
  <c r="BE66" i="5"/>
  <c r="BE117" i="5"/>
  <c r="BE125" i="5"/>
  <c r="BE154" i="5"/>
  <c r="BE73" i="5"/>
  <c r="BE168" i="5"/>
  <c r="BE141" i="5"/>
  <c r="BE177" i="5"/>
  <c r="BE190" i="5"/>
  <c r="BE194" i="5"/>
  <c r="BE211" i="5"/>
  <c r="BE212" i="5"/>
  <c r="BE217" i="5"/>
  <c r="BE250" i="5"/>
  <c r="BE253" i="5"/>
  <c r="BE268" i="5"/>
  <c r="BE292" i="5"/>
  <c r="BE304" i="5"/>
  <c r="BE322" i="5"/>
  <c r="BE309" i="5"/>
  <c r="BE336" i="5"/>
  <c r="BE340" i="5"/>
  <c r="BE369" i="5"/>
  <c r="BE376" i="5"/>
  <c r="BE379" i="5"/>
  <c r="BE384" i="5"/>
  <c r="BE412" i="5"/>
  <c r="BE403" i="5"/>
  <c r="BE422" i="5"/>
  <c r="BE472" i="5"/>
  <c r="BE33" i="5"/>
  <c r="BE52" i="5"/>
  <c r="BE30" i="5"/>
  <c r="BE12" i="5"/>
  <c r="BE84" i="5"/>
  <c r="BE78" i="5"/>
  <c r="BE81" i="5"/>
  <c r="BE105" i="5"/>
  <c r="BE119" i="5"/>
  <c r="BE151" i="5"/>
  <c r="BE69" i="5"/>
  <c r="BE104" i="5"/>
  <c r="BE62" i="5"/>
  <c r="BE182" i="5"/>
  <c r="BE226" i="5"/>
  <c r="BE221" i="5"/>
  <c r="BE204" i="5"/>
  <c r="BE227" i="5"/>
  <c r="BE240" i="5"/>
  <c r="BE245" i="5"/>
  <c r="BE278" i="5"/>
  <c r="BE293" i="5"/>
  <c r="BE284" i="5"/>
  <c r="BE286" i="5"/>
  <c r="BE330" i="5"/>
  <c r="BE344" i="5"/>
  <c r="BE350" i="5"/>
  <c r="BE378" i="5"/>
  <c r="BE372" i="5"/>
  <c r="BE385" i="5"/>
  <c r="BE410" i="5"/>
  <c r="BE431" i="5"/>
  <c r="BE424" i="5"/>
  <c r="BE453" i="5"/>
  <c r="BE439" i="5"/>
  <c r="BE441" i="5"/>
  <c r="BE489" i="5"/>
  <c r="BE500" i="5"/>
  <c r="BE514" i="5"/>
  <c r="BE482" i="5"/>
  <c r="BE562" i="5"/>
  <c r="BE580" i="5"/>
  <c r="BE530" i="5"/>
  <c r="BE538" i="5"/>
  <c r="BE589" i="5"/>
  <c r="BE590" i="5"/>
  <c r="BE625" i="5"/>
  <c r="BE600" i="5"/>
  <c r="BE555" i="5"/>
  <c r="BE658" i="5"/>
  <c r="BE631" i="5"/>
  <c r="BE686" i="5"/>
  <c r="BE638" i="5"/>
  <c r="BE646" i="5"/>
  <c r="BE652" i="5"/>
  <c r="BE754" i="5"/>
  <c r="BE748" i="5"/>
  <c r="BE820" i="5"/>
  <c r="BE834" i="5"/>
  <c r="BE758" i="5"/>
  <c r="BE787" i="5"/>
  <c r="BE851" i="5"/>
  <c r="BE854" i="5"/>
  <c r="BE761" i="5"/>
  <c r="BE823" i="5"/>
  <c r="BE846" i="5"/>
  <c r="BE733" i="5"/>
  <c r="BE791" i="5"/>
  <c r="BE912" i="5"/>
  <c r="BE1007" i="5"/>
  <c r="BE871" i="5"/>
  <c r="BE950" i="5"/>
  <c r="BE928" i="5"/>
  <c r="BE1005" i="5"/>
  <c r="BE1025" i="5"/>
  <c r="BE883" i="5"/>
  <c r="BE958" i="5"/>
  <c r="BE891" i="5"/>
  <c r="BE893" i="5"/>
  <c r="BE984" i="5"/>
  <c r="BE863" i="5"/>
  <c r="BE978" i="5"/>
  <c r="BE1024" i="5"/>
  <c r="BE1040" i="5"/>
  <c r="BE1051" i="5"/>
  <c r="BE1064" i="5"/>
  <c r="BE1075" i="5"/>
  <c r="BE1089" i="5"/>
  <c r="BE1101" i="5"/>
  <c r="BE1109" i="5"/>
  <c r="BE1123" i="5"/>
  <c r="BE1132" i="5"/>
  <c r="BE1153" i="5"/>
  <c r="BE1156" i="5"/>
  <c r="BE1170" i="5"/>
  <c r="BE1181" i="5"/>
  <c r="BE1191" i="5"/>
  <c r="BE1206" i="5"/>
  <c r="BE1216" i="5"/>
  <c r="BE1228" i="5"/>
  <c r="BE1240" i="5"/>
  <c r="BE1250" i="5"/>
  <c r="BE1270" i="5"/>
  <c r="BE1275" i="5"/>
  <c r="BE1279" i="5"/>
  <c r="BE1308" i="5"/>
  <c r="BE1310" i="5"/>
  <c r="BE1318" i="5"/>
  <c r="BE1330" i="5"/>
  <c r="BE1344" i="5"/>
  <c r="BE1333" i="5"/>
  <c r="BE1357" i="5"/>
  <c r="BE1366" i="5"/>
  <c r="BE1379" i="5"/>
  <c r="BE1398" i="5"/>
  <c r="BE11" i="5"/>
  <c r="BE40" i="5"/>
  <c r="BE25" i="5"/>
  <c r="BE13" i="5"/>
  <c r="BE88" i="5"/>
  <c r="BE85" i="5"/>
  <c r="BE93" i="5"/>
  <c r="BE114" i="5"/>
  <c r="BE108" i="5"/>
  <c r="BE156" i="5"/>
  <c r="BE72" i="5"/>
  <c r="BE109" i="5"/>
  <c r="BE140" i="5"/>
  <c r="BE176" i="5"/>
  <c r="BE192" i="5"/>
  <c r="BE236" i="5"/>
  <c r="BE233" i="5"/>
  <c r="BE230" i="5"/>
  <c r="BE259" i="5"/>
  <c r="BE265" i="5"/>
  <c r="BE270" i="5"/>
  <c r="BE294" i="5"/>
  <c r="BE317" i="5"/>
  <c r="BE290" i="5"/>
  <c r="BE329" i="5"/>
  <c r="BE341" i="5"/>
  <c r="BE352" i="5"/>
  <c r="BE375" i="5"/>
  <c r="BE362" i="5"/>
  <c r="BE399" i="5"/>
  <c r="BE411" i="5"/>
  <c r="BE404" i="5"/>
  <c r="BE433" i="5"/>
  <c r="BE449" i="5"/>
  <c r="BE467" i="5"/>
  <c r="BE457" i="5"/>
  <c r="BE488" i="5"/>
  <c r="BE501" i="5"/>
  <c r="BE504" i="5"/>
  <c r="BE477" i="5"/>
  <c r="BE558" i="5"/>
  <c r="BE544" i="5"/>
  <c r="BE533" i="5"/>
  <c r="BE579" i="5"/>
  <c r="BE626" i="5"/>
  <c r="BE591" i="5"/>
  <c r="BE584" i="5"/>
  <c r="BE609" i="5"/>
  <c r="BE613" i="5"/>
  <c r="BE647" i="5"/>
  <c r="BE682" i="5"/>
  <c r="BE683" i="5"/>
  <c r="BE678" i="5"/>
  <c r="BE649" i="5"/>
  <c r="BE642" i="5"/>
  <c r="BE755" i="5"/>
  <c r="BE769" i="5"/>
  <c r="BE809" i="5"/>
  <c r="BE839" i="5"/>
  <c r="BE752" i="5"/>
  <c r="BE830" i="5"/>
  <c r="BE856" i="5"/>
  <c r="BE857" i="5"/>
  <c r="BE726" i="5"/>
  <c r="BE824" i="5"/>
  <c r="BE844" i="5"/>
  <c r="BE718" i="5"/>
  <c r="BE795" i="5"/>
  <c r="BE932" i="5"/>
  <c r="BE999" i="5"/>
  <c r="BE920" i="5"/>
  <c r="BE924" i="5"/>
  <c r="BE929" i="5"/>
  <c r="BE1023" i="5"/>
  <c r="BE861" i="5"/>
  <c r="BE974" i="5"/>
  <c r="BE918" i="5"/>
  <c r="BE939" i="5"/>
  <c r="BE940" i="5"/>
  <c r="BE980" i="5"/>
  <c r="BE864" i="5"/>
  <c r="BE993" i="5"/>
  <c r="BE908" i="5"/>
  <c r="BE1039" i="5"/>
  <c r="BE1054" i="5"/>
  <c r="BE1063" i="5"/>
  <c r="BE1079" i="5"/>
  <c r="BE1083" i="5"/>
  <c r="BE1098" i="5"/>
  <c r="BE1113" i="5"/>
  <c r="BE1124" i="5"/>
  <c r="BE1133" i="5"/>
  <c r="BE1152" i="5"/>
  <c r="BE1164" i="5"/>
  <c r="BE1169" i="5"/>
  <c r="BE1186" i="5"/>
  <c r="BE1189" i="5"/>
  <c r="BE1205" i="5"/>
  <c r="BE1218" i="5"/>
  <c r="BE1229" i="5"/>
  <c r="BE1241" i="5"/>
  <c r="BE1251" i="5"/>
  <c r="BE1252" i="5"/>
  <c r="BE1253" i="5"/>
  <c r="BE1285" i="5"/>
  <c r="BE1293" i="5"/>
  <c r="BE1296" i="5"/>
  <c r="BE1316" i="5"/>
  <c r="BE1325" i="5"/>
  <c r="BE1348" i="5"/>
  <c r="BE1356" i="5"/>
  <c r="BE1367" i="5"/>
  <c r="BE1373" i="5"/>
  <c r="BE1382" i="5"/>
  <c r="BE1397" i="5"/>
  <c r="BE19" i="5"/>
  <c r="BE34" i="5"/>
  <c r="BE46" i="5"/>
  <c r="BE14" i="5"/>
  <c r="BE76" i="5"/>
  <c r="BE70" i="5"/>
  <c r="BE87" i="5"/>
  <c r="BE112" i="5"/>
  <c r="BE142" i="5"/>
  <c r="BE155" i="5"/>
  <c r="BE64" i="5"/>
  <c r="BE136" i="5"/>
  <c r="BE175" i="5"/>
  <c r="BE171" i="5"/>
  <c r="BE203" i="5"/>
  <c r="BE193" i="5"/>
  <c r="BE237" i="5"/>
  <c r="BE225" i="5"/>
  <c r="BE242" i="5"/>
  <c r="BE258" i="5"/>
  <c r="BE281" i="5"/>
  <c r="BE295" i="5"/>
  <c r="BE301" i="5"/>
  <c r="BE285" i="5"/>
  <c r="BE327" i="5"/>
  <c r="BE333" i="5"/>
  <c r="BE359" i="5"/>
  <c r="BE366" i="5"/>
  <c r="BE380" i="5"/>
  <c r="BE398" i="5"/>
  <c r="BE413" i="5"/>
  <c r="BE415" i="5"/>
  <c r="BE405" i="5"/>
  <c r="BE454" i="5"/>
  <c r="BE469" i="5"/>
  <c r="BE458" i="5"/>
  <c r="BE491" i="5"/>
  <c r="BE493" i="5"/>
  <c r="BE487" i="5"/>
  <c r="BE557" i="5"/>
  <c r="BE529" i="5"/>
  <c r="BE582" i="5"/>
  <c r="BE602" i="5"/>
  <c r="BE612" i="5"/>
  <c r="BE592" i="5"/>
  <c r="BE525" i="5"/>
  <c r="BE618" i="5"/>
  <c r="BE556" i="5"/>
  <c r="BE660" i="5"/>
  <c r="BE680" i="5"/>
  <c r="BE684" i="5"/>
  <c r="BE679" i="5"/>
  <c r="BE650" i="5"/>
  <c r="BE656" i="5"/>
  <c r="BE740" i="5"/>
  <c r="BE765" i="5"/>
  <c r="BE788" i="5"/>
  <c r="BE829" i="5"/>
  <c r="BE822" i="5"/>
  <c r="BE849" i="5"/>
  <c r="BE774" i="5"/>
  <c r="BE737" i="5"/>
  <c r="BE721" i="5"/>
  <c r="BE784" i="5"/>
  <c r="BE847" i="5"/>
  <c r="BE707" i="5"/>
  <c r="BE845" i="5"/>
  <c r="BE933" i="5"/>
  <c r="BE1022" i="5"/>
  <c r="BE1011" i="5"/>
  <c r="BE951" i="5"/>
  <c r="BE956" i="5"/>
  <c r="BE1028" i="5"/>
  <c r="BE962" i="5"/>
  <c r="BE975" i="5"/>
  <c r="BE959" i="5"/>
  <c r="BE966" i="5"/>
  <c r="BE971" i="5"/>
  <c r="BE860" i="5"/>
  <c r="BE865" i="5"/>
  <c r="BE995" i="5"/>
  <c r="BE868" i="5"/>
  <c r="BE1041" i="5"/>
  <c r="BE1050" i="5"/>
  <c r="BE1066" i="5"/>
  <c r="BE1078" i="5"/>
  <c r="BE1087" i="5"/>
  <c r="BE1100" i="5"/>
  <c r="BE1112" i="5"/>
  <c r="BE1125" i="5"/>
  <c r="BE1135" i="5"/>
  <c r="BE1155" i="5"/>
  <c r="BE1148" i="5"/>
  <c r="BE1167" i="5"/>
  <c r="BE1180" i="5"/>
  <c r="BE1196" i="5"/>
  <c r="BE1207" i="5"/>
  <c r="BE1217" i="5"/>
  <c r="BE1230" i="5"/>
  <c r="BE1242" i="5"/>
  <c r="BE1268" i="5"/>
  <c r="BE1260" i="5"/>
  <c r="BE1273" i="5"/>
  <c r="BE1283" i="5"/>
  <c r="BE1297" i="5"/>
  <c r="BE1295" i="5"/>
  <c r="BE1319" i="5"/>
  <c r="BE1327" i="5"/>
  <c r="BE1354" i="5"/>
  <c r="BE1345" i="5"/>
  <c r="BE1362" i="5"/>
  <c r="BE1375" i="5"/>
  <c r="BE1387" i="5"/>
  <c r="BE1399" i="5"/>
  <c r="BE10" i="5"/>
  <c r="BE27" i="5"/>
  <c r="BE49" i="5"/>
  <c r="BE58" i="5"/>
  <c r="BE77" i="5"/>
  <c r="BE92" i="5"/>
  <c r="BE94" i="5"/>
  <c r="BE110" i="5"/>
  <c r="BE102" i="5"/>
  <c r="BE157" i="5"/>
  <c r="BE74" i="5"/>
  <c r="BE161" i="5"/>
  <c r="BE181" i="5"/>
  <c r="BE198" i="5"/>
  <c r="BE196" i="5"/>
  <c r="BE185" i="5"/>
  <c r="BE184" i="5"/>
  <c r="BE232" i="5"/>
  <c r="BE252" i="5"/>
  <c r="BE264" i="5"/>
  <c r="BE272" i="5"/>
  <c r="BE308" i="5"/>
  <c r="BE314" i="5"/>
  <c r="BE288" i="5"/>
  <c r="BE326" i="5"/>
  <c r="BE348" i="5"/>
  <c r="BE355" i="5"/>
  <c r="BE364" i="5"/>
  <c r="BE383" i="5"/>
  <c r="BE388" i="5"/>
  <c r="BE432" i="5"/>
  <c r="BE419" i="5"/>
  <c r="BE407" i="5"/>
  <c r="BE455" i="5"/>
  <c r="BE451" i="5"/>
  <c r="BE442" i="5"/>
  <c r="BE478" i="5"/>
  <c r="BE508" i="5"/>
  <c r="BE510" i="5"/>
  <c r="BE607" i="5"/>
  <c r="BE563" i="5"/>
  <c r="BE564" i="5"/>
  <c r="BE608" i="5"/>
  <c r="BE575" i="5"/>
  <c r="BE516" i="5"/>
  <c r="BE541" i="5"/>
  <c r="BE565" i="5"/>
  <c r="BE617" i="5"/>
  <c r="BE598" i="5"/>
  <c r="BE698" i="5"/>
  <c r="BE663" i="5"/>
  <c r="BE685" i="5"/>
  <c r="BE640" i="5"/>
  <c r="BE635" i="5"/>
  <c r="BE654" i="5"/>
  <c r="BE790" i="5"/>
  <c r="BE742" i="5"/>
  <c r="BE814" i="5"/>
  <c r="BE838" i="5"/>
  <c r="BE749" i="5"/>
  <c r="BE750" i="5"/>
  <c r="BE724" i="5"/>
  <c r="BE753" i="5"/>
  <c r="BE772" i="5"/>
  <c r="BE825" i="5"/>
  <c r="BE850" i="5"/>
  <c r="BE734" i="5"/>
  <c r="BE842" i="5"/>
  <c r="BE859" i="5"/>
  <c r="BE937" i="5"/>
  <c r="BE941" i="5"/>
  <c r="BE925" i="5"/>
  <c r="BE957" i="5"/>
  <c r="BE1027" i="5"/>
  <c r="BE963" i="5"/>
  <c r="BE881" i="5"/>
  <c r="BE895" i="5"/>
  <c r="BE967" i="5"/>
  <c r="BE889" i="5"/>
  <c r="BE909" i="5"/>
  <c r="BE905" i="5"/>
  <c r="BE994" i="5"/>
  <c r="BE1031" i="5"/>
  <c r="BE1042" i="5"/>
  <c r="BE1053" i="5"/>
  <c r="BE1065" i="5"/>
  <c r="BE1077" i="5"/>
  <c r="BE1090" i="5"/>
  <c r="BE1102" i="5"/>
  <c r="BE1114" i="5"/>
  <c r="BE1126" i="5"/>
  <c r="BE1137" i="5"/>
  <c r="BE1150" i="5"/>
  <c r="BE1144" i="5"/>
  <c r="BE1168" i="5"/>
  <c r="BE1183" i="5"/>
  <c r="BE1195" i="5"/>
  <c r="BE1208" i="5"/>
  <c r="BE1224" i="5"/>
  <c r="BE1232" i="5"/>
  <c r="BE1243" i="5"/>
  <c r="BE1258" i="5"/>
  <c r="BE1264" i="5"/>
  <c r="BE1276" i="5"/>
  <c r="BE1287" i="5"/>
  <c r="BE1300" i="5"/>
  <c r="BE1306" i="5"/>
  <c r="BE1323" i="5"/>
  <c r="BE1331" i="5"/>
  <c r="BE1349" i="5"/>
  <c r="BE1334" i="5"/>
  <c r="BE1369" i="5"/>
  <c r="BE1380" i="5"/>
  <c r="BE1388" i="5"/>
  <c r="BE1400" i="5"/>
  <c r="BE3" i="5"/>
  <c r="BE37" i="5"/>
  <c r="BE28" i="5"/>
  <c r="BE26" i="5"/>
  <c r="BE5" i="5"/>
  <c r="BE167" i="5"/>
  <c r="BE68" i="5"/>
  <c r="BE89" i="5"/>
  <c r="BE118" i="5"/>
  <c r="BE116" i="5"/>
  <c r="BE160" i="5"/>
  <c r="BE121" i="5"/>
  <c r="BE130" i="5"/>
  <c r="BE170" i="5"/>
  <c r="BE223" i="5"/>
  <c r="BE215" i="5"/>
  <c r="BE207" i="5"/>
  <c r="BE186" i="5"/>
  <c r="BE238" i="5"/>
  <c r="BE255" i="5"/>
  <c r="BE260" i="5"/>
  <c r="BE271" i="5"/>
  <c r="BE318" i="5"/>
  <c r="BE315" i="5"/>
  <c r="BE305" i="5"/>
  <c r="BE323" i="5"/>
  <c r="BE334" i="5"/>
  <c r="BE373" i="5"/>
  <c r="BE365" i="5"/>
  <c r="BE381" i="5"/>
  <c r="BE397" i="5"/>
  <c r="BE416" i="5"/>
  <c r="BE429" i="5"/>
  <c r="BE427" i="5"/>
  <c r="BE474" i="5"/>
  <c r="BE436" i="5"/>
  <c r="BE464" i="5"/>
  <c r="BE479" i="5"/>
  <c r="BE509" i="5"/>
  <c r="BE503" i="5"/>
  <c r="BE615" i="5"/>
  <c r="BE524" i="5"/>
  <c r="BE581" i="5"/>
  <c r="BE585" i="5"/>
  <c r="BE536" i="5"/>
  <c r="BE543" i="5"/>
  <c r="BE593" i="5"/>
  <c r="BE570" i="5"/>
  <c r="BE611" i="5"/>
  <c r="BE519" i="5"/>
  <c r="BE669" i="5"/>
  <c r="BE681" i="5"/>
  <c r="BE651" i="5"/>
  <c r="BE672" i="5"/>
  <c r="BE655" i="5"/>
  <c r="BE636" i="5"/>
  <c r="BE803" i="5"/>
  <c r="BE701" i="5"/>
  <c r="BE816" i="5"/>
  <c r="BE727" i="5"/>
  <c r="BE766" i="5"/>
  <c r="BE759" i="5"/>
  <c r="BE716" i="5"/>
  <c r="BE717" i="5"/>
  <c r="BE712" i="5"/>
  <c r="BE785" i="5"/>
  <c r="BE848" i="5"/>
  <c r="BE799" i="5"/>
  <c r="BE843" i="5"/>
  <c r="BE869" i="5"/>
  <c r="BE917" i="5"/>
  <c r="BE921" i="5"/>
  <c r="BE952" i="5"/>
  <c r="BE930" i="5"/>
  <c r="BE890" i="5"/>
  <c r="BE936" i="5"/>
  <c r="BE977" i="5"/>
  <c r="BE884" i="5"/>
  <c r="BE968" i="5"/>
  <c r="BE987" i="5"/>
  <c r="BE903" i="5"/>
  <c r="BE901" i="5"/>
  <c r="BE996" i="5"/>
  <c r="BE1045" i="5"/>
  <c r="BE1058" i="5"/>
  <c r="BE1068" i="5"/>
  <c r="BE1081" i="5"/>
  <c r="BE1091" i="5"/>
  <c r="BE1103" i="5"/>
  <c r="BE1117" i="5"/>
  <c r="BE1127" i="5"/>
  <c r="BE1138" i="5"/>
  <c r="BE1158" i="5"/>
  <c r="BE1146" i="5"/>
  <c r="BE1174" i="5"/>
  <c r="BE1185" i="5"/>
  <c r="BE1198" i="5"/>
  <c r="BE1213" i="5"/>
  <c r="BE1222" i="5"/>
  <c r="BE1231" i="5"/>
  <c r="BE1261" i="5"/>
  <c r="BE1269" i="5"/>
  <c r="BE1278" i="5"/>
  <c r="BE1282" i="5"/>
  <c r="BE1298" i="5"/>
  <c r="BE1314" i="5"/>
  <c r="BE1321" i="5"/>
  <c r="BE1347" i="5"/>
  <c r="BE1336" i="5"/>
  <c r="BE1358" i="5"/>
  <c r="BE1370" i="5"/>
  <c r="BE1386" i="5"/>
  <c r="BE1389" i="5"/>
  <c r="BE1401" i="5"/>
  <c r="BE2" i="5"/>
  <c r="BE38" i="5"/>
  <c r="BE41" i="5"/>
  <c r="BE51" i="5"/>
  <c r="BE17" i="5"/>
  <c r="BE97" i="5"/>
  <c r="BE99" i="5"/>
  <c r="BE131" i="5"/>
  <c r="BE148" i="5"/>
  <c r="BE107" i="5"/>
  <c r="BE164" i="5"/>
  <c r="BE165" i="5"/>
  <c r="BE169" i="5"/>
  <c r="BE174" i="5"/>
  <c r="BE224" i="5"/>
  <c r="BE229" i="5"/>
  <c r="BE213" i="5"/>
  <c r="BE220" i="5"/>
  <c r="BE241" i="5"/>
  <c r="BE266" i="5"/>
  <c r="BE262" i="5"/>
  <c r="BE282" i="5"/>
  <c r="BE319" i="5"/>
  <c r="BE321" i="5"/>
  <c r="BE303" i="5"/>
  <c r="BE325" i="5"/>
  <c r="BE346" i="5"/>
  <c r="BE357" i="5"/>
  <c r="BE377" i="5"/>
  <c r="BE387" i="5"/>
  <c r="BE382" i="5"/>
  <c r="BE414" i="5"/>
  <c r="BE435" i="5"/>
  <c r="BE426" i="5"/>
  <c r="BE440" i="5"/>
  <c r="BE470" i="5"/>
  <c r="BE462" i="5"/>
  <c r="BE511" i="5"/>
  <c r="BE484" i="5"/>
  <c r="BE515" i="5"/>
  <c r="BE616" i="5"/>
  <c r="BE606" i="5"/>
  <c r="BE534" i="5"/>
  <c r="BE528" i="5"/>
  <c r="BE587" i="5"/>
  <c r="BE520" i="5"/>
  <c r="BE594" i="5"/>
  <c r="BE571" i="5"/>
  <c r="BE623" i="5"/>
  <c r="BE551" i="5"/>
  <c r="BE674" i="5"/>
  <c r="BE668" i="5"/>
  <c r="BE696" i="5"/>
  <c r="BE639" i="5"/>
  <c r="BE632" i="5"/>
  <c r="BE691" i="5"/>
  <c r="BE801" i="5"/>
  <c r="BE703" i="5"/>
  <c r="BE852" i="5"/>
  <c r="BE763" i="5"/>
  <c r="BE811" i="5"/>
  <c r="BE741" i="5"/>
  <c r="BE715" i="5"/>
  <c r="BE770" i="5"/>
  <c r="BE720" i="5"/>
  <c r="BE789" i="5"/>
  <c r="BE706" i="5"/>
  <c r="BE793" i="5"/>
  <c r="BE702" i="5"/>
  <c r="BE913" i="5"/>
  <c r="BE1000" i="5"/>
  <c r="BE919" i="5"/>
  <c r="BE953" i="5"/>
  <c r="BE931" i="5"/>
  <c r="BE888" i="5"/>
  <c r="BE1014" i="5"/>
  <c r="BE976" i="5"/>
  <c r="BE873" i="5"/>
  <c r="BE948" i="5"/>
  <c r="BE1016" i="5"/>
  <c r="BE904" i="5"/>
  <c r="BE867" i="5"/>
  <c r="BE992" i="5"/>
  <c r="BE1032" i="5"/>
  <c r="BE1043" i="5"/>
  <c r="BE1056" i="5"/>
  <c r="BE1067" i="5"/>
  <c r="BE1076" i="5"/>
  <c r="BE1092" i="5"/>
  <c r="BE1104" i="5"/>
  <c r="BE1115" i="5"/>
  <c r="BE1139" i="5"/>
  <c r="BE1157" i="5"/>
  <c r="BE1154" i="5"/>
  <c r="BE1173" i="5"/>
  <c r="BE1184" i="5"/>
  <c r="BE1197" i="5"/>
  <c r="BE1209" i="5"/>
  <c r="BE1219" i="5"/>
  <c r="BE1233" i="5"/>
  <c r="BE1245" i="5"/>
  <c r="BE1256" i="5"/>
  <c r="BE1274" i="5"/>
  <c r="BE1277" i="5"/>
  <c r="BE1289" i="5"/>
  <c r="BE1291" i="5"/>
  <c r="BE1305" i="5"/>
  <c r="BE1317" i="5"/>
  <c r="BE1359" i="5"/>
  <c r="BE1360" i="5"/>
  <c r="BE1363" i="5"/>
  <c r="BE1381" i="5"/>
  <c r="BE1390" i="5"/>
  <c r="BE1402" i="5"/>
  <c r="BE31" i="5"/>
  <c r="BE42" i="5"/>
  <c r="BE47" i="5"/>
  <c r="BE54" i="5"/>
  <c r="BE45" i="5"/>
  <c r="BE123" i="5"/>
  <c r="BE128" i="5"/>
  <c r="BE95" i="5"/>
  <c r="BE153" i="5"/>
  <c r="BE120" i="5"/>
  <c r="BE162" i="5"/>
  <c r="BE111" i="5"/>
  <c r="BE103" i="5"/>
  <c r="BE173" i="5"/>
  <c r="BE188" i="5"/>
  <c r="BE187" i="5"/>
  <c r="BE222" i="5"/>
  <c r="BE231" i="5"/>
  <c r="BE244" i="5"/>
  <c r="BE246" i="5"/>
  <c r="BE263" i="5"/>
  <c r="BE277" i="5"/>
  <c r="BE296" i="5"/>
  <c r="BE312" i="5"/>
  <c r="BE320" i="5"/>
  <c r="BE328" i="5"/>
  <c r="BE337" i="5"/>
  <c r="BE360" i="5"/>
  <c r="BE356" i="5"/>
  <c r="BE395" i="5"/>
  <c r="BE393" i="5"/>
  <c r="BE417" i="5"/>
  <c r="BE402" i="5"/>
  <c r="BE425" i="5"/>
  <c r="BE437" i="5"/>
  <c r="BE438" i="5"/>
  <c r="BE473" i="5"/>
  <c r="BE496" i="5"/>
  <c r="BE497" i="5"/>
  <c r="BE481" i="5"/>
  <c r="BE624" i="5"/>
  <c r="BE614" i="5"/>
  <c r="BE568" i="5"/>
  <c r="BE583" i="5"/>
  <c r="BE540" i="5"/>
  <c r="BE550" i="5"/>
  <c r="BE595" i="5"/>
  <c r="BE552" i="5"/>
  <c r="BE518" i="5"/>
  <c r="BE628" i="5"/>
  <c r="BE670" i="5"/>
  <c r="BE671" i="5"/>
  <c r="BE697" i="5"/>
  <c r="BE641" i="5"/>
  <c r="BE687" i="5"/>
  <c r="BE692" i="5"/>
  <c r="BE802" i="5"/>
  <c r="BE744" i="5"/>
  <c r="BE853" i="5"/>
  <c r="BE730" i="5"/>
  <c r="BE807" i="5"/>
  <c r="BE796" i="5"/>
  <c r="BE775" i="5"/>
  <c r="BE771" i="5"/>
  <c r="BE713" i="5"/>
  <c r="BE786" i="5"/>
  <c r="BE731" i="5"/>
  <c r="BE794" i="5"/>
  <c r="BE792" i="5"/>
  <c r="BE934" i="5"/>
  <c r="BE1008" i="5"/>
  <c r="BE922" i="5"/>
  <c r="BE926" i="5"/>
  <c r="BE1002" i="5"/>
  <c r="BE882" i="5"/>
  <c r="BE1015" i="5"/>
  <c r="BE947" i="5"/>
  <c r="BE1019" i="5"/>
  <c r="BE969" i="5"/>
  <c r="BE982" i="5"/>
  <c r="BE899" i="5"/>
  <c r="BE906" i="5"/>
  <c r="BE990" i="5"/>
  <c r="BE1033" i="5"/>
  <c r="BE1046" i="5"/>
  <c r="BE1055" i="5"/>
  <c r="BE1073" i="5"/>
  <c r="BE1082" i="5"/>
  <c r="BE1094" i="5"/>
  <c r="BE1105" i="5"/>
  <c r="BE1116" i="5"/>
  <c r="BE1129" i="5"/>
  <c r="BE1141" i="5"/>
  <c r="BE1147" i="5"/>
  <c r="BE1160" i="5"/>
  <c r="BE1179" i="5"/>
  <c r="BE1188" i="5"/>
  <c r="BE1199" i="5"/>
  <c r="BE1210" i="5"/>
  <c r="BE1223" i="5"/>
  <c r="BE1236" i="5"/>
  <c r="BE1244" i="5"/>
  <c r="BE1254" i="5"/>
  <c r="BE1301" i="5"/>
  <c r="BE1312" i="5"/>
  <c r="BE1324" i="5"/>
  <c r="BE1343" i="5"/>
  <c r="BE1340" i="5"/>
  <c r="BE1332" i="5"/>
  <c r="BE1368" i="5"/>
  <c r="BE1377" i="5"/>
  <c r="BE1392" i="5"/>
  <c r="BE1403" i="5"/>
  <c r="BE32" i="5"/>
  <c r="BE29" i="5"/>
  <c r="BE20" i="5"/>
  <c r="BE57" i="5"/>
  <c r="BE53" i="5"/>
  <c r="BE134" i="5"/>
  <c r="BE126" i="5"/>
  <c r="BE79" i="5"/>
  <c r="BE163" i="5"/>
  <c r="BE124" i="5"/>
  <c r="BE144" i="5"/>
  <c r="BE137" i="5"/>
  <c r="BE115" i="5"/>
  <c r="BE178" i="5"/>
  <c r="BE189" i="5"/>
  <c r="BE195" i="5"/>
  <c r="BE205" i="5"/>
  <c r="BE208" i="5"/>
  <c r="BE254" i="5"/>
  <c r="BE256" i="5"/>
  <c r="BE273" i="5"/>
  <c r="BE279" i="5"/>
  <c r="BE297" i="5"/>
  <c r="BE313" i="5"/>
  <c r="BE300" i="5"/>
  <c r="BE324" i="5"/>
  <c r="BE347" i="5"/>
  <c r="BE361" i="5"/>
  <c r="BE353" i="5"/>
  <c r="BE396" i="5"/>
  <c r="BE400" i="5"/>
  <c r="BE428" i="5"/>
  <c r="BE418" i="5"/>
  <c r="BE446" i="5"/>
  <c r="BE456" i="5"/>
  <c r="BE459" i="5"/>
  <c r="BE465" i="5"/>
  <c r="BE498" i="5"/>
  <c r="BE480" i="5"/>
  <c r="BE505" i="5"/>
  <c r="BE549" i="5"/>
  <c r="BE621" i="5"/>
  <c r="BE569" i="5"/>
  <c r="BE574" i="5"/>
  <c r="BE586" i="5"/>
  <c r="BE545" i="5"/>
  <c r="BE596" i="5"/>
  <c r="BE572" i="5"/>
  <c r="BE517" i="5"/>
  <c r="BE627" i="5"/>
  <c r="BE667" i="5"/>
  <c r="BE676" i="5"/>
  <c r="BE661" i="5"/>
  <c r="BE673" i="5"/>
  <c r="BE690" i="5"/>
  <c r="BE694" i="5"/>
  <c r="BE804" i="5"/>
  <c r="BE767" i="5"/>
  <c r="BE855" i="5"/>
  <c r="BE764" i="5"/>
  <c r="BE819" i="5"/>
  <c r="BE806" i="5"/>
  <c r="BE722" i="5"/>
  <c r="BE736" i="5"/>
  <c r="BE728" i="5"/>
  <c r="BE826" i="5"/>
  <c r="BE704" i="5"/>
  <c r="BE778" i="5"/>
  <c r="BE798" i="5"/>
  <c r="BE870" i="5"/>
  <c r="BE1001" i="5"/>
  <c r="BE872" i="5"/>
  <c r="BE927" i="5"/>
  <c r="BE979" i="5"/>
  <c r="BE896" i="5"/>
  <c r="BE1029" i="5"/>
  <c r="BE945" i="5"/>
  <c r="BE964" i="5"/>
  <c r="BE879" i="5"/>
  <c r="BE1017" i="5"/>
  <c r="BE885" i="5"/>
  <c r="BE902" i="5"/>
  <c r="BE991" i="5"/>
  <c r="BE1034" i="5"/>
  <c r="BE1044" i="5"/>
  <c r="BE1060" i="5"/>
  <c r="BE1072" i="5"/>
  <c r="BE1080" i="5"/>
  <c r="BE1095" i="5"/>
  <c r="BE1106" i="5"/>
  <c r="BE1119" i="5"/>
  <c r="BE1128" i="5"/>
  <c r="BE1136" i="5"/>
  <c r="BE1145" i="5"/>
  <c r="BE1161" i="5"/>
  <c r="BE1172" i="5"/>
  <c r="BE1192" i="5"/>
  <c r="BE1201" i="5"/>
  <c r="BE1214" i="5"/>
  <c r="BE1221" i="5"/>
  <c r="BE1235" i="5"/>
  <c r="BE1247" i="5"/>
  <c r="BE1263" i="5"/>
  <c r="BE1265" i="5"/>
  <c r="BE1280" i="5"/>
  <c r="BE1302" i="5"/>
  <c r="BE1315" i="5"/>
  <c r="BE1342" i="5"/>
  <c r="BE1355" i="5"/>
  <c r="BE1372" i="5"/>
  <c r="BE1383" i="5"/>
  <c r="BE1391" i="5"/>
  <c r="BE1404" i="5"/>
  <c r="BE50" i="5"/>
  <c r="BE9" i="5"/>
  <c r="BE21" i="5"/>
  <c r="BE4" i="5"/>
  <c r="BE59" i="5"/>
  <c r="BE135" i="5"/>
  <c r="BE129" i="5"/>
  <c r="BE149" i="5"/>
  <c r="BE143" i="5"/>
  <c r="BE127" i="5"/>
  <c r="BE159" i="5"/>
  <c r="BE147" i="5"/>
  <c r="BE122" i="5"/>
  <c r="BE172" i="5"/>
  <c r="BE191" i="5"/>
  <c r="BE197" i="5"/>
  <c r="BE216" i="5"/>
  <c r="BE209" i="5"/>
  <c r="BE257" i="5"/>
  <c r="BE243" i="5"/>
  <c r="BE267" i="5"/>
  <c r="BE276" i="5"/>
  <c r="BE298" i="5"/>
  <c r="BE310" i="5"/>
  <c r="BE302" i="5"/>
  <c r="BE345" i="5"/>
  <c r="BE338" i="5"/>
  <c r="BE371" i="5"/>
  <c r="BE363" i="5"/>
  <c r="BE391" i="5"/>
  <c r="BE389" i="5"/>
  <c r="BE423" i="5"/>
  <c r="BE406" i="5"/>
  <c r="BE447" i="5"/>
  <c r="BE452" i="5"/>
  <c r="BE460" i="5"/>
  <c r="BE466" i="5"/>
  <c r="BE490" i="5"/>
  <c r="BE494" i="5"/>
  <c r="BE495" i="5"/>
  <c r="BE603" i="5"/>
  <c r="BE559" i="5"/>
  <c r="BE535" i="5"/>
  <c r="BE610" i="5"/>
  <c r="BE531" i="5"/>
  <c r="BE604" i="5"/>
  <c r="BE597" i="5"/>
  <c r="BE521" i="5"/>
  <c r="BE542" i="5"/>
  <c r="BE630" i="5"/>
  <c r="BE675" i="5"/>
  <c r="BE700" i="5"/>
  <c r="BE662" i="5"/>
  <c r="BE689" i="5"/>
  <c r="BE688" i="5"/>
  <c r="BE739" i="5"/>
  <c r="BE757" i="5"/>
  <c r="BE735" i="5"/>
  <c r="BE719" i="5"/>
  <c r="BE818" i="5"/>
  <c r="BE756" i="5"/>
  <c r="BE813" i="5"/>
  <c r="BE776" i="5"/>
  <c r="BE760" i="5"/>
  <c r="BE762" i="5"/>
  <c r="BE815" i="5"/>
  <c r="BE705" i="5"/>
  <c r="BE779" i="5"/>
  <c r="BE832" i="5"/>
  <c r="BE935" i="5"/>
  <c r="BE915" i="5"/>
  <c r="BE960" i="5"/>
  <c r="BE942" i="5"/>
  <c r="BE1003" i="5"/>
  <c r="BE878" i="5"/>
  <c r="BE946" i="5"/>
  <c r="BE981" i="5"/>
  <c r="BE898" i="5"/>
  <c r="BE892" i="5"/>
  <c r="BE985" i="5"/>
  <c r="BE910" i="5"/>
  <c r="BE907" i="5"/>
  <c r="BE997" i="5"/>
  <c r="BE1035" i="5"/>
  <c r="BE1048" i="5"/>
  <c r="BE1059" i="5"/>
  <c r="BE1069" i="5"/>
  <c r="BE1084" i="5"/>
  <c r="BE1093" i="5"/>
  <c r="BE1107" i="5"/>
  <c r="BE1118" i="5"/>
  <c r="BE1140" i="5"/>
  <c r="BE1163" i="5"/>
  <c r="BE1171" i="5"/>
  <c r="BE1165" i="5"/>
  <c r="BE1190" i="5"/>
  <c r="BE1202" i="5"/>
  <c r="BE1211" i="5"/>
  <c r="BE1225" i="5"/>
  <c r="BE1234" i="5"/>
  <c r="BE1257" i="5"/>
  <c r="BE1271" i="5"/>
  <c r="BE1288" i="5"/>
  <c r="BE1290" i="5"/>
  <c r="BE1292" i="5"/>
  <c r="BE1311" i="5"/>
  <c r="BE1320" i="5"/>
  <c r="BE1350" i="5"/>
  <c r="BE1338" i="5"/>
  <c r="BE1365" i="5"/>
  <c r="BE1385" i="5"/>
  <c r="BE1393" i="5"/>
  <c r="BE43" i="5"/>
  <c r="BE39" i="5"/>
  <c r="BE22" i="5"/>
  <c r="BE15" i="5"/>
  <c r="BE67" i="5"/>
  <c r="BE90" i="5"/>
  <c r="BE138" i="5"/>
  <c r="BE145" i="5"/>
  <c r="BE152" i="5"/>
  <c r="BE132" i="5"/>
  <c r="BE60" i="5"/>
  <c r="BE150" i="5"/>
  <c r="BE133" i="5"/>
  <c r="BE179" i="5"/>
  <c r="BE202" i="5"/>
  <c r="BE200" i="5"/>
  <c r="BE206" i="5"/>
  <c r="BE228" i="5"/>
  <c r="BE239" i="5"/>
  <c r="BE261" i="5"/>
  <c r="BE274" i="5"/>
  <c r="BE269" i="5"/>
  <c r="BE299" i="5"/>
  <c r="BE311" i="5"/>
  <c r="BE307" i="5"/>
  <c r="BE343" i="5"/>
  <c r="BE335" i="5"/>
  <c r="BE370" i="5"/>
  <c r="BE354" i="5"/>
  <c r="BE392" i="5"/>
  <c r="BE390" i="5"/>
  <c r="BE430" i="5"/>
  <c r="BE421" i="5"/>
  <c r="BE468" i="5"/>
  <c r="BE444" i="5"/>
  <c r="BE463" i="5"/>
  <c r="BE476" i="5"/>
  <c r="BE499" i="5"/>
  <c r="BE502" i="5"/>
  <c r="BE486" i="5"/>
  <c r="BE561" i="5"/>
  <c r="BE577" i="5"/>
  <c r="BE578" i="5"/>
  <c r="BE537" i="5"/>
  <c r="BE588" i="5"/>
  <c r="BE554" i="5"/>
  <c r="BE539" i="5"/>
  <c r="BE532" i="5"/>
  <c r="BE553" i="5"/>
  <c r="BE648" i="5"/>
  <c r="BE653" i="5"/>
  <c r="BE665" i="5"/>
  <c r="BE677" i="5"/>
  <c r="BE695" i="5"/>
  <c r="BE699" i="5"/>
  <c r="BE810" i="5"/>
  <c r="BE805" i="5"/>
  <c r="BE751" i="5"/>
  <c r="BE747" i="5"/>
  <c r="BE812" i="5"/>
  <c r="BE714" i="5"/>
  <c r="BE831" i="5"/>
  <c r="BE723" i="5"/>
  <c r="BE708" i="5"/>
  <c r="BE781" i="5"/>
  <c r="BE833" i="5"/>
  <c r="BE729" i="5"/>
  <c r="BE800" i="5"/>
  <c r="BE858" i="5"/>
  <c r="BE897" i="5"/>
  <c r="BE916" i="5"/>
  <c r="BE877" i="5"/>
  <c r="BE954" i="5"/>
  <c r="BE1013" i="5"/>
  <c r="BE1012" i="5"/>
  <c r="BE943" i="5"/>
  <c r="BE986" i="5"/>
  <c r="BE965" i="5"/>
  <c r="BE972" i="5"/>
  <c r="BE1009" i="5"/>
  <c r="BE886" i="5"/>
  <c r="BE887" i="5"/>
  <c r="BE998" i="5"/>
  <c r="BE1036" i="5"/>
  <c r="BE1049" i="5"/>
  <c r="BE1057" i="5"/>
  <c r="BE1071" i="5"/>
  <c r="BE1086" i="5"/>
  <c r="BE1096" i="5"/>
  <c r="BE1108" i="5"/>
  <c r="BE1120" i="5"/>
  <c r="BE1130" i="5"/>
  <c r="BE1162" i="5"/>
  <c r="BE1159" i="5"/>
  <c r="BE1166" i="5"/>
  <c r="BE1177" i="5"/>
  <c r="BE1194" i="5"/>
  <c r="BE1200" i="5"/>
  <c r="BE1212" i="5"/>
  <c r="BE1220" i="5"/>
  <c r="BE1239" i="5"/>
  <c r="BE1246" i="5"/>
  <c r="BE1267" i="5"/>
  <c r="BE1272" i="5"/>
  <c r="BE1286" i="5"/>
  <c r="BE1304" i="5"/>
  <c r="BE1294" i="5"/>
  <c r="BE1326" i="5"/>
  <c r="BE1341" i="5"/>
  <c r="BE1353" i="5"/>
  <c r="BE1339" i="5"/>
  <c r="BE1374" i="5"/>
  <c r="BE1384" i="5"/>
  <c r="BE1394" i="5"/>
  <c r="BE48" i="5"/>
  <c r="BE35" i="5"/>
  <c r="BE23" i="5"/>
  <c r="BE16" i="5"/>
  <c r="BE82" i="5"/>
  <c r="BE86" i="5"/>
  <c r="BE75" i="5"/>
  <c r="BE96" i="5"/>
  <c r="BE65" i="5"/>
  <c r="BE139" i="5"/>
  <c r="BE61" i="5"/>
  <c r="BE166" i="5"/>
  <c r="BE158" i="5"/>
  <c r="BE180" i="5"/>
  <c r="BE210" i="5"/>
  <c r="BE201" i="5"/>
  <c r="BE235" i="5"/>
  <c r="BE234" i="5"/>
  <c r="BE249" i="5"/>
  <c r="BE247" i="5"/>
  <c r="BE275" i="5"/>
  <c r="BE289" i="5"/>
  <c r="BE306" i="5"/>
  <c r="BE316" i="5"/>
  <c r="BE331" i="5"/>
  <c r="BE339" i="5"/>
  <c r="BE342" i="5"/>
  <c r="BE358" i="5"/>
  <c r="BE368" i="5"/>
  <c r="BE394" i="5"/>
  <c r="BE408" i="5"/>
  <c r="BE420" i="5"/>
  <c r="BE471" i="5"/>
  <c r="BE445" i="5"/>
  <c r="BE475" i="5"/>
  <c r="BE443" i="5"/>
  <c r="BE492" i="5"/>
  <c r="BE507" i="5"/>
  <c r="BE513" i="5"/>
  <c r="BE526" i="5"/>
  <c r="BE548" i="5"/>
  <c r="BE560" i="5"/>
  <c r="BE546" i="5"/>
  <c r="BE601" i="5"/>
  <c r="BE605" i="5"/>
  <c r="BE620" i="5"/>
  <c r="BE573" i="5"/>
  <c r="BE522" i="5"/>
  <c r="BE629" i="5"/>
  <c r="BE664" i="5"/>
  <c r="BE659" i="5"/>
  <c r="BE644" i="5"/>
  <c r="BE634" i="5"/>
  <c r="BE633" i="5"/>
  <c r="BE837" i="5"/>
  <c r="BE746" i="5"/>
  <c r="BE745" i="5"/>
  <c r="BE821" i="5"/>
  <c r="BE817" i="5"/>
  <c r="BE773" i="5"/>
  <c r="BE835" i="5"/>
  <c r="BE780" i="5"/>
  <c r="BE711" i="5"/>
  <c r="BE783" i="5"/>
  <c r="BE840" i="5"/>
  <c r="BE725" i="5"/>
  <c r="BE777" i="5"/>
  <c r="BE914" i="5"/>
  <c r="BE874" i="5"/>
  <c r="BE949" i="5"/>
  <c r="BE961" i="5"/>
  <c r="BE1004" i="5"/>
  <c r="BE875" i="5"/>
  <c r="BE973" i="5"/>
  <c r="BE1020" i="5"/>
  <c r="BE876" i="5"/>
  <c r="BE970" i="5"/>
  <c r="BE1010" i="5"/>
  <c r="BE862" i="5"/>
  <c r="BE900" i="5"/>
  <c r="BE983" i="5"/>
  <c r="BE1037" i="5"/>
  <c r="BE1047" i="5"/>
  <c r="BE1061" i="5"/>
  <c r="BE1070" i="5"/>
  <c r="BE1085" i="5"/>
  <c r="BE1097" i="5"/>
  <c r="BE1110" i="5"/>
  <c r="BE1122" i="5"/>
  <c r="BE1131" i="5"/>
  <c r="BE1143" i="5"/>
  <c r="BE1142" i="5"/>
  <c r="BE1176" i="5"/>
  <c r="BE1178" i="5"/>
  <c r="BE1187" i="5"/>
  <c r="BE1203" i="5"/>
  <c r="BE1226" i="5"/>
  <c r="BE1238" i="5"/>
  <c r="BE1249" i="5"/>
  <c r="BE1255" i="5"/>
  <c r="BE1266" i="5"/>
  <c r="BE1284" i="5"/>
  <c r="BE1313" i="5"/>
  <c r="BE1309" i="5"/>
  <c r="BE1307" i="5"/>
  <c r="BE1322" i="5"/>
  <c r="BE1352" i="5"/>
  <c r="BE1346" i="5"/>
  <c r="BE1351" i="5"/>
  <c r="BE1364" i="5"/>
  <c r="BE1376" i="5"/>
  <c r="BE1395" i="5"/>
  <c r="BE91" i="5"/>
  <c r="BE218" i="5"/>
  <c r="BE386" i="5"/>
  <c r="BE576" i="5"/>
  <c r="BE643" i="5"/>
  <c r="BE841" i="5"/>
  <c r="BE938" i="5"/>
  <c r="BE1111" i="5"/>
  <c r="BE1248" i="5"/>
  <c r="BE1378" i="5"/>
  <c r="BE80" i="5"/>
  <c r="BE248" i="5"/>
  <c r="BE401" i="5"/>
  <c r="BE566" i="5"/>
  <c r="BE637" i="5"/>
  <c r="BE732" i="5"/>
  <c r="BE894" i="5"/>
  <c r="BE1121" i="5"/>
  <c r="BE1262" i="5"/>
  <c r="BE1396" i="5"/>
  <c r="BE101" i="5"/>
  <c r="BE251" i="5"/>
  <c r="BE409" i="5"/>
  <c r="BE527" i="5"/>
  <c r="BE738" i="5"/>
  <c r="BE797" i="5"/>
  <c r="BE1018" i="5"/>
  <c r="BE1134" i="5"/>
  <c r="BE1259" i="5"/>
  <c r="BE113" i="5"/>
  <c r="BE280" i="5"/>
  <c r="BE434" i="5"/>
  <c r="BE622" i="5"/>
  <c r="BE743" i="5"/>
  <c r="BE911" i="5"/>
  <c r="BE866" i="5"/>
  <c r="BE1149" i="5"/>
  <c r="BE1281" i="5"/>
  <c r="BE146" i="5"/>
  <c r="BE291" i="5"/>
  <c r="BE448" i="5"/>
  <c r="BE567" i="5"/>
  <c r="BE709" i="5"/>
  <c r="BE1006" i="5"/>
  <c r="BE988" i="5"/>
  <c r="BE1151" i="5"/>
  <c r="BE1299" i="5"/>
  <c r="BE63" i="5"/>
  <c r="BE283" i="5"/>
  <c r="BE450" i="5"/>
  <c r="BE619" i="5"/>
  <c r="BE808" i="5"/>
  <c r="BE1026" i="5"/>
  <c r="BE1021" i="5"/>
  <c r="BE1175" i="5"/>
  <c r="BE1303" i="5"/>
  <c r="BE98" i="5"/>
  <c r="BE287" i="5"/>
  <c r="BE461" i="5"/>
  <c r="BE599" i="5"/>
  <c r="BE768" i="5"/>
  <c r="BE923" i="5"/>
  <c r="BE1038" i="5"/>
  <c r="BE1182" i="5"/>
  <c r="BE1328" i="5"/>
  <c r="BE36" i="5"/>
  <c r="BE71" i="5"/>
  <c r="BE332" i="5"/>
  <c r="BE485" i="5"/>
  <c r="BE547" i="5"/>
  <c r="BE827" i="5"/>
  <c r="BE955" i="5"/>
  <c r="BE1052" i="5"/>
  <c r="BE1193" i="5"/>
  <c r="BE1329" i="5"/>
  <c r="BE44" i="5"/>
  <c r="BE183" i="5"/>
  <c r="BE349" i="5"/>
  <c r="BE512" i="5"/>
  <c r="BE657" i="5"/>
  <c r="BE836" i="5"/>
  <c r="BE989" i="5"/>
  <c r="BE1062" i="5"/>
  <c r="BE1204" i="5"/>
  <c r="BE1335" i="5"/>
  <c r="BE24" i="5"/>
  <c r="BE214" i="5"/>
  <c r="BE351" i="5"/>
  <c r="BE506" i="5"/>
  <c r="BE666" i="5"/>
  <c r="BE828" i="5"/>
  <c r="BE880" i="5"/>
  <c r="BE1074" i="5"/>
  <c r="BE1215" i="5"/>
  <c r="BE1337" i="5"/>
  <c r="BE219" i="5"/>
  <c r="BE1099" i="5"/>
  <c r="BE374" i="5"/>
  <c r="BE1227" i="5"/>
  <c r="BE367" i="5"/>
  <c r="BE1237" i="5"/>
  <c r="BE782" i="5"/>
  <c r="BE483" i="5"/>
  <c r="BE1361" i="5"/>
  <c r="BE944" i="5"/>
  <c r="BE523" i="5"/>
  <c r="BE1371" i="5"/>
  <c r="BE693" i="5"/>
  <c r="BE645" i="5"/>
  <c r="BE710" i="5"/>
  <c r="BE83" i="5"/>
  <c r="BE1030" i="5"/>
  <c r="BE199" i="5"/>
  <c r="BE1088" i="5"/>
  <c r="BE55" i="5"/>
  <c r="BI1143" i="5"/>
  <c r="BI1142" i="5"/>
  <c r="BI1176" i="5"/>
  <c r="BI1178" i="5"/>
  <c r="BI1187" i="5"/>
  <c r="BI1203" i="5"/>
  <c r="BI1149" i="5"/>
  <c r="BI1151" i="5"/>
  <c r="BI1175" i="5"/>
  <c r="BI1182" i="5"/>
  <c r="BI1193" i="5"/>
  <c r="BI1204" i="5"/>
  <c r="BI1153" i="5"/>
  <c r="BI1156" i="5"/>
  <c r="BI1170" i="5"/>
  <c r="BI1181" i="5"/>
  <c r="BI1191" i="5"/>
  <c r="BI1206" i="5"/>
  <c r="BI1152" i="5"/>
  <c r="BI1164" i="5"/>
  <c r="BI1169" i="5"/>
  <c r="BI1186" i="5"/>
  <c r="BI1189" i="5"/>
  <c r="BI1205" i="5"/>
  <c r="BI1155" i="5"/>
  <c r="BI1148" i="5"/>
  <c r="BI1167" i="5"/>
  <c r="BI1180" i="5"/>
  <c r="BI1196" i="5"/>
  <c r="BI1207" i="5"/>
  <c r="BI1157" i="5"/>
  <c r="BI1154" i="5"/>
  <c r="BI1173" i="5"/>
  <c r="BI1184" i="5"/>
  <c r="BI1197" i="5"/>
  <c r="BI1209" i="5"/>
  <c r="BI1147" i="5"/>
  <c r="BI1160" i="5"/>
  <c r="BI1179" i="5"/>
  <c r="BI1188" i="5"/>
  <c r="BI1199" i="5"/>
  <c r="BI1210" i="5"/>
  <c r="BI1163" i="5"/>
  <c r="BI1171" i="5"/>
  <c r="BI1165" i="5"/>
  <c r="BI1190" i="5"/>
  <c r="BI1202" i="5"/>
  <c r="BI1211" i="5"/>
  <c r="BI1144" i="5"/>
  <c r="BI1195" i="5"/>
  <c r="BI1146" i="5"/>
  <c r="BI1198" i="5"/>
  <c r="BI1161" i="5"/>
  <c r="BI1201" i="5"/>
  <c r="BI1166" i="5"/>
  <c r="BI1200" i="5"/>
  <c r="BI1168" i="5"/>
  <c r="BI1208" i="5"/>
  <c r="BI1174" i="5"/>
  <c r="BI1213" i="5"/>
  <c r="BI1172" i="5"/>
  <c r="BI1214" i="5"/>
  <c r="BI1145" i="5"/>
  <c r="BI1192" i="5"/>
  <c r="BI1159" i="5"/>
  <c r="BI1194" i="5"/>
  <c r="BI1212" i="5"/>
  <c r="BI1162" i="5"/>
  <c r="BI1158" i="5"/>
  <c r="BI1177" i="5"/>
  <c r="BI1183" i="5"/>
  <c r="BI1150" i="5"/>
  <c r="BI1185" i="5"/>
  <c r="CO25" i="1"/>
  <c r="BH28" i="5"/>
  <c r="BH49" i="5"/>
  <c r="BH80" i="5"/>
  <c r="BH96" i="5"/>
  <c r="BH152" i="5"/>
  <c r="BH170" i="5"/>
  <c r="BH203" i="5"/>
  <c r="BH236" i="5"/>
  <c r="BH204" i="5"/>
  <c r="BH249" i="5"/>
  <c r="BH267" i="5"/>
  <c r="BH296" i="5"/>
  <c r="BH321" i="5"/>
  <c r="BH333" i="5"/>
  <c r="BH378" i="5"/>
  <c r="BH394" i="5"/>
  <c r="BH423" i="5"/>
  <c r="BH41" i="5"/>
  <c r="BH26" i="5"/>
  <c r="BH81" i="5"/>
  <c r="BH101" i="5"/>
  <c r="BH65" i="5"/>
  <c r="BH174" i="5"/>
  <c r="BH223" i="5"/>
  <c r="BH196" i="5"/>
  <c r="BH193" i="5"/>
  <c r="BH233" i="5"/>
  <c r="BH248" i="5"/>
  <c r="BH274" i="5"/>
  <c r="BH297" i="5"/>
  <c r="BH348" i="5"/>
  <c r="BH375" i="5"/>
  <c r="BH386" i="5"/>
  <c r="BH430" i="5"/>
  <c r="BH438" i="5"/>
  <c r="BH497" i="5"/>
  <c r="BH29" i="5"/>
  <c r="BH47" i="5"/>
  <c r="BH51" i="5"/>
  <c r="BH93" i="5"/>
  <c r="BH105" i="5"/>
  <c r="BH113" i="5"/>
  <c r="BH173" i="5"/>
  <c r="BH224" i="5"/>
  <c r="BH215" i="5"/>
  <c r="BH185" i="5"/>
  <c r="BH237" i="5"/>
  <c r="BH240" i="5"/>
  <c r="BH275" i="5"/>
  <c r="BH298" i="5"/>
  <c r="BH334" i="5"/>
  <c r="BH39" i="5"/>
  <c r="BH21" i="5"/>
  <c r="BH57" i="5"/>
  <c r="BH94" i="5"/>
  <c r="BH112" i="5"/>
  <c r="BH108" i="5"/>
  <c r="BH172" i="5"/>
  <c r="BH189" i="5"/>
  <c r="BH187" i="5"/>
  <c r="BH213" i="5"/>
  <c r="BH44" i="5"/>
  <c r="BH23" i="5"/>
  <c r="BH128" i="5"/>
  <c r="BH131" i="5"/>
  <c r="BH118" i="5"/>
  <c r="BH202" i="5"/>
  <c r="BH197" i="5"/>
  <c r="BH205" i="5"/>
  <c r="BH241" i="5"/>
  <c r="BH255" i="5"/>
  <c r="BH284" i="5"/>
  <c r="BH343" i="5"/>
  <c r="BH338" i="5"/>
  <c r="BH361" i="5"/>
  <c r="BH415" i="5"/>
  <c r="BH439" i="5"/>
  <c r="BH514" i="5"/>
  <c r="BH52" i="5"/>
  <c r="BH24" i="5"/>
  <c r="BH126" i="5"/>
  <c r="BH95" i="5"/>
  <c r="BH148" i="5"/>
  <c r="BH210" i="5"/>
  <c r="BH200" i="5"/>
  <c r="BH216" i="5"/>
  <c r="BH244" i="5"/>
  <c r="BH266" i="5"/>
  <c r="BH317" i="5"/>
  <c r="BH339" i="5"/>
  <c r="BH371" i="5"/>
  <c r="BH419" i="5"/>
  <c r="BH467" i="5"/>
  <c r="BH34" i="5"/>
  <c r="BH25" i="5"/>
  <c r="BH138" i="5"/>
  <c r="BH149" i="5"/>
  <c r="BH163" i="5"/>
  <c r="BH175" i="5"/>
  <c r="BH8" i="5"/>
  <c r="BH75" i="5"/>
  <c r="BH125" i="5"/>
  <c r="BH178" i="5"/>
  <c r="BH194" i="5"/>
  <c r="BH259" i="5"/>
  <c r="BH392" i="5"/>
  <c r="BH450" i="5"/>
  <c r="BH506" i="5"/>
  <c r="BH610" i="5"/>
  <c r="BH531" i="5"/>
  <c r="BH700" i="5"/>
  <c r="BH756" i="5"/>
  <c r="BH946" i="5"/>
  <c r="BH981" i="5"/>
  <c r="BH1093" i="5"/>
  <c r="BH1165" i="5"/>
  <c r="BH1211" i="5"/>
  <c r="BH1271" i="5"/>
  <c r="BH1311" i="5"/>
  <c r="BH1338" i="5"/>
  <c r="BH22" i="5"/>
  <c r="BH87" i="5"/>
  <c r="BH142" i="5"/>
  <c r="BH177" i="5"/>
  <c r="BH195" i="5"/>
  <c r="BH242" i="5"/>
  <c r="BH385" i="5"/>
  <c r="BH469" i="5"/>
  <c r="BH537" i="5"/>
  <c r="BH588" i="5"/>
  <c r="BH714" i="5"/>
  <c r="BH943" i="5"/>
  <c r="BH986" i="5"/>
  <c r="BH1071" i="5"/>
  <c r="BH1086" i="5"/>
  <c r="BH1120" i="5"/>
  <c r="BH1272" i="5"/>
  <c r="BH30" i="5"/>
  <c r="BH66" i="5"/>
  <c r="BH201" i="5"/>
  <c r="BH250" i="5"/>
  <c r="BH280" i="5"/>
  <c r="BH399" i="5"/>
  <c r="BH451" i="5"/>
  <c r="BH546" i="5"/>
  <c r="BH601" i="5"/>
  <c r="BH773" i="5"/>
  <c r="BH875" i="5"/>
  <c r="BH973" i="5"/>
  <c r="BH1020" i="5"/>
  <c r="BH1037" i="5"/>
  <c r="BH1070" i="5"/>
  <c r="BH1085" i="5"/>
  <c r="BH1226" i="5"/>
  <c r="BH1266" i="5"/>
  <c r="BH1307" i="5"/>
  <c r="BH1376" i="5"/>
  <c r="BH46" i="5"/>
  <c r="BH89" i="5"/>
  <c r="BH199" i="5"/>
  <c r="BH252" i="5"/>
  <c r="BH278" i="5"/>
  <c r="BH436" i="5"/>
  <c r="BH527" i="5"/>
  <c r="BH622" i="5"/>
  <c r="BH768" i="5"/>
  <c r="BH827" i="5"/>
  <c r="BH880" i="5"/>
  <c r="BH944" i="5"/>
  <c r="BH1030" i="5"/>
  <c r="BH1088" i="5"/>
  <c r="BH1099" i="5"/>
  <c r="BH1111" i="5"/>
  <c r="BH1227" i="5"/>
  <c r="BH1259" i="5"/>
  <c r="BH1371" i="5"/>
  <c r="BH54" i="5"/>
  <c r="BH79" i="5"/>
  <c r="BH221" i="5"/>
  <c r="BH268" i="5"/>
  <c r="BH299" i="5"/>
  <c r="BH470" i="5"/>
  <c r="BH538" i="5"/>
  <c r="BH589" i="5"/>
  <c r="BH758" i="5"/>
  <c r="BH787" i="5"/>
  <c r="BH1025" i="5"/>
  <c r="BH883" i="5"/>
  <c r="BH1089" i="5"/>
  <c r="BH1101" i="5"/>
  <c r="BH1228" i="5"/>
  <c r="BH145" i="5"/>
  <c r="BH188" i="5"/>
  <c r="BH207" i="5"/>
  <c r="BH306" i="5"/>
  <c r="BH349" i="5"/>
  <c r="BH369" i="5"/>
  <c r="BH459" i="5"/>
  <c r="BH508" i="5"/>
  <c r="BH579" i="5"/>
  <c r="BH626" i="5"/>
  <c r="BH752" i="5"/>
  <c r="BH830" i="5"/>
  <c r="BH861" i="5"/>
  <c r="BH974" i="5"/>
  <c r="BH1083" i="5"/>
  <c r="BH1098" i="5"/>
  <c r="BH1133" i="5"/>
  <c r="BH1189" i="5"/>
  <c r="BH1205" i="5"/>
  <c r="BH1229" i="5"/>
  <c r="BH1356" i="5"/>
  <c r="BH1373" i="5"/>
  <c r="BH1397" i="5"/>
  <c r="BH9" i="5"/>
  <c r="BH114" i="5"/>
  <c r="BH190" i="5"/>
  <c r="BH211" i="5"/>
  <c r="BH304" i="5"/>
  <c r="BH344" i="5"/>
  <c r="BH360" i="5"/>
  <c r="BH408" i="5"/>
  <c r="BH460" i="5"/>
  <c r="BH509" i="5"/>
  <c r="BH602" i="5"/>
  <c r="BH612" i="5"/>
  <c r="BH822" i="5"/>
  <c r="BH849" i="5"/>
  <c r="BH962" i="5"/>
  <c r="BH975" i="5"/>
  <c r="BH1100" i="5"/>
  <c r="BH1125" i="5"/>
  <c r="BH27" i="5"/>
  <c r="BH99" i="5"/>
  <c r="BH143" i="5"/>
  <c r="BH192" i="5"/>
  <c r="BH219" i="5"/>
  <c r="BH257" i="5"/>
  <c r="BH315" i="5"/>
  <c r="BH330" i="5"/>
  <c r="BH340" i="5"/>
  <c r="BH404" i="5"/>
  <c r="BH444" i="5"/>
  <c r="BH502" i="5"/>
  <c r="BH583" i="5"/>
  <c r="BH540" i="5"/>
  <c r="BH550" i="5"/>
  <c r="BH671" i="5"/>
  <c r="BH807" i="5"/>
  <c r="BH1015" i="5"/>
  <c r="BH947" i="5"/>
  <c r="BH20" i="5"/>
  <c r="BH129" i="5"/>
  <c r="BH119" i="5"/>
  <c r="BH181" i="5"/>
  <c r="BH229" i="5"/>
  <c r="BH239" i="5"/>
  <c r="BH347" i="5"/>
  <c r="BH391" i="5"/>
  <c r="BH445" i="5"/>
  <c r="BH507" i="5"/>
  <c r="BH574" i="5"/>
  <c r="BH586" i="5"/>
  <c r="BH676" i="5"/>
  <c r="BH819" i="5"/>
  <c r="BH1029" i="5"/>
  <c r="BH945" i="5"/>
  <c r="BH1034" i="5"/>
  <c r="BH40" i="5"/>
  <c r="BH314" i="5"/>
  <c r="BH452" i="5"/>
  <c r="BH536" i="5"/>
  <c r="BH749" i="5"/>
  <c r="BH1014" i="5"/>
  <c r="BH1055" i="5"/>
  <c r="BH1315" i="5"/>
  <c r="BH1399" i="5"/>
  <c r="BH254" i="5"/>
  <c r="BH463" i="5"/>
  <c r="BH587" i="5"/>
  <c r="BH766" i="5"/>
  <c r="BH881" i="5"/>
  <c r="BH1031" i="5"/>
  <c r="BH1116" i="5"/>
  <c r="BH1161" i="5"/>
  <c r="BH1294" i="5"/>
  <c r="BH1384" i="5"/>
  <c r="BH475" i="5"/>
  <c r="BH516" i="5"/>
  <c r="BH811" i="5"/>
  <c r="BH977" i="5"/>
  <c r="BH1065" i="5"/>
  <c r="BH1196" i="5"/>
  <c r="BH1214" i="5"/>
  <c r="BH1401" i="5"/>
  <c r="BH543" i="5"/>
  <c r="BH976" i="5"/>
  <c r="BH1068" i="5"/>
  <c r="BH1094" i="5"/>
  <c r="BH1126" i="5"/>
  <c r="BH1345" i="5"/>
  <c r="BH341" i="5"/>
  <c r="BH409" i="5"/>
  <c r="BH520" i="5"/>
  <c r="BH1095" i="5"/>
  <c r="BH1243" i="5"/>
  <c r="BH1334" i="5"/>
  <c r="BH1387" i="5"/>
  <c r="BH191" i="5"/>
  <c r="BH346" i="5"/>
  <c r="BH431" i="5"/>
  <c r="BH1358" i="5"/>
  <c r="BH214" i="5"/>
  <c r="BH337" i="5"/>
  <c r="BH403" i="5"/>
  <c r="BH1199" i="5"/>
  <c r="BH1274" i="5"/>
  <c r="BH1287" i="5"/>
  <c r="BH1360" i="5"/>
  <c r="BH1366" i="5"/>
  <c r="BH117" i="5"/>
  <c r="BH222" i="5"/>
  <c r="BH358" i="5"/>
  <c r="BH480" i="5"/>
  <c r="BH1105" i="5"/>
  <c r="BH1265" i="5"/>
  <c r="BH1289" i="5"/>
  <c r="BH1355" i="5"/>
  <c r="BH110" i="5"/>
  <c r="BH206" i="5"/>
  <c r="BH374" i="5"/>
  <c r="BH494" i="5"/>
  <c r="BH1053" i="5"/>
  <c r="BH1076" i="5"/>
  <c r="BH1314" i="5"/>
  <c r="BH7" i="5"/>
  <c r="BH153" i="5"/>
  <c r="BH235" i="5"/>
  <c r="BH283" i="5"/>
  <c r="BH528" i="5"/>
  <c r="BH963" i="5"/>
  <c r="BH1058" i="5"/>
  <c r="BH1082" i="5"/>
  <c r="BH1185" i="5"/>
  <c r="BH1305" i="5"/>
  <c r="BH1330" i="5"/>
  <c r="BH1394" i="5"/>
  <c r="BH370" i="5"/>
  <c r="BH35" i="5"/>
  <c r="BH936" i="5"/>
  <c r="BH1332" i="5"/>
  <c r="BH226" i="5"/>
  <c r="BH1282" i="5"/>
  <c r="BH1172" i="5"/>
  <c r="BH575" i="5"/>
  <c r="BH1056" i="5"/>
  <c r="BH1184" i="5"/>
  <c r="BH1398" i="5"/>
  <c r="BH1201" i="5"/>
  <c r="BH1312" i="5"/>
  <c r="BH301" i="5"/>
  <c r="BH484" i="5"/>
  <c r="BH100" i="5"/>
  <c r="CP77" i="1"/>
  <c r="BI33" i="5"/>
  <c r="BI32" i="5"/>
  <c r="BI29" i="5"/>
  <c r="BI47" i="5"/>
  <c r="BI51" i="5"/>
  <c r="BI5" i="5"/>
  <c r="BI77" i="5"/>
  <c r="BI70" i="5"/>
  <c r="BI93" i="5"/>
  <c r="BI105" i="5"/>
  <c r="BI113" i="5"/>
  <c r="BI139" i="5"/>
  <c r="BI60" i="5"/>
  <c r="BI147" i="5"/>
  <c r="BI115" i="5"/>
  <c r="BI173" i="5"/>
  <c r="BI224" i="5"/>
  <c r="BI215" i="5"/>
  <c r="BI185" i="5"/>
  <c r="BI237" i="5"/>
  <c r="BI230" i="5"/>
  <c r="BI240" i="5"/>
  <c r="BI251" i="5"/>
  <c r="BI275" i="5"/>
  <c r="BI269" i="5"/>
  <c r="BI298" i="5"/>
  <c r="BI313" i="5"/>
  <c r="BI320" i="5"/>
  <c r="BI50" i="5"/>
  <c r="BI9" i="5"/>
  <c r="BI20" i="5"/>
  <c r="BI54" i="5"/>
  <c r="BI17" i="5"/>
  <c r="BI167" i="5"/>
  <c r="BI92" i="5"/>
  <c r="BI87" i="5"/>
  <c r="BI114" i="5"/>
  <c r="BI119" i="5"/>
  <c r="BI43" i="5"/>
  <c r="BI39" i="5"/>
  <c r="BI21" i="5"/>
  <c r="BI57" i="5"/>
  <c r="BI45" i="5"/>
  <c r="BI97" i="5"/>
  <c r="BI68" i="5"/>
  <c r="BI94" i="5"/>
  <c r="BI112" i="5"/>
  <c r="BI108" i="5"/>
  <c r="BI151" i="5"/>
  <c r="BI63" i="5"/>
  <c r="BI166" i="5"/>
  <c r="BI133" i="5"/>
  <c r="BI172" i="5"/>
  <c r="BI189" i="5"/>
  <c r="BI187" i="5"/>
  <c r="BI213" i="5"/>
  <c r="BI186" i="5"/>
  <c r="BI232" i="5"/>
  <c r="BI242" i="5"/>
  <c r="BI265" i="5"/>
  <c r="BI278" i="5"/>
  <c r="BI291" i="5"/>
  <c r="BI18" i="5"/>
  <c r="BI35" i="5"/>
  <c r="BI22" i="5"/>
  <c r="BI4" i="5"/>
  <c r="BI53" i="5"/>
  <c r="BI123" i="5"/>
  <c r="BI99" i="5"/>
  <c r="BI89" i="5"/>
  <c r="BI110" i="5"/>
  <c r="BI142" i="5"/>
  <c r="BI156" i="5"/>
  <c r="BI69" i="5"/>
  <c r="BI98" i="5"/>
  <c r="BI158" i="5"/>
  <c r="BI179" i="5"/>
  <c r="BI191" i="5"/>
  <c r="BI195" i="5"/>
  <c r="BI222" i="5"/>
  <c r="BI220" i="5"/>
  <c r="BI238" i="5"/>
  <c r="BI36" i="5"/>
  <c r="BI44" i="5"/>
  <c r="BI23" i="5"/>
  <c r="BI15" i="5"/>
  <c r="BI59" i="5"/>
  <c r="BI134" i="5"/>
  <c r="BI128" i="5"/>
  <c r="BI131" i="5"/>
  <c r="BI118" i="5"/>
  <c r="BI102" i="5"/>
  <c r="BI155" i="5"/>
  <c r="BI72" i="5"/>
  <c r="BI104" i="5"/>
  <c r="BI71" i="5"/>
  <c r="BI180" i="5"/>
  <c r="BI202" i="5"/>
  <c r="BI197" i="5"/>
  <c r="BI205" i="5"/>
  <c r="BI231" i="5"/>
  <c r="BI241" i="5"/>
  <c r="BI255" i="5"/>
  <c r="BI264" i="5"/>
  <c r="BI281" i="5"/>
  <c r="BI294" i="5"/>
  <c r="BI284" i="5"/>
  <c r="BI287" i="5"/>
  <c r="BI10" i="5"/>
  <c r="BI34" i="5"/>
  <c r="BI25" i="5"/>
  <c r="BI12" i="5"/>
  <c r="BI83" i="5"/>
  <c r="BI86" i="5"/>
  <c r="BI138" i="5"/>
  <c r="BI149" i="5"/>
  <c r="BI163" i="5"/>
  <c r="BI120" i="5"/>
  <c r="BI164" i="5"/>
  <c r="BI121" i="5"/>
  <c r="BI161" i="5"/>
  <c r="BI175" i="5"/>
  <c r="BI176" i="5"/>
  <c r="BI226" i="5"/>
  <c r="BI199" i="5"/>
  <c r="BI3" i="5"/>
  <c r="BI37" i="5"/>
  <c r="BI27" i="5"/>
  <c r="BI46" i="5"/>
  <c r="BI13" i="5"/>
  <c r="BI84" i="5"/>
  <c r="BI91" i="5"/>
  <c r="BI75" i="5"/>
  <c r="BI145" i="5"/>
  <c r="BI143" i="5"/>
  <c r="BI124" i="5"/>
  <c r="BI162" i="5"/>
  <c r="BI165" i="5"/>
  <c r="BI130" i="5"/>
  <c r="BI181" i="5"/>
  <c r="BI171" i="5"/>
  <c r="BI192" i="5"/>
  <c r="BI221" i="5"/>
  <c r="BI2" i="5"/>
  <c r="BI38" i="5"/>
  <c r="BI28" i="5"/>
  <c r="BI49" i="5"/>
  <c r="BI14" i="5"/>
  <c r="BI88" i="5"/>
  <c r="BI78" i="5"/>
  <c r="BI80" i="5"/>
  <c r="BI96" i="5"/>
  <c r="BI152" i="5"/>
  <c r="BI7" i="5"/>
  <c r="BI6" i="5"/>
  <c r="BI66" i="5"/>
  <c r="BI132" i="5"/>
  <c r="BI137" i="5"/>
  <c r="BI174" i="5"/>
  <c r="BI196" i="5"/>
  <c r="BI219" i="5"/>
  <c r="BI217" i="5"/>
  <c r="BI256" i="5"/>
  <c r="BI274" i="5"/>
  <c r="BI293" i="5"/>
  <c r="BI301" i="5"/>
  <c r="BI288" i="5"/>
  <c r="BI52" i="5"/>
  <c r="BI67" i="5"/>
  <c r="BI95" i="5"/>
  <c r="BI146" i="5"/>
  <c r="BI150" i="5"/>
  <c r="BI178" i="5"/>
  <c r="BI229" i="5"/>
  <c r="BI204" i="5"/>
  <c r="BI244" i="5"/>
  <c r="BI243" i="5"/>
  <c r="BI280" i="5"/>
  <c r="BI295" i="5"/>
  <c r="BI314" i="5"/>
  <c r="BI305" i="5"/>
  <c r="BI40" i="5"/>
  <c r="BI82" i="5"/>
  <c r="BI79" i="5"/>
  <c r="BI154" i="5"/>
  <c r="BI168" i="5"/>
  <c r="BI177" i="5"/>
  <c r="BI194" i="5"/>
  <c r="BI233" i="5"/>
  <c r="BI254" i="5"/>
  <c r="BI261" i="5"/>
  <c r="BI268" i="5"/>
  <c r="BI308" i="5"/>
  <c r="BI315" i="5"/>
  <c r="BI303" i="5"/>
  <c r="BI41" i="5"/>
  <c r="BI76" i="5"/>
  <c r="BI101" i="5"/>
  <c r="BI157" i="5"/>
  <c r="BI109" i="5"/>
  <c r="BI183" i="5"/>
  <c r="BI200" i="5"/>
  <c r="BI184" i="5"/>
  <c r="BI257" i="5"/>
  <c r="BI247" i="5"/>
  <c r="BI270" i="5"/>
  <c r="BI318" i="5"/>
  <c r="BI321" i="5"/>
  <c r="BI300" i="5"/>
  <c r="BI8" i="5"/>
  <c r="BI106" i="5"/>
  <c r="BI117" i="5"/>
  <c r="BI160" i="5"/>
  <c r="BI136" i="5"/>
  <c r="BI182" i="5"/>
  <c r="BI201" i="5"/>
  <c r="BI212" i="5"/>
  <c r="BI239" i="5"/>
  <c r="BI245" i="5"/>
  <c r="BI272" i="5"/>
  <c r="BI319" i="5"/>
  <c r="BI312" i="5"/>
  <c r="BI302" i="5"/>
  <c r="BI31" i="5"/>
  <c r="BI26" i="5"/>
  <c r="BI85" i="5"/>
  <c r="BI65" i="5"/>
  <c r="BI61" i="5"/>
  <c r="BI122" i="5"/>
  <c r="BI188" i="5"/>
  <c r="BI207" i="5"/>
  <c r="BI228" i="5"/>
  <c r="BI259" i="5"/>
  <c r="BI260" i="5"/>
  <c r="BI277" i="5"/>
  <c r="BI299" i="5"/>
  <c r="BI322" i="5"/>
  <c r="BI48" i="5"/>
  <c r="BI56" i="5"/>
  <c r="BI100" i="5"/>
  <c r="BI125" i="5"/>
  <c r="BI73" i="5"/>
  <c r="BI141" i="5"/>
  <c r="BI190" i="5"/>
  <c r="BI211" i="5"/>
  <c r="BI234" i="5"/>
  <c r="BI250" i="5"/>
  <c r="BI262" i="5"/>
  <c r="BI279" i="5"/>
  <c r="BI306" i="5"/>
  <c r="BI316" i="5"/>
  <c r="BI19" i="5"/>
  <c r="BI55" i="5"/>
  <c r="BI129" i="5"/>
  <c r="BI107" i="5"/>
  <c r="BI74" i="5"/>
  <c r="BI140" i="5"/>
  <c r="BI214" i="5"/>
  <c r="BI206" i="5"/>
  <c r="BI227" i="5"/>
  <c r="BI266" i="5"/>
  <c r="BI273" i="5"/>
  <c r="BI289" i="5"/>
  <c r="BI283" i="5"/>
  <c r="BI290" i="5"/>
  <c r="BI135" i="5"/>
  <c r="BI169" i="5"/>
  <c r="BI208" i="5"/>
  <c r="BI271" i="5"/>
  <c r="BI309" i="5"/>
  <c r="BI90" i="5"/>
  <c r="BI103" i="5"/>
  <c r="BI209" i="5"/>
  <c r="BI282" i="5"/>
  <c r="BI307" i="5"/>
  <c r="BI126" i="5"/>
  <c r="BI62" i="5"/>
  <c r="BI218" i="5"/>
  <c r="BI276" i="5"/>
  <c r="BI81" i="5"/>
  <c r="BI170" i="5"/>
  <c r="BI225" i="5"/>
  <c r="BI292" i="5"/>
  <c r="BI148" i="5"/>
  <c r="BI198" i="5"/>
  <c r="BI249" i="5"/>
  <c r="BI296" i="5"/>
  <c r="BI153" i="5"/>
  <c r="BI223" i="5"/>
  <c r="BI248" i="5"/>
  <c r="BI297" i="5"/>
  <c r="BI11" i="5"/>
  <c r="BI116" i="5"/>
  <c r="BI210" i="5"/>
  <c r="BI252" i="5"/>
  <c r="BI304" i="5"/>
  <c r="BI16" i="5"/>
  <c r="BI64" i="5"/>
  <c r="BI216" i="5"/>
  <c r="BI263" i="5"/>
  <c r="BI286" i="5"/>
  <c r="BI58" i="5"/>
  <c r="BI111" i="5"/>
  <c r="BI235" i="5"/>
  <c r="BI267" i="5"/>
  <c r="BI285" i="5"/>
  <c r="BI127" i="5"/>
  <c r="BI144" i="5"/>
  <c r="BI159" i="5"/>
  <c r="BI203" i="5"/>
  <c r="BI236" i="5"/>
  <c r="BI193" i="5"/>
  <c r="BI246" i="5"/>
  <c r="BI258" i="5"/>
  <c r="BI42" i="5"/>
  <c r="BI317" i="5"/>
  <c r="BI24" i="5"/>
  <c r="BI310" i="5"/>
  <c r="BI30" i="5"/>
  <c r="BI253" i="5"/>
  <c r="BI311" i="5"/>
  <c r="CM305" i="1"/>
  <c r="BF1183" i="5"/>
  <c r="BF1208" i="5"/>
  <c r="BF1224" i="5"/>
  <c r="BF1300" i="5"/>
  <c r="BF1306" i="5"/>
  <c r="BF1349" i="5"/>
  <c r="BF1241" i="5"/>
  <c r="BF1302" i="5"/>
  <c r="BF1337" i="5"/>
  <c r="BF1373" i="5"/>
  <c r="BF1387" i="5"/>
  <c r="BF1171" i="5"/>
  <c r="BF1187" i="5"/>
  <c r="BF1242" i="5"/>
  <c r="BF1261" i="5"/>
  <c r="BF1367" i="5"/>
  <c r="BF1163" i="5"/>
  <c r="BF1256" i="5"/>
  <c r="BF1280" i="5"/>
  <c r="BF1304" i="5"/>
  <c r="BF1344" i="5"/>
  <c r="BF1362" i="5"/>
  <c r="BF1386" i="5"/>
  <c r="BF1328" i="5"/>
  <c r="BF1370" i="5"/>
  <c r="BF1207" i="5"/>
  <c r="BF1244" i="5"/>
  <c r="BF1286" i="5"/>
  <c r="BF1313" i="5"/>
  <c r="BF1303" i="5"/>
  <c r="BF1354" i="5"/>
  <c r="BF1363" i="5"/>
  <c r="BF1247" i="5"/>
  <c r="BF1257" i="5"/>
  <c r="BF1316" i="5"/>
  <c r="BF1360" i="5"/>
  <c r="BF1393" i="5"/>
  <c r="BF1180" i="5"/>
  <c r="BF1198" i="5"/>
  <c r="BF1319" i="5"/>
  <c r="BF1394" i="5"/>
  <c r="BF1197" i="5"/>
  <c r="BF1221" i="5"/>
  <c r="BF1246" i="5"/>
  <c r="BF1255" i="5"/>
  <c r="BF1259" i="5"/>
  <c r="BF1279" i="5"/>
  <c r="BF1293" i="5"/>
  <c r="BF1384" i="5"/>
  <c r="BF1395" i="5"/>
  <c r="BF1174" i="5"/>
  <c r="BF1262" i="5"/>
  <c r="BF1275" i="5"/>
  <c r="BF1343" i="5"/>
  <c r="BF1338" i="5"/>
  <c r="BF1238" i="5"/>
  <c r="BF1270" i="5"/>
  <c r="BF1378" i="5"/>
  <c r="BF1250" i="5"/>
  <c r="BF1397" i="5"/>
  <c r="BF1320" i="5"/>
  <c r="BF1190" i="5"/>
  <c r="BF1361" i="5"/>
  <c r="BF1260" i="5"/>
  <c r="BF1278" i="5"/>
  <c r="BI1226" i="5"/>
  <c r="BI1215" i="5"/>
  <c r="BI1227" i="5"/>
  <c r="BI1216" i="5"/>
  <c r="BI1228" i="5"/>
  <c r="BI1218" i="5"/>
  <c r="BI1229" i="5"/>
  <c r="BI1217" i="5"/>
  <c r="BI1230" i="5"/>
  <c r="BI1219" i="5"/>
  <c r="BI1223" i="5"/>
  <c r="BI1225" i="5"/>
  <c r="BI1232" i="5"/>
  <c r="BI1231" i="5"/>
  <c r="BI1221" i="5"/>
  <c r="BI1220" i="5"/>
  <c r="BI1224" i="5"/>
  <c r="BI1222" i="5"/>
  <c r="CO284" i="1"/>
  <c r="BH14" i="5"/>
  <c r="BH127" i="5"/>
  <c r="BH144" i="5"/>
  <c r="BH111" i="5"/>
  <c r="BH218" i="5"/>
  <c r="BH261" i="5"/>
  <c r="BH305" i="5"/>
  <c r="BH326" i="5"/>
  <c r="BH418" i="5"/>
  <c r="BH132" i="5"/>
  <c r="BH159" i="5"/>
  <c r="BH137" i="5"/>
  <c r="BH227" i="5"/>
  <c r="BH247" i="5"/>
  <c r="BH312" i="5"/>
  <c r="BH303" i="5"/>
  <c r="BH406" i="5"/>
  <c r="BH473" i="5"/>
  <c r="BH481" i="5"/>
  <c r="BH139" i="5"/>
  <c r="BH60" i="5"/>
  <c r="BH147" i="5"/>
  <c r="BH230" i="5"/>
  <c r="BH251" i="5"/>
  <c r="BH313" i="5"/>
  <c r="BH320" i="5"/>
  <c r="BH366" i="5"/>
  <c r="BH151" i="5"/>
  <c r="BH63" i="5"/>
  <c r="BH166" i="5"/>
  <c r="BH186" i="5"/>
  <c r="BH15" i="5"/>
  <c r="BH102" i="5"/>
  <c r="BH155" i="5"/>
  <c r="BH72" i="5"/>
  <c r="BH104" i="5"/>
  <c r="BH180" i="5"/>
  <c r="BH231" i="5"/>
  <c r="BH281" i="5"/>
  <c r="BH287" i="5"/>
  <c r="BH356" i="5"/>
  <c r="BH397" i="5"/>
  <c r="BH441" i="5"/>
  <c r="BH16" i="5"/>
  <c r="BH116" i="5"/>
  <c r="BH157" i="5"/>
  <c r="BH64" i="5"/>
  <c r="BH109" i="5"/>
  <c r="BH183" i="5"/>
  <c r="BH208" i="5"/>
  <c r="BH272" i="5"/>
  <c r="BH286" i="5"/>
  <c r="BH335" i="5"/>
  <c r="BH353" i="5"/>
  <c r="BH382" i="5"/>
  <c r="BH457" i="5"/>
  <c r="BH504" i="5"/>
  <c r="BH12" i="5"/>
  <c r="BH120" i="5"/>
  <c r="BH164" i="5"/>
  <c r="BH121" i="5"/>
  <c r="BH161" i="5"/>
  <c r="BH74" i="5"/>
  <c r="BH212" i="5"/>
  <c r="BH311" i="5"/>
  <c r="BH327" i="5"/>
  <c r="BH342" i="5"/>
  <c r="BH376" i="5"/>
  <c r="BH435" i="5"/>
  <c r="BH464" i="5"/>
  <c r="BH604" i="5"/>
  <c r="BH597" i="5"/>
  <c r="BH521" i="5"/>
  <c r="BH542" i="5"/>
  <c r="BH662" i="5"/>
  <c r="BH689" i="5"/>
  <c r="BH688" i="5"/>
  <c r="BH813" i="5"/>
  <c r="BH776" i="5"/>
  <c r="BH760" i="5"/>
  <c r="BH762" i="5"/>
  <c r="BH815" i="5"/>
  <c r="BH705" i="5"/>
  <c r="BH779" i="5"/>
  <c r="BH832" i="5"/>
  <c r="BH898" i="5"/>
  <c r="BH892" i="5"/>
  <c r="BH985" i="5"/>
  <c r="BH910" i="5"/>
  <c r="BH907" i="5"/>
  <c r="BH997" i="5"/>
  <c r="BH1035" i="5"/>
  <c r="BH1059" i="5"/>
  <c r="BH1107" i="5"/>
  <c r="BH165" i="5"/>
  <c r="BH220" i="5"/>
  <c r="BH322" i="5"/>
  <c r="BH351" i="5"/>
  <c r="BH377" i="5"/>
  <c r="BH402" i="5"/>
  <c r="BH462" i="5"/>
  <c r="BH487" i="5"/>
  <c r="BH554" i="5"/>
  <c r="BH539" i="5"/>
  <c r="BH532" i="5"/>
  <c r="BH665" i="5"/>
  <c r="BH677" i="5"/>
  <c r="BH695" i="5"/>
  <c r="BH699" i="5"/>
  <c r="BH831" i="5"/>
  <c r="BH723" i="5"/>
  <c r="BH708" i="5"/>
  <c r="BH781" i="5"/>
  <c r="BH833" i="5"/>
  <c r="BH729" i="5"/>
  <c r="BH800" i="5"/>
  <c r="BH858" i="5"/>
  <c r="BH965" i="5"/>
  <c r="BH972" i="5"/>
  <c r="BH1009" i="5"/>
  <c r="BH886" i="5"/>
  <c r="BH887" i="5"/>
  <c r="BH998" i="5"/>
  <c r="BH1057" i="5"/>
  <c r="BH1096" i="5"/>
  <c r="BH1177" i="5"/>
  <c r="BH1212" i="5"/>
  <c r="BH107" i="5"/>
  <c r="BH150" i="5"/>
  <c r="BH179" i="5"/>
  <c r="BH209" i="5"/>
  <c r="BH316" i="5"/>
  <c r="BH421" i="5"/>
  <c r="BH465" i="5"/>
  <c r="BH510" i="5"/>
  <c r="BH605" i="5"/>
  <c r="BH620" i="5"/>
  <c r="BH573" i="5"/>
  <c r="BH659" i="5"/>
  <c r="BH644" i="5"/>
  <c r="BH634" i="5"/>
  <c r="BH835" i="5"/>
  <c r="BH780" i="5"/>
  <c r="BH711" i="5"/>
  <c r="BH783" i="5"/>
  <c r="BH840" i="5"/>
  <c r="BH725" i="5"/>
  <c r="BH777" i="5"/>
  <c r="BH876" i="5"/>
  <c r="BH970" i="5"/>
  <c r="BH1010" i="5"/>
  <c r="BH862" i="5"/>
  <c r="BH900" i="5"/>
  <c r="BH983" i="5"/>
  <c r="BH1097" i="5"/>
  <c r="BH1122" i="5"/>
  <c r="BH1203" i="5"/>
  <c r="BH1351" i="5"/>
  <c r="BH124" i="5"/>
  <c r="BH168" i="5"/>
  <c r="BH182" i="5"/>
  <c r="BH228" i="5"/>
  <c r="BH290" i="5"/>
  <c r="BH398" i="5"/>
  <c r="BH420" i="5"/>
  <c r="BH466" i="5"/>
  <c r="BH503" i="5"/>
  <c r="BH567" i="5"/>
  <c r="BH619" i="5"/>
  <c r="BH599" i="5"/>
  <c r="BH693" i="5"/>
  <c r="BH645" i="5"/>
  <c r="BH643" i="5"/>
  <c r="BH836" i="5"/>
  <c r="BH828" i="5"/>
  <c r="BH710" i="5"/>
  <c r="BH782" i="5"/>
  <c r="BH841" i="5"/>
  <c r="BH732" i="5"/>
  <c r="BH797" i="5"/>
  <c r="BH938" i="5"/>
  <c r="BH894" i="5"/>
  <c r="BH1018" i="5"/>
  <c r="BH866" i="5"/>
  <c r="BH988" i="5"/>
  <c r="BH1021" i="5"/>
  <c r="BH1074" i="5"/>
  <c r="BH1121" i="5"/>
  <c r="BH1237" i="5"/>
  <c r="BH1248" i="5"/>
  <c r="BH1361" i="5"/>
  <c r="BH1378" i="5"/>
  <c r="BH146" i="5"/>
  <c r="BH98" i="5"/>
  <c r="BH234" i="5"/>
  <c r="BH246" i="5"/>
  <c r="BH285" i="5"/>
  <c r="BH384" i="5"/>
  <c r="BH434" i="5"/>
  <c r="BH515" i="5"/>
  <c r="BH590" i="5"/>
  <c r="BH625" i="5"/>
  <c r="BH600" i="5"/>
  <c r="BH686" i="5"/>
  <c r="BH638" i="5"/>
  <c r="BH646" i="5"/>
  <c r="BH851" i="5"/>
  <c r="BH854" i="5"/>
  <c r="BH761" i="5"/>
  <c r="BH823" i="5"/>
  <c r="BH846" i="5"/>
  <c r="BH733" i="5"/>
  <c r="BH791" i="5"/>
  <c r="BH958" i="5"/>
  <c r="BH891" i="5"/>
  <c r="BH893" i="5"/>
  <c r="BH984" i="5"/>
  <c r="BH863" i="5"/>
  <c r="BH978" i="5"/>
  <c r="BH1024" i="5"/>
  <c r="BH56" i="5"/>
  <c r="BH154" i="5"/>
  <c r="BH136" i="5"/>
  <c r="BH256" i="5"/>
  <c r="BH270" i="5"/>
  <c r="BH288" i="5"/>
  <c r="BH388" i="5"/>
  <c r="BH422" i="5"/>
  <c r="BH505" i="5"/>
  <c r="BH591" i="5"/>
  <c r="BH584" i="5"/>
  <c r="BH609" i="5"/>
  <c r="BH683" i="5"/>
  <c r="BH678" i="5"/>
  <c r="BH649" i="5"/>
  <c r="BH856" i="5"/>
  <c r="BH857" i="5"/>
  <c r="BH726" i="5"/>
  <c r="BH824" i="5"/>
  <c r="BH844" i="5"/>
  <c r="BH718" i="5"/>
  <c r="BH795" i="5"/>
  <c r="BH918" i="5"/>
  <c r="BH939" i="5"/>
  <c r="BH940" i="5"/>
  <c r="BH980" i="5"/>
  <c r="BH864" i="5"/>
  <c r="BH993" i="5"/>
  <c r="BH1218" i="5"/>
  <c r="BH1253" i="5"/>
  <c r="BH1325" i="5"/>
  <c r="BH4" i="5"/>
  <c r="BH156" i="5"/>
  <c r="BH243" i="5"/>
  <c r="BH271" i="5"/>
  <c r="BH393" i="5"/>
  <c r="BH424" i="5"/>
  <c r="BH495" i="5"/>
  <c r="BH592" i="5"/>
  <c r="BH525" i="5"/>
  <c r="BH618" i="5"/>
  <c r="BH684" i="5"/>
  <c r="BH679" i="5"/>
  <c r="BH650" i="5"/>
  <c r="BH774" i="5"/>
  <c r="BH737" i="5"/>
  <c r="BH721" i="5"/>
  <c r="BH784" i="5"/>
  <c r="BH847" i="5"/>
  <c r="BH707" i="5"/>
  <c r="BH845" i="5"/>
  <c r="BH959" i="5"/>
  <c r="BH966" i="5"/>
  <c r="BH971" i="5"/>
  <c r="BH860" i="5"/>
  <c r="BH865" i="5"/>
  <c r="BH995" i="5"/>
  <c r="BH1087" i="5"/>
  <c r="BH73" i="5"/>
  <c r="BH364" i="5"/>
  <c r="BH458" i="5"/>
  <c r="BH595" i="5"/>
  <c r="BH552" i="5"/>
  <c r="BH518" i="5"/>
  <c r="BH697" i="5"/>
  <c r="BH641" i="5"/>
  <c r="BH687" i="5"/>
  <c r="BH796" i="5"/>
  <c r="BH775" i="5"/>
  <c r="BH771" i="5"/>
  <c r="BH713" i="5"/>
  <c r="BH786" i="5"/>
  <c r="BH731" i="5"/>
  <c r="BH794" i="5"/>
  <c r="BH792" i="5"/>
  <c r="BH1019" i="5"/>
  <c r="BH969" i="5"/>
  <c r="BH982" i="5"/>
  <c r="BH69" i="5"/>
  <c r="BH184" i="5"/>
  <c r="BH310" i="5"/>
  <c r="BH329" i="5"/>
  <c r="BH365" i="5"/>
  <c r="BH429" i="5"/>
  <c r="BH442" i="5"/>
  <c r="BH545" i="5"/>
  <c r="BH596" i="5"/>
  <c r="BH572" i="5"/>
  <c r="BH517" i="5"/>
  <c r="BH661" i="5"/>
  <c r="BH673" i="5"/>
  <c r="BH690" i="5"/>
  <c r="BH806" i="5"/>
  <c r="BH722" i="5"/>
  <c r="BH736" i="5"/>
  <c r="BH728" i="5"/>
  <c r="BH826" i="5"/>
  <c r="BH704" i="5"/>
  <c r="BH778" i="5"/>
  <c r="BH798" i="5"/>
  <c r="BH964" i="5"/>
  <c r="BH879" i="5"/>
  <c r="BH1017" i="5"/>
  <c r="BH885" i="5"/>
  <c r="BH902" i="5"/>
  <c r="BH991" i="5"/>
  <c r="BH162" i="5"/>
  <c r="BH611" i="5"/>
  <c r="BH685" i="5"/>
  <c r="BH772" i="5"/>
  <c r="BH842" i="5"/>
  <c r="BH1016" i="5"/>
  <c r="BH990" i="5"/>
  <c r="BH1090" i="5"/>
  <c r="BH55" i="5"/>
  <c r="BH61" i="5"/>
  <c r="BH400" i="5"/>
  <c r="BH623" i="5"/>
  <c r="BH651" i="5"/>
  <c r="BH712" i="5"/>
  <c r="BH843" i="5"/>
  <c r="BH909" i="5"/>
  <c r="BH1060" i="5"/>
  <c r="BH13" i="5"/>
  <c r="BH245" i="5"/>
  <c r="BH389" i="5"/>
  <c r="BH696" i="5"/>
  <c r="BH720" i="5"/>
  <c r="BH702" i="5"/>
  <c r="BH903" i="5"/>
  <c r="BH265" i="5"/>
  <c r="BH461" i="5"/>
  <c r="BH640" i="5"/>
  <c r="BH750" i="5"/>
  <c r="BH825" i="5"/>
  <c r="BH904" i="5"/>
  <c r="BH1032" i="5"/>
  <c r="BH1217" i="5"/>
  <c r="BH1402" i="5"/>
  <c r="BH253" i="5"/>
  <c r="BH672" i="5"/>
  <c r="BH759" i="5"/>
  <c r="BH785" i="5"/>
  <c r="BH895" i="5"/>
  <c r="BH899" i="5"/>
  <c r="BH1067" i="5"/>
  <c r="BH1403" i="5"/>
  <c r="BH541" i="5"/>
  <c r="BH639" i="5"/>
  <c r="BH741" i="5"/>
  <c r="BH789" i="5"/>
  <c r="BH884" i="5"/>
  <c r="BH905" i="5"/>
  <c r="BH1388" i="5"/>
  <c r="BH593" i="5"/>
  <c r="BH635" i="5"/>
  <c r="BH724" i="5"/>
  <c r="BH850" i="5"/>
  <c r="BH873" i="5"/>
  <c r="BH901" i="5"/>
  <c r="BH1389" i="5"/>
  <c r="BH565" i="5"/>
  <c r="BH632" i="5"/>
  <c r="BH715" i="5"/>
  <c r="BH706" i="5"/>
  <c r="BH968" i="5"/>
  <c r="BH906" i="5"/>
  <c r="BH1392" i="5"/>
  <c r="BH570" i="5"/>
  <c r="BH753" i="5"/>
  <c r="BH734" i="5"/>
  <c r="BH948" i="5"/>
  <c r="BH994" i="5"/>
  <c r="BH1275" i="5"/>
  <c r="BH1339" i="5"/>
  <c r="BH486" i="5"/>
  <c r="BH571" i="5"/>
  <c r="BH717" i="5"/>
  <c r="BH799" i="5"/>
  <c r="BH889" i="5"/>
  <c r="BH996" i="5"/>
  <c r="BH1273" i="5"/>
  <c r="BH1357" i="5"/>
  <c r="BH1327" i="5"/>
  <c r="BH655" i="5"/>
  <c r="BH513" i="5"/>
  <c r="BH867" i="5"/>
  <c r="BH716" i="5"/>
  <c r="BH992" i="5"/>
  <c r="BH770" i="5"/>
  <c r="BH848" i="5"/>
  <c r="BH282" i="5"/>
  <c r="BH594" i="5"/>
  <c r="BH793" i="5"/>
  <c r="BH617" i="5"/>
  <c r="BH1080" i="5"/>
  <c r="BH967" i="5"/>
  <c r="BH987" i="5"/>
  <c r="BH160" i="5"/>
  <c r="CM315" i="1"/>
  <c r="BF1131" i="5"/>
  <c r="BF1040" i="5"/>
  <c r="BF1102" i="5"/>
  <c r="BF1114" i="5"/>
  <c r="BF1137" i="5"/>
  <c r="BF1150" i="5"/>
  <c r="BF1168" i="5"/>
  <c r="BF1232" i="5"/>
  <c r="BF1258" i="5"/>
  <c r="BF1287" i="5"/>
  <c r="BF1323" i="5"/>
  <c r="BF1388" i="5"/>
  <c r="BF1139" i="5"/>
  <c r="BF1215" i="5"/>
  <c r="BF1269" i="5"/>
  <c r="BF1326" i="5"/>
  <c r="BF1352" i="5"/>
  <c r="BF1357" i="5"/>
  <c r="BF1401" i="5"/>
  <c r="BF1084" i="5"/>
  <c r="BF1113" i="5"/>
  <c r="BF1145" i="5"/>
  <c r="BF1274" i="5"/>
  <c r="BF1292" i="5"/>
  <c r="BF1335" i="5"/>
  <c r="BF1112" i="5"/>
  <c r="BF1166" i="5"/>
  <c r="BF1193" i="5"/>
  <c r="BF1230" i="5"/>
  <c r="BF1290" i="5"/>
  <c r="BF1072" i="5"/>
  <c r="BF1129" i="5"/>
  <c r="BF1159" i="5"/>
  <c r="BF1176" i="5"/>
  <c r="BF1182" i="5"/>
  <c r="BF1309" i="5"/>
  <c r="BF1348" i="5"/>
  <c r="BF1345" i="5"/>
  <c r="BF1381" i="5"/>
  <c r="BF1404" i="5"/>
  <c r="BF1115" i="5"/>
  <c r="BF1162" i="5"/>
  <c r="BF1142" i="5"/>
  <c r="BF1175" i="5"/>
  <c r="BF1181" i="5"/>
  <c r="BF1222" i="5"/>
  <c r="BF1325" i="5"/>
  <c r="BF1377" i="5"/>
  <c r="BF1143" i="5"/>
  <c r="BF1151" i="5"/>
  <c r="BF1272" i="5"/>
  <c r="BF1284" i="5"/>
  <c r="BF1310" i="5"/>
  <c r="BF1336" i="5"/>
  <c r="BF1368" i="5"/>
  <c r="BF1149" i="5"/>
  <c r="BF1156" i="5"/>
  <c r="BF1209" i="5"/>
  <c r="BF1266" i="5"/>
  <c r="BF1359" i="5"/>
  <c r="BF1332" i="5"/>
  <c r="BF1061" i="5"/>
  <c r="BF1153" i="5"/>
  <c r="BF1234" i="5"/>
  <c r="BF1321" i="5"/>
  <c r="BF1340" i="5"/>
  <c r="BF1365" i="5"/>
  <c r="BF1062" i="5"/>
  <c r="BF1092" i="5"/>
  <c r="BF1132" i="5"/>
  <c r="BF1152" i="5"/>
  <c r="BF1148" i="5"/>
  <c r="BF1199" i="5"/>
  <c r="BF1225" i="5"/>
  <c r="BF1249" i="5"/>
  <c r="BF1314" i="5"/>
  <c r="BF1342" i="5"/>
  <c r="BF1064" i="5"/>
  <c r="BF1121" i="5"/>
  <c r="BF1146" i="5"/>
  <c r="BF1188" i="5"/>
  <c r="BF1283" i="5"/>
  <c r="BF1324" i="5"/>
  <c r="BF1350" i="5"/>
  <c r="BF1339" i="5"/>
  <c r="BF1063" i="5"/>
  <c r="BF1108" i="5"/>
  <c r="BF1123" i="5"/>
  <c r="BF1135" i="5"/>
  <c r="BF1158" i="5"/>
  <c r="BF1154" i="5"/>
  <c r="BF1192" i="5"/>
  <c r="BF1252" i="5"/>
  <c r="BF1273" i="5"/>
  <c r="BF1291" i="5"/>
  <c r="BF1312" i="5"/>
  <c r="BF1353" i="5"/>
  <c r="BF1371" i="5"/>
  <c r="BF1346" i="5"/>
  <c r="BF1124" i="5"/>
  <c r="BF1138" i="5"/>
  <c r="BF1157" i="5"/>
  <c r="BF1301" i="5"/>
  <c r="BI1313" i="5"/>
  <c r="BI1309" i="5"/>
  <c r="BI1307" i="5"/>
  <c r="BI1322" i="5"/>
  <c r="BI1299" i="5"/>
  <c r="BI1303" i="5"/>
  <c r="BI1328" i="5"/>
  <c r="BI1329" i="5"/>
  <c r="BI1308" i="5"/>
  <c r="BI1310" i="5"/>
  <c r="BI1318" i="5"/>
  <c r="BI1330" i="5"/>
  <c r="BI1293" i="5"/>
  <c r="BI1296" i="5"/>
  <c r="BI1316" i="5"/>
  <c r="BI1325" i="5"/>
  <c r="BI1297" i="5"/>
  <c r="BI1295" i="5"/>
  <c r="BI1319" i="5"/>
  <c r="BI1327" i="5"/>
  <c r="BI1291" i="5"/>
  <c r="BI1305" i="5"/>
  <c r="BI1317" i="5"/>
  <c r="BI1301" i="5"/>
  <c r="BI1312" i="5"/>
  <c r="BI1324" i="5"/>
  <c r="BI1290" i="5"/>
  <c r="BI1292" i="5"/>
  <c r="BI1311" i="5"/>
  <c r="BI1320" i="5"/>
  <c r="BI1300" i="5"/>
  <c r="BI1331" i="5"/>
  <c r="BI1298" i="5"/>
  <c r="BI1302" i="5"/>
  <c r="BI1304" i="5"/>
  <c r="BI1306" i="5"/>
  <c r="BI1314" i="5"/>
  <c r="BI1315" i="5"/>
  <c r="BI1326" i="5"/>
  <c r="BI1294" i="5"/>
  <c r="BI1323" i="5"/>
  <c r="BI1321" i="5"/>
  <c r="CO124" i="1"/>
  <c r="BH169" i="5"/>
  <c r="BH279" i="5"/>
  <c r="BH352" i="5"/>
  <c r="BH367" i="5"/>
  <c r="BH390" i="5"/>
  <c r="BH58" i="5"/>
  <c r="BH103" i="5"/>
  <c r="BH323" i="5"/>
  <c r="BH372" i="5"/>
  <c r="BH115" i="5"/>
  <c r="BH325" i="5"/>
  <c r="BH133" i="5"/>
  <c r="BH264" i="5"/>
  <c r="BH433" i="5"/>
  <c r="BH482" i="5"/>
  <c r="BH405" i="5"/>
  <c r="BH477" i="5"/>
  <c r="BH3" i="5"/>
  <c r="BH176" i="5"/>
  <c r="BH1202" i="5"/>
  <c r="BH2" i="5"/>
  <c r="BH328" i="5"/>
  <c r="BH553" i="5"/>
  <c r="BH324" i="5"/>
  <c r="BH350" i="5"/>
  <c r="BH363" i="5"/>
  <c r="BH522" i="5"/>
  <c r="BH633" i="5"/>
  <c r="BH1178" i="5"/>
  <c r="BH354" i="5"/>
  <c r="BH547" i="5"/>
  <c r="BH637" i="5"/>
  <c r="BH1038" i="5"/>
  <c r="BH368" i="5"/>
  <c r="BH476" i="5"/>
  <c r="BH555" i="5"/>
  <c r="BH652" i="5"/>
  <c r="BH1075" i="5"/>
  <c r="BH1109" i="5"/>
  <c r="BH225" i="5"/>
  <c r="BH362" i="5"/>
  <c r="BH443" i="5"/>
  <c r="BH613" i="5"/>
  <c r="BH642" i="5"/>
  <c r="BH908" i="5"/>
  <c r="BH130" i="5"/>
  <c r="BH232" i="5"/>
  <c r="BH300" i="5"/>
  <c r="BH556" i="5"/>
  <c r="BH656" i="5"/>
  <c r="BH868" i="5"/>
  <c r="BH258" i="5"/>
  <c r="BH425" i="5"/>
  <c r="BH692" i="5"/>
  <c r="BH694" i="5"/>
  <c r="BH483" i="5"/>
  <c r="BH1331" i="5"/>
  <c r="BH302" i="5"/>
  <c r="BH1091" i="5"/>
  <c r="BH122" i="5"/>
  <c r="BH309" i="5"/>
  <c r="BH598" i="5"/>
  <c r="BH1379" i="5"/>
  <c r="BH141" i="5"/>
  <c r="BH307" i="5"/>
  <c r="BH519" i="5"/>
  <c r="BH1195" i="5"/>
  <c r="BH158" i="5"/>
  <c r="BH551" i="5"/>
  <c r="BH277" i="5"/>
  <c r="BH427" i="5"/>
  <c r="BH426" i="5"/>
  <c r="BH654" i="5"/>
  <c r="BH1391" i="5"/>
  <c r="BH636" i="5"/>
  <c r="BH407" i="5"/>
  <c r="BH217" i="5"/>
  <c r="BH1390" i="5"/>
  <c r="BH691" i="5"/>
  <c r="CM146" i="1"/>
  <c r="CP16" i="1"/>
  <c r="CM147" i="1"/>
  <c r="CM133" i="1"/>
  <c r="CM132" i="1"/>
  <c r="CM131" i="1"/>
  <c r="CM314" i="1"/>
  <c r="CM93" i="1"/>
  <c r="CM257" i="1"/>
  <c r="CM191" i="1"/>
  <c r="CM85" i="1"/>
  <c r="CM199" i="1"/>
  <c r="CM84" i="1"/>
  <c r="CM212" i="1"/>
  <c r="CM64" i="1"/>
  <c r="CM168" i="1"/>
  <c r="CO3" i="1"/>
  <c r="CM274" i="1"/>
  <c r="CO286" i="1"/>
  <c r="CO12" i="1"/>
  <c r="CM242" i="1"/>
  <c r="CP210" i="1"/>
  <c r="CL26" i="1"/>
  <c r="CQ26" i="1" s="1"/>
  <c r="CT26" i="1" s="1"/>
  <c r="CM62" i="1"/>
  <c r="CL78" i="1"/>
  <c r="CQ78" i="1" s="1"/>
  <c r="CT78" i="1" s="1"/>
  <c r="CM120" i="1"/>
  <c r="CM224" i="1"/>
  <c r="CL235" i="1"/>
  <c r="CQ235" i="1" s="1"/>
  <c r="CT235" i="1" s="1"/>
  <c r="CM114" i="1"/>
  <c r="CN315" i="1"/>
  <c r="CM185" i="1"/>
  <c r="CM293" i="1"/>
  <c r="CO163" i="1"/>
  <c r="CE14" i="1"/>
  <c r="CL248" i="1"/>
  <c r="CQ248" i="1" s="1"/>
  <c r="CT248" i="1" s="1"/>
  <c r="CM148" i="1"/>
  <c r="CM300" i="1"/>
  <c r="CM22" i="1"/>
  <c r="CO189" i="1"/>
  <c r="CO49" i="1"/>
  <c r="CM304" i="1"/>
  <c r="CO186" i="1"/>
  <c r="CO22" i="1"/>
  <c r="CO170" i="1"/>
  <c r="CO149" i="1"/>
  <c r="CO72" i="1"/>
  <c r="CO147" i="1"/>
  <c r="CP201" i="1"/>
  <c r="CM317" i="1"/>
  <c r="CM312" i="1"/>
  <c r="CO111" i="1"/>
  <c r="CM303" i="1"/>
  <c r="CN142" i="1"/>
  <c r="CO107" i="1"/>
  <c r="CH235" i="1"/>
  <c r="CG187" i="1"/>
  <c r="CG201" i="1"/>
  <c r="CG211" i="1"/>
  <c r="CG319" i="1"/>
  <c r="CG160" i="1"/>
  <c r="CG148" i="1"/>
  <c r="CG136" i="1"/>
  <c r="CG125" i="1"/>
  <c r="CG114" i="1"/>
  <c r="CG103" i="1"/>
  <c r="CG287" i="1"/>
  <c r="CG275" i="1"/>
  <c r="CG197" i="1"/>
  <c r="CG257" i="1"/>
  <c r="CG246" i="1"/>
  <c r="CG309" i="1"/>
  <c r="CG47" i="1"/>
  <c r="CG35" i="1"/>
  <c r="CG23" i="1"/>
  <c r="CG16" i="1"/>
  <c r="CG11" i="1"/>
  <c r="CG86" i="1"/>
  <c r="CG75" i="1"/>
  <c r="CG63" i="1"/>
  <c r="CG216" i="1"/>
  <c r="CG229" i="1"/>
  <c r="CG167" i="1"/>
  <c r="CG143" i="1"/>
  <c r="CL214" i="1"/>
  <c r="CQ214" i="1" s="1"/>
  <c r="CT214" i="1" s="1"/>
  <c r="CM167" i="1"/>
  <c r="CM113" i="1"/>
  <c r="CM43" i="1"/>
  <c r="CN262" i="1"/>
  <c r="CO249" i="1"/>
  <c r="CH298" i="1"/>
  <c r="CL139" i="1"/>
  <c r="CQ139" i="1" s="1"/>
  <c r="CT139" i="1" s="1"/>
  <c r="CM166" i="1"/>
  <c r="CM112" i="1"/>
  <c r="CM29" i="1"/>
  <c r="CN98" i="1"/>
  <c r="CO264" i="1"/>
  <c r="CE120" i="1"/>
  <c r="CE91" i="1"/>
  <c r="CL290" i="1"/>
  <c r="CQ290" i="1" s="1"/>
  <c r="CT290" i="1" s="1"/>
  <c r="CM154" i="1"/>
  <c r="CM296" i="1"/>
  <c r="CM23" i="1"/>
  <c r="CN8" i="1"/>
  <c r="CO304" i="1"/>
  <c r="CM92" i="1"/>
  <c r="CN261" i="1"/>
  <c r="CM189" i="1"/>
  <c r="CM205" i="1"/>
  <c r="CM180" i="1"/>
  <c r="CM156" i="1"/>
  <c r="CM136" i="1"/>
  <c r="CM122" i="1"/>
  <c r="CM103" i="1"/>
  <c r="CM282" i="1"/>
  <c r="CM246" i="1"/>
  <c r="CM47" i="1"/>
  <c r="CM31" i="1"/>
  <c r="CM16" i="1"/>
  <c r="CM7" i="1"/>
  <c r="CM70" i="1"/>
  <c r="CM240" i="1"/>
  <c r="CN220" i="1"/>
  <c r="CN270" i="1"/>
  <c r="CN299" i="1"/>
  <c r="CO294" i="1"/>
  <c r="CP259" i="1"/>
  <c r="CM292" i="1"/>
  <c r="CN316" i="1"/>
  <c r="CM187" i="1"/>
  <c r="CM204" i="1"/>
  <c r="CM219" i="1"/>
  <c r="CM155" i="1"/>
  <c r="CM135" i="1"/>
  <c r="CM121" i="1"/>
  <c r="CM102" i="1"/>
  <c r="CM281" i="1"/>
  <c r="CM310" i="1"/>
  <c r="CM245" i="1"/>
  <c r="CM46" i="1"/>
  <c r="CM30" i="1"/>
  <c r="CM96" i="1"/>
  <c r="CM6" i="1"/>
  <c r="CM65" i="1"/>
  <c r="CM294" i="1"/>
  <c r="CN144" i="1"/>
  <c r="CN269" i="1"/>
  <c r="CN305" i="1"/>
  <c r="CO169" i="1"/>
  <c r="CO248" i="1"/>
  <c r="CO230" i="1"/>
  <c r="CP50" i="1"/>
  <c r="CM188" i="1"/>
  <c r="CM55" i="1"/>
  <c r="CM276" i="1"/>
  <c r="CM263" i="1"/>
  <c r="CM244" i="1"/>
  <c r="CM45" i="1"/>
  <c r="CM95" i="1"/>
  <c r="CM5" i="1"/>
  <c r="CM230" i="1"/>
  <c r="CN268" i="1"/>
  <c r="CP49" i="1"/>
  <c r="CE155" i="1"/>
  <c r="CG274" i="1"/>
  <c r="CG256" i="1"/>
  <c r="CG291" i="1"/>
  <c r="CG34" i="1"/>
  <c r="CG96" i="1"/>
  <c r="CG62" i="1"/>
  <c r="CM186" i="1"/>
  <c r="CM198" i="1"/>
  <c r="CM169" i="1"/>
  <c r="CM149" i="1"/>
  <c r="CM134" i="1"/>
  <c r="CM115" i="1"/>
  <c r="CM275" i="1"/>
  <c r="CM258" i="1"/>
  <c r="CM243" i="1"/>
  <c r="CM44" i="1"/>
  <c r="CM24" i="1"/>
  <c r="CM94" i="1"/>
  <c r="CM86" i="1"/>
  <c r="CM63" i="1"/>
  <c r="CM225" i="1"/>
  <c r="CN129" i="1"/>
  <c r="CN311" i="1"/>
  <c r="CN97" i="1"/>
  <c r="CO303" i="1"/>
  <c r="CP207" i="1"/>
  <c r="CP45" i="1"/>
  <c r="CP95" i="1"/>
  <c r="CM190" i="1"/>
  <c r="CM210" i="1"/>
  <c r="CM288" i="1"/>
  <c r="CM272" i="1"/>
  <c r="CM255" i="1"/>
  <c r="CM295" i="1"/>
  <c r="CM41" i="1"/>
  <c r="CM21" i="1"/>
  <c r="CM91" i="1"/>
  <c r="CM2" i="1"/>
  <c r="CM60" i="1"/>
  <c r="CN195" i="1"/>
  <c r="CN290" i="1"/>
  <c r="CN259" i="1"/>
  <c r="CN236" i="1"/>
  <c r="CP147" i="1"/>
  <c r="CP10" i="1"/>
  <c r="CM42" i="1"/>
  <c r="CM196" i="1"/>
  <c r="CM203" i="1"/>
  <c r="CM161" i="1"/>
  <c r="CM145" i="1"/>
  <c r="CM126" i="1"/>
  <c r="CM111" i="1"/>
  <c r="CM287" i="1"/>
  <c r="CM271" i="1"/>
  <c r="CM254" i="1"/>
  <c r="CM291" i="1"/>
  <c r="CM36" i="1"/>
  <c r="CM101" i="1"/>
  <c r="CM12" i="1"/>
  <c r="CM83" i="1"/>
  <c r="CM216" i="1"/>
  <c r="CN194" i="1"/>
  <c r="CN289" i="1"/>
  <c r="CN253" i="1"/>
  <c r="CN226" i="1"/>
  <c r="CO105" i="1"/>
  <c r="CP140" i="1"/>
  <c r="CP63" i="1"/>
  <c r="CM256" i="1"/>
  <c r="CM202" i="1"/>
  <c r="CM209" i="1"/>
  <c r="CM160" i="1"/>
  <c r="CM144" i="1"/>
  <c r="CM125" i="1"/>
  <c r="CM110" i="1"/>
  <c r="CM286" i="1"/>
  <c r="CM270" i="1"/>
  <c r="CM253" i="1"/>
  <c r="CM35" i="1"/>
  <c r="CM100" i="1"/>
  <c r="CM11" i="1"/>
  <c r="CM82" i="1"/>
  <c r="CM215" i="1"/>
  <c r="CN192" i="1"/>
  <c r="CN284" i="1"/>
  <c r="CN243" i="1"/>
  <c r="CP112" i="1"/>
  <c r="CP62" i="1"/>
  <c r="CM273" i="1"/>
  <c r="CM61" i="1"/>
  <c r="CN320" i="1"/>
  <c r="CM179" i="1"/>
  <c r="CM201" i="1"/>
  <c r="CM220" i="1"/>
  <c r="CM159" i="1"/>
  <c r="CM143" i="1"/>
  <c r="CM54" i="1"/>
  <c r="CM285" i="1"/>
  <c r="CM269" i="1"/>
  <c r="CM252" i="1"/>
  <c r="CM34" i="1"/>
  <c r="CM20" i="1"/>
  <c r="CM10" i="1"/>
  <c r="CM77" i="1"/>
  <c r="CM232" i="1"/>
  <c r="CN205" i="1"/>
  <c r="CN278" i="1"/>
  <c r="CN242" i="1"/>
  <c r="CO279" i="1"/>
  <c r="CP107" i="1"/>
  <c r="CP218" i="1"/>
  <c r="CN237" i="1"/>
  <c r="CM178" i="1"/>
  <c r="CM200" i="1"/>
  <c r="CM208" i="1"/>
  <c r="CM158" i="1"/>
  <c r="CM142" i="1"/>
  <c r="CM124" i="1"/>
  <c r="CM109" i="1"/>
  <c r="CM284" i="1"/>
  <c r="CM197" i="1"/>
  <c r="CM251" i="1"/>
  <c r="CM301" i="1"/>
  <c r="CM33" i="1"/>
  <c r="CM99" i="1"/>
  <c r="CM9" i="1"/>
  <c r="CM76" i="1"/>
  <c r="CM231" i="1"/>
  <c r="CN214" i="1"/>
  <c r="CN272" i="1"/>
  <c r="CN295" i="1"/>
  <c r="CO214" i="1"/>
  <c r="CO265" i="1"/>
  <c r="CO66" i="1"/>
  <c r="CM211" i="1"/>
  <c r="CP148" i="1"/>
  <c r="CM172" i="1"/>
  <c r="CM207" i="1"/>
  <c r="CM184" i="1"/>
  <c r="CM157" i="1"/>
  <c r="CM137" i="1"/>
  <c r="CM123" i="1"/>
  <c r="CM104" i="1"/>
  <c r="CM283" i="1"/>
  <c r="CM308" i="1"/>
  <c r="CM264" i="1"/>
  <c r="CM48" i="1"/>
  <c r="CM32" i="1"/>
  <c r="CM17" i="1"/>
  <c r="CM8" i="1"/>
  <c r="CM71" i="1"/>
  <c r="CM241" i="1"/>
  <c r="CN209" i="1"/>
  <c r="CN271" i="1"/>
  <c r="CO212" i="1"/>
  <c r="CO307" i="1"/>
  <c r="CO64" i="1"/>
  <c r="CP261" i="1"/>
  <c r="CE55" i="1"/>
  <c r="CE124" i="1"/>
  <c r="CE296" i="1"/>
  <c r="CE244" i="1"/>
  <c r="CE45" i="1"/>
  <c r="CE21" i="1"/>
  <c r="CE9" i="1"/>
  <c r="CE84" i="1"/>
  <c r="CE61" i="1"/>
  <c r="CE312" i="1"/>
  <c r="CG159" i="1"/>
  <c r="CL128" i="1"/>
  <c r="CQ128" i="1" s="1"/>
  <c r="CT128" i="1" s="1"/>
  <c r="CE214" i="1"/>
  <c r="CH121" i="1"/>
  <c r="CH259" i="1"/>
  <c r="CE210" i="1"/>
  <c r="CE219" i="1"/>
  <c r="CE159" i="1"/>
  <c r="CE147" i="1"/>
  <c r="CE135" i="1"/>
  <c r="CH239" i="1"/>
  <c r="CH258" i="1"/>
  <c r="CH87" i="1"/>
  <c r="CE191" i="1"/>
  <c r="CE220" i="1"/>
  <c r="CE156" i="1"/>
  <c r="CE300" i="1"/>
  <c r="CE271" i="1"/>
  <c r="CE310" i="1"/>
  <c r="CE93" i="1"/>
  <c r="CE83" i="1"/>
  <c r="CE59" i="1"/>
  <c r="CE241" i="1"/>
  <c r="CG181" i="1"/>
  <c r="CG163" i="1"/>
  <c r="CG139" i="1"/>
  <c r="CG106" i="1"/>
  <c r="CG290" i="1"/>
  <c r="CG278" i="1"/>
  <c r="CG266" i="1"/>
  <c r="CG260" i="1"/>
  <c r="CG248" i="1"/>
  <c r="CG50" i="1"/>
  <c r="CG38" i="1"/>
  <c r="CG14" i="1"/>
  <c r="CG66" i="1"/>
  <c r="CL193" i="1"/>
  <c r="CQ193" i="1" s="1"/>
  <c r="CT193" i="1" s="1"/>
  <c r="CL151" i="1"/>
  <c r="CQ151" i="1" s="1"/>
  <c r="CT151" i="1" s="1"/>
  <c r="CL106" i="1"/>
  <c r="CQ106" i="1" s="1"/>
  <c r="CT106" i="1" s="1"/>
  <c r="CL260" i="1"/>
  <c r="CQ260" i="1" s="1"/>
  <c r="CT260" i="1" s="1"/>
  <c r="CL38" i="1"/>
  <c r="CQ38" i="1" s="1"/>
  <c r="CT38" i="1" s="1"/>
  <c r="CL3" i="1"/>
  <c r="CQ3" i="1" s="1"/>
  <c r="CT3" i="1" s="1"/>
  <c r="CL236" i="1"/>
  <c r="CQ236" i="1" s="1"/>
  <c r="CT236" i="1" s="1"/>
  <c r="CN164" i="1"/>
  <c r="CN32" i="1"/>
  <c r="CO26" i="1"/>
  <c r="CE82" i="1"/>
  <c r="CG135" i="1"/>
  <c r="CG121" i="1"/>
  <c r="CG54" i="1"/>
  <c r="CE92" i="1"/>
  <c r="CG213" i="1"/>
  <c r="CP269" i="1"/>
  <c r="CP281" i="1"/>
  <c r="CP292" i="1"/>
  <c r="CP270" i="1"/>
  <c r="CP282" i="1"/>
  <c r="CP293" i="1"/>
  <c r="CP271" i="1"/>
  <c r="CP283" i="1"/>
  <c r="CP268" i="1"/>
  <c r="CP280" i="1"/>
  <c r="CP291" i="1"/>
  <c r="CP278" i="1"/>
  <c r="CP279" i="1"/>
  <c r="CP284" i="1"/>
  <c r="CP266" i="1"/>
  <c r="CP286" i="1"/>
  <c r="CP272" i="1"/>
  <c r="CP288" i="1"/>
  <c r="CP264" i="1"/>
  <c r="CP276" i="1"/>
  <c r="CP277" i="1"/>
  <c r="CP275" i="1"/>
  <c r="CP285" i="1"/>
  <c r="CP294" i="1"/>
  <c r="CP287" i="1"/>
  <c r="CP289" i="1"/>
  <c r="CP290" i="1"/>
  <c r="CP267" i="1"/>
  <c r="CP273" i="1"/>
  <c r="CP274" i="1"/>
  <c r="CN62" i="1"/>
  <c r="CN74" i="1"/>
  <c r="CN85" i="1"/>
  <c r="CN10" i="1"/>
  <c r="CN96" i="1"/>
  <c r="CN22" i="1"/>
  <c r="CN34" i="1"/>
  <c r="CN46" i="1"/>
  <c r="CN102" i="1"/>
  <c r="CN113" i="1"/>
  <c r="CN135" i="1"/>
  <c r="CN147" i="1"/>
  <c r="CN159" i="1"/>
  <c r="CN63" i="1"/>
  <c r="CN75" i="1"/>
  <c r="CN86" i="1"/>
  <c r="CN11" i="1"/>
  <c r="CN16" i="1"/>
  <c r="CN23" i="1"/>
  <c r="CN35" i="1"/>
  <c r="CN47" i="1"/>
  <c r="CN103" i="1"/>
  <c r="CN114" i="1"/>
  <c r="CN125" i="1"/>
  <c r="CN136" i="1"/>
  <c r="CN148" i="1"/>
  <c r="CN160" i="1"/>
  <c r="CN64" i="1"/>
  <c r="CN76" i="1"/>
  <c r="CN87" i="1"/>
  <c r="CN12" i="1"/>
  <c r="CN17" i="1"/>
  <c r="CN24" i="1"/>
  <c r="CN36" i="1"/>
  <c r="CN48" i="1"/>
  <c r="CN104" i="1"/>
  <c r="CN115" i="1"/>
  <c r="CN126" i="1"/>
  <c r="CN137" i="1"/>
  <c r="CN149" i="1"/>
  <c r="CN161" i="1"/>
  <c r="CN180" i="1"/>
  <c r="CN61" i="1"/>
  <c r="CN73" i="1"/>
  <c r="CN84" i="1"/>
  <c r="CN9" i="1"/>
  <c r="CN95" i="1"/>
  <c r="CN21" i="1"/>
  <c r="CN33" i="1"/>
  <c r="CN45" i="1"/>
  <c r="CN112" i="1"/>
  <c r="CN124" i="1"/>
  <c r="CN55" i="1"/>
  <c r="CN146" i="1"/>
  <c r="CN158" i="1"/>
  <c r="CN170" i="1"/>
  <c r="CN68" i="1"/>
  <c r="CN2" i="1"/>
  <c r="CN90" i="1"/>
  <c r="CN101" i="1"/>
  <c r="CN40" i="1"/>
  <c r="CN119" i="1"/>
  <c r="CN134" i="1"/>
  <c r="CN153" i="1"/>
  <c r="CN169" i="1"/>
  <c r="CN69" i="1"/>
  <c r="CN88" i="1"/>
  <c r="CN91" i="1"/>
  <c r="CN25" i="1"/>
  <c r="CN41" i="1"/>
  <c r="CN53" i="1"/>
  <c r="CN105" i="1"/>
  <c r="CN120" i="1"/>
  <c r="CN138" i="1"/>
  <c r="CN154" i="1"/>
  <c r="CN173" i="1"/>
  <c r="CN70" i="1"/>
  <c r="CN3" i="1"/>
  <c r="CN92" i="1"/>
  <c r="CN26" i="1"/>
  <c r="CN42" i="1"/>
  <c r="CN106" i="1"/>
  <c r="CN121" i="1"/>
  <c r="CN139" i="1"/>
  <c r="CN155" i="1"/>
  <c r="CN181" i="1"/>
  <c r="CN71" i="1"/>
  <c r="CN4" i="1"/>
  <c r="CN93" i="1"/>
  <c r="CN27" i="1"/>
  <c r="CN43" i="1"/>
  <c r="CN107" i="1"/>
  <c r="CN122" i="1"/>
  <c r="CN140" i="1"/>
  <c r="CN156" i="1"/>
  <c r="CN56" i="1"/>
  <c r="CN72" i="1"/>
  <c r="CN89" i="1"/>
  <c r="CN94" i="1"/>
  <c r="CN28" i="1"/>
  <c r="CN44" i="1"/>
  <c r="CN108" i="1"/>
  <c r="CN123" i="1"/>
  <c r="CN141" i="1"/>
  <c r="CN157" i="1"/>
  <c r="CN183" i="1"/>
  <c r="CN171" i="1"/>
  <c r="CN58" i="1"/>
  <c r="CN78" i="1"/>
  <c r="CN6" i="1"/>
  <c r="CN19" i="1"/>
  <c r="CN30" i="1"/>
  <c r="CN50" i="1"/>
  <c r="CN54" i="1"/>
  <c r="CN128" i="1"/>
  <c r="CN143" i="1"/>
  <c r="CN163" i="1"/>
  <c r="CN65" i="1"/>
  <c r="CN81" i="1"/>
  <c r="CN13" i="1"/>
  <c r="CN99" i="1"/>
  <c r="CN37" i="1"/>
  <c r="CN116" i="1"/>
  <c r="CN131" i="1"/>
  <c r="CN150" i="1"/>
  <c r="CN166" i="1"/>
  <c r="CN66" i="1"/>
  <c r="CN82" i="1"/>
  <c r="CN14" i="1"/>
  <c r="CN20" i="1"/>
  <c r="CN38" i="1"/>
  <c r="CN117" i="1"/>
  <c r="CN132" i="1"/>
  <c r="CN151" i="1"/>
  <c r="CN167" i="1"/>
  <c r="CN67" i="1"/>
  <c r="CN83" i="1"/>
  <c r="CN15" i="1"/>
  <c r="CN100" i="1"/>
  <c r="CN39" i="1"/>
  <c r="CN118" i="1"/>
  <c r="CN133" i="1"/>
  <c r="CN152" i="1"/>
  <c r="CN168" i="1"/>
  <c r="CL202" i="1"/>
  <c r="CQ202" i="1" s="1"/>
  <c r="CT202" i="1" s="1"/>
  <c r="CL149" i="1"/>
  <c r="CQ149" i="1" s="1"/>
  <c r="CT149" i="1" s="1"/>
  <c r="CL104" i="1"/>
  <c r="CQ104" i="1" s="1"/>
  <c r="CT104" i="1" s="1"/>
  <c r="CL258" i="1"/>
  <c r="CQ258" i="1" s="1"/>
  <c r="CT258" i="1" s="1"/>
  <c r="CL36" i="1"/>
  <c r="CQ36" i="1" s="1"/>
  <c r="CT36" i="1" s="1"/>
  <c r="CL87" i="1"/>
  <c r="CQ87" i="1" s="1"/>
  <c r="CT87" i="1" s="1"/>
  <c r="CL230" i="1"/>
  <c r="CQ230" i="1" s="1"/>
  <c r="CT230" i="1" s="1"/>
  <c r="CN179" i="1"/>
  <c r="CN162" i="1"/>
  <c r="CN31" i="1"/>
  <c r="CN59" i="1"/>
  <c r="CO285" i="1"/>
  <c r="CE121" i="1"/>
  <c r="CE316" i="1"/>
  <c r="CE185" i="1"/>
  <c r="CE205" i="1"/>
  <c r="CE209" i="1"/>
  <c r="CE169" i="1"/>
  <c r="CE157" i="1"/>
  <c r="CE145" i="1"/>
  <c r="CE134" i="1"/>
  <c r="CE123" i="1"/>
  <c r="CE111" i="1"/>
  <c r="CE318" i="1"/>
  <c r="CE284" i="1"/>
  <c r="CE272" i="1"/>
  <c r="CE313" i="1"/>
  <c r="CE254" i="1"/>
  <c r="CE243" i="1"/>
  <c r="CE304" i="1"/>
  <c r="CE44" i="1"/>
  <c r="CE32" i="1"/>
  <c r="CE101" i="1"/>
  <c r="CE94" i="1"/>
  <c r="CE8" i="1"/>
  <c r="CE2" i="1"/>
  <c r="CE72" i="1"/>
  <c r="CE60" i="1"/>
  <c r="CE231" i="1"/>
  <c r="CE226" i="1"/>
  <c r="CG276" i="1"/>
  <c r="CP295" i="1"/>
  <c r="CP297" i="1"/>
  <c r="CP298" i="1"/>
  <c r="CP296" i="1"/>
  <c r="CP299" i="1"/>
  <c r="CO311" i="1"/>
  <c r="CO309" i="1"/>
  <c r="CO318" i="1"/>
  <c r="CL174" i="1"/>
  <c r="CQ174" i="1" s="1"/>
  <c r="CT174" i="1" s="1"/>
  <c r="CL140" i="1"/>
  <c r="CQ140" i="1" s="1"/>
  <c r="CT140" i="1" s="1"/>
  <c r="CL320" i="1"/>
  <c r="CQ320" i="1" s="1"/>
  <c r="CT320" i="1" s="1"/>
  <c r="CL249" i="1"/>
  <c r="CQ249" i="1" s="1"/>
  <c r="CT249" i="1" s="1"/>
  <c r="CL27" i="1"/>
  <c r="CQ27" i="1" s="1"/>
  <c r="CT27" i="1" s="1"/>
  <c r="CL79" i="1"/>
  <c r="CQ79" i="1" s="1"/>
  <c r="CT79" i="1" s="1"/>
  <c r="CN172" i="1"/>
  <c r="CN145" i="1"/>
  <c r="CN29" i="1"/>
  <c r="CN57" i="1"/>
  <c r="CE178" i="1"/>
  <c r="CE293" i="1"/>
  <c r="CE30" i="1"/>
  <c r="CL225" i="1"/>
  <c r="CQ225" i="1" s="1"/>
  <c r="CT225" i="1" s="1"/>
  <c r="CL241" i="1"/>
  <c r="CQ241" i="1" s="1"/>
  <c r="CT241" i="1" s="1"/>
  <c r="CL59" i="1"/>
  <c r="CQ59" i="1" s="1"/>
  <c r="CT59" i="1" s="1"/>
  <c r="CL71" i="1"/>
  <c r="CQ71" i="1" s="1"/>
  <c r="CT71" i="1" s="1"/>
  <c r="CL83" i="1"/>
  <c r="CQ83" i="1" s="1"/>
  <c r="CT83" i="1" s="1"/>
  <c r="CL7" i="1"/>
  <c r="CQ7" i="1" s="1"/>
  <c r="CT7" i="1" s="1"/>
  <c r="CL93" i="1"/>
  <c r="CQ93" i="1" s="1"/>
  <c r="CT93" i="1" s="1"/>
  <c r="CL100" i="1"/>
  <c r="CQ100" i="1" s="1"/>
  <c r="CT100" i="1" s="1"/>
  <c r="CL31" i="1"/>
  <c r="CQ31" i="1" s="1"/>
  <c r="CT31" i="1" s="1"/>
  <c r="CL43" i="1"/>
  <c r="CQ43" i="1" s="1"/>
  <c r="CT43" i="1" s="1"/>
  <c r="CL301" i="1"/>
  <c r="CQ301" i="1" s="1"/>
  <c r="CT301" i="1" s="1"/>
  <c r="CL242" i="1"/>
  <c r="CQ242" i="1" s="1"/>
  <c r="CT242" i="1" s="1"/>
  <c r="CL253" i="1"/>
  <c r="CQ253" i="1" s="1"/>
  <c r="CT253" i="1" s="1"/>
  <c r="CL310" i="1"/>
  <c r="CQ310" i="1" s="1"/>
  <c r="CT310" i="1" s="1"/>
  <c r="CL271" i="1"/>
  <c r="CQ271" i="1" s="1"/>
  <c r="CT271" i="1" s="1"/>
  <c r="CL283" i="1"/>
  <c r="CQ283" i="1" s="1"/>
  <c r="CT283" i="1" s="1"/>
  <c r="CL300" i="1"/>
  <c r="CQ300" i="1" s="1"/>
  <c r="CT300" i="1" s="1"/>
  <c r="CL110" i="1"/>
  <c r="CQ110" i="1" s="1"/>
  <c r="CT110" i="1" s="1"/>
  <c r="CL122" i="1"/>
  <c r="CQ122" i="1" s="1"/>
  <c r="CT122" i="1" s="1"/>
  <c r="CL133" i="1"/>
  <c r="CQ133" i="1" s="1"/>
  <c r="CT133" i="1" s="1"/>
  <c r="CL144" i="1"/>
  <c r="CQ144" i="1" s="1"/>
  <c r="CT144" i="1" s="1"/>
  <c r="CL156" i="1"/>
  <c r="CQ156" i="1" s="1"/>
  <c r="CT156" i="1" s="1"/>
  <c r="CL168" i="1"/>
  <c r="CQ168" i="1" s="1"/>
  <c r="CT168" i="1" s="1"/>
  <c r="CL220" i="1"/>
  <c r="CQ220" i="1" s="1"/>
  <c r="CT220" i="1" s="1"/>
  <c r="CL204" i="1"/>
  <c r="CQ204" i="1" s="1"/>
  <c r="CT204" i="1" s="1"/>
  <c r="CL191" i="1"/>
  <c r="CQ191" i="1" s="1"/>
  <c r="CT191" i="1" s="1"/>
  <c r="CL179" i="1"/>
  <c r="CQ179" i="1" s="1"/>
  <c r="CT179" i="1" s="1"/>
  <c r="CL226" i="1"/>
  <c r="CQ226" i="1" s="1"/>
  <c r="CT226" i="1" s="1"/>
  <c r="CL231" i="1"/>
  <c r="CQ231" i="1" s="1"/>
  <c r="CT231" i="1" s="1"/>
  <c r="CL60" i="1"/>
  <c r="CQ60" i="1" s="1"/>
  <c r="CT60" i="1" s="1"/>
  <c r="CL72" i="1"/>
  <c r="CQ72" i="1" s="1"/>
  <c r="CT72" i="1" s="1"/>
  <c r="CL2" i="1"/>
  <c r="CQ2" i="1" s="1"/>
  <c r="CT2" i="1" s="1"/>
  <c r="CL8" i="1"/>
  <c r="CQ8" i="1" s="1"/>
  <c r="CT8" i="1" s="1"/>
  <c r="CL94" i="1"/>
  <c r="CQ94" i="1" s="1"/>
  <c r="CT94" i="1" s="1"/>
  <c r="CL101" i="1"/>
  <c r="CQ101" i="1" s="1"/>
  <c r="CT101" i="1" s="1"/>
  <c r="CL32" i="1"/>
  <c r="CQ32" i="1" s="1"/>
  <c r="CT32" i="1" s="1"/>
  <c r="CL44" i="1"/>
  <c r="CQ44" i="1" s="1"/>
  <c r="CT44" i="1" s="1"/>
  <c r="CL304" i="1"/>
  <c r="CQ304" i="1" s="1"/>
  <c r="CT304" i="1" s="1"/>
  <c r="CL243" i="1"/>
  <c r="CQ243" i="1" s="1"/>
  <c r="CT243" i="1" s="1"/>
  <c r="CL254" i="1"/>
  <c r="CQ254" i="1" s="1"/>
  <c r="CT254" i="1" s="1"/>
  <c r="CL313" i="1"/>
  <c r="CQ313" i="1" s="1"/>
  <c r="CT313" i="1" s="1"/>
  <c r="CL272" i="1"/>
  <c r="CQ272" i="1" s="1"/>
  <c r="CT272" i="1" s="1"/>
  <c r="CL284" i="1"/>
  <c r="CQ284" i="1" s="1"/>
  <c r="CT284" i="1" s="1"/>
  <c r="CL318" i="1"/>
  <c r="CQ318" i="1" s="1"/>
  <c r="CT318" i="1" s="1"/>
  <c r="CL111" i="1"/>
  <c r="CQ111" i="1" s="1"/>
  <c r="CT111" i="1" s="1"/>
  <c r="CL123" i="1"/>
  <c r="CQ123" i="1" s="1"/>
  <c r="CT123" i="1" s="1"/>
  <c r="CL134" i="1"/>
  <c r="CQ134" i="1" s="1"/>
  <c r="CT134" i="1" s="1"/>
  <c r="CL145" i="1"/>
  <c r="CQ145" i="1" s="1"/>
  <c r="CT145" i="1" s="1"/>
  <c r="CL157" i="1"/>
  <c r="CQ157" i="1" s="1"/>
  <c r="CT157" i="1" s="1"/>
  <c r="CL169" i="1"/>
  <c r="CQ169" i="1" s="1"/>
  <c r="CT169" i="1" s="1"/>
  <c r="CL209" i="1"/>
  <c r="CQ209" i="1" s="1"/>
  <c r="CT209" i="1" s="1"/>
  <c r="CL205" i="1"/>
  <c r="CQ205" i="1" s="1"/>
  <c r="CT205" i="1" s="1"/>
  <c r="CL185" i="1"/>
  <c r="CQ185" i="1" s="1"/>
  <c r="CT185" i="1" s="1"/>
  <c r="CL316" i="1"/>
  <c r="CQ316" i="1" s="1"/>
  <c r="CT316" i="1" s="1"/>
  <c r="CL227" i="1"/>
  <c r="CQ227" i="1" s="1"/>
  <c r="CT227" i="1" s="1"/>
  <c r="CL232" i="1"/>
  <c r="CQ232" i="1" s="1"/>
  <c r="CT232" i="1" s="1"/>
  <c r="CL61" i="1"/>
  <c r="CQ61" i="1" s="1"/>
  <c r="CT61" i="1" s="1"/>
  <c r="CL73" i="1"/>
  <c r="CQ73" i="1" s="1"/>
  <c r="CT73" i="1" s="1"/>
  <c r="CL84" i="1"/>
  <c r="CQ84" i="1" s="1"/>
  <c r="CT84" i="1" s="1"/>
  <c r="CL9" i="1"/>
  <c r="CQ9" i="1" s="1"/>
  <c r="CT9" i="1" s="1"/>
  <c r="CL95" i="1"/>
  <c r="CQ95" i="1" s="1"/>
  <c r="CT95" i="1" s="1"/>
  <c r="CL21" i="1"/>
  <c r="CQ21" i="1" s="1"/>
  <c r="CT21" i="1" s="1"/>
  <c r="CL33" i="1"/>
  <c r="CQ33" i="1" s="1"/>
  <c r="CT33" i="1" s="1"/>
  <c r="CL45" i="1"/>
  <c r="CQ45" i="1" s="1"/>
  <c r="CT45" i="1" s="1"/>
  <c r="CL303" i="1"/>
  <c r="CQ303" i="1" s="1"/>
  <c r="CT303" i="1" s="1"/>
  <c r="CL244" i="1"/>
  <c r="CQ244" i="1" s="1"/>
  <c r="CT244" i="1" s="1"/>
  <c r="CL255" i="1"/>
  <c r="CQ255" i="1" s="1"/>
  <c r="CT255" i="1" s="1"/>
  <c r="CL314" i="1"/>
  <c r="CQ314" i="1" s="1"/>
  <c r="CT314" i="1" s="1"/>
  <c r="CL273" i="1"/>
  <c r="CQ273" i="1" s="1"/>
  <c r="CT273" i="1" s="1"/>
  <c r="CL285" i="1"/>
  <c r="CQ285" i="1" s="1"/>
  <c r="CT285" i="1" s="1"/>
  <c r="CL296" i="1"/>
  <c r="CQ296" i="1" s="1"/>
  <c r="CT296" i="1" s="1"/>
  <c r="CL112" i="1"/>
  <c r="CQ112" i="1" s="1"/>
  <c r="CT112" i="1" s="1"/>
  <c r="CL124" i="1"/>
  <c r="CQ124" i="1" s="1"/>
  <c r="CT124" i="1" s="1"/>
  <c r="CL55" i="1"/>
  <c r="CQ55" i="1" s="1"/>
  <c r="CT55" i="1" s="1"/>
  <c r="CL146" i="1"/>
  <c r="CQ146" i="1" s="1"/>
  <c r="CT146" i="1" s="1"/>
  <c r="CL158" i="1"/>
  <c r="CQ158" i="1" s="1"/>
  <c r="CT158" i="1" s="1"/>
  <c r="CL170" i="1"/>
  <c r="CQ170" i="1" s="1"/>
  <c r="CT170" i="1" s="1"/>
  <c r="CL203" i="1"/>
  <c r="CQ203" i="1" s="1"/>
  <c r="CT203" i="1" s="1"/>
  <c r="CL207" i="1"/>
  <c r="CQ207" i="1" s="1"/>
  <c r="CT207" i="1" s="1"/>
  <c r="CL186" i="1"/>
  <c r="CQ186" i="1" s="1"/>
  <c r="CT186" i="1" s="1"/>
  <c r="CL228" i="1"/>
  <c r="CQ228" i="1" s="1"/>
  <c r="CT228" i="1" s="1"/>
  <c r="CL215" i="1"/>
  <c r="CQ215" i="1" s="1"/>
  <c r="CT215" i="1" s="1"/>
  <c r="CL62" i="1"/>
  <c r="CQ62" i="1" s="1"/>
  <c r="CT62" i="1" s="1"/>
  <c r="CL74" i="1"/>
  <c r="CQ74" i="1" s="1"/>
  <c r="CT74" i="1" s="1"/>
  <c r="CL85" i="1"/>
  <c r="CQ85" i="1" s="1"/>
  <c r="CT85" i="1" s="1"/>
  <c r="CL10" i="1"/>
  <c r="CQ10" i="1" s="1"/>
  <c r="CT10" i="1" s="1"/>
  <c r="CL96" i="1"/>
  <c r="CQ96" i="1" s="1"/>
  <c r="CT96" i="1" s="1"/>
  <c r="CL22" i="1"/>
  <c r="CQ22" i="1" s="1"/>
  <c r="CT22" i="1" s="1"/>
  <c r="CL34" i="1"/>
  <c r="CQ34" i="1" s="1"/>
  <c r="CT34" i="1" s="1"/>
  <c r="CL46" i="1"/>
  <c r="CQ46" i="1" s="1"/>
  <c r="CT46" i="1" s="1"/>
  <c r="CL291" i="1"/>
  <c r="CQ291" i="1" s="1"/>
  <c r="CT291" i="1" s="1"/>
  <c r="CL245" i="1"/>
  <c r="CQ245" i="1" s="1"/>
  <c r="CT245" i="1" s="1"/>
  <c r="CL256" i="1"/>
  <c r="CQ256" i="1" s="1"/>
  <c r="CT256" i="1" s="1"/>
  <c r="CL308" i="1"/>
  <c r="CQ308" i="1" s="1"/>
  <c r="CT308" i="1" s="1"/>
  <c r="CL274" i="1"/>
  <c r="CQ274" i="1" s="1"/>
  <c r="CT274" i="1" s="1"/>
  <c r="CL286" i="1"/>
  <c r="CQ286" i="1" s="1"/>
  <c r="CT286" i="1" s="1"/>
  <c r="CL102" i="1"/>
  <c r="CQ102" i="1" s="1"/>
  <c r="CT102" i="1" s="1"/>
  <c r="CL113" i="1"/>
  <c r="CQ113" i="1" s="1"/>
  <c r="CT113" i="1" s="1"/>
  <c r="CL317" i="1"/>
  <c r="CQ317" i="1" s="1"/>
  <c r="CT317" i="1" s="1"/>
  <c r="CL135" i="1"/>
  <c r="CQ135" i="1" s="1"/>
  <c r="CT135" i="1" s="1"/>
  <c r="CL147" i="1"/>
  <c r="CQ147" i="1" s="1"/>
  <c r="CT147" i="1" s="1"/>
  <c r="CL159" i="1"/>
  <c r="CQ159" i="1" s="1"/>
  <c r="CT159" i="1" s="1"/>
  <c r="CL219" i="1"/>
  <c r="CQ219" i="1" s="1"/>
  <c r="CT219" i="1" s="1"/>
  <c r="CL210" i="1"/>
  <c r="CQ210" i="1" s="1"/>
  <c r="CT210" i="1" s="1"/>
  <c r="CL200" i="1"/>
  <c r="CQ200" i="1" s="1"/>
  <c r="CT200" i="1" s="1"/>
  <c r="CL188" i="1"/>
  <c r="CQ188" i="1" s="1"/>
  <c r="CT188" i="1" s="1"/>
  <c r="CL229" i="1"/>
  <c r="CQ229" i="1" s="1"/>
  <c r="CT229" i="1" s="1"/>
  <c r="CL216" i="1"/>
  <c r="CQ216" i="1" s="1"/>
  <c r="CT216" i="1" s="1"/>
  <c r="CL63" i="1"/>
  <c r="CQ63" i="1" s="1"/>
  <c r="CT63" i="1" s="1"/>
  <c r="CL75" i="1"/>
  <c r="CQ75" i="1" s="1"/>
  <c r="CT75" i="1" s="1"/>
  <c r="CL86" i="1"/>
  <c r="CQ86" i="1" s="1"/>
  <c r="CT86" i="1" s="1"/>
  <c r="CL11" i="1"/>
  <c r="CQ11" i="1" s="1"/>
  <c r="CT11" i="1" s="1"/>
  <c r="CL16" i="1"/>
  <c r="CQ16" i="1" s="1"/>
  <c r="CT16" i="1" s="1"/>
  <c r="CL23" i="1"/>
  <c r="CQ23" i="1" s="1"/>
  <c r="CT23" i="1" s="1"/>
  <c r="CL35" i="1"/>
  <c r="CQ35" i="1" s="1"/>
  <c r="CT35" i="1" s="1"/>
  <c r="CL47" i="1"/>
  <c r="CQ47" i="1" s="1"/>
  <c r="CT47" i="1" s="1"/>
  <c r="CL309" i="1"/>
  <c r="CQ309" i="1" s="1"/>
  <c r="CT309" i="1" s="1"/>
  <c r="CL246" i="1"/>
  <c r="CQ246" i="1" s="1"/>
  <c r="CT246" i="1" s="1"/>
  <c r="CL257" i="1"/>
  <c r="CQ257" i="1" s="1"/>
  <c r="CT257" i="1" s="1"/>
  <c r="CL197" i="1"/>
  <c r="CQ197" i="1" s="1"/>
  <c r="CT197" i="1" s="1"/>
  <c r="CL275" i="1"/>
  <c r="CQ275" i="1" s="1"/>
  <c r="CT275" i="1" s="1"/>
  <c r="CL287" i="1"/>
  <c r="CQ287" i="1" s="1"/>
  <c r="CT287" i="1" s="1"/>
  <c r="CL103" i="1"/>
  <c r="CQ103" i="1" s="1"/>
  <c r="CT103" i="1" s="1"/>
  <c r="CL114" i="1"/>
  <c r="CQ114" i="1" s="1"/>
  <c r="CT114" i="1" s="1"/>
  <c r="CL125" i="1"/>
  <c r="CQ125" i="1" s="1"/>
  <c r="CT125" i="1" s="1"/>
  <c r="CL136" i="1"/>
  <c r="CQ136" i="1" s="1"/>
  <c r="CT136" i="1" s="1"/>
  <c r="CL148" i="1"/>
  <c r="CQ148" i="1" s="1"/>
  <c r="CT148" i="1" s="1"/>
  <c r="CL160" i="1"/>
  <c r="CQ160" i="1" s="1"/>
  <c r="CT160" i="1" s="1"/>
  <c r="CL319" i="1"/>
  <c r="CQ319" i="1" s="1"/>
  <c r="CT319" i="1" s="1"/>
  <c r="CL211" i="1"/>
  <c r="CQ211" i="1" s="1"/>
  <c r="CT211" i="1" s="1"/>
  <c r="CL201" i="1"/>
  <c r="CQ201" i="1" s="1"/>
  <c r="CT201" i="1" s="1"/>
  <c r="CL187" i="1"/>
  <c r="CQ187" i="1" s="1"/>
  <c r="CT187" i="1" s="1"/>
  <c r="CL294" i="1"/>
  <c r="CQ294" i="1" s="1"/>
  <c r="CT294" i="1" s="1"/>
  <c r="CL233" i="1"/>
  <c r="CQ233" i="1" s="1"/>
  <c r="CT233" i="1" s="1"/>
  <c r="CL65" i="1"/>
  <c r="CQ65" i="1" s="1"/>
  <c r="CT65" i="1" s="1"/>
  <c r="CL77" i="1"/>
  <c r="CQ77" i="1" s="1"/>
  <c r="CT77" i="1" s="1"/>
  <c r="CL88" i="1"/>
  <c r="CQ88" i="1" s="1"/>
  <c r="CT88" i="1" s="1"/>
  <c r="CL13" i="1"/>
  <c r="CQ13" i="1" s="1"/>
  <c r="CT13" i="1" s="1"/>
  <c r="CL18" i="1"/>
  <c r="CQ18" i="1" s="1"/>
  <c r="CT18" i="1" s="1"/>
  <c r="CL25" i="1"/>
  <c r="CQ25" i="1" s="1"/>
  <c r="CT25" i="1" s="1"/>
  <c r="CL37" i="1"/>
  <c r="CQ37" i="1" s="1"/>
  <c r="CT37" i="1" s="1"/>
  <c r="CL49" i="1"/>
  <c r="CQ49" i="1" s="1"/>
  <c r="CT49" i="1" s="1"/>
  <c r="CL53" i="1"/>
  <c r="CQ53" i="1" s="1"/>
  <c r="CT53" i="1" s="1"/>
  <c r="CL247" i="1"/>
  <c r="CQ247" i="1" s="1"/>
  <c r="CT247" i="1" s="1"/>
  <c r="CL259" i="1"/>
  <c r="CQ259" i="1" s="1"/>
  <c r="CT259" i="1" s="1"/>
  <c r="CL265" i="1"/>
  <c r="CQ265" i="1" s="1"/>
  <c r="CT265" i="1" s="1"/>
  <c r="CL277" i="1"/>
  <c r="CQ277" i="1" s="1"/>
  <c r="CT277" i="1" s="1"/>
  <c r="CL289" i="1"/>
  <c r="CQ289" i="1" s="1"/>
  <c r="CT289" i="1" s="1"/>
  <c r="CL105" i="1"/>
  <c r="CQ105" i="1" s="1"/>
  <c r="CT105" i="1" s="1"/>
  <c r="CL116" i="1"/>
  <c r="CQ116" i="1" s="1"/>
  <c r="CT116" i="1" s="1"/>
  <c r="CL127" i="1"/>
  <c r="CQ127" i="1" s="1"/>
  <c r="CT127" i="1" s="1"/>
  <c r="CL138" i="1"/>
  <c r="CQ138" i="1" s="1"/>
  <c r="CT138" i="1" s="1"/>
  <c r="CL150" i="1"/>
  <c r="CQ150" i="1" s="1"/>
  <c r="CT150" i="1" s="1"/>
  <c r="CL162" i="1"/>
  <c r="CQ162" i="1" s="1"/>
  <c r="CT162" i="1" s="1"/>
  <c r="CL173" i="1"/>
  <c r="CQ173" i="1" s="1"/>
  <c r="CT173" i="1" s="1"/>
  <c r="CL213" i="1"/>
  <c r="CQ213" i="1" s="1"/>
  <c r="CT213" i="1" s="1"/>
  <c r="CL192" i="1"/>
  <c r="CQ192" i="1" s="1"/>
  <c r="CT192" i="1" s="1"/>
  <c r="CL175" i="1"/>
  <c r="CQ175" i="1" s="1"/>
  <c r="CT175" i="1" s="1"/>
  <c r="CL222" i="1"/>
  <c r="CQ222" i="1" s="1"/>
  <c r="CT222" i="1" s="1"/>
  <c r="CL238" i="1"/>
  <c r="CQ238" i="1" s="1"/>
  <c r="CT238" i="1" s="1"/>
  <c r="CL56" i="1"/>
  <c r="CQ56" i="1" s="1"/>
  <c r="CT56" i="1" s="1"/>
  <c r="CL68" i="1"/>
  <c r="CQ68" i="1" s="1"/>
  <c r="CT68" i="1" s="1"/>
  <c r="CL80" i="1"/>
  <c r="CQ80" i="1" s="1"/>
  <c r="CT80" i="1" s="1"/>
  <c r="CL89" i="1"/>
  <c r="CQ89" i="1" s="1"/>
  <c r="CT89" i="1" s="1"/>
  <c r="CL90" i="1"/>
  <c r="CQ90" i="1" s="1"/>
  <c r="CT90" i="1" s="1"/>
  <c r="CL98" i="1"/>
  <c r="CQ98" i="1" s="1"/>
  <c r="CT98" i="1" s="1"/>
  <c r="CL28" i="1"/>
  <c r="CQ28" i="1" s="1"/>
  <c r="CT28" i="1" s="1"/>
  <c r="CL40" i="1"/>
  <c r="CQ40" i="1" s="1"/>
  <c r="CT40" i="1" s="1"/>
  <c r="CL52" i="1"/>
  <c r="CQ52" i="1" s="1"/>
  <c r="CT52" i="1" s="1"/>
  <c r="CL297" i="1"/>
  <c r="CQ297" i="1" s="1"/>
  <c r="CT297" i="1" s="1"/>
  <c r="CL250" i="1"/>
  <c r="CQ250" i="1" s="1"/>
  <c r="CT250" i="1" s="1"/>
  <c r="CL262" i="1"/>
  <c r="CQ262" i="1" s="1"/>
  <c r="CT262" i="1" s="1"/>
  <c r="CL268" i="1"/>
  <c r="CQ268" i="1" s="1"/>
  <c r="CT268" i="1" s="1"/>
  <c r="CL280" i="1"/>
  <c r="CQ280" i="1" s="1"/>
  <c r="CL315" i="1"/>
  <c r="CQ315" i="1" s="1"/>
  <c r="CT315" i="1" s="1"/>
  <c r="CL108" i="1"/>
  <c r="CQ108" i="1" s="1"/>
  <c r="CT108" i="1" s="1"/>
  <c r="CL119" i="1"/>
  <c r="CQ119" i="1" s="1"/>
  <c r="CT119" i="1" s="1"/>
  <c r="CL130" i="1"/>
  <c r="CQ130" i="1" s="1"/>
  <c r="CT130" i="1" s="1"/>
  <c r="CL141" i="1"/>
  <c r="CQ141" i="1" s="1"/>
  <c r="CT141" i="1" s="1"/>
  <c r="CL153" i="1"/>
  <c r="CQ153" i="1" s="1"/>
  <c r="CT153" i="1" s="1"/>
  <c r="CL165" i="1"/>
  <c r="CQ165" i="1" s="1"/>
  <c r="CT165" i="1" s="1"/>
  <c r="CL183" i="1"/>
  <c r="CQ183" i="1" s="1"/>
  <c r="CT183" i="1" s="1"/>
  <c r="CL206" i="1"/>
  <c r="CQ206" i="1" s="1"/>
  <c r="CT206" i="1" s="1"/>
  <c r="CL195" i="1"/>
  <c r="CQ195" i="1" s="1"/>
  <c r="CT195" i="1" s="1"/>
  <c r="CL171" i="1"/>
  <c r="CQ171" i="1" s="1"/>
  <c r="CT171" i="1" s="1"/>
  <c r="CL223" i="1"/>
  <c r="CQ223" i="1" s="1"/>
  <c r="CT223" i="1" s="1"/>
  <c r="CL239" i="1"/>
  <c r="CQ239" i="1" s="1"/>
  <c r="CT239" i="1" s="1"/>
  <c r="CL57" i="1"/>
  <c r="CQ57" i="1" s="1"/>
  <c r="CT57" i="1" s="1"/>
  <c r="CL69" i="1"/>
  <c r="CQ69" i="1" s="1"/>
  <c r="CT69" i="1" s="1"/>
  <c r="CL81" i="1"/>
  <c r="CQ81" i="1" s="1"/>
  <c r="CT81" i="1" s="1"/>
  <c r="CL5" i="1"/>
  <c r="CQ5" i="1" s="1"/>
  <c r="CT5" i="1" s="1"/>
  <c r="CL91" i="1"/>
  <c r="CQ91" i="1" s="1"/>
  <c r="CT91" i="1" s="1"/>
  <c r="CL99" i="1"/>
  <c r="CQ99" i="1" s="1"/>
  <c r="CT99" i="1" s="1"/>
  <c r="CL29" i="1"/>
  <c r="CQ29" i="1" s="1"/>
  <c r="CT29" i="1" s="1"/>
  <c r="CL41" i="1"/>
  <c r="CQ41" i="1" s="1"/>
  <c r="CT41" i="1" s="1"/>
  <c r="CL302" i="1"/>
  <c r="CQ302" i="1" s="1"/>
  <c r="CT302" i="1" s="1"/>
  <c r="CL295" i="1"/>
  <c r="CQ295" i="1" s="1"/>
  <c r="CT295" i="1" s="1"/>
  <c r="CL251" i="1"/>
  <c r="CQ251" i="1" s="1"/>
  <c r="CT251" i="1" s="1"/>
  <c r="CL263" i="1"/>
  <c r="CQ263" i="1" s="1"/>
  <c r="CT263" i="1" s="1"/>
  <c r="CL269" i="1"/>
  <c r="CQ269" i="1" s="1"/>
  <c r="CT269" i="1" s="1"/>
  <c r="CL281" i="1"/>
  <c r="CQ281" i="1" s="1"/>
  <c r="CT281" i="1" s="1"/>
  <c r="CL292" i="1"/>
  <c r="CQ292" i="1" s="1"/>
  <c r="CT292" i="1" s="1"/>
  <c r="CL109" i="1"/>
  <c r="CQ109" i="1" s="1"/>
  <c r="CT109" i="1" s="1"/>
  <c r="CL120" i="1"/>
  <c r="CQ120" i="1" s="1"/>
  <c r="CT120" i="1" s="1"/>
  <c r="CL131" i="1"/>
  <c r="CQ131" i="1" s="1"/>
  <c r="CT131" i="1" s="1"/>
  <c r="CL142" i="1"/>
  <c r="CQ142" i="1" s="1"/>
  <c r="CT142" i="1" s="1"/>
  <c r="CL154" i="1"/>
  <c r="CQ154" i="1" s="1"/>
  <c r="CT154" i="1" s="1"/>
  <c r="CL166" i="1"/>
  <c r="CQ166" i="1" s="1"/>
  <c r="CT166" i="1" s="1"/>
  <c r="CL184" i="1"/>
  <c r="CQ184" i="1" s="1"/>
  <c r="CT184" i="1" s="1"/>
  <c r="CL198" i="1"/>
  <c r="CQ198" i="1" s="1"/>
  <c r="CT198" i="1" s="1"/>
  <c r="CL196" i="1"/>
  <c r="CQ196" i="1" s="1"/>
  <c r="CT196" i="1" s="1"/>
  <c r="CL172" i="1"/>
  <c r="CQ172" i="1" s="1"/>
  <c r="CT172" i="1" s="1"/>
  <c r="CL224" i="1"/>
  <c r="CQ224" i="1" s="1"/>
  <c r="CT224" i="1" s="1"/>
  <c r="CL240" i="1"/>
  <c r="CQ240" i="1" s="1"/>
  <c r="CT240" i="1" s="1"/>
  <c r="CL58" i="1"/>
  <c r="CQ58" i="1" s="1"/>
  <c r="CT58" i="1" s="1"/>
  <c r="CL70" i="1"/>
  <c r="CQ70" i="1" s="1"/>
  <c r="CT70" i="1" s="1"/>
  <c r="CL82" i="1"/>
  <c r="CQ82" i="1" s="1"/>
  <c r="CT82" i="1" s="1"/>
  <c r="CL6" i="1"/>
  <c r="CQ6" i="1" s="1"/>
  <c r="CT6" i="1" s="1"/>
  <c r="CL92" i="1"/>
  <c r="CQ92" i="1" s="1"/>
  <c r="CT92" i="1" s="1"/>
  <c r="CL20" i="1"/>
  <c r="CQ20" i="1" s="1"/>
  <c r="CT20" i="1" s="1"/>
  <c r="CL30" i="1"/>
  <c r="CQ30" i="1" s="1"/>
  <c r="CT30" i="1" s="1"/>
  <c r="CL42" i="1"/>
  <c r="CQ42" i="1" s="1"/>
  <c r="CT42" i="1" s="1"/>
  <c r="CL305" i="1"/>
  <c r="CQ305" i="1" s="1"/>
  <c r="CT305" i="1" s="1"/>
  <c r="CL312" i="1"/>
  <c r="CQ312" i="1" s="1"/>
  <c r="CT312" i="1" s="1"/>
  <c r="CL252" i="1"/>
  <c r="CQ252" i="1" s="1"/>
  <c r="CT252" i="1" s="1"/>
  <c r="CL311" i="1"/>
  <c r="CQ311" i="1" s="1"/>
  <c r="CT311" i="1" s="1"/>
  <c r="CL270" i="1"/>
  <c r="CQ270" i="1" s="1"/>
  <c r="CT270" i="1" s="1"/>
  <c r="CL282" i="1"/>
  <c r="CQ282" i="1" s="1"/>
  <c r="CT282" i="1" s="1"/>
  <c r="CL293" i="1"/>
  <c r="CQ293" i="1" s="1"/>
  <c r="CT293" i="1" s="1"/>
  <c r="CL54" i="1"/>
  <c r="CQ54" i="1" s="1"/>
  <c r="CL121" i="1"/>
  <c r="CQ121" i="1" s="1"/>
  <c r="CT121" i="1" s="1"/>
  <c r="CL132" i="1"/>
  <c r="CQ132" i="1" s="1"/>
  <c r="CT132" i="1" s="1"/>
  <c r="CL143" i="1"/>
  <c r="CQ143" i="1" s="1"/>
  <c r="CT143" i="1" s="1"/>
  <c r="CL155" i="1"/>
  <c r="CQ155" i="1" s="1"/>
  <c r="CT155" i="1" s="1"/>
  <c r="CL167" i="1"/>
  <c r="CQ167" i="1" s="1"/>
  <c r="CT167" i="1" s="1"/>
  <c r="CL208" i="1"/>
  <c r="CQ208" i="1" s="1"/>
  <c r="CT208" i="1" s="1"/>
  <c r="CL199" i="1"/>
  <c r="CQ199" i="1" s="1"/>
  <c r="CT199" i="1" s="1"/>
  <c r="CL190" i="1"/>
  <c r="CQ190" i="1" s="1"/>
  <c r="CT190" i="1" s="1"/>
  <c r="CL178" i="1"/>
  <c r="CQ178" i="1" s="1"/>
  <c r="CT178" i="1" s="1"/>
  <c r="CP305" i="1"/>
  <c r="CP306" i="1"/>
  <c r="CP304" i="1"/>
  <c r="CP303" i="1"/>
  <c r="CO57" i="1"/>
  <c r="CO5" i="1"/>
  <c r="CO91" i="1"/>
  <c r="CO99" i="1"/>
  <c r="CO295" i="1"/>
  <c r="CO292" i="1"/>
  <c r="CO109" i="1"/>
  <c r="CO196" i="1"/>
  <c r="CO172" i="1"/>
  <c r="CO58" i="1"/>
  <c r="CO6" i="1"/>
  <c r="CO92" i="1"/>
  <c r="CO20" i="1"/>
  <c r="CO30" i="1"/>
  <c r="CO293" i="1"/>
  <c r="CO132" i="1"/>
  <c r="CO199" i="1"/>
  <c r="CO178" i="1"/>
  <c r="CO83" i="1"/>
  <c r="CO100" i="1"/>
  <c r="CO31" i="1"/>
  <c r="CO43" i="1"/>
  <c r="CO310" i="1"/>
  <c r="CO110" i="1"/>
  <c r="CO122" i="1"/>
  <c r="CO133" i="1"/>
  <c r="CO204" i="1"/>
  <c r="CO179" i="1"/>
  <c r="CO232" i="1"/>
  <c r="CO61" i="1"/>
  <c r="CO73" i="1"/>
  <c r="CO84" i="1"/>
  <c r="CO9" i="1"/>
  <c r="CO95" i="1"/>
  <c r="CO21" i="1"/>
  <c r="CO33" i="1"/>
  <c r="CO45" i="1"/>
  <c r="CO63" i="1"/>
  <c r="CO16" i="1"/>
  <c r="CO23" i="1"/>
  <c r="CO35" i="1"/>
  <c r="CO197" i="1"/>
  <c r="CO275" i="1"/>
  <c r="CO319" i="1"/>
  <c r="CO201" i="1"/>
  <c r="CO187" i="1"/>
  <c r="CO218" i="1"/>
  <c r="CO222" i="1"/>
  <c r="CO89" i="1"/>
  <c r="CO28" i="1"/>
  <c r="CO40" i="1"/>
  <c r="CO297" i="1"/>
  <c r="CO108" i="1"/>
  <c r="CO153" i="1"/>
  <c r="CO165" i="1"/>
  <c r="CO183" i="1"/>
  <c r="CO171" i="1"/>
  <c r="CO217" i="1"/>
  <c r="CO157" i="1"/>
  <c r="CO181" i="1"/>
  <c r="CO2" i="1"/>
  <c r="CO137" i="1"/>
  <c r="CO192" i="1"/>
  <c r="CO85" i="1"/>
  <c r="CO18" i="1"/>
  <c r="CO44" i="1"/>
  <c r="CO276" i="1"/>
  <c r="CO296" i="1"/>
  <c r="CO159" i="1"/>
  <c r="CO193" i="1"/>
  <c r="CO60" i="1"/>
  <c r="CO46" i="1"/>
  <c r="CO244" i="1"/>
  <c r="CO277" i="1"/>
  <c r="CO102" i="1"/>
  <c r="CO123" i="1"/>
  <c r="CO139" i="1"/>
  <c r="CO194" i="1"/>
  <c r="CO101" i="1"/>
  <c r="CO48" i="1"/>
  <c r="CO104" i="1"/>
  <c r="CO140" i="1"/>
  <c r="CO8" i="1"/>
  <c r="CO50" i="1"/>
  <c r="CO308" i="1"/>
  <c r="CO146" i="1"/>
  <c r="CO188" i="1"/>
  <c r="CO32" i="1"/>
  <c r="CO291" i="1"/>
  <c r="CO129" i="1"/>
  <c r="CO176" i="1"/>
  <c r="CO113" i="1"/>
  <c r="CO177" i="1"/>
  <c r="CO94" i="1"/>
  <c r="CO272" i="1"/>
  <c r="CO173" i="1"/>
  <c r="CO200" i="1"/>
  <c r="CO316" i="1"/>
  <c r="CL212" i="1"/>
  <c r="CQ212" i="1" s="1"/>
  <c r="CT212" i="1" s="1"/>
  <c r="CL137" i="1"/>
  <c r="CQ137" i="1" s="1"/>
  <c r="CT137" i="1" s="1"/>
  <c r="CL288" i="1"/>
  <c r="CQ288" i="1" s="1"/>
  <c r="CT288" i="1" s="1"/>
  <c r="CL264" i="1"/>
  <c r="CQ264" i="1" s="1"/>
  <c r="CT264" i="1" s="1"/>
  <c r="CL24" i="1"/>
  <c r="CQ24" i="1" s="1"/>
  <c r="CT24" i="1" s="1"/>
  <c r="CL76" i="1"/>
  <c r="CQ76" i="1" s="1"/>
  <c r="CT76" i="1" s="1"/>
  <c r="CO10" i="1"/>
  <c r="CE184" i="1"/>
  <c r="CE292" i="1"/>
  <c r="CE281" i="1"/>
  <c r="CE269" i="1"/>
  <c r="CE263" i="1"/>
  <c r="CE295" i="1"/>
  <c r="CE29" i="1"/>
  <c r="CE69" i="1"/>
  <c r="CE57" i="1"/>
  <c r="CE239" i="1"/>
  <c r="CV168" i="1"/>
  <c r="CY168" i="1" s="1"/>
  <c r="CV301" i="1"/>
  <c r="CY301" i="1" s="1"/>
  <c r="CE139" i="1"/>
  <c r="CE117" i="1"/>
  <c r="CE3" i="1"/>
  <c r="CE78" i="1"/>
  <c r="CE66" i="1"/>
  <c r="CE236" i="1"/>
  <c r="CG186" i="1"/>
  <c r="CL182" i="1"/>
  <c r="CQ182" i="1" s="1"/>
  <c r="CT182" i="1" s="1"/>
  <c r="CL129" i="1"/>
  <c r="CQ129" i="1" s="1"/>
  <c r="CT129" i="1" s="1"/>
  <c r="CL279" i="1"/>
  <c r="CQ279" i="1" s="1"/>
  <c r="CT279" i="1" s="1"/>
  <c r="CL299" i="1"/>
  <c r="CQ299" i="1" s="1"/>
  <c r="CT299" i="1" s="1"/>
  <c r="CL97" i="1"/>
  <c r="CQ97" i="1" s="1"/>
  <c r="CT97" i="1" s="1"/>
  <c r="CL67" i="1"/>
  <c r="CQ67" i="1" s="1"/>
  <c r="CT67" i="1" s="1"/>
  <c r="CN130" i="1"/>
  <c r="CN18" i="1"/>
  <c r="CO145" i="1"/>
  <c r="CO314" i="1"/>
  <c r="CE143" i="1"/>
  <c r="CE42" i="1"/>
  <c r="CL181" i="1"/>
  <c r="CQ181" i="1" s="1"/>
  <c r="CT181" i="1" s="1"/>
  <c r="CO128" i="1"/>
  <c r="CE194" i="1"/>
  <c r="CG156" i="1"/>
  <c r="CG122" i="1"/>
  <c r="CG242" i="1"/>
  <c r="CL180" i="1"/>
  <c r="CQ180" i="1" s="1"/>
  <c r="CT180" i="1" s="1"/>
  <c r="CL126" i="1"/>
  <c r="CQ126" i="1" s="1"/>
  <c r="CT126" i="1" s="1"/>
  <c r="CL276" i="1"/>
  <c r="CQ276" i="1" s="1"/>
  <c r="CT276" i="1" s="1"/>
  <c r="CL306" i="1"/>
  <c r="CQ306" i="1" s="1"/>
  <c r="CT306" i="1" s="1"/>
  <c r="CL17" i="1"/>
  <c r="CQ17" i="1" s="1"/>
  <c r="CT17" i="1" s="1"/>
  <c r="CL64" i="1"/>
  <c r="CQ64" i="1" s="1"/>
  <c r="CT64" i="1" s="1"/>
  <c r="CN127" i="1"/>
  <c r="CN7" i="1"/>
  <c r="CO127" i="1"/>
  <c r="CE190" i="1"/>
  <c r="CE20" i="1"/>
  <c r="CG102" i="1"/>
  <c r="CL298" i="1"/>
  <c r="CQ298" i="1" s="1"/>
  <c r="CT298" i="1" s="1"/>
  <c r="CE50" i="1"/>
  <c r="CL177" i="1"/>
  <c r="CQ177" i="1" s="1"/>
  <c r="CT177" i="1" s="1"/>
  <c r="CL164" i="1"/>
  <c r="CQ164" i="1" s="1"/>
  <c r="CT164" i="1" s="1"/>
  <c r="CL118" i="1"/>
  <c r="CQ118" i="1" s="1"/>
  <c r="CT118" i="1" s="1"/>
  <c r="CL267" i="1"/>
  <c r="CQ267" i="1" s="1"/>
  <c r="CT267" i="1" s="1"/>
  <c r="CL51" i="1"/>
  <c r="CQ51" i="1" s="1"/>
  <c r="CT51" i="1" s="1"/>
  <c r="CL15" i="1"/>
  <c r="CQ15" i="1" s="1"/>
  <c r="CT15" i="1" s="1"/>
  <c r="CL218" i="1"/>
  <c r="CQ218" i="1" s="1"/>
  <c r="CT218" i="1" s="1"/>
  <c r="CN111" i="1"/>
  <c r="CN5" i="1"/>
  <c r="CO317" i="1"/>
  <c r="CE132" i="1"/>
  <c r="CE240" i="1"/>
  <c r="CE195" i="1"/>
  <c r="CL19" i="1"/>
  <c r="CQ19" i="1" s="1"/>
  <c r="CT19" i="1" s="1"/>
  <c r="CE164" i="1"/>
  <c r="CE261" i="1"/>
  <c r="CE163" i="1"/>
  <c r="CV153" i="1"/>
  <c r="CY153" i="1" s="1"/>
  <c r="CE247" i="1"/>
  <c r="CE294" i="1"/>
  <c r="CH157" i="1"/>
  <c r="CH254" i="1"/>
  <c r="CH304" i="1"/>
  <c r="CH44" i="1"/>
  <c r="CH231" i="1"/>
  <c r="CV221" i="1"/>
  <c r="CY221" i="1" s="1"/>
  <c r="CL176" i="1"/>
  <c r="CQ176" i="1" s="1"/>
  <c r="CT176" i="1" s="1"/>
  <c r="CL163" i="1"/>
  <c r="CQ163" i="1" s="1"/>
  <c r="CT163" i="1" s="1"/>
  <c r="CL117" i="1"/>
  <c r="CQ117" i="1" s="1"/>
  <c r="CT117" i="1" s="1"/>
  <c r="CL266" i="1"/>
  <c r="CQ266" i="1" s="1"/>
  <c r="CT266" i="1" s="1"/>
  <c r="CL50" i="1"/>
  <c r="CQ50" i="1" s="1"/>
  <c r="CT50" i="1" s="1"/>
  <c r="CL14" i="1"/>
  <c r="CQ14" i="1" s="1"/>
  <c r="CT14" i="1" s="1"/>
  <c r="CL234" i="1"/>
  <c r="CQ234" i="1" s="1"/>
  <c r="CT234" i="1" s="1"/>
  <c r="CN110" i="1"/>
  <c r="CN52" i="1"/>
  <c r="CN80" i="1"/>
  <c r="CO174" i="1"/>
  <c r="CP265" i="1"/>
  <c r="CE208" i="1"/>
  <c r="CL66" i="1"/>
  <c r="CQ66" i="1" s="1"/>
  <c r="CT66" i="1" s="1"/>
  <c r="CO175" i="1"/>
  <c r="CE51" i="1"/>
  <c r="CE26" i="1"/>
  <c r="CE175" i="1"/>
  <c r="CV235" i="1"/>
  <c r="CY235" i="1" s="1"/>
  <c r="CL189" i="1"/>
  <c r="CQ189" i="1" s="1"/>
  <c r="CT189" i="1" s="1"/>
  <c r="CL161" i="1"/>
  <c r="CQ161" i="1" s="1"/>
  <c r="CT161" i="1" s="1"/>
  <c r="CL115" i="1"/>
  <c r="CQ115" i="1" s="1"/>
  <c r="CT115" i="1" s="1"/>
  <c r="CL307" i="1"/>
  <c r="CQ307" i="1" s="1"/>
  <c r="CT307" i="1" s="1"/>
  <c r="CL48" i="1"/>
  <c r="CQ48" i="1" s="1"/>
  <c r="CT48" i="1" s="1"/>
  <c r="CL12" i="1"/>
  <c r="CQ12" i="1" s="1"/>
  <c r="CT12" i="1" s="1"/>
  <c r="CL217" i="1"/>
  <c r="CQ217" i="1" s="1"/>
  <c r="CT217" i="1" s="1"/>
  <c r="CN184" i="1"/>
  <c r="CN109" i="1"/>
  <c r="CN51" i="1"/>
  <c r="CN79" i="1"/>
  <c r="CE311" i="1"/>
  <c r="CL278" i="1"/>
  <c r="CQ278" i="1" s="1"/>
  <c r="CT278" i="1" s="1"/>
  <c r="CE140" i="1"/>
  <c r="CE299" i="1"/>
  <c r="CE106" i="1"/>
  <c r="CH49" i="1"/>
  <c r="CG32" i="1"/>
  <c r="CG177" i="1"/>
  <c r="CG194" i="1"/>
  <c r="CG174" i="1"/>
  <c r="CG182" i="1"/>
  <c r="CG164" i="1"/>
  <c r="CG152" i="1"/>
  <c r="CG140" i="1"/>
  <c r="CG129" i="1"/>
  <c r="CG118" i="1"/>
  <c r="CG107" i="1"/>
  <c r="CG320" i="1"/>
  <c r="CG279" i="1"/>
  <c r="CG267" i="1"/>
  <c r="CG261" i="1"/>
  <c r="CG249" i="1"/>
  <c r="CG299" i="1"/>
  <c r="CG51" i="1"/>
  <c r="CG39" i="1"/>
  <c r="CG27" i="1"/>
  <c r="CG97" i="1"/>
  <c r="CG15" i="1"/>
  <c r="CG4" i="1"/>
  <c r="CG79" i="1"/>
  <c r="CG67" i="1"/>
  <c r="CG218" i="1"/>
  <c r="CG221" i="1"/>
  <c r="CG147" i="1"/>
  <c r="CG317" i="1"/>
  <c r="CG85" i="1"/>
  <c r="CG228" i="1"/>
  <c r="CE142" i="1"/>
  <c r="CE81" i="1"/>
  <c r="CG202" i="1"/>
  <c r="CG212" i="1"/>
  <c r="CG217" i="1"/>
  <c r="CG144" i="1"/>
  <c r="CE122" i="1"/>
  <c r="CG283" i="1"/>
  <c r="CE253" i="1"/>
  <c r="CE242" i="1"/>
  <c r="CE43" i="1"/>
  <c r="CG225" i="1"/>
  <c r="CE193" i="1"/>
  <c r="CE290" i="1"/>
  <c r="CE278" i="1"/>
  <c r="CE260" i="1"/>
  <c r="CG298" i="1"/>
  <c r="CL194" i="1"/>
  <c r="CQ194" i="1" s="1"/>
  <c r="CT194" i="1" s="1"/>
  <c r="CL152" i="1"/>
  <c r="CQ152" i="1" s="1"/>
  <c r="CT152" i="1" s="1"/>
  <c r="CL107" i="1"/>
  <c r="CQ107" i="1" s="1"/>
  <c r="CT107" i="1" s="1"/>
  <c r="CL261" i="1"/>
  <c r="CQ261" i="1" s="1"/>
  <c r="CT261" i="1" s="1"/>
  <c r="CL39" i="1"/>
  <c r="CQ39" i="1" s="1"/>
  <c r="CT39" i="1" s="1"/>
  <c r="CL4" i="1"/>
  <c r="CQ4" i="1" s="1"/>
  <c r="CT4" i="1" s="1"/>
  <c r="CL237" i="1"/>
  <c r="CQ237" i="1" s="1"/>
  <c r="CT237" i="1" s="1"/>
  <c r="CN165" i="1"/>
  <c r="CN49" i="1"/>
  <c r="CN77" i="1"/>
  <c r="CO226" i="1"/>
  <c r="CN291" i="1"/>
  <c r="CN274" i="1"/>
  <c r="CN317" i="1"/>
  <c r="CN309" i="1"/>
  <c r="CN246" i="1"/>
  <c r="CN197" i="1"/>
  <c r="CN211" i="1"/>
  <c r="CN217" i="1"/>
  <c r="CN306" i="1"/>
  <c r="CN212" i="1"/>
  <c r="CN222" i="1"/>
  <c r="CN227" i="1"/>
  <c r="CN303" i="1"/>
  <c r="CN244" i="1"/>
  <c r="CN314" i="1"/>
  <c r="CN273" i="1"/>
  <c r="CN285" i="1"/>
  <c r="CN203" i="1"/>
  <c r="CM175" i="1"/>
  <c r="CM192" i="1"/>
  <c r="CM213" i="1"/>
  <c r="CM173" i="1"/>
  <c r="CM162" i="1"/>
  <c r="CM150" i="1"/>
  <c r="CM138" i="1"/>
  <c r="CM127" i="1"/>
  <c r="CM116" i="1"/>
  <c r="CM105" i="1"/>
  <c r="CM289" i="1"/>
  <c r="CM277" i="1"/>
  <c r="CM265" i="1"/>
  <c r="CM259" i="1"/>
  <c r="CM247" i="1"/>
  <c r="CM53" i="1"/>
  <c r="CM49" i="1"/>
  <c r="CM37" i="1"/>
  <c r="CM25" i="1"/>
  <c r="CM18" i="1"/>
  <c r="CM13" i="1"/>
  <c r="CM87" i="1"/>
  <c r="CM72" i="1"/>
  <c r="CM217" i="1"/>
  <c r="CM226" i="1"/>
  <c r="CN191" i="1"/>
  <c r="CN174" i="1"/>
  <c r="CN279" i="1"/>
  <c r="CN310" i="1"/>
  <c r="CN249" i="1"/>
  <c r="CN241" i="1"/>
  <c r="CO152" i="1"/>
  <c r="CO55" i="1"/>
  <c r="CO115" i="1"/>
  <c r="CO290" i="1"/>
  <c r="CO256" i="1"/>
  <c r="CO53" i="1"/>
  <c r="CO36" i="1"/>
  <c r="CO77" i="1"/>
  <c r="CO215" i="1"/>
  <c r="CP194" i="1"/>
  <c r="CP162" i="1"/>
  <c r="CP124" i="1"/>
  <c r="CP97" i="1"/>
  <c r="CG26" i="1"/>
  <c r="CG19" i="1"/>
  <c r="CG3" i="1"/>
  <c r="CG78" i="1"/>
  <c r="CE158" i="1"/>
  <c r="CE95" i="1"/>
  <c r="CP57" i="1"/>
  <c r="CP69" i="1"/>
  <c r="CP81" i="1"/>
  <c r="CP5" i="1"/>
  <c r="CP91" i="1"/>
  <c r="CP99" i="1"/>
  <c r="CP29" i="1"/>
  <c r="CP41" i="1"/>
  <c r="CP109" i="1"/>
  <c r="CP120" i="1"/>
  <c r="CP131" i="1"/>
  <c r="CP142" i="1"/>
  <c r="CP154" i="1"/>
  <c r="CP166" i="1"/>
  <c r="CP184" i="1"/>
  <c r="CP172" i="1"/>
  <c r="CP58" i="1"/>
  <c r="CP70" i="1"/>
  <c r="CP82" i="1"/>
  <c r="CP6" i="1"/>
  <c r="CP92" i="1"/>
  <c r="CP20" i="1"/>
  <c r="CP30" i="1"/>
  <c r="CP42" i="1"/>
  <c r="CP54" i="1"/>
  <c r="CP121" i="1"/>
  <c r="CP132" i="1"/>
  <c r="CP143" i="1"/>
  <c r="CP155" i="1"/>
  <c r="CP167" i="1"/>
  <c r="CP59" i="1"/>
  <c r="CP71" i="1"/>
  <c r="CP83" i="1"/>
  <c r="CP7" i="1"/>
  <c r="CP93" i="1"/>
  <c r="CP100" i="1"/>
  <c r="CP31" i="1"/>
  <c r="CP43" i="1"/>
  <c r="CP110" i="1"/>
  <c r="CP122" i="1"/>
  <c r="CP133" i="1"/>
  <c r="CP144" i="1"/>
  <c r="CP156" i="1"/>
  <c r="CP168" i="1"/>
  <c r="CP56" i="1"/>
  <c r="CP68" i="1"/>
  <c r="CP80" i="1"/>
  <c r="CP89" i="1"/>
  <c r="CP90" i="1"/>
  <c r="CP98" i="1"/>
  <c r="CP28" i="1"/>
  <c r="CP40" i="1"/>
  <c r="CP52" i="1"/>
  <c r="CP108" i="1"/>
  <c r="CP119" i="1"/>
  <c r="CP130" i="1"/>
  <c r="CP141" i="1"/>
  <c r="CP153" i="1"/>
  <c r="CP165" i="1"/>
  <c r="CP183" i="1"/>
  <c r="CP171" i="1"/>
  <c r="CP66" i="1"/>
  <c r="CP85" i="1"/>
  <c r="CP14" i="1"/>
  <c r="CP22" i="1"/>
  <c r="CP38" i="1"/>
  <c r="CP102" i="1"/>
  <c r="CP117" i="1"/>
  <c r="CP135" i="1"/>
  <c r="CP151" i="1"/>
  <c r="CP188" i="1"/>
  <c r="CP67" i="1"/>
  <c r="CP86" i="1"/>
  <c r="CP15" i="1"/>
  <c r="CP23" i="1"/>
  <c r="CP39" i="1"/>
  <c r="CP103" i="1"/>
  <c r="CP118" i="1"/>
  <c r="CP136" i="1"/>
  <c r="CP152" i="1"/>
  <c r="CP174" i="1"/>
  <c r="CP187" i="1"/>
  <c r="CP72" i="1"/>
  <c r="CP87" i="1"/>
  <c r="CP94" i="1"/>
  <c r="CP24" i="1"/>
  <c r="CP44" i="1"/>
  <c r="CP104" i="1"/>
  <c r="CP123" i="1"/>
  <c r="CP137" i="1"/>
  <c r="CP157" i="1"/>
  <c r="CP180" i="1"/>
  <c r="CP189" i="1"/>
  <c r="CP74" i="1"/>
  <c r="CP3" i="1"/>
  <c r="CP96" i="1"/>
  <c r="CP26" i="1"/>
  <c r="CP46" i="1"/>
  <c r="CP106" i="1"/>
  <c r="CP139" i="1"/>
  <c r="CP159" i="1"/>
  <c r="CP181" i="1"/>
  <c r="CP176" i="1"/>
  <c r="CP60" i="1"/>
  <c r="CP76" i="1"/>
  <c r="CP8" i="1"/>
  <c r="CP17" i="1"/>
  <c r="CP32" i="1"/>
  <c r="CP48" i="1"/>
  <c r="CP111" i="1"/>
  <c r="CP126" i="1"/>
  <c r="CP145" i="1"/>
  <c r="CP161" i="1"/>
  <c r="CP178" i="1"/>
  <c r="CP64" i="1"/>
  <c r="CP2" i="1"/>
  <c r="CP12" i="1"/>
  <c r="CP101" i="1"/>
  <c r="CP36" i="1"/>
  <c r="CP115" i="1"/>
  <c r="CP134" i="1"/>
  <c r="CP149" i="1"/>
  <c r="CP169" i="1"/>
  <c r="CP185" i="1"/>
  <c r="CP65" i="1"/>
  <c r="CP84" i="1"/>
  <c r="CP13" i="1"/>
  <c r="CP21" i="1"/>
  <c r="CP37" i="1"/>
  <c r="CP116" i="1"/>
  <c r="CP55" i="1"/>
  <c r="CP150" i="1"/>
  <c r="CP170" i="1"/>
  <c r="CP186" i="1"/>
  <c r="CN228" i="1"/>
  <c r="CN215" i="1"/>
  <c r="CN256" i="1"/>
  <c r="CN308" i="1"/>
  <c r="CN286" i="1"/>
  <c r="CN219" i="1"/>
  <c r="CN210" i="1"/>
  <c r="CN229" i="1"/>
  <c r="CN216" i="1"/>
  <c r="CN257" i="1"/>
  <c r="CN275" i="1"/>
  <c r="CN287" i="1"/>
  <c r="CN319" i="1"/>
  <c r="CN201" i="1"/>
  <c r="CN230" i="1"/>
  <c r="CN264" i="1"/>
  <c r="CN258" i="1"/>
  <c r="CN307" i="1"/>
  <c r="CN276" i="1"/>
  <c r="CN202" i="1"/>
  <c r="CN238" i="1"/>
  <c r="CN232" i="1"/>
  <c r="CN255" i="1"/>
  <c r="CN207" i="1"/>
  <c r="CM307" i="1"/>
  <c r="CM306" i="1"/>
  <c r="CN293" i="1"/>
  <c r="CN248" i="1"/>
  <c r="CN240" i="1"/>
  <c r="CO207" i="1"/>
  <c r="CO180" i="1"/>
  <c r="CO151" i="1"/>
  <c r="CO134" i="1"/>
  <c r="CO289" i="1"/>
  <c r="CO267" i="1"/>
  <c r="CO255" i="1"/>
  <c r="CO306" i="1"/>
  <c r="CO34" i="1"/>
  <c r="CO14" i="1"/>
  <c r="CO76" i="1"/>
  <c r="CO231" i="1"/>
  <c r="CP160" i="1"/>
  <c r="CP114" i="1"/>
  <c r="CP53" i="1"/>
  <c r="CP19" i="1"/>
  <c r="CP75" i="1"/>
  <c r="CP223" i="1"/>
  <c r="CP239" i="1"/>
  <c r="CP251" i="1"/>
  <c r="CP263" i="1"/>
  <c r="CP198" i="1"/>
  <c r="CP196" i="1"/>
  <c r="CP224" i="1"/>
  <c r="CP240" i="1"/>
  <c r="CP252" i="1"/>
  <c r="CP208" i="1"/>
  <c r="CP199" i="1"/>
  <c r="CP190" i="1"/>
  <c r="CP225" i="1"/>
  <c r="CP241" i="1"/>
  <c r="CP242" i="1"/>
  <c r="CP253" i="1"/>
  <c r="CP220" i="1"/>
  <c r="CP204" i="1"/>
  <c r="CP191" i="1"/>
  <c r="CP222" i="1"/>
  <c r="CP238" i="1"/>
  <c r="CP250" i="1"/>
  <c r="CP262" i="1"/>
  <c r="CP206" i="1"/>
  <c r="CP195" i="1"/>
  <c r="CP235" i="1"/>
  <c r="CP215" i="1"/>
  <c r="CP248" i="1"/>
  <c r="CP219" i="1"/>
  <c r="CP214" i="1"/>
  <c r="CP221" i="1"/>
  <c r="CP216" i="1"/>
  <c r="CP249" i="1"/>
  <c r="CP197" i="1"/>
  <c r="CP226" i="1"/>
  <c r="CP217" i="1"/>
  <c r="CP254" i="1"/>
  <c r="CP205" i="1"/>
  <c r="CP228" i="1"/>
  <c r="CP234" i="1"/>
  <c r="CP256" i="1"/>
  <c r="CP200" i="1"/>
  <c r="CP230" i="1"/>
  <c r="CP243" i="1"/>
  <c r="CP258" i="1"/>
  <c r="CP209" i="1"/>
  <c r="CP202" i="1"/>
  <c r="CP237" i="1"/>
  <c r="CP231" i="1"/>
  <c r="CP212" i="1"/>
  <c r="CP232" i="1"/>
  <c r="CP247" i="1"/>
  <c r="CP213" i="1"/>
  <c r="CN245" i="1"/>
  <c r="CN200" i="1"/>
  <c r="CN188" i="1"/>
  <c r="CN187" i="1"/>
  <c r="CN288" i="1"/>
  <c r="CN189" i="1"/>
  <c r="CN296" i="1"/>
  <c r="CN186" i="1"/>
  <c r="CM319" i="1"/>
  <c r="CM309" i="1"/>
  <c r="CN196" i="1"/>
  <c r="CN213" i="1"/>
  <c r="CN292" i="1"/>
  <c r="CN277" i="1"/>
  <c r="CN263" i="1"/>
  <c r="CN247" i="1"/>
  <c r="CN302" i="1"/>
  <c r="CN239" i="1"/>
  <c r="CO205" i="1"/>
  <c r="CO219" i="1"/>
  <c r="CO150" i="1"/>
  <c r="CO112" i="1"/>
  <c r="CO288" i="1"/>
  <c r="CO266" i="1"/>
  <c r="CO254" i="1"/>
  <c r="CO13" i="1"/>
  <c r="CO74" i="1"/>
  <c r="CP192" i="1"/>
  <c r="CP158" i="1"/>
  <c r="CP113" i="1"/>
  <c r="CP51" i="1"/>
  <c r="CP18" i="1"/>
  <c r="CP73" i="1"/>
  <c r="CP302" i="1"/>
  <c r="CP301" i="1"/>
  <c r="CP300" i="1"/>
  <c r="CO81" i="1"/>
  <c r="CO302" i="1"/>
  <c r="CO269" i="1"/>
  <c r="CO281" i="1"/>
  <c r="CO240" i="1"/>
  <c r="CO70" i="1"/>
  <c r="CO42" i="1"/>
  <c r="CO305" i="1"/>
  <c r="CO270" i="1"/>
  <c r="CO282" i="1"/>
  <c r="CO241" i="1"/>
  <c r="CO7" i="1"/>
  <c r="CO93" i="1"/>
  <c r="CO301" i="1"/>
  <c r="CO253" i="1"/>
  <c r="CO271" i="1"/>
  <c r="CO283" i="1"/>
  <c r="CO220" i="1"/>
  <c r="CO227" i="1"/>
  <c r="CO229" i="1"/>
  <c r="CO216" i="1"/>
  <c r="CO75" i="1"/>
  <c r="CO11" i="1"/>
  <c r="CO47" i="1"/>
  <c r="CO246" i="1"/>
  <c r="CO257" i="1"/>
  <c r="CO287" i="1"/>
  <c r="CO148" i="1"/>
  <c r="CO211" i="1"/>
  <c r="CO237" i="1"/>
  <c r="CO27" i="1"/>
  <c r="CO51" i="1"/>
  <c r="CO238" i="1"/>
  <c r="CO68" i="1"/>
  <c r="CO80" i="1"/>
  <c r="CO90" i="1"/>
  <c r="CO98" i="1"/>
  <c r="CO315" i="1"/>
  <c r="CM316" i="1"/>
  <c r="CM318" i="1"/>
  <c r="CM313" i="1"/>
  <c r="CN178" i="1"/>
  <c r="CN193" i="1"/>
  <c r="CN208" i="1"/>
  <c r="CN260" i="1"/>
  <c r="CN312" i="1"/>
  <c r="CN294" i="1"/>
  <c r="CO213" i="1"/>
  <c r="CO164" i="1"/>
  <c r="CO126" i="1"/>
  <c r="CO106" i="1"/>
  <c r="CO247" i="1"/>
  <c r="CO24" i="1"/>
  <c r="CO65" i="1"/>
  <c r="CO228" i="1"/>
  <c r="CP211" i="1"/>
  <c r="CP146" i="1"/>
  <c r="CP105" i="1"/>
  <c r="CP260" i="1"/>
  <c r="CP47" i="1"/>
  <c r="CP11" i="1"/>
  <c r="CP61" i="1"/>
  <c r="CP308" i="1"/>
  <c r="CP309" i="1"/>
  <c r="CP307" i="1"/>
  <c r="CO239" i="1"/>
  <c r="CO69" i="1"/>
  <c r="CO29" i="1"/>
  <c r="CO41" i="1"/>
  <c r="CO251" i="1"/>
  <c r="CO263" i="1"/>
  <c r="CO131" i="1"/>
  <c r="CO142" i="1"/>
  <c r="CO154" i="1"/>
  <c r="CO166" i="1"/>
  <c r="CO184" i="1"/>
  <c r="CO198" i="1"/>
  <c r="CO82" i="1"/>
  <c r="CO312" i="1"/>
  <c r="CO252" i="1"/>
  <c r="CO54" i="1"/>
  <c r="CO155" i="1"/>
  <c r="CO167" i="1"/>
  <c r="CO208" i="1"/>
  <c r="CO59" i="1"/>
  <c r="CO71" i="1"/>
  <c r="CO242" i="1"/>
  <c r="CO300" i="1"/>
  <c r="CO144" i="1"/>
  <c r="CO156" i="1"/>
  <c r="CO191" i="1"/>
  <c r="CO86" i="1"/>
  <c r="CO103" i="1"/>
  <c r="CO114" i="1"/>
  <c r="CO125" i="1"/>
  <c r="CO136" i="1"/>
  <c r="CO160" i="1"/>
  <c r="CO221" i="1"/>
  <c r="CO67" i="1"/>
  <c r="CO79" i="1"/>
  <c r="CO15" i="1"/>
  <c r="CO39" i="1"/>
  <c r="CO250" i="1"/>
  <c r="CO262" i="1"/>
  <c r="CO268" i="1"/>
  <c r="CO280" i="1"/>
  <c r="CO130" i="1"/>
  <c r="CO141" i="1"/>
  <c r="CO206" i="1"/>
  <c r="CO195" i="1"/>
  <c r="CM311" i="1"/>
  <c r="CN254" i="1"/>
  <c r="CN225" i="1"/>
  <c r="CO185" i="1"/>
  <c r="CO210" i="1"/>
  <c r="CO162" i="1"/>
  <c r="CO278" i="1"/>
  <c r="CO313" i="1"/>
  <c r="CO245" i="1"/>
  <c r="CO62" i="1"/>
  <c r="CO235" i="1"/>
  <c r="CP203" i="1"/>
  <c r="CP138" i="1"/>
  <c r="CP257" i="1"/>
  <c r="CP35" i="1"/>
  <c r="CP9" i="1"/>
  <c r="CP233" i="1"/>
  <c r="CP311" i="1"/>
  <c r="CP310" i="1"/>
  <c r="CO223" i="1"/>
  <c r="CO120" i="1"/>
  <c r="CO224" i="1"/>
  <c r="CO121" i="1"/>
  <c r="CO143" i="1"/>
  <c r="CO190" i="1"/>
  <c r="CO225" i="1"/>
  <c r="CO168" i="1"/>
  <c r="CO119" i="1"/>
  <c r="CM302" i="1"/>
  <c r="CN177" i="1"/>
  <c r="CN204" i="1"/>
  <c r="CN182" i="1"/>
  <c r="CN283" i="1"/>
  <c r="CN267" i="1"/>
  <c r="CN218" i="1"/>
  <c r="CN224" i="1"/>
  <c r="CO203" i="1"/>
  <c r="CO161" i="1"/>
  <c r="CO261" i="1"/>
  <c r="CO19" i="1"/>
  <c r="CO87" i="1"/>
  <c r="CP182" i="1"/>
  <c r="CP129" i="1"/>
  <c r="CP255" i="1"/>
  <c r="CP34" i="1"/>
  <c r="CP4" i="1"/>
  <c r="CP236" i="1"/>
  <c r="CP312" i="1"/>
  <c r="CP315" i="1"/>
  <c r="CP313" i="1"/>
  <c r="CP314" i="1"/>
  <c r="CO4" i="1"/>
  <c r="CO97" i="1"/>
  <c r="CO56" i="1"/>
  <c r="CO52" i="1"/>
  <c r="CM171" i="1"/>
  <c r="CM195" i="1"/>
  <c r="CM206" i="1"/>
  <c r="CM183" i="1"/>
  <c r="CM165" i="1"/>
  <c r="CM153" i="1"/>
  <c r="CM141" i="1"/>
  <c r="CM130" i="1"/>
  <c r="CM119" i="1"/>
  <c r="CM108" i="1"/>
  <c r="CM280" i="1"/>
  <c r="CM268" i="1"/>
  <c r="CM262" i="1"/>
  <c r="CM250" i="1"/>
  <c r="CM297" i="1"/>
  <c r="CM52" i="1"/>
  <c r="CM40" i="1"/>
  <c r="CM28" i="1"/>
  <c r="CM98" i="1"/>
  <c r="CM90" i="1"/>
  <c r="CM89" i="1"/>
  <c r="CM75" i="1"/>
  <c r="CM59" i="1"/>
  <c r="CN176" i="1"/>
  <c r="CN199" i="1"/>
  <c r="CN282" i="1"/>
  <c r="CN266" i="1"/>
  <c r="CN252" i="1"/>
  <c r="CN298" i="1"/>
  <c r="CN234" i="1"/>
  <c r="CN223" i="1"/>
  <c r="CO209" i="1"/>
  <c r="CO138" i="1"/>
  <c r="CO118" i="1"/>
  <c r="CO260" i="1"/>
  <c r="CO243" i="1"/>
  <c r="CO234" i="1"/>
  <c r="CP179" i="1"/>
  <c r="CP173" i="1"/>
  <c r="CP128" i="1"/>
  <c r="CP246" i="1"/>
  <c r="CP33" i="1"/>
  <c r="CP88" i="1"/>
  <c r="CM237" i="1"/>
  <c r="CM218" i="1"/>
  <c r="CM222" i="1"/>
  <c r="CM238" i="1"/>
  <c r="CM68" i="1"/>
  <c r="CM80" i="1"/>
  <c r="CM223" i="1"/>
  <c r="CM57" i="1"/>
  <c r="CM81" i="1"/>
  <c r="CM235" i="1"/>
  <c r="CM236" i="1"/>
  <c r="CM234" i="1"/>
  <c r="CM66" i="1"/>
  <c r="CM78" i="1"/>
  <c r="CP319" i="1"/>
  <c r="CP317" i="1"/>
  <c r="CP318" i="1"/>
  <c r="CM177" i="1"/>
  <c r="CM194" i="1"/>
  <c r="CM174" i="1"/>
  <c r="CM182" i="1"/>
  <c r="CM164" i="1"/>
  <c r="CM152" i="1"/>
  <c r="CM140" i="1"/>
  <c r="CM129" i="1"/>
  <c r="CM118" i="1"/>
  <c r="CM107" i="1"/>
  <c r="CM320" i="1"/>
  <c r="CM279" i="1"/>
  <c r="CM267" i="1"/>
  <c r="CM261" i="1"/>
  <c r="CM249" i="1"/>
  <c r="CM299" i="1"/>
  <c r="CM51" i="1"/>
  <c r="CM39" i="1"/>
  <c r="CM27" i="1"/>
  <c r="CM97" i="1"/>
  <c r="CM15" i="1"/>
  <c r="CM74" i="1"/>
  <c r="CM58" i="1"/>
  <c r="CM228" i="1"/>
  <c r="CN175" i="1"/>
  <c r="CN198" i="1"/>
  <c r="CN281" i="1"/>
  <c r="CN265" i="1"/>
  <c r="CN251" i="1"/>
  <c r="CN233" i="1"/>
  <c r="CN221" i="1"/>
  <c r="CO182" i="1"/>
  <c r="CO158" i="1"/>
  <c r="CO117" i="1"/>
  <c r="CO274" i="1"/>
  <c r="CO259" i="1"/>
  <c r="CO299" i="1"/>
  <c r="CO38" i="1"/>
  <c r="CO17" i="1"/>
  <c r="CO233" i="1"/>
  <c r="CP177" i="1"/>
  <c r="CP164" i="1"/>
  <c r="CP127" i="1"/>
  <c r="CP245" i="1"/>
  <c r="CP27" i="1"/>
  <c r="CP79" i="1"/>
  <c r="CP229" i="1"/>
  <c r="CM221" i="1"/>
  <c r="CM67" i="1"/>
  <c r="CM79" i="1"/>
  <c r="CM56" i="1"/>
  <c r="CM239" i="1"/>
  <c r="CM69" i="1"/>
  <c r="CM3" i="1"/>
  <c r="CM176" i="1"/>
  <c r="CM193" i="1"/>
  <c r="CM214" i="1"/>
  <c r="CM181" i="1"/>
  <c r="CM163" i="1"/>
  <c r="CM151" i="1"/>
  <c r="CM139" i="1"/>
  <c r="CM128" i="1"/>
  <c r="CM117" i="1"/>
  <c r="CM106" i="1"/>
  <c r="CM290" i="1"/>
  <c r="CM278" i="1"/>
  <c r="CM266" i="1"/>
  <c r="CM260" i="1"/>
  <c r="CM248" i="1"/>
  <c r="CM50" i="1"/>
  <c r="CM38" i="1"/>
  <c r="CM26" i="1"/>
  <c r="CM19" i="1"/>
  <c r="CM14" i="1"/>
  <c r="CM88" i="1"/>
  <c r="CM73" i="1"/>
  <c r="CM233" i="1"/>
  <c r="CM227" i="1"/>
  <c r="CN185" i="1"/>
  <c r="CN206" i="1"/>
  <c r="CN318" i="1"/>
  <c r="CN280" i="1"/>
  <c r="CN313" i="1"/>
  <c r="CN250" i="1"/>
  <c r="CN304" i="1"/>
  <c r="CN231" i="1"/>
  <c r="CN235" i="1"/>
  <c r="CO202" i="1"/>
  <c r="CO135" i="1"/>
  <c r="CO116" i="1"/>
  <c r="CO320" i="1"/>
  <c r="CO273" i="1"/>
  <c r="CO258" i="1"/>
  <c r="CO298" i="1"/>
  <c r="CO37" i="1"/>
  <c r="CO96" i="1"/>
  <c r="CO78" i="1"/>
  <c r="CP175" i="1"/>
  <c r="CP163" i="1"/>
  <c r="CP125" i="1"/>
  <c r="CP244" i="1"/>
  <c r="CP25" i="1"/>
  <c r="CP78" i="1"/>
  <c r="CP227" i="1"/>
  <c r="CE182" i="1"/>
  <c r="CE39" i="1"/>
  <c r="CE27" i="1"/>
  <c r="CE15" i="1"/>
  <c r="CE152" i="1"/>
  <c r="CE67" i="1"/>
  <c r="CE192" i="1"/>
  <c r="CE213" i="1"/>
  <c r="CE173" i="1"/>
  <c r="CE162" i="1"/>
  <c r="CE150" i="1"/>
  <c r="CE138" i="1"/>
  <c r="CE127" i="1"/>
  <c r="CE116" i="1"/>
  <c r="CE105" i="1"/>
  <c r="CE289" i="1"/>
  <c r="CE277" i="1"/>
  <c r="CE265" i="1"/>
  <c r="CE259" i="1"/>
  <c r="CE53" i="1"/>
  <c r="CE49" i="1"/>
  <c r="CE37" i="1"/>
  <c r="CE25" i="1"/>
  <c r="CE18" i="1"/>
  <c r="CE13" i="1"/>
  <c r="CE88" i="1"/>
  <c r="CE77" i="1"/>
  <c r="CE65" i="1"/>
  <c r="CE233" i="1"/>
  <c r="CG310" i="1"/>
  <c r="CG100" i="1"/>
  <c r="CE118" i="1"/>
  <c r="CE225" i="1"/>
  <c r="CE187" i="1"/>
  <c r="CE201" i="1"/>
  <c r="CE211" i="1"/>
  <c r="CE319" i="1"/>
  <c r="CE160" i="1"/>
  <c r="CE148" i="1"/>
  <c r="CE136" i="1"/>
  <c r="CE125" i="1"/>
  <c r="CE114" i="1"/>
  <c r="CE103" i="1"/>
  <c r="CE287" i="1"/>
  <c r="CE275" i="1"/>
  <c r="CE197" i="1"/>
  <c r="CE257" i="1"/>
  <c r="CE246" i="1"/>
  <c r="CE309" i="1"/>
  <c r="CE47" i="1"/>
  <c r="CE35" i="1"/>
  <c r="CE23" i="1"/>
  <c r="CE16" i="1"/>
  <c r="CE11" i="1"/>
  <c r="CE86" i="1"/>
  <c r="CE75" i="1"/>
  <c r="CE63" i="1"/>
  <c r="CE216" i="1"/>
  <c r="CE229" i="1"/>
  <c r="CE279" i="1"/>
  <c r="CG237" i="1"/>
  <c r="CE237" i="1"/>
  <c r="CE112" i="1"/>
  <c r="CE273" i="1"/>
  <c r="CG175" i="1"/>
  <c r="CG192" i="1"/>
  <c r="CG173" i="1"/>
  <c r="CG162" i="1"/>
  <c r="CG150" i="1"/>
  <c r="CG138" i="1"/>
  <c r="CG127" i="1"/>
  <c r="CG116" i="1"/>
  <c r="CG105" i="1"/>
  <c r="CG289" i="1"/>
  <c r="CG277" i="1"/>
  <c r="CG265" i="1"/>
  <c r="CG259" i="1"/>
  <c r="CG247" i="1"/>
  <c r="CG53" i="1"/>
  <c r="CG316" i="1"/>
  <c r="CG185" i="1"/>
  <c r="CG209" i="1"/>
  <c r="CG145" i="1"/>
  <c r="CG123" i="1"/>
  <c r="CG318" i="1"/>
  <c r="CG272" i="1"/>
  <c r="CG254" i="1"/>
  <c r="CG304" i="1"/>
  <c r="CG94" i="1"/>
  <c r="CG2" i="1"/>
  <c r="CG60" i="1"/>
  <c r="CG226" i="1"/>
  <c r="CG189" i="1"/>
  <c r="CG161" i="1"/>
  <c r="CG137" i="1"/>
  <c r="CG126" i="1"/>
  <c r="CG115" i="1"/>
  <c r="CG104" i="1"/>
  <c r="CG258" i="1"/>
  <c r="CG306" i="1"/>
  <c r="CG36" i="1"/>
  <c r="CG17" i="1"/>
  <c r="CG87" i="1"/>
  <c r="CG64" i="1"/>
  <c r="CG230" i="1"/>
  <c r="CG191" i="1"/>
  <c r="CG220" i="1"/>
  <c r="CG168" i="1"/>
  <c r="CG43" i="1"/>
  <c r="CG7" i="1"/>
  <c r="CG71" i="1"/>
  <c r="CE189" i="1"/>
  <c r="CE202" i="1"/>
  <c r="CE212" i="1"/>
  <c r="CE180" i="1"/>
  <c r="CE161" i="1"/>
  <c r="CE149" i="1"/>
  <c r="CE137" i="1"/>
  <c r="CE126" i="1"/>
  <c r="CE115" i="1"/>
  <c r="CE104" i="1"/>
  <c r="CE288" i="1"/>
  <c r="CE276" i="1"/>
  <c r="CE307" i="1"/>
  <c r="CE258" i="1"/>
  <c r="CE264" i="1"/>
  <c r="CE306" i="1"/>
  <c r="CE48" i="1"/>
  <c r="CE36" i="1"/>
  <c r="CE24" i="1"/>
  <c r="CE17" i="1"/>
  <c r="CE12" i="1"/>
  <c r="CE87" i="1"/>
  <c r="CE76" i="1"/>
  <c r="CH134" i="1"/>
  <c r="CE188" i="1"/>
  <c r="CE200" i="1"/>
  <c r="CG172" i="1"/>
  <c r="CG196" i="1"/>
  <c r="CG198" i="1"/>
  <c r="CG184" i="1"/>
  <c r="CG166" i="1"/>
  <c r="CG154" i="1"/>
  <c r="CG142" i="1"/>
  <c r="CG131" i="1"/>
  <c r="CG120" i="1"/>
  <c r="CG109" i="1"/>
  <c r="CG292" i="1"/>
  <c r="CG281" i="1"/>
  <c r="CG269" i="1"/>
  <c r="CG263" i="1"/>
  <c r="CG251" i="1"/>
  <c r="CG295" i="1"/>
  <c r="CG302" i="1"/>
  <c r="CG41" i="1"/>
  <c r="CG29" i="1"/>
  <c r="CG99" i="1"/>
  <c r="CG91" i="1"/>
  <c r="CG5" i="1"/>
  <c r="CG81" i="1"/>
  <c r="CG69" i="1"/>
  <c r="CG57" i="1"/>
  <c r="CG239" i="1"/>
  <c r="CG223" i="1"/>
  <c r="CE186" i="1"/>
  <c r="CE207" i="1"/>
  <c r="CE179" i="1"/>
  <c r="CE204" i="1"/>
  <c r="CE168" i="1"/>
  <c r="CE144" i="1"/>
  <c r="CE133" i="1"/>
  <c r="CE110" i="1"/>
  <c r="CE283" i="1"/>
  <c r="CE301" i="1"/>
  <c r="CE31" i="1"/>
  <c r="CE100" i="1"/>
  <c r="CE7" i="1"/>
  <c r="CE71" i="1"/>
  <c r="CG176" i="1"/>
  <c r="CG193" i="1"/>
  <c r="CG214" i="1"/>
  <c r="CG151" i="1"/>
  <c r="CG128" i="1"/>
  <c r="CG117" i="1"/>
  <c r="CG234" i="1"/>
  <c r="CG236" i="1"/>
  <c r="CI235" i="1"/>
  <c r="CE203" i="1"/>
  <c r="CG25" i="1"/>
  <c r="CG88" i="1"/>
  <c r="CG205" i="1"/>
  <c r="CG111" i="1"/>
  <c r="CG243" i="1"/>
  <c r="CG101" i="1"/>
  <c r="CG8" i="1"/>
  <c r="CG72" i="1"/>
  <c r="CH164" i="1"/>
  <c r="CH118" i="1"/>
  <c r="CH267" i="1"/>
  <c r="CH261" i="1"/>
  <c r="CH51" i="1"/>
  <c r="CH15" i="1"/>
  <c r="CH4" i="1"/>
  <c r="CH67" i="1"/>
  <c r="CH237" i="1"/>
  <c r="CG180" i="1"/>
  <c r="CG149" i="1"/>
  <c r="CG288" i="1"/>
  <c r="CG307" i="1"/>
  <c r="CG264" i="1"/>
  <c r="CG48" i="1"/>
  <c r="CG24" i="1"/>
  <c r="CG12" i="1"/>
  <c r="CG76" i="1"/>
  <c r="CG179" i="1"/>
  <c r="CG204" i="1"/>
  <c r="CG133" i="1"/>
  <c r="CG110" i="1"/>
  <c r="CG300" i="1"/>
  <c r="CG271" i="1"/>
  <c r="CG253" i="1"/>
  <c r="CG301" i="1"/>
  <c r="CG31" i="1"/>
  <c r="CG93" i="1"/>
  <c r="CG83" i="1"/>
  <c r="CG59" i="1"/>
  <c r="CG241" i="1"/>
  <c r="CE199" i="1"/>
  <c r="CE167" i="1"/>
  <c r="CE54" i="1"/>
  <c r="CE282" i="1"/>
  <c r="CE270" i="1"/>
  <c r="CE252" i="1"/>
  <c r="CE305" i="1"/>
  <c r="CE6" i="1"/>
  <c r="CE70" i="1"/>
  <c r="CE58" i="1"/>
  <c r="CE224" i="1"/>
  <c r="CE170" i="1"/>
  <c r="CE146" i="1"/>
  <c r="CE285" i="1"/>
  <c r="CE314" i="1"/>
  <c r="CE255" i="1"/>
  <c r="CE303" i="1"/>
  <c r="CE33" i="1"/>
  <c r="CE73" i="1"/>
  <c r="CE232" i="1"/>
  <c r="CE227" i="1"/>
  <c r="CG208" i="1"/>
  <c r="CG155" i="1"/>
  <c r="CG132" i="1"/>
  <c r="CG293" i="1"/>
  <c r="CG282" i="1"/>
  <c r="CG270" i="1"/>
  <c r="CG311" i="1"/>
  <c r="CG252" i="1"/>
  <c r="CG312" i="1"/>
  <c r="CG305" i="1"/>
  <c r="CG42" i="1"/>
  <c r="CG30" i="1"/>
  <c r="CG20" i="1"/>
  <c r="CG92" i="1"/>
  <c r="CG6" i="1"/>
  <c r="CG82" i="1"/>
  <c r="CG70" i="1"/>
  <c r="CG58" i="1"/>
  <c r="CG240" i="1"/>
  <c r="CG224" i="1"/>
  <c r="CG37" i="1"/>
  <c r="CG77" i="1"/>
  <c r="CG169" i="1"/>
  <c r="CG231" i="1"/>
  <c r="CE196" i="1"/>
  <c r="CE166" i="1"/>
  <c r="CE131" i="1"/>
  <c r="CE251" i="1"/>
  <c r="CE302" i="1"/>
  <c r="CE99" i="1"/>
  <c r="CE5" i="1"/>
  <c r="CE223" i="1"/>
  <c r="CH162" i="1"/>
  <c r="CH138" i="1"/>
  <c r="CH127" i="1"/>
  <c r="CH18" i="1"/>
  <c r="CH88" i="1"/>
  <c r="CG188" i="1"/>
  <c r="CG200" i="1"/>
  <c r="CG210" i="1"/>
  <c r="CG219" i="1"/>
  <c r="CG113" i="1"/>
  <c r="CG286" i="1"/>
  <c r="CG308" i="1"/>
  <c r="CG245" i="1"/>
  <c r="CG46" i="1"/>
  <c r="CG22" i="1"/>
  <c r="CG10" i="1"/>
  <c r="CG74" i="1"/>
  <c r="CG215" i="1"/>
  <c r="CG18" i="1"/>
  <c r="CG233" i="1"/>
  <c r="CG313" i="1"/>
  <c r="CG44" i="1"/>
  <c r="CE109" i="1"/>
  <c r="CE165" i="1"/>
  <c r="CE130" i="1"/>
  <c r="CE315" i="1"/>
  <c r="CE250" i="1"/>
  <c r="CE40" i="1"/>
  <c r="CE90" i="1"/>
  <c r="CE68" i="1"/>
  <c r="CE238" i="1"/>
  <c r="CG170" i="1"/>
  <c r="CG146" i="1"/>
  <c r="CG112" i="1"/>
  <c r="CG273" i="1"/>
  <c r="CG244" i="1"/>
  <c r="CG45" i="1"/>
  <c r="CG21" i="1"/>
  <c r="CG9" i="1"/>
  <c r="CG84" i="1"/>
  <c r="CG73" i="1"/>
  <c r="CG61" i="1"/>
  <c r="CG232" i="1"/>
  <c r="CG227" i="1"/>
  <c r="CG13" i="1"/>
  <c r="CG65" i="1"/>
  <c r="CG134" i="1"/>
  <c r="CE154" i="1"/>
  <c r="CE206" i="1"/>
  <c r="CE153" i="1"/>
  <c r="CE119" i="1"/>
  <c r="CE280" i="1"/>
  <c r="CE262" i="1"/>
  <c r="CE52" i="1"/>
  <c r="CE28" i="1"/>
  <c r="CE89" i="1"/>
  <c r="CE222" i="1"/>
  <c r="CG55" i="1"/>
  <c r="CG296" i="1"/>
  <c r="CG314" i="1"/>
  <c r="CG33" i="1"/>
  <c r="CE177" i="1"/>
  <c r="CE174" i="1"/>
  <c r="CE129" i="1"/>
  <c r="CE107" i="1"/>
  <c r="CE320" i="1"/>
  <c r="CE267" i="1"/>
  <c r="CE249" i="1"/>
  <c r="CE97" i="1"/>
  <c r="CE4" i="1"/>
  <c r="CE79" i="1"/>
  <c r="CE218" i="1"/>
  <c r="CE221" i="1"/>
  <c r="CG49" i="1"/>
  <c r="CG294" i="1"/>
  <c r="CG157" i="1"/>
  <c r="CG284" i="1"/>
  <c r="CE172" i="1"/>
  <c r="CE198" i="1"/>
  <c r="CE41" i="1"/>
  <c r="CE171" i="1"/>
  <c r="CE183" i="1"/>
  <c r="CE141" i="1"/>
  <c r="CE108" i="1"/>
  <c r="CE268" i="1"/>
  <c r="CE297" i="1"/>
  <c r="CE98" i="1"/>
  <c r="CE80" i="1"/>
  <c r="CE56" i="1"/>
  <c r="CG207" i="1"/>
  <c r="CG158" i="1"/>
  <c r="CG124" i="1"/>
  <c r="CG285" i="1"/>
  <c r="CG255" i="1"/>
  <c r="CG303" i="1"/>
  <c r="CG95" i="1"/>
  <c r="CE176" i="1"/>
  <c r="CE181" i="1"/>
  <c r="CE151" i="1"/>
  <c r="CE128" i="1"/>
  <c r="CE266" i="1"/>
  <c r="CE248" i="1"/>
  <c r="CE298" i="1"/>
  <c r="CE38" i="1"/>
  <c r="CE19" i="1"/>
  <c r="CE234" i="1"/>
  <c r="CE235" i="1"/>
  <c r="CE64" i="1"/>
  <c r="CE217" i="1"/>
  <c r="CE230" i="1"/>
  <c r="CG178" i="1"/>
  <c r="CG190" i="1"/>
  <c r="CG199" i="1"/>
  <c r="CE317" i="1"/>
  <c r="CE113" i="1"/>
  <c r="CE102" i="1"/>
  <c r="CE286" i="1"/>
  <c r="CE274" i="1"/>
  <c r="CE308" i="1"/>
  <c r="CE256" i="1"/>
  <c r="CE245" i="1"/>
  <c r="CE291" i="1"/>
  <c r="CE46" i="1"/>
  <c r="CE34" i="1"/>
  <c r="CE22" i="1"/>
  <c r="CE96" i="1"/>
  <c r="CE10" i="1"/>
  <c r="CE85" i="1"/>
  <c r="CE74" i="1"/>
  <c r="CE62" i="1"/>
  <c r="CE215" i="1"/>
  <c r="CE228" i="1"/>
  <c r="CG171" i="1"/>
  <c r="CG195" i="1"/>
  <c r="CG206" i="1"/>
  <c r="CG183" i="1"/>
  <c r="CG165" i="1"/>
  <c r="CG153" i="1"/>
  <c r="CG141" i="1"/>
  <c r="CG130" i="1"/>
  <c r="CG119" i="1"/>
  <c r="CG108" i="1"/>
  <c r="CG315" i="1"/>
  <c r="CG280" i="1"/>
  <c r="CG268" i="1"/>
  <c r="CG262" i="1"/>
  <c r="CG250" i="1"/>
  <c r="CG297" i="1"/>
  <c r="CG52" i="1"/>
  <c r="CG40" i="1"/>
  <c r="CG28" i="1"/>
  <c r="CG98" i="1"/>
  <c r="CG90" i="1"/>
  <c r="CG89" i="1"/>
  <c r="CG80" i="1"/>
  <c r="CG68" i="1"/>
  <c r="CG56" i="1"/>
  <c r="CG238" i="1"/>
  <c r="CG222" i="1"/>
  <c r="CH158" i="1"/>
  <c r="CG203" i="1"/>
  <c r="CH126" i="1"/>
  <c r="CH24" i="1"/>
  <c r="CH230" i="1"/>
  <c r="CH180" i="1"/>
  <c r="CH137" i="1"/>
  <c r="CH307" i="1"/>
  <c r="CH12" i="1"/>
  <c r="CH176" i="1"/>
  <c r="CH193" i="1"/>
  <c r="CH214" i="1"/>
  <c r="CH181" i="1"/>
  <c r="CH163" i="1"/>
  <c r="CH151" i="1"/>
  <c r="CH139" i="1"/>
  <c r="CH128" i="1"/>
  <c r="CH117" i="1"/>
  <c r="CH106" i="1"/>
  <c r="CH290" i="1"/>
  <c r="CH278" i="1"/>
  <c r="CH266" i="1"/>
  <c r="CH260" i="1"/>
  <c r="CH248" i="1"/>
  <c r="CH50" i="1"/>
  <c r="CH38" i="1"/>
  <c r="CH26" i="1"/>
  <c r="CH212" i="1"/>
  <c r="CH288" i="1"/>
  <c r="CH36" i="1"/>
  <c r="CH149" i="1"/>
  <c r="CH276" i="1"/>
  <c r="CH17" i="1"/>
  <c r="CH64" i="1"/>
  <c r="CH264" i="1"/>
  <c r="CH217" i="1"/>
  <c r="CH172" i="1"/>
  <c r="CH196" i="1"/>
  <c r="CH198" i="1"/>
  <c r="CH184" i="1"/>
  <c r="CH166" i="1"/>
  <c r="CH154" i="1"/>
  <c r="CH142" i="1"/>
  <c r="CH131" i="1"/>
  <c r="CH120" i="1"/>
  <c r="CH109" i="1"/>
  <c r="CH292" i="1"/>
  <c r="CH281" i="1"/>
  <c r="CH269" i="1"/>
  <c r="CH263" i="1"/>
  <c r="CH251" i="1"/>
  <c r="CH295" i="1"/>
  <c r="CH302" i="1"/>
  <c r="CH41" i="1"/>
  <c r="CH29" i="1"/>
  <c r="CH99" i="1"/>
  <c r="CH91" i="1"/>
  <c r="CH5" i="1"/>
  <c r="CH81" i="1"/>
  <c r="CH69" i="1"/>
  <c r="CH57" i="1"/>
  <c r="CH223" i="1"/>
  <c r="CH161" i="1"/>
  <c r="CH115" i="1"/>
  <c r="CH171" i="1"/>
  <c r="CH195" i="1"/>
  <c r="CH206" i="1"/>
  <c r="CH183" i="1"/>
  <c r="CH165" i="1"/>
  <c r="CH153" i="1"/>
  <c r="CH141" i="1"/>
  <c r="CH130" i="1"/>
  <c r="CH156" i="1"/>
  <c r="CH122" i="1"/>
  <c r="CH253" i="1"/>
  <c r="CH71" i="1"/>
  <c r="CH119" i="1"/>
  <c r="CH108" i="1"/>
  <c r="CH315" i="1"/>
  <c r="CH280" i="1"/>
  <c r="CH268" i="1"/>
  <c r="CH262" i="1"/>
  <c r="CH250" i="1"/>
  <c r="CH297" i="1"/>
  <c r="CH52" i="1"/>
  <c r="CH40" i="1"/>
  <c r="CH28" i="1"/>
  <c r="CH98" i="1"/>
  <c r="CH90" i="1"/>
  <c r="CH89" i="1"/>
  <c r="CH80" i="1"/>
  <c r="CH68" i="1"/>
  <c r="CH56" i="1"/>
  <c r="CH238" i="1"/>
  <c r="CH222" i="1"/>
  <c r="CH199" i="1"/>
  <c r="CH155" i="1"/>
  <c r="CH143" i="1"/>
  <c r="CH54" i="1"/>
  <c r="CH282" i="1"/>
  <c r="CH270" i="1"/>
  <c r="CH252" i="1"/>
  <c r="CH42" i="1"/>
  <c r="CH30" i="1"/>
  <c r="CH6" i="1"/>
  <c r="CH70" i="1"/>
  <c r="CH58" i="1"/>
  <c r="CH19" i="1"/>
  <c r="CH14" i="1"/>
  <c r="CH3" i="1"/>
  <c r="CH78" i="1"/>
  <c r="CH66" i="1"/>
  <c r="CH234" i="1"/>
  <c r="CH236" i="1"/>
  <c r="CH178" i="1"/>
  <c r="CH208" i="1"/>
  <c r="CH312" i="1"/>
  <c r="CH224" i="1"/>
  <c r="CH177" i="1"/>
  <c r="CH194" i="1"/>
  <c r="CH174" i="1"/>
  <c r="CH182" i="1"/>
  <c r="CH152" i="1"/>
  <c r="CH140" i="1"/>
  <c r="CH129" i="1"/>
  <c r="CH107" i="1"/>
  <c r="CH320" i="1"/>
  <c r="CH279" i="1"/>
  <c r="CH249" i="1"/>
  <c r="CH299" i="1"/>
  <c r="CH39" i="1"/>
  <c r="CH27" i="1"/>
  <c r="CH97" i="1"/>
  <c r="CH79" i="1"/>
  <c r="CH218" i="1"/>
  <c r="CH221" i="1"/>
  <c r="CH175" i="1"/>
  <c r="CH192" i="1"/>
  <c r="CH173" i="1"/>
  <c r="CH105" i="1"/>
  <c r="CH289" i="1"/>
  <c r="CH265" i="1"/>
  <c r="CH53" i="1"/>
  <c r="CH25" i="1"/>
  <c r="CH77" i="1"/>
  <c r="CH233" i="1"/>
  <c r="CH294" i="1"/>
  <c r="CH204" i="1"/>
  <c r="CH283" i="1"/>
  <c r="CH43" i="1"/>
  <c r="CH93" i="1"/>
  <c r="CH225" i="1"/>
  <c r="CH92" i="1"/>
  <c r="CH189" i="1"/>
  <c r="CH202" i="1"/>
  <c r="CH104" i="1"/>
  <c r="CH306" i="1"/>
  <c r="CH48" i="1"/>
  <c r="CH76" i="1"/>
  <c r="CH207" i="1"/>
  <c r="CH124" i="1"/>
  <c r="CH285" i="1"/>
  <c r="CH255" i="1"/>
  <c r="CH45" i="1"/>
  <c r="CH95" i="1"/>
  <c r="CH73" i="1"/>
  <c r="CH227" i="1"/>
  <c r="CH185" i="1"/>
  <c r="CH205" i="1"/>
  <c r="CH169" i="1"/>
  <c r="CH123" i="1"/>
  <c r="CH318" i="1"/>
  <c r="CH284" i="1"/>
  <c r="CH313" i="1"/>
  <c r="CH101" i="1"/>
  <c r="CH94" i="1"/>
  <c r="CH2" i="1"/>
  <c r="CH72" i="1"/>
  <c r="CH226" i="1"/>
  <c r="CH213" i="1"/>
  <c r="CH150" i="1"/>
  <c r="CH116" i="1"/>
  <c r="CH277" i="1"/>
  <c r="CH247" i="1"/>
  <c r="CH37" i="1"/>
  <c r="CH13" i="1"/>
  <c r="CH65" i="1"/>
  <c r="CH190" i="1"/>
  <c r="CH167" i="1"/>
  <c r="CH132" i="1"/>
  <c r="CH293" i="1"/>
  <c r="CH311" i="1"/>
  <c r="CH305" i="1"/>
  <c r="CH20" i="1"/>
  <c r="CH82" i="1"/>
  <c r="CH240" i="1"/>
  <c r="CH187" i="1"/>
  <c r="CH201" i="1"/>
  <c r="CH211" i="1"/>
  <c r="CH319" i="1"/>
  <c r="CH160" i="1"/>
  <c r="CH148" i="1"/>
  <c r="CH136" i="1"/>
  <c r="CH125" i="1"/>
  <c r="CH114" i="1"/>
  <c r="CH103" i="1"/>
  <c r="CH287" i="1"/>
  <c r="CH275" i="1"/>
  <c r="CH197" i="1"/>
  <c r="CH257" i="1"/>
  <c r="CH246" i="1"/>
  <c r="CH309" i="1"/>
  <c r="CH47" i="1"/>
  <c r="CH35" i="1"/>
  <c r="CH23" i="1"/>
  <c r="CH16" i="1"/>
  <c r="CH11" i="1"/>
  <c r="CH86" i="1"/>
  <c r="CH75" i="1"/>
  <c r="CH63" i="1"/>
  <c r="CH216" i="1"/>
  <c r="CH229" i="1"/>
  <c r="CH188" i="1"/>
  <c r="CH200" i="1"/>
  <c r="CH210" i="1"/>
  <c r="CH219" i="1"/>
  <c r="CH159" i="1"/>
  <c r="CH147" i="1"/>
  <c r="CH135" i="1"/>
  <c r="CH317" i="1"/>
  <c r="CH113" i="1"/>
  <c r="CH102" i="1"/>
  <c r="CH286" i="1"/>
  <c r="CH274" i="1"/>
  <c r="CH308" i="1"/>
  <c r="CH256" i="1"/>
  <c r="CH245" i="1"/>
  <c r="CH291" i="1"/>
  <c r="CH46" i="1"/>
  <c r="CH34" i="1"/>
  <c r="CH22" i="1"/>
  <c r="CH96" i="1"/>
  <c r="CH10" i="1"/>
  <c r="CH85" i="1"/>
  <c r="CH74" i="1"/>
  <c r="CH62" i="1"/>
  <c r="CH215" i="1"/>
  <c r="CH228" i="1"/>
  <c r="CH186" i="1"/>
  <c r="CH203" i="1"/>
  <c r="CH170" i="1"/>
  <c r="CH146" i="1"/>
  <c r="CH55" i="1"/>
  <c r="CH112" i="1"/>
  <c r="CH296" i="1"/>
  <c r="CH273" i="1"/>
  <c r="CH314" i="1"/>
  <c r="CH244" i="1"/>
  <c r="CH303" i="1"/>
  <c r="CH33" i="1"/>
  <c r="CH21" i="1"/>
  <c r="CH9" i="1"/>
  <c r="CH84" i="1"/>
  <c r="CH61" i="1"/>
  <c r="CH232" i="1"/>
  <c r="CH316" i="1"/>
  <c r="CH209" i="1"/>
  <c r="CH145" i="1"/>
  <c r="CH111" i="1"/>
  <c r="CH272" i="1"/>
  <c r="CH243" i="1"/>
  <c r="CH32" i="1"/>
  <c r="CH8" i="1"/>
  <c r="CH60" i="1"/>
  <c r="CH179" i="1"/>
  <c r="CH191" i="1"/>
  <c r="CH220" i="1"/>
  <c r="CH168" i="1"/>
  <c r="CH144" i="1"/>
  <c r="CH133" i="1"/>
  <c r="CH110" i="1"/>
  <c r="CH300" i="1"/>
  <c r="CH271" i="1"/>
  <c r="CH310" i="1"/>
  <c r="CH242" i="1"/>
  <c r="CH301" i="1"/>
  <c r="CH31" i="1"/>
  <c r="CH100" i="1"/>
  <c r="CH7" i="1"/>
  <c r="CH83" i="1"/>
  <c r="CH59" i="1"/>
  <c r="CH241" i="1"/>
  <c r="BK21" i="6" l="1"/>
  <c r="BJ21" i="6"/>
  <c r="BK20" i="6"/>
  <c r="BJ20" i="6"/>
  <c r="BK22" i="6"/>
  <c r="BJ22" i="6"/>
  <c r="BK23" i="6"/>
  <c r="BJ23" i="6"/>
  <c r="CV90" i="1"/>
  <c r="CY90" i="1" s="1"/>
  <c r="CV151" i="1"/>
  <c r="CY151" i="1" s="1"/>
  <c r="BK13" i="6"/>
  <c r="BJ13" i="6"/>
  <c r="BJ14" i="6"/>
  <c r="BK14" i="6"/>
  <c r="BK12" i="6"/>
  <c r="BJ12" i="6"/>
  <c r="BK15" i="6"/>
  <c r="BJ15" i="6"/>
  <c r="BK10" i="6"/>
  <c r="BJ10" i="6"/>
  <c r="BK11" i="6"/>
  <c r="BJ11" i="6"/>
  <c r="BK5" i="6"/>
  <c r="BJ5" i="6"/>
  <c r="BK2" i="6"/>
  <c r="BJ2" i="6"/>
  <c r="BK6" i="6"/>
  <c r="BJ6" i="6"/>
  <c r="BK9" i="6"/>
  <c r="BJ9" i="6"/>
  <c r="BK7" i="6"/>
  <c r="BJ7" i="6"/>
  <c r="BK4" i="6"/>
  <c r="BJ4" i="6"/>
  <c r="BK3" i="6"/>
  <c r="BJ3" i="6"/>
  <c r="BK8" i="6"/>
  <c r="BJ8" i="6"/>
  <c r="CV119" i="1"/>
  <c r="CY119" i="1" s="1"/>
  <c r="CV290" i="1"/>
  <c r="CY290" i="1" s="1"/>
  <c r="CV93" i="1"/>
  <c r="CY93" i="1" s="1"/>
  <c r="BJ199" i="5"/>
  <c r="BJ1037" i="5"/>
  <c r="BJ972" i="5"/>
  <c r="BJ630" i="5"/>
  <c r="BJ870" i="5"/>
  <c r="BJ786" i="5"/>
  <c r="BJ1056" i="5"/>
  <c r="BJ869" i="5"/>
  <c r="BJ895" i="5"/>
  <c r="BJ951" i="5"/>
  <c r="BJ642" i="5"/>
  <c r="BJ344" i="5"/>
  <c r="BJ1030" i="5"/>
  <c r="BJ367" i="5"/>
  <c r="BJ351" i="5"/>
  <c r="BJ44" i="5"/>
  <c r="BJ1182" i="5"/>
  <c r="BJ808" i="5"/>
  <c r="BJ291" i="5"/>
  <c r="BJ1134" i="5"/>
  <c r="BJ732" i="5"/>
  <c r="BJ576" i="5"/>
  <c r="BJ1309" i="5"/>
  <c r="BJ1176" i="5"/>
  <c r="BJ983" i="5"/>
  <c r="BJ874" i="5"/>
  <c r="BJ821" i="5"/>
  <c r="BJ620" i="5"/>
  <c r="BJ445" i="5"/>
  <c r="BJ306" i="5"/>
  <c r="BJ61" i="5"/>
  <c r="BJ1384" i="5"/>
  <c r="BJ1246" i="5"/>
  <c r="BJ1108" i="5"/>
  <c r="BJ965" i="5"/>
  <c r="BJ833" i="5"/>
  <c r="BJ695" i="5"/>
  <c r="BJ577" i="5"/>
  <c r="BJ392" i="5"/>
  <c r="BJ228" i="5"/>
  <c r="BJ90" i="5"/>
  <c r="BJ1320" i="5"/>
  <c r="BJ1190" i="5"/>
  <c r="BJ1048" i="5"/>
  <c r="BJ942" i="5"/>
  <c r="BJ756" i="5"/>
  <c r="BJ542" i="5"/>
  <c r="BJ466" i="5"/>
  <c r="BJ302" i="5"/>
  <c r="BJ122" i="5"/>
  <c r="BJ50" i="5"/>
  <c r="BJ1280" i="5"/>
  <c r="BJ1136" i="5"/>
  <c r="BJ885" i="5"/>
  <c r="BJ798" i="5"/>
  <c r="BJ804" i="5"/>
  <c r="BJ586" i="5"/>
  <c r="BJ418" i="5"/>
  <c r="BJ273" i="5"/>
  <c r="BJ163" i="5"/>
  <c r="BJ1368" i="5"/>
  <c r="BJ1236" i="5"/>
  <c r="BJ1094" i="5"/>
  <c r="BJ947" i="5"/>
  <c r="BJ713" i="5"/>
  <c r="BJ697" i="5"/>
  <c r="BJ624" i="5"/>
  <c r="BJ356" i="5"/>
  <c r="BJ222" i="5"/>
  <c r="BJ45" i="5"/>
  <c r="BJ1317" i="5"/>
  <c r="BJ1184" i="5"/>
  <c r="BJ1043" i="5"/>
  <c r="BJ953" i="5"/>
  <c r="BJ811" i="5"/>
  <c r="BJ623" i="5"/>
  <c r="BJ462" i="5"/>
  <c r="BJ303" i="5"/>
  <c r="BJ169" i="5"/>
  <c r="BJ2" i="5"/>
  <c r="BJ1278" i="5"/>
  <c r="BJ1138" i="5"/>
  <c r="BJ903" i="5"/>
  <c r="BJ843" i="5"/>
  <c r="BJ803" i="5"/>
  <c r="BJ536" i="5"/>
  <c r="BJ429" i="5"/>
  <c r="BJ260" i="5"/>
  <c r="BJ118" i="5"/>
  <c r="BJ1369" i="5"/>
  <c r="BJ1232" i="5"/>
  <c r="BJ1090" i="5"/>
  <c r="BJ881" i="5"/>
  <c r="BJ772" i="5"/>
  <c r="BJ685" i="5"/>
  <c r="BJ607" i="5"/>
  <c r="BJ364" i="5"/>
  <c r="BJ185" i="5"/>
  <c r="BJ58" i="5"/>
  <c r="BJ1295" i="5"/>
  <c r="BJ1167" i="5"/>
  <c r="BJ868" i="5"/>
  <c r="BJ1011" i="5"/>
  <c r="BJ829" i="5"/>
  <c r="BJ525" i="5"/>
  <c r="BJ469" i="5"/>
  <c r="BJ301" i="5"/>
  <c r="BJ64" i="5"/>
  <c r="BJ1382" i="5"/>
  <c r="BJ1251" i="5"/>
  <c r="BJ1113" i="5"/>
  <c r="BJ939" i="5"/>
  <c r="BJ844" i="5"/>
  <c r="BJ649" i="5"/>
  <c r="BJ544" i="5"/>
  <c r="BJ399" i="5"/>
  <c r="BJ230" i="5"/>
  <c r="BJ85" i="5"/>
  <c r="BJ1330" i="5"/>
  <c r="BJ1191" i="5"/>
  <c r="BJ1051" i="5"/>
  <c r="BJ928" i="5"/>
  <c r="BJ787" i="5"/>
  <c r="BJ555" i="5"/>
  <c r="BJ489" i="5"/>
  <c r="BJ330" i="5"/>
  <c r="BJ62" i="5"/>
  <c r="BJ33" i="5"/>
  <c r="BJ322" i="5"/>
  <c r="BJ141" i="5"/>
  <c r="BJ7" i="5"/>
  <c r="BJ448" i="5"/>
  <c r="BJ316" i="5"/>
  <c r="BJ138" i="5"/>
  <c r="BJ9" i="5"/>
  <c r="BJ1244" i="5"/>
  <c r="BJ551" i="5"/>
  <c r="BJ116" i="5"/>
  <c r="BJ1180" i="5"/>
  <c r="BJ940" i="5"/>
  <c r="BJ1206" i="5"/>
  <c r="BJ8" i="5"/>
  <c r="BJ83" i="5"/>
  <c r="BJ1227" i="5"/>
  <c r="BJ214" i="5"/>
  <c r="BJ1329" i="5"/>
  <c r="BJ1038" i="5"/>
  <c r="BJ619" i="5"/>
  <c r="BJ146" i="5"/>
  <c r="BJ1018" i="5"/>
  <c r="BJ637" i="5"/>
  <c r="BJ386" i="5"/>
  <c r="BJ1313" i="5"/>
  <c r="BJ1142" i="5"/>
  <c r="BJ900" i="5"/>
  <c r="BJ914" i="5"/>
  <c r="BJ745" i="5"/>
  <c r="BJ605" i="5"/>
  <c r="BJ471" i="5"/>
  <c r="BJ289" i="5"/>
  <c r="BJ139" i="5"/>
  <c r="BJ1374" i="5"/>
  <c r="BJ1239" i="5"/>
  <c r="BJ1096" i="5"/>
  <c r="BJ986" i="5"/>
  <c r="BJ781" i="5"/>
  <c r="BJ677" i="5"/>
  <c r="BJ561" i="5"/>
  <c r="BJ354" i="5"/>
  <c r="BJ206" i="5"/>
  <c r="BJ67" i="5"/>
  <c r="BJ1311" i="5"/>
  <c r="BJ1165" i="5"/>
  <c r="BJ1035" i="5"/>
  <c r="BJ960" i="5"/>
  <c r="BJ818" i="5"/>
  <c r="BJ521" i="5"/>
  <c r="BJ460" i="5"/>
  <c r="BJ310" i="5"/>
  <c r="BJ147" i="5"/>
  <c r="BJ1404" i="5"/>
  <c r="BJ1265" i="5"/>
  <c r="BJ1128" i="5"/>
  <c r="BJ1017" i="5"/>
  <c r="BJ778" i="5"/>
  <c r="BJ694" i="5"/>
  <c r="BJ574" i="5"/>
  <c r="BJ428" i="5"/>
  <c r="BJ256" i="5"/>
  <c r="BJ79" i="5"/>
  <c r="BJ1332" i="5"/>
  <c r="BJ1223" i="5"/>
  <c r="BJ1082" i="5"/>
  <c r="BJ1015" i="5"/>
  <c r="BJ771" i="5"/>
  <c r="BJ671" i="5"/>
  <c r="BJ481" i="5"/>
  <c r="BJ360" i="5"/>
  <c r="BJ187" i="5"/>
  <c r="BJ54" i="5"/>
  <c r="BJ1305" i="5"/>
  <c r="BJ1173" i="5"/>
  <c r="BJ1032" i="5"/>
  <c r="BJ919" i="5"/>
  <c r="BJ763" i="5"/>
  <c r="BJ571" i="5"/>
  <c r="BJ470" i="5"/>
  <c r="BJ321" i="5"/>
  <c r="BJ165" i="5"/>
  <c r="BJ1401" i="5"/>
  <c r="BJ1269" i="5"/>
  <c r="BJ1127" i="5"/>
  <c r="BJ987" i="5"/>
  <c r="BJ799" i="5"/>
  <c r="BJ636" i="5"/>
  <c r="BJ585" i="5"/>
  <c r="BJ416" i="5"/>
  <c r="BJ255" i="5"/>
  <c r="BJ89" i="5"/>
  <c r="BJ1334" i="5"/>
  <c r="BJ1224" i="5"/>
  <c r="BJ1077" i="5"/>
  <c r="BJ963" i="5"/>
  <c r="BJ753" i="5"/>
  <c r="BJ663" i="5"/>
  <c r="BJ510" i="5"/>
  <c r="BJ355" i="5"/>
  <c r="BJ196" i="5"/>
  <c r="BJ49" i="5"/>
  <c r="BJ1297" i="5"/>
  <c r="BJ1148" i="5"/>
  <c r="BJ995" i="5"/>
  <c r="BJ1022" i="5"/>
  <c r="BJ788" i="5"/>
  <c r="BJ592" i="5"/>
  <c r="BJ454" i="5"/>
  <c r="BJ295" i="5"/>
  <c r="BJ155" i="5"/>
  <c r="BJ1373" i="5"/>
  <c r="BJ1241" i="5"/>
  <c r="BJ1098" i="5"/>
  <c r="BJ918" i="5"/>
  <c r="BJ824" i="5"/>
  <c r="BJ678" i="5"/>
  <c r="BJ558" i="5"/>
  <c r="BJ362" i="5"/>
  <c r="BJ233" i="5"/>
  <c r="BJ88" i="5"/>
  <c r="BJ1318" i="5"/>
  <c r="BJ1181" i="5"/>
  <c r="BJ1040" i="5"/>
  <c r="BJ950" i="5"/>
  <c r="BJ758" i="5"/>
  <c r="BJ600" i="5"/>
  <c r="BJ441" i="5"/>
  <c r="BJ286" i="5"/>
  <c r="BJ104" i="5"/>
  <c r="BJ472" i="5"/>
  <c r="BJ304" i="5"/>
  <c r="BJ168" i="5"/>
  <c r="BJ18" i="5"/>
  <c r="BJ1259" i="5"/>
  <c r="BJ166" i="5"/>
  <c r="BJ1145" i="5"/>
  <c r="BJ1019" i="5"/>
  <c r="BJ931" i="5"/>
  <c r="BJ543" i="5"/>
  <c r="BJ383" i="5"/>
  <c r="BJ285" i="5"/>
  <c r="BJ1344" i="5"/>
  <c r="BJ177" i="5"/>
  <c r="BJ710" i="5"/>
  <c r="BJ374" i="5"/>
  <c r="BJ24" i="5"/>
  <c r="BJ1193" i="5"/>
  <c r="BJ923" i="5"/>
  <c r="BJ450" i="5"/>
  <c r="BJ1281" i="5"/>
  <c r="BJ797" i="5"/>
  <c r="BJ566" i="5"/>
  <c r="BJ218" i="5"/>
  <c r="BJ1284" i="5"/>
  <c r="BJ1143" i="5"/>
  <c r="BJ862" i="5"/>
  <c r="BJ746" i="5"/>
  <c r="BJ601" i="5"/>
  <c r="BJ420" i="5"/>
  <c r="BJ275" i="5"/>
  <c r="BJ65" i="5"/>
  <c r="BJ1339" i="5"/>
  <c r="BJ1220" i="5"/>
  <c r="BJ1086" i="5"/>
  <c r="BJ943" i="5"/>
  <c r="BJ708" i="5"/>
  <c r="BJ665" i="5"/>
  <c r="BJ486" i="5"/>
  <c r="BJ370" i="5"/>
  <c r="BJ200" i="5"/>
  <c r="BJ15" i="5"/>
  <c r="BJ1292" i="5"/>
  <c r="BJ1171" i="5"/>
  <c r="BJ997" i="5"/>
  <c r="BJ915" i="5"/>
  <c r="BJ719" i="5"/>
  <c r="BJ597" i="5"/>
  <c r="BJ452" i="5"/>
  <c r="BJ298" i="5"/>
  <c r="BJ159" i="5"/>
  <c r="BJ1391" i="5"/>
  <c r="BJ1263" i="5"/>
  <c r="BJ1119" i="5"/>
  <c r="BJ879" i="5"/>
  <c r="BJ704" i="5"/>
  <c r="BJ690" i="5"/>
  <c r="BJ569" i="5"/>
  <c r="BJ400" i="5"/>
  <c r="BJ254" i="5"/>
  <c r="BJ126" i="5"/>
  <c r="BJ1340" i="5"/>
  <c r="BJ1210" i="5"/>
  <c r="BJ1073" i="5"/>
  <c r="BJ882" i="5"/>
  <c r="BJ775" i="5"/>
  <c r="BJ670" i="5"/>
  <c r="BJ497" i="5"/>
  <c r="BJ337" i="5"/>
  <c r="BJ188" i="5"/>
  <c r="BJ47" i="5"/>
  <c r="BJ1291" i="5"/>
  <c r="BJ1154" i="5"/>
  <c r="BJ992" i="5"/>
  <c r="BJ1000" i="5"/>
  <c r="BJ852" i="5"/>
  <c r="BJ594" i="5"/>
  <c r="BJ440" i="5"/>
  <c r="BJ319" i="5"/>
  <c r="BJ164" i="5"/>
  <c r="BJ1389" i="5"/>
  <c r="BJ1261" i="5"/>
  <c r="BJ1117" i="5"/>
  <c r="BJ968" i="5"/>
  <c r="BJ848" i="5"/>
  <c r="BJ655" i="5"/>
  <c r="BJ581" i="5"/>
  <c r="BJ397" i="5"/>
  <c r="BJ238" i="5"/>
  <c r="BJ68" i="5"/>
  <c r="BJ1349" i="5"/>
  <c r="BJ1208" i="5"/>
  <c r="BJ1065" i="5"/>
  <c r="BJ1027" i="5"/>
  <c r="BJ724" i="5"/>
  <c r="BJ698" i="5"/>
  <c r="BJ508" i="5"/>
  <c r="BJ348" i="5"/>
  <c r="BJ198" i="5"/>
  <c r="BJ27" i="5"/>
  <c r="BJ1283" i="5"/>
  <c r="BJ1155" i="5"/>
  <c r="BJ865" i="5"/>
  <c r="BJ933" i="5"/>
  <c r="BJ765" i="5"/>
  <c r="BJ612" i="5"/>
  <c r="BJ405" i="5"/>
  <c r="BJ281" i="5"/>
  <c r="BJ142" i="5"/>
  <c r="BJ1367" i="5"/>
  <c r="BJ1229" i="5"/>
  <c r="BJ1083" i="5"/>
  <c r="BJ974" i="5"/>
  <c r="BJ726" i="5"/>
  <c r="BJ683" i="5"/>
  <c r="BJ477" i="5"/>
  <c r="BJ375" i="5"/>
  <c r="BJ236" i="5"/>
  <c r="BJ13" i="5"/>
  <c r="BJ1310" i="5"/>
  <c r="BJ1170" i="5"/>
  <c r="BJ1024" i="5"/>
  <c r="BJ871" i="5"/>
  <c r="BJ834" i="5"/>
  <c r="BJ625" i="5"/>
  <c r="BJ439" i="5"/>
  <c r="BJ284" i="5"/>
  <c r="BJ69" i="5"/>
  <c r="BJ422" i="5"/>
  <c r="BJ292" i="5"/>
  <c r="BJ73" i="5"/>
  <c r="BJ506" i="5"/>
  <c r="BJ1307" i="5"/>
  <c r="BJ1394" i="5"/>
  <c r="BJ1059" i="5"/>
  <c r="BJ767" i="5"/>
  <c r="BJ1158" i="5"/>
  <c r="BJ825" i="5"/>
  <c r="BJ618" i="5"/>
  <c r="BJ411" i="5"/>
  <c r="BJ309" i="5"/>
  <c r="BJ645" i="5"/>
  <c r="BJ1099" i="5"/>
  <c r="BJ1335" i="5"/>
  <c r="BJ1052" i="5"/>
  <c r="BJ768" i="5"/>
  <c r="BJ283" i="5"/>
  <c r="BJ1149" i="5"/>
  <c r="BJ738" i="5"/>
  <c r="BJ401" i="5"/>
  <c r="BJ91" i="5"/>
  <c r="BJ1266" i="5"/>
  <c r="BJ1131" i="5"/>
  <c r="BJ1010" i="5"/>
  <c r="BJ777" i="5"/>
  <c r="BJ837" i="5"/>
  <c r="BJ546" i="5"/>
  <c r="BJ408" i="5"/>
  <c r="BJ247" i="5"/>
  <c r="BJ96" i="5"/>
  <c r="BJ1353" i="5"/>
  <c r="BJ1212" i="5"/>
  <c r="BJ1071" i="5"/>
  <c r="BJ1012" i="5"/>
  <c r="BJ723" i="5"/>
  <c r="BJ653" i="5"/>
  <c r="BJ502" i="5"/>
  <c r="BJ335" i="5"/>
  <c r="BJ202" i="5"/>
  <c r="BJ22" i="5"/>
  <c r="BJ1290" i="5"/>
  <c r="BJ1163" i="5"/>
  <c r="BJ907" i="5"/>
  <c r="BJ935" i="5"/>
  <c r="BJ735" i="5"/>
  <c r="BJ604" i="5"/>
  <c r="BJ447" i="5"/>
  <c r="BJ276" i="5"/>
  <c r="BJ127" i="5"/>
  <c r="BJ1383" i="5"/>
  <c r="BJ1247" i="5"/>
  <c r="BJ1106" i="5"/>
  <c r="BJ964" i="5"/>
  <c r="BJ826" i="5"/>
  <c r="BJ673" i="5"/>
  <c r="BJ621" i="5"/>
  <c r="BJ396" i="5"/>
  <c r="BJ208" i="5"/>
  <c r="BJ134" i="5"/>
  <c r="BJ1343" i="5"/>
  <c r="BJ1199" i="5"/>
  <c r="BJ1055" i="5"/>
  <c r="BJ1002" i="5"/>
  <c r="BJ796" i="5"/>
  <c r="BJ628" i="5"/>
  <c r="BJ496" i="5"/>
  <c r="BJ328" i="5"/>
  <c r="BJ173" i="5"/>
  <c r="BJ42" i="5"/>
  <c r="BJ1289" i="5"/>
  <c r="BJ1157" i="5"/>
  <c r="BJ867" i="5"/>
  <c r="BJ913" i="5"/>
  <c r="BJ703" i="5"/>
  <c r="BJ520" i="5"/>
  <c r="BJ426" i="5"/>
  <c r="BJ282" i="5"/>
  <c r="BJ107" i="5"/>
  <c r="BJ1386" i="5"/>
  <c r="BJ1103" i="5"/>
  <c r="BJ884" i="5"/>
  <c r="BJ785" i="5"/>
  <c r="BJ672" i="5"/>
  <c r="BJ524" i="5"/>
  <c r="BJ381" i="5"/>
  <c r="BJ186" i="5"/>
  <c r="BJ167" i="5"/>
  <c r="BJ1331" i="5"/>
  <c r="BJ1195" i="5"/>
  <c r="BJ1053" i="5"/>
  <c r="BJ957" i="5"/>
  <c r="BJ750" i="5"/>
  <c r="BJ598" i="5"/>
  <c r="BJ478" i="5"/>
  <c r="BJ326" i="5"/>
  <c r="BJ181" i="5"/>
  <c r="BJ10" i="5"/>
  <c r="BJ1273" i="5"/>
  <c r="BJ1135" i="5"/>
  <c r="BJ860" i="5"/>
  <c r="BJ845" i="5"/>
  <c r="BJ740" i="5"/>
  <c r="BJ602" i="5"/>
  <c r="BJ415" i="5"/>
  <c r="BJ258" i="5"/>
  <c r="BJ112" i="5"/>
  <c r="BJ1356" i="5"/>
  <c r="BJ1218" i="5"/>
  <c r="BJ1079" i="5"/>
  <c r="BJ861" i="5"/>
  <c r="BJ857" i="5"/>
  <c r="BJ682" i="5"/>
  <c r="BJ504" i="5"/>
  <c r="BJ352" i="5"/>
  <c r="BJ192" i="5"/>
  <c r="BJ25" i="5"/>
  <c r="BJ1308" i="5"/>
  <c r="BJ1156" i="5"/>
  <c r="BJ978" i="5"/>
  <c r="BJ1007" i="5"/>
  <c r="BJ820" i="5"/>
  <c r="BJ590" i="5"/>
  <c r="BJ453" i="5"/>
  <c r="BJ293" i="5"/>
  <c r="BJ151" i="5"/>
  <c r="BJ403" i="5"/>
  <c r="BJ268" i="5"/>
  <c r="BJ154" i="5"/>
  <c r="BJ1178" i="5"/>
  <c r="BJ729" i="5"/>
  <c r="BJ813" i="5"/>
  <c r="BJ446" i="5"/>
  <c r="BJ395" i="5"/>
  <c r="BJ325" i="5"/>
  <c r="BJ427" i="5"/>
  <c r="BJ184" i="5"/>
  <c r="BJ1252" i="5"/>
  <c r="BJ851" i="5"/>
  <c r="CI44" i="1"/>
  <c r="CK44" i="1" s="1"/>
  <c r="BJ693" i="5"/>
  <c r="BJ219" i="5"/>
  <c r="BJ1204" i="5"/>
  <c r="BJ955" i="5"/>
  <c r="BJ599" i="5"/>
  <c r="BJ63" i="5"/>
  <c r="BJ866" i="5"/>
  <c r="BJ527" i="5"/>
  <c r="BJ248" i="5"/>
  <c r="BJ1395" i="5"/>
  <c r="BJ1255" i="5"/>
  <c r="BJ1122" i="5"/>
  <c r="BJ970" i="5"/>
  <c r="BJ725" i="5"/>
  <c r="BJ633" i="5"/>
  <c r="BJ560" i="5"/>
  <c r="BJ249" i="5"/>
  <c r="BJ75" i="5"/>
  <c r="BJ1341" i="5"/>
  <c r="BJ1200" i="5"/>
  <c r="BJ1057" i="5"/>
  <c r="BJ1013" i="5"/>
  <c r="BJ831" i="5"/>
  <c r="BJ648" i="5"/>
  <c r="BJ499" i="5"/>
  <c r="BJ343" i="5"/>
  <c r="BJ179" i="5"/>
  <c r="BJ39" i="5"/>
  <c r="BJ1288" i="5"/>
  <c r="BJ1140" i="5"/>
  <c r="BJ910" i="5"/>
  <c r="BJ832" i="5"/>
  <c r="BJ757" i="5"/>
  <c r="BJ531" i="5"/>
  <c r="BJ406" i="5"/>
  <c r="BJ267" i="5"/>
  <c r="BJ143" i="5"/>
  <c r="BJ1372" i="5"/>
  <c r="BJ1235" i="5"/>
  <c r="BJ1095" i="5"/>
  <c r="BJ945" i="5"/>
  <c r="BJ728" i="5"/>
  <c r="BJ661" i="5"/>
  <c r="BJ549" i="5"/>
  <c r="BJ353" i="5"/>
  <c r="BJ205" i="5"/>
  <c r="BJ53" i="5"/>
  <c r="BJ1324" i="5"/>
  <c r="BJ1188" i="5"/>
  <c r="BJ1046" i="5"/>
  <c r="BJ926" i="5"/>
  <c r="BJ807" i="5"/>
  <c r="BJ518" i="5"/>
  <c r="BJ473" i="5"/>
  <c r="BJ320" i="5"/>
  <c r="BJ103" i="5"/>
  <c r="BJ31" i="5"/>
  <c r="BJ1277" i="5"/>
  <c r="BJ1139" i="5"/>
  <c r="BJ904" i="5"/>
  <c r="BJ702" i="5"/>
  <c r="BJ801" i="5"/>
  <c r="BJ587" i="5"/>
  <c r="BJ435" i="5"/>
  <c r="BJ262" i="5"/>
  <c r="BJ148" i="5"/>
  <c r="BJ1370" i="5"/>
  <c r="BJ1231" i="5"/>
  <c r="BJ1091" i="5"/>
  <c r="BJ977" i="5"/>
  <c r="BJ712" i="5"/>
  <c r="BJ651" i="5"/>
  <c r="BJ615" i="5"/>
  <c r="BJ365" i="5"/>
  <c r="BJ207" i="5"/>
  <c r="BJ5" i="5"/>
  <c r="BJ1323" i="5"/>
  <c r="BJ1183" i="5"/>
  <c r="BJ1042" i="5"/>
  <c r="BJ925" i="5"/>
  <c r="BJ749" i="5"/>
  <c r="BJ617" i="5"/>
  <c r="BJ442" i="5"/>
  <c r="BJ288" i="5"/>
  <c r="BJ161" i="5"/>
  <c r="BJ1399" i="5"/>
  <c r="BJ1260" i="5"/>
  <c r="BJ1125" i="5"/>
  <c r="BJ971" i="5"/>
  <c r="BJ707" i="5"/>
  <c r="BJ656" i="5"/>
  <c r="BJ582" i="5"/>
  <c r="BJ413" i="5"/>
  <c r="BJ242" i="5"/>
  <c r="BJ87" i="5"/>
  <c r="BJ1348" i="5"/>
  <c r="BJ1205" i="5"/>
  <c r="BJ1063" i="5"/>
  <c r="BJ1023" i="5"/>
  <c r="BJ856" i="5"/>
  <c r="BJ647" i="5"/>
  <c r="BJ501" i="5"/>
  <c r="BJ341" i="5"/>
  <c r="BJ176" i="5"/>
  <c r="BJ40" i="5"/>
  <c r="BJ1279" i="5"/>
  <c r="BJ1153" i="5"/>
  <c r="BJ863" i="5"/>
  <c r="BJ912" i="5"/>
  <c r="BJ748" i="5"/>
  <c r="BJ589" i="5"/>
  <c r="BJ424" i="5"/>
  <c r="BJ278" i="5"/>
  <c r="BJ119" i="5"/>
  <c r="BJ412" i="5"/>
  <c r="BJ253" i="5"/>
  <c r="BJ125" i="5"/>
  <c r="BJ643" i="5"/>
  <c r="BJ1267" i="5"/>
  <c r="BJ1202" i="5"/>
  <c r="BJ902" i="5"/>
  <c r="BJ641" i="5"/>
  <c r="BJ741" i="5"/>
  <c r="BJ701" i="5"/>
  <c r="BJ640" i="5"/>
  <c r="BJ458" i="5"/>
  <c r="BJ500" i="5"/>
  <c r="BJ1371" i="5"/>
  <c r="BJ1337" i="5"/>
  <c r="BJ1062" i="5"/>
  <c r="BJ827" i="5"/>
  <c r="BJ461" i="5"/>
  <c r="BJ1299" i="5"/>
  <c r="BJ911" i="5"/>
  <c r="BJ409" i="5"/>
  <c r="BJ80" i="5"/>
  <c r="BJ1376" i="5"/>
  <c r="BJ1249" i="5"/>
  <c r="BJ1110" i="5"/>
  <c r="BJ876" i="5"/>
  <c r="BJ840" i="5"/>
  <c r="BJ634" i="5"/>
  <c r="BJ548" i="5"/>
  <c r="BJ394" i="5"/>
  <c r="BJ234" i="5"/>
  <c r="BJ86" i="5"/>
  <c r="BJ1326" i="5"/>
  <c r="BJ1194" i="5"/>
  <c r="BJ1049" i="5"/>
  <c r="BJ954" i="5"/>
  <c r="BJ714" i="5"/>
  <c r="BJ553" i="5"/>
  <c r="BJ476" i="5"/>
  <c r="BJ307" i="5"/>
  <c r="BJ133" i="5"/>
  <c r="BJ43" i="5"/>
  <c r="BJ1271" i="5"/>
  <c r="BJ985" i="5"/>
  <c r="BJ779" i="5"/>
  <c r="BJ739" i="5"/>
  <c r="BJ610" i="5"/>
  <c r="BJ423" i="5"/>
  <c r="BJ243" i="5"/>
  <c r="BJ149" i="5"/>
  <c r="BJ1355" i="5"/>
  <c r="BJ1221" i="5"/>
  <c r="BJ1080" i="5"/>
  <c r="BJ1029" i="5"/>
  <c r="BJ736" i="5"/>
  <c r="BJ676" i="5"/>
  <c r="BJ505" i="5"/>
  <c r="BJ361" i="5"/>
  <c r="BJ195" i="5"/>
  <c r="BJ57" i="5"/>
  <c r="BJ1312" i="5"/>
  <c r="BJ1179" i="5"/>
  <c r="BJ1033" i="5"/>
  <c r="BJ922" i="5"/>
  <c r="BJ730" i="5"/>
  <c r="BJ552" i="5"/>
  <c r="BJ438" i="5"/>
  <c r="BJ312" i="5"/>
  <c r="BJ111" i="5"/>
  <c r="BJ1402" i="5"/>
  <c r="BJ1274" i="5"/>
  <c r="BJ1016" i="5"/>
  <c r="BJ793" i="5"/>
  <c r="BJ691" i="5"/>
  <c r="BJ528" i="5"/>
  <c r="BJ414" i="5"/>
  <c r="BJ266" i="5"/>
  <c r="BJ131" i="5"/>
  <c r="BJ1358" i="5"/>
  <c r="BJ1222" i="5"/>
  <c r="BJ1081" i="5"/>
  <c r="BJ936" i="5"/>
  <c r="BJ717" i="5"/>
  <c r="BJ681" i="5"/>
  <c r="BJ503" i="5"/>
  <c r="BJ373" i="5"/>
  <c r="BJ215" i="5"/>
  <c r="BJ26" i="5"/>
  <c r="BJ1306" i="5"/>
  <c r="BJ1168" i="5"/>
  <c r="BJ1031" i="5"/>
  <c r="BJ941" i="5"/>
  <c r="BJ838" i="5"/>
  <c r="BJ565" i="5"/>
  <c r="BJ451" i="5"/>
  <c r="BJ314" i="5"/>
  <c r="BJ74" i="5"/>
  <c r="BJ1387" i="5"/>
  <c r="BJ1268" i="5"/>
  <c r="BJ1112" i="5"/>
  <c r="BJ966" i="5"/>
  <c r="BJ847" i="5"/>
  <c r="BJ650" i="5"/>
  <c r="BJ529" i="5"/>
  <c r="BJ398" i="5"/>
  <c r="BJ225" i="5"/>
  <c r="BJ70" i="5"/>
  <c r="BJ1325" i="5"/>
  <c r="BJ1189" i="5"/>
  <c r="BJ1054" i="5"/>
  <c r="BJ929" i="5"/>
  <c r="BJ830" i="5"/>
  <c r="BJ613" i="5"/>
  <c r="BJ488" i="5"/>
  <c r="BJ329" i="5"/>
  <c r="BJ140" i="5"/>
  <c r="BJ11" i="5"/>
  <c r="BJ1275" i="5"/>
  <c r="BJ1132" i="5"/>
  <c r="BJ984" i="5"/>
  <c r="BJ791" i="5"/>
  <c r="BJ754" i="5"/>
  <c r="BJ538" i="5"/>
  <c r="BJ431" i="5"/>
  <c r="BJ245" i="5"/>
  <c r="BJ105" i="5"/>
  <c r="BJ384" i="5"/>
  <c r="BJ250" i="5"/>
  <c r="BJ117" i="5"/>
  <c r="BJ1026" i="5"/>
  <c r="BJ475" i="5"/>
  <c r="BJ239" i="5"/>
  <c r="BJ1105" i="5"/>
  <c r="BJ511" i="5"/>
  <c r="BJ1243" i="5"/>
  <c r="BJ1041" i="5"/>
  <c r="BJ718" i="5"/>
  <c r="BJ1005" i="5"/>
  <c r="BJ523" i="5"/>
  <c r="BJ1215" i="5"/>
  <c r="BJ989" i="5"/>
  <c r="BJ547" i="5"/>
  <c r="BJ287" i="5"/>
  <c r="BJ1151" i="5"/>
  <c r="BJ743" i="5"/>
  <c r="BJ251" i="5"/>
  <c r="BJ1378" i="5"/>
  <c r="BJ1364" i="5"/>
  <c r="BJ1238" i="5"/>
  <c r="BJ1097" i="5"/>
  <c r="BJ1020" i="5"/>
  <c r="BJ783" i="5"/>
  <c r="BJ644" i="5"/>
  <c r="BJ526" i="5"/>
  <c r="BJ368" i="5"/>
  <c r="BJ235" i="5"/>
  <c r="BJ82" i="5"/>
  <c r="BJ1294" i="5"/>
  <c r="BJ1177" i="5"/>
  <c r="BJ1036" i="5"/>
  <c r="BJ877" i="5"/>
  <c r="BJ812" i="5"/>
  <c r="BJ532" i="5"/>
  <c r="BJ463" i="5"/>
  <c r="BJ311" i="5"/>
  <c r="BJ150" i="5"/>
  <c r="BJ1393" i="5"/>
  <c r="BJ1257" i="5"/>
  <c r="BJ1118" i="5"/>
  <c r="BJ892" i="5"/>
  <c r="BJ705" i="5"/>
  <c r="BJ688" i="5"/>
  <c r="BJ535" i="5"/>
  <c r="BJ389" i="5"/>
  <c r="BJ257" i="5"/>
  <c r="BJ129" i="5"/>
  <c r="BJ1342" i="5"/>
  <c r="BJ1214" i="5"/>
  <c r="BJ1072" i="5"/>
  <c r="BJ896" i="5"/>
  <c r="BJ722" i="5"/>
  <c r="BJ667" i="5"/>
  <c r="BJ480" i="5"/>
  <c r="BJ347" i="5"/>
  <c r="BJ189" i="5"/>
  <c r="BJ20" i="5"/>
  <c r="BJ1301" i="5"/>
  <c r="BJ1160" i="5"/>
  <c r="BJ990" i="5"/>
  <c r="BJ1008" i="5"/>
  <c r="BJ853" i="5"/>
  <c r="BJ595" i="5"/>
  <c r="BJ437" i="5"/>
  <c r="BJ296" i="5"/>
  <c r="BJ162" i="5"/>
  <c r="BJ1390" i="5"/>
  <c r="BJ1256" i="5"/>
  <c r="BJ1115" i="5"/>
  <c r="BJ948" i="5"/>
  <c r="BJ706" i="5"/>
  <c r="BJ632" i="5"/>
  <c r="BJ534" i="5"/>
  <c r="BJ382" i="5"/>
  <c r="BJ241" i="5"/>
  <c r="BJ99" i="5"/>
  <c r="BJ1336" i="5"/>
  <c r="BJ1213" i="5"/>
  <c r="BJ1068" i="5"/>
  <c r="BJ890" i="5"/>
  <c r="BJ716" i="5"/>
  <c r="BJ669" i="5"/>
  <c r="BJ509" i="5"/>
  <c r="BJ334" i="5"/>
  <c r="BJ223" i="5"/>
  <c r="BJ28" i="5"/>
  <c r="BJ1300" i="5"/>
  <c r="BJ1144" i="5"/>
  <c r="BJ994" i="5"/>
  <c r="BJ937" i="5"/>
  <c r="BJ814" i="5"/>
  <c r="BJ541" i="5"/>
  <c r="BJ455" i="5"/>
  <c r="BJ308" i="5"/>
  <c r="BJ157" i="5"/>
  <c r="BJ1375" i="5"/>
  <c r="BJ1242" i="5"/>
  <c r="BJ1100" i="5"/>
  <c r="BJ959" i="5"/>
  <c r="BJ784" i="5"/>
  <c r="BJ679" i="5"/>
  <c r="BJ557" i="5"/>
  <c r="BJ380" i="5"/>
  <c r="BJ237" i="5"/>
  <c r="BJ76" i="5"/>
  <c r="BJ1316" i="5"/>
  <c r="BJ1186" i="5"/>
  <c r="BJ1039" i="5"/>
  <c r="BJ924" i="5"/>
  <c r="BJ752" i="5"/>
  <c r="BJ609" i="5"/>
  <c r="BJ457" i="5"/>
  <c r="BJ290" i="5"/>
  <c r="BJ109" i="5"/>
  <c r="BJ1398" i="5"/>
  <c r="BJ1270" i="5"/>
  <c r="BJ1123" i="5"/>
  <c r="BJ893" i="5"/>
  <c r="BJ733" i="5"/>
  <c r="BJ652" i="5"/>
  <c r="BJ530" i="5"/>
  <c r="BJ410" i="5"/>
  <c r="BJ240" i="5"/>
  <c r="BJ81" i="5"/>
  <c r="BJ379" i="5"/>
  <c r="BJ217" i="5"/>
  <c r="BJ66" i="5"/>
  <c r="BJ894" i="5"/>
  <c r="BJ1120" i="5"/>
  <c r="BJ1003" i="5"/>
  <c r="BJ545" i="5"/>
  <c r="BJ614" i="5"/>
  <c r="BJ174" i="5"/>
  <c r="BJ271" i="5"/>
  <c r="BJ1319" i="5"/>
  <c r="BJ1124" i="5"/>
  <c r="BJ1064" i="5"/>
  <c r="BJ944" i="5"/>
  <c r="BJ1074" i="5"/>
  <c r="BJ836" i="5"/>
  <c r="BJ485" i="5"/>
  <c r="BJ98" i="5"/>
  <c r="BJ988" i="5"/>
  <c r="BJ622" i="5"/>
  <c r="BJ101" i="5"/>
  <c r="BJ1248" i="5"/>
  <c r="BJ1351" i="5"/>
  <c r="BJ1226" i="5"/>
  <c r="BJ1085" i="5"/>
  <c r="BJ973" i="5"/>
  <c r="BJ711" i="5"/>
  <c r="BJ659" i="5"/>
  <c r="BJ513" i="5"/>
  <c r="BJ358" i="5"/>
  <c r="BJ201" i="5"/>
  <c r="BJ16" i="5"/>
  <c r="BJ1304" i="5"/>
  <c r="BJ1166" i="5"/>
  <c r="BJ998" i="5"/>
  <c r="BJ916" i="5"/>
  <c r="BJ747" i="5"/>
  <c r="BJ539" i="5"/>
  <c r="BJ444" i="5"/>
  <c r="BJ299" i="5"/>
  <c r="BJ60" i="5"/>
  <c r="BJ1385" i="5"/>
  <c r="BJ1107" i="5"/>
  <c r="BJ898" i="5"/>
  <c r="BJ815" i="5"/>
  <c r="BJ689" i="5"/>
  <c r="BJ559" i="5"/>
  <c r="BJ391" i="5"/>
  <c r="BJ209" i="5"/>
  <c r="BJ135" i="5"/>
  <c r="BJ1201" i="5"/>
  <c r="BJ1060" i="5"/>
  <c r="BJ979" i="5"/>
  <c r="BJ806" i="5"/>
  <c r="BJ627" i="5"/>
  <c r="BJ498" i="5"/>
  <c r="BJ324" i="5"/>
  <c r="BJ178" i="5"/>
  <c r="BJ29" i="5"/>
  <c r="BJ1147" i="5"/>
  <c r="BJ906" i="5"/>
  <c r="BJ934" i="5"/>
  <c r="BJ744" i="5"/>
  <c r="BJ550" i="5"/>
  <c r="BJ425" i="5"/>
  <c r="BJ277" i="5"/>
  <c r="BJ120" i="5"/>
  <c r="BJ1381" i="5"/>
  <c r="BJ1245" i="5"/>
  <c r="BJ1104" i="5"/>
  <c r="BJ873" i="5"/>
  <c r="BJ789" i="5"/>
  <c r="BJ639" i="5"/>
  <c r="BJ606" i="5"/>
  <c r="BJ387" i="5"/>
  <c r="BJ220" i="5"/>
  <c r="BJ97" i="5"/>
  <c r="BJ1347" i="5"/>
  <c r="BJ1198" i="5"/>
  <c r="BJ1058" i="5"/>
  <c r="BJ930" i="5"/>
  <c r="BJ759" i="5"/>
  <c r="BJ519" i="5"/>
  <c r="BJ479" i="5"/>
  <c r="BJ323" i="5"/>
  <c r="BJ170" i="5"/>
  <c r="BJ37" i="5"/>
  <c r="BJ1287" i="5"/>
  <c r="BJ1150" i="5"/>
  <c r="BJ905" i="5"/>
  <c r="BJ859" i="5"/>
  <c r="BJ742" i="5"/>
  <c r="BJ516" i="5"/>
  <c r="BJ407" i="5"/>
  <c r="BJ272" i="5"/>
  <c r="BJ102" i="5"/>
  <c r="BJ1362" i="5"/>
  <c r="BJ1230" i="5"/>
  <c r="BJ1087" i="5"/>
  <c r="BJ975" i="5"/>
  <c r="BJ721" i="5"/>
  <c r="BJ684" i="5"/>
  <c r="BJ366" i="5"/>
  <c r="BJ193" i="5"/>
  <c r="BJ14" i="5"/>
  <c r="BJ1296" i="5"/>
  <c r="BJ1169" i="5"/>
  <c r="BJ908" i="5"/>
  <c r="BJ920" i="5"/>
  <c r="BJ839" i="5"/>
  <c r="BJ584" i="5"/>
  <c r="BJ467" i="5"/>
  <c r="BJ317" i="5"/>
  <c r="BJ72" i="5"/>
  <c r="BJ1379" i="5"/>
  <c r="BJ1250" i="5"/>
  <c r="BJ1109" i="5"/>
  <c r="BJ891" i="5"/>
  <c r="BJ846" i="5"/>
  <c r="BJ646" i="5"/>
  <c r="BJ580" i="5"/>
  <c r="BJ385" i="5"/>
  <c r="BJ227" i="5"/>
  <c r="BJ78" i="5"/>
  <c r="BJ376" i="5"/>
  <c r="BJ212" i="5"/>
  <c r="BJ100" i="5"/>
  <c r="BJ183" i="5"/>
  <c r="BJ817" i="5"/>
  <c r="BJ578" i="5"/>
  <c r="BJ345" i="5"/>
  <c r="BJ124" i="5"/>
  <c r="BJ123" i="5"/>
  <c r="BJ1282" i="5"/>
  <c r="BJ1102" i="5"/>
  <c r="BJ822" i="5"/>
  <c r="BJ533" i="5"/>
  <c r="BJ658" i="5"/>
  <c r="BJ1361" i="5"/>
  <c r="BJ880" i="5"/>
  <c r="BJ657" i="5"/>
  <c r="BJ332" i="5"/>
  <c r="BJ1303" i="5"/>
  <c r="BJ1006" i="5"/>
  <c r="BJ434" i="5"/>
  <c r="BJ1396" i="5"/>
  <c r="BJ1111" i="5"/>
  <c r="BJ1346" i="5"/>
  <c r="BJ1070" i="5"/>
  <c r="BJ875" i="5"/>
  <c r="BJ780" i="5"/>
  <c r="BJ664" i="5"/>
  <c r="BJ507" i="5"/>
  <c r="BJ342" i="5"/>
  <c r="BJ210" i="5"/>
  <c r="BJ23" i="5"/>
  <c r="BJ1159" i="5"/>
  <c r="BJ887" i="5"/>
  <c r="BJ897" i="5"/>
  <c r="BJ751" i="5"/>
  <c r="BJ554" i="5"/>
  <c r="BJ468" i="5"/>
  <c r="BJ269" i="5"/>
  <c r="BJ132" i="5"/>
  <c r="BJ1365" i="5"/>
  <c r="BJ1234" i="5"/>
  <c r="BJ1093" i="5"/>
  <c r="BJ981" i="5"/>
  <c r="BJ762" i="5"/>
  <c r="BJ662" i="5"/>
  <c r="BJ603" i="5"/>
  <c r="BJ363" i="5"/>
  <c r="BJ216" i="5"/>
  <c r="BJ59" i="5"/>
  <c r="BJ1192" i="5"/>
  <c r="BJ1044" i="5"/>
  <c r="BJ927" i="5"/>
  <c r="BJ819" i="5"/>
  <c r="BJ517" i="5"/>
  <c r="BJ465" i="5"/>
  <c r="BJ300" i="5"/>
  <c r="BJ115" i="5"/>
  <c r="BJ32" i="5"/>
  <c r="BJ1141" i="5"/>
  <c r="BJ899" i="5"/>
  <c r="BJ792" i="5"/>
  <c r="BJ802" i="5"/>
  <c r="BJ540" i="5"/>
  <c r="BJ402" i="5"/>
  <c r="BJ263" i="5"/>
  <c r="BJ153" i="5"/>
  <c r="BJ1363" i="5"/>
  <c r="BJ1233" i="5"/>
  <c r="BJ1092" i="5"/>
  <c r="BJ976" i="5"/>
  <c r="BJ720" i="5"/>
  <c r="BJ696" i="5"/>
  <c r="BJ616" i="5"/>
  <c r="BJ377" i="5"/>
  <c r="BJ213" i="5"/>
  <c r="BJ17" i="5"/>
  <c r="BJ1321" i="5"/>
  <c r="BJ1185" i="5"/>
  <c r="BJ1045" i="5"/>
  <c r="BJ952" i="5"/>
  <c r="BJ766" i="5"/>
  <c r="BJ611" i="5"/>
  <c r="BJ464" i="5"/>
  <c r="BJ305" i="5"/>
  <c r="BJ130" i="5"/>
  <c r="BJ3" i="5"/>
  <c r="BJ1276" i="5"/>
  <c r="BJ1137" i="5"/>
  <c r="BJ909" i="5"/>
  <c r="BJ842" i="5"/>
  <c r="BJ790" i="5"/>
  <c r="BJ575" i="5"/>
  <c r="BJ419" i="5"/>
  <c r="BJ264" i="5"/>
  <c r="BJ110" i="5"/>
  <c r="BJ1345" i="5"/>
  <c r="BJ1217" i="5"/>
  <c r="BJ1078" i="5"/>
  <c r="BJ962" i="5"/>
  <c r="BJ737" i="5"/>
  <c r="BJ680" i="5"/>
  <c r="BJ487" i="5"/>
  <c r="BJ359" i="5"/>
  <c r="BJ203" i="5"/>
  <c r="BJ46" i="5"/>
  <c r="BJ1293" i="5"/>
  <c r="BJ1164" i="5"/>
  <c r="BJ993" i="5"/>
  <c r="BJ999" i="5"/>
  <c r="BJ809" i="5"/>
  <c r="BJ591" i="5"/>
  <c r="BJ449" i="5"/>
  <c r="BJ294" i="5"/>
  <c r="BJ156" i="5"/>
  <c r="BJ1366" i="5"/>
  <c r="BJ1240" i="5"/>
  <c r="BJ1101" i="5"/>
  <c r="BJ958" i="5"/>
  <c r="BJ823" i="5"/>
  <c r="BJ638" i="5"/>
  <c r="BJ562" i="5"/>
  <c r="BJ372" i="5"/>
  <c r="BJ204" i="5"/>
  <c r="BJ84" i="5"/>
  <c r="BJ369" i="5"/>
  <c r="BJ211" i="5"/>
  <c r="BJ106" i="5"/>
  <c r="BJ1237" i="5"/>
  <c r="BJ949" i="5"/>
  <c r="BJ699" i="5"/>
  <c r="BJ490" i="5"/>
  <c r="BJ279" i="5"/>
  <c r="BJ1197" i="5"/>
  <c r="BJ901" i="5"/>
  <c r="BJ563" i="5"/>
  <c r="BJ136" i="5"/>
  <c r="BJ93" i="5"/>
  <c r="BJ52" i="5"/>
  <c r="BJ55" i="5"/>
  <c r="BJ483" i="5"/>
  <c r="BJ828" i="5"/>
  <c r="BJ512" i="5"/>
  <c r="BJ71" i="5"/>
  <c r="BJ1175" i="5"/>
  <c r="BJ709" i="5"/>
  <c r="BJ280" i="5"/>
  <c r="BJ1262" i="5"/>
  <c r="BJ938" i="5"/>
  <c r="BJ1352" i="5"/>
  <c r="BJ1203" i="5"/>
  <c r="BJ1061" i="5"/>
  <c r="BJ1004" i="5"/>
  <c r="BJ835" i="5"/>
  <c r="BJ629" i="5"/>
  <c r="BJ492" i="5"/>
  <c r="BJ339" i="5"/>
  <c r="BJ180" i="5"/>
  <c r="BJ35" i="5"/>
  <c r="BJ1286" i="5"/>
  <c r="BJ1162" i="5"/>
  <c r="BJ886" i="5"/>
  <c r="BJ858" i="5"/>
  <c r="BJ805" i="5"/>
  <c r="BJ588" i="5"/>
  <c r="BJ421" i="5"/>
  <c r="BJ274" i="5"/>
  <c r="BJ152" i="5"/>
  <c r="BJ1338" i="5"/>
  <c r="BJ1225" i="5"/>
  <c r="BJ1084" i="5"/>
  <c r="BJ946" i="5"/>
  <c r="BJ760" i="5"/>
  <c r="BJ700" i="5"/>
  <c r="BJ495" i="5"/>
  <c r="BJ371" i="5"/>
  <c r="BJ197" i="5"/>
  <c r="BJ4" i="5"/>
  <c r="BJ1315" i="5"/>
  <c r="BJ1172" i="5"/>
  <c r="BJ1034" i="5"/>
  <c r="BJ872" i="5"/>
  <c r="BJ764" i="5"/>
  <c r="BJ572" i="5"/>
  <c r="BJ459" i="5"/>
  <c r="BJ313" i="5"/>
  <c r="BJ137" i="5"/>
  <c r="BJ1129" i="5"/>
  <c r="BJ982" i="5"/>
  <c r="BJ794" i="5"/>
  <c r="BJ692" i="5"/>
  <c r="BJ583" i="5"/>
  <c r="BJ417" i="5"/>
  <c r="BJ246" i="5"/>
  <c r="BJ95" i="5"/>
  <c r="BJ1360" i="5"/>
  <c r="BJ1219" i="5"/>
  <c r="BJ1076" i="5"/>
  <c r="BJ1014" i="5"/>
  <c r="BJ770" i="5"/>
  <c r="BJ668" i="5"/>
  <c r="BJ515" i="5"/>
  <c r="BJ357" i="5"/>
  <c r="BJ229" i="5"/>
  <c r="BJ51" i="5"/>
  <c r="BJ1314" i="5"/>
  <c r="BJ1174" i="5"/>
  <c r="BJ921" i="5"/>
  <c r="BJ727" i="5"/>
  <c r="BJ570" i="5"/>
  <c r="BJ436" i="5"/>
  <c r="BJ315" i="5"/>
  <c r="BJ121" i="5"/>
  <c r="BJ1400" i="5"/>
  <c r="BJ1264" i="5"/>
  <c r="BJ1126" i="5"/>
  <c r="BJ889" i="5"/>
  <c r="BJ734" i="5"/>
  <c r="BJ654" i="5"/>
  <c r="BJ608" i="5"/>
  <c r="BJ432" i="5"/>
  <c r="BJ252" i="5"/>
  <c r="BJ94" i="5"/>
  <c r="BJ1354" i="5"/>
  <c r="BJ1207" i="5"/>
  <c r="BJ1066" i="5"/>
  <c r="BJ1028" i="5"/>
  <c r="BJ774" i="5"/>
  <c r="BJ660" i="5"/>
  <c r="BJ493" i="5"/>
  <c r="BJ333" i="5"/>
  <c r="BJ171" i="5"/>
  <c r="BJ34" i="5"/>
  <c r="BJ1285" i="5"/>
  <c r="BJ1152" i="5"/>
  <c r="BJ864" i="5"/>
  <c r="BJ932" i="5"/>
  <c r="BJ769" i="5"/>
  <c r="BJ626" i="5"/>
  <c r="BJ433" i="5"/>
  <c r="BJ270" i="5"/>
  <c r="BJ108" i="5"/>
  <c r="BJ1357" i="5"/>
  <c r="BJ1228" i="5"/>
  <c r="BJ1089" i="5"/>
  <c r="BJ883" i="5"/>
  <c r="BJ761" i="5"/>
  <c r="BJ686" i="5"/>
  <c r="BJ482" i="5"/>
  <c r="BJ378" i="5"/>
  <c r="BJ221" i="5"/>
  <c r="BJ12" i="5"/>
  <c r="BJ340" i="5"/>
  <c r="BJ194" i="5"/>
  <c r="BJ6" i="5"/>
  <c r="BJ1328" i="5"/>
  <c r="BJ573" i="5"/>
  <c r="BJ390" i="5"/>
  <c r="BJ172" i="5"/>
  <c r="BJ1377" i="5"/>
  <c r="BJ231" i="5"/>
  <c r="BJ38" i="5"/>
  <c r="BJ1380" i="5"/>
  <c r="BJ77" i="5"/>
  <c r="BJ1397" i="5"/>
  <c r="BJ259" i="5"/>
  <c r="BJ182" i="5"/>
  <c r="BJ1088" i="5"/>
  <c r="BJ782" i="5"/>
  <c r="BJ666" i="5"/>
  <c r="BJ349" i="5"/>
  <c r="BJ36" i="5"/>
  <c r="BJ1021" i="5"/>
  <c r="BJ567" i="5"/>
  <c r="BJ113" i="5"/>
  <c r="BJ1121" i="5"/>
  <c r="BJ841" i="5"/>
  <c r="BJ1322" i="5"/>
  <c r="BJ1187" i="5"/>
  <c r="BJ1047" i="5"/>
  <c r="BJ961" i="5"/>
  <c r="BJ773" i="5"/>
  <c r="BJ522" i="5"/>
  <c r="BJ443" i="5"/>
  <c r="BJ331" i="5"/>
  <c r="BJ158" i="5"/>
  <c r="BJ48" i="5"/>
  <c r="BJ1272" i="5"/>
  <c r="BJ1130" i="5"/>
  <c r="BJ1009" i="5"/>
  <c r="BJ800" i="5"/>
  <c r="BJ810" i="5"/>
  <c r="BJ537" i="5"/>
  <c r="BJ430" i="5"/>
  <c r="BJ261" i="5"/>
  <c r="BJ145" i="5"/>
  <c r="BJ1350" i="5"/>
  <c r="BJ1211" i="5"/>
  <c r="BJ1069" i="5"/>
  <c r="BJ878" i="5"/>
  <c r="BJ776" i="5"/>
  <c r="BJ675" i="5"/>
  <c r="BJ494" i="5"/>
  <c r="BJ338" i="5"/>
  <c r="BJ191" i="5"/>
  <c r="BJ21" i="5"/>
  <c r="BJ1302" i="5"/>
  <c r="BJ1161" i="5"/>
  <c r="BJ991" i="5"/>
  <c r="BJ1001" i="5"/>
  <c r="BJ855" i="5"/>
  <c r="BJ596" i="5"/>
  <c r="BJ456" i="5"/>
  <c r="BJ297" i="5"/>
  <c r="BJ144" i="5"/>
  <c r="BJ1392" i="5"/>
  <c r="BJ1254" i="5"/>
  <c r="BJ1116" i="5"/>
  <c r="BJ969" i="5"/>
  <c r="BJ731" i="5"/>
  <c r="BJ687" i="5"/>
  <c r="BJ568" i="5"/>
  <c r="BJ393" i="5"/>
  <c r="BJ244" i="5"/>
  <c r="BJ128" i="5"/>
  <c r="BJ1359" i="5"/>
  <c r="BJ1209" i="5"/>
  <c r="BJ1067" i="5"/>
  <c r="BJ888" i="5"/>
  <c r="BJ715" i="5"/>
  <c r="BJ674" i="5"/>
  <c r="BJ484" i="5"/>
  <c r="BJ346" i="5"/>
  <c r="BJ224" i="5"/>
  <c r="BJ41" i="5"/>
  <c r="BJ1298" i="5"/>
  <c r="BJ1146" i="5"/>
  <c r="BJ996" i="5"/>
  <c r="BJ917" i="5"/>
  <c r="BJ816" i="5"/>
  <c r="BJ593" i="5"/>
  <c r="BJ474" i="5"/>
  <c r="BJ318" i="5"/>
  <c r="BJ160" i="5"/>
  <c r="BJ1388" i="5"/>
  <c r="BJ1258" i="5"/>
  <c r="BJ1114" i="5"/>
  <c r="BJ967" i="5"/>
  <c r="BJ850" i="5"/>
  <c r="BJ635" i="5"/>
  <c r="BJ564" i="5"/>
  <c r="BJ388" i="5"/>
  <c r="BJ232" i="5"/>
  <c r="BJ92" i="5"/>
  <c r="BJ1327" i="5"/>
  <c r="BJ1196" i="5"/>
  <c r="BJ1050" i="5"/>
  <c r="BJ956" i="5"/>
  <c r="BJ849" i="5"/>
  <c r="BJ556" i="5"/>
  <c r="BJ491" i="5"/>
  <c r="BJ327" i="5"/>
  <c r="BJ175" i="5"/>
  <c r="BJ19" i="5"/>
  <c r="BJ1253" i="5"/>
  <c r="BJ1133" i="5"/>
  <c r="BJ980" i="5"/>
  <c r="BJ795" i="5"/>
  <c r="BJ755" i="5"/>
  <c r="BJ579" i="5"/>
  <c r="BJ404" i="5"/>
  <c r="BJ265" i="5"/>
  <c r="BJ114" i="5"/>
  <c r="BJ1333" i="5"/>
  <c r="BJ1216" i="5"/>
  <c r="BJ1075" i="5"/>
  <c r="BJ1025" i="5"/>
  <c r="BJ854" i="5"/>
  <c r="BJ631" i="5"/>
  <c r="BJ514" i="5"/>
  <c r="BJ350" i="5"/>
  <c r="BJ226" i="5"/>
  <c r="BJ30" i="5"/>
  <c r="BJ336" i="5"/>
  <c r="BJ190" i="5"/>
  <c r="BJ56" i="5"/>
  <c r="CJ235" i="1"/>
  <c r="CV173" i="1"/>
  <c r="CY173" i="1" s="1"/>
  <c r="CV139" i="1"/>
  <c r="CY139" i="1" s="1"/>
  <c r="CI291" i="1"/>
  <c r="CK291" i="1" s="1"/>
  <c r="CV163" i="1"/>
  <c r="CY163" i="1" s="1"/>
  <c r="CV254" i="1"/>
  <c r="CY254" i="1" s="1"/>
  <c r="CV26" i="1"/>
  <c r="CY26" i="1" s="1"/>
  <c r="CV248" i="1"/>
  <c r="CY248" i="1" s="1"/>
  <c r="CI143" i="1"/>
  <c r="CJ143" i="1" s="1"/>
  <c r="CV27" i="1"/>
  <c r="CY27" i="1" s="1"/>
  <c r="CI167" i="1"/>
  <c r="CJ167" i="1" s="1"/>
  <c r="CI49" i="1"/>
  <c r="CJ49" i="1" s="1"/>
  <c r="CI163" i="1"/>
  <c r="CJ163" i="1" s="1"/>
  <c r="CV214" i="1"/>
  <c r="CY214" i="1" s="1"/>
  <c r="CI246" i="1"/>
  <c r="CK246" i="1" s="1"/>
  <c r="CI211" i="1"/>
  <c r="CJ211" i="1" s="1"/>
  <c r="CI106" i="1"/>
  <c r="CJ106" i="1" s="1"/>
  <c r="CI259" i="1"/>
  <c r="CJ259" i="1" s="1"/>
  <c r="CR16" i="1"/>
  <c r="CS16" i="1" s="1"/>
  <c r="CU16" i="1" s="1"/>
  <c r="CX16" i="1" s="1"/>
  <c r="CV292" i="1"/>
  <c r="CY292" i="1" s="1"/>
  <c r="CV111" i="1"/>
  <c r="CY111" i="1" s="1"/>
  <c r="CV130" i="1"/>
  <c r="CY130" i="1" s="1"/>
  <c r="CV190" i="1"/>
  <c r="CY190" i="1" s="1"/>
  <c r="CV218" i="1"/>
  <c r="CY218" i="1" s="1"/>
  <c r="CI239" i="1"/>
  <c r="CJ239" i="1" s="1"/>
  <c r="CI298" i="1"/>
  <c r="CJ298" i="1" s="1"/>
  <c r="CV109" i="1"/>
  <c r="CY109" i="1" s="1"/>
  <c r="CV31" i="1"/>
  <c r="CY31" i="1" s="1"/>
  <c r="CV256" i="1"/>
  <c r="CY256" i="1" s="1"/>
  <c r="CV43" i="1"/>
  <c r="CY43" i="1" s="1"/>
  <c r="CR210" i="1"/>
  <c r="CS210" i="1" s="1"/>
  <c r="CU210" i="1" s="1"/>
  <c r="CX210" i="1" s="1"/>
  <c r="CV79" i="1"/>
  <c r="CY79" i="1" s="1"/>
  <c r="CR90" i="1"/>
  <c r="CS90" i="1" s="1"/>
  <c r="CU90" i="1" s="1"/>
  <c r="CV57" i="1"/>
  <c r="CY57" i="1" s="1"/>
  <c r="CV312" i="1"/>
  <c r="CY312" i="1" s="1"/>
  <c r="CV89" i="1"/>
  <c r="CY89" i="1" s="1"/>
  <c r="CV100" i="1"/>
  <c r="CY100" i="1" s="1"/>
  <c r="CV245" i="1"/>
  <c r="CY245" i="1" s="1"/>
  <c r="CV25" i="1"/>
  <c r="CY25" i="1" s="1"/>
  <c r="CV195" i="1"/>
  <c r="CY195" i="1" s="1"/>
  <c r="CV304" i="1"/>
  <c r="CY304" i="1" s="1"/>
  <c r="CV50" i="1"/>
  <c r="CY50" i="1" s="1"/>
  <c r="CI121" i="1"/>
  <c r="CJ121" i="1" s="1"/>
  <c r="CV289" i="1"/>
  <c r="CY289" i="1" s="1"/>
  <c r="CR60" i="1"/>
  <c r="CS60" i="1" s="1"/>
  <c r="CU60" i="1" s="1"/>
  <c r="CX60" i="1" s="1"/>
  <c r="CR201" i="1"/>
  <c r="CS201" i="1" s="1"/>
  <c r="CU201" i="1" s="1"/>
  <c r="CX201" i="1" s="1"/>
  <c r="CR290" i="1"/>
  <c r="CS290" i="1" s="1"/>
  <c r="CU290" i="1" s="1"/>
  <c r="CW290" i="1" s="1"/>
  <c r="CZ290" i="1" s="1"/>
  <c r="CR224" i="1"/>
  <c r="CS224" i="1" s="1"/>
  <c r="CU224" i="1" s="1"/>
  <c r="CX224" i="1" s="1"/>
  <c r="CI23" i="1"/>
  <c r="CJ23" i="1" s="1"/>
  <c r="CI136" i="1"/>
  <c r="CK136" i="1" s="1"/>
  <c r="CI309" i="1"/>
  <c r="CJ309" i="1" s="1"/>
  <c r="CI319" i="1"/>
  <c r="CK319" i="1" s="1"/>
  <c r="CI34" i="1"/>
  <c r="CJ34" i="1" s="1"/>
  <c r="CI96" i="1"/>
  <c r="CK96" i="1" s="1"/>
  <c r="CI47" i="1"/>
  <c r="CK47" i="1" s="1"/>
  <c r="CI160" i="1"/>
  <c r="CJ160" i="1" s="1"/>
  <c r="CR211" i="1"/>
  <c r="CS211" i="1" s="1"/>
  <c r="CU211" i="1" s="1"/>
  <c r="CX211" i="1" s="1"/>
  <c r="CR229" i="1"/>
  <c r="CS229" i="1" s="1"/>
  <c r="CU229" i="1" s="1"/>
  <c r="CX229" i="1" s="1"/>
  <c r="CR190" i="1"/>
  <c r="CS190" i="1" s="1"/>
  <c r="CU190" i="1" s="1"/>
  <c r="CX190" i="1" s="1"/>
  <c r="CI40" i="1"/>
  <c r="CJ40" i="1" s="1"/>
  <c r="CV310" i="1"/>
  <c r="CY310" i="1" s="1"/>
  <c r="CV176" i="1"/>
  <c r="CY176" i="1" s="1"/>
  <c r="CV78" i="1"/>
  <c r="CY78" i="1" s="1"/>
  <c r="CV191" i="1"/>
  <c r="CY191" i="1" s="1"/>
  <c r="CV3" i="1"/>
  <c r="CY3" i="1" s="1"/>
  <c r="CV39" i="1"/>
  <c r="CY39" i="1" s="1"/>
  <c r="CV60" i="1"/>
  <c r="CY60" i="1" s="1"/>
  <c r="CI304" i="1"/>
  <c r="CK304" i="1" s="1"/>
  <c r="CV297" i="1"/>
  <c r="CY297" i="1" s="1"/>
  <c r="CV320" i="1"/>
  <c r="CY320" i="1" s="1"/>
  <c r="CV309" i="1"/>
  <c r="CY309" i="1" s="1"/>
  <c r="CV216" i="1"/>
  <c r="CY216" i="1" s="1"/>
  <c r="CR26" i="1"/>
  <c r="CS26" i="1" s="1"/>
  <c r="CU26" i="1" s="1"/>
  <c r="CR111" i="1"/>
  <c r="CS111" i="1" s="1"/>
  <c r="CU111" i="1" s="1"/>
  <c r="CV206" i="1"/>
  <c r="CY206" i="1" s="1"/>
  <c r="CV298" i="1"/>
  <c r="CY298" i="1" s="1"/>
  <c r="CI63" i="1"/>
  <c r="CJ63" i="1" s="1"/>
  <c r="CI275" i="1"/>
  <c r="CK275" i="1" s="1"/>
  <c r="CR8" i="1"/>
  <c r="CS8" i="1" s="1"/>
  <c r="CU8" i="1" s="1"/>
  <c r="CX8" i="1" s="1"/>
  <c r="CR41" i="1"/>
  <c r="CS41" i="1" s="1"/>
  <c r="CU41" i="1" s="1"/>
  <c r="CX41" i="1" s="1"/>
  <c r="CI11" i="1"/>
  <c r="CJ11" i="1" s="1"/>
  <c r="CI114" i="1"/>
  <c r="CJ114" i="1" s="1"/>
  <c r="CR104" i="1"/>
  <c r="CS104" i="1" s="1"/>
  <c r="CU104" i="1" s="1"/>
  <c r="CX104" i="1" s="1"/>
  <c r="CR31" i="1"/>
  <c r="CS31" i="1" s="1"/>
  <c r="CU31" i="1" s="1"/>
  <c r="CX31" i="1" s="1"/>
  <c r="CI287" i="1"/>
  <c r="CK287" i="1" s="1"/>
  <c r="CI140" i="1"/>
  <c r="CK140" i="1" s="1"/>
  <c r="CI16" i="1"/>
  <c r="CK16" i="1" s="1"/>
  <c r="CI125" i="1"/>
  <c r="CJ125" i="1" s="1"/>
  <c r="CI27" i="1"/>
  <c r="CK27" i="1" s="1"/>
  <c r="CI75" i="1"/>
  <c r="CK75" i="1" s="1"/>
  <c r="CR168" i="1"/>
  <c r="CS168" i="1" s="1"/>
  <c r="CU168" i="1" s="1"/>
  <c r="CW168" i="1" s="1"/>
  <c r="CZ168" i="1" s="1"/>
  <c r="CI35" i="1"/>
  <c r="CJ35" i="1" s="1"/>
  <c r="CI148" i="1"/>
  <c r="CJ148" i="1" s="1"/>
  <c r="CR89" i="1"/>
  <c r="CS89" i="1" s="1"/>
  <c r="CU89" i="1" s="1"/>
  <c r="CR199" i="1"/>
  <c r="CS199" i="1" s="1"/>
  <c r="CU199" i="1" s="1"/>
  <c r="CX199" i="1" s="1"/>
  <c r="CR188" i="1"/>
  <c r="CS188" i="1" s="1"/>
  <c r="CU188" i="1" s="1"/>
  <c r="CX188" i="1" s="1"/>
  <c r="CR75" i="1"/>
  <c r="CS75" i="1" s="1"/>
  <c r="CU75" i="1" s="1"/>
  <c r="CX75" i="1" s="1"/>
  <c r="CR157" i="1"/>
  <c r="CS157" i="1" s="1"/>
  <c r="CU157" i="1" s="1"/>
  <c r="CX157" i="1" s="1"/>
  <c r="CR95" i="1"/>
  <c r="CS95" i="1" s="1"/>
  <c r="CU95" i="1" s="1"/>
  <c r="CX95" i="1" s="1"/>
  <c r="CR163" i="1"/>
  <c r="CS163" i="1" s="1"/>
  <c r="CU163" i="1" s="1"/>
  <c r="CX163" i="1" s="1"/>
  <c r="CR57" i="1"/>
  <c r="CS57" i="1" s="1"/>
  <c r="CU57" i="1" s="1"/>
  <c r="CI216" i="1"/>
  <c r="CJ216" i="1" s="1"/>
  <c r="CI197" i="1"/>
  <c r="CJ197" i="1" s="1"/>
  <c r="CI187" i="1"/>
  <c r="CK187" i="1" s="1"/>
  <c r="CR35" i="1"/>
  <c r="CS35" i="1" s="1"/>
  <c r="CU35" i="1" s="1"/>
  <c r="CX35" i="1" s="1"/>
  <c r="CR209" i="1"/>
  <c r="CS209" i="1" s="1"/>
  <c r="CU209" i="1" s="1"/>
  <c r="CX209" i="1" s="1"/>
  <c r="CV15" i="1"/>
  <c r="CY15" i="1" s="1"/>
  <c r="CV92" i="1"/>
  <c r="CY92" i="1" s="1"/>
  <c r="CR80" i="1"/>
  <c r="CS80" i="1" s="1"/>
  <c r="CU80" i="1" s="1"/>
  <c r="CX80" i="1" s="1"/>
  <c r="CR92" i="1"/>
  <c r="CS92" i="1" s="1"/>
  <c r="CU92" i="1" s="1"/>
  <c r="CR282" i="1"/>
  <c r="CS282" i="1" s="1"/>
  <c r="CU282" i="1" s="1"/>
  <c r="CX282" i="1" s="1"/>
  <c r="CI38" i="1"/>
  <c r="CJ38" i="1" s="1"/>
  <c r="CI201" i="1"/>
  <c r="CK201" i="1" s="1"/>
  <c r="CI86" i="1"/>
  <c r="CK86" i="1" s="1"/>
  <c r="CR233" i="1"/>
  <c r="CS233" i="1" s="1"/>
  <c r="CU233" i="1" s="1"/>
  <c r="CX233" i="1" s="1"/>
  <c r="CR251" i="1"/>
  <c r="CS251" i="1" s="1"/>
  <c r="CU251" i="1" s="1"/>
  <c r="CX251" i="1" s="1"/>
  <c r="CR51" i="1"/>
  <c r="CS51" i="1" s="1"/>
  <c r="CU51" i="1" s="1"/>
  <c r="CR40" i="1"/>
  <c r="CS40" i="1" s="1"/>
  <c r="CU40" i="1" s="1"/>
  <c r="CX40" i="1" s="1"/>
  <c r="CR154" i="1"/>
  <c r="CS154" i="1" s="1"/>
  <c r="CU154" i="1" s="1"/>
  <c r="CX154" i="1" s="1"/>
  <c r="CR277" i="1"/>
  <c r="CS277" i="1" s="1"/>
  <c r="CU277" i="1" s="1"/>
  <c r="CX277" i="1" s="1"/>
  <c r="CR191" i="1"/>
  <c r="CS191" i="1" s="1"/>
  <c r="CU191" i="1" s="1"/>
  <c r="CX191" i="1" s="1"/>
  <c r="CR102" i="1"/>
  <c r="CS102" i="1" s="1"/>
  <c r="CU102" i="1" s="1"/>
  <c r="CX102" i="1" s="1"/>
  <c r="CR156" i="1"/>
  <c r="CS156" i="1" s="1"/>
  <c r="CU156" i="1" s="1"/>
  <c r="CX156" i="1" s="1"/>
  <c r="CR82" i="1"/>
  <c r="CS82" i="1" s="1"/>
  <c r="CU82" i="1" s="1"/>
  <c r="CX82" i="1" s="1"/>
  <c r="CI26" i="1"/>
  <c r="CJ26" i="1" s="1"/>
  <c r="CI218" i="1"/>
  <c r="CJ218" i="1" s="1"/>
  <c r="CV128" i="1"/>
  <c r="CY128" i="1" s="1"/>
  <c r="CV51" i="1"/>
  <c r="CY51" i="1" s="1"/>
  <c r="CV316" i="1"/>
  <c r="CY316" i="1" s="1"/>
  <c r="CV96" i="1"/>
  <c r="CY96" i="1" s="1"/>
  <c r="CI157" i="1"/>
  <c r="CK157" i="1" s="1"/>
  <c r="CI24" i="1"/>
  <c r="CJ24" i="1" s="1"/>
  <c r="CI223" i="1"/>
  <c r="CJ223" i="1" s="1"/>
  <c r="CI251" i="1"/>
  <c r="CJ251" i="1" s="1"/>
  <c r="CI198" i="1"/>
  <c r="CJ198" i="1" s="1"/>
  <c r="CR148" i="1"/>
  <c r="CS148" i="1" s="1"/>
  <c r="CU148" i="1" s="1"/>
  <c r="CX148" i="1" s="1"/>
  <c r="CR106" i="1"/>
  <c r="CS106" i="1" s="1"/>
  <c r="CU106" i="1" s="1"/>
  <c r="CX106" i="1" s="1"/>
  <c r="CR183" i="1"/>
  <c r="CS183" i="1" s="1"/>
  <c r="CU183" i="1" s="1"/>
  <c r="CX183" i="1" s="1"/>
  <c r="CR218" i="1"/>
  <c r="CS218" i="1" s="1"/>
  <c r="CU218" i="1" s="1"/>
  <c r="CR121" i="1"/>
  <c r="CS121" i="1" s="1"/>
  <c r="CU121" i="1" s="1"/>
  <c r="CX121" i="1" s="1"/>
  <c r="CR142" i="1"/>
  <c r="CS142" i="1" s="1"/>
  <c r="CU142" i="1" s="1"/>
  <c r="CX142" i="1" s="1"/>
  <c r="CR214" i="1"/>
  <c r="CS214" i="1" s="1"/>
  <c r="CU214" i="1" s="1"/>
  <c r="CX214" i="1" s="1"/>
  <c r="CR178" i="1"/>
  <c r="CS178" i="1" s="1"/>
  <c r="CU178" i="1" s="1"/>
  <c r="CR108" i="1"/>
  <c r="CS108" i="1" s="1"/>
  <c r="CU108" i="1" s="1"/>
  <c r="CX108" i="1" s="1"/>
  <c r="CR70" i="1"/>
  <c r="CS70" i="1" s="1"/>
  <c r="CU70" i="1" s="1"/>
  <c r="CX70" i="1" s="1"/>
  <c r="CV249" i="1"/>
  <c r="CY249" i="1" s="1"/>
  <c r="CV302" i="1"/>
  <c r="CY302" i="1" s="1"/>
  <c r="CV110" i="1"/>
  <c r="CY110" i="1" s="1"/>
  <c r="CR243" i="1"/>
  <c r="CS243" i="1" s="1"/>
  <c r="CU243" i="1" s="1"/>
  <c r="CX243" i="1" s="1"/>
  <c r="CI103" i="1"/>
  <c r="CK103" i="1" s="1"/>
  <c r="CI48" i="1"/>
  <c r="CJ48" i="1" s="1"/>
  <c r="CI263" i="1"/>
  <c r="CK263" i="1" s="1"/>
  <c r="CI196" i="1"/>
  <c r="CJ196" i="1" s="1"/>
  <c r="CI87" i="1"/>
  <c r="CJ87" i="1" s="1"/>
  <c r="CR206" i="1"/>
  <c r="CS206" i="1" s="1"/>
  <c r="CU206" i="1" s="1"/>
  <c r="CR213" i="1"/>
  <c r="CS213" i="1" s="1"/>
  <c r="CU213" i="1" s="1"/>
  <c r="CX213" i="1" s="1"/>
  <c r="CR65" i="1"/>
  <c r="CS65" i="1" s="1"/>
  <c r="CU65" i="1" s="1"/>
  <c r="CX65" i="1" s="1"/>
  <c r="CV65" i="1"/>
  <c r="CY65" i="1" s="1"/>
  <c r="CV251" i="1"/>
  <c r="CY251" i="1" s="1"/>
  <c r="CR269" i="1"/>
  <c r="CS269" i="1" s="1"/>
  <c r="CU269" i="1" s="1"/>
  <c r="CX269" i="1" s="1"/>
  <c r="CI257" i="1"/>
  <c r="CJ257" i="1" s="1"/>
  <c r="CR172" i="1"/>
  <c r="CS172" i="1" s="1"/>
  <c r="CU172" i="1" s="1"/>
  <c r="CX172" i="1" s="1"/>
  <c r="CR150" i="1"/>
  <c r="CS150" i="1" s="1"/>
  <c r="CU150" i="1" s="1"/>
  <c r="CX150" i="1" s="1"/>
  <c r="CV118" i="1"/>
  <c r="CY118" i="1" s="1"/>
  <c r="CR100" i="1"/>
  <c r="CS100" i="1" s="1"/>
  <c r="CU100" i="1" s="1"/>
  <c r="CX100" i="1" s="1"/>
  <c r="CV317" i="1"/>
  <c r="CY317" i="1" s="1"/>
  <c r="CI195" i="1"/>
  <c r="CJ195" i="1" s="1"/>
  <c r="CR237" i="1"/>
  <c r="CS237" i="1" s="1"/>
  <c r="CU237" i="1" s="1"/>
  <c r="CX237" i="1" s="1"/>
  <c r="CR112" i="1"/>
  <c r="CS112" i="1" s="1"/>
  <c r="CU112" i="1" s="1"/>
  <c r="CX112" i="1" s="1"/>
  <c r="CR242" i="1"/>
  <c r="CS242" i="1" s="1"/>
  <c r="CU242" i="1" s="1"/>
  <c r="CX242" i="1" s="1"/>
  <c r="CR169" i="1"/>
  <c r="CS169" i="1" s="1"/>
  <c r="CU169" i="1" s="1"/>
  <c r="CX169" i="1" s="1"/>
  <c r="CV181" i="1"/>
  <c r="CY181" i="1" s="1"/>
  <c r="CV178" i="1"/>
  <c r="CY178" i="1" s="1"/>
  <c r="CV182" i="1"/>
  <c r="CY182" i="1" s="1"/>
  <c r="CV183" i="1"/>
  <c r="CY183" i="1" s="1"/>
  <c r="CV142" i="1"/>
  <c r="CY142" i="1" s="1"/>
  <c r="CR107" i="1"/>
  <c r="CS107" i="1" s="1"/>
  <c r="CU107" i="1" s="1"/>
  <c r="CX107" i="1" s="1"/>
  <c r="CR96" i="1"/>
  <c r="CS96" i="1" s="1"/>
  <c r="CU96" i="1" s="1"/>
  <c r="CW96" i="1" s="1"/>
  <c r="CZ96" i="1" s="1"/>
  <c r="CR310" i="1"/>
  <c r="CS310" i="1" s="1"/>
  <c r="CU310" i="1" s="1"/>
  <c r="CX310" i="1" s="1"/>
  <c r="CR212" i="1"/>
  <c r="CS212" i="1" s="1"/>
  <c r="CU212" i="1" s="1"/>
  <c r="CX212" i="1" s="1"/>
  <c r="CR46" i="1"/>
  <c r="CS46" i="1" s="1"/>
  <c r="CU46" i="1" s="1"/>
  <c r="CR66" i="1"/>
  <c r="CS66" i="1" s="1"/>
  <c r="CU66" i="1" s="1"/>
  <c r="CX66" i="1" s="1"/>
  <c r="CV247" i="1"/>
  <c r="CY247" i="1" s="1"/>
  <c r="CV174" i="1"/>
  <c r="CY174" i="1" s="1"/>
  <c r="CV171" i="1"/>
  <c r="CY171" i="1" s="1"/>
  <c r="CV198" i="1"/>
  <c r="CY198" i="1" s="1"/>
  <c r="CI229" i="1"/>
  <c r="CJ229" i="1" s="1"/>
  <c r="CV223" i="1"/>
  <c r="CY223" i="1" s="1"/>
  <c r="CI256" i="1"/>
  <c r="CJ256" i="1" s="1"/>
  <c r="CI258" i="1"/>
  <c r="CK258" i="1" s="1"/>
  <c r="CI254" i="1"/>
  <c r="CJ254" i="1" s="1"/>
  <c r="CR134" i="1"/>
  <c r="CS134" i="1" s="1"/>
  <c r="CU134" i="1" s="1"/>
  <c r="CX134" i="1" s="1"/>
  <c r="CV265" i="1"/>
  <c r="CY265" i="1" s="1"/>
  <c r="CV193" i="1"/>
  <c r="CY193" i="1" s="1"/>
  <c r="CV177" i="1"/>
  <c r="CY177" i="1" s="1"/>
  <c r="CV241" i="1"/>
  <c r="CY241" i="1" s="1"/>
  <c r="CV269" i="1"/>
  <c r="CY269" i="1" s="1"/>
  <c r="CI299" i="1"/>
  <c r="CJ299" i="1" s="1"/>
  <c r="CR110" i="1"/>
  <c r="CS110" i="1" s="1"/>
  <c r="CU110" i="1" s="1"/>
  <c r="CX110" i="1" s="1"/>
  <c r="CI276" i="1"/>
  <c r="CJ276" i="1" s="1"/>
  <c r="CR286" i="1"/>
  <c r="CS286" i="1" s="1"/>
  <c r="CU286" i="1" s="1"/>
  <c r="CX286" i="1" s="1"/>
  <c r="CR297" i="1"/>
  <c r="CS297" i="1" s="1"/>
  <c r="CU297" i="1" s="1"/>
  <c r="CI85" i="1"/>
  <c r="CK85" i="1" s="1"/>
  <c r="CR288" i="1"/>
  <c r="CS288" i="1" s="1"/>
  <c r="CU288" i="1" s="1"/>
  <c r="CX288" i="1" s="1"/>
  <c r="CI78" i="1"/>
  <c r="CJ78" i="1" s="1"/>
  <c r="CI317" i="1"/>
  <c r="CJ317" i="1" s="1"/>
  <c r="CI182" i="1"/>
  <c r="CJ182" i="1" s="1"/>
  <c r="CR151" i="1"/>
  <c r="CS151" i="1" s="1"/>
  <c r="CU151" i="1" s="1"/>
  <c r="CR3" i="1"/>
  <c r="CS3" i="1" s="1"/>
  <c r="CU3" i="1" s="1"/>
  <c r="CX3" i="1" s="1"/>
  <c r="CR252" i="1"/>
  <c r="CS252" i="1" s="1"/>
  <c r="CU252" i="1" s="1"/>
  <c r="CX252" i="1" s="1"/>
  <c r="CI66" i="1"/>
  <c r="CK66" i="1" s="1"/>
  <c r="CR245" i="1"/>
  <c r="CS245" i="1" s="1"/>
  <c r="CU245" i="1" s="1"/>
  <c r="CI14" i="1"/>
  <c r="CJ14" i="1" s="1"/>
  <c r="CI50" i="1"/>
  <c r="CJ50" i="1" s="1"/>
  <c r="CR165" i="1"/>
  <c r="CS165" i="1" s="1"/>
  <c r="CU165" i="1" s="1"/>
  <c r="CX165" i="1" s="1"/>
  <c r="CI213" i="1"/>
  <c r="CK213" i="1" s="1"/>
  <c r="CR76" i="1"/>
  <c r="CS76" i="1" s="1"/>
  <c r="CU76" i="1" s="1"/>
  <c r="CX76" i="1" s="1"/>
  <c r="CR160" i="1"/>
  <c r="CS160" i="1" s="1"/>
  <c r="CU160" i="1" s="1"/>
  <c r="CX160" i="1" s="1"/>
  <c r="CR117" i="1"/>
  <c r="CS117" i="1" s="1"/>
  <c r="CU117" i="1" s="1"/>
  <c r="CX117" i="1" s="1"/>
  <c r="CR17" i="1"/>
  <c r="CS17" i="1" s="1"/>
  <c r="CU17" i="1" s="1"/>
  <c r="CR241" i="1"/>
  <c r="CS241" i="1" s="1"/>
  <c r="CU241" i="1" s="1"/>
  <c r="CI51" i="1"/>
  <c r="CK51" i="1" s="1"/>
  <c r="CI135" i="1"/>
  <c r="CJ135" i="1" s="1"/>
  <c r="CI181" i="1"/>
  <c r="CJ181" i="1" s="1"/>
  <c r="CR19" i="1"/>
  <c r="CS19" i="1" s="1"/>
  <c r="CU19" i="1" s="1"/>
  <c r="CX19" i="1" s="1"/>
  <c r="CI164" i="1"/>
  <c r="CJ164" i="1" s="1"/>
  <c r="CR42" i="1"/>
  <c r="CS42" i="1" s="1"/>
  <c r="CU42" i="1" s="1"/>
  <c r="CX42" i="1" s="1"/>
  <c r="CR88" i="1"/>
  <c r="CS88" i="1" s="1"/>
  <c r="CU88" i="1" s="1"/>
  <c r="CR25" i="1"/>
  <c r="CS25" i="1" s="1"/>
  <c r="CU25" i="1" s="1"/>
  <c r="CR175" i="1"/>
  <c r="CS175" i="1" s="1"/>
  <c r="CU175" i="1" s="1"/>
  <c r="CX175" i="1" s="1"/>
  <c r="CR304" i="1"/>
  <c r="CS304" i="1" s="1"/>
  <c r="CU304" i="1" s="1"/>
  <c r="CX304" i="1" s="1"/>
  <c r="CR53" i="1"/>
  <c r="CS53" i="1" s="1"/>
  <c r="CU53" i="1" s="1"/>
  <c r="CX53" i="1" s="1"/>
  <c r="CR86" i="1"/>
  <c r="CS86" i="1" s="1"/>
  <c r="CU86" i="1" s="1"/>
  <c r="CX86" i="1" s="1"/>
  <c r="CR10" i="1"/>
  <c r="CS10" i="1" s="1"/>
  <c r="CU10" i="1" s="1"/>
  <c r="CX10" i="1" s="1"/>
  <c r="CI62" i="1"/>
  <c r="CJ62" i="1" s="1"/>
  <c r="CR287" i="1"/>
  <c r="CS287" i="1" s="1"/>
  <c r="CU287" i="1" s="1"/>
  <c r="CX287" i="1" s="1"/>
  <c r="CR155" i="1"/>
  <c r="CS155" i="1" s="1"/>
  <c r="CU155" i="1" s="1"/>
  <c r="CX155" i="1" s="1"/>
  <c r="CR159" i="1"/>
  <c r="CS159" i="1" s="1"/>
  <c r="CU159" i="1" s="1"/>
  <c r="CX159" i="1" s="1"/>
  <c r="CR62" i="1"/>
  <c r="CS62" i="1" s="1"/>
  <c r="CU62" i="1" s="1"/>
  <c r="CX62" i="1" s="1"/>
  <c r="CR197" i="1"/>
  <c r="CS197" i="1" s="1"/>
  <c r="CU197" i="1" s="1"/>
  <c r="CX197" i="1" s="1"/>
  <c r="CR216" i="1"/>
  <c r="CS216" i="1" s="1"/>
  <c r="CU216" i="1" s="1"/>
  <c r="CR91" i="1"/>
  <c r="CS91" i="1" s="1"/>
  <c r="CU91" i="1" s="1"/>
  <c r="CX91" i="1" s="1"/>
  <c r="CR47" i="1"/>
  <c r="CS47" i="1" s="1"/>
  <c r="CU47" i="1" s="1"/>
  <c r="CX47" i="1" s="1"/>
  <c r="CR273" i="1"/>
  <c r="CS273" i="1" s="1"/>
  <c r="CU273" i="1" s="1"/>
  <c r="CX273" i="1" s="1"/>
  <c r="CI174" i="1"/>
  <c r="CJ174" i="1" s="1"/>
  <c r="CR272" i="1"/>
  <c r="CS272" i="1" s="1"/>
  <c r="CU272" i="1" s="1"/>
  <c r="CR220" i="1"/>
  <c r="CS220" i="1" s="1"/>
  <c r="CU220" i="1" s="1"/>
  <c r="CX220" i="1" s="1"/>
  <c r="CR101" i="1"/>
  <c r="CS101" i="1" s="1"/>
  <c r="CU101" i="1" s="1"/>
  <c r="CX101" i="1" s="1"/>
  <c r="CR69" i="1"/>
  <c r="CS69" i="1" s="1"/>
  <c r="CU69" i="1" s="1"/>
  <c r="CX69" i="1" s="1"/>
  <c r="CR164" i="1"/>
  <c r="CS164" i="1" s="1"/>
  <c r="CU164" i="1" s="1"/>
  <c r="CX164" i="1" s="1"/>
  <c r="CR235" i="1"/>
  <c r="CS235" i="1" s="1"/>
  <c r="CU235" i="1" s="1"/>
  <c r="CW235" i="1" s="1"/>
  <c r="CZ235" i="1" s="1"/>
  <c r="CR257" i="1"/>
  <c r="CS257" i="1" s="1"/>
  <c r="CU257" i="1" s="1"/>
  <c r="CX257" i="1" s="1"/>
  <c r="CR301" i="1"/>
  <c r="CS301" i="1" s="1"/>
  <c r="CU301" i="1" s="1"/>
  <c r="CW301" i="1" s="1"/>
  <c r="CZ301" i="1" s="1"/>
  <c r="CR200" i="1"/>
  <c r="CS200" i="1" s="1"/>
  <c r="CU200" i="1" s="1"/>
  <c r="CX200" i="1" s="1"/>
  <c r="CR240" i="1"/>
  <c r="CS240" i="1" s="1"/>
  <c r="CU240" i="1" s="1"/>
  <c r="CX240" i="1" s="1"/>
  <c r="CR55" i="1"/>
  <c r="CS55" i="1" s="1"/>
  <c r="CU55" i="1" s="1"/>
  <c r="CX55" i="1" s="1"/>
  <c r="CR116" i="1"/>
  <c r="CS116" i="1" s="1"/>
  <c r="CU116" i="1" s="1"/>
  <c r="CX116" i="1" s="1"/>
  <c r="CR317" i="1"/>
  <c r="CS317" i="1" s="1"/>
  <c r="CU317" i="1" s="1"/>
  <c r="CR125" i="1"/>
  <c r="CS125" i="1" s="1"/>
  <c r="CU125" i="1" s="1"/>
  <c r="CX125" i="1" s="1"/>
  <c r="CR113" i="1"/>
  <c r="CS113" i="1" s="1"/>
  <c r="CU113" i="1" s="1"/>
  <c r="CX113" i="1" s="1"/>
  <c r="CR256" i="1"/>
  <c r="CS256" i="1" s="1"/>
  <c r="CU256" i="1" s="1"/>
  <c r="CX256" i="1" s="1"/>
  <c r="CR307" i="1"/>
  <c r="CS307" i="1" s="1"/>
  <c r="CU307" i="1" s="1"/>
  <c r="CX307" i="1" s="1"/>
  <c r="CR186" i="1"/>
  <c r="CS186" i="1" s="1"/>
  <c r="CU186" i="1" s="1"/>
  <c r="CX186" i="1" s="1"/>
  <c r="CR281" i="1"/>
  <c r="CS281" i="1" s="1"/>
  <c r="CU281" i="1" s="1"/>
  <c r="CX281" i="1" s="1"/>
  <c r="CR4" i="1"/>
  <c r="CS4" i="1" s="1"/>
  <c r="CU4" i="1" s="1"/>
  <c r="CX4" i="1" s="1"/>
  <c r="CI129" i="1"/>
  <c r="CJ129" i="1" s="1"/>
  <c r="CR181" i="1"/>
  <c r="CS181" i="1" s="1"/>
  <c r="CU181" i="1" s="1"/>
  <c r="CR222" i="1"/>
  <c r="CS222" i="1" s="1"/>
  <c r="CU222" i="1" s="1"/>
  <c r="CX222" i="1" s="1"/>
  <c r="CR36" i="1"/>
  <c r="CS36" i="1" s="1"/>
  <c r="CU36" i="1" s="1"/>
  <c r="CX36" i="1" s="1"/>
  <c r="CR217" i="1"/>
  <c r="CS217" i="1" s="1"/>
  <c r="CU217" i="1" s="1"/>
  <c r="CX217" i="1" s="1"/>
  <c r="CR6" i="1"/>
  <c r="CS6" i="1" s="1"/>
  <c r="CU6" i="1" s="1"/>
  <c r="CX6" i="1" s="1"/>
  <c r="CR13" i="1"/>
  <c r="CS13" i="1" s="1"/>
  <c r="CU13" i="1" s="1"/>
  <c r="CX13" i="1" s="1"/>
  <c r="CR64" i="1"/>
  <c r="CS64" i="1" s="1"/>
  <c r="CU64" i="1" s="1"/>
  <c r="CV126" i="1"/>
  <c r="CY126" i="1" s="1"/>
  <c r="CR126" i="1"/>
  <c r="CS126" i="1" s="1"/>
  <c r="CU126" i="1" s="1"/>
  <c r="CR293" i="1"/>
  <c r="CS293" i="1" s="1"/>
  <c r="CU293" i="1" s="1"/>
  <c r="CX293" i="1" s="1"/>
  <c r="CR265" i="1"/>
  <c r="CS265" i="1" s="1"/>
  <c r="CU265" i="1" s="1"/>
  <c r="CR182" i="1"/>
  <c r="CS182" i="1" s="1"/>
  <c r="CU182" i="1" s="1"/>
  <c r="CR81" i="1"/>
  <c r="CS81" i="1" s="1"/>
  <c r="CU81" i="1" s="1"/>
  <c r="CX81" i="1" s="1"/>
  <c r="CR52" i="1"/>
  <c r="CS52" i="1" s="1"/>
  <c r="CU52" i="1" s="1"/>
  <c r="CX52" i="1" s="1"/>
  <c r="CR264" i="1"/>
  <c r="CS264" i="1" s="1"/>
  <c r="CU264" i="1" s="1"/>
  <c r="CX264" i="1" s="1"/>
  <c r="CR308" i="1"/>
  <c r="CS308" i="1" s="1"/>
  <c r="CU308" i="1" s="1"/>
  <c r="CX308" i="1" s="1"/>
  <c r="CR144" i="1"/>
  <c r="CS144" i="1" s="1"/>
  <c r="CU144" i="1" s="1"/>
  <c r="CX144" i="1" s="1"/>
  <c r="CR97" i="1"/>
  <c r="CS97" i="1" s="1"/>
  <c r="CU97" i="1" s="1"/>
  <c r="CX97" i="1" s="1"/>
  <c r="CR18" i="1"/>
  <c r="CS18" i="1" s="1"/>
  <c r="CU18" i="1" s="1"/>
  <c r="CR274" i="1"/>
  <c r="CS274" i="1" s="1"/>
  <c r="CU274" i="1" s="1"/>
  <c r="CX274" i="1" s="1"/>
  <c r="CI279" i="1"/>
  <c r="CJ279" i="1" s="1"/>
  <c r="CV192" i="1"/>
  <c r="CY192" i="1" s="1"/>
  <c r="CV281" i="1"/>
  <c r="CY281" i="1" s="1"/>
  <c r="CV123" i="1"/>
  <c r="CY123" i="1" s="1"/>
  <c r="CV204" i="1"/>
  <c r="CY204" i="1" s="1"/>
  <c r="CV257" i="1"/>
  <c r="CY257" i="1" s="1"/>
  <c r="CV95" i="1"/>
  <c r="CY95" i="1" s="1"/>
  <c r="CV85" i="1"/>
  <c r="CY85" i="1" s="1"/>
  <c r="CR131" i="1"/>
  <c r="CS131" i="1" s="1"/>
  <c r="CU131" i="1" s="1"/>
  <c r="CX131" i="1" s="1"/>
  <c r="CR124" i="1"/>
  <c r="CS124" i="1" s="1"/>
  <c r="CU124" i="1" s="1"/>
  <c r="CX124" i="1" s="1"/>
  <c r="CR275" i="1"/>
  <c r="CS275" i="1" s="1"/>
  <c r="CU275" i="1" s="1"/>
  <c r="CX275" i="1" s="1"/>
  <c r="CR294" i="1"/>
  <c r="CS294" i="1" s="1"/>
  <c r="CU294" i="1" s="1"/>
  <c r="CX294" i="1" s="1"/>
  <c r="CR253" i="1"/>
  <c r="CS253" i="1" s="1"/>
  <c r="CU253" i="1" s="1"/>
  <c r="CX253" i="1" s="1"/>
  <c r="CR198" i="1"/>
  <c r="CS198" i="1" s="1"/>
  <c r="CU198" i="1" s="1"/>
  <c r="CR230" i="1"/>
  <c r="CS230" i="1" s="1"/>
  <c r="CU230" i="1" s="1"/>
  <c r="CX230" i="1" s="1"/>
  <c r="CV294" i="1"/>
  <c r="CY294" i="1" s="1"/>
  <c r="CV134" i="1"/>
  <c r="CY134" i="1" s="1"/>
  <c r="CR63" i="1"/>
  <c r="CS63" i="1" s="1"/>
  <c r="CU63" i="1" s="1"/>
  <c r="CX63" i="1" s="1"/>
  <c r="CV229" i="1"/>
  <c r="CY229" i="1" s="1"/>
  <c r="CV270" i="1"/>
  <c r="CY270" i="1" s="1"/>
  <c r="CR306" i="1"/>
  <c r="CS306" i="1" s="1"/>
  <c r="CU306" i="1" s="1"/>
  <c r="CR120" i="1"/>
  <c r="CS120" i="1" s="1"/>
  <c r="CU120" i="1" s="1"/>
  <c r="CX120" i="1" s="1"/>
  <c r="CR139" i="1"/>
  <c r="CS139" i="1" s="1"/>
  <c r="CU139" i="1" s="1"/>
  <c r="CR312" i="1"/>
  <c r="CS312" i="1" s="1"/>
  <c r="CU312" i="1" s="1"/>
  <c r="CR49" i="1"/>
  <c r="CS49" i="1" s="1"/>
  <c r="CU49" i="1" s="1"/>
  <c r="CR162" i="1"/>
  <c r="CS162" i="1" s="1"/>
  <c r="CU162" i="1" s="1"/>
  <c r="CX162" i="1" s="1"/>
  <c r="CV102" i="1"/>
  <c r="CY102" i="1" s="1"/>
  <c r="CV63" i="1"/>
  <c r="CY63" i="1" s="1"/>
  <c r="CV101" i="1"/>
  <c r="CY101" i="1" s="1"/>
  <c r="CV244" i="1"/>
  <c r="CY244" i="1" s="1"/>
  <c r="CR136" i="1"/>
  <c r="CS136" i="1" s="1"/>
  <c r="CU136" i="1" s="1"/>
  <c r="CR215" i="1"/>
  <c r="CS215" i="1" s="1"/>
  <c r="CU215" i="1" s="1"/>
  <c r="CX215" i="1" s="1"/>
  <c r="CR259" i="1"/>
  <c r="CS259" i="1" s="1"/>
  <c r="CU259" i="1" s="1"/>
  <c r="CX259" i="1" s="1"/>
  <c r="CR228" i="1"/>
  <c r="CS228" i="1" s="1"/>
  <c r="CU228" i="1" s="1"/>
  <c r="CX228" i="1" s="1"/>
  <c r="CR279" i="1"/>
  <c r="CS279" i="1" s="1"/>
  <c r="CU279" i="1" s="1"/>
  <c r="CR68" i="1"/>
  <c r="CS68" i="1" s="1"/>
  <c r="CU68" i="1" s="1"/>
  <c r="CR129" i="1"/>
  <c r="CS129" i="1" s="1"/>
  <c r="CU129" i="1" s="1"/>
  <c r="CX129" i="1" s="1"/>
  <c r="CR204" i="1"/>
  <c r="CS204" i="1" s="1"/>
  <c r="CU204" i="1" s="1"/>
  <c r="CX204" i="1" s="1"/>
  <c r="CR103" i="1"/>
  <c r="CS103" i="1" s="1"/>
  <c r="CU103" i="1" s="1"/>
  <c r="CX103" i="1" s="1"/>
  <c r="CR54" i="1"/>
  <c r="CS54" i="1" s="1"/>
  <c r="CR319" i="1"/>
  <c r="CS319" i="1" s="1"/>
  <c r="CU319" i="1" s="1"/>
  <c r="CX319" i="1" s="1"/>
  <c r="CR43" i="1"/>
  <c r="CS43" i="1" s="1"/>
  <c r="CU43" i="1" s="1"/>
  <c r="CV49" i="1"/>
  <c r="CY49" i="1" s="1"/>
  <c r="CV82" i="1"/>
  <c r="CY82" i="1" s="1"/>
  <c r="CV165" i="1"/>
  <c r="CY165" i="1" s="1"/>
  <c r="CV253" i="1"/>
  <c r="CY253" i="1" s="1"/>
  <c r="CR29" i="1"/>
  <c r="CS29" i="1" s="1"/>
  <c r="CU29" i="1" s="1"/>
  <c r="CX29" i="1" s="1"/>
  <c r="CV305" i="1"/>
  <c r="CY305" i="1" s="1"/>
  <c r="CV272" i="1"/>
  <c r="CY272" i="1" s="1"/>
  <c r="CR58" i="1"/>
  <c r="CS58" i="1" s="1"/>
  <c r="CU58" i="1" s="1"/>
  <c r="CX58" i="1" s="1"/>
  <c r="CR280" i="1"/>
  <c r="CS280" i="1" s="1"/>
  <c r="CR208" i="1"/>
  <c r="CS208" i="1" s="1"/>
  <c r="CU208" i="1" s="1"/>
  <c r="CX208" i="1" s="1"/>
  <c r="CV311" i="1"/>
  <c r="CY311" i="1" s="1"/>
  <c r="CR7" i="1"/>
  <c r="CS7" i="1" s="1"/>
  <c r="CU7" i="1" s="1"/>
  <c r="CX7" i="1" s="1"/>
  <c r="CR32" i="1"/>
  <c r="CS32" i="1" s="1"/>
  <c r="CU32" i="1" s="1"/>
  <c r="CR123" i="1"/>
  <c r="CS123" i="1" s="1"/>
  <c r="CU123" i="1" s="1"/>
  <c r="CX123" i="1" s="1"/>
  <c r="CR85" i="1"/>
  <c r="CS85" i="1" s="1"/>
  <c r="CU85" i="1" s="1"/>
  <c r="CR23" i="1"/>
  <c r="CS23" i="1" s="1"/>
  <c r="CU23" i="1" s="1"/>
  <c r="CR179" i="1"/>
  <c r="CS179" i="1" s="1"/>
  <c r="CU179" i="1" s="1"/>
  <c r="CX179" i="1" s="1"/>
  <c r="CR145" i="1"/>
  <c r="CS145" i="1" s="1"/>
  <c r="CU145" i="1" s="1"/>
  <c r="CX145" i="1" s="1"/>
  <c r="CV210" i="1"/>
  <c r="CY210" i="1" s="1"/>
  <c r="CV285" i="1"/>
  <c r="CY285" i="1" s="1"/>
  <c r="CV52" i="1"/>
  <c r="CY52" i="1" s="1"/>
  <c r="CV278" i="1"/>
  <c r="CY278" i="1" s="1"/>
  <c r="CV69" i="1"/>
  <c r="CY69" i="1" s="1"/>
  <c r="CV200" i="1"/>
  <c r="CY200" i="1" s="1"/>
  <c r="CV8" i="1"/>
  <c r="CY8" i="1" s="1"/>
  <c r="CV12" i="1"/>
  <c r="CY12" i="1" s="1"/>
  <c r="CV61" i="1"/>
  <c r="CY61" i="1" s="1"/>
  <c r="CI318" i="1"/>
  <c r="CK318" i="1" s="1"/>
  <c r="CI153" i="1"/>
  <c r="CJ153" i="1" s="1"/>
  <c r="CI207" i="1"/>
  <c r="CJ207" i="1" s="1"/>
  <c r="CI215" i="1"/>
  <c r="CJ215" i="1" s="1"/>
  <c r="CI188" i="1"/>
  <c r="CJ188" i="1" s="1"/>
  <c r="CI92" i="1"/>
  <c r="CJ92" i="1" s="1"/>
  <c r="CI111" i="1"/>
  <c r="CJ111" i="1" s="1"/>
  <c r="CI29" i="1"/>
  <c r="CJ29" i="1" s="1"/>
  <c r="CI142" i="1"/>
  <c r="CJ142" i="1" s="1"/>
  <c r="CI168" i="1"/>
  <c r="CJ168" i="1" s="1"/>
  <c r="CI126" i="1"/>
  <c r="CJ126" i="1" s="1"/>
  <c r="CI123" i="1"/>
  <c r="CJ123" i="1" s="1"/>
  <c r="CI116" i="1"/>
  <c r="CJ116" i="1" s="1"/>
  <c r="CR292" i="1"/>
  <c r="CS292" i="1" s="1"/>
  <c r="CU292" i="1" s="1"/>
  <c r="CR248" i="1"/>
  <c r="CS248" i="1" s="1"/>
  <c r="CU248" i="1" s="1"/>
  <c r="CV208" i="1"/>
  <c r="CY208" i="1" s="1"/>
  <c r="CV28" i="1"/>
  <c r="CY28" i="1" s="1"/>
  <c r="CV94" i="1"/>
  <c r="CY94" i="1" s="1"/>
  <c r="CV58" i="1"/>
  <c r="CY58" i="1" s="1"/>
  <c r="CV131" i="1"/>
  <c r="CY131" i="1" s="1"/>
  <c r="CV81" i="1"/>
  <c r="CY81" i="1" s="1"/>
  <c r="CV70" i="1"/>
  <c r="CY70" i="1" s="1"/>
  <c r="CV122" i="1"/>
  <c r="CY122" i="1" s="1"/>
  <c r="CR146" i="1"/>
  <c r="CS146" i="1" s="1"/>
  <c r="CU146" i="1" s="1"/>
  <c r="CX146" i="1" s="1"/>
  <c r="CR133" i="1"/>
  <c r="CS133" i="1" s="1"/>
  <c r="CU133" i="1" s="1"/>
  <c r="CX133" i="1" s="1"/>
  <c r="CR5" i="1"/>
  <c r="CS5" i="1" s="1"/>
  <c r="CU5" i="1" s="1"/>
  <c r="CV24" i="1"/>
  <c r="CY24" i="1" s="1"/>
  <c r="CV162" i="1"/>
  <c r="CY162" i="1" s="1"/>
  <c r="CR99" i="1"/>
  <c r="CS99" i="1" s="1"/>
  <c r="CU99" i="1" s="1"/>
  <c r="CX99" i="1" s="1"/>
  <c r="CI20" i="1"/>
  <c r="CJ20" i="1" s="1"/>
  <c r="CI241" i="1"/>
  <c r="CJ241" i="1" s="1"/>
  <c r="CR94" i="1"/>
  <c r="CS94" i="1" s="1"/>
  <c r="CU94" i="1" s="1"/>
  <c r="CX94" i="1" s="1"/>
  <c r="CR193" i="1"/>
  <c r="CS193" i="1" s="1"/>
  <c r="CU193" i="1" s="1"/>
  <c r="CV2" i="1"/>
  <c r="CY2" i="1" s="1"/>
  <c r="CV106" i="1"/>
  <c r="CY106" i="1" s="1"/>
  <c r="CV318" i="1"/>
  <c r="CY318" i="1" s="1"/>
  <c r="CV129" i="1"/>
  <c r="CY129" i="1" s="1"/>
  <c r="CV42" i="1"/>
  <c r="CY42" i="1" s="1"/>
  <c r="CV5" i="1"/>
  <c r="CY5" i="1" s="1"/>
  <c r="CV225" i="1"/>
  <c r="CY225" i="1" s="1"/>
  <c r="CV133" i="1"/>
  <c r="CY133" i="1" s="1"/>
  <c r="CR2" i="1"/>
  <c r="CS2" i="1" s="1"/>
  <c r="CU2" i="1" s="1"/>
  <c r="CX2" i="1" s="1"/>
  <c r="CV36" i="1"/>
  <c r="CY36" i="1" s="1"/>
  <c r="CV213" i="1"/>
  <c r="CY213" i="1" s="1"/>
  <c r="CV73" i="1"/>
  <c r="CY73" i="1" s="1"/>
  <c r="CI177" i="1"/>
  <c r="CJ177" i="1" s="1"/>
  <c r="CI43" i="1"/>
  <c r="CJ43" i="1" s="1"/>
  <c r="CI183" i="1"/>
  <c r="CJ183" i="1" s="1"/>
  <c r="CI190" i="1"/>
  <c r="CJ190" i="1" s="1"/>
  <c r="CI10" i="1"/>
  <c r="CJ10" i="1" s="1"/>
  <c r="CI231" i="1"/>
  <c r="CJ231" i="1" s="1"/>
  <c r="CI30" i="1"/>
  <c r="CJ30" i="1" s="1"/>
  <c r="CR24" i="1"/>
  <c r="CS24" i="1" s="1"/>
  <c r="CU24" i="1" s="1"/>
  <c r="CR44" i="1"/>
  <c r="CS44" i="1" s="1"/>
  <c r="CU44" i="1" s="1"/>
  <c r="CR266" i="1"/>
  <c r="CS266" i="1" s="1"/>
  <c r="CU266" i="1" s="1"/>
  <c r="CX266" i="1" s="1"/>
  <c r="CR176" i="1"/>
  <c r="CS176" i="1" s="1"/>
  <c r="CU176" i="1" s="1"/>
  <c r="CR27" i="1"/>
  <c r="CS27" i="1" s="1"/>
  <c r="CU27" i="1" s="1"/>
  <c r="CR140" i="1"/>
  <c r="CS140" i="1" s="1"/>
  <c r="CU140" i="1" s="1"/>
  <c r="CX140" i="1" s="1"/>
  <c r="CR234" i="1"/>
  <c r="CS234" i="1" s="1"/>
  <c r="CU234" i="1" s="1"/>
  <c r="CX234" i="1" s="1"/>
  <c r="CR98" i="1"/>
  <c r="CS98" i="1" s="1"/>
  <c r="CU98" i="1" s="1"/>
  <c r="CX98" i="1" s="1"/>
  <c r="CR141" i="1"/>
  <c r="CS141" i="1" s="1"/>
  <c r="CU141" i="1" s="1"/>
  <c r="CX141" i="1" s="1"/>
  <c r="CR225" i="1"/>
  <c r="CS225" i="1" s="1"/>
  <c r="CU225" i="1" s="1"/>
  <c r="CX225" i="1" s="1"/>
  <c r="CR254" i="1"/>
  <c r="CS254" i="1" s="1"/>
  <c r="CU254" i="1" s="1"/>
  <c r="CR318" i="1"/>
  <c r="CS318" i="1" s="1"/>
  <c r="CU318" i="1" s="1"/>
  <c r="CR271" i="1"/>
  <c r="CS271" i="1" s="1"/>
  <c r="CU271" i="1" s="1"/>
  <c r="CX271" i="1" s="1"/>
  <c r="CR187" i="1"/>
  <c r="CS187" i="1" s="1"/>
  <c r="CU187" i="1" s="1"/>
  <c r="CX187" i="1" s="1"/>
  <c r="CR180" i="1"/>
  <c r="CS180" i="1" s="1"/>
  <c r="CU180" i="1" s="1"/>
  <c r="CX180" i="1" s="1"/>
  <c r="CR276" i="1"/>
  <c r="CS276" i="1" s="1"/>
  <c r="CU276" i="1" s="1"/>
  <c r="CX276" i="1" s="1"/>
  <c r="CR12" i="1"/>
  <c r="CS12" i="1" s="1"/>
  <c r="CU12" i="1" s="1"/>
  <c r="CR189" i="1"/>
  <c r="CS189" i="1" s="1"/>
  <c r="CU189" i="1" s="1"/>
  <c r="CX189" i="1" s="1"/>
  <c r="CR109" i="1"/>
  <c r="CS109" i="1" s="1"/>
  <c r="CU109" i="1" s="1"/>
  <c r="CI3" i="1"/>
  <c r="CJ3" i="1" s="1"/>
  <c r="CR246" i="1"/>
  <c r="CS246" i="1" s="1"/>
  <c r="CU246" i="1" s="1"/>
  <c r="CX246" i="1" s="1"/>
  <c r="CV116" i="1"/>
  <c r="CY116" i="1" s="1"/>
  <c r="CV108" i="1"/>
  <c r="CY108" i="1" s="1"/>
  <c r="CV140" i="1"/>
  <c r="CY140" i="1" s="1"/>
  <c r="CV68" i="1"/>
  <c r="CY68" i="1" s="1"/>
  <c r="CV224" i="1"/>
  <c r="CY224" i="1" s="1"/>
  <c r="CV99" i="1"/>
  <c r="CY99" i="1" s="1"/>
  <c r="CV252" i="1"/>
  <c r="CY252" i="1" s="1"/>
  <c r="CV144" i="1"/>
  <c r="CY144" i="1" s="1"/>
  <c r="CV84" i="1"/>
  <c r="CY84" i="1" s="1"/>
  <c r="CV146" i="1"/>
  <c r="CY146" i="1" s="1"/>
  <c r="CI274" i="1"/>
  <c r="CJ274" i="1" s="1"/>
  <c r="CI115" i="1"/>
  <c r="CJ115" i="1" s="1"/>
  <c r="CI206" i="1"/>
  <c r="CJ206" i="1" s="1"/>
  <c r="CI294" i="1"/>
  <c r="CJ294" i="1" s="1"/>
  <c r="CI169" i="1"/>
  <c r="CJ169" i="1" s="1"/>
  <c r="CI83" i="1"/>
  <c r="CJ83" i="1" s="1"/>
  <c r="CR270" i="1"/>
  <c r="CS270" i="1" s="1"/>
  <c r="CU270" i="1" s="1"/>
  <c r="CR278" i="1"/>
  <c r="CS278" i="1" s="1"/>
  <c r="CU278" i="1" s="1"/>
  <c r="CR39" i="1"/>
  <c r="CS39" i="1" s="1"/>
  <c r="CU39" i="1" s="1"/>
  <c r="CX39" i="1" s="1"/>
  <c r="CR311" i="1"/>
  <c r="CS311" i="1" s="1"/>
  <c r="CU311" i="1" s="1"/>
  <c r="CX311" i="1" s="1"/>
  <c r="CR87" i="1"/>
  <c r="CS87" i="1" s="1"/>
  <c r="CU87" i="1" s="1"/>
  <c r="CX87" i="1" s="1"/>
  <c r="CR105" i="1"/>
  <c r="CS105" i="1" s="1"/>
  <c r="CU105" i="1" s="1"/>
  <c r="CX105" i="1" s="1"/>
  <c r="CI221" i="1"/>
  <c r="CJ221" i="1" s="1"/>
  <c r="CV138" i="1"/>
  <c r="CY138" i="1" s="1"/>
  <c r="CV157" i="1"/>
  <c r="CY157" i="1" s="1"/>
  <c r="CV141" i="1"/>
  <c r="CY141" i="1" s="1"/>
  <c r="CV164" i="1"/>
  <c r="CY164" i="1" s="1"/>
  <c r="CV98" i="1"/>
  <c r="CY98" i="1" s="1"/>
  <c r="CV44" i="1"/>
  <c r="CY44" i="1" s="1"/>
  <c r="CV293" i="1"/>
  <c r="CY293" i="1" s="1"/>
  <c r="CV199" i="1"/>
  <c r="CY199" i="1" s="1"/>
  <c r="CV7" i="1"/>
  <c r="CY7" i="1" s="1"/>
  <c r="CV156" i="1"/>
  <c r="CY156" i="1" s="1"/>
  <c r="CV228" i="1"/>
  <c r="CY228" i="1" s="1"/>
  <c r="CV35" i="1"/>
  <c r="CY35" i="1" s="1"/>
  <c r="CV104" i="1"/>
  <c r="CY104" i="1" s="1"/>
  <c r="CI212" i="1"/>
  <c r="CJ212" i="1" s="1"/>
  <c r="CI139" i="1"/>
  <c r="CK139" i="1" s="1"/>
  <c r="CI107" i="1"/>
  <c r="CJ107" i="1" s="1"/>
  <c r="CR14" i="1"/>
  <c r="CS14" i="1" s="1"/>
  <c r="CU14" i="1" s="1"/>
  <c r="CX14" i="1" s="1"/>
  <c r="CR37" i="1"/>
  <c r="CS37" i="1" s="1"/>
  <c r="CU37" i="1" s="1"/>
  <c r="CX37" i="1" s="1"/>
  <c r="CR74" i="1"/>
  <c r="CS74" i="1" s="1"/>
  <c r="CU74" i="1" s="1"/>
  <c r="CX74" i="1" s="1"/>
  <c r="CI118" i="1"/>
  <c r="CJ118" i="1" s="1"/>
  <c r="CR177" i="1"/>
  <c r="CS177" i="1" s="1"/>
  <c r="CU177" i="1" s="1"/>
  <c r="CI67" i="1"/>
  <c r="CJ67" i="1" s="1"/>
  <c r="CR250" i="1"/>
  <c r="CS250" i="1" s="1"/>
  <c r="CU250" i="1" s="1"/>
  <c r="CI156" i="1"/>
  <c r="CJ156" i="1" s="1"/>
  <c r="CI15" i="1"/>
  <c r="CK15" i="1" s="1"/>
  <c r="CI202" i="1"/>
  <c r="CK202" i="1" s="1"/>
  <c r="CI217" i="1"/>
  <c r="CJ217" i="1" s="1"/>
  <c r="CI242" i="1"/>
  <c r="CJ242" i="1" s="1"/>
  <c r="CI186" i="1"/>
  <c r="CK186" i="1" s="1"/>
  <c r="CI228" i="1"/>
  <c r="CK228" i="1" s="1"/>
  <c r="CI225" i="1"/>
  <c r="CJ225" i="1" s="1"/>
  <c r="CI320" i="1"/>
  <c r="CK320" i="1" s="1"/>
  <c r="CR59" i="1"/>
  <c r="CS59" i="1" s="1"/>
  <c r="CU59" i="1" s="1"/>
  <c r="CX59" i="1" s="1"/>
  <c r="CR67" i="1"/>
  <c r="CS67" i="1" s="1"/>
  <c r="CU67" i="1" s="1"/>
  <c r="CX67" i="1" s="1"/>
  <c r="CR173" i="1"/>
  <c r="CS173" i="1" s="1"/>
  <c r="CU173" i="1" s="1"/>
  <c r="CI152" i="1"/>
  <c r="CJ152" i="1" s="1"/>
  <c r="CI97" i="1"/>
  <c r="CJ97" i="1" s="1"/>
  <c r="CI4" i="1"/>
  <c r="CJ4" i="1" s="1"/>
  <c r="CR128" i="1"/>
  <c r="CS128" i="1" s="1"/>
  <c r="CU128" i="1" s="1"/>
  <c r="CX128" i="1" s="1"/>
  <c r="CI79" i="1"/>
  <c r="CK79" i="1" s="1"/>
  <c r="CI159" i="1"/>
  <c r="CK159" i="1" s="1"/>
  <c r="CI39" i="1"/>
  <c r="CJ39" i="1" s="1"/>
  <c r="CR320" i="1"/>
  <c r="CS320" i="1" s="1"/>
  <c r="CU320" i="1" s="1"/>
  <c r="CR221" i="1"/>
  <c r="CS221" i="1" s="1"/>
  <c r="CU221" i="1" s="1"/>
  <c r="CX221" i="1" s="1"/>
  <c r="CR223" i="1"/>
  <c r="CS223" i="1" s="1"/>
  <c r="CU223" i="1" s="1"/>
  <c r="CR79" i="1"/>
  <c r="CS79" i="1" s="1"/>
  <c r="CU79" i="1" s="1"/>
  <c r="CR192" i="1"/>
  <c r="CS192" i="1" s="1"/>
  <c r="CU192" i="1" s="1"/>
  <c r="CR138" i="1"/>
  <c r="CS138" i="1" s="1"/>
  <c r="CU138" i="1" s="1"/>
  <c r="CR119" i="1"/>
  <c r="CS119" i="1" s="1"/>
  <c r="CU119" i="1" s="1"/>
  <c r="CW119" i="1" s="1"/>
  <c r="CI19" i="1"/>
  <c r="CJ19" i="1" s="1"/>
  <c r="CI260" i="1"/>
  <c r="CJ260" i="1" s="1"/>
  <c r="CI266" i="1"/>
  <c r="CK266" i="1" s="1"/>
  <c r="CI261" i="1"/>
  <c r="CK261" i="1" s="1"/>
  <c r="CR309" i="1"/>
  <c r="CS309" i="1" s="1"/>
  <c r="CU309" i="1" s="1"/>
  <c r="CR78" i="1"/>
  <c r="CS78" i="1" s="1"/>
  <c r="CU78" i="1" s="1"/>
  <c r="CI194" i="1"/>
  <c r="CK194" i="1" s="1"/>
  <c r="CR299" i="1"/>
  <c r="CS299" i="1" s="1"/>
  <c r="CU299" i="1" s="1"/>
  <c r="CX299" i="1" s="1"/>
  <c r="CI248" i="1"/>
  <c r="CK248" i="1" s="1"/>
  <c r="CR130" i="1"/>
  <c r="CS130" i="1" s="1"/>
  <c r="CU130" i="1" s="1"/>
  <c r="CX130" i="1" s="1"/>
  <c r="CR153" i="1"/>
  <c r="CS153" i="1" s="1"/>
  <c r="CU153" i="1" s="1"/>
  <c r="CX153" i="1" s="1"/>
  <c r="CI283" i="1"/>
  <c r="CJ283" i="1" s="1"/>
  <c r="CI102" i="1"/>
  <c r="CJ102" i="1" s="1"/>
  <c r="CR28" i="1"/>
  <c r="CS28" i="1" s="1"/>
  <c r="CU28" i="1" s="1"/>
  <c r="CR127" i="1"/>
  <c r="CS127" i="1" s="1"/>
  <c r="CU127" i="1" s="1"/>
  <c r="CX127" i="1" s="1"/>
  <c r="CR247" i="1"/>
  <c r="CS247" i="1" s="1"/>
  <c r="CU247" i="1" s="1"/>
  <c r="CR249" i="1"/>
  <c r="CS249" i="1" s="1"/>
  <c r="CU249" i="1" s="1"/>
  <c r="CX249" i="1" s="1"/>
  <c r="CR174" i="1"/>
  <c r="CS174" i="1" s="1"/>
  <c r="CU174" i="1" s="1"/>
  <c r="CI155" i="1"/>
  <c r="CJ155" i="1" s="1"/>
  <c r="CV268" i="1"/>
  <c r="CY268" i="1" s="1"/>
  <c r="CV143" i="1"/>
  <c r="CY143" i="1" s="1"/>
  <c r="CR314" i="1"/>
  <c r="CS314" i="1" s="1"/>
  <c r="CU314" i="1" s="1"/>
  <c r="CV132" i="1"/>
  <c r="CY132" i="1" s="1"/>
  <c r="CV114" i="1"/>
  <c r="CY114" i="1" s="1"/>
  <c r="CV127" i="1"/>
  <c r="CY127" i="1" s="1"/>
  <c r="CI147" i="1"/>
  <c r="CK147" i="1" s="1"/>
  <c r="CI52" i="1"/>
  <c r="CJ52" i="1" s="1"/>
  <c r="CI284" i="1"/>
  <c r="CJ284" i="1" s="1"/>
  <c r="CI74" i="1"/>
  <c r="CK74" i="1" s="1"/>
  <c r="CI7" i="1"/>
  <c r="CJ7" i="1" s="1"/>
  <c r="CI272" i="1"/>
  <c r="CK272" i="1" s="1"/>
  <c r="CI289" i="1"/>
  <c r="CJ289" i="1" s="1"/>
  <c r="CR291" i="1"/>
  <c r="CS291" i="1" s="1"/>
  <c r="CU291" i="1" s="1"/>
  <c r="CX291" i="1" s="1"/>
  <c r="CR219" i="1"/>
  <c r="CS219" i="1" s="1"/>
  <c r="CU219" i="1" s="1"/>
  <c r="CX219" i="1" s="1"/>
  <c r="CR115" i="1"/>
  <c r="CS115" i="1" s="1"/>
  <c r="CU115" i="1" s="1"/>
  <c r="CR236" i="1"/>
  <c r="CS236" i="1" s="1"/>
  <c r="CU236" i="1" s="1"/>
  <c r="CR260" i="1"/>
  <c r="CS260" i="1" s="1"/>
  <c r="CU260" i="1" s="1"/>
  <c r="CR152" i="1"/>
  <c r="CS152" i="1" s="1"/>
  <c r="CU152" i="1" s="1"/>
  <c r="CX152" i="1" s="1"/>
  <c r="CR238" i="1"/>
  <c r="CS238" i="1" s="1"/>
  <c r="CU238" i="1" s="1"/>
  <c r="CR315" i="1"/>
  <c r="CS315" i="1" s="1"/>
  <c r="CU315" i="1" s="1"/>
  <c r="CR203" i="1"/>
  <c r="CS203" i="1" s="1"/>
  <c r="CU203" i="1" s="1"/>
  <c r="CR316" i="1"/>
  <c r="CS316" i="1" s="1"/>
  <c r="CU316" i="1" s="1"/>
  <c r="CR207" i="1"/>
  <c r="CS207" i="1" s="1"/>
  <c r="CU207" i="1" s="1"/>
  <c r="CV38" i="1"/>
  <c r="CY38" i="1" s="1"/>
  <c r="CV97" i="1"/>
  <c r="CY97" i="1" s="1"/>
  <c r="CV231" i="1"/>
  <c r="CY231" i="1" s="1"/>
  <c r="CV295" i="1"/>
  <c r="CY295" i="1" s="1"/>
  <c r="CT280" i="1"/>
  <c r="CV280" i="1"/>
  <c r="CY280" i="1" s="1"/>
  <c r="CV10" i="1"/>
  <c r="CY10" i="1" s="1"/>
  <c r="CV113" i="1"/>
  <c r="CY113" i="1" s="1"/>
  <c r="CV11" i="1"/>
  <c r="CY11" i="1" s="1"/>
  <c r="CV226" i="1"/>
  <c r="CY226" i="1" s="1"/>
  <c r="CV160" i="1"/>
  <c r="CY160" i="1" s="1"/>
  <c r="CV17" i="1"/>
  <c r="CY17" i="1" s="1"/>
  <c r="CV115" i="1"/>
  <c r="CY115" i="1" s="1"/>
  <c r="CV150" i="1"/>
  <c r="CY150" i="1" s="1"/>
  <c r="CV155" i="1"/>
  <c r="CY155" i="1" s="1"/>
  <c r="CV303" i="1"/>
  <c r="CY303" i="1" s="1"/>
  <c r="CV55" i="1"/>
  <c r="CY55" i="1" s="1"/>
  <c r="CI193" i="1"/>
  <c r="CJ193" i="1" s="1"/>
  <c r="CR56" i="1"/>
  <c r="CS56" i="1" s="1"/>
  <c r="CU56" i="1" s="1"/>
  <c r="CV137" i="1"/>
  <c r="CY137" i="1" s="1"/>
  <c r="CI77" i="1"/>
  <c r="CJ77" i="1" s="1"/>
  <c r="CI179" i="1"/>
  <c r="CJ179" i="1" s="1"/>
  <c r="CI41" i="1"/>
  <c r="CJ41" i="1" s="1"/>
  <c r="CI154" i="1"/>
  <c r="CJ154" i="1" s="1"/>
  <c r="CI220" i="1"/>
  <c r="CJ220" i="1" s="1"/>
  <c r="CI237" i="1"/>
  <c r="CJ237" i="1" s="1"/>
  <c r="CR71" i="1"/>
  <c r="CS71" i="1" s="1"/>
  <c r="CU71" i="1" s="1"/>
  <c r="CX71" i="1" s="1"/>
  <c r="CR283" i="1"/>
  <c r="CS283" i="1" s="1"/>
  <c r="CU283" i="1" s="1"/>
  <c r="CX283" i="1" s="1"/>
  <c r="CR149" i="1"/>
  <c r="CS149" i="1" s="1"/>
  <c r="CU149" i="1" s="1"/>
  <c r="CX149" i="1" s="1"/>
  <c r="CR284" i="1"/>
  <c r="CS284" i="1" s="1"/>
  <c r="CU284" i="1" s="1"/>
  <c r="CV185" i="1"/>
  <c r="CY185" i="1" s="1"/>
  <c r="CV238" i="1"/>
  <c r="CY238" i="1" s="1"/>
  <c r="CV263" i="1"/>
  <c r="CY263" i="1" s="1"/>
  <c r="CR231" i="1"/>
  <c r="CS231" i="1" s="1"/>
  <c r="CU231" i="1" s="1"/>
  <c r="CR33" i="1"/>
  <c r="CS33" i="1" s="1"/>
  <c r="CU33" i="1" s="1"/>
  <c r="CV34" i="1"/>
  <c r="CY34" i="1" s="1"/>
  <c r="CV147" i="1"/>
  <c r="CY147" i="1" s="1"/>
  <c r="CR285" i="1"/>
  <c r="CS285" i="1" s="1"/>
  <c r="CU285" i="1" s="1"/>
  <c r="CV48" i="1"/>
  <c r="CY48" i="1" s="1"/>
  <c r="CV149" i="1"/>
  <c r="CY149" i="1" s="1"/>
  <c r="CV233" i="1"/>
  <c r="CY233" i="1" s="1"/>
  <c r="CV175" i="1"/>
  <c r="CY175" i="1" s="1"/>
  <c r="CV255" i="1"/>
  <c r="CY255" i="1" s="1"/>
  <c r="CV158" i="1"/>
  <c r="CY158" i="1" s="1"/>
  <c r="CR137" i="1"/>
  <c r="CS137" i="1" s="1"/>
  <c r="CU137" i="1" s="1"/>
  <c r="CV152" i="1"/>
  <c r="CY152" i="1" s="1"/>
  <c r="CI278" i="1"/>
  <c r="CJ278" i="1" s="1"/>
  <c r="CI205" i="1"/>
  <c r="CJ205" i="1" s="1"/>
  <c r="CI32" i="1"/>
  <c r="CK32" i="1" s="1"/>
  <c r="CI290" i="1"/>
  <c r="CJ290" i="1" s="1"/>
  <c r="CI171" i="1"/>
  <c r="CJ171" i="1" s="1"/>
  <c r="CI37" i="1"/>
  <c r="CJ37" i="1" s="1"/>
  <c r="CI59" i="1"/>
  <c r="CK59" i="1" s="1"/>
  <c r="CI76" i="1"/>
  <c r="CJ76" i="1" s="1"/>
  <c r="CI88" i="1"/>
  <c r="CJ88" i="1" s="1"/>
  <c r="CI302" i="1"/>
  <c r="CJ302" i="1" s="1"/>
  <c r="CI166" i="1"/>
  <c r="CJ166" i="1" s="1"/>
  <c r="CI161" i="1"/>
  <c r="CJ161" i="1" s="1"/>
  <c r="CI209" i="1"/>
  <c r="CJ209" i="1" s="1"/>
  <c r="CI310" i="1"/>
  <c r="CJ310" i="1" s="1"/>
  <c r="CR83" i="1"/>
  <c r="CS83" i="1" s="1"/>
  <c r="CU83" i="1" s="1"/>
  <c r="CX83" i="1" s="1"/>
  <c r="CR300" i="1"/>
  <c r="CS300" i="1" s="1"/>
  <c r="CU300" i="1" s="1"/>
  <c r="CX300" i="1" s="1"/>
  <c r="CR48" i="1"/>
  <c r="CS48" i="1" s="1"/>
  <c r="CU48" i="1" s="1"/>
  <c r="CX48" i="1" s="1"/>
  <c r="CR161" i="1"/>
  <c r="CS161" i="1" s="1"/>
  <c r="CU161" i="1" s="1"/>
  <c r="CR261" i="1"/>
  <c r="CS261" i="1" s="1"/>
  <c r="CU261" i="1" s="1"/>
  <c r="CR194" i="1"/>
  <c r="CS194" i="1" s="1"/>
  <c r="CU194" i="1" s="1"/>
  <c r="CV260" i="1"/>
  <c r="CY260" i="1" s="1"/>
  <c r="CV120" i="1"/>
  <c r="CY120" i="1" s="1"/>
  <c r="CV299" i="1"/>
  <c r="CY299" i="1" s="1"/>
  <c r="CV30" i="1"/>
  <c r="CY30" i="1" s="1"/>
  <c r="CV121" i="1"/>
  <c r="CY121" i="1" s="1"/>
  <c r="CV242" i="1"/>
  <c r="CY242" i="1" s="1"/>
  <c r="CV220" i="1"/>
  <c r="CY220" i="1" s="1"/>
  <c r="CR21" i="1"/>
  <c r="CS21" i="1" s="1"/>
  <c r="CU21" i="1" s="1"/>
  <c r="CT54" i="1"/>
  <c r="CV54" i="1"/>
  <c r="CY54" i="1" s="1"/>
  <c r="CV46" i="1"/>
  <c r="CY46" i="1" s="1"/>
  <c r="CV159" i="1"/>
  <c r="CY159" i="1" s="1"/>
  <c r="CV287" i="1"/>
  <c r="CY287" i="1" s="1"/>
  <c r="CV75" i="1"/>
  <c r="CY75" i="1" s="1"/>
  <c r="CV243" i="1"/>
  <c r="CY243" i="1" s="1"/>
  <c r="CV306" i="1"/>
  <c r="CY306" i="1" s="1"/>
  <c r="CV161" i="1"/>
  <c r="CY161" i="1" s="1"/>
  <c r="CV13" i="1"/>
  <c r="CY13" i="1" s="1"/>
  <c r="CV169" i="1"/>
  <c r="CY169" i="1" s="1"/>
  <c r="CV9" i="1"/>
  <c r="CY9" i="1" s="1"/>
  <c r="CV314" i="1"/>
  <c r="CY314" i="1" s="1"/>
  <c r="CV170" i="1"/>
  <c r="CY170" i="1" s="1"/>
  <c r="CV135" i="1"/>
  <c r="CY135" i="1" s="1"/>
  <c r="CI249" i="1"/>
  <c r="CJ249" i="1" s="1"/>
  <c r="CI305" i="1"/>
  <c r="CJ305" i="1" s="1"/>
  <c r="CI12" i="1"/>
  <c r="CJ12" i="1" s="1"/>
  <c r="CI295" i="1"/>
  <c r="CJ295" i="1" s="1"/>
  <c r="CI184" i="1"/>
  <c r="CJ184" i="1" s="1"/>
  <c r="CI230" i="1"/>
  <c r="CJ230" i="1" s="1"/>
  <c r="CI150" i="1"/>
  <c r="CJ150" i="1" s="1"/>
  <c r="CR267" i="1"/>
  <c r="CS267" i="1" s="1"/>
  <c r="CU267" i="1" s="1"/>
  <c r="CX267" i="1" s="1"/>
  <c r="CR313" i="1"/>
  <c r="CS313" i="1" s="1"/>
  <c r="CU313" i="1" s="1"/>
  <c r="CV77" i="1"/>
  <c r="CY77" i="1" s="1"/>
  <c r="CV236" i="1"/>
  <c r="CY236" i="1" s="1"/>
  <c r="CV266" i="1"/>
  <c r="CY266" i="1" s="1"/>
  <c r="CV80" i="1"/>
  <c r="CY80" i="1" s="1"/>
  <c r="CV222" i="1"/>
  <c r="CY222" i="1" s="1"/>
  <c r="CV154" i="1"/>
  <c r="CY154" i="1" s="1"/>
  <c r="CV291" i="1"/>
  <c r="CY291" i="1" s="1"/>
  <c r="CV219" i="1"/>
  <c r="CY219" i="1" s="1"/>
  <c r="CV103" i="1"/>
  <c r="CY103" i="1" s="1"/>
  <c r="CV86" i="1"/>
  <c r="CY86" i="1" s="1"/>
  <c r="CV145" i="1"/>
  <c r="CY145" i="1" s="1"/>
  <c r="CV230" i="1"/>
  <c r="CY230" i="1" s="1"/>
  <c r="CV264" i="1"/>
  <c r="CY264" i="1" s="1"/>
  <c r="CV180" i="1"/>
  <c r="CY180" i="1" s="1"/>
  <c r="CV37" i="1"/>
  <c r="CY37" i="1" s="1"/>
  <c r="CV273" i="1"/>
  <c r="CY273" i="1" s="1"/>
  <c r="CV203" i="1"/>
  <c r="CY203" i="1" s="1"/>
  <c r="CI84" i="1"/>
  <c r="CJ84" i="1" s="1"/>
  <c r="CR244" i="1"/>
  <c r="CS244" i="1" s="1"/>
  <c r="CU244" i="1" s="1"/>
  <c r="CR93" i="1"/>
  <c r="CS93" i="1" s="1"/>
  <c r="CU93" i="1" s="1"/>
  <c r="CR122" i="1"/>
  <c r="CS122" i="1" s="1"/>
  <c r="CU122" i="1" s="1"/>
  <c r="CX122" i="1" s="1"/>
  <c r="CR226" i="1"/>
  <c r="CS226" i="1" s="1"/>
  <c r="CU226" i="1" s="1"/>
  <c r="CR20" i="1"/>
  <c r="CS20" i="1" s="1"/>
  <c r="CU20" i="1" s="1"/>
  <c r="CR132" i="1"/>
  <c r="CS132" i="1" s="1"/>
  <c r="CU132" i="1" s="1"/>
  <c r="CR255" i="1"/>
  <c r="CS255" i="1" s="1"/>
  <c r="CU255" i="1" s="1"/>
  <c r="CV88" i="1"/>
  <c r="CY88" i="1" s="1"/>
  <c r="CV234" i="1"/>
  <c r="CY234" i="1" s="1"/>
  <c r="CR303" i="1"/>
  <c r="CS303" i="1" s="1"/>
  <c r="CU303" i="1" s="1"/>
  <c r="CV261" i="1"/>
  <c r="CY261" i="1" s="1"/>
  <c r="CV194" i="1"/>
  <c r="CY194" i="1" s="1"/>
  <c r="CV166" i="1"/>
  <c r="CY166" i="1" s="1"/>
  <c r="CV72" i="1"/>
  <c r="CY72" i="1" s="1"/>
  <c r="CR9" i="1"/>
  <c r="CS9" i="1" s="1"/>
  <c r="CU9" i="1" s="1"/>
  <c r="CV32" i="1"/>
  <c r="CY32" i="1" s="1"/>
  <c r="CV125" i="1"/>
  <c r="CY125" i="1" s="1"/>
  <c r="CV16" i="1"/>
  <c r="CY16" i="1" s="1"/>
  <c r="CV217" i="1"/>
  <c r="CY217" i="1" s="1"/>
  <c r="CV258" i="1"/>
  <c r="CY258" i="1" s="1"/>
  <c r="CV212" i="1"/>
  <c r="CY212" i="1" s="1"/>
  <c r="CV53" i="1"/>
  <c r="CY53" i="1" s="1"/>
  <c r="CV66" i="1"/>
  <c r="CY66" i="1" s="1"/>
  <c r="CV207" i="1"/>
  <c r="CY207" i="1" s="1"/>
  <c r="CR45" i="1"/>
  <c r="CS45" i="1" s="1"/>
  <c r="CU45" i="1" s="1"/>
  <c r="CI267" i="1"/>
  <c r="CJ267" i="1" s="1"/>
  <c r="CR302" i="1"/>
  <c r="CS302" i="1" s="1"/>
  <c r="CU302" i="1" s="1"/>
  <c r="CR166" i="1"/>
  <c r="CS166" i="1" s="1"/>
  <c r="CU166" i="1" s="1"/>
  <c r="CR258" i="1"/>
  <c r="CS258" i="1" s="1"/>
  <c r="CU258" i="1" s="1"/>
  <c r="CR202" i="1"/>
  <c r="CS202" i="1" s="1"/>
  <c r="CU202" i="1" s="1"/>
  <c r="CR72" i="1"/>
  <c r="CS72" i="1" s="1"/>
  <c r="CU72" i="1" s="1"/>
  <c r="CX72" i="1" s="1"/>
  <c r="CR30" i="1"/>
  <c r="CS30" i="1" s="1"/>
  <c r="CU30" i="1" s="1"/>
  <c r="CX30" i="1" s="1"/>
  <c r="CR143" i="1"/>
  <c r="CS143" i="1" s="1"/>
  <c r="CU143" i="1" s="1"/>
  <c r="CX143" i="1" s="1"/>
  <c r="CV18" i="1"/>
  <c r="CY18" i="1" s="1"/>
  <c r="CV56" i="1"/>
  <c r="CY56" i="1" s="1"/>
  <c r="CV267" i="1"/>
  <c r="CY267" i="1" s="1"/>
  <c r="CV40" i="1"/>
  <c r="CY40" i="1" s="1"/>
  <c r="CV91" i="1"/>
  <c r="CY91" i="1" s="1"/>
  <c r="CV184" i="1"/>
  <c r="CY184" i="1" s="1"/>
  <c r="CV59" i="1"/>
  <c r="CY59" i="1" s="1"/>
  <c r="CV271" i="1"/>
  <c r="CY271" i="1" s="1"/>
  <c r="CV179" i="1"/>
  <c r="CY179" i="1" s="1"/>
  <c r="CR296" i="1"/>
  <c r="CS296" i="1" s="1"/>
  <c r="CU296" i="1" s="1"/>
  <c r="CR84" i="1"/>
  <c r="CS84" i="1" s="1"/>
  <c r="CU84" i="1" s="1"/>
  <c r="CV284" i="1"/>
  <c r="CY284" i="1" s="1"/>
  <c r="CV136" i="1"/>
  <c r="CY136" i="1" s="1"/>
  <c r="CV23" i="1"/>
  <c r="CY23" i="1" s="1"/>
  <c r="CV64" i="1"/>
  <c r="CY64" i="1" s="1"/>
  <c r="CV202" i="1"/>
  <c r="CY202" i="1" s="1"/>
  <c r="CV259" i="1"/>
  <c r="CY259" i="1" s="1"/>
  <c r="CV172" i="1"/>
  <c r="CY172" i="1" s="1"/>
  <c r="CV237" i="1"/>
  <c r="CY237" i="1" s="1"/>
  <c r="CV21" i="1"/>
  <c r="CY21" i="1" s="1"/>
  <c r="CV296" i="1"/>
  <c r="CY296" i="1" s="1"/>
  <c r="CV186" i="1"/>
  <c r="CY186" i="1" s="1"/>
  <c r="CV239" i="1"/>
  <c r="CY239" i="1" s="1"/>
  <c r="CI134" i="1"/>
  <c r="CJ134" i="1" s="1"/>
  <c r="CX90" i="1"/>
  <c r="CR295" i="1"/>
  <c r="CS295" i="1" s="1"/>
  <c r="CU295" i="1" s="1"/>
  <c r="CR184" i="1"/>
  <c r="CS184" i="1" s="1"/>
  <c r="CU184" i="1" s="1"/>
  <c r="CR38" i="1"/>
  <c r="CS38" i="1" s="1"/>
  <c r="CU38" i="1" s="1"/>
  <c r="CR227" i="1"/>
  <c r="CS227" i="1" s="1"/>
  <c r="CU227" i="1" s="1"/>
  <c r="CV67" i="1"/>
  <c r="CY67" i="1" s="1"/>
  <c r="CV279" i="1"/>
  <c r="CY279" i="1" s="1"/>
  <c r="CV250" i="1"/>
  <c r="CY250" i="1" s="1"/>
  <c r="CV262" i="1"/>
  <c r="CY262" i="1" s="1"/>
  <c r="CV71" i="1"/>
  <c r="CY71" i="1" s="1"/>
  <c r="CV283" i="1"/>
  <c r="CY283" i="1" s="1"/>
  <c r="CR73" i="1"/>
  <c r="CS73" i="1" s="1"/>
  <c r="CU73" i="1" s="1"/>
  <c r="CV205" i="1"/>
  <c r="CY205" i="1" s="1"/>
  <c r="CV215" i="1"/>
  <c r="CY215" i="1" s="1"/>
  <c r="CV308" i="1"/>
  <c r="CY308" i="1" s="1"/>
  <c r="CV188" i="1"/>
  <c r="CY188" i="1" s="1"/>
  <c r="CV148" i="1"/>
  <c r="CY148" i="1" s="1"/>
  <c r="CV47" i="1"/>
  <c r="CY47" i="1" s="1"/>
  <c r="CR170" i="1"/>
  <c r="CS170" i="1" s="1"/>
  <c r="CU170" i="1" s="1"/>
  <c r="CV76" i="1"/>
  <c r="CY76" i="1" s="1"/>
  <c r="CV307" i="1"/>
  <c r="CY307" i="1" s="1"/>
  <c r="CV189" i="1"/>
  <c r="CY189" i="1" s="1"/>
  <c r="CV6" i="1"/>
  <c r="CY6" i="1" s="1"/>
  <c r="CV275" i="1"/>
  <c r="CY275" i="1" s="1"/>
  <c r="CR22" i="1"/>
  <c r="CS22" i="1" s="1"/>
  <c r="CU22" i="1" s="1"/>
  <c r="CR135" i="1"/>
  <c r="CS135" i="1" s="1"/>
  <c r="CU135" i="1" s="1"/>
  <c r="CR50" i="1"/>
  <c r="CS50" i="1" s="1"/>
  <c r="CU50" i="1" s="1"/>
  <c r="CR15" i="1"/>
  <c r="CS15" i="1" s="1"/>
  <c r="CU15" i="1" s="1"/>
  <c r="CR118" i="1"/>
  <c r="CS118" i="1" s="1"/>
  <c r="CU118" i="1" s="1"/>
  <c r="CR262" i="1"/>
  <c r="CS262" i="1" s="1"/>
  <c r="CU262" i="1" s="1"/>
  <c r="CR195" i="1"/>
  <c r="CS195" i="1" s="1"/>
  <c r="CU195" i="1" s="1"/>
  <c r="CR305" i="1"/>
  <c r="CS305" i="1" s="1"/>
  <c r="CU305" i="1" s="1"/>
  <c r="CR167" i="1"/>
  <c r="CS167" i="1" s="1"/>
  <c r="CU167" i="1" s="1"/>
  <c r="CR185" i="1"/>
  <c r="CS185" i="1" s="1"/>
  <c r="CU185" i="1" s="1"/>
  <c r="CR158" i="1"/>
  <c r="CS158" i="1" s="1"/>
  <c r="CU158" i="1" s="1"/>
  <c r="CV14" i="1"/>
  <c r="CY14" i="1" s="1"/>
  <c r="CV117" i="1"/>
  <c r="CY117" i="1" s="1"/>
  <c r="CV315" i="1"/>
  <c r="CY315" i="1" s="1"/>
  <c r="CV282" i="1"/>
  <c r="CY282" i="1" s="1"/>
  <c r="CV313" i="1"/>
  <c r="CY313" i="1" s="1"/>
  <c r="CV29" i="1"/>
  <c r="CY29" i="1" s="1"/>
  <c r="CV196" i="1"/>
  <c r="CY196" i="1" s="1"/>
  <c r="CV83" i="1"/>
  <c r="CY83" i="1" s="1"/>
  <c r="CV300" i="1"/>
  <c r="CY300" i="1" s="1"/>
  <c r="CR61" i="1"/>
  <c r="CS61" i="1" s="1"/>
  <c r="CU61" i="1" s="1"/>
  <c r="CV62" i="1"/>
  <c r="CY62" i="1" s="1"/>
  <c r="CV274" i="1"/>
  <c r="CY274" i="1" s="1"/>
  <c r="CV319" i="1"/>
  <c r="CY319" i="1" s="1"/>
  <c r="CV246" i="1"/>
  <c r="CY246" i="1" s="1"/>
  <c r="CV87" i="1"/>
  <c r="CY87" i="1" s="1"/>
  <c r="CV276" i="1"/>
  <c r="CY276" i="1" s="1"/>
  <c r="CV277" i="1"/>
  <c r="CY277" i="1" s="1"/>
  <c r="CV240" i="1"/>
  <c r="CY240" i="1" s="1"/>
  <c r="CV227" i="1"/>
  <c r="CY227" i="1" s="1"/>
  <c r="CV33" i="1"/>
  <c r="CY33" i="1" s="1"/>
  <c r="CV112" i="1"/>
  <c r="CY112" i="1" s="1"/>
  <c r="CV201" i="1"/>
  <c r="CY201" i="1" s="1"/>
  <c r="CI22" i="1"/>
  <c r="CK22" i="1" s="1"/>
  <c r="CV22" i="1"/>
  <c r="CY22" i="1" s="1"/>
  <c r="CI144" i="1"/>
  <c r="CJ144" i="1" s="1"/>
  <c r="CI54" i="1"/>
  <c r="CJ54" i="1" s="1"/>
  <c r="CI122" i="1"/>
  <c r="CJ122" i="1" s="1"/>
  <c r="CR34" i="1"/>
  <c r="CS34" i="1" s="1"/>
  <c r="CU34" i="1" s="1"/>
  <c r="CR147" i="1"/>
  <c r="CS147" i="1" s="1"/>
  <c r="CU147" i="1" s="1"/>
  <c r="CR11" i="1"/>
  <c r="CS11" i="1" s="1"/>
  <c r="CU11" i="1" s="1"/>
  <c r="CR114" i="1"/>
  <c r="CS114" i="1" s="1"/>
  <c r="CU114" i="1" s="1"/>
  <c r="CX114" i="1" s="1"/>
  <c r="CR77" i="1"/>
  <c r="CS77" i="1" s="1"/>
  <c r="CU77" i="1" s="1"/>
  <c r="CR289" i="1"/>
  <c r="CS289" i="1" s="1"/>
  <c r="CU289" i="1" s="1"/>
  <c r="CR239" i="1"/>
  <c r="CS239" i="1" s="1"/>
  <c r="CU239" i="1" s="1"/>
  <c r="CR263" i="1"/>
  <c r="CS263" i="1" s="1"/>
  <c r="CU263" i="1" s="1"/>
  <c r="CR196" i="1"/>
  <c r="CS196" i="1" s="1"/>
  <c r="CU196" i="1" s="1"/>
  <c r="CR298" i="1"/>
  <c r="CS298" i="1" s="1"/>
  <c r="CU298" i="1" s="1"/>
  <c r="CR205" i="1"/>
  <c r="CS205" i="1" s="1"/>
  <c r="CU205" i="1" s="1"/>
  <c r="CR268" i="1"/>
  <c r="CS268" i="1" s="1"/>
  <c r="CU268" i="1" s="1"/>
  <c r="CR171" i="1"/>
  <c r="CS171" i="1" s="1"/>
  <c r="CU171" i="1" s="1"/>
  <c r="CV19" i="1"/>
  <c r="CY19" i="1" s="1"/>
  <c r="CV4" i="1"/>
  <c r="CY4" i="1" s="1"/>
  <c r="CV107" i="1"/>
  <c r="CY107" i="1" s="1"/>
  <c r="CV167" i="1"/>
  <c r="CY167" i="1" s="1"/>
  <c r="CV209" i="1"/>
  <c r="CY209" i="1" s="1"/>
  <c r="CV41" i="1"/>
  <c r="CY41" i="1" s="1"/>
  <c r="CR232" i="1"/>
  <c r="CS232" i="1" s="1"/>
  <c r="CU232" i="1" s="1"/>
  <c r="CV74" i="1"/>
  <c r="CY74" i="1" s="1"/>
  <c r="CV286" i="1"/>
  <c r="CY286" i="1" s="1"/>
  <c r="CV211" i="1"/>
  <c r="CY211" i="1" s="1"/>
  <c r="CV197" i="1"/>
  <c r="CY197" i="1" s="1"/>
  <c r="CV288" i="1"/>
  <c r="CY288" i="1" s="1"/>
  <c r="CV105" i="1"/>
  <c r="CY105" i="1" s="1"/>
  <c r="CV20" i="1"/>
  <c r="CY20" i="1" s="1"/>
  <c r="CV232" i="1"/>
  <c r="CY232" i="1" s="1"/>
  <c r="CV45" i="1"/>
  <c r="CY45" i="1" s="1"/>
  <c r="CV124" i="1"/>
  <c r="CY124" i="1" s="1"/>
  <c r="CV187" i="1"/>
  <c r="CY187" i="1" s="1"/>
  <c r="CI104" i="1"/>
  <c r="CI203" i="1"/>
  <c r="CK203" i="1" s="1"/>
  <c r="CI165" i="1"/>
  <c r="CI199" i="1"/>
  <c r="CI73" i="1"/>
  <c r="CI208" i="1"/>
  <c r="CI176" i="1"/>
  <c r="CI105" i="1"/>
  <c r="CI100" i="1"/>
  <c r="CI297" i="1"/>
  <c r="CI222" i="1"/>
  <c r="CI250" i="1"/>
  <c r="CI178" i="1"/>
  <c r="CI9" i="1"/>
  <c r="CI42" i="1"/>
  <c r="CI93" i="1"/>
  <c r="CI25" i="1"/>
  <c r="CI137" i="1"/>
  <c r="CI145" i="1"/>
  <c r="CI127" i="1"/>
  <c r="CI21" i="1"/>
  <c r="CI46" i="1"/>
  <c r="CI31" i="1"/>
  <c r="CI191" i="1"/>
  <c r="CI138" i="1"/>
  <c r="CI45" i="1"/>
  <c r="CI245" i="1"/>
  <c r="CI312" i="1"/>
  <c r="CI189" i="1"/>
  <c r="CI185" i="1"/>
  <c r="CI238" i="1"/>
  <c r="CI33" i="1"/>
  <c r="CI68" i="1"/>
  <c r="CI280" i="1"/>
  <c r="CI95" i="1"/>
  <c r="CI314" i="1"/>
  <c r="CI244" i="1"/>
  <c r="CI308" i="1"/>
  <c r="CI224" i="1"/>
  <c r="CI252" i="1"/>
  <c r="CI253" i="1"/>
  <c r="CI307" i="1"/>
  <c r="CI236" i="1"/>
  <c r="CI57" i="1"/>
  <c r="CI269" i="1"/>
  <c r="CI172" i="1"/>
  <c r="CI64" i="1"/>
  <c r="CI226" i="1"/>
  <c r="CI316" i="1"/>
  <c r="CI162" i="1"/>
  <c r="CI262" i="1"/>
  <c r="CI80" i="1"/>
  <c r="CI315" i="1"/>
  <c r="CI303" i="1"/>
  <c r="CI296" i="1"/>
  <c r="CI273" i="1"/>
  <c r="CI286" i="1"/>
  <c r="CI240" i="1"/>
  <c r="CI311" i="1"/>
  <c r="CI271" i="1"/>
  <c r="CI288" i="1"/>
  <c r="CI234" i="1"/>
  <c r="CI69" i="1"/>
  <c r="CI281" i="1"/>
  <c r="CI60" i="1"/>
  <c r="CI53" i="1"/>
  <c r="CI173" i="1"/>
  <c r="CI61" i="1"/>
  <c r="CI89" i="1"/>
  <c r="CI108" i="1"/>
  <c r="CI255" i="1"/>
  <c r="CI55" i="1"/>
  <c r="CI65" i="1"/>
  <c r="CI112" i="1"/>
  <c r="CJ44" i="1"/>
  <c r="CI113" i="1"/>
  <c r="CI58" i="1"/>
  <c r="CI270" i="1"/>
  <c r="CI300" i="1"/>
  <c r="CI149" i="1"/>
  <c r="CI72" i="1"/>
  <c r="CI117" i="1"/>
  <c r="CI81" i="1"/>
  <c r="CI292" i="1"/>
  <c r="CI17" i="1"/>
  <c r="CI2" i="1"/>
  <c r="CI247" i="1"/>
  <c r="CI192" i="1"/>
  <c r="CI268" i="1"/>
  <c r="CI301" i="1"/>
  <c r="CI90" i="1"/>
  <c r="CI119" i="1"/>
  <c r="CI285" i="1"/>
  <c r="CI13" i="1"/>
  <c r="CI146" i="1"/>
  <c r="CI313" i="1"/>
  <c r="CI219" i="1"/>
  <c r="CI70" i="1"/>
  <c r="CI282" i="1"/>
  <c r="CI110" i="1"/>
  <c r="CI180" i="1"/>
  <c r="CI8" i="1"/>
  <c r="CI128" i="1"/>
  <c r="CI5" i="1"/>
  <c r="CI109" i="1"/>
  <c r="CI36" i="1"/>
  <c r="CI94" i="1"/>
  <c r="CI175" i="1"/>
  <c r="CI56" i="1"/>
  <c r="CI264" i="1"/>
  <c r="CI98" i="1"/>
  <c r="CI130" i="1"/>
  <c r="CI124" i="1"/>
  <c r="CI227" i="1"/>
  <c r="CI170" i="1"/>
  <c r="CI233" i="1"/>
  <c r="CI210" i="1"/>
  <c r="CI82" i="1"/>
  <c r="CI293" i="1"/>
  <c r="CI133" i="1"/>
  <c r="CI101" i="1"/>
  <c r="CI151" i="1"/>
  <c r="CI91" i="1"/>
  <c r="CI120" i="1"/>
  <c r="CI306" i="1"/>
  <c r="CI265" i="1"/>
  <c r="CI28" i="1"/>
  <c r="CI141" i="1"/>
  <c r="CI158" i="1"/>
  <c r="CI232" i="1"/>
  <c r="CI18" i="1"/>
  <c r="CI200" i="1"/>
  <c r="CI6" i="1"/>
  <c r="CI132" i="1"/>
  <c r="CI204" i="1"/>
  <c r="CI243" i="1"/>
  <c r="CI214" i="1"/>
  <c r="CI99" i="1"/>
  <c r="CI131" i="1"/>
  <c r="CI71" i="1"/>
  <c r="CI277" i="1"/>
  <c r="CW151" i="1" l="1"/>
  <c r="CZ151" i="1" s="1"/>
  <c r="CJ291" i="1"/>
  <c r="CW139" i="1"/>
  <c r="CW90" i="1"/>
  <c r="CZ90" i="1" s="1"/>
  <c r="BM23" i="6"/>
  <c r="BO23" i="6"/>
  <c r="BL22" i="6"/>
  <c r="BM20" i="6"/>
  <c r="BO20" i="6"/>
  <c r="BM21" i="6"/>
  <c r="BO21" i="6"/>
  <c r="BL23" i="6"/>
  <c r="BL21" i="6"/>
  <c r="BL20" i="6"/>
  <c r="BM22" i="6"/>
  <c r="BO22" i="6"/>
  <c r="BM12" i="6"/>
  <c r="BO12" i="6"/>
  <c r="BL12" i="6"/>
  <c r="BM14" i="6"/>
  <c r="BO14" i="6"/>
  <c r="BM15" i="6"/>
  <c r="BO15" i="6"/>
  <c r="BL14" i="6"/>
  <c r="BL13" i="6"/>
  <c r="BL15" i="6"/>
  <c r="BM13" i="6"/>
  <c r="BO13" i="6"/>
  <c r="BL11" i="6"/>
  <c r="BM10" i="6"/>
  <c r="BO10" i="6"/>
  <c r="BL10" i="6"/>
  <c r="BM11" i="6"/>
  <c r="BO11" i="6"/>
  <c r="BL4" i="6"/>
  <c r="BL5" i="6"/>
  <c r="BM6" i="6"/>
  <c r="BO6" i="6"/>
  <c r="BM8" i="6"/>
  <c r="BO8" i="6"/>
  <c r="BL6" i="6"/>
  <c r="BL8" i="6"/>
  <c r="BM3" i="6"/>
  <c r="BO3" i="6"/>
  <c r="BL3" i="6"/>
  <c r="BM2" i="6"/>
  <c r="BO2" i="6"/>
  <c r="BL2" i="6"/>
  <c r="BM7" i="6"/>
  <c r="BO7" i="6"/>
  <c r="BM9" i="6"/>
  <c r="BO9" i="6"/>
  <c r="BL7" i="6"/>
  <c r="BL9" i="6"/>
  <c r="BM4" i="6"/>
  <c r="BO4" i="6"/>
  <c r="BM5" i="6"/>
  <c r="BO5" i="6"/>
  <c r="CW254" i="1"/>
  <c r="CZ254" i="1" s="1"/>
  <c r="CK106" i="1"/>
  <c r="CJ246" i="1"/>
  <c r="CW138" i="1"/>
  <c r="CZ138" i="1" s="1"/>
  <c r="BM1388" i="5"/>
  <c r="BN1388" i="5" s="1"/>
  <c r="BO1388" i="5"/>
  <c r="BR1388" i="5" s="1"/>
  <c r="BM494" i="5"/>
  <c r="BN494" i="5" s="1"/>
  <c r="BO494" i="5"/>
  <c r="BR494" i="5" s="1"/>
  <c r="BM1021" i="5"/>
  <c r="BN1021" i="5" s="1"/>
  <c r="BO1021" i="5"/>
  <c r="BR1021" i="5" s="1"/>
  <c r="BM932" i="5"/>
  <c r="BN932" i="5" s="1"/>
  <c r="BO932" i="5"/>
  <c r="BR932" i="5" s="1"/>
  <c r="BM313" i="5"/>
  <c r="BN313" i="5" s="1"/>
  <c r="BO313" i="5"/>
  <c r="BR313" i="5" s="1"/>
  <c r="BM680" i="5"/>
  <c r="BN680" i="5" s="1"/>
  <c r="BO680" i="5"/>
  <c r="BR680" i="5" s="1"/>
  <c r="BM1321" i="5"/>
  <c r="BN1321" i="5" s="1"/>
  <c r="BO1321" i="5"/>
  <c r="BR1321" i="5" s="1"/>
  <c r="BM1141" i="5"/>
  <c r="BN1141" i="5" s="1"/>
  <c r="BO1141" i="5"/>
  <c r="BR1141" i="5" s="1"/>
  <c r="BM468" i="5"/>
  <c r="BN468" i="5" s="1"/>
  <c r="BO468" i="5"/>
  <c r="BR468" i="5" s="1"/>
  <c r="BM385" i="5"/>
  <c r="BN385" i="5" s="1"/>
  <c r="BO385" i="5"/>
  <c r="BR385" i="5" s="1"/>
  <c r="BM516" i="5"/>
  <c r="BN516" i="5" s="1"/>
  <c r="BO516" i="5"/>
  <c r="BR516" i="5" s="1"/>
  <c r="BM178" i="5"/>
  <c r="BN178" i="5" s="1"/>
  <c r="BO178" i="5"/>
  <c r="BR178" i="5" s="1"/>
  <c r="BM98" i="5"/>
  <c r="BN98" i="5" s="1"/>
  <c r="BO98" i="5"/>
  <c r="BR98" i="5" s="1"/>
  <c r="BM893" i="5"/>
  <c r="BN893" i="5" s="1"/>
  <c r="BO893" i="5"/>
  <c r="BR893" i="5" s="1"/>
  <c r="BM669" i="5"/>
  <c r="BN669" i="5" s="1"/>
  <c r="BO669" i="5"/>
  <c r="BR669" i="5" s="1"/>
  <c r="BM257" i="5"/>
  <c r="BN257" i="5" s="1"/>
  <c r="BO257" i="5"/>
  <c r="BR257" i="5" s="1"/>
  <c r="BM529" i="5"/>
  <c r="BN529" i="5" s="1"/>
  <c r="BO529" i="5"/>
  <c r="BR529" i="5" s="1"/>
  <c r="BM845" i="5"/>
  <c r="BN845" i="5" s="1"/>
  <c r="BO845" i="5"/>
  <c r="BR845" i="5" s="1"/>
  <c r="BM276" i="5"/>
  <c r="BN276" i="5" s="1"/>
  <c r="BO276" i="5"/>
  <c r="BR276" i="5" s="1"/>
  <c r="BM73" i="5"/>
  <c r="BN73" i="5" s="1"/>
  <c r="BO73" i="5"/>
  <c r="BR73" i="5" s="1"/>
  <c r="BM1117" i="5"/>
  <c r="BO1117" i="5"/>
  <c r="BM1263" i="5"/>
  <c r="BN1263" i="5" s="1"/>
  <c r="BO1263" i="5"/>
  <c r="BR1263" i="5" s="1"/>
  <c r="BM601" i="5"/>
  <c r="BN601" i="5" s="1"/>
  <c r="BO601" i="5"/>
  <c r="BR601" i="5" s="1"/>
  <c r="BM1241" i="5"/>
  <c r="BN1241" i="5" s="1"/>
  <c r="BO1241" i="5"/>
  <c r="BR1241" i="5" s="1"/>
  <c r="BM196" i="5"/>
  <c r="BN196" i="5" s="1"/>
  <c r="BO196" i="5"/>
  <c r="BR196" i="5" s="1"/>
  <c r="BM1401" i="5"/>
  <c r="BN1401" i="5" s="1"/>
  <c r="BO1401" i="5"/>
  <c r="BR1401" i="5" s="1"/>
  <c r="BM919" i="5"/>
  <c r="BN919" i="5" s="1"/>
  <c r="BO919" i="5"/>
  <c r="BR919" i="5" s="1"/>
  <c r="BM1223" i="5"/>
  <c r="BN1223" i="5" s="1"/>
  <c r="BO1223" i="5"/>
  <c r="BR1223" i="5" s="1"/>
  <c r="BM147" i="5"/>
  <c r="BN147" i="5" s="1"/>
  <c r="BO147" i="5"/>
  <c r="BR147" i="5" s="1"/>
  <c r="BM914" i="5"/>
  <c r="BN914" i="5" s="1"/>
  <c r="BO914" i="5"/>
  <c r="BR914" i="5" s="1"/>
  <c r="BM448" i="5"/>
  <c r="BN448" i="5" s="1"/>
  <c r="BO448" i="5"/>
  <c r="BR448" i="5" s="1"/>
  <c r="BM330" i="5"/>
  <c r="BN330" i="5" s="1"/>
  <c r="BO330" i="5"/>
  <c r="BR330" i="5" s="1"/>
  <c r="BM1191" i="5"/>
  <c r="BN1191" i="5" s="1"/>
  <c r="BO1191" i="5"/>
  <c r="BR1191" i="5" s="1"/>
  <c r="BM64" i="5"/>
  <c r="BN64" i="5" s="1"/>
  <c r="BO64" i="5"/>
  <c r="BR64" i="5" s="1"/>
  <c r="BM868" i="5"/>
  <c r="BN868" i="5" s="1"/>
  <c r="BO868" i="5"/>
  <c r="BR868" i="5" s="1"/>
  <c r="BM607" i="5"/>
  <c r="BN607" i="5" s="1"/>
  <c r="BO607" i="5"/>
  <c r="BR607" i="5" s="1"/>
  <c r="BM1369" i="5"/>
  <c r="BN1369" i="5" s="1"/>
  <c r="BO1369" i="5"/>
  <c r="BR1369" i="5" s="1"/>
  <c r="BM303" i="5"/>
  <c r="BN303" i="5" s="1"/>
  <c r="BO303" i="5"/>
  <c r="BR303" i="5" s="1"/>
  <c r="BM1184" i="5"/>
  <c r="BN1184" i="5" s="1"/>
  <c r="BO1184" i="5"/>
  <c r="BR1184" i="5" s="1"/>
  <c r="BM697" i="5"/>
  <c r="BN697" i="5" s="1"/>
  <c r="BO697" i="5"/>
  <c r="BR697" i="5" s="1"/>
  <c r="BM163" i="5"/>
  <c r="BN163" i="5" s="1"/>
  <c r="BO163" i="5"/>
  <c r="BR163" i="5" s="1"/>
  <c r="BM786" i="5"/>
  <c r="BN786" i="5" s="1"/>
  <c r="BO786" i="5"/>
  <c r="BR786" i="5" s="1"/>
  <c r="CK235" i="1"/>
  <c r="BM56" i="5"/>
  <c r="BN56" i="5" s="1"/>
  <c r="BO56" i="5"/>
  <c r="BR56" i="5" s="1"/>
  <c r="BM514" i="5"/>
  <c r="BN514" i="5" s="1"/>
  <c r="BO514" i="5"/>
  <c r="BR514" i="5" s="1"/>
  <c r="BM1333" i="5"/>
  <c r="BN1333" i="5" s="1"/>
  <c r="BO1333" i="5"/>
  <c r="BR1333" i="5" s="1"/>
  <c r="BM795" i="5"/>
  <c r="BN795" i="5" s="1"/>
  <c r="BO795" i="5"/>
  <c r="BR795" i="5" s="1"/>
  <c r="BM327" i="5"/>
  <c r="BN327" i="5" s="1"/>
  <c r="BO327" i="5"/>
  <c r="BR327" i="5" s="1"/>
  <c r="BM1196" i="5"/>
  <c r="BN1196" i="5" s="1"/>
  <c r="BO1196" i="5"/>
  <c r="BR1196" i="5" s="1"/>
  <c r="BM160" i="5"/>
  <c r="BN160" i="5" s="1"/>
  <c r="BO160" i="5"/>
  <c r="BR160" i="5" s="1"/>
  <c r="BM996" i="5"/>
  <c r="BN996" i="5" s="1"/>
  <c r="BO996" i="5"/>
  <c r="BR996" i="5" s="1"/>
  <c r="BM484" i="5"/>
  <c r="BN484" i="5" s="1"/>
  <c r="BO484" i="5"/>
  <c r="BR484" i="5" s="1"/>
  <c r="BM1359" i="5"/>
  <c r="BN1359" i="5" s="1"/>
  <c r="BO1359" i="5"/>
  <c r="BR1359" i="5" s="1"/>
  <c r="BM731" i="5"/>
  <c r="BN731" i="5" s="1"/>
  <c r="BO731" i="5"/>
  <c r="BR731" i="5" s="1"/>
  <c r="BM297" i="5"/>
  <c r="BN297" i="5" s="1"/>
  <c r="BO297" i="5"/>
  <c r="BR297" i="5" s="1"/>
  <c r="BM1161" i="5"/>
  <c r="BN1161" i="5" s="1"/>
  <c r="BO1161" i="5"/>
  <c r="BR1161" i="5" s="1"/>
  <c r="BM675" i="5"/>
  <c r="BN675" i="5" s="1"/>
  <c r="BO675" i="5"/>
  <c r="BR675" i="5" s="1"/>
  <c r="BM145" i="5"/>
  <c r="BN145" i="5" s="1"/>
  <c r="BO145" i="5"/>
  <c r="BR145" i="5" s="1"/>
  <c r="BM1009" i="5"/>
  <c r="BN1009" i="5" s="1"/>
  <c r="BO1009" i="5"/>
  <c r="BR1009" i="5" s="1"/>
  <c r="BM443" i="5"/>
  <c r="BN443" i="5" s="1"/>
  <c r="BO443" i="5"/>
  <c r="BR443" i="5" s="1"/>
  <c r="BM1322" i="5"/>
  <c r="BN1322" i="5" s="1"/>
  <c r="BO1322" i="5"/>
  <c r="BR1322" i="5" s="1"/>
  <c r="BM259" i="5"/>
  <c r="BN259" i="5" s="1"/>
  <c r="BO259" i="5"/>
  <c r="BR259" i="5" s="1"/>
  <c r="BM1377" i="5"/>
  <c r="BN1377" i="5" s="1"/>
  <c r="BO1377" i="5"/>
  <c r="BR1377" i="5" s="1"/>
  <c r="BM194" i="5"/>
  <c r="BN194" i="5" s="1"/>
  <c r="BO194" i="5"/>
  <c r="BR194" i="5" s="1"/>
  <c r="BM686" i="5"/>
  <c r="BN686" i="5" s="1"/>
  <c r="BO686" i="5"/>
  <c r="BR686" i="5" s="1"/>
  <c r="BM108" i="5"/>
  <c r="BN108" i="5" s="1"/>
  <c r="BO108" i="5"/>
  <c r="BR108" i="5" s="1"/>
  <c r="BM864" i="5"/>
  <c r="BN864" i="5" s="1"/>
  <c r="BO864" i="5"/>
  <c r="BR864" i="5" s="1"/>
  <c r="BM493" i="5"/>
  <c r="BN493" i="5" s="1"/>
  <c r="BO493" i="5"/>
  <c r="BR493" i="5" s="1"/>
  <c r="BM1354" i="5"/>
  <c r="BN1354" i="5" s="1"/>
  <c r="BO1354" i="5"/>
  <c r="BR1354" i="5" s="1"/>
  <c r="BM315" i="5"/>
  <c r="BN315" i="5" s="1"/>
  <c r="BO315" i="5"/>
  <c r="BR315" i="5" s="1"/>
  <c r="BM1174" i="5"/>
  <c r="BN1174" i="5" s="1"/>
  <c r="BO1174" i="5"/>
  <c r="BR1174" i="5" s="1"/>
  <c r="BM668" i="5"/>
  <c r="BN668" i="5" s="1"/>
  <c r="BO668" i="5"/>
  <c r="BR668" i="5" s="1"/>
  <c r="BM982" i="5"/>
  <c r="BN982" i="5" s="1"/>
  <c r="BO982" i="5"/>
  <c r="BR982" i="5" s="1"/>
  <c r="BM459" i="5"/>
  <c r="BN459" i="5" s="1"/>
  <c r="BO459" i="5"/>
  <c r="BR459" i="5" s="1"/>
  <c r="BM1315" i="5"/>
  <c r="BN1315" i="5" s="1"/>
  <c r="BO1315" i="5"/>
  <c r="BR1315" i="5" s="1"/>
  <c r="BM760" i="5"/>
  <c r="BN760" i="5" s="1"/>
  <c r="BO760" i="5"/>
  <c r="BR760" i="5" s="1"/>
  <c r="BM274" i="5"/>
  <c r="BN274" i="5" s="1"/>
  <c r="BO274" i="5"/>
  <c r="BR274" i="5" s="1"/>
  <c r="BM1162" i="5"/>
  <c r="BN1162" i="5" s="1"/>
  <c r="BO1162" i="5"/>
  <c r="BR1162" i="5" s="1"/>
  <c r="BM629" i="5"/>
  <c r="BN629" i="5" s="1"/>
  <c r="BO629" i="5"/>
  <c r="BR629" i="5" s="1"/>
  <c r="BM512" i="5"/>
  <c r="BN512" i="5" s="1"/>
  <c r="BO512" i="5"/>
  <c r="BR512" i="5" s="1"/>
  <c r="BM136" i="5"/>
  <c r="BN136" i="5" s="1"/>
  <c r="BO136" i="5"/>
  <c r="BR136" i="5" s="1"/>
  <c r="BM699" i="5"/>
  <c r="BN699" i="5" s="1"/>
  <c r="BO699" i="5"/>
  <c r="BR699" i="5" s="1"/>
  <c r="BM84" i="5"/>
  <c r="BN84" i="5" s="1"/>
  <c r="BO84" i="5"/>
  <c r="BR84" i="5" s="1"/>
  <c r="BM449" i="5"/>
  <c r="BN449" i="5" s="1"/>
  <c r="BO449" i="5"/>
  <c r="BR449" i="5" s="1"/>
  <c r="BM1293" i="5"/>
  <c r="BN1293" i="5" s="1"/>
  <c r="BO1293" i="5"/>
  <c r="BR1293" i="5" s="1"/>
  <c r="BM737" i="5"/>
  <c r="BN737" i="5" s="1"/>
  <c r="BO737" i="5"/>
  <c r="BR737" i="5" s="1"/>
  <c r="BM264" i="5"/>
  <c r="BN264" i="5" s="1"/>
  <c r="BO264" i="5"/>
  <c r="BR264" i="5" s="1"/>
  <c r="BM1137" i="5"/>
  <c r="BN1137" i="5" s="1"/>
  <c r="BO1137" i="5"/>
  <c r="BR1137" i="5" s="1"/>
  <c r="BM611" i="5"/>
  <c r="BN611" i="5" s="1"/>
  <c r="BO611" i="5"/>
  <c r="BR611" i="5" s="1"/>
  <c r="BM17" i="5"/>
  <c r="BN17" i="5" s="1"/>
  <c r="BO17" i="5"/>
  <c r="BR17" i="5" s="1"/>
  <c r="BM976" i="5"/>
  <c r="BN976" i="5" s="1"/>
  <c r="BO976" i="5"/>
  <c r="BR976" i="5" s="1"/>
  <c r="BM402" i="5"/>
  <c r="BN402" i="5" s="1"/>
  <c r="BO402" i="5"/>
  <c r="BR402" i="5" s="1"/>
  <c r="BM819" i="5"/>
  <c r="BN819" i="5" s="1"/>
  <c r="BO819" i="5"/>
  <c r="BR819" i="5" s="1"/>
  <c r="BM1093" i="5"/>
  <c r="BN1093" i="5" s="1"/>
  <c r="BO1093" i="5"/>
  <c r="BR1093" i="5" s="1"/>
  <c r="BM554" i="5"/>
  <c r="BN554" i="5" s="1"/>
  <c r="BO554" i="5"/>
  <c r="BR554" i="5" s="1"/>
  <c r="BM23" i="5"/>
  <c r="BN23" i="5" s="1"/>
  <c r="BO23" i="5"/>
  <c r="BR23" i="5" s="1"/>
  <c r="BM875" i="5"/>
  <c r="BN875" i="5" s="1"/>
  <c r="BO875" i="5"/>
  <c r="BR875" i="5" s="1"/>
  <c r="BM434" i="5"/>
  <c r="BN434" i="5" s="1"/>
  <c r="BO434" i="5"/>
  <c r="BR434" i="5" s="1"/>
  <c r="BM1361" i="5"/>
  <c r="BN1361" i="5" s="1"/>
  <c r="BO1361" i="5"/>
  <c r="BR1361" i="5" s="1"/>
  <c r="BM100" i="5"/>
  <c r="BN100" i="5" s="1"/>
  <c r="BO100" i="5"/>
  <c r="BR100" i="5" s="1"/>
  <c r="BM580" i="5"/>
  <c r="BN580" i="5" s="1"/>
  <c r="BO580" i="5"/>
  <c r="BR580" i="5" s="1"/>
  <c r="BM920" i="5"/>
  <c r="BN920" i="5" s="1"/>
  <c r="BO920" i="5"/>
  <c r="BR920" i="5" s="1"/>
  <c r="BM366" i="5"/>
  <c r="BN366" i="5" s="1"/>
  <c r="BO366" i="5"/>
  <c r="BR366" i="5" s="1"/>
  <c r="BM1230" i="5"/>
  <c r="BN1230" i="5" s="1"/>
  <c r="BO1230" i="5"/>
  <c r="BR1230" i="5" s="1"/>
  <c r="BM170" i="5"/>
  <c r="BN170" i="5" s="1"/>
  <c r="BO170" i="5"/>
  <c r="BR170" i="5" s="1"/>
  <c r="BM1058" i="5"/>
  <c r="BN1058" i="5" s="1"/>
  <c r="BO1058" i="5"/>
  <c r="BR1058" i="5" s="1"/>
  <c r="BM1381" i="5"/>
  <c r="BN1381" i="5" s="1"/>
  <c r="BO1381" i="5"/>
  <c r="BR1381" i="5" s="1"/>
  <c r="BM934" i="5"/>
  <c r="BN934" i="5" s="1"/>
  <c r="BO934" i="5"/>
  <c r="BR934" i="5" s="1"/>
  <c r="BM324" i="5"/>
  <c r="BN324" i="5" s="1"/>
  <c r="BO324" i="5"/>
  <c r="BR324" i="5" s="1"/>
  <c r="BM1201" i="5"/>
  <c r="BN1201" i="5" s="1"/>
  <c r="BO1201" i="5"/>
  <c r="BR1201" i="5" s="1"/>
  <c r="BM689" i="5"/>
  <c r="BN689" i="5" s="1"/>
  <c r="BO689" i="5"/>
  <c r="BR689" i="5" s="1"/>
  <c r="BM60" i="5"/>
  <c r="BN60" i="5" s="1"/>
  <c r="BO60" i="5"/>
  <c r="BR60" i="5" s="1"/>
  <c r="BM998" i="5"/>
  <c r="BN998" i="5" s="1"/>
  <c r="BO998" i="5"/>
  <c r="BR998" i="5" s="1"/>
  <c r="BM513" i="5"/>
  <c r="BN513" i="5" s="1"/>
  <c r="BO513" i="5"/>
  <c r="BR513" i="5" s="1"/>
  <c r="BM1351" i="5"/>
  <c r="BN1351" i="5" s="1"/>
  <c r="BO1351" i="5"/>
  <c r="BR1351" i="5" s="1"/>
  <c r="BM485" i="5"/>
  <c r="BN485" i="5" s="1"/>
  <c r="BO485" i="5"/>
  <c r="BR485" i="5" s="1"/>
  <c r="BM1120" i="5"/>
  <c r="BN1120" i="5" s="1"/>
  <c r="BO1120" i="5"/>
  <c r="BR1120" i="5" s="1"/>
  <c r="BM240" i="5"/>
  <c r="BN240" i="5" s="1"/>
  <c r="BO240" i="5"/>
  <c r="BR240" i="5" s="1"/>
  <c r="BM1123" i="5"/>
  <c r="BN1123" i="5" s="1"/>
  <c r="BO1123" i="5"/>
  <c r="BR1123" i="5" s="1"/>
  <c r="BM609" i="5"/>
  <c r="BN609" i="5" s="1"/>
  <c r="BO609" i="5"/>
  <c r="BR609" i="5" s="1"/>
  <c r="BM76" i="5"/>
  <c r="BN76" i="5" s="1"/>
  <c r="BO76" i="5"/>
  <c r="BR76" i="5" s="1"/>
  <c r="BM959" i="5"/>
  <c r="BN959" i="5" s="1"/>
  <c r="BO959" i="5"/>
  <c r="BR959" i="5" s="1"/>
  <c r="BM455" i="5"/>
  <c r="BN455" i="5" s="1"/>
  <c r="BO455" i="5"/>
  <c r="BR455" i="5" s="1"/>
  <c r="BM1300" i="5"/>
  <c r="BN1300" i="5" s="1"/>
  <c r="BO1300" i="5"/>
  <c r="BR1300" i="5" s="1"/>
  <c r="BM716" i="5"/>
  <c r="BN716" i="5" s="1"/>
  <c r="BO716" i="5"/>
  <c r="BR716" i="5" s="1"/>
  <c r="BM241" i="5"/>
  <c r="BN241" i="5" s="1"/>
  <c r="BO241" i="5"/>
  <c r="BR241" i="5" s="1"/>
  <c r="BM1115" i="5"/>
  <c r="BN1115" i="5" s="1"/>
  <c r="BO1115" i="5"/>
  <c r="BR1115" i="5" s="1"/>
  <c r="BM595" i="5"/>
  <c r="BN595" i="5" s="1"/>
  <c r="BO595" i="5"/>
  <c r="BR595" i="5" s="1"/>
  <c r="BM20" i="5"/>
  <c r="BN20" i="5" s="1"/>
  <c r="BO20" i="5"/>
  <c r="BR20" i="5" s="1"/>
  <c r="BM896" i="5"/>
  <c r="BN896" i="5" s="1"/>
  <c r="BO896" i="5"/>
  <c r="BR896" i="5" s="1"/>
  <c r="BM389" i="5"/>
  <c r="BN389" i="5" s="1"/>
  <c r="BO389" i="5"/>
  <c r="BR389" i="5" s="1"/>
  <c r="BM1257" i="5"/>
  <c r="BN1257" i="5" s="1"/>
  <c r="BO1257" i="5"/>
  <c r="BR1257" i="5" s="1"/>
  <c r="BM812" i="5"/>
  <c r="BN812" i="5" s="1"/>
  <c r="BO812" i="5"/>
  <c r="BR812" i="5" s="1"/>
  <c r="BM235" i="5"/>
  <c r="BN235" i="5" s="1"/>
  <c r="BO235" i="5"/>
  <c r="BR235" i="5" s="1"/>
  <c r="BM1097" i="5"/>
  <c r="BN1097" i="5" s="1"/>
  <c r="BO1097" i="5"/>
  <c r="BR1097" i="5" s="1"/>
  <c r="BM1151" i="5"/>
  <c r="BN1151" i="5" s="1"/>
  <c r="BO1151" i="5"/>
  <c r="BR1151" i="5" s="1"/>
  <c r="BM1005" i="5"/>
  <c r="BN1005" i="5" s="1"/>
  <c r="BO1005" i="5"/>
  <c r="BR1005" i="5" s="1"/>
  <c r="BM384" i="5"/>
  <c r="BN384" i="5" s="1"/>
  <c r="BO384" i="5"/>
  <c r="BR384" i="5" s="1"/>
  <c r="BM791" i="5"/>
  <c r="BN791" i="5" s="1"/>
  <c r="BO791" i="5"/>
  <c r="BR791" i="5" s="1"/>
  <c r="BM329" i="5"/>
  <c r="BN329" i="5" s="1"/>
  <c r="BO329" i="5"/>
  <c r="BR329" i="5" s="1"/>
  <c r="BM1189" i="5"/>
  <c r="BN1189" i="5" s="1"/>
  <c r="BO1189" i="5"/>
  <c r="BR1189" i="5" s="1"/>
  <c r="BM650" i="5"/>
  <c r="BN650" i="5" s="1"/>
  <c r="BO650" i="5"/>
  <c r="BR650" i="5" s="1"/>
  <c r="BM74" i="5"/>
  <c r="BN74" i="5" s="1"/>
  <c r="BO74" i="5"/>
  <c r="BR74" i="5" s="1"/>
  <c r="BM1031" i="5"/>
  <c r="BN1031" i="5" s="1"/>
  <c r="BO1031" i="5"/>
  <c r="BR1031" i="5" s="1"/>
  <c r="BM503" i="5"/>
  <c r="BN503" i="5" s="1"/>
  <c r="BO503" i="5"/>
  <c r="BR503" i="5" s="1"/>
  <c r="BM1358" i="5"/>
  <c r="BN1358" i="5" s="1"/>
  <c r="BO1358" i="5"/>
  <c r="BR1358" i="5" s="1"/>
  <c r="BM793" i="5"/>
  <c r="BN793" i="5" s="1"/>
  <c r="BO793" i="5"/>
  <c r="BR793" i="5" s="1"/>
  <c r="BM312" i="5"/>
  <c r="BN312" i="5" s="1"/>
  <c r="BO312" i="5"/>
  <c r="BR312" i="5" s="1"/>
  <c r="BM1179" i="5"/>
  <c r="BN1179" i="5" s="1"/>
  <c r="BO1179" i="5"/>
  <c r="BR1179" i="5" s="1"/>
  <c r="BM676" i="5"/>
  <c r="BN676" i="5" s="1"/>
  <c r="BO676" i="5"/>
  <c r="BR676" i="5" s="1"/>
  <c r="BM149" i="5"/>
  <c r="BN149" i="5" s="1"/>
  <c r="BO149" i="5"/>
  <c r="BR149" i="5" s="1"/>
  <c r="BM985" i="5"/>
  <c r="BN985" i="5" s="1"/>
  <c r="BO985" i="5"/>
  <c r="BR985" i="5" s="1"/>
  <c r="BM476" i="5"/>
  <c r="BN476" i="5" s="1"/>
  <c r="BO476" i="5"/>
  <c r="BR476" i="5" s="1"/>
  <c r="BM1326" i="5"/>
  <c r="BN1326" i="5" s="1"/>
  <c r="BO1326" i="5"/>
  <c r="BR1326" i="5" s="1"/>
  <c r="BM840" i="5"/>
  <c r="BN840" i="5" s="1"/>
  <c r="BO840" i="5"/>
  <c r="BR840" i="5" s="1"/>
  <c r="BM409" i="5"/>
  <c r="BN409" i="5" s="1"/>
  <c r="BO409" i="5"/>
  <c r="BR409" i="5" s="1"/>
  <c r="BM1337" i="5"/>
  <c r="BN1337" i="5" s="1"/>
  <c r="BO1337" i="5"/>
  <c r="BR1337" i="5" s="1"/>
  <c r="BM741" i="5"/>
  <c r="BN741" i="5" s="1"/>
  <c r="BO741" i="5"/>
  <c r="BR741" i="5" s="1"/>
  <c r="BM589" i="5"/>
  <c r="BN589" i="5" s="1"/>
  <c r="BO589" i="5"/>
  <c r="BR589" i="5" s="1"/>
  <c r="BM40" i="5"/>
  <c r="BN40" i="5" s="1"/>
  <c r="BO40" i="5"/>
  <c r="BR40" i="5" s="1"/>
  <c r="BM1023" i="5"/>
  <c r="BN1023" i="5" s="1"/>
  <c r="BO1023" i="5"/>
  <c r="BR1023" i="5" s="1"/>
  <c r="BM1260" i="5"/>
  <c r="BN1260" i="5" s="1"/>
  <c r="BO1260" i="5"/>
  <c r="BR1260" i="5" s="1"/>
  <c r="BM207" i="5"/>
  <c r="BN207" i="5" s="1"/>
  <c r="BO207" i="5"/>
  <c r="BR207" i="5" s="1"/>
  <c r="BM1091" i="5"/>
  <c r="BN1091" i="5" s="1"/>
  <c r="BO1091" i="5"/>
  <c r="BR1091" i="5" s="1"/>
  <c r="BM587" i="5"/>
  <c r="BN587" i="5" s="1"/>
  <c r="BO587" i="5"/>
  <c r="BR587" i="5" s="1"/>
  <c r="BM31" i="5"/>
  <c r="BN31" i="5" s="1"/>
  <c r="BO31" i="5"/>
  <c r="BR31" i="5" s="1"/>
  <c r="BM926" i="5"/>
  <c r="BN926" i="5" s="1"/>
  <c r="BO926" i="5"/>
  <c r="BR926" i="5" s="1"/>
  <c r="BM353" i="5"/>
  <c r="BN353" i="5" s="1"/>
  <c r="BO353" i="5"/>
  <c r="BR353" i="5" s="1"/>
  <c r="BM1235" i="5"/>
  <c r="BN1235" i="5" s="1"/>
  <c r="BO1235" i="5"/>
  <c r="BR1235" i="5" s="1"/>
  <c r="BM757" i="5"/>
  <c r="BN757" i="5" s="1"/>
  <c r="BO757" i="5"/>
  <c r="BR757" i="5" s="1"/>
  <c r="BM179" i="5"/>
  <c r="BN179" i="5" s="1"/>
  <c r="BO179" i="5"/>
  <c r="BR179" i="5" s="1"/>
  <c r="BM1057" i="5"/>
  <c r="BN1057" i="5" s="1"/>
  <c r="BO1057" i="5"/>
  <c r="BR1057" i="5" s="1"/>
  <c r="BM560" i="5"/>
  <c r="BN560" i="5" s="1"/>
  <c r="BO560" i="5"/>
  <c r="BR560" i="5" s="1"/>
  <c r="BM955" i="5"/>
  <c r="BN955" i="5" s="1"/>
  <c r="BO955" i="5"/>
  <c r="BR955" i="5" s="1"/>
  <c r="BM1149" i="5"/>
  <c r="BN1149" i="5" s="1"/>
  <c r="BO1149" i="5"/>
  <c r="BR1149" i="5" s="1"/>
  <c r="BM1283" i="5"/>
  <c r="BO1283" i="5"/>
  <c r="BR1283" i="5" s="1"/>
  <c r="BM200" i="5"/>
  <c r="BO200" i="5"/>
  <c r="BR200" i="5" s="1"/>
  <c r="BM1086" i="5"/>
  <c r="BN1086" i="5" s="1"/>
  <c r="BO1086" i="5"/>
  <c r="BR1086" i="5" s="1"/>
  <c r="BM694" i="5"/>
  <c r="BN694" i="5" s="1"/>
  <c r="BO694" i="5"/>
  <c r="BR694" i="5" s="1"/>
  <c r="BM1374" i="5"/>
  <c r="BN1374" i="5" s="1"/>
  <c r="BO1374" i="5"/>
  <c r="BR1374" i="5" s="1"/>
  <c r="BM1018" i="5"/>
  <c r="BN1018" i="5" s="1"/>
  <c r="BO1018" i="5"/>
  <c r="BR1018" i="5" s="1"/>
  <c r="BM1227" i="5"/>
  <c r="BN1227" i="5" s="1"/>
  <c r="BO1227" i="5"/>
  <c r="BR1227" i="5" s="1"/>
  <c r="BM116" i="5"/>
  <c r="BN116" i="5" s="1"/>
  <c r="BO116" i="5"/>
  <c r="BR116" i="5" s="1"/>
  <c r="BM649" i="5"/>
  <c r="BN649" i="5" s="1"/>
  <c r="BO649" i="5"/>
  <c r="BR649" i="5" s="1"/>
  <c r="BM466" i="5"/>
  <c r="BN466" i="5" s="1"/>
  <c r="BO466" i="5"/>
  <c r="BR466" i="5" s="1"/>
  <c r="BM564" i="5"/>
  <c r="BN564" i="5" s="1"/>
  <c r="BO564" i="5"/>
  <c r="BR564" i="5" s="1"/>
  <c r="BM1350" i="5"/>
  <c r="BN1350" i="5" s="1"/>
  <c r="BO1350" i="5"/>
  <c r="BR1350" i="5" s="1"/>
  <c r="BM6" i="5"/>
  <c r="BN6" i="5" s="1"/>
  <c r="BO6" i="5"/>
  <c r="BR6" i="5" s="1"/>
  <c r="BM121" i="5"/>
  <c r="BN121" i="5" s="1"/>
  <c r="BO121" i="5"/>
  <c r="BR121" i="5" s="1"/>
  <c r="BM93" i="5"/>
  <c r="BN93" i="5" s="1"/>
  <c r="BO93" i="5"/>
  <c r="BR93" i="5" s="1"/>
  <c r="BM37" i="5"/>
  <c r="BN37" i="5" s="1"/>
  <c r="BO37" i="5"/>
  <c r="BR37" i="5" s="1"/>
  <c r="BM916" i="5"/>
  <c r="BN916" i="5" s="1"/>
  <c r="BO916" i="5"/>
  <c r="BR916" i="5" s="1"/>
  <c r="BM308" i="5"/>
  <c r="BN308" i="5" s="1"/>
  <c r="BO308" i="5"/>
  <c r="BR308" i="5" s="1"/>
  <c r="BM1105" i="5"/>
  <c r="BN1105" i="5" s="1"/>
  <c r="BO1105" i="5"/>
  <c r="BR1105" i="5" s="1"/>
  <c r="BM1054" i="5"/>
  <c r="BN1054" i="5" s="1"/>
  <c r="BO1054" i="5"/>
  <c r="BR1054" i="5" s="1"/>
  <c r="BM1033" i="5"/>
  <c r="BN1033" i="5" s="1"/>
  <c r="BO1033" i="5"/>
  <c r="BR1033" i="5" s="1"/>
  <c r="BM435" i="5"/>
  <c r="BN435" i="5" s="1"/>
  <c r="BO435" i="5"/>
  <c r="BR435" i="5" s="1"/>
  <c r="BM823" i="5"/>
  <c r="BN823" i="5" s="1"/>
  <c r="BO823" i="5"/>
  <c r="BR823" i="5" s="1"/>
  <c r="BM110" i="5"/>
  <c r="BN110" i="5" s="1"/>
  <c r="BO110" i="5"/>
  <c r="BR110" i="5" s="1"/>
  <c r="BM1020" i="5"/>
  <c r="BN1020" i="5" s="1"/>
  <c r="BO1020" i="5"/>
  <c r="BR1020" i="5" s="1"/>
  <c r="BM39" i="5"/>
  <c r="BN39" i="5" s="1"/>
  <c r="BO39" i="5"/>
  <c r="BR39" i="5" s="1"/>
  <c r="BM405" i="5"/>
  <c r="BN405" i="5" s="1"/>
  <c r="BO405" i="5"/>
  <c r="BR405" i="5" s="1"/>
  <c r="BM719" i="5"/>
  <c r="BN719" i="5" s="1"/>
  <c r="BO719" i="5"/>
  <c r="BR719" i="5" s="1"/>
  <c r="BM306" i="5"/>
  <c r="BN306" i="5" s="1"/>
  <c r="BO306" i="5"/>
  <c r="BR306" i="5" s="1"/>
  <c r="BM635" i="5"/>
  <c r="BN635" i="5" s="1"/>
  <c r="BO635" i="5"/>
  <c r="BR635" i="5" s="1"/>
  <c r="BM36" i="5"/>
  <c r="BN36" i="5" s="1"/>
  <c r="BO36" i="5"/>
  <c r="BR36" i="5" s="1"/>
  <c r="BM734" i="5"/>
  <c r="BN734" i="5" s="1"/>
  <c r="BO734" i="5"/>
  <c r="BR734" i="5" s="1"/>
  <c r="BM95" i="5"/>
  <c r="BN95" i="5" s="1"/>
  <c r="BO95" i="5"/>
  <c r="BR95" i="5" s="1"/>
  <c r="BM938" i="5"/>
  <c r="BN938" i="5" s="1"/>
  <c r="BO938" i="5"/>
  <c r="BR938" i="5" s="1"/>
  <c r="BM958" i="5"/>
  <c r="BN958" i="5" s="1"/>
  <c r="BO958" i="5"/>
  <c r="BR958" i="5" s="1"/>
  <c r="BM216" i="5"/>
  <c r="BN216" i="5" s="1"/>
  <c r="BO216" i="5"/>
  <c r="BR216" i="5" s="1"/>
  <c r="BM123" i="5"/>
  <c r="BN123" i="5" s="1"/>
  <c r="BO123" i="5"/>
  <c r="BR123" i="5" s="1"/>
  <c r="BM1379" i="5"/>
  <c r="BN1379" i="5" s="1"/>
  <c r="BO1379" i="5"/>
  <c r="BR1379" i="5" s="1"/>
  <c r="BM742" i="5"/>
  <c r="BN742" i="5" s="1"/>
  <c r="BO742" i="5"/>
  <c r="BR742" i="5" s="1"/>
  <c r="BM606" i="5"/>
  <c r="BN606" i="5" s="1"/>
  <c r="BO606" i="5"/>
  <c r="BR606" i="5" s="1"/>
  <c r="BM1319" i="5"/>
  <c r="BN1319" i="5" s="1"/>
  <c r="BO1319" i="5"/>
  <c r="BR1319" i="5" s="1"/>
  <c r="BM125" i="5"/>
  <c r="BN125" i="5" s="1"/>
  <c r="BO125" i="5"/>
  <c r="BR125" i="5" s="1"/>
  <c r="BM413" i="5"/>
  <c r="BN413" i="5" s="1"/>
  <c r="BO413" i="5"/>
  <c r="BR413" i="5" s="1"/>
  <c r="BM749" i="5"/>
  <c r="BN749" i="5" s="1"/>
  <c r="BO749" i="5"/>
  <c r="BR749" i="5" s="1"/>
  <c r="BM1395" i="5"/>
  <c r="BN1395" i="5" s="1"/>
  <c r="BO1395" i="5"/>
  <c r="BR1395" i="5" s="1"/>
  <c r="BM184" i="5"/>
  <c r="BN184" i="5" s="1"/>
  <c r="BO184" i="5"/>
  <c r="BR184" i="5" s="1"/>
  <c r="BM729" i="5"/>
  <c r="BN729" i="5" s="1"/>
  <c r="BO729" i="5"/>
  <c r="BR729" i="5" s="1"/>
  <c r="BM293" i="5"/>
  <c r="BN293" i="5" s="1"/>
  <c r="BO293" i="5"/>
  <c r="BR293" i="5" s="1"/>
  <c r="BM1156" i="5"/>
  <c r="BN1156" i="5" s="1"/>
  <c r="BO1156" i="5"/>
  <c r="BR1156" i="5" s="1"/>
  <c r="BM112" i="5"/>
  <c r="BN112" i="5" s="1"/>
  <c r="BO112" i="5"/>
  <c r="BR112" i="5" s="1"/>
  <c r="BM860" i="5"/>
  <c r="BN860" i="5" s="1"/>
  <c r="BO860" i="5"/>
  <c r="BR860" i="5" s="1"/>
  <c r="BM478" i="5"/>
  <c r="BN478" i="5" s="1"/>
  <c r="BO478" i="5"/>
  <c r="BR478" i="5" s="1"/>
  <c r="BM1331" i="5"/>
  <c r="BN1331" i="5" s="1"/>
  <c r="BO1331" i="5"/>
  <c r="BR1331" i="5" s="1"/>
  <c r="BM785" i="5"/>
  <c r="BN785" i="5" s="1"/>
  <c r="BO785" i="5"/>
  <c r="BR785" i="5" s="1"/>
  <c r="BM282" i="5"/>
  <c r="BN282" i="5" s="1"/>
  <c r="BO282" i="5"/>
  <c r="BR282" i="5" s="1"/>
  <c r="BM1157" i="5"/>
  <c r="BN1157" i="5" s="1"/>
  <c r="BO1157" i="5"/>
  <c r="BR1157" i="5" s="1"/>
  <c r="BM628" i="5"/>
  <c r="BN628" i="5" s="1"/>
  <c r="BO628" i="5"/>
  <c r="BR628" i="5" s="1"/>
  <c r="BM134" i="5"/>
  <c r="BN134" i="5" s="1"/>
  <c r="BO134" i="5"/>
  <c r="BR134" i="5" s="1"/>
  <c r="BM964" i="5"/>
  <c r="BN964" i="5" s="1"/>
  <c r="BO964" i="5"/>
  <c r="BR964" i="5" s="1"/>
  <c r="BM447" i="5"/>
  <c r="BN447" i="5" s="1"/>
  <c r="BO447" i="5"/>
  <c r="BR447" i="5" s="1"/>
  <c r="BM1290" i="5"/>
  <c r="BN1290" i="5" s="1"/>
  <c r="BO1290" i="5"/>
  <c r="BR1290" i="5" s="1"/>
  <c r="BM723" i="5"/>
  <c r="BN723" i="5" s="1"/>
  <c r="BO723" i="5"/>
  <c r="BR723" i="5" s="1"/>
  <c r="BM247" i="5"/>
  <c r="BN247" i="5" s="1"/>
  <c r="BO247" i="5"/>
  <c r="BR247" i="5" s="1"/>
  <c r="BM1131" i="5"/>
  <c r="BN1131" i="5" s="1"/>
  <c r="BO1131" i="5"/>
  <c r="BR1131" i="5" s="1"/>
  <c r="BM283" i="5"/>
  <c r="BO283" i="5"/>
  <c r="BM309" i="5"/>
  <c r="BN309" i="5" s="1"/>
  <c r="BO309" i="5"/>
  <c r="BR309" i="5" s="1"/>
  <c r="BM767" i="5"/>
  <c r="BN767" i="5" s="1"/>
  <c r="BO767" i="5"/>
  <c r="BR767" i="5" s="1"/>
  <c r="BM292" i="5"/>
  <c r="BN292" i="5" s="1"/>
  <c r="BO292" i="5"/>
  <c r="BR292" i="5" s="1"/>
  <c r="BM834" i="5"/>
  <c r="BN834" i="5" s="1"/>
  <c r="BO834" i="5"/>
  <c r="BR834" i="5" s="1"/>
  <c r="BM236" i="5"/>
  <c r="BN236" i="5" s="1"/>
  <c r="BO236" i="5"/>
  <c r="BR236" i="5" s="1"/>
  <c r="BM1083" i="5"/>
  <c r="BN1083" i="5" s="1"/>
  <c r="BO1083" i="5"/>
  <c r="BR1083" i="5" s="1"/>
  <c r="BM612" i="5"/>
  <c r="BN612" i="5" s="1"/>
  <c r="BO612" i="5"/>
  <c r="BR612" i="5" s="1"/>
  <c r="BM27" i="5"/>
  <c r="BN27" i="5" s="1"/>
  <c r="BO27" i="5"/>
  <c r="BR27" i="5" s="1"/>
  <c r="BM1027" i="5"/>
  <c r="BN1027" i="5" s="1"/>
  <c r="BO1027" i="5"/>
  <c r="BR1027" i="5" s="1"/>
  <c r="BM397" i="5"/>
  <c r="BN397" i="5" s="1"/>
  <c r="BO397" i="5"/>
  <c r="BR397" i="5" s="1"/>
  <c r="BM1261" i="5"/>
  <c r="BN1261" i="5" s="1"/>
  <c r="BO1261" i="5"/>
  <c r="BR1261" i="5" s="1"/>
  <c r="BM852" i="5"/>
  <c r="BN852" i="5" s="1"/>
  <c r="BO852" i="5"/>
  <c r="BR852" i="5" s="1"/>
  <c r="BM188" i="5"/>
  <c r="BN188" i="5" s="1"/>
  <c r="BO188" i="5"/>
  <c r="BR188" i="5" s="1"/>
  <c r="BM1073" i="5"/>
  <c r="BN1073" i="5" s="1"/>
  <c r="BO1073" i="5"/>
  <c r="BR1073" i="5" s="1"/>
  <c r="BM569" i="5"/>
  <c r="BN569" i="5" s="1"/>
  <c r="BO569" i="5"/>
  <c r="BR569" i="5" s="1"/>
  <c r="BM1391" i="5"/>
  <c r="BN1391" i="5" s="1"/>
  <c r="BO1391" i="5"/>
  <c r="BR1391" i="5" s="1"/>
  <c r="BM915" i="5"/>
  <c r="BN915" i="5" s="1"/>
  <c r="BO915" i="5"/>
  <c r="BR915" i="5" s="1"/>
  <c r="BM370" i="5"/>
  <c r="BN370" i="5" s="1"/>
  <c r="BO370" i="5"/>
  <c r="BR370" i="5" s="1"/>
  <c r="BM746" i="5"/>
  <c r="BN746" i="5" s="1"/>
  <c r="BO746" i="5"/>
  <c r="BR746" i="5" s="1"/>
  <c r="BM566" i="5"/>
  <c r="BN566" i="5" s="1"/>
  <c r="BO566" i="5"/>
  <c r="BR566" i="5" s="1"/>
  <c r="BM24" i="5"/>
  <c r="BN24" i="5" s="1"/>
  <c r="BO24" i="5"/>
  <c r="BR24" i="5" s="1"/>
  <c r="BM383" i="5"/>
  <c r="BN383" i="5" s="1"/>
  <c r="BO383" i="5"/>
  <c r="BR383" i="5" s="1"/>
  <c r="BM1040" i="5"/>
  <c r="BN1040" i="5" s="1"/>
  <c r="BO1040" i="5"/>
  <c r="BR1040" i="5" s="1"/>
  <c r="BM1373" i="5"/>
  <c r="BN1373" i="5" s="1"/>
  <c r="BO1373" i="5"/>
  <c r="BR1373" i="5" s="1"/>
  <c r="BM1022" i="5"/>
  <c r="BN1022" i="5" s="1"/>
  <c r="BO1022" i="5"/>
  <c r="BR1022" i="5" s="1"/>
  <c r="BM355" i="5"/>
  <c r="BN355" i="5" s="1"/>
  <c r="BO355" i="5"/>
  <c r="BR355" i="5" s="1"/>
  <c r="BM1224" i="5"/>
  <c r="BN1224" i="5" s="1"/>
  <c r="BO1224" i="5"/>
  <c r="BR1224" i="5" s="1"/>
  <c r="BM636" i="5"/>
  <c r="BN636" i="5" s="1"/>
  <c r="BO636" i="5"/>
  <c r="BR636" i="5" s="1"/>
  <c r="BM165" i="5"/>
  <c r="BN165" i="5" s="1"/>
  <c r="BO165" i="5"/>
  <c r="BR165" i="5" s="1"/>
  <c r="BM1032" i="5"/>
  <c r="BN1032" i="5" s="1"/>
  <c r="BO1032" i="5"/>
  <c r="BR1032" i="5" s="1"/>
  <c r="BM481" i="5"/>
  <c r="BN481" i="5" s="1"/>
  <c r="BO481" i="5"/>
  <c r="BR481" i="5" s="1"/>
  <c r="BM1332" i="5"/>
  <c r="BN1332" i="5" s="1"/>
  <c r="BO1332" i="5"/>
  <c r="BR1332" i="5" s="1"/>
  <c r="BM310" i="5"/>
  <c r="BN310" i="5" s="1"/>
  <c r="BO310" i="5"/>
  <c r="BR310" i="5" s="1"/>
  <c r="BM1165" i="5"/>
  <c r="BN1165" i="5" s="1"/>
  <c r="BO1165" i="5"/>
  <c r="BR1165" i="5" s="1"/>
  <c r="BM677" i="5"/>
  <c r="BN677" i="5" s="1"/>
  <c r="BO677" i="5"/>
  <c r="BR677" i="5" s="1"/>
  <c r="BM139" i="5"/>
  <c r="BN139" i="5" s="1"/>
  <c r="BO139" i="5"/>
  <c r="BR139" i="5" s="1"/>
  <c r="BM900" i="5"/>
  <c r="BN900" i="5" s="1"/>
  <c r="BO900" i="5"/>
  <c r="BR900" i="5" s="1"/>
  <c r="BM146" i="5"/>
  <c r="BN146" i="5" s="1"/>
  <c r="BO146" i="5"/>
  <c r="BR146" i="5" s="1"/>
  <c r="BM83" i="5"/>
  <c r="BN83" i="5" s="1"/>
  <c r="BO83" i="5"/>
  <c r="BR83" i="5" s="1"/>
  <c r="BM551" i="5"/>
  <c r="BN551" i="5" s="1"/>
  <c r="BO551" i="5"/>
  <c r="BR551" i="5" s="1"/>
  <c r="BM7" i="5"/>
  <c r="BN7" i="5" s="1"/>
  <c r="BO7" i="5"/>
  <c r="BR7" i="5" s="1"/>
  <c r="BM489" i="5"/>
  <c r="BN489" i="5" s="1"/>
  <c r="BO489" i="5"/>
  <c r="BR489" i="5" s="1"/>
  <c r="BM1330" i="5"/>
  <c r="BN1330" i="5" s="1"/>
  <c r="BO1330" i="5"/>
  <c r="BR1330" i="5" s="1"/>
  <c r="BM844" i="5"/>
  <c r="BN844" i="5" s="1"/>
  <c r="BO844" i="5"/>
  <c r="BR844" i="5" s="1"/>
  <c r="BM301" i="5"/>
  <c r="BN301" i="5" s="1"/>
  <c r="BO301" i="5"/>
  <c r="BR301" i="5" s="1"/>
  <c r="BM1167" i="5"/>
  <c r="BN1167" i="5" s="1"/>
  <c r="BO1167" i="5"/>
  <c r="BR1167" i="5" s="1"/>
  <c r="BM118" i="5"/>
  <c r="BN118" i="5" s="1"/>
  <c r="BO118" i="5"/>
  <c r="BR118" i="5" s="1"/>
  <c r="BM903" i="5"/>
  <c r="BN903" i="5" s="1"/>
  <c r="BO903" i="5"/>
  <c r="BR903" i="5" s="1"/>
  <c r="BM462" i="5"/>
  <c r="BN462" i="5" s="1"/>
  <c r="BO462" i="5"/>
  <c r="BR462" i="5" s="1"/>
  <c r="BM1317" i="5"/>
  <c r="BN1317" i="5" s="1"/>
  <c r="BO1317" i="5"/>
  <c r="BR1317" i="5" s="1"/>
  <c r="BM713" i="5"/>
  <c r="BN713" i="5" s="1"/>
  <c r="BO713" i="5"/>
  <c r="BR713" i="5" s="1"/>
  <c r="BM273" i="5"/>
  <c r="BN273" i="5" s="1"/>
  <c r="BO273" i="5"/>
  <c r="BR273" i="5" s="1"/>
  <c r="BM1136" i="5"/>
  <c r="BN1136" i="5" s="1"/>
  <c r="BO1136" i="5"/>
  <c r="BR1136" i="5" s="1"/>
  <c r="BM542" i="5"/>
  <c r="BN542" i="5" s="1"/>
  <c r="BO542" i="5"/>
  <c r="BR542" i="5" s="1"/>
  <c r="BM90" i="5"/>
  <c r="BN90" i="5" s="1"/>
  <c r="BO90" i="5"/>
  <c r="BR90" i="5" s="1"/>
  <c r="BM965" i="5"/>
  <c r="BN965" i="5" s="1"/>
  <c r="BO965" i="5"/>
  <c r="BR965" i="5" s="1"/>
  <c r="BM445" i="5"/>
  <c r="BN445" i="5" s="1"/>
  <c r="BO445" i="5"/>
  <c r="BR445" i="5" s="1"/>
  <c r="BM1309" i="5"/>
  <c r="BN1309" i="5" s="1"/>
  <c r="BO1309" i="5"/>
  <c r="BR1309" i="5" s="1"/>
  <c r="BM1182" i="5"/>
  <c r="BN1182" i="5" s="1"/>
  <c r="BO1182" i="5"/>
  <c r="BR1182" i="5" s="1"/>
  <c r="BM642" i="5"/>
  <c r="BN642" i="5" s="1"/>
  <c r="BO642" i="5"/>
  <c r="BR642" i="5" s="1"/>
  <c r="BM870" i="5"/>
  <c r="BN870" i="5" s="1"/>
  <c r="BO870" i="5"/>
  <c r="BR870" i="5" s="1"/>
  <c r="BM755" i="5"/>
  <c r="BN755" i="5" s="1"/>
  <c r="BO755" i="5"/>
  <c r="BR755" i="5" s="1"/>
  <c r="BM981" i="5"/>
  <c r="BN981" i="5" s="1"/>
  <c r="BO981" i="5"/>
  <c r="BR981" i="5" s="1"/>
  <c r="BM193" i="5"/>
  <c r="BN193" i="5" s="1"/>
  <c r="BO193" i="5"/>
  <c r="BR193" i="5" s="1"/>
  <c r="BM1124" i="5"/>
  <c r="BN1124" i="5" s="1"/>
  <c r="BO1124" i="5"/>
  <c r="BR1124" i="5" s="1"/>
  <c r="BM754" i="5"/>
  <c r="BN754" i="5" s="1"/>
  <c r="BO754" i="5"/>
  <c r="BR754" i="5" s="1"/>
  <c r="BM1387" i="5"/>
  <c r="BN1387" i="5" s="1"/>
  <c r="BO1387" i="5"/>
  <c r="BR1387" i="5" s="1"/>
  <c r="BM373" i="5"/>
  <c r="BN373" i="5" s="1"/>
  <c r="BO373" i="5"/>
  <c r="BR373" i="5" s="1"/>
  <c r="BM691" i="5"/>
  <c r="BN691" i="5" s="1"/>
  <c r="BO691" i="5"/>
  <c r="BR691" i="5" s="1"/>
  <c r="BM111" i="5"/>
  <c r="BN111" i="5" s="1"/>
  <c r="BO111" i="5"/>
  <c r="BR111" i="5" s="1"/>
  <c r="BM779" i="5"/>
  <c r="BN779" i="5" s="1"/>
  <c r="BO779" i="5"/>
  <c r="BR779" i="5" s="1"/>
  <c r="BM424" i="5"/>
  <c r="BN424" i="5" s="1"/>
  <c r="BO424" i="5"/>
  <c r="BR424" i="5" s="1"/>
  <c r="BM978" i="5"/>
  <c r="BN978" i="5" s="1"/>
  <c r="BO978" i="5"/>
  <c r="BR978" i="5" s="1"/>
  <c r="BM867" i="5"/>
  <c r="BN867" i="5" s="1"/>
  <c r="BO867" i="5"/>
  <c r="BR867" i="5" s="1"/>
  <c r="BM96" i="5"/>
  <c r="BN96" i="5" s="1"/>
  <c r="BO96" i="5"/>
  <c r="BR96" i="5" s="1"/>
  <c r="BM13" i="5"/>
  <c r="BN13" i="5" s="1"/>
  <c r="BO13" i="5"/>
  <c r="BR13" i="5" s="1"/>
  <c r="BM594" i="5"/>
  <c r="BN594" i="5" s="1"/>
  <c r="BO594" i="5"/>
  <c r="BR594" i="5" s="1"/>
  <c r="BM472" i="5"/>
  <c r="BN472" i="5" s="1"/>
  <c r="BO472" i="5"/>
  <c r="BR472" i="5" s="1"/>
  <c r="BM360" i="5"/>
  <c r="BN360" i="5" s="1"/>
  <c r="BO360" i="5"/>
  <c r="BR360" i="5" s="1"/>
  <c r="BM808" i="5"/>
  <c r="BN808" i="5" s="1"/>
  <c r="BO808" i="5"/>
  <c r="BR808" i="5" s="1"/>
  <c r="BM631" i="5"/>
  <c r="BN631" i="5" s="1"/>
  <c r="BO631" i="5"/>
  <c r="BR631" i="5" s="1"/>
  <c r="BM114" i="5"/>
  <c r="BN114" i="5" s="1"/>
  <c r="BO114" i="5"/>
  <c r="BR114" i="5" s="1"/>
  <c r="BM980" i="5"/>
  <c r="BN980" i="5" s="1"/>
  <c r="BO980" i="5"/>
  <c r="BR980" i="5" s="1"/>
  <c r="BM491" i="5"/>
  <c r="BN491" i="5" s="1"/>
  <c r="BO491" i="5"/>
  <c r="BR491" i="5" s="1"/>
  <c r="BM1327" i="5"/>
  <c r="BN1327" i="5" s="1"/>
  <c r="BO1327" i="5"/>
  <c r="BR1327" i="5" s="1"/>
  <c r="BM318" i="5"/>
  <c r="BN318" i="5" s="1"/>
  <c r="BO318" i="5"/>
  <c r="BR318" i="5" s="1"/>
  <c r="BM1146" i="5"/>
  <c r="BN1146" i="5" s="1"/>
  <c r="BO1146" i="5"/>
  <c r="BR1146" i="5" s="1"/>
  <c r="BM674" i="5"/>
  <c r="BN674" i="5" s="1"/>
  <c r="BO674" i="5"/>
  <c r="BR674" i="5" s="1"/>
  <c r="BM969" i="5"/>
  <c r="BN969" i="5" s="1"/>
  <c r="BO969" i="5"/>
  <c r="BR969" i="5" s="1"/>
  <c r="BM456" i="5"/>
  <c r="BN456" i="5" s="1"/>
  <c r="BO456" i="5"/>
  <c r="BR456" i="5" s="1"/>
  <c r="BM1302" i="5"/>
  <c r="BN1302" i="5" s="1"/>
  <c r="BO1302" i="5"/>
  <c r="BR1302" i="5" s="1"/>
  <c r="BM776" i="5"/>
  <c r="BN776" i="5" s="1"/>
  <c r="BO776" i="5"/>
  <c r="BR776" i="5" s="1"/>
  <c r="BM261" i="5"/>
  <c r="BN261" i="5" s="1"/>
  <c r="BO261" i="5"/>
  <c r="BR261" i="5" s="1"/>
  <c r="BM1130" i="5"/>
  <c r="BN1130" i="5" s="1"/>
  <c r="BO1130" i="5"/>
  <c r="BR1130" i="5" s="1"/>
  <c r="BM522" i="5"/>
  <c r="BN522" i="5" s="1"/>
  <c r="BO522" i="5"/>
  <c r="BR522" i="5" s="1"/>
  <c r="BM349" i="5"/>
  <c r="BN349" i="5" s="1"/>
  <c r="BO349" i="5"/>
  <c r="BR349" i="5" s="1"/>
  <c r="BM1397" i="5"/>
  <c r="BN1397" i="5" s="1"/>
  <c r="BO1397" i="5"/>
  <c r="BR1397" i="5" s="1"/>
  <c r="BM172" i="5"/>
  <c r="BN172" i="5" s="1"/>
  <c r="BO172" i="5"/>
  <c r="BR172" i="5" s="1"/>
  <c r="BM340" i="5"/>
  <c r="BN340" i="5" s="1"/>
  <c r="BO340" i="5"/>
  <c r="BR340" i="5" s="1"/>
  <c r="BM761" i="5"/>
  <c r="BN761" i="5" s="1"/>
  <c r="BO761" i="5"/>
  <c r="BR761" i="5" s="1"/>
  <c r="BM270" i="5"/>
  <c r="BN270" i="5" s="1"/>
  <c r="BO270" i="5"/>
  <c r="BR270" i="5" s="1"/>
  <c r="BM660" i="5"/>
  <c r="BN660" i="5" s="1"/>
  <c r="BO660" i="5"/>
  <c r="BR660" i="5" s="1"/>
  <c r="BM889" i="5"/>
  <c r="BN889" i="5" s="1"/>
  <c r="BO889" i="5"/>
  <c r="BR889" i="5" s="1"/>
  <c r="BM436" i="5"/>
  <c r="BN436" i="5" s="1"/>
  <c r="BO436" i="5"/>
  <c r="BR436" i="5" s="1"/>
  <c r="BM1314" i="5"/>
  <c r="BN1314" i="5" s="1"/>
  <c r="BO1314" i="5"/>
  <c r="BR1314" i="5" s="1"/>
  <c r="BM770" i="5"/>
  <c r="BN770" i="5" s="1"/>
  <c r="BO770" i="5"/>
  <c r="BR770" i="5" s="1"/>
  <c r="BM246" i="5"/>
  <c r="BN246" i="5" s="1"/>
  <c r="BO246" i="5"/>
  <c r="BR246" i="5" s="1"/>
  <c r="BM1129" i="5"/>
  <c r="BN1129" i="5" s="1"/>
  <c r="BO1129" i="5"/>
  <c r="BR1129" i="5" s="1"/>
  <c r="BM572" i="5"/>
  <c r="BN572" i="5" s="1"/>
  <c r="BO572" i="5"/>
  <c r="BR572" i="5" s="1"/>
  <c r="BM946" i="5"/>
  <c r="BN946" i="5" s="1"/>
  <c r="BO946" i="5"/>
  <c r="BR946" i="5" s="1"/>
  <c r="BM421" i="5"/>
  <c r="BN421" i="5" s="1"/>
  <c r="BO421" i="5"/>
  <c r="BR421" i="5" s="1"/>
  <c r="BM1286" i="5"/>
  <c r="BN1286" i="5" s="1"/>
  <c r="BO1286" i="5"/>
  <c r="BR1286" i="5" s="1"/>
  <c r="BM835" i="5"/>
  <c r="BN835" i="5" s="1"/>
  <c r="BO835" i="5"/>
  <c r="BR835" i="5" s="1"/>
  <c r="BM1262" i="5"/>
  <c r="BN1262" i="5" s="1"/>
  <c r="BO1262" i="5"/>
  <c r="BR1262" i="5" s="1"/>
  <c r="BM828" i="5"/>
  <c r="BN828" i="5" s="1"/>
  <c r="BO828" i="5"/>
  <c r="BR828" i="5" s="1"/>
  <c r="BM949" i="5"/>
  <c r="BN949" i="5" s="1"/>
  <c r="BO949" i="5"/>
  <c r="BR949" i="5" s="1"/>
  <c r="BM204" i="5"/>
  <c r="BN204" i="5" s="1"/>
  <c r="BO204" i="5"/>
  <c r="BR204" i="5" s="1"/>
  <c r="BM1101" i="5"/>
  <c r="BN1101" i="5" s="1"/>
  <c r="BO1101" i="5"/>
  <c r="BR1101" i="5" s="1"/>
  <c r="BM591" i="5"/>
  <c r="BN591" i="5" s="1"/>
  <c r="BO591" i="5"/>
  <c r="BR591" i="5" s="1"/>
  <c r="BM46" i="5"/>
  <c r="BN46" i="5" s="1"/>
  <c r="BO46" i="5"/>
  <c r="BR46" i="5" s="1"/>
  <c r="BM962" i="5"/>
  <c r="BO962" i="5"/>
  <c r="BR962" i="5" s="1"/>
  <c r="BM419" i="5"/>
  <c r="BN419" i="5" s="1"/>
  <c r="BO419" i="5"/>
  <c r="BR419" i="5" s="1"/>
  <c r="BM1276" i="5"/>
  <c r="BN1276" i="5" s="1"/>
  <c r="BO1276" i="5"/>
  <c r="BR1276" i="5" s="1"/>
  <c r="BM766" i="5"/>
  <c r="BN766" i="5" s="1"/>
  <c r="BO766" i="5"/>
  <c r="BR766" i="5" s="1"/>
  <c r="BM213" i="5"/>
  <c r="BN213" i="5" s="1"/>
  <c r="BO213" i="5"/>
  <c r="BR213" i="5" s="1"/>
  <c r="BM1092" i="5"/>
  <c r="BN1092" i="5" s="1"/>
  <c r="BO1092" i="5"/>
  <c r="BR1092" i="5" s="1"/>
  <c r="BM540" i="5"/>
  <c r="BN540" i="5" s="1"/>
  <c r="BO540" i="5"/>
  <c r="BR540" i="5" s="1"/>
  <c r="BM32" i="5"/>
  <c r="BN32" i="5" s="1"/>
  <c r="BO32" i="5"/>
  <c r="BR32" i="5" s="1"/>
  <c r="BM927" i="5"/>
  <c r="BN927" i="5" s="1"/>
  <c r="BO927" i="5"/>
  <c r="BR927" i="5" s="1"/>
  <c r="BM363" i="5"/>
  <c r="BN363" i="5" s="1"/>
  <c r="BO363" i="5"/>
  <c r="BR363" i="5" s="1"/>
  <c r="BM1234" i="5"/>
  <c r="BN1234" i="5" s="1"/>
  <c r="BO1234" i="5"/>
  <c r="BR1234" i="5" s="1"/>
  <c r="BM751" i="5"/>
  <c r="BN751" i="5" s="1"/>
  <c r="BO751" i="5"/>
  <c r="BR751" i="5" s="1"/>
  <c r="BM210" i="5"/>
  <c r="BN210" i="5" s="1"/>
  <c r="BO210" i="5"/>
  <c r="BR210" i="5" s="1"/>
  <c r="BM1070" i="5"/>
  <c r="BN1070" i="5" s="1"/>
  <c r="BO1070" i="5"/>
  <c r="BR1070" i="5" s="1"/>
  <c r="BM1006" i="5"/>
  <c r="BN1006" i="5" s="1"/>
  <c r="BO1006" i="5"/>
  <c r="BR1006" i="5" s="1"/>
  <c r="BM658" i="5"/>
  <c r="BN658" i="5" s="1"/>
  <c r="BO658" i="5"/>
  <c r="BR658" i="5" s="1"/>
  <c r="BM124" i="5"/>
  <c r="BN124" i="5" s="1"/>
  <c r="BO124" i="5"/>
  <c r="BR124" i="5" s="1"/>
  <c r="BM646" i="5"/>
  <c r="BN646" i="5" s="1"/>
  <c r="BO646" i="5"/>
  <c r="BR646" i="5" s="1"/>
  <c r="BM72" i="5"/>
  <c r="BN72" i="5" s="1"/>
  <c r="BO72" i="5"/>
  <c r="BR72" i="5" s="1"/>
  <c r="BM908" i="5"/>
  <c r="BN908" i="5" s="1"/>
  <c r="BO908" i="5"/>
  <c r="BR908" i="5" s="1"/>
  <c r="BM323" i="5"/>
  <c r="BN323" i="5" s="1"/>
  <c r="BO323" i="5"/>
  <c r="BR323" i="5" s="1"/>
  <c r="BM1198" i="5"/>
  <c r="BN1198" i="5" s="1"/>
  <c r="BO1198" i="5"/>
  <c r="BR1198" i="5" s="1"/>
  <c r="BM639" i="5"/>
  <c r="BN639" i="5" s="1"/>
  <c r="BO639" i="5"/>
  <c r="BR639" i="5" s="1"/>
  <c r="BM120" i="5"/>
  <c r="BN120" i="5" s="1"/>
  <c r="BO120" i="5"/>
  <c r="BR120" i="5" s="1"/>
  <c r="BM906" i="5"/>
  <c r="BN906" i="5" s="1"/>
  <c r="BO906" i="5"/>
  <c r="BR906" i="5" s="1"/>
  <c r="BM498" i="5"/>
  <c r="BN498" i="5" s="1"/>
  <c r="BO498" i="5"/>
  <c r="BR498" i="5" s="1"/>
  <c r="BM815" i="5"/>
  <c r="BN815" i="5" s="1"/>
  <c r="BO815" i="5"/>
  <c r="BR815" i="5" s="1"/>
  <c r="BM299" i="5"/>
  <c r="BN299" i="5" s="1"/>
  <c r="BO299" i="5"/>
  <c r="BR299" i="5" s="1"/>
  <c r="BM1166" i="5"/>
  <c r="BN1166" i="5" s="1"/>
  <c r="BO1166" i="5"/>
  <c r="BR1166" i="5" s="1"/>
  <c r="BM659" i="5"/>
  <c r="BN659" i="5" s="1"/>
  <c r="BO659" i="5"/>
  <c r="BR659" i="5" s="1"/>
  <c r="BM836" i="5"/>
  <c r="BN836" i="5" s="1"/>
  <c r="BO836" i="5"/>
  <c r="BR836" i="5" s="1"/>
  <c r="BM271" i="5"/>
  <c r="BN271" i="5" s="1"/>
  <c r="BO271" i="5"/>
  <c r="BR271" i="5" s="1"/>
  <c r="BM894" i="5"/>
  <c r="BN894" i="5" s="1"/>
  <c r="BO894" i="5"/>
  <c r="BR894" i="5" s="1"/>
  <c r="BM410" i="5"/>
  <c r="BN410" i="5" s="1"/>
  <c r="BO410" i="5"/>
  <c r="BR410" i="5" s="1"/>
  <c r="BM1270" i="5"/>
  <c r="BN1270" i="5" s="1"/>
  <c r="BO1270" i="5"/>
  <c r="BR1270" i="5" s="1"/>
  <c r="BM752" i="5"/>
  <c r="BN752" i="5" s="1"/>
  <c r="BO752" i="5"/>
  <c r="BR752" i="5" s="1"/>
  <c r="BM237" i="5"/>
  <c r="BO237" i="5"/>
  <c r="BR237" i="5" s="1"/>
  <c r="BM1100" i="5"/>
  <c r="BN1100" i="5" s="1"/>
  <c r="BO1100" i="5"/>
  <c r="BR1100" i="5" s="1"/>
  <c r="BM541" i="5"/>
  <c r="BN541" i="5" s="1"/>
  <c r="BO541" i="5"/>
  <c r="BR541" i="5" s="1"/>
  <c r="BM28" i="5"/>
  <c r="BN28" i="5" s="1"/>
  <c r="BO28" i="5"/>
  <c r="BR28" i="5" s="1"/>
  <c r="BM890" i="5"/>
  <c r="BN890" i="5" s="1"/>
  <c r="BO890" i="5"/>
  <c r="BR890" i="5" s="1"/>
  <c r="BM382" i="5"/>
  <c r="BN382" i="5" s="1"/>
  <c r="BO382" i="5"/>
  <c r="BR382" i="5" s="1"/>
  <c r="BM1256" i="5"/>
  <c r="BN1256" i="5" s="1"/>
  <c r="BO1256" i="5"/>
  <c r="BR1256" i="5" s="1"/>
  <c r="BM853" i="5"/>
  <c r="BN853" i="5" s="1"/>
  <c r="BO853" i="5"/>
  <c r="BR853" i="5" s="1"/>
  <c r="BM189" i="5"/>
  <c r="BN189" i="5" s="1"/>
  <c r="BO189" i="5"/>
  <c r="BR189" i="5" s="1"/>
  <c r="BM1072" i="5"/>
  <c r="BN1072" i="5" s="1"/>
  <c r="BO1072" i="5"/>
  <c r="BR1072" i="5" s="1"/>
  <c r="BM535" i="5"/>
  <c r="BN535" i="5" s="1"/>
  <c r="BO535" i="5"/>
  <c r="BR535" i="5" s="1"/>
  <c r="BM1393" i="5"/>
  <c r="BN1393" i="5" s="1"/>
  <c r="BO1393" i="5"/>
  <c r="BR1393" i="5" s="1"/>
  <c r="BM877" i="5"/>
  <c r="BN877" i="5" s="1"/>
  <c r="BO877" i="5"/>
  <c r="BR877" i="5" s="1"/>
  <c r="BM368" i="5"/>
  <c r="BN368" i="5" s="1"/>
  <c r="BO368" i="5"/>
  <c r="BR368" i="5" s="1"/>
  <c r="BM1238" i="5"/>
  <c r="BN1238" i="5" s="1"/>
  <c r="BO1238" i="5"/>
  <c r="BR1238" i="5" s="1"/>
  <c r="BM287" i="5"/>
  <c r="BN287" i="5" s="1"/>
  <c r="BO287" i="5"/>
  <c r="BR287" i="5" s="1"/>
  <c r="BM718" i="5"/>
  <c r="BN718" i="5" s="1"/>
  <c r="BO718" i="5"/>
  <c r="BR718" i="5" s="1"/>
  <c r="BM239" i="5"/>
  <c r="BN239" i="5" s="1"/>
  <c r="BO239" i="5"/>
  <c r="BR239" i="5" s="1"/>
  <c r="BM105" i="5"/>
  <c r="BN105" i="5" s="1"/>
  <c r="BO105" i="5"/>
  <c r="BR105" i="5" s="1"/>
  <c r="BM984" i="5"/>
  <c r="BN984" i="5" s="1"/>
  <c r="BO984" i="5"/>
  <c r="BR984" i="5" s="1"/>
  <c r="BM488" i="5"/>
  <c r="BN488" i="5" s="1"/>
  <c r="BO488" i="5"/>
  <c r="BR488" i="5" s="1"/>
  <c r="BM1325" i="5"/>
  <c r="BN1325" i="5" s="1"/>
  <c r="BO1325" i="5"/>
  <c r="BR1325" i="5" s="1"/>
  <c r="BM847" i="5"/>
  <c r="BN847" i="5" s="1"/>
  <c r="BO847" i="5"/>
  <c r="BR847" i="5" s="1"/>
  <c r="BM314" i="5"/>
  <c r="BN314" i="5" s="1"/>
  <c r="BO314" i="5"/>
  <c r="BR314" i="5" s="1"/>
  <c r="BM1168" i="5"/>
  <c r="BN1168" i="5" s="1"/>
  <c r="BO1168" i="5"/>
  <c r="BR1168" i="5" s="1"/>
  <c r="BM681" i="5"/>
  <c r="BN681" i="5" s="1"/>
  <c r="BO681" i="5"/>
  <c r="BR681" i="5" s="1"/>
  <c r="BM131" i="5"/>
  <c r="BN131" i="5" s="1"/>
  <c r="BO131" i="5"/>
  <c r="BR131" i="5" s="1"/>
  <c r="BM1016" i="5"/>
  <c r="BN1016" i="5" s="1"/>
  <c r="BO1016" i="5"/>
  <c r="BR1016" i="5" s="1"/>
  <c r="BM438" i="5"/>
  <c r="BN438" i="5" s="1"/>
  <c r="BO438" i="5"/>
  <c r="BR438" i="5" s="1"/>
  <c r="BM1312" i="5"/>
  <c r="BN1312" i="5" s="1"/>
  <c r="BO1312" i="5"/>
  <c r="BR1312" i="5" s="1"/>
  <c r="BM736" i="5"/>
  <c r="BN736" i="5" s="1"/>
  <c r="BO736" i="5"/>
  <c r="BR736" i="5" s="1"/>
  <c r="BM243" i="5"/>
  <c r="BN243" i="5" s="1"/>
  <c r="BO243" i="5"/>
  <c r="BR243" i="5" s="1"/>
  <c r="BM553" i="5"/>
  <c r="BN553" i="5" s="1"/>
  <c r="BO553" i="5"/>
  <c r="BR553" i="5" s="1"/>
  <c r="BM86" i="5"/>
  <c r="BN86" i="5" s="1"/>
  <c r="BO86" i="5"/>
  <c r="BR86" i="5" s="1"/>
  <c r="BM876" i="5"/>
  <c r="BN876" i="5" s="1"/>
  <c r="BO876" i="5"/>
  <c r="BR876" i="5" s="1"/>
  <c r="BM911" i="5"/>
  <c r="BN911" i="5" s="1"/>
  <c r="BO911" i="5"/>
  <c r="BR911" i="5" s="1"/>
  <c r="BM641" i="5"/>
  <c r="BN641" i="5" s="1"/>
  <c r="BO641" i="5"/>
  <c r="BR641" i="5" s="1"/>
  <c r="BM253" i="5"/>
  <c r="BN253" i="5" s="1"/>
  <c r="BO253" i="5"/>
  <c r="BR253" i="5" s="1"/>
  <c r="BM748" i="5"/>
  <c r="BN748" i="5" s="1"/>
  <c r="BO748" i="5"/>
  <c r="BR748" i="5" s="1"/>
  <c r="BM176" i="5"/>
  <c r="BN176" i="5" s="1"/>
  <c r="BO176" i="5"/>
  <c r="BR176" i="5" s="1"/>
  <c r="BM1063" i="5"/>
  <c r="BN1063" i="5" s="1"/>
  <c r="BO1063" i="5"/>
  <c r="BR1063" i="5" s="1"/>
  <c r="BM582" i="5"/>
  <c r="BN582" i="5" s="1"/>
  <c r="BO582" i="5"/>
  <c r="BR582" i="5" s="1"/>
  <c r="BM1399" i="5"/>
  <c r="BN1399" i="5" s="1"/>
  <c r="BO1399" i="5"/>
  <c r="BR1399" i="5" s="1"/>
  <c r="BM925" i="5"/>
  <c r="BN925" i="5" s="1"/>
  <c r="BO925" i="5"/>
  <c r="BR925" i="5" s="1"/>
  <c r="BM365" i="5"/>
  <c r="BN365" i="5" s="1"/>
  <c r="BO365" i="5"/>
  <c r="BR365" i="5" s="1"/>
  <c r="BM1231" i="5"/>
  <c r="BN1231" i="5" s="1"/>
  <c r="BO1231" i="5"/>
  <c r="BR1231" i="5" s="1"/>
  <c r="BM801" i="5"/>
  <c r="BN801" i="5" s="1"/>
  <c r="BO801" i="5"/>
  <c r="BR801" i="5" s="1"/>
  <c r="BM103" i="5"/>
  <c r="BN103" i="5" s="1"/>
  <c r="BO103" i="5"/>
  <c r="BR103" i="5" s="1"/>
  <c r="BM1046" i="5"/>
  <c r="BO1046" i="5"/>
  <c r="BR1046" i="5" s="1"/>
  <c r="BM549" i="5"/>
  <c r="BN549" i="5" s="1"/>
  <c r="BO549" i="5"/>
  <c r="BR549" i="5" s="1"/>
  <c r="BM1372" i="5"/>
  <c r="BO1372" i="5"/>
  <c r="BM832" i="5"/>
  <c r="BN832" i="5" s="1"/>
  <c r="BO832" i="5"/>
  <c r="BR832" i="5" s="1"/>
  <c r="BM343" i="5"/>
  <c r="BN343" i="5" s="1"/>
  <c r="BO343" i="5"/>
  <c r="BR343" i="5" s="1"/>
  <c r="BM1200" i="5"/>
  <c r="BN1200" i="5" s="1"/>
  <c r="BO1200" i="5"/>
  <c r="BR1200" i="5" s="1"/>
  <c r="BM633" i="5"/>
  <c r="BN633" i="5" s="1"/>
  <c r="BO633" i="5"/>
  <c r="BR633" i="5" s="1"/>
  <c r="BM248" i="5"/>
  <c r="BN248" i="5" s="1"/>
  <c r="BO248" i="5"/>
  <c r="BR248" i="5" s="1"/>
  <c r="BM1204" i="5"/>
  <c r="BN1204" i="5" s="1"/>
  <c r="BO1204" i="5"/>
  <c r="BR1204" i="5" s="1"/>
  <c r="BM682" i="5"/>
  <c r="BN682" i="5" s="1"/>
  <c r="BO682" i="5"/>
  <c r="BR682" i="5" s="1"/>
  <c r="BM1220" i="5"/>
  <c r="BN1220" i="5" s="1"/>
  <c r="BO1220" i="5"/>
  <c r="BR1220" i="5" s="1"/>
  <c r="BM166" i="5"/>
  <c r="BN166" i="5" s="1"/>
  <c r="BO166" i="5"/>
  <c r="BR166" i="5" s="1"/>
  <c r="BM104" i="5"/>
  <c r="BN104" i="5" s="1"/>
  <c r="BO104" i="5"/>
  <c r="BR104" i="5" s="1"/>
  <c r="BM558" i="5"/>
  <c r="BN558" i="5" s="1"/>
  <c r="BO558" i="5"/>
  <c r="BR558" i="5" s="1"/>
  <c r="BM778" i="5"/>
  <c r="BN778" i="5" s="1"/>
  <c r="BO778" i="5"/>
  <c r="BR778" i="5" s="1"/>
  <c r="BM685" i="5"/>
  <c r="BN685" i="5" s="1"/>
  <c r="BO685" i="5"/>
  <c r="BR685" i="5" s="1"/>
  <c r="BM1050" i="5"/>
  <c r="BN1050" i="5" s="1"/>
  <c r="BO1050" i="5"/>
  <c r="BR1050" i="5" s="1"/>
  <c r="BM687" i="5"/>
  <c r="BN687" i="5" s="1"/>
  <c r="BO687" i="5"/>
  <c r="BR687" i="5" s="1"/>
  <c r="BM800" i="5"/>
  <c r="BN800" i="5" s="1"/>
  <c r="BO800" i="5"/>
  <c r="BR800" i="5" s="1"/>
  <c r="BM231" i="5"/>
  <c r="BN231" i="5" s="1"/>
  <c r="BO231" i="5"/>
  <c r="BR231" i="5" s="1"/>
  <c r="BM1357" i="5"/>
  <c r="BN1357" i="5" s="1"/>
  <c r="BO1357" i="5"/>
  <c r="BR1357" i="5" s="1"/>
  <c r="BM515" i="5"/>
  <c r="BN515" i="5" s="1"/>
  <c r="BO515" i="5"/>
  <c r="BR515" i="5" s="1"/>
  <c r="BM152" i="5"/>
  <c r="BN152" i="5" s="1"/>
  <c r="BO152" i="5"/>
  <c r="BR152" i="5" s="1"/>
  <c r="BM369" i="5"/>
  <c r="BN369" i="5" s="1"/>
  <c r="BO369" i="5"/>
  <c r="BR369" i="5" s="1"/>
  <c r="BM720" i="5"/>
  <c r="BN720" i="5" s="1"/>
  <c r="BO720" i="5"/>
  <c r="BR720" i="5" s="1"/>
  <c r="BM839" i="5"/>
  <c r="BN839" i="5" s="1"/>
  <c r="BO839" i="5"/>
  <c r="BR839" i="5" s="1"/>
  <c r="BM744" i="5"/>
  <c r="BN744" i="5" s="1"/>
  <c r="BO744" i="5"/>
  <c r="BR744" i="5" s="1"/>
  <c r="BM1226" i="5"/>
  <c r="BN1226" i="5" s="1"/>
  <c r="BO1226" i="5"/>
  <c r="BM457" i="5"/>
  <c r="BN457" i="5" s="1"/>
  <c r="BO457" i="5"/>
  <c r="BR457" i="5" s="1"/>
  <c r="BM948" i="5"/>
  <c r="BN948" i="5" s="1"/>
  <c r="BO948" i="5"/>
  <c r="BR948" i="5" s="1"/>
  <c r="BM1118" i="5"/>
  <c r="BN1118" i="5" s="1"/>
  <c r="BO1118" i="5"/>
  <c r="BR1118" i="5" s="1"/>
  <c r="BM523" i="5"/>
  <c r="BN523" i="5" s="1"/>
  <c r="BO523" i="5"/>
  <c r="BR523" i="5" s="1"/>
  <c r="BM1222" i="5"/>
  <c r="BN1222" i="5" s="1"/>
  <c r="BO1222" i="5"/>
  <c r="BR1222" i="5" s="1"/>
  <c r="BM5" i="5"/>
  <c r="BN5" i="5" s="1"/>
  <c r="BO5" i="5"/>
  <c r="BR5" i="5" s="1"/>
  <c r="BM991" i="5"/>
  <c r="BN991" i="5" s="1"/>
  <c r="BO991" i="5"/>
  <c r="BR991" i="5" s="1"/>
  <c r="BM99" i="5"/>
  <c r="BN99" i="5" s="1"/>
  <c r="BO99" i="5"/>
  <c r="BR99" i="5" s="1"/>
  <c r="BM813" i="5"/>
  <c r="BN813" i="5" s="1"/>
  <c r="BO813" i="5"/>
  <c r="BR813" i="5" s="1"/>
  <c r="BM672" i="5"/>
  <c r="BN672" i="5" s="1"/>
  <c r="BO672" i="5"/>
  <c r="BR672" i="5" s="1"/>
  <c r="BM1163" i="5"/>
  <c r="BN1163" i="5" s="1"/>
  <c r="BO1163" i="5"/>
  <c r="BR1163" i="5" s="1"/>
  <c r="BM974" i="5"/>
  <c r="BN974" i="5" s="1"/>
  <c r="BO974" i="5"/>
  <c r="BR974" i="5" s="1"/>
  <c r="BM882" i="5"/>
  <c r="BN882" i="5" s="1"/>
  <c r="BO882" i="5"/>
  <c r="BR882" i="5" s="1"/>
  <c r="BM950" i="5"/>
  <c r="BN950" i="5" s="1"/>
  <c r="BO950" i="5"/>
  <c r="BR950" i="5" s="1"/>
  <c r="BM1176" i="5"/>
  <c r="BN1176" i="5" s="1"/>
  <c r="BO1176" i="5"/>
  <c r="BR1176" i="5" s="1"/>
  <c r="BM190" i="5"/>
  <c r="BN190" i="5" s="1"/>
  <c r="BO190" i="5"/>
  <c r="BR190" i="5" s="1"/>
  <c r="BM850" i="5"/>
  <c r="BN850" i="5" s="1"/>
  <c r="BO850" i="5"/>
  <c r="BR850" i="5" s="1"/>
  <c r="BM128" i="5"/>
  <c r="BN128" i="5" s="1"/>
  <c r="BO128" i="5"/>
  <c r="BR128" i="5" s="1"/>
  <c r="BM841" i="5"/>
  <c r="BN841" i="5" s="1"/>
  <c r="BO841" i="5"/>
  <c r="BR841" i="5" s="1"/>
  <c r="BM1152" i="5"/>
  <c r="BN1152" i="5" s="1"/>
  <c r="BO1152" i="5"/>
  <c r="BR1152" i="5" s="1"/>
  <c r="BM94" i="5"/>
  <c r="BN94" i="5" s="1"/>
  <c r="BO94" i="5"/>
  <c r="BR94" i="5" s="1"/>
  <c r="BM4" i="5"/>
  <c r="BN4" i="5" s="1"/>
  <c r="BO4" i="5"/>
  <c r="BR4" i="5" s="1"/>
  <c r="BM563" i="5"/>
  <c r="BN563" i="5" s="1"/>
  <c r="BO563" i="5"/>
  <c r="BR563" i="5" s="1"/>
  <c r="BN962" i="5"/>
  <c r="BM212" i="5"/>
  <c r="BN212" i="5" s="1"/>
  <c r="BO212" i="5"/>
  <c r="BR212" i="5" s="1"/>
  <c r="BM1362" i="5"/>
  <c r="BN1362" i="5" s="1"/>
  <c r="BO1362" i="5"/>
  <c r="BR1362" i="5" s="1"/>
  <c r="BM859" i="5"/>
  <c r="BN859" i="5" s="1"/>
  <c r="BO859" i="5"/>
  <c r="BR859" i="5" s="1"/>
  <c r="BM1248" i="5"/>
  <c r="BN1248" i="5" s="1"/>
  <c r="BO1248" i="5"/>
  <c r="BR1248" i="5" s="1"/>
  <c r="BN237" i="5"/>
  <c r="BM1371" i="5"/>
  <c r="BN1371" i="5" s="1"/>
  <c r="BO1371" i="5"/>
  <c r="BR1371" i="5" s="1"/>
  <c r="BN1046" i="5"/>
  <c r="BM427" i="5"/>
  <c r="BN427" i="5" s="1"/>
  <c r="BO427" i="5"/>
  <c r="BR427" i="5" s="1"/>
  <c r="BM1178" i="5"/>
  <c r="BN1178" i="5" s="1"/>
  <c r="BO1178" i="5"/>
  <c r="BR1178" i="5" s="1"/>
  <c r="BM453" i="5"/>
  <c r="BN453" i="5" s="1"/>
  <c r="BO453" i="5"/>
  <c r="BR453" i="5" s="1"/>
  <c r="BM1308" i="5"/>
  <c r="BN1308" i="5" s="1"/>
  <c r="BO1308" i="5"/>
  <c r="BR1308" i="5" s="1"/>
  <c r="BM857" i="5"/>
  <c r="BN857" i="5" s="1"/>
  <c r="BO857" i="5"/>
  <c r="BR857" i="5" s="1"/>
  <c r="BM258" i="5"/>
  <c r="BN258" i="5" s="1"/>
  <c r="BO258" i="5"/>
  <c r="BR258" i="5" s="1"/>
  <c r="BM1135" i="5"/>
  <c r="BN1135" i="5" s="1"/>
  <c r="BO1135" i="5"/>
  <c r="BR1135" i="5" s="1"/>
  <c r="BM167" i="5"/>
  <c r="BN167" i="5" s="1"/>
  <c r="BO167" i="5"/>
  <c r="BR167" i="5" s="1"/>
  <c r="BM884" i="5"/>
  <c r="BN884" i="5" s="1"/>
  <c r="BO884" i="5"/>
  <c r="BR884" i="5" s="1"/>
  <c r="BM426" i="5"/>
  <c r="BN426" i="5" s="1"/>
  <c r="BO426" i="5"/>
  <c r="BR426" i="5" s="1"/>
  <c r="BM1289" i="5"/>
  <c r="BN1289" i="5" s="1"/>
  <c r="BO1289" i="5"/>
  <c r="BR1289" i="5" s="1"/>
  <c r="BM796" i="5"/>
  <c r="BN796" i="5" s="1"/>
  <c r="BO796" i="5"/>
  <c r="BR796" i="5" s="1"/>
  <c r="BM1106" i="5"/>
  <c r="BN1106" i="5" s="1"/>
  <c r="BO1106" i="5"/>
  <c r="BR1106" i="5" s="1"/>
  <c r="BM1012" i="5"/>
  <c r="BN1012" i="5" s="1"/>
  <c r="BO1012" i="5"/>
  <c r="BR1012" i="5" s="1"/>
  <c r="BM408" i="5"/>
  <c r="BN408" i="5" s="1"/>
  <c r="BO408" i="5"/>
  <c r="BR408" i="5" s="1"/>
  <c r="BM768" i="5"/>
  <c r="BN768" i="5" s="1"/>
  <c r="BO768" i="5"/>
  <c r="BR768" i="5" s="1"/>
  <c r="BM411" i="5"/>
  <c r="BN411" i="5" s="1"/>
  <c r="BO411" i="5"/>
  <c r="BR411" i="5" s="1"/>
  <c r="BM1059" i="5"/>
  <c r="BO1059" i="5"/>
  <c r="BM422" i="5"/>
  <c r="BN422" i="5" s="1"/>
  <c r="BO422" i="5"/>
  <c r="BR422" i="5" s="1"/>
  <c r="BM871" i="5"/>
  <c r="BN871" i="5" s="1"/>
  <c r="BO871" i="5"/>
  <c r="BR871" i="5" s="1"/>
  <c r="BM375" i="5"/>
  <c r="BN375" i="5" s="1"/>
  <c r="BO375" i="5"/>
  <c r="BR375" i="5" s="1"/>
  <c r="BM1229" i="5"/>
  <c r="BN1229" i="5" s="1"/>
  <c r="BO1229" i="5"/>
  <c r="BR1229" i="5" s="1"/>
  <c r="BM765" i="5"/>
  <c r="BN765" i="5" s="1"/>
  <c r="BO765" i="5"/>
  <c r="BR765" i="5" s="1"/>
  <c r="BM198" i="5"/>
  <c r="BN198" i="5" s="1"/>
  <c r="BO198" i="5"/>
  <c r="BR198" i="5" s="1"/>
  <c r="BM1065" i="5"/>
  <c r="BN1065" i="5" s="1"/>
  <c r="BO1065" i="5"/>
  <c r="BR1065" i="5" s="1"/>
  <c r="BM581" i="5"/>
  <c r="BN581" i="5" s="1"/>
  <c r="BO581" i="5"/>
  <c r="BR581" i="5" s="1"/>
  <c r="BM1389" i="5"/>
  <c r="BO1389" i="5"/>
  <c r="BR1389" i="5" s="1"/>
  <c r="BM1000" i="5"/>
  <c r="BN1000" i="5" s="1"/>
  <c r="BO1000" i="5"/>
  <c r="BR1000" i="5" s="1"/>
  <c r="BM1210" i="5"/>
  <c r="BN1210" i="5" s="1"/>
  <c r="BO1210" i="5"/>
  <c r="BR1210" i="5" s="1"/>
  <c r="BM690" i="5"/>
  <c r="BN690" i="5" s="1"/>
  <c r="BO690" i="5"/>
  <c r="BR690" i="5" s="1"/>
  <c r="BM159" i="5"/>
  <c r="BN159" i="5" s="1"/>
  <c r="BO159" i="5"/>
  <c r="BR159" i="5" s="1"/>
  <c r="BM997" i="5"/>
  <c r="BN997" i="5" s="1"/>
  <c r="BO997" i="5"/>
  <c r="BR997" i="5" s="1"/>
  <c r="BM486" i="5"/>
  <c r="BN486" i="5" s="1"/>
  <c r="BO486" i="5"/>
  <c r="BR486" i="5" s="1"/>
  <c r="BM1339" i="5"/>
  <c r="BN1339" i="5" s="1"/>
  <c r="BO1339" i="5"/>
  <c r="BR1339" i="5" s="1"/>
  <c r="BM797" i="5"/>
  <c r="BN797" i="5" s="1"/>
  <c r="BO797" i="5"/>
  <c r="BR797" i="5" s="1"/>
  <c r="BM374" i="5"/>
  <c r="BN374" i="5" s="1"/>
  <c r="BO374" i="5"/>
  <c r="BR374" i="5" s="1"/>
  <c r="BM543" i="5"/>
  <c r="BN543" i="5" s="1"/>
  <c r="BO543" i="5"/>
  <c r="BR543" i="5" s="1"/>
  <c r="BM1259" i="5"/>
  <c r="BN1259" i="5" s="1"/>
  <c r="BO1259" i="5"/>
  <c r="BR1259" i="5" s="1"/>
  <c r="BM286" i="5"/>
  <c r="BN286" i="5" s="1"/>
  <c r="BO286" i="5"/>
  <c r="BR286" i="5" s="1"/>
  <c r="BM1181" i="5"/>
  <c r="BN1181" i="5" s="1"/>
  <c r="BO1181" i="5"/>
  <c r="BR1181" i="5" s="1"/>
  <c r="BM678" i="5"/>
  <c r="BN678" i="5" s="1"/>
  <c r="BO678" i="5"/>
  <c r="BR678" i="5" s="1"/>
  <c r="BM155" i="5"/>
  <c r="BN155" i="5" s="1"/>
  <c r="BO155" i="5"/>
  <c r="BR155" i="5" s="1"/>
  <c r="BM995" i="5"/>
  <c r="BN995" i="5" s="1"/>
  <c r="BO995" i="5"/>
  <c r="BR995" i="5" s="1"/>
  <c r="BM1334" i="5"/>
  <c r="BN1334" i="5" s="1"/>
  <c r="BO1334" i="5"/>
  <c r="BR1334" i="5" s="1"/>
  <c r="BM799" i="5"/>
  <c r="BN799" i="5" s="1"/>
  <c r="BO799" i="5"/>
  <c r="BR799" i="5" s="1"/>
  <c r="BM321" i="5"/>
  <c r="BN321" i="5" s="1"/>
  <c r="BO321" i="5"/>
  <c r="BR321" i="5" s="1"/>
  <c r="BM1173" i="5"/>
  <c r="BN1173" i="5" s="1"/>
  <c r="BO1173" i="5"/>
  <c r="BR1173" i="5" s="1"/>
  <c r="BM671" i="5"/>
  <c r="BN671" i="5" s="1"/>
  <c r="BO671" i="5"/>
  <c r="BR671" i="5" s="1"/>
  <c r="BM79" i="5"/>
  <c r="BN79" i="5" s="1"/>
  <c r="BO79" i="5"/>
  <c r="BR79" i="5" s="1"/>
  <c r="BM1017" i="5"/>
  <c r="BN1017" i="5" s="1"/>
  <c r="BO1017" i="5"/>
  <c r="BR1017" i="5" s="1"/>
  <c r="BM460" i="5"/>
  <c r="BN460" i="5" s="1"/>
  <c r="BO460" i="5"/>
  <c r="BR460" i="5" s="1"/>
  <c r="BM1311" i="5"/>
  <c r="BN1311" i="5" s="1"/>
  <c r="BO1311" i="5"/>
  <c r="BR1311" i="5" s="1"/>
  <c r="BM289" i="5"/>
  <c r="BO289" i="5"/>
  <c r="BR289" i="5" s="1"/>
  <c r="BM1142" i="5"/>
  <c r="BN1142" i="5" s="1"/>
  <c r="BO1142" i="5"/>
  <c r="BR1142" i="5" s="1"/>
  <c r="BM619" i="5"/>
  <c r="BN619" i="5" s="1"/>
  <c r="BO619" i="5"/>
  <c r="BR619" i="5" s="1"/>
  <c r="BM8" i="5"/>
  <c r="BN8" i="5" s="1"/>
  <c r="BO8" i="5"/>
  <c r="BR8" i="5" s="1"/>
  <c r="BM1244" i="5"/>
  <c r="BN1244" i="5" s="1"/>
  <c r="BO1244" i="5"/>
  <c r="BR1244" i="5" s="1"/>
  <c r="BM141" i="5"/>
  <c r="BN141" i="5" s="1"/>
  <c r="BO141" i="5"/>
  <c r="BR141" i="5" s="1"/>
  <c r="BM555" i="5"/>
  <c r="BN555" i="5" s="1"/>
  <c r="BO555" i="5"/>
  <c r="BR555" i="5" s="1"/>
  <c r="BM85" i="5"/>
  <c r="BN85" i="5" s="1"/>
  <c r="BO85" i="5"/>
  <c r="BR85" i="5" s="1"/>
  <c r="BM939" i="5"/>
  <c r="BN939" i="5" s="1"/>
  <c r="BO939" i="5"/>
  <c r="BR939" i="5" s="1"/>
  <c r="BM469" i="5"/>
  <c r="BN469" i="5" s="1"/>
  <c r="BO469" i="5"/>
  <c r="BR469" i="5" s="1"/>
  <c r="BM1295" i="5"/>
  <c r="BN1295" i="5" s="1"/>
  <c r="BO1295" i="5"/>
  <c r="BR1295" i="5" s="1"/>
  <c r="BM260" i="5"/>
  <c r="BN260" i="5" s="1"/>
  <c r="BO260" i="5"/>
  <c r="BR260" i="5" s="1"/>
  <c r="BM1138" i="5"/>
  <c r="BN1138" i="5" s="1"/>
  <c r="BO1138" i="5"/>
  <c r="BR1138" i="5" s="1"/>
  <c r="BM623" i="5"/>
  <c r="BN623" i="5" s="1"/>
  <c r="BO623" i="5"/>
  <c r="BR623" i="5" s="1"/>
  <c r="BM45" i="5"/>
  <c r="BN45" i="5" s="1"/>
  <c r="BO45" i="5"/>
  <c r="BR45" i="5" s="1"/>
  <c r="BM947" i="5"/>
  <c r="BN947" i="5" s="1"/>
  <c r="BO947" i="5"/>
  <c r="BR947" i="5" s="1"/>
  <c r="BM418" i="5"/>
  <c r="BN418" i="5" s="1"/>
  <c r="BO418" i="5"/>
  <c r="BR418" i="5" s="1"/>
  <c r="BM1280" i="5"/>
  <c r="BN1280" i="5" s="1"/>
  <c r="BO1280" i="5"/>
  <c r="BM756" i="5"/>
  <c r="BN756" i="5" s="1"/>
  <c r="BO756" i="5"/>
  <c r="BR756" i="5" s="1"/>
  <c r="BM228" i="5"/>
  <c r="BN228" i="5" s="1"/>
  <c r="BO228" i="5"/>
  <c r="BR228" i="5" s="1"/>
  <c r="BM1108" i="5"/>
  <c r="BN1108" i="5" s="1"/>
  <c r="BO1108" i="5"/>
  <c r="BR1108" i="5" s="1"/>
  <c r="BM620" i="5"/>
  <c r="BN620" i="5" s="1"/>
  <c r="BO620" i="5"/>
  <c r="BR620" i="5" s="1"/>
  <c r="BM576" i="5"/>
  <c r="BN576" i="5" s="1"/>
  <c r="BO576" i="5"/>
  <c r="BR576" i="5" s="1"/>
  <c r="BM44" i="5"/>
  <c r="BN44" i="5" s="1"/>
  <c r="BO44" i="5"/>
  <c r="BR44" i="5" s="1"/>
  <c r="BM951" i="5"/>
  <c r="BN951" i="5" s="1"/>
  <c r="BO951" i="5"/>
  <c r="BR951" i="5" s="1"/>
  <c r="BM630" i="5"/>
  <c r="BN630" i="5" s="1"/>
  <c r="BO630" i="5"/>
  <c r="BR630" i="5" s="1"/>
  <c r="BM346" i="5"/>
  <c r="BN346" i="5" s="1"/>
  <c r="BO346" i="5"/>
  <c r="BR346" i="5" s="1"/>
  <c r="BM700" i="5"/>
  <c r="BN700" i="5" s="1"/>
  <c r="BO700" i="5"/>
  <c r="BR700" i="5" s="1"/>
  <c r="BM490" i="5"/>
  <c r="BN490" i="5" s="1"/>
  <c r="BO490" i="5"/>
  <c r="BR490" i="5" s="1"/>
  <c r="BM387" i="5"/>
  <c r="BN387" i="5" s="1"/>
  <c r="BO387" i="5"/>
  <c r="BR387" i="5" s="1"/>
  <c r="BM1301" i="5"/>
  <c r="BN1301" i="5" s="1"/>
  <c r="BO1301" i="5"/>
  <c r="BR1301" i="5" s="1"/>
  <c r="BM250" i="5"/>
  <c r="BN250" i="5" s="1"/>
  <c r="BO250" i="5"/>
  <c r="BR250" i="5" s="1"/>
  <c r="BM1355" i="5"/>
  <c r="BN1355" i="5" s="1"/>
  <c r="BO1355" i="5"/>
  <c r="BR1355" i="5" s="1"/>
  <c r="BM307" i="5"/>
  <c r="BN307" i="5" s="1"/>
  <c r="BO307" i="5"/>
  <c r="BR307" i="5" s="1"/>
  <c r="BM1194" i="5"/>
  <c r="BN1194" i="5" s="1"/>
  <c r="BO1194" i="5"/>
  <c r="BR1194" i="5" s="1"/>
  <c r="BM634" i="5"/>
  <c r="BN634" i="5" s="1"/>
  <c r="BO634" i="5"/>
  <c r="BR634" i="5" s="1"/>
  <c r="BM80" i="5"/>
  <c r="BN80" i="5" s="1"/>
  <c r="BO80" i="5"/>
  <c r="BR80" i="5" s="1"/>
  <c r="BM1062" i="5"/>
  <c r="BN1062" i="5" s="1"/>
  <c r="BO1062" i="5"/>
  <c r="BR1062" i="5" s="1"/>
  <c r="BM701" i="5"/>
  <c r="BN701" i="5" s="1"/>
  <c r="BO701" i="5"/>
  <c r="BR701" i="5" s="1"/>
  <c r="BM1279" i="5"/>
  <c r="BO1279" i="5"/>
  <c r="BM617" i="5"/>
  <c r="BN617" i="5" s="1"/>
  <c r="BO617" i="5"/>
  <c r="BR617" i="5" s="1"/>
  <c r="BM1356" i="5"/>
  <c r="BN1356" i="5" s="1"/>
  <c r="BO1356" i="5"/>
  <c r="BR1356" i="5" s="1"/>
  <c r="BM1343" i="5"/>
  <c r="BN1343" i="5" s="1"/>
  <c r="BO1343" i="5"/>
  <c r="BR1343" i="5" s="1"/>
  <c r="BN200" i="5"/>
  <c r="BM788" i="5"/>
  <c r="BN788" i="5" s="1"/>
  <c r="BO788" i="5"/>
  <c r="BR788" i="5" s="1"/>
  <c r="BM344" i="5"/>
  <c r="BN344" i="5" s="1"/>
  <c r="BO344" i="5"/>
  <c r="BR344" i="5" s="1"/>
  <c r="CJ136" i="1"/>
  <c r="BM336" i="5"/>
  <c r="BN336" i="5" s="1"/>
  <c r="BO336" i="5"/>
  <c r="BR336" i="5" s="1"/>
  <c r="BM854" i="5"/>
  <c r="BN854" i="5" s="1"/>
  <c r="BO854" i="5"/>
  <c r="BR854" i="5" s="1"/>
  <c r="BM265" i="5"/>
  <c r="BN265" i="5" s="1"/>
  <c r="BO265" i="5"/>
  <c r="BR265" i="5" s="1"/>
  <c r="BM1133" i="5"/>
  <c r="BN1133" i="5" s="1"/>
  <c r="BO1133" i="5"/>
  <c r="BR1133" i="5" s="1"/>
  <c r="BM556" i="5"/>
  <c r="BN556" i="5" s="1"/>
  <c r="BO556" i="5"/>
  <c r="BR556" i="5" s="1"/>
  <c r="BM92" i="5"/>
  <c r="BN92" i="5" s="1"/>
  <c r="BO92" i="5"/>
  <c r="BR92" i="5" s="1"/>
  <c r="BM967" i="5"/>
  <c r="BN967" i="5" s="1"/>
  <c r="BO967" i="5"/>
  <c r="BR967" i="5" s="1"/>
  <c r="BM474" i="5"/>
  <c r="BN474" i="5" s="1"/>
  <c r="BO474" i="5"/>
  <c r="BR474" i="5" s="1"/>
  <c r="BM1298" i="5"/>
  <c r="BN1298" i="5" s="1"/>
  <c r="BO1298" i="5"/>
  <c r="BR1298" i="5" s="1"/>
  <c r="BM715" i="5"/>
  <c r="BN715" i="5" s="1"/>
  <c r="BO715" i="5"/>
  <c r="BR715" i="5" s="1"/>
  <c r="BM244" i="5"/>
  <c r="BN244" i="5" s="1"/>
  <c r="BO244" i="5"/>
  <c r="BR244" i="5" s="1"/>
  <c r="BM1116" i="5"/>
  <c r="BN1116" i="5" s="1"/>
  <c r="BO1116" i="5"/>
  <c r="BR1116" i="5" s="1"/>
  <c r="BM21" i="5"/>
  <c r="BN21" i="5" s="1"/>
  <c r="BO21" i="5"/>
  <c r="BR21" i="5" s="1"/>
  <c r="BM878" i="5"/>
  <c r="BN878" i="5" s="1"/>
  <c r="BO878" i="5"/>
  <c r="BR878" i="5" s="1"/>
  <c r="BM430" i="5"/>
  <c r="BN430" i="5" s="1"/>
  <c r="BO430" i="5"/>
  <c r="BR430" i="5" s="1"/>
  <c r="BM1272" i="5"/>
  <c r="BN1272" i="5" s="1"/>
  <c r="BO1272" i="5"/>
  <c r="BR1272" i="5" s="1"/>
  <c r="BM773" i="5"/>
  <c r="BN773" i="5" s="1"/>
  <c r="BO773" i="5"/>
  <c r="BR773" i="5" s="1"/>
  <c r="BM1121" i="5"/>
  <c r="BN1121" i="5" s="1"/>
  <c r="BO1121" i="5"/>
  <c r="BR1121" i="5" s="1"/>
  <c r="BM666" i="5"/>
  <c r="BN666" i="5" s="1"/>
  <c r="BO666" i="5"/>
  <c r="BR666" i="5" s="1"/>
  <c r="BM77" i="5"/>
  <c r="BN77" i="5" s="1"/>
  <c r="BO77" i="5"/>
  <c r="BR77" i="5" s="1"/>
  <c r="BM390" i="5"/>
  <c r="BN390" i="5" s="1"/>
  <c r="BO390" i="5"/>
  <c r="BR390" i="5" s="1"/>
  <c r="BM12" i="5"/>
  <c r="BN12" i="5" s="1"/>
  <c r="BO12" i="5"/>
  <c r="BR12" i="5" s="1"/>
  <c r="BM883" i="5"/>
  <c r="BN883" i="5" s="1"/>
  <c r="BO883" i="5"/>
  <c r="BR883" i="5" s="1"/>
  <c r="BM433" i="5"/>
  <c r="BN433" i="5" s="1"/>
  <c r="BO433" i="5"/>
  <c r="BR433" i="5" s="1"/>
  <c r="BM774" i="5"/>
  <c r="BN774" i="5" s="1"/>
  <c r="BO774" i="5"/>
  <c r="BR774" i="5" s="1"/>
  <c r="BM252" i="5"/>
  <c r="BN252" i="5" s="1"/>
  <c r="BO252" i="5"/>
  <c r="BR252" i="5" s="1"/>
  <c r="BM1126" i="5"/>
  <c r="BN1126" i="5" s="1"/>
  <c r="BO1126" i="5"/>
  <c r="BR1126" i="5" s="1"/>
  <c r="BM570" i="5"/>
  <c r="BN570" i="5" s="1"/>
  <c r="BO570" i="5"/>
  <c r="BR570" i="5" s="1"/>
  <c r="BM51" i="5"/>
  <c r="BN51" i="5" s="1"/>
  <c r="BO51" i="5"/>
  <c r="BR51" i="5" s="1"/>
  <c r="BM1014" i="5"/>
  <c r="BN1014" i="5" s="1"/>
  <c r="BO1014" i="5"/>
  <c r="BR1014" i="5" s="1"/>
  <c r="BM417" i="5"/>
  <c r="BN417" i="5" s="1"/>
  <c r="BO417" i="5"/>
  <c r="BR417" i="5" s="1"/>
  <c r="BM764" i="5"/>
  <c r="BN764" i="5" s="1"/>
  <c r="BO764" i="5"/>
  <c r="BR764" i="5" s="1"/>
  <c r="BM197" i="5"/>
  <c r="BN197" i="5" s="1"/>
  <c r="BO197" i="5"/>
  <c r="BR197" i="5" s="1"/>
  <c r="BM1084" i="5"/>
  <c r="BN1084" i="5" s="1"/>
  <c r="BO1084" i="5"/>
  <c r="BR1084" i="5" s="1"/>
  <c r="BM588" i="5"/>
  <c r="BN588" i="5" s="1"/>
  <c r="BO588" i="5"/>
  <c r="BR588" i="5" s="1"/>
  <c r="BM1004" i="5"/>
  <c r="BN1004" i="5" s="1"/>
  <c r="BO1004" i="5"/>
  <c r="BR1004" i="5" s="1"/>
  <c r="BM280" i="5"/>
  <c r="BN280" i="5" s="1"/>
  <c r="BO280" i="5"/>
  <c r="BR280" i="5" s="1"/>
  <c r="BM483" i="5"/>
  <c r="BN483" i="5" s="1"/>
  <c r="BO483" i="5"/>
  <c r="BR483" i="5" s="1"/>
  <c r="BM901" i="5"/>
  <c r="BN901" i="5" s="1"/>
  <c r="BO901" i="5"/>
  <c r="BR901" i="5" s="1"/>
  <c r="BM1237" i="5"/>
  <c r="BN1237" i="5" s="1"/>
  <c r="BO1237" i="5"/>
  <c r="BR1237" i="5" s="1"/>
  <c r="BM372" i="5"/>
  <c r="BN372" i="5" s="1"/>
  <c r="BO372" i="5"/>
  <c r="BR372" i="5" s="1"/>
  <c r="BM1240" i="5"/>
  <c r="BN1240" i="5" s="1"/>
  <c r="BO1240" i="5"/>
  <c r="BR1240" i="5" s="1"/>
  <c r="BM809" i="5"/>
  <c r="BN809" i="5" s="1"/>
  <c r="BO809" i="5"/>
  <c r="BR809" i="5" s="1"/>
  <c r="BM203" i="5"/>
  <c r="BN203" i="5" s="1"/>
  <c r="BO203" i="5"/>
  <c r="BR203" i="5" s="1"/>
  <c r="BM1078" i="5"/>
  <c r="BN1078" i="5" s="1"/>
  <c r="BO1078" i="5"/>
  <c r="BR1078" i="5" s="1"/>
  <c r="BM575" i="5"/>
  <c r="BN575" i="5" s="1"/>
  <c r="BO575" i="5"/>
  <c r="BR575" i="5" s="1"/>
  <c r="BM3" i="5"/>
  <c r="BN3" i="5" s="1"/>
  <c r="BO3" i="5"/>
  <c r="BR3" i="5" s="1"/>
  <c r="BM952" i="5"/>
  <c r="BN952" i="5" s="1"/>
  <c r="BO952" i="5"/>
  <c r="BR952" i="5" s="1"/>
  <c r="BM377" i="5"/>
  <c r="BN377" i="5" s="1"/>
  <c r="BO377" i="5"/>
  <c r="BR377" i="5" s="1"/>
  <c r="BM1233" i="5"/>
  <c r="BN1233" i="5" s="1"/>
  <c r="BO1233" i="5"/>
  <c r="BR1233" i="5" s="1"/>
  <c r="BM802" i="5"/>
  <c r="BN802" i="5" s="1"/>
  <c r="BO802" i="5"/>
  <c r="BR802" i="5" s="1"/>
  <c r="BM115" i="5"/>
  <c r="BN115" i="5" s="1"/>
  <c r="BO115" i="5"/>
  <c r="BR115" i="5" s="1"/>
  <c r="BM1044" i="5"/>
  <c r="BN1044" i="5" s="1"/>
  <c r="BO1044" i="5"/>
  <c r="BR1044" i="5" s="1"/>
  <c r="BM603" i="5"/>
  <c r="BN603" i="5" s="1"/>
  <c r="BO603" i="5"/>
  <c r="BR603" i="5" s="1"/>
  <c r="BM1365" i="5"/>
  <c r="BN1365" i="5" s="1"/>
  <c r="BO1365" i="5"/>
  <c r="BR1365" i="5" s="1"/>
  <c r="BM897" i="5"/>
  <c r="BN897" i="5" s="1"/>
  <c r="BO897" i="5"/>
  <c r="BR897" i="5" s="1"/>
  <c r="BM342" i="5"/>
  <c r="BN342" i="5" s="1"/>
  <c r="BO342" i="5"/>
  <c r="BR342" i="5" s="1"/>
  <c r="BM533" i="5"/>
  <c r="BN533" i="5" s="1"/>
  <c r="BO533" i="5"/>
  <c r="BR533" i="5" s="1"/>
  <c r="BM345" i="5"/>
  <c r="BN345" i="5" s="1"/>
  <c r="BO345" i="5"/>
  <c r="BR345" i="5" s="1"/>
  <c r="BM846" i="5"/>
  <c r="BN846" i="5" s="1"/>
  <c r="BO846" i="5"/>
  <c r="BR846" i="5" s="1"/>
  <c r="BM317" i="5"/>
  <c r="BN317" i="5" s="1"/>
  <c r="BO317" i="5"/>
  <c r="BR317" i="5" s="1"/>
  <c r="BM1169" i="5"/>
  <c r="BN1169" i="5" s="1"/>
  <c r="BO1169" i="5"/>
  <c r="BR1169" i="5" s="1"/>
  <c r="BM684" i="5"/>
  <c r="BN684" i="5" s="1"/>
  <c r="BO684" i="5"/>
  <c r="BR684" i="5" s="1"/>
  <c r="BM102" i="5"/>
  <c r="BN102" i="5" s="1"/>
  <c r="BO102" i="5"/>
  <c r="BR102" i="5" s="1"/>
  <c r="BM905" i="5"/>
  <c r="BN905" i="5" s="1"/>
  <c r="BO905" i="5"/>
  <c r="BR905" i="5" s="1"/>
  <c r="BM479" i="5"/>
  <c r="BN479" i="5" s="1"/>
  <c r="BO479" i="5"/>
  <c r="BR479" i="5" s="1"/>
  <c r="BM1347" i="5"/>
  <c r="BN1347" i="5" s="1"/>
  <c r="BO1347" i="5"/>
  <c r="BR1347" i="5" s="1"/>
  <c r="BM789" i="5"/>
  <c r="BN789" i="5" s="1"/>
  <c r="BO789" i="5"/>
  <c r="BR789" i="5" s="1"/>
  <c r="BM277" i="5"/>
  <c r="BN277" i="5" s="1"/>
  <c r="BO277" i="5"/>
  <c r="BR277" i="5" s="1"/>
  <c r="BM1147" i="5"/>
  <c r="BN1147" i="5" s="1"/>
  <c r="BO1147" i="5"/>
  <c r="BR1147" i="5" s="1"/>
  <c r="BM135" i="5"/>
  <c r="BN135" i="5" s="1"/>
  <c r="BO135" i="5"/>
  <c r="BR135" i="5" s="1"/>
  <c r="BM898" i="5"/>
  <c r="BN898" i="5" s="1"/>
  <c r="BO898" i="5"/>
  <c r="BR898" i="5" s="1"/>
  <c r="BM444" i="5"/>
  <c r="BN444" i="5" s="1"/>
  <c r="BO444" i="5"/>
  <c r="BR444" i="5" s="1"/>
  <c r="BM711" i="5"/>
  <c r="BN711" i="5" s="1"/>
  <c r="BO711" i="5"/>
  <c r="BR711" i="5" s="1"/>
  <c r="BM101" i="5"/>
  <c r="BN101" i="5" s="1"/>
  <c r="BO101" i="5"/>
  <c r="BR101" i="5" s="1"/>
  <c r="BM1074" i="5"/>
  <c r="BN1074" i="5" s="1"/>
  <c r="BO1074" i="5"/>
  <c r="BR1074" i="5" s="1"/>
  <c r="BM174" i="5"/>
  <c r="BN174" i="5" s="1"/>
  <c r="BO174" i="5"/>
  <c r="BR174" i="5" s="1"/>
  <c r="BM66" i="5"/>
  <c r="BN66" i="5" s="1"/>
  <c r="BO66" i="5"/>
  <c r="BR66" i="5" s="1"/>
  <c r="BM530" i="5"/>
  <c r="BN530" i="5" s="1"/>
  <c r="BO530" i="5"/>
  <c r="BR530" i="5" s="1"/>
  <c r="BM1398" i="5"/>
  <c r="BN1398" i="5" s="1"/>
  <c r="BO1398" i="5"/>
  <c r="BR1398" i="5" s="1"/>
  <c r="BM924" i="5"/>
  <c r="BN924" i="5" s="1"/>
  <c r="BO924" i="5"/>
  <c r="BR924" i="5" s="1"/>
  <c r="BM380" i="5"/>
  <c r="BN380" i="5" s="1"/>
  <c r="BO380" i="5"/>
  <c r="BR380" i="5" s="1"/>
  <c r="BM1242" i="5"/>
  <c r="BN1242" i="5" s="1"/>
  <c r="BO1242" i="5"/>
  <c r="BM814" i="5"/>
  <c r="BN814" i="5" s="1"/>
  <c r="BO814" i="5"/>
  <c r="BR814" i="5" s="1"/>
  <c r="BM223" i="5"/>
  <c r="BN223" i="5" s="1"/>
  <c r="BO223" i="5"/>
  <c r="BR223" i="5" s="1"/>
  <c r="BM1068" i="5"/>
  <c r="BN1068" i="5" s="1"/>
  <c r="BO1068" i="5"/>
  <c r="BR1068" i="5" s="1"/>
  <c r="BM534" i="5"/>
  <c r="BN534" i="5" s="1"/>
  <c r="BO534" i="5"/>
  <c r="BR534" i="5" s="1"/>
  <c r="BM1008" i="5"/>
  <c r="BN1008" i="5" s="1"/>
  <c r="BO1008" i="5"/>
  <c r="BR1008" i="5" s="1"/>
  <c r="BM347" i="5"/>
  <c r="BN347" i="5" s="1"/>
  <c r="BO347" i="5"/>
  <c r="BR347" i="5" s="1"/>
  <c r="BM1214" i="5"/>
  <c r="BN1214" i="5" s="1"/>
  <c r="BO1214" i="5"/>
  <c r="BR1214" i="5" s="1"/>
  <c r="BM688" i="5"/>
  <c r="BN688" i="5" s="1"/>
  <c r="BO688" i="5"/>
  <c r="BR688" i="5" s="1"/>
  <c r="BM150" i="5"/>
  <c r="BN150" i="5" s="1"/>
  <c r="BO150" i="5"/>
  <c r="BR150" i="5" s="1"/>
  <c r="BM1036" i="5"/>
  <c r="BN1036" i="5" s="1"/>
  <c r="BO1036" i="5"/>
  <c r="BR1036" i="5" s="1"/>
  <c r="BM526" i="5"/>
  <c r="BN526" i="5" s="1"/>
  <c r="BO526" i="5"/>
  <c r="BR526" i="5" s="1"/>
  <c r="BM1364" i="5"/>
  <c r="BN1364" i="5" s="1"/>
  <c r="BO1364" i="5"/>
  <c r="BR1364" i="5" s="1"/>
  <c r="BM547" i="5"/>
  <c r="BN547" i="5" s="1"/>
  <c r="BO547" i="5"/>
  <c r="BR547" i="5" s="1"/>
  <c r="BM1041" i="5"/>
  <c r="BN1041" i="5" s="1"/>
  <c r="BO1041" i="5"/>
  <c r="BR1041" i="5" s="1"/>
  <c r="BM475" i="5"/>
  <c r="BO475" i="5"/>
  <c r="BM245" i="5"/>
  <c r="BN245" i="5" s="1"/>
  <c r="BO245" i="5"/>
  <c r="BR245" i="5" s="1"/>
  <c r="BM613" i="5"/>
  <c r="BN613" i="5" s="1"/>
  <c r="BO613" i="5"/>
  <c r="BR613" i="5" s="1"/>
  <c r="BM70" i="5"/>
  <c r="BN70" i="5" s="1"/>
  <c r="BO70" i="5"/>
  <c r="BR70" i="5" s="1"/>
  <c r="BM966" i="5"/>
  <c r="BN966" i="5" s="1"/>
  <c r="BO966" i="5"/>
  <c r="BR966" i="5" s="1"/>
  <c r="BM451" i="5"/>
  <c r="BN451" i="5" s="1"/>
  <c r="BO451" i="5"/>
  <c r="BR451" i="5" s="1"/>
  <c r="BM1306" i="5"/>
  <c r="BO1306" i="5"/>
  <c r="BM717" i="5"/>
  <c r="BN717" i="5" s="1"/>
  <c r="BO717" i="5"/>
  <c r="BR717" i="5" s="1"/>
  <c r="BM266" i="5"/>
  <c r="BN266" i="5" s="1"/>
  <c r="BO266" i="5"/>
  <c r="BR266" i="5" s="1"/>
  <c r="BM552" i="5"/>
  <c r="BN552" i="5" s="1"/>
  <c r="BO552" i="5"/>
  <c r="BR552" i="5" s="1"/>
  <c r="BM1029" i="5"/>
  <c r="BN1029" i="5" s="1"/>
  <c r="BO1029" i="5"/>
  <c r="BR1029" i="5" s="1"/>
  <c r="BM423" i="5"/>
  <c r="BN423" i="5" s="1"/>
  <c r="BO423" i="5"/>
  <c r="BR423" i="5" s="1"/>
  <c r="BM1271" i="5"/>
  <c r="BN1271" i="5" s="1"/>
  <c r="BO1271" i="5"/>
  <c r="BR1271" i="5" s="1"/>
  <c r="BM714" i="5"/>
  <c r="BN714" i="5" s="1"/>
  <c r="BO714" i="5"/>
  <c r="BR714" i="5" s="1"/>
  <c r="BM234" i="5"/>
  <c r="BN234" i="5" s="1"/>
  <c r="BO234" i="5"/>
  <c r="BR234" i="5" s="1"/>
  <c r="BM1110" i="5"/>
  <c r="BN1110" i="5" s="1"/>
  <c r="BO1110" i="5"/>
  <c r="BR1110" i="5" s="1"/>
  <c r="BM1299" i="5"/>
  <c r="BN1299" i="5" s="1"/>
  <c r="BO1299" i="5"/>
  <c r="BR1299" i="5" s="1"/>
  <c r="BM500" i="5"/>
  <c r="BN500" i="5" s="1"/>
  <c r="BO500" i="5"/>
  <c r="BR500" i="5" s="1"/>
  <c r="BM902" i="5"/>
  <c r="BN902" i="5" s="1"/>
  <c r="BO902" i="5"/>
  <c r="BR902" i="5" s="1"/>
  <c r="BM412" i="5"/>
  <c r="BN412" i="5" s="1"/>
  <c r="BO412" i="5"/>
  <c r="BR412" i="5" s="1"/>
  <c r="BM912" i="5"/>
  <c r="BN912" i="5" s="1"/>
  <c r="BO912" i="5"/>
  <c r="BR912" i="5" s="1"/>
  <c r="BM341" i="5"/>
  <c r="BN341" i="5" s="1"/>
  <c r="BO341" i="5"/>
  <c r="BR341" i="5" s="1"/>
  <c r="BM1205" i="5"/>
  <c r="BN1205" i="5" s="1"/>
  <c r="BO1205" i="5"/>
  <c r="BR1205" i="5" s="1"/>
  <c r="BM656" i="5"/>
  <c r="BN656" i="5" s="1"/>
  <c r="BO656" i="5"/>
  <c r="BR656" i="5" s="1"/>
  <c r="BM161" i="5"/>
  <c r="BN161" i="5" s="1"/>
  <c r="BO161" i="5"/>
  <c r="BR161" i="5" s="1"/>
  <c r="BM1042" i="5"/>
  <c r="BN1042" i="5" s="1"/>
  <c r="BO1042" i="5"/>
  <c r="BR1042" i="5" s="1"/>
  <c r="BM615" i="5"/>
  <c r="BN615" i="5" s="1"/>
  <c r="BO615" i="5"/>
  <c r="BR615" i="5" s="1"/>
  <c r="BM1370" i="5"/>
  <c r="BN1370" i="5" s="1"/>
  <c r="BO1370" i="5"/>
  <c r="BR1370" i="5" s="1"/>
  <c r="BM702" i="5"/>
  <c r="BN702" i="5" s="1"/>
  <c r="BO702" i="5"/>
  <c r="BR702" i="5" s="1"/>
  <c r="BM320" i="5"/>
  <c r="BN320" i="5" s="1"/>
  <c r="BO320" i="5"/>
  <c r="BR320" i="5" s="1"/>
  <c r="BM1188" i="5"/>
  <c r="BN1188" i="5" s="1"/>
  <c r="BO1188" i="5"/>
  <c r="BR1188" i="5" s="1"/>
  <c r="BM661" i="5"/>
  <c r="BN661" i="5" s="1"/>
  <c r="BO661" i="5"/>
  <c r="BR661" i="5" s="1"/>
  <c r="BM143" i="5"/>
  <c r="BN143" i="5" s="1"/>
  <c r="BO143" i="5"/>
  <c r="BR143" i="5" s="1"/>
  <c r="BM910" i="5"/>
  <c r="BN910" i="5" s="1"/>
  <c r="BO910" i="5"/>
  <c r="BR910" i="5" s="1"/>
  <c r="BM499" i="5"/>
  <c r="BN499" i="5" s="1"/>
  <c r="BO499" i="5"/>
  <c r="BR499" i="5" s="1"/>
  <c r="BM1341" i="5"/>
  <c r="BN1341" i="5" s="1"/>
  <c r="BO1341" i="5"/>
  <c r="BR1341" i="5" s="1"/>
  <c r="BM725" i="5"/>
  <c r="BN725" i="5" s="1"/>
  <c r="BO725" i="5"/>
  <c r="BR725" i="5" s="1"/>
  <c r="BM527" i="5"/>
  <c r="BN527" i="5" s="1"/>
  <c r="BO527" i="5"/>
  <c r="BR527" i="5" s="1"/>
  <c r="BM219" i="5"/>
  <c r="BN219" i="5" s="1"/>
  <c r="BO219" i="5"/>
  <c r="BR219" i="5" s="1"/>
  <c r="BM598" i="5"/>
  <c r="BN598" i="5" s="1"/>
  <c r="BO598" i="5"/>
  <c r="BR598" i="5" s="1"/>
  <c r="BM208" i="5"/>
  <c r="BN208" i="5" s="1"/>
  <c r="BO208" i="5"/>
  <c r="BR208" i="5" s="1"/>
  <c r="BM604" i="5"/>
  <c r="BN604" i="5" s="1"/>
  <c r="BO604" i="5"/>
  <c r="BR604" i="5" s="1"/>
  <c r="BM22" i="5"/>
  <c r="BN22" i="5" s="1"/>
  <c r="BO22" i="5"/>
  <c r="BR22" i="5" s="1"/>
  <c r="BM1266" i="5"/>
  <c r="BN1266" i="5" s="1"/>
  <c r="BO1266" i="5"/>
  <c r="BR1266" i="5" s="1"/>
  <c r="BN1389" i="5"/>
  <c r="BM337" i="5"/>
  <c r="BN337" i="5" s="1"/>
  <c r="BO337" i="5"/>
  <c r="BR337" i="5" s="1"/>
  <c r="BM510" i="5"/>
  <c r="BN510" i="5" s="1"/>
  <c r="BO510" i="5"/>
  <c r="BR510" i="5" s="1"/>
  <c r="BM781" i="5"/>
  <c r="BN781" i="5" s="1"/>
  <c r="BO781" i="5"/>
  <c r="BR781" i="5" s="1"/>
  <c r="BN289" i="5"/>
  <c r="BM772" i="5"/>
  <c r="BN772" i="5" s="1"/>
  <c r="BO772" i="5"/>
  <c r="BR772" i="5" s="1"/>
  <c r="BM175" i="5"/>
  <c r="BN175" i="5" s="1"/>
  <c r="BO175" i="5"/>
  <c r="BR175" i="5" s="1"/>
  <c r="BM331" i="5"/>
  <c r="BN331" i="5" s="1"/>
  <c r="BO331" i="5"/>
  <c r="BR331" i="5" s="1"/>
  <c r="BM1360" i="5"/>
  <c r="BN1360" i="5" s="1"/>
  <c r="BO1360" i="5"/>
  <c r="BR1360" i="5" s="1"/>
  <c r="BM464" i="5"/>
  <c r="BN464" i="5" s="1"/>
  <c r="BO464" i="5"/>
  <c r="BR464" i="5" s="1"/>
  <c r="BM81" i="5"/>
  <c r="BN81" i="5" s="1"/>
  <c r="BO81" i="5"/>
  <c r="BR81" i="5" s="1"/>
  <c r="BM722" i="5"/>
  <c r="BN722" i="5" s="1"/>
  <c r="BO722" i="5"/>
  <c r="BR722" i="5" s="1"/>
  <c r="BM242" i="5"/>
  <c r="BN242" i="5" s="1"/>
  <c r="BO242" i="5"/>
  <c r="BR242" i="5" s="1"/>
  <c r="BM151" i="5"/>
  <c r="BN151" i="5" s="1"/>
  <c r="BO151" i="5"/>
  <c r="BR151" i="5" s="1"/>
  <c r="BM326" i="5"/>
  <c r="BN326" i="5" s="1"/>
  <c r="BO326" i="5"/>
  <c r="BR326" i="5" s="1"/>
  <c r="BM496" i="5"/>
  <c r="BN496" i="5" s="1"/>
  <c r="BO496" i="5"/>
  <c r="BR496" i="5" s="1"/>
  <c r="BM653" i="5"/>
  <c r="BN653" i="5" s="1"/>
  <c r="BO653" i="5"/>
  <c r="BR653" i="5" s="1"/>
  <c r="BM645" i="5"/>
  <c r="BN645" i="5" s="1"/>
  <c r="BO645" i="5"/>
  <c r="BR645" i="5" s="1"/>
  <c r="BM625" i="5"/>
  <c r="BN625" i="5" s="1"/>
  <c r="BO625" i="5"/>
  <c r="BR625" i="5" s="1"/>
  <c r="BM724" i="5"/>
  <c r="BN724" i="5" s="1"/>
  <c r="BO724" i="5"/>
  <c r="BR724" i="5" s="1"/>
  <c r="BM47" i="5"/>
  <c r="BN47" i="5" s="1"/>
  <c r="BO47" i="5"/>
  <c r="BR47" i="5" s="1"/>
  <c r="BM218" i="5"/>
  <c r="BN218" i="5" s="1"/>
  <c r="BO218" i="5"/>
  <c r="BR218" i="5" s="1"/>
  <c r="BM362" i="5"/>
  <c r="BN362" i="5" s="1"/>
  <c r="BO362" i="5"/>
  <c r="BR362" i="5" s="1"/>
  <c r="BM585" i="5"/>
  <c r="BN585" i="5" s="1"/>
  <c r="BO585" i="5"/>
  <c r="BR585" i="5" s="1"/>
  <c r="BM1035" i="5"/>
  <c r="BN1035" i="5" s="1"/>
  <c r="BO1035" i="5"/>
  <c r="BR1035" i="5" s="1"/>
  <c r="BM1320" i="5"/>
  <c r="BN1320" i="5" s="1"/>
  <c r="BO1320" i="5"/>
  <c r="BR1320" i="5" s="1"/>
  <c r="BM596" i="5"/>
  <c r="BN596" i="5" s="1"/>
  <c r="BO596" i="5"/>
  <c r="BR596" i="5" s="1"/>
  <c r="BM1285" i="5"/>
  <c r="BN1285" i="5" s="1"/>
  <c r="BO1285" i="5"/>
  <c r="BR1285" i="5" s="1"/>
  <c r="BM35" i="5"/>
  <c r="BN35" i="5" s="1"/>
  <c r="BO35" i="5"/>
  <c r="BR35" i="5" s="1"/>
  <c r="BM1303" i="5"/>
  <c r="BN1303" i="5" s="1"/>
  <c r="BO1303" i="5"/>
  <c r="BR1303" i="5" s="1"/>
  <c r="BM376" i="5"/>
  <c r="BN376" i="5" s="1"/>
  <c r="BO376" i="5"/>
  <c r="BR376" i="5" s="1"/>
  <c r="BM627" i="5"/>
  <c r="BN627" i="5" s="1"/>
  <c r="BO627" i="5"/>
  <c r="BR627" i="5" s="1"/>
  <c r="BM1304" i="5"/>
  <c r="BN1304" i="5" s="1"/>
  <c r="BO1304" i="5"/>
  <c r="BR1304" i="5" s="1"/>
  <c r="BM1390" i="5"/>
  <c r="BO1390" i="5"/>
  <c r="BM1132" i="5"/>
  <c r="BN1132" i="5" s="1"/>
  <c r="BO1132" i="5"/>
  <c r="BR1132" i="5" s="1"/>
  <c r="BM57" i="5"/>
  <c r="BN57" i="5" s="1"/>
  <c r="BO57" i="5"/>
  <c r="BR57" i="5" s="1"/>
  <c r="BM325" i="5"/>
  <c r="BN325" i="5" s="1"/>
  <c r="BO325" i="5"/>
  <c r="BR325" i="5" s="1"/>
  <c r="BM154" i="5"/>
  <c r="BN154" i="5" s="1"/>
  <c r="BO154" i="5"/>
  <c r="BR154" i="5" s="1"/>
  <c r="BM590" i="5"/>
  <c r="BN590" i="5" s="1"/>
  <c r="BO590" i="5"/>
  <c r="BR590" i="5" s="1"/>
  <c r="BM25" i="5"/>
  <c r="BN25" i="5" s="1"/>
  <c r="BO25" i="5"/>
  <c r="BR25" i="5" s="1"/>
  <c r="BM861" i="5"/>
  <c r="BN861" i="5" s="1"/>
  <c r="BO861" i="5"/>
  <c r="BR861" i="5" s="1"/>
  <c r="BM415" i="5"/>
  <c r="BN415" i="5" s="1"/>
  <c r="BO415" i="5"/>
  <c r="BR415" i="5" s="1"/>
  <c r="BM1273" i="5"/>
  <c r="BN1273" i="5" s="1"/>
  <c r="BO1273" i="5"/>
  <c r="BR1273" i="5" s="1"/>
  <c r="BM186" i="5"/>
  <c r="BN186" i="5" s="1"/>
  <c r="BO186" i="5"/>
  <c r="BR186" i="5" s="1"/>
  <c r="BM1103" i="5"/>
  <c r="BN1103" i="5" s="1"/>
  <c r="BO1103" i="5"/>
  <c r="BR1103" i="5" s="1"/>
  <c r="BM520" i="5"/>
  <c r="BN520" i="5" s="1"/>
  <c r="BO520" i="5"/>
  <c r="BR520" i="5" s="1"/>
  <c r="BM42" i="5"/>
  <c r="BN42" i="5" s="1"/>
  <c r="BO42" i="5"/>
  <c r="BR42" i="5" s="1"/>
  <c r="BM1002" i="5"/>
  <c r="BO1002" i="5"/>
  <c r="BM396" i="5"/>
  <c r="BN396" i="5" s="1"/>
  <c r="BO396" i="5"/>
  <c r="BR396" i="5" s="1"/>
  <c r="BM1247" i="5"/>
  <c r="BN1247" i="5" s="1"/>
  <c r="BO1247" i="5"/>
  <c r="BR1247" i="5" s="1"/>
  <c r="BM735" i="5"/>
  <c r="BN735" i="5" s="1"/>
  <c r="BO735" i="5"/>
  <c r="BR735" i="5" s="1"/>
  <c r="BM1071" i="5"/>
  <c r="BN1071" i="5" s="1"/>
  <c r="BO1071" i="5"/>
  <c r="BR1071" i="5" s="1"/>
  <c r="BM546" i="5"/>
  <c r="BO546" i="5"/>
  <c r="BR546" i="5" s="1"/>
  <c r="BM91" i="5"/>
  <c r="BN91" i="5" s="1"/>
  <c r="BO91" i="5"/>
  <c r="BR91" i="5" s="1"/>
  <c r="BM1052" i="5"/>
  <c r="BN1052" i="5" s="1"/>
  <c r="BO1052" i="5"/>
  <c r="BR1052" i="5" s="1"/>
  <c r="BM618" i="5"/>
  <c r="BN618" i="5" s="1"/>
  <c r="BO618" i="5"/>
  <c r="BR618" i="5" s="1"/>
  <c r="BM1394" i="5"/>
  <c r="BN1394" i="5" s="1"/>
  <c r="BO1394" i="5"/>
  <c r="BR1394" i="5" s="1"/>
  <c r="BM69" i="5"/>
  <c r="BN69" i="5" s="1"/>
  <c r="BO69" i="5"/>
  <c r="BR69" i="5" s="1"/>
  <c r="BM1024" i="5"/>
  <c r="BN1024" i="5" s="1"/>
  <c r="BO1024" i="5"/>
  <c r="BR1024" i="5" s="1"/>
  <c r="BM477" i="5"/>
  <c r="BN477" i="5" s="1"/>
  <c r="BO477" i="5"/>
  <c r="BR477" i="5" s="1"/>
  <c r="BM1367" i="5"/>
  <c r="BN1367" i="5" s="1"/>
  <c r="BO1367" i="5"/>
  <c r="BR1367" i="5" s="1"/>
  <c r="BM933" i="5"/>
  <c r="BN933" i="5" s="1"/>
  <c r="BO933" i="5"/>
  <c r="BR933" i="5" s="1"/>
  <c r="BM348" i="5"/>
  <c r="BN348" i="5" s="1"/>
  <c r="BO348" i="5"/>
  <c r="BR348" i="5" s="1"/>
  <c r="BM1208" i="5"/>
  <c r="BN1208" i="5" s="1"/>
  <c r="BO1208" i="5"/>
  <c r="BR1208" i="5" s="1"/>
  <c r="BM655" i="5"/>
  <c r="BN655" i="5" s="1"/>
  <c r="BO655" i="5"/>
  <c r="BR655" i="5" s="1"/>
  <c r="BM164" i="5"/>
  <c r="BN164" i="5" s="1"/>
  <c r="BO164" i="5"/>
  <c r="BR164" i="5" s="1"/>
  <c r="BM992" i="5"/>
  <c r="BN992" i="5" s="1"/>
  <c r="BO992" i="5"/>
  <c r="BR992" i="5" s="1"/>
  <c r="BM497" i="5"/>
  <c r="BN497" i="5" s="1"/>
  <c r="BO497" i="5"/>
  <c r="BR497" i="5" s="1"/>
  <c r="BM1340" i="5"/>
  <c r="BN1340" i="5" s="1"/>
  <c r="BO1340" i="5"/>
  <c r="BR1340" i="5" s="1"/>
  <c r="BM704" i="5"/>
  <c r="BN704" i="5" s="1"/>
  <c r="BO704" i="5"/>
  <c r="BR704" i="5" s="1"/>
  <c r="BM298" i="5"/>
  <c r="BN298" i="5" s="1"/>
  <c r="BO298" i="5"/>
  <c r="BR298" i="5" s="1"/>
  <c r="BM1171" i="5"/>
  <c r="BN1171" i="5" s="1"/>
  <c r="BO1171" i="5"/>
  <c r="BR1171" i="5" s="1"/>
  <c r="BM65" i="5"/>
  <c r="BN65" i="5" s="1"/>
  <c r="BO65" i="5"/>
  <c r="BR65" i="5" s="1"/>
  <c r="BM862" i="5"/>
  <c r="BO862" i="5"/>
  <c r="BM1281" i="5"/>
  <c r="BN1281" i="5" s="1"/>
  <c r="BO1281" i="5"/>
  <c r="BR1281" i="5" s="1"/>
  <c r="BM710" i="5"/>
  <c r="BN710" i="5" s="1"/>
  <c r="BO710" i="5"/>
  <c r="BR710" i="5" s="1"/>
  <c r="BM931" i="5"/>
  <c r="BN931" i="5" s="1"/>
  <c r="BO931" i="5"/>
  <c r="BR931" i="5" s="1"/>
  <c r="BM441" i="5"/>
  <c r="BN441" i="5" s="1"/>
  <c r="BO441" i="5"/>
  <c r="BR441" i="5" s="1"/>
  <c r="BM1318" i="5"/>
  <c r="BN1318" i="5" s="1"/>
  <c r="BO1318" i="5"/>
  <c r="BR1318" i="5" s="1"/>
  <c r="BM824" i="5"/>
  <c r="BN824" i="5" s="1"/>
  <c r="BO824" i="5"/>
  <c r="BR824" i="5" s="1"/>
  <c r="BM295" i="5"/>
  <c r="BN295" i="5" s="1"/>
  <c r="BO295" i="5"/>
  <c r="BR295" i="5" s="1"/>
  <c r="BM1148" i="5"/>
  <c r="BN1148" i="5" s="1"/>
  <c r="BO1148" i="5"/>
  <c r="BR1148" i="5" s="1"/>
  <c r="BM987" i="5"/>
  <c r="BN987" i="5" s="1"/>
  <c r="BO987" i="5"/>
  <c r="BR987" i="5" s="1"/>
  <c r="BM470" i="5"/>
  <c r="BN470" i="5" s="1"/>
  <c r="BO470" i="5"/>
  <c r="BR470" i="5" s="1"/>
  <c r="BM1305" i="5"/>
  <c r="BN1305" i="5" s="1"/>
  <c r="BO1305" i="5"/>
  <c r="BR1305" i="5" s="1"/>
  <c r="BM771" i="5"/>
  <c r="BN771" i="5" s="1"/>
  <c r="BO771" i="5"/>
  <c r="BR771" i="5" s="1"/>
  <c r="BM256" i="5"/>
  <c r="BN256" i="5" s="1"/>
  <c r="BO256" i="5"/>
  <c r="BR256" i="5" s="1"/>
  <c r="BM521" i="5"/>
  <c r="BN521" i="5" s="1"/>
  <c r="BO521" i="5"/>
  <c r="BR521" i="5" s="1"/>
  <c r="BM986" i="5"/>
  <c r="BN986" i="5" s="1"/>
  <c r="BO986" i="5"/>
  <c r="BR986" i="5" s="1"/>
  <c r="BM471" i="5"/>
  <c r="BN471" i="5" s="1"/>
  <c r="BO471" i="5"/>
  <c r="BR471" i="5" s="1"/>
  <c r="BM1313" i="5"/>
  <c r="BO1313" i="5"/>
  <c r="BM1038" i="5"/>
  <c r="BN1038" i="5" s="1"/>
  <c r="BO1038" i="5"/>
  <c r="BR1038" i="5" s="1"/>
  <c r="BM1206" i="5"/>
  <c r="BN1206" i="5" s="1"/>
  <c r="BO1206" i="5"/>
  <c r="BR1206" i="5" s="1"/>
  <c r="BM9" i="5"/>
  <c r="BN9" i="5" s="1"/>
  <c r="BO9" i="5"/>
  <c r="BR9" i="5" s="1"/>
  <c r="BM322" i="5"/>
  <c r="BN322" i="5" s="1"/>
  <c r="BO322" i="5"/>
  <c r="BR322" i="5" s="1"/>
  <c r="BM787" i="5"/>
  <c r="BN787" i="5" s="1"/>
  <c r="BO787" i="5"/>
  <c r="BR787" i="5" s="1"/>
  <c r="BM230" i="5"/>
  <c r="BN230" i="5" s="1"/>
  <c r="BO230" i="5"/>
  <c r="BR230" i="5" s="1"/>
  <c r="BM525" i="5"/>
  <c r="BN525" i="5" s="1"/>
  <c r="BO525" i="5"/>
  <c r="BR525" i="5" s="1"/>
  <c r="BM58" i="5"/>
  <c r="BN58" i="5" s="1"/>
  <c r="BO58" i="5"/>
  <c r="BR58" i="5" s="1"/>
  <c r="BM881" i="5"/>
  <c r="BN881" i="5" s="1"/>
  <c r="BO881" i="5"/>
  <c r="BR881" i="5" s="1"/>
  <c r="BM429" i="5"/>
  <c r="BN429" i="5" s="1"/>
  <c r="BO429" i="5"/>
  <c r="BR429" i="5" s="1"/>
  <c r="BM1278" i="5"/>
  <c r="BN1278" i="5" s="1"/>
  <c r="BO1278" i="5"/>
  <c r="BR1278" i="5" s="1"/>
  <c r="BM811" i="5"/>
  <c r="BN811" i="5" s="1"/>
  <c r="BO811" i="5"/>
  <c r="BR811" i="5" s="1"/>
  <c r="BM222" i="5"/>
  <c r="BN222" i="5" s="1"/>
  <c r="BO222" i="5"/>
  <c r="BR222" i="5" s="1"/>
  <c r="BM1094" i="5"/>
  <c r="BN1094" i="5" s="1"/>
  <c r="BO1094" i="5"/>
  <c r="BR1094" i="5" s="1"/>
  <c r="BM586" i="5"/>
  <c r="BN586" i="5" s="1"/>
  <c r="BO586" i="5"/>
  <c r="BR586" i="5" s="1"/>
  <c r="BM50" i="5"/>
  <c r="BN50" i="5" s="1"/>
  <c r="BO50" i="5"/>
  <c r="BR50" i="5" s="1"/>
  <c r="BM942" i="5"/>
  <c r="BN942" i="5" s="1"/>
  <c r="BO942" i="5"/>
  <c r="BR942" i="5" s="1"/>
  <c r="BM392" i="5"/>
  <c r="BN392" i="5" s="1"/>
  <c r="BO392" i="5"/>
  <c r="BR392" i="5" s="1"/>
  <c r="BM1246" i="5"/>
  <c r="BN1246" i="5" s="1"/>
  <c r="BO1246" i="5"/>
  <c r="BR1246" i="5" s="1"/>
  <c r="BM821" i="5"/>
  <c r="BN821" i="5" s="1"/>
  <c r="BO821" i="5"/>
  <c r="BR821" i="5" s="1"/>
  <c r="BM732" i="5"/>
  <c r="BN732" i="5" s="1"/>
  <c r="BO732" i="5"/>
  <c r="BR732" i="5" s="1"/>
  <c r="BM351" i="5"/>
  <c r="BN351" i="5" s="1"/>
  <c r="BO351" i="5"/>
  <c r="BR351" i="5" s="1"/>
  <c r="BM895" i="5"/>
  <c r="BN895" i="5" s="1"/>
  <c r="BO895" i="5"/>
  <c r="BR895" i="5" s="1"/>
  <c r="BM972" i="5"/>
  <c r="BN972" i="5" s="1"/>
  <c r="BO972" i="5"/>
  <c r="BR972" i="5" s="1"/>
  <c r="BM780" i="5"/>
  <c r="BN780" i="5" s="1"/>
  <c r="BO780" i="5"/>
  <c r="BR780" i="5" s="1"/>
  <c r="BM856" i="5"/>
  <c r="BN856" i="5" s="1"/>
  <c r="BO856" i="5"/>
  <c r="BR856" i="5" s="1"/>
  <c r="BM1207" i="5"/>
  <c r="BN1207" i="5" s="1"/>
  <c r="BO1207" i="5"/>
  <c r="BR1207" i="5" s="1"/>
  <c r="BM880" i="5"/>
  <c r="BN880" i="5" s="1"/>
  <c r="BO880" i="5"/>
  <c r="BR880" i="5" s="1"/>
  <c r="BM1060" i="5"/>
  <c r="BN1060" i="5" s="1"/>
  <c r="BO1060" i="5"/>
  <c r="BR1060" i="5" s="1"/>
  <c r="BM643" i="5"/>
  <c r="BN643" i="5" s="1"/>
  <c r="BO643" i="5"/>
  <c r="BR643" i="5" s="1"/>
  <c r="BM504" i="5"/>
  <c r="BN504" i="5" s="1"/>
  <c r="BO504" i="5"/>
  <c r="BR504" i="5" s="1"/>
  <c r="BN1283" i="5"/>
  <c r="BM400" i="5"/>
  <c r="BN400" i="5" s="1"/>
  <c r="BO400" i="5"/>
  <c r="BR400" i="5" s="1"/>
  <c r="BM1193" i="5"/>
  <c r="BN1193" i="5" s="1"/>
  <c r="BO1193" i="5"/>
  <c r="BR1193" i="5" s="1"/>
  <c r="BM1077" i="5"/>
  <c r="BN1077" i="5" s="1"/>
  <c r="BO1077" i="5"/>
  <c r="BR1077" i="5" s="1"/>
  <c r="BM833" i="5"/>
  <c r="BN833" i="5" s="1"/>
  <c r="BO833" i="5"/>
  <c r="BR833" i="5" s="1"/>
  <c r="CW173" i="1"/>
  <c r="CZ173" i="1" s="1"/>
  <c r="BM30" i="5"/>
  <c r="BN30" i="5" s="1"/>
  <c r="BO30" i="5"/>
  <c r="BR30" i="5" s="1"/>
  <c r="BM1025" i="5"/>
  <c r="BN1025" i="5" s="1"/>
  <c r="BO1025" i="5"/>
  <c r="BR1025" i="5" s="1"/>
  <c r="BM404" i="5"/>
  <c r="BN404" i="5" s="1"/>
  <c r="BO404" i="5"/>
  <c r="BR404" i="5" s="1"/>
  <c r="BM1253" i="5"/>
  <c r="BN1253" i="5" s="1"/>
  <c r="BO1253" i="5"/>
  <c r="BR1253" i="5" s="1"/>
  <c r="BM849" i="5"/>
  <c r="BN849" i="5" s="1"/>
  <c r="BO849" i="5"/>
  <c r="BR849" i="5" s="1"/>
  <c r="BM232" i="5"/>
  <c r="BN232" i="5" s="1"/>
  <c r="BO232" i="5"/>
  <c r="BR232" i="5" s="1"/>
  <c r="BM1114" i="5"/>
  <c r="BN1114" i="5" s="1"/>
  <c r="BO1114" i="5"/>
  <c r="BR1114" i="5" s="1"/>
  <c r="BM593" i="5"/>
  <c r="BN593" i="5" s="1"/>
  <c r="BO593" i="5"/>
  <c r="BR593" i="5" s="1"/>
  <c r="BM41" i="5"/>
  <c r="BN41" i="5" s="1"/>
  <c r="BO41" i="5"/>
  <c r="BR41" i="5" s="1"/>
  <c r="BM888" i="5"/>
  <c r="BN888" i="5" s="1"/>
  <c r="BO888" i="5"/>
  <c r="BR888" i="5" s="1"/>
  <c r="BM393" i="5"/>
  <c r="BN393" i="5" s="1"/>
  <c r="BO393" i="5"/>
  <c r="BR393" i="5" s="1"/>
  <c r="BM1254" i="5"/>
  <c r="BN1254" i="5" s="1"/>
  <c r="BO1254" i="5"/>
  <c r="BR1254" i="5" s="1"/>
  <c r="BM855" i="5"/>
  <c r="BN855" i="5" s="1"/>
  <c r="BO855" i="5"/>
  <c r="BR855" i="5" s="1"/>
  <c r="BM191" i="5"/>
  <c r="BN191" i="5" s="1"/>
  <c r="BO191" i="5"/>
  <c r="BR191" i="5" s="1"/>
  <c r="BM1069" i="5"/>
  <c r="BN1069" i="5" s="1"/>
  <c r="BO1069" i="5"/>
  <c r="BR1069" i="5" s="1"/>
  <c r="BM48" i="5"/>
  <c r="BN48" i="5" s="1"/>
  <c r="BO48" i="5"/>
  <c r="BR48" i="5" s="1"/>
  <c r="BM961" i="5"/>
  <c r="BN961" i="5" s="1"/>
  <c r="BO961" i="5"/>
  <c r="BR961" i="5" s="1"/>
  <c r="BM113" i="5"/>
  <c r="BN113" i="5" s="1"/>
  <c r="BO113" i="5"/>
  <c r="BR113" i="5" s="1"/>
  <c r="BM782" i="5"/>
  <c r="BN782" i="5" s="1"/>
  <c r="BO782" i="5"/>
  <c r="BR782" i="5" s="1"/>
  <c r="BM1380" i="5"/>
  <c r="BN1380" i="5" s="1"/>
  <c r="BO1380" i="5"/>
  <c r="BR1380" i="5" s="1"/>
  <c r="BM573" i="5"/>
  <c r="BN573" i="5" s="1"/>
  <c r="BO573" i="5"/>
  <c r="BR573" i="5" s="1"/>
  <c r="BM221" i="5"/>
  <c r="BN221" i="5" s="1"/>
  <c r="BO221" i="5"/>
  <c r="BR221" i="5" s="1"/>
  <c r="BM1089" i="5"/>
  <c r="BN1089" i="5" s="1"/>
  <c r="BO1089" i="5"/>
  <c r="BR1089" i="5" s="1"/>
  <c r="BM626" i="5"/>
  <c r="BN626" i="5" s="1"/>
  <c r="BO626" i="5"/>
  <c r="BR626" i="5" s="1"/>
  <c r="BM34" i="5"/>
  <c r="BN34" i="5" s="1"/>
  <c r="BO34" i="5"/>
  <c r="BR34" i="5" s="1"/>
  <c r="BM1028" i="5"/>
  <c r="BN1028" i="5" s="1"/>
  <c r="BO1028" i="5"/>
  <c r="BR1028" i="5" s="1"/>
  <c r="BM1264" i="5"/>
  <c r="BN1264" i="5" s="1"/>
  <c r="BO1264" i="5"/>
  <c r="BR1264" i="5" s="1"/>
  <c r="BM727" i="5"/>
  <c r="BN727" i="5" s="1"/>
  <c r="BO727" i="5"/>
  <c r="BR727" i="5" s="1"/>
  <c r="BM229" i="5"/>
  <c r="BN229" i="5" s="1"/>
  <c r="BO229" i="5"/>
  <c r="BR229" i="5" s="1"/>
  <c r="BM1076" i="5"/>
  <c r="BN1076" i="5" s="1"/>
  <c r="BO1076" i="5"/>
  <c r="BR1076" i="5" s="1"/>
  <c r="BM583" i="5"/>
  <c r="BN583" i="5" s="1"/>
  <c r="BO583" i="5"/>
  <c r="BR583" i="5" s="1"/>
  <c r="BM1403" i="5"/>
  <c r="BN1403" i="5" s="1"/>
  <c r="BO1403" i="5"/>
  <c r="BR1403" i="5" s="1"/>
  <c r="BM872" i="5"/>
  <c r="BN872" i="5" s="1"/>
  <c r="BO872" i="5"/>
  <c r="BR872" i="5" s="1"/>
  <c r="BM371" i="5"/>
  <c r="BN371" i="5" s="1"/>
  <c r="BO371" i="5"/>
  <c r="BR371" i="5" s="1"/>
  <c r="BM1225" i="5"/>
  <c r="BN1225" i="5" s="1"/>
  <c r="BO1225" i="5"/>
  <c r="BR1225" i="5" s="1"/>
  <c r="BM805" i="5"/>
  <c r="BN805" i="5" s="1"/>
  <c r="BO805" i="5"/>
  <c r="BR805" i="5" s="1"/>
  <c r="BM180" i="5"/>
  <c r="BN180" i="5" s="1"/>
  <c r="BO180" i="5"/>
  <c r="BR180" i="5" s="1"/>
  <c r="BM1061" i="5"/>
  <c r="BN1061" i="5" s="1"/>
  <c r="BO1061" i="5"/>
  <c r="BR1061" i="5" s="1"/>
  <c r="BM709" i="5"/>
  <c r="BN709" i="5" s="1"/>
  <c r="BO709" i="5"/>
  <c r="BR709" i="5" s="1"/>
  <c r="BM55" i="5"/>
  <c r="BN55" i="5" s="1"/>
  <c r="BO55" i="5"/>
  <c r="BR55" i="5" s="1"/>
  <c r="BM1197" i="5"/>
  <c r="BN1197" i="5" s="1"/>
  <c r="BO1197" i="5"/>
  <c r="BR1197" i="5" s="1"/>
  <c r="BM106" i="5"/>
  <c r="BN106" i="5" s="1"/>
  <c r="BO106" i="5"/>
  <c r="BR106" i="5" s="1"/>
  <c r="BM562" i="5"/>
  <c r="BN562" i="5" s="1"/>
  <c r="BO562" i="5"/>
  <c r="BR562" i="5" s="1"/>
  <c r="BM1366" i="5"/>
  <c r="BN1366" i="5" s="1"/>
  <c r="BO1366" i="5"/>
  <c r="BR1366" i="5" s="1"/>
  <c r="BM999" i="5"/>
  <c r="BN999" i="5" s="1"/>
  <c r="BO999" i="5"/>
  <c r="BR999" i="5" s="1"/>
  <c r="BM359" i="5"/>
  <c r="BN359" i="5" s="1"/>
  <c r="BO359" i="5"/>
  <c r="BR359" i="5" s="1"/>
  <c r="BM1217" i="5"/>
  <c r="BN1217" i="5" s="1"/>
  <c r="BO1217" i="5"/>
  <c r="BR1217" i="5" s="1"/>
  <c r="BM790" i="5"/>
  <c r="BN790" i="5" s="1"/>
  <c r="BO790" i="5"/>
  <c r="BR790" i="5" s="1"/>
  <c r="BM130" i="5"/>
  <c r="BN130" i="5" s="1"/>
  <c r="BO130" i="5"/>
  <c r="BR130" i="5" s="1"/>
  <c r="BM1045" i="5"/>
  <c r="BN1045" i="5" s="1"/>
  <c r="BO1045" i="5"/>
  <c r="BR1045" i="5" s="1"/>
  <c r="BM616" i="5"/>
  <c r="BN616" i="5" s="1"/>
  <c r="BO616" i="5"/>
  <c r="BR616" i="5" s="1"/>
  <c r="BM1363" i="5"/>
  <c r="BN1363" i="5" s="1"/>
  <c r="BO1363" i="5"/>
  <c r="BR1363" i="5" s="1"/>
  <c r="BM792" i="5"/>
  <c r="BN792" i="5" s="1"/>
  <c r="BO792" i="5"/>
  <c r="BR792" i="5" s="1"/>
  <c r="BM300" i="5"/>
  <c r="BN300" i="5" s="1"/>
  <c r="BO300" i="5"/>
  <c r="BR300" i="5" s="1"/>
  <c r="BM662" i="5"/>
  <c r="BN662" i="5" s="1"/>
  <c r="BO662" i="5"/>
  <c r="BR662" i="5" s="1"/>
  <c r="BM132" i="5"/>
  <c r="BN132" i="5" s="1"/>
  <c r="BO132" i="5"/>
  <c r="BR132" i="5" s="1"/>
  <c r="BM507" i="5"/>
  <c r="BN507" i="5" s="1"/>
  <c r="BO507" i="5"/>
  <c r="BR507" i="5" s="1"/>
  <c r="BM1346" i="5"/>
  <c r="BN1346" i="5" s="1"/>
  <c r="BO1346" i="5"/>
  <c r="BR1346" i="5" s="1"/>
  <c r="BM332" i="5"/>
  <c r="BN332" i="5" s="1"/>
  <c r="BO332" i="5"/>
  <c r="BR332" i="5" s="1"/>
  <c r="BM822" i="5"/>
  <c r="BN822" i="5" s="1"/>
  <c r="BO822" i="5"/>
  <c r="BR822" i="5" s="1"/>
  <c r="BM578" i="5"/>
  <c r="BN578" i="5" s="1"/>
  <c r="BO578" i="5"/>
  <c r="BR578" i="5" s="1"/>
  <c r="BM78" i="5"/>
  <c r="BN78" i="5" s="1"/>
  <c r="BO78" i="5"/>
  <c r="BR78" i="5" s="1"/>
  <c r="BM891" i="5"/>
  <c r="BN891" i="5" s="1"/>
  <c r="BO891" i="5"/>
  <c r="BR891" i="5" s="1"/>
  <c r="BM467" i="5"/>
  <c r="BN467" i="5" s="1"/>
  <c r="BO467" i="5"/>
  <c r="BR467" i="5" s="1"/>
  <c r="BM1296" i="5"/>
  <c r="BN1296" i="5" s="1"/>
  <c r="BO1296" i="5"/>
  <c r="BR1296" i="5" s="1"/>
  <c r="BM721" i="5"/>
  <c r="BN721" i="5" s="1"/>
  <c r="BO721" i="5"/>
  <c r="BR721" i="5" s="1"/>
  <c r="BM1150" i="5"/>
  <c r="BN1150" i="5" s="1"/>
  <c r="BO1150" i="5"/>
  <c r="BR1150" i="5" s="1"/>
  <c r="BM519" i="5"/>
  <c r="BN519" i="5" s="1"/>
  <c r="BO519" i="5"/>
  <c r="BR519" i="5" s="1"/>
  <c r="BM97" i="5"/>
  <c r="BN97" i="5" s="1"/>
  <c r="BO97" i="5"/>
  <c r="BR97" i="5" s="1"/>
  <c r="BM873" i="5"/>
  <c r="BN873" i="5" s="1"/>
  <c r="BO873" i="5"/>
  <c r="BR873" i="5" s="1"/>
  <c r="BM425" i="5"/>
  <c r="BN425" i="5" s="1"/>
  <c r="BO425" i="5"/>
  <c r="BR425" i="5" s="1"/>
  <c r="BM209" i="5"/>
  <c r="BN209" i="5" s="1"/>
  <c r="BO209" i="5"/>
  <c r="BR209" i="5" s="1"/>
  <c r="BM1107" i="5"/>
  <c r="BN1107" i="5" s="1"/>
  <c r="BO1107" i="5"/>
  <c r="BR1107" i="5" s="1"/>
  <c r="BM539" i="5"/>
  <c r="BN539" i="5" s="1"/>
  <c r="BO539" i="5"/>
  <c r="BR539" i="5" s="1"/>
  <c r="BM973" i="5"/>
  <c r="BN973" i="5" s="1"/>
  <c r="BO973" i="5"/>
  <c r="BR973" i="5" s="1"/>
  <c r="BM622" i="5"/>
  <c r="BN622" i="5" s="1"/>
  <c r="BO622" i="5"/>
  <c r="BR622" i="5" s="1"/>
  <c r="BM944" i="5"/>
  <c r="BN944" i="5" s="1"/>
  <c r="BO944" i="5"/>
  <c r="BR944" i="5" s="1"/>
  <c r="BM614" i="5"/>
  <c r="BN614" i="5" s="1"/>
  <c r="BO614" i="5"/>
  <c r="BR614" i="5" s="1"/>
  <c r="BM217" i="5"/>
  <c r="BN217" i="5" s="1"/>
  <c r="BO217" i="5"/>
  <c r="BR217" i="5" s="1"/>
  <c r="BM652" i="5"/>
  <c r="BN652" i="5" s="1"/>
  <c r="BO652" i="5"/>
  <c r="BR652" i="5" s="1"/>
  <c r="BM1039" i="5"/>
  <c r="BN1039" i="5" s="1"/>
  <c r="BO1039" i="5"/>
  <c r="BR1039" i="5" s="1"/>
  <c r="BM557" i="5"/>
  <c r="BN557" i="5" s="1"/>
  <c r="BO557" i="5"/>
  <c r="BR557" i="5" s="1"/>
  <c r="BM1375" i="5"/>
  <c r="BN1375" i="5" s="1"/>
  <c r="BO1375" i="5"/>
  <c r="BR1375" i="5" s="1"/>
  <c r="BM334" i="5"/>
  <c r="BN334" i="5" s="1"/>
  <c r="BO334" i="5"/>
  <c r="BR334" i="5" s="1"/>
  <c r="BM1213" i="5"/>
  <c r="BN1213" i="5" s="1"/>
  <c r="BO1213" i="5"/>
  <c r="BR1213" i="5" s="1"/>
  <c r="BM632" i="5"/>
  <c r="BN632" i="5" s="1"/>
  <c r="BO632" i="5"/>
  <c r="BR632" i="5" s="1"/>
  <c r="BM162" i="5"/>
  <c r="BN162" i="5" s="1"/>
  <c r="BO162" i="5"/>
  <c r="BR162" i="5" s="1"/>
  <c r="BM990" i="5"/>
  <c r="BN990" i="5" s="1"/>
  <c r="BO990" i="5"/>
  <c r="BR990" i="5" s="1"/>
  <c r="BM480" i="5"/>
  <c r="BN480" i="5" s="1"/>
  <c r="BO480" i="5"/>
  <c r="BR480" i="5" s="1"/>
  <c r="BM1342" i="5"/>
  <c r="BN1342" i="5" s="1"/>
  <c r="BO1342" i="5"/>
  <c r="BR1342" i="5" s="1"/>
  <c r="BM705" i="5"/>
  <c r="BN705" i="5" s="1"/>
  <c r="BO705" i="5"/>
  <c r="BR705" i="5" s="1"/>
  <c r="BM311" i="5"/>
  <c r="BN311" i="5" s="1"/>
  <c r="BO311" i="5"/>
  <c r="BR311" i="5" s="1"/>
  <c r="BM1177" i="5"/>
  <c r="BN1177" i="5" s="1"/>
  <c r="BO1177" i="5"/>
  <c r="BR1177" i="5" s="1"/>
  <c r="BM989" i="5"/>
  <c r="BN989" i="5" s="1"/>
  <c r="BO989" i="5"/>
  <c r="BR989" i="5" s="1"/>
  <c r="BM1243" i="5"/>
  <c r="BN1243" i="5" s="1"/>
  <c r="BO1243" i="5"/>
  <c r="BR1243" i="5" s="1"/>
  <c r="BM1026" i="5"/>
  <c r="BN1026" i="5" s="1"/>
  <c r="BO1026" i="5"/>
  <c r="BR1026" i="5" s="1"/>
  <c r="BM431" i="5"/>
  <c r="BN431" i="5" s="1"/>
  <c r="BO431" i="5"/>
  <c r="BR431" i="5" s="1"/>
  <c r="BM1275" i="5"/>
  <c r="BN1275" i="5" s="1"/>
  <c r="BO1275" i="5"/>
  <c r="BR1275" i="5" s="1"/>
  <c r="BM830" i="5"/>
  <c r="BN830" i="5" s="1"/>
  <c r="BO830" i="5"/>
  <c r="BR830" i="5" s="1"/>
  <c r="BM225" i="5"/>
  <c r="BN225" i="5" s="1"/>
  <c r="BO225" i="5"/>
  <c r="BR225" i="5" s="1"/>
  <c r="BM1112" i="5"/>
  <c r="BN1112" i="5" s="1"/>
  <c r="BO1112" i="5"/>
  <c r="BR1112" i="5" s="1"/>
  <c r="BM565" i="5"/>
  <c r="BN565" i="5" s="1"/>
  <c r="BO565" i="5"/>
  <c r="BR565" i="5" s="1"/>
  <c r="BM26" i="5"/>
  <c r="BN26" i="5" s="1"/>
  <c r="BO26" i="5"/>
  <c r="BR26" i="5" s="1"/>
  <c r="BM936" i="5"/>
  <c r="BN936" i="5" s="1"/>
  <c r="BO936" i="5"/>
  <c r="BR936" i="5" s="1"/>
  <c r="BM414" i="5"/>
  <c r="BN414" i="5" s="1"/>
  <c r="BO414" i="5"/>
  <c r="BR414" i="5" s="1"/>
  <c r="BM1274" i="5"/>
  <c r="BN1274" i="5" s="1"/>
  <c r="BO1274" i="5"/>
  <c r="BR1274" i="5" s="1"/>
  <c r="BM730" i="5"/>
  <c r="BN730" i="5" s="1"/>
  <c r="BO730" i="5"/>
  <c r="BR730" i="5" s="1"/>
  <c r="BM195" i="5"/>
  <c r="BN195" i="5" s="1"/>
  <c r="BO195" i="5"/>
  <c r="BR195" i="5" s="1"/>
  <c r="BM43" i="5"/>
  <c r="BN43" i="5" s="1"/>
  <c r="BO43" i="5"/>
  <c r="BR43" i="5" s="1"/>
  <c r="BM954" i="5"/>
  <c r="BN954" i="5" s="1"/>
  <c r="BO954" i="5"/>
  <c r="BR954" i="5" s="1"/>
  <c r="BM394" i="5"/>
  <c r="BN394" i="5" s="1"/>
  <c r="BO394" i="5"/>
  <c r="BR394" i="5" s="1"/>
  <c r="BM1249" i="5"/>
  <c r="BN1249" i="5" s="1"/>
  <c r="BO1249" i="5"/>
  <c r="BR1249" i="5" s="1"/>
  <c r="BM461" i="5"/>
  <c r="BN461" i="5" s="1"/>
  <c r="BO461" i="5"/>
  <c r="BR461" i="5" s="1"/>
  <c r="BM458" i="5"/>
  <c r="BN458" i="5" s="1"/>
  <c r="BO458" i="5"/>
  <c r="BR458" i="5" s="1"/>
  <c r="BM1202" i="5"/>
  <c r="BN1202" i="5" s="1"/>
  <c r="BO1202" i="5"/>
  <c r="BR1202" i="5" s="1"/>
  <c r="BM119" i="5"/>
  <c r="BN119" i="5" s="1"/>
  <c r="BO119" i="5"/>
  <c r="BR119" i="5" s="1"/>
  <c r="BM863" i="5"/>
  <c r="BN863" i="5" s="1"/>
  <c r="BO863" i="5"/>
  <c r="BR863" i="5" s="1"/>
  <c r="BM501" i="5"/>
  <c r="BN501" i="5" s="1"/>
  <c r="BO501" i="5"/>
  <c r="BR501" i="5" s="1"/>
  <c r="BM1348" i="5"/>
  <c r="BN1348" i="5" s="1"/>
  <c r="BO1348" i="5"/>
  <c r="BR1348" i="5" s="1"/>
  <c r="BM707" i="5"/>
  <c r="BN707" i="5" s="1"/>
  <c r="BO707" i="5"/>
  <c r="BR707" i="5" s="1"/>
  <c r="BM288" i="5"/>
  <c r="BN288" i="5" s="1"/>
  <c r="BO288" i="5"/>
  <c r="BR288" i="5" s="1"/>
  <c r="BM651" i="5"/>
  <c r="BN651" i="5" s="1"/>
  <c r="BO651" i="5"/>
  <c r="BR651" i="5" s="1"/>
  <c r="BM148" i="5"/>
  <c r="BN148" i="5" s="1"/>
  <c r="BO148" i="5"/>
  <c r="BR148" i="5" s="1"/>
  <c r="BM904" i="5"/>
  <c r="BN904" i="5" s="1"/>
  <c r="BO904" i="5"/>
  <c r="BR904" i="5" s="1"/>
  <c r="BM473" i="5"/>
  <c r="BN473" i="5" s="1"/>
  <c r="BO473" i="5"/>
  <c r="BR473" i="5" s="1"/>
  <c r="BM1324" i="5"/>
  <c r="BN1324" i="5" s="1"/>
  <c r="BO1324" i="5"/>
  <c r="BR1324" i="5" s="1"/>
  <c r="BM267" i="5"/>
  <c r="BN267" i="5" s="1"/>
  <c r="BO267" i="5"/>
  <c r="BR267" i="5" s="1"/>
  <c r="BM1140" i="5"/>
  <c r="BN1140" i="5" s="1"/>
  <c r="BO1140" i="5"/>
  <c r="BR1140" i="5" s="1"/>
  <c r="BM648" i="5"/>
  <c r="BN648" i="5" s="1"/>
  <c r="BO648" i="5"/>
  <c r="BR648" i="5" s="1"/>
  <c r="BM75" i="5"/>
  <c r="BN75" i="5" s="1"/>
  <c r="BO75" i="5"/>
  <c r="BR75" i="5" s="1"/>
  <c r="BM970" i="5"/>
  <c r="BN970" i="5" s="1"/>
  <c r="BO970" i="5"/>
  <c r="BR970" i="5" s="1"/>
  <c r="BM866" i="5"/>
  <c r="BN866" i="5" s="1"/>
  <c r="BO866" i="5"/>
  <c r="BR866" i="5" s="1"/>
  <c r="BM693" i="5"/>
  <c r="BN693" i="5" s="1"/>
  <c r="BO693" i="5"/>
  <c r="BR693" i="5" s="1"/>
  <c r="BM750" i="5"/>
  <c r="BN750" i="5" s="1"/>
  <c r="BO750" i="5"/>
  <c r="BR750" i="5" s="1"/>
  <c r="BM202" i="5"/>
  <c r="BN202" i="5" s="1"/>
  <c r="BO202" i="5"/>
  <c r="BR202" i="5" s="1"/>
  <c r="BN546" i="5"/>
  <c r="BM665" i="5"/>
  <c r="BN665" i="5" s="1"/>
  <c r="BO665" i="5"/>
  <c r="BR665" i="5" s="1"/>
  <c r="BM18" i="5"/>
  <c r="BN18" i="5" s="1"/>
  <c r="BO18" i="5"/>
  <c r="BR18" i="5" s="1"/>
  <c r="BM663" i="5"/>
  <c r="BN663" i="5" s="1"/>
  <c r="BO663" i="5"/>
  <c r="BR663" i="5" s="1"/>
  <c r="BM89" i="5"/>
  <c r="BN89" i="5" s="1"/>
  <c r="BO89" i="5"/>
  <c r="BR89" i="5" s="1"/>
  <c r="BM1128" i="5"/>
  <c r="BN1128" i="5" s="1"/>
  <c r="BO1128" i="5"/>
  <c r="BR1128" i="5" s="1"/>
  <c r="BM67" i="5"/>
  <c r="BN67" i="5" s="1"/>
  <c r="BO67" i="5"/>
  <c r="BR67" i="5" s="1"/>
  <c r="BM1113" i="5"/>
  <c r="BN1113" i="5" s="1"/>
  <c r="BO1113" i="5"/>
  <c r="BR1113" i="5" s="1"/>
  <c r="BM350" i="5"/>
  <c r="BN350" i="5" s="1"/>
  <c r="BO350" i="5"/>
  <c r="BR350" i="5" s="1"/>
  <c r="BM1172" i="5"/>
  <c r="BN1172" i="5" s="1"/>
  <c r="BO1172" i="5"/>
  <c r="BR1172" i="5" s="1"/>
  <c r="BM886" i="5"/>
  <c r="BN886" i="5" s="1"/>
  <c r="BO886" i="5"/>
  <c r="BR886" i="5" s="1"/>
  <c r="BM71" i="5"/>
  <c r="BN71" i="5" s="1"/>
  <c r="BO71" i="5"/>
  <c r="BR71" i="5" s="1"/>
  <c r="BM294" i="5"/>
  <c r="BN294" i="5" s="1"/>
  <c r="BO294" i="5"/>
  <c r="BR294" i="5" s="1"/>
  <c r="BM909" i="5"/>
  <c r="BN909" i="5" s="1"/>
  <c r="BO909" i="5"/>
  <c r="BR909" i="5" s="1"/>
  <c r="BM263" i="5"/>
  <c r="BO263" i="5"/>
  <c r="BM59" i="5"/>
  <c r="BN59" i="5" s="1"/>
  <c r="BO59" i="5"/>
  <c r="BR59" i="5" s="1"/>
  <c r="BM1282" i="5"/>
  <c r="BN1282" i="5" s="1"/>
  <c r="BO1282" i="5"/>
  <c r="BR1282" i="5" s="1"/>
  <c r="BM1087" i="5"/>
  <c r="BN1087" i="5" s="1"/>
  <c r="BO1087" i="5"/>
  <c r="BR1087" i="5" s="1"/>
  <c r="BM1245" i="5"/>
  <c r="BN1245" i="5" s="1"/>
  <c r="BO1245" i="5"/>
  <c r="BR1245" i="5" s="1"/>
  <c r="BM1385" i="5"/>
  <c r="BN1385" i="5" s="1"/>
  <c r="BO1385" i="5"/>
  <c r="BR1385" i="5" s="1"/>
  <c r="BM1003" i="5"/>
  <c r="BN1003" i="5" s="1"/>
  <c r="BO1003" i="5"/>
  <c r="BR1003" i="5" s="1"/>
  <c r="BM784" i="5"/>
  <c r="BN784" i="5" s="1"/>
  <c r="BO784" i="5"/>
  <c r="BR784" i="5" s="1"/>
  <c r="BM437" i="5"/>
  <c r="BN437" i="5" s="1"/>
  <c r="BO437" i="5"/>
  <c r="BR437" i="5" s="1"/>
  <c r="BM532" i="5"/>
  <c r="BN532" i="5" s="1"/>
  <c r="BO532" i="5"/>
  <c r="BR532" i="5" s="1"/>
  <c r="BM941" i="5"/>
  <c r="BN941" i="5" s="1"/>
  <c r="BO941" i="5"/>
  <c r="BR941" i="5" s="1"/>
  <c r="BM977" i="5"/>
  <c r="BN977" i="5" s="1"/>
  <c r="BO977" i="5"/>
  <c r="BR977" i="5" s="1"/>
  <c r="BM482" i="5"/>
  <c r="BN482" i="5" s="1"/>
  <c r="BO482" i="5"/>
  <c r="BR482" i="5" s="1"/>
  <c r="BM743" i="5"/>
  <c r="BN743" i="5" s="1"/>
  <c r="BO743" i="5"/>
  <c r="BR743" i="5" s="1"/>
  <c r="BM107" i="5"/>
  <c r="BN107" i="5" s="1"/>
  <c r="BO107" i="5"/>
  <c r="BR107" i="5" s="1"/>
  <c r="BM1010" i="5"/>
  <c r="BN1010" i="5" s="1"/>
  <c r="BO1010" i="5"/>
  <c r="BR1010" i="5" s="1"/>
  <c r="BM561" i="5"/>
  <c r="BN561" i="5" s="1"/>
  <c r="BO561" i="5"/>
  <c r="BR561" i="5" s="1"/>
  <c r="BM885" i="5"/>
  <c r="BN885" i="5" s="1"/>
  <c r="BO885" i="5"/>
  <c r="BR885" i="5" s="1"/>
  <c r="BM537" i="5"/>
  <c r="BN537" i="5" s="1"/>
  <c r="BO537" i="5"/>
  <c r="BR537" i="5" s="1"/>
  <c r="BM432" i="5"/>
  <c r="BN432" i="5" s="1"/>
  <c r="BO432" i="5"/>
  <c r="BR432" i="5" s="1"/>
  <c r="BM1192" i="5"/>
  <c r="BN1192" i="5" s="1"/>
  <c r="BO1192" i="5"/>
  <c r="BR1192" i="5" s="1"/>
  <c r="BM887" i="5"/>
  <c r="BN887" i="5" s="1"/>
  <c r="BO887" i="5"/>
  <c r="BR887" i="5" s="1"/>
  <c r="BM272" i="5"/>
  <c r="BN272" i="5" s="1"/>
  <c r="BO272" i="5"/>
  <c r="BR272" i="5" s="1"/>
  <c r="BM806" i="5"/>
  <c r="BN806" i="5" s="1"/>
  <c r="BO806" i="5"/>
  <c r="BR806" i="5" s="1"/>
  <c r="BM16" i="5"/>
  <c r="BN16" i="5" s="1"/>
  <c r="BO16" i="5"/>
  <c r="BR16" i="5" s="1"/>
  <c r="BM109" i="5"/>
  <c r="BN109" i="5" s="1"/>
  <c r="BO109" i="5"/>
  <c r="BR109" i="5" s="1"/>
  <c r="BM937" i="5"/>
  <c r="BN937" i="5" s="1"/>
  <c r="BO937" i="5"/>
  <c r="BR937" i="5" s="1"/>
  <c r="BM644" i="5"/>
  <c r="BN644" i="5" s="1"/>
  <c r="BO644" i="5"/>
  <c r="BR644" i="5" s="1"/>
  <c r="BM1378" i="5"/>
  <c r="BN1378" i="5" s="1"/>
  <c r="BO1378" i="5"/>
  <c r="BR1378" i="5" s="1"/>
  <c r="BM1080" i="5"/>
  <c r="BN1080" i="5" s="1"/>
  <c r="BO1080" i="5"/>
  <c r="BR1080" i="5" s="1"/>
  <c r="BM610" i="5"/>
  <c r="BN610" i="5" s="1"/>
  <c r="BO610" i="5"/>
  <c r="BR610" i="5" s="1"/>
  <c r="BM1183" i="5"/>
  <c r="BN1183" i="5" s="1"/>
  <c r="BO1183" i="5"/>
  <c r="BR1183" i="5" s="1"/>
  <c r="BM728" i="5"/>
  <c r="BN728" i="5" s="1"/>
  <c r="BO728" i="5"/>
  <c r="BR728" i="5" s="1"/>
  <c r="BM395" i="5"/>
  <c r="BN395" i="5" s="1"/>
  <c r="BO395" i="5"/>
  <c r="BR395" i="5" s="1"/>
  <c r="BM268" i="5"/>
  <c r="BN268" i="5" s="1"/>
  <c r="BO268" i="5"/>
  <c r="BR268" i="5" s="1"/>
  <c r="BM820" i="5"/>
  <c r="BN820" i="5" s="1"/>
  <c r="BO820" i="5"/>
  <c r="BR820" i="5" s="1"/>
  <c r="BM192" i="5"/>
  <c r="BN192" i="5" s="1"/>
  <c r="BO192" i="5"/>
  <c r="BR192" i="5" s="1"/>
  <c r="BM1079" i="5"/>
  <c r="BN1079" i="5" s="1"/>
  <c r="BO1079" i="5"/>
  <c r="BR1079" i="5" s="1"/>
  <c r="BM602" i="5"/>
  <c r="BN602" i="5" s="1"/>
  <c r="BO602" i="5"/>
  <c r="BR602" i="5" s="1"/>
  <c r="BM10" i="5"/>
  <c r="BN10" i="5" s="1"/>
  <c r="BO10" i="5"/>
  <c r="BR10" i="5" s="1"/>
  <c r="BM957" i="5"/>
  <c r="BN957" i="5" s="1"/>
  <c r="BO957" i="5"/>
  <c r="BR957" i="5" s="1"/>
  <c r="BM381" i="5"/>
  <c r="BN381" i="5" s="1"/>
  <c r="BO381" i="5"/>
  <c r="BR381" i="5" s="1"/>
  <c r="BM703" i="5"/>
  <c r="BN703" i="5" s="1"/>
  <c r="BO703" i="5"/>
  <c r="BR703" i="5" s="1"/>
  <c r="BM173" i="5"/>
  <c r="BN173" i="5" s="1"/>
  <c r="BO173" i="5"/>
  <c r="BR173" i="5" s="1"/>
  <c r="BM1055" i="5"/>
  <c r="BN1055" i="5" s="1"/>
  <c r="BO1055" i="5"/>
  <c r="BR1055" i="5" s="1"/>
  <c r="BM1383" i="5"/>
  <c r="BN1383" i="5" s="1"/>
  <c r="BO1383" i="5"/>
  <c r="BR1383" i="5" s="1"/>
  <c r="BM935" i="5"/>
  <c r="BN935" i="5" s="1"/>
  <c r="BO935" i="5"/>
  <c r="BR935" i="5" s="1"/>
  <c r="BM335" i="5"/>
  <c r="BN335" i="5" s="1"/>
  <c r="BO335" i="5"/>
  <c r="BR335" i="5" s="1"/>
  <c r="BM1212" i="5"/>
  <c r="BN1212" i="5" s="1"/>
  <c r="BO1212" i="5"/>
  <c r="BR1212" i="5" s="1"/>
  <c r="BM837" i="5"/>
  <c r="BN837" i="5" s="1"/>
  <c r="BO837" i="5"/>
  <c r="BR837" i="5" s="1"/>
  <c r="BM401" i="5"/>
  <c r="BN401" i="5" s="1"/>
  <c r="BO401" i="5"/>
  <c r="BR401" i="5" s="1"/>
  <c r="BM1335" i="5"/>
  <c r="BN1335" i="5" s="1"/>
  <c r="BO1335" i="5"/>
  <c r="BR1335" i="5" s="1"/>
  <c r="BM825" i="5"/>
  <c r="BN825" i="5" s="1"/>
  <c r="BO825" i="5"/>
  <c r="BR825" i="5" s="1"/>
  <c r="BM1307" i="5"/>
  <c r="BN1307" i="5" s="1"/>
  <c r="BO1307" i="5"/>
  <c r="BR1307" i="5" s="1"/>
  <c r="BM284" i="5"/>
  <c r="BN284" i="5" s="1"/>
  <c r="BO284" i="5"/>
  <c r="BR284" i="5" s="1"/>
  <c r="BM1170" i="5"/>
  <c r="BN1170" i="5" s="1"/>
  <c r="BO1170" i="5"/>
  <c r="BR1170" i="5" s="1"/>
  <c r="BM683" i="5"/>
  <c r="BN683" i="5" s="1"/>
  <c r="BO683" i="5"/>
  <c r="BR683" i="5" s="1"/>
  <c r="BM865" i="5"/>
  <c r="BO865" i="5"/>
  <c r="BM508" i="5"/>
  <c r="BN508" i="5" s="1"/>
  <c r="BO508" i="5"/>
  <c r="BR508" i="5" s="1"/>
  <c r="BM1349" i="5"/>
  <c r="BN1349" i="5" s="1"/>
  <c r="BO1349" i="5"/>
  <c r="BR1349" i="5" s="1"/>
  <c r="BM848" i="5"/>
  <c r="BN848" i="5" s="1"/>
  <c r="BO848" i="5"/>
  <c r="BR848" i="5" s="1"/>
  <c r="BM319" i="5"/>
  <c r="BN319" i="5" s="1"/>
  <c r="BO319" i="5"/>
  <c r="BR319" i="5" s="1"/>
  <c r="BM1154" i="5"/>
  <c r="BN1154" i="5" s="1"/>
  <c r="BO1154" i="5"/>
  <c r="BR1154" i="5" s="1"/>
  <c r="BM670" i="5"/>
  <c r="BN670" i="5" s="1"/>
  <c r="BO670" i="5"/>
  <c r="BR670" i="5" s="1"/>
  <c r="BM126" i="5"/>
  <c r="BN126" i="5" s="1"/>
  <c r="BO126" i="5"/>
  <c r="BR126" i="5" s="1"/>
  <c r="BM879" i="5"/>
  <c r="BN879" i="5" s="1"/>
  <c r="BO879" i="5"/>
  <c r="BR879" i="5" s="1"/>
  <c r="BM452" i="5"/>
  <c r="BN452" i="5" s="1"/>
  <c r="BO452" i="5"/>
  <c r="BR452" i="5" s="1"/>
  <c r="BM1292" i="5"/>
  <c r="BN1292" i="5" s="1"/>
  <c r="BO1292" i="5"/>
  <c r="BR1292" i="5" s="1"/>
  <c r="BM275" i="5"/>
  <c r="BN275" i="5" s="1"/>
  <c r="BO275" i="5"/>
  <c r="BR275" i="5" s="1"/>
  <c r="BM1143" i="5"/>
  <c r="BN1143" i="5" s="1"/>
  <c r="BO1143" i="5"/>
  <c r="BR1143" i="5" s="1"/>
  <c r="BM450" i="5"/>
  <c r="BN450" i="5" s="1"/>
  <c r="BO450" i="5"/>
  <c r="BR450" i="5" s="1"/>
  <c r="BM177" i="5"/>
  <c r="BN177" i="5" s="1"/>
  <c r="BO177" i="5"/>
  <c r="BR177" i="5" s="1"/>
  <c r="BM1019" i="5"/>
  <c r="BN1019" i="5" s="1"/>
  <c r="BO1019" i="5"/>
  <c r="BR1019" i="5" s="1"/>
  <c r="BM168" i="5"/>
  <c r="BN168" i="5" s="1"/>
  <c r="BO168" i="5"/>
  <c r="BR168" i="5" s="1"/>
  <c r="BM600" i="5"/>
  <c r="BN600" i="5" s="1"/>
  <c r="BO600" i="5"/>
  <c r="BR600" i="5" s="1"/>
  <c r="BM88" i="5"/>
  <c r="BN88" i="5" s="1"/>
  <c r="BO88" i="5"/>
  <c r="BR88" i="5" s="1"/>
  <c r="BM918" i="5"/>
  <c r="BN918" i="5" s="1"/>
  <c r="BO918" i="5"/>
  <c r="BR918" i="5" s="1"/>
  <c r="BM454" i="5"/>
  <c r="BN454" i="5" s="1"/>
  <c r="BO454" i="5"/>
  <c r="BR454" i="5" s="1"/>
  <c r="BM1297" i="5"/>
  <c r="BN1297" i="5" s="1"/>
  <c r="BO1297" i="5"/>
  <c r="BR1297" i="5" s="1"/>
  <c r="BM255" i="5"/>
  <c r="BN255" i="5" s="1"/>
  <c r="BO255" i="5"/>
  <c r="BR255" i="5" s="1"/>
  <c r="BM1127" i="5"/>
  <c r="BN1127" i="5" s="1"/>
  <c r="BO1127" i="5"/>
  <c r="BR1127" i="5" s="1"/>
  <c r="BM571" i="5"/>
  <c r="BN571" i="5" s="1"/>
  <c r="BO571" i="5"/>
  <c r="BR571" i="5" s="1"/>
  <c r="BM54" i="5"/>
  <c r="BN54" i="5" s="1"/>
  <c r="BO54" i="5"/>
  <c r="BR54" i="5" s="1"/>
  <c r="BM1015" i="5"/>
  <c r="BN1015" i="5" s="1"/>
  <c r="BO1015" i="5"/>
  <c r="BR1015" i="5" s="1"/>
  <c r="BM428" i="5"/>
  <c r="BN428" i="5" s="1"/>
  <c r="BO428" i="5"/>
  <c r="BR428" i="5" s="1"/>
  <c r="BM818" i="5"/>
  <c r="BN818" i="5" s="1"/>
  <c r="BO818" i="5"/>
  <c r="BR818" i="5" s="1"/>
  <c r="BM206" i="5"/>
  <c r="BN206" i="5" s="1"/>
  <c r="BO206" i="5"/>
  <c r="BR206" i="5" s="1"/>
  <c r="BM1096" i="5"/>
  <c r="BO1096" i="5"/>
  <c r="BM605" i="5"/>
  <c r="BN605" i="5" s="1"/>
  <c r="BO605" i="5"/>
  <c r="BR605" i="5" s="1"/>
  <c r="BM386" i="5"/>
  <c r="BN386" i="5" s="1"/>
  <c r="BO386" i="5"/>
  <c r="BR386" i="5" s="1"/>
  <c r="BM1329" i="5"/>
  <c r="BN1329" i="5" s="1"/>
  <c r="BO1329" i="5"/>
  <c r="BR1329" i="5" s="1"/>
  <c r="BM940" i="5"/>
  <c r="BN940" i="5" s="1"/>
  <c r="BO940" i="5"/>
  <c r="BR940" i="5" s="1"/>
  <c r="BM138" i="5"/>
  <c r="BN138" i="5" s="1"/>
  <c r="BO138" i="5"/>
  <c r="BR138" i="5" s="1"/>
  <c r="BM928" i="5"/>
  <c r="BN928" i="5" s="1"/>
  <c r="BO928" i="5"/>
  <c r="BR928" i="5" s="1"/>
  <c r="BM399" i="5"/>
  <c r="BN399" i="5" s="1"/>
  <c r="BO399" i="5"/>
  <c r="BR399" i="5" s="1"/>
  <c r="BM1251" i="5"/>
  <c r="BN1251" i="5" s="1"/>
  <c r="BO1251" i="5"/>
  <c r="BR1251" i="5" s="1"/>
  <c r="BM829" i="5"/>
  <c r="BN829" i="5" s="1"/>
  <c r="BO829" i="5"/>
  <c r="BR829" i="5" s="1"/>
  <c r="BM185" i="5"/>
  <c r="BN185" i="5" s="1"/>
  <c r="BO185" i="5"/>
  <c r="BR185" i="5" s="1"/>
  <c r="BM1090" i="5"/>
  <c r="BN1090" i="5" s="1"/>
  <c r="BO1090" i="5"/>
  <c r="BR1090" i="5" s="1"/>
  <c r="BM536" i="5"/>
  <c r="BN536" i="5" s="1"/>
  <c r="BO536" i="5"/>
  <c r="BR536" i="5" s="1"/>
  <c r="BM2" i="5"/>
  <c r="BN2" i="5" s="1"/>
  <c r="BO2" i="5"/>
  <c r="BR2" i="5" s="1"/>
  <c r="BM953" i="5"/>
  <c r="BN953" i="5" s="1"/>
  <c r="BO953" i="5"/>
  <c r="BR953" i="5" s="1"/>
  <c r="BM356" i="5"/>
  <c r="BN356" i="5" s="1"/>
  <c r="BO356" i="5"/>
  <c r="BR356" i="5" s="1"/>
  <c r="BM1236" i="5"/>
  <c r="BN1236" i="5" s="1"/>
  <c r="BO1236" i="5"/>
  <c r="BR1236" i="5" s="1"/>
  <c r="BM804" i="5"/>
  <c r="BN804" i="5" s="1"/>
  <c r="BO804" i="5"/>
  <c r="BR804" i="5" s="1"/>
  <c r="BM122" i="5"/>
  <c r="BN122" i="5" s="1"/>
  <c r="BO122" i="5"/>
  <c r="BR122" i="5" s="1"/>
  <c r="BM1048" i="5"/>
  <c r="BN1048" i="5" s="1"/>
  <c r="BO1048" i="5"/>
  <c r="BR1048" i="5" s="1"/>
  <c r="BM577" i="5"/>
  <c r="BN577" i="5" s="1"/>
  <c r="BO577" i="5"/>
  <c r="BR577" i="5" s="1"/>
  <c r="BM1384" i="5"/>
  <c r="BN1384" i="5" s="1"/>
  <c r="BO1384" i="5"/>
  <c r="BR1384" i="5" s="1"/>
  <c r="BM1134" i="5"/>
  <c r="BN1134" i="5" s="1"/>
  <c r="BO1134" i="5"/>
  <c r="BR1134" i="5" s="1"/>
  <c r="BM367" i="5"/>
  <c r="BN367" i="5" s="1"/>
  <c r="BO367" i="5"/>
  <c r="BR367" i="5" s="1"/>
  <c r="BM869" i="5"/>
  <c r="BN869" i="5" s="1"/>
  <c r="BO869" i="5"/>
  <c r="BR869" i="5" s="1"/>
  <c r="BM1037" i="5"/>
  <c r="BN1037" i="5" s="1"/>
  <c r="BO1037" i="5"/>
  <c r="BR1037" i="5" s="1"/>
  <c r="BM1209" i="5"/>
  <c r="BN1209" i="5" s="1"/>
  <c r="BO1209" i="5"/>
  <c r="BR1209" i="5" s="1"/>
  <c r="BM182" i="5"/>
  <c r="BN182" i="5" s="1"/>
  <c r="BO182" i="5"/>
  <c r="BR182" i="5" s="1"/>
  <c r="BM794" i="5"/>
  <c r="BN794" i="5" s="1"/>
  <c r="BO794" i="5"/>
  <c r="BR794" i="5" s="1"/>
  <c r="BM1352" i="5"/>
  <c r="BN1352" i="5" s="1"/>
  <c r="BO1352" i="5"/>
  <c r="BR1352" i="5" s="1"/>
  <c r="BM1164" i="5"/>
  <c r="BN1164" i="5" s="1"/>
  <c r="BO1164" i="5"/>
  <c r="BR1164" i="5" s="1"/>
  <c r="BM517" i="5"/>
  <c r="BN517" i="5" s="1"/>
  <c r="BO517" i="5"/>
  <c r="BR517" i="5" s="1"/>
  <c r="BM183" i="5"/>
  <c r="BN183" i="5" s="1"/>
  <c r="BO183" i="5"/>
  <c r="BR183" i="5" s="1"/>
  <c r="BM930" i="5"/>
  <c r="BN930" i="5" s="1"/>
  <c r="BO930" i="5"/>
  <c r="BR930" i="5" s="1"/>
  <c r="BM358" i="5"/>
  <c r="BN358" i="5" s="1"/>
  <c r="BO358" i="5"/>
  <c r="BR358" i="5" s="1"/>
  <c r="BM1144" i="5"/>
  <c r="BN1144" i="5" s="1"/>
  <c r="BO1144" i="5"/>
  <c r="BR1144" i="5" s="1"/>
  <c r="BM140" i="5"/>
  <c r="BN140" i="5" s="1"/>
  <c r="BO140" i="5"/>
  <c r="BR140" i="5" s="1"/>
  <c r="BM1125" i="5"/>
  <c r="BN1125" i="5" s="1"/>
  <c r="BO1125" i="5"/>
  <c r="BR1125" i="5" s="1"/>
  <c r="BM226" i="5"/>
  <c r="BN226" i="5" s="1"/>
  <c r="BO226" i="5"/>
  <c r="BR226" i="5" s="1"/>
  <c r="BM1075" i="5"/>
  <c r="BN1075" i="5" s="1"/>
  <c r="BO1075" i="5"/>
  <c r="BR1075" i="5" s="1"/>
  <c r="BM579" i="5"/>
  <c r="BN579" i="5" s="1"/>
  <c r="BO579" i="5"/>
  <c r="BR579" i="5" s="1"/>
  <c r="BM19" i="5"/>
  <c r="BN19" i="5" s="1"/>
  <c r="BO19" i="5"/>
  <c r="BR19" i="5" s="1"/>
  <c r="BM956" i="5"/>
  <c r="BN956" i="5" s="1"/>
  <c r="BO956" i="5"/>
  <c r="BR956" i="5" s="1"/>
  <c r="BM388" i="5"/>
  <c r="BN388" i="5" s="1"/>
  <c r="BO388" i="5"/>
  <c r="BR388" i="5" s="1"/>
  <c r="BM1258" i="5"/>
  <c r="BN1258" i="5" s="1"/>
  <c r="BO1258" i="5"/>
  <c r="BR1258" i="5" s="1"/>
  <c r="BM816" i="5"/>
  <c r="BN816" i="5" s="1"/>
  <c r="BO816" i="5"/>
  <c r="BR816" i="5" s="1"/>
  <c r="BM224" i="5"/>
  <c r="BN224" i="5" s="1"/>
  <c r="BO224" i="5"/>
  <c r="BR224" i="5" s="1"/>
  <c r="BM1067" i="5"/>
  <c r="BN1067" i="5" s="1"/>
  <c r="BO1067" i="5"/>
  <c r="BR1067" i="5" s="1"/>
  <c r="BM568" i="5"/>
  <c r="BN568" i="5" s="1"/>
  <c r="BO568" i="5"/>
  <c r="BR568" i="5" s="1"/>
  <c r="BM1392" i="5"/>
  <c r="BO1392" i="5"/>
  <c r="BM1001" i="5"/>
  <c r="BN1001" i="5" s="1"/>
  <c r="BO1001" i="5"/>
  <c r="BR1001" i="5" s="1"/>
  <c r="BM338" i="5"/>
  <c r="BN338" i="5" s="1"/>
  <c r="BO338" i="5"/>
  <c r="BR338" i="5" s="1"/>
  <c r="BM1211" i="5"/>
  <c r="BN1211" i="5" s="1"/>
  <c r="BO1211" i="5"/>
  <c r="BR1211" i="5" s="1"/>
  <c r="BM810" i="5"/>
  <c r="BN810" i="5" s="1"/>
  <c r="BO810" i="5"/>
  <c r="BR810" i="5" s="1"/>
  <c r="BM158" i="5"/>
  <c r="BN158" i="5" s="1"/>
  <c r="BO158" i="5"/>
  <c r="BR158" i="5" s="1"/>
  <c r="BM1047" i="5"/>
  <c r="BN1047" i="5" s="1"/>
  <c r="BO1047" i="5"/>
  <c r="BR1047" i="5" s="1"/>
  <c r="BM567" i="5"/>
  <c r="BN567" i="5" s="1"/>
  <c r="BO567" i="5"/>
  <c r="BR567" i="5" s="1"/>
  <c r="BM1088" i="5"/>
  <c r="BN1088" i="5" s="1"/>
  <c r="BO1088" i="5"/>
  <c r="BR1088" i="5" s="1"/>
  <c r="BM38" i="5"/>
  <c r="BN38" i="5" s="1"/>
  <c r="BO38" i="5"/>
  <c r="BR38" i="5" s="1"/>
  <c r="BM1328" i="5"/>
  <c r="BN1328" i="5" s="1"/>
  <c r="BO1328" i="5"/>
  <c r="BR1328" i="5" s="1"/>
  <c r="BM378" i="5"/>
  <c r="BN378" i="5" s="1"/>
  <c r="BO378" i="5"/>
  <c r="BR378" i="5" s="1"/>
  <c r="BM1228" i="5"/>
  <c r="BN1228" i="5" s="1"/>
  <c r="BO1228" i="5"/>
  <c r="BR1228" i="5" s="1"/>
  <c r="BM769" i="5"/>
  <c r="BN769" i="5" s="1"/>
  <c r="BO769" i="5"/>
  <c r="BR769" i="5" s="1"/>
  <c r="BM171" i="5"/>
  <c r="BN171" i="5" s="1"/>
  <c r="BO171" i="5"/>
  <c r="BR171" i="5" s="1"/>
  <c r="BM1066" i="5"/>
  <c r="BN1066" i="5" s="1"/>
  <c r="BO1066" i="5"/>
  <c r="BR1066" i="5" s="1"/>
  <c r="BM1400" i="5"/>
  <c r="BN1400" i="5" s="1"/>
  <c r="BO1400" i="5"/>
  <c r="BR1400" i="5" s="1"/>
  <c r="BM921" i="5"/>
  <c r="BN921" i="5" s="1"/>
  <c r="BO921" i="5"/>
  <c r="BR921" i="5" s="1"/>
  <c r="BM357" i="5"/>
  <c r="BN357" i="5" s="1"/>
  <c r="BO357" i="5"/>
  <c r="BR357" i="5" s="1"/>
  <c r="BM1219" i="5"/>
  <c r="BN1219" i="5" s="1"/>
  <c r="BO1219" i="5"/>
  <c r="BR1219" i="5" s="1"/>
  <c r="BM692" i="5"/>
  <c r="BN692" i="5" s="1"/>
  <c r="BO692" i="5"/>
  <c r="BR692" i="5" s="1"/>
  <c r="BM137" i="5"/>
  <c r="BN137" i="5" s="1"/>
  <c r="BO137" i="5"/>
  <c r="BR137" i="5" s="1"/>
  <c r="BM1034" i="5"/>
  <c r="BN1034" i="5" s="1"/>
  <c r="BO1034" i="5"/>
  <c r="BR1034" i="5" s="1"/>
  <c r="BM495" i="5"/>
  <c r="BN495" i="5" s="1"/>
  <c r="BO495" i="5"/>
  <c r="BR495" i="5" s="1"/>
  <c r="BM1338" i="5"/>
  <c r="BN1338" i="5" s="1"/>
  <c r="BO1338" i="5"/>
  <c r="BR1338" i="5" s="1"/>
  <c r="BM858" i="5"/>
  <c r="BN858" i="5" s="1"/>
  <c r="BO858" i="5"/>
  <c r="BR858" i="5" s="1"/>
  <c r="BM1203" i="5"/>
  <c r="BN1203" i="5" s="1"/>
  <c r="BO1203" i="5"/>
  <c r="BR1203" i="5" s="1"/>
  <c r="BM1175" i="5"/>
  <c r="BN1175" i="5" s="1"/>
  <c r="BO1175" i="5"/>
  <c r="BR1175" i="5" s="1"/>
  <c r="BM279" i="5"/>
  <c r="BN279" i="5" s="1"/>
  <c r="BO279" i="5"/>
  <c r="BR279" i="5" s="1"/>
  <c r="BM211" i="5"/>
  <c r="BN211" i="5" s="1"/>
  <c r="BO211" i="5"/>
  <c r="BR211" i="5" s="1"/>
  <c r="BM638" i="5"/>
  <c r="BN638" i="5" s="1"/>
  <c r="BO638" i="5"/>
  <c r="BR638" i="5" s="1"/>
  <c r="BM156" i="5"/>
  <c r="BN156" i="5" s="1"/>
  <c r="BO156" i="5"/>
  <c r="BR156" i="5" s="1"/>
  <c r="BM993" i="5"/>
  <c r="BN993" i="5" s="1"/>
  <c r="BO993" i="5"/>
  <c r="BR993" i="5" s="1"/>
  <c r="BM487" i="5"/>
  <c r="BN487" i="5" s="1"/>
  <c r="BO487" i="5"/>
  <c r="BR487" i="5" s="1"/>
  <c r="BM1345" i="5"/>
  <c r="BN1345" i="5" s="1"/>
  <c r="BO1345" i="5"/>
  <c r="BR1345" i="5" s="1"/>
  <c r="BM842" i="5"/>
  <c r="BN842" i="5" s="1"/>
  <c r="BO842" i="5"/>
  <c r="BR842" i="5" s="1"/>
  <c r="BM305" i="5"/>
  <c r="BN305" i="5" s="1"/>
  <c r="BO305" i="5"/>
  <c r="BR305" i="5" s="1"/>
  <c r="BM1185" i="5"/>
  <c r="BN1185" i="5" s="1"/>
  <c r="BO1185" i="5"/>
  <c r="BR1185" i="5" s="1"/>
  <c r="BM696" i="5"/>
  <c r="BN696" i="5" s="1"/>
  <c r="BO696" i="5"/>
  <c r="BR696" i="5" s="1"/>
  <c r="BM153" i="5"/>
  <c r="BN153" i="5" s="1"/>
  <c r="BO153" i="5"/>
  <c r="BR153" i="5" s="1"/>
  <c r="BM899" i="5"/>
  <c r="BN899" i="5" s="1"/>
  <c r="BO899" i="5"/>
  <c r="BR899" i="5" s="1"/>
  <c r="BM762" i="5"/>
  <c r="BN762" i="5" s="1"/>
  <c r="BO762" i="5"/>
  <c r="BR762" i="5" s="1"/>
  <c r="BM269" i="5"/>
  <c r="BN269" i="5" s="1"/>
  <c r="BO269" i="5"/>
  <c r="BR269" i="5" s="1"/>
  <c r="BM1159" i="5"/>
  <c r="BN1159" i="5" s="1"/>
  <c r="BO1159" i="5"/>
  <c r="BR1159" i="5" s="1"/>
  <c r="BM664" i="5"/>
  <c r="BN664" i="5" s="1"/>
  <c r="BO664" i="5"/>
  <c r="BR664" i="5" s="1"/>
  <c r="BM1111" i="5"/>
  <c r="BN1111" i="5" s="1"/>
  <c r="BO1111" i="5"/>
  <c r="BR1111" i="5" s="1"/>
  <c r="BM657" i="5"/>
  <c r="BN657" i="5" s="1"/>
  <c r="BO657" i="5"/>
  <c r="BR657" i="5" s="1"/>
  <c r="BM1102" i="5"/>
  <c r="BN1102" i="5" s="1"/>
  <c r="BO1102" i="5"/>
  <c r="BR1102" i="5" s="1"/>
  <c r="BM817" i="5"/>
  <c r="BN817" i="5" s="1"/>
  <c r="BO817" i="5"/>
  <c r="BR817" i="5" s="1"/>
  <c r="BM227" i="5"/>
  <c r="BN227" i="5" s="1"/>
  <c r="BO227" i="5"/>
  <c r="BR227" i="5" s="1"/>
  <c r="BM1109" i="5"/>
  <c r="BN1109" i="5" s="1"/>
  <c r="BO1109" i="5"/>
  <c r="BR1109" i="5" s="1"/>
  <c r="BM584" i="5"/>
  <c r="BN584" i="5" s="1"/>
  <c r="BO584" i="5"/>
  <c r="BR584" i="5" s="1"/>
  <c r="BM14" i="5"/>
  <c r="BN14" i="5" s="1"/>
  <c r="BO14" i="5"/>
  <c r="BR14" i="5" s="1"/>
  <c r="BM975" i="5"/>
  <c r="BN975" i="5" s="1"/>
  <c r="BO975" i="5"/>
  <c r="BR975" i="5" s="1"/>
  <c r="BM407" i="5"/>
  <c r="BN407" i="5" s="1"/>
  <c r="BO407" i="5"/>
  <c r="BR407" i="5" s="1"/>
  <c r="BM1287" i="5"/>
  <c r="BN1287" i="5" s="1"/>
  <c r="BO1287" i="5"/>
  <c r="BR1287" i="5" s="1"/>
  <c r="BM759" i="5"/>
  <c r="BN759" i="5" s="1"/>
  <c r="BO759" i="5"/>
  <c r="BR759" i="5" s="1"/>
  <c r="BM1104" i="5"/>
  <c r="BN1104" i="5" s="1"/>
  <c r="BO1104" i="5"/>
  <c r="BR1104" i="5" s="1"/>
  <c r="BM550" i="5"/>
  <c r="BN550" i="5" s="1"/>
  <c r="BO550" i="5"/>
  <c r="BR550" i="5" s="1"/>
  <c r="BM29" i="5"/>
  <c r="BN29" i="5" s="1"/>
  <c r="BO29" i="5"/>
  <c r="BR29" i="5" s="1"/>
  <c r="BM979" i="5"/>
  <c r="BN979" i="5" s="1"/>
  <c r="BO979" i="5"/>
  <c r="BR979" i="5" s="1"/>
  <c r="BM391" i="5"/>
  <c r="BN391" i="5" s="1"/>
  <c r="BO391" i="5"/>
  <c r="BR391" i="5" s="1"/>
  <c r="BM747" i="5"/>
  <c r="BN747" i="5" s="1"/>
  <c r="BO747" i="5"/>
  <c r="BR747" i="5" s="1"/>
  <c r="BM201" i="5"/>
  <c r="BN201" i="5" s="1"/>
  <c r="BO201" i="5"/>
  <c r="BR201" i="5" s="1"/>
  <c r="BM1085" i="5"/>
  <c r="BN1085" i="5" s="1"/>
  <c r="BO1085" i="5"/>
  <c r="BR1085" i="5" s="1"/>
  <c r="BM988" i="5"/>
  <c r="BN988" i="5" s="1"/>
  <c r="BO988" i="5"/>
  <c r="BR988" i="5" s="1"/>
  <c r="BM1064" i="5"/>
  <c r="BN1064" i="5" s="1"/>
  <c r="BO1064" i="5"/>
  <c r="BR1064" i="5" s="1"/>
  <c r="BM545" i="5"/>
  <c r="BN545" i="5" s="1"/>
  <c r="BO545" i="5"/>
  <c r="BR545" i="5" s="1"/>
  <c r="BM379" i="5"/>
  <c r="BN379" i="5" s="1"/>
  <c r="BO379" i="5"/>
  <c r="BR379" i="5" s="1"/>
  <c r="BM733" i="5"/>
  <c r="BN733" i="5" s="1"/>
  <c r="BO733" i="5"/>
  <c r="BR733" i="5" s="1"/>
  <c r="BM290" i="5"/>
  <c r="BN290" i="5" s="1"/>
  <c r="BO290" i="5"/>
  <c r="BR290" i="5" s="1"/>
  <c r="BM1186" i="5"/>
  <c r="BN1186" i="5" s="1"/>
  <c r="BO1186" i="5"/>
  <c r="BR1186" i="5" s="1"/>
  <c r="BM679" i="5"/>
  <c r="BN679" i="5" s="1"/>
  <c r="BO679" i="5"/>
  <c r="BR679" i="5" s="1"/>
  <c r="BM994" i="5"/>
  <c r="BN994" i="5" s="1"/>
  <c r="BO994" i="5"/>
  <c r="BR994" i="5" s="1"/>
  <c r="BM509" i="5"/>
  <c r="BN509" i="5" s="1"/>
  <c r="BO509" i="5"/>
  <c r="BR509" i="5" s="1"/>
  <c r="BM1336" i="5"/>
  <c r="BN1336" i="5" s="1"/>
  <c r="BO1336" i="5"/>
  <c r="BR1336" i="5" s="1"/>
  <c r="BM706" i="5"/>
  <c r="BN706" i="5" s="1"/>
  <c r="BO706" i="5"/>
  <c r="BR706" i="5" s="1"/>
  <c r="BM296" i="5"/>
  <c r="BN296" i="5" s="1"/>
  <c r="BO296" i="5"/>
  <c r="BR296" i="5" s="1"/>
  <c r="BM1160" i="5"/>
  <c r="BN1160" i="5" s="1"/>
  <c r="BO1160" i="5"/>
  <c r="BR1160" i="5" s="1"/>
  <c r="BM667" i="5"/>
  <c r="BN667" i="5" s="1"/>
  <c r="BO667" i="5"/>
  <c r="BR667" i="5" s="1"/>
  <c r="BM129" i="5"/>
  <c r="BN129" i="5" s="1"/>
  <c r="BO129" i="5"/>
  <c r="BR129" i="5" s="1"/>
  <c r="BM892" i="5"/>
  <c r="BN892" i="5" s="1"/>
  <c r="BO892" i="5"/>
  <c r="BR892" i="5" s="1"/>
  <c r="BM463" i="5"/>
  <c r="BN463" i="5" s="1"/>
  <c r="BO463" i="5"/>
  <c r="BR463" i="5" s="1"/>
  <c r="BM1294" i="5"/>
  <c r="BN1294" i="5" s="1"/>
  <c r="BO1294" i="5"/>
  <c r="BR1294" i="5" s="1"/>
  <c r="BM251" i="5"/>
  <c r="BN251" i="5" s="1"/>
  <c r="BO251" i="5"/>
  <c r="BR251" i="5" s="1"/>
  <c r="BM1215" i="5"/>
  <c r="BN1215" i="5" s="1"/>
  <c r="BO1215" i="5"/>
  <c r="BR1215" i="5" s="1"/>
  <c r="BM117" i="5"/>
  <c r="BN117" i="5" s="1"/>
  <c r="BO117" i="5"/>
  <c r="BR117" i="5" s="1"/>
  <c r="BM538" i="5"/>
  <c r="BN538" i="5" s="1"/>
  <c r="BO538" i="5"/>
  <c r="BR538" i="5" s="1"/>
  <c r="BM11" i="5"/>
  <c r="BN11" i="5" s="1"/>
  <c r="BO11" i="5"/>
  <c r="BR11" i="5" s="1"/>
  <c r="BM929" i="5"/>
  <c r="BN929" i="5" s="1"/>
  <c r="BO929" i="5"/>
  <c r="BR929" i="5" s="1"/>
  <c r="BM398" i="5"/>
  <c r="BN398" i="5" s="1"/>
  <c r="BO398" i="5"/>
  <c r="BR398" i="5" s="1"/>
  <c r="BM1268" i="5"/>
  <c r="BN1268" i="5" s="1"/>
  <c r="BO1268" i="5"/>
  <c r="BR1268" i="5" s="1"/>
  <c r="BM838" i="5"/>
  <c r="BN838" i="5" s="1"/>
  <c r="BO838" i="5"/>
  <c r="BR838" i="5" s="1"/>
  <c r="BM215" i="5"/>
  <c r="BN215" i="5" s="1"/>
  <c r="BO215" i="5"/>
  <c r="BR215" i="5" s="1"/>
  <c r="BM1081" i="5"/>
  <c r="BN1081" i="5" s="1"/>
  <c r="BO1081" i="5"/>
  <c r="BR1081" i="5" s="1"/>
  <c r="BM922" i="5"/>
  <c r="BN922" i="5" s="1"/>
  <c r="BO922" i="5"/>
  <c r="BR922" i="5" s="1"/>
  <c r="BM361" i="5"/>
  <c r="BN361" i="5" s="1"/>
  <c r="BO361" i="5"/>
  <c r="BR361" i="5" s="1"/>
  <c r="BM1221" i="5"/>
  <c r="BN1221" i="5" s="1"/>
  <c r="BO1221" i="5"/>
  <c r="BR1221" i="5" s="1"/>
  <c r="BM739" i="5"/>
  <c r="BN739" i="5" s="1"/>
  <c r="BO739" i="5"/>
  <c r="BR739" i="5" s="1"/>
  <c r="BM1049" i="5"/>
  <c r="BN1049" i="5" s="1"/>
  <c r="BO1049" i="5"/>
  <c r="BR1049" i="5" s="1"/>
  <c r="BM548" i="5"/>
  <c r="BN548" i="5" s="1"/>
  <c r="BO548" i="5"/>
  <c r="BR548" i="5" s="1"/>
  <c r="BM1376" i="5"/>
  <c r="BN1376" i="5" s="1"/>
  <c r="BO1376" i="5"/>
  <c r="BR1376" i="5" s="1"/>
  <c r="BM827" i="5"/>
  <c r="BN827" i="5" s="1"/>
  <c r="BO827" i="5"/>
  <c r="BR827" i="5" s="1"/>
  <c r="BM640" i="5"/>
  <c r="BN640" i="5" s="1"/>
  <c r="BO640" i="5"/>
  <c r="BR640" i="5" s="1"/>
  <c r="BM1267" i="5"/>
  <c r="BN1267" i="5" s="1"/>
  <c r="BO1267" i="5"/>
  <c r="BR1267" i="5" s="1"/>
  <c r="BM278" i="5"/>
  <c r="BN278" i="5" s="1"/>
  <c r="BO278" i="5"/>
  <c r="BR278" i="5" s="1"/>
  <c r="BM1153" i="5"/>
  <c r="BN1153" i="5" s="1"/>
  <c r="BO1153" i="5"/>
  <c r="BR1153" i="5" s="1"/>
  <c r="BM647" i="5"/>
  <c r="BN647" i="5" s="1"/>
  <c r="BO647" i="5"/>
  <c r="BR647" i="5" s="1"/>
  <c r="BM87" i="5"/>
  <c r="BN87" i="5" s="1"/>
  <c r="BO87" i="5"/>
  <c r="BR87" i="5" s="1"/>
  <c r="BM971" i="5"/>
  <c r="BN971" i="5" s="1"/>
  <c r="BO971" i="5"/>
  <c r="BR971" i="5" s="1"/>
  <c r="BM442" i="5"/>
  <c r="BN442" i="5" s="1"/>
  <c r="BO442" i="5"/>
  <c r="BR442" i="5" s="1"/>
  <c r="BM1323" i="5"/>
  <c r="BN1323" i="5" s="1"/>
  <c r="BO1323" i="5"/>
  <c r="BR1323" i="5" s="1"/>
  <c r="BM712" i="5"/>
  <c r="BN712" i="5" s="1"/>
  <c r="BO712" i="5"/>
  <c r="BR712" i="5" s="1"/>
  <c r="BM262" i="5"/>
  <c r="BN262" i="5" s="1"/>
  <c r="BO262" i="5"/>
  <c r="BR262" i="5" s="1"/>
  <c r="BM1139" i="5"/>
  <c r="BN1139" i="5" s="1"/>
  <c r="BO1139" i="5"/>
  <c r="BR1139" i="5" s="1"/>
  <c r="BM518" i="5"/>
  <c r="BN518" i="5" s="1"/>
  <c r="BO518" i="5"/>
  <c r="BR518" i="5" s="1"/>
  <c r="BM945" i="5"/>
  <c r="BN945" i="5" s="1"/>
  <c r="BO945" i="5"/>
  <c r="BR945" i="5" s="1"/>
  <c r="BM406" i="5"/>
  <c r="BN406" i="5" s="1"/>
  <c r="BO406" i="5"/>
  <c r="BR406" i="5" s="1"/>
  <c r="BM1288" i="5"/>
  <c r="BN1288" i="5" s="1"/>
  <c r="BO1288" i="5"/>
  <c r="BR1288" i="5" s="1"/>
  <c r="BM831" i="5"/>
  <c r="BN831" i="5" s="1"/>
  <c r="BO831" i="5"/>
  <c r="BR831" i="5" s="1"/>
  <c r="BM249" i="5"/>
  <c r="BN249" i="5" s="1"/>
  <c r="BO249" i="5"/>
  <c r="BR249" i="5" s="1"/>
  <c r="BM1122" i="5"/>
  <c r="BN1122" i="5" s="1"/>
  <c r="BO1122" i="5"/>
  <c r="BR1122" i="5" s="1"/>
  <c r="BM63" i="5"/>
  <c r="BN63" i="5" s="1"/>
  <c r="BO63" i="5"/>
  <c r="BR63" i="5" s="1"/>
  <c r="BM621" i="5"/>
  <c r="BN621" i="5" s="1"/>
  <c r="BO621" i="5"/>
  <c r="BR621" i="5" s="1"/>
  <c r="BM142" i="5"/>
  <c r="BN142" i="5" s="1"/>
  <c r="BO142" i="5"/>
  <c r="BR142" i="5" s="1"/>
  <c r="BM708" i="5"/>
  <c r="BN708" i="5" s="1"/>
  <c r="BO708" i="5"/>
  <c r="BR708" i="5" s="1"/>
  <c r="BM753" i="5"/>
  <c r="BN753" i="5" s="1"/>
  <c r="BO753" i="5"/>
  <c r="BR753" i="5" s="1"/>
  <c r="BM1265" i="5"/>
  <c r="BN1265" i="5" s="1"/>
  <c r="BO1265" i="5"/>
  <c r="BR1265" i="5" s="1"/>
  <c r="BM33" i="5"/>
  <c r="BN33" i="5" s="1"/>
  <c r="BO33" i="5"/>
  <c r="BR33" i="5" s="1"/>
  <c r="BM874" i="5"/>
  <c r="BN874" i="5" s="1"/>
  <c r="BO874" i="5"/>
  <c r="BR874" i="5" s="1"/>
  <c r="BM1216" i="5"/>
  <c r="BN1216" i="5" s="1"/>
  <c r="BO1216" i="5"/>
  <c r="BR1216" i="5" s="1"/>
  <c r="BM917" i="5"/>
  <c r="BN917" i="5" s="1"/>
  <c r="BO917" i="5"/>
  <c r="BR917" i="5" s="1"/>
  <c r="BM144" i="5"/>
  <c r="BN144" i="5" s="1"/>
  <c r="BO144" i="5"/>
  <c r="BR144" i="5" s="1"/>
  <c r="BM1187" i="5"/>
  <c r="BN1187" i="5" s="1"/>
  <c r="BO1187" i="5"/>
  <c r="BR1187" i="5" s="1"/>
  <c r="BM333" i="5"/>
  <c r="BN333" i="5" s="1"/>
  <c r="BO333" i="5"/>
  <c r="BR333" i="5" s="1"/>
  <c r="BM492" i="5"/>
  <c r="BN492" i="5" s="1"/>
  <c r="BO492" i="5"/>
  <c r="BR492" i="5" s="1"/>
  <c r="BM559" i="5"/>
  <c r="BN559" i="5" s="1"/>
  <c r="BO559" i="5"/>
  <c r="BR559" i="5" s="1"/>
  <c r="BM1316" i="5"/>
  <c r="BN1316" i="5" s="1"/>
  <c r="BO1316" i="5"/>
  <c r="BR1316" i="5" s="1"/>
  <c r="BM82" i="5"/>
  <c r="BN82" i="5" s="1"/>
  <c r="BO82" i="5"/>
  <c r="BR82" i="5" s="1"/>
  <c r="BM1277" i="5"/>
  <c r="BN1277" i="5" s="1"/>
  <c r="BO1277" i="5"/>
  <c r="BR1277" i="5" s="1"/>
  <c r="BM654" i="5"/>
  <c r="BN654" i="5" s="1"/>
  <c r="BO654" i="5"/>
  <c r="BR654" i="5" s="1"/>
  <c r="BM1396" i="5"/>
  <c r="BN1396" i="5" s="1"/>
  <c r="BO1396" i="5"/>
  <c r="BR1396" i="5" s="1"/>
  <c r="BM1250" i="5"/>
  <c r="BN1250" i="5" s="1"/>
  <c r="BO1250" i="5"/>
  <c r="BR1250" i="5" s="1"/>
  <c r="BM505" i="5"/>
  <c r="BN505" i="5" s="1"/>
  <c r="BO505" i="5"/>
  <c r="BR505" i="5" s="1"/>
  <c r="BM1252" i="5"/>
  <c r="BN1252" i="5" s="1"/>
  <c r="BO1252" i="5"/>
  <c r="BR1252" i="5" s="1"/>
  <c r="BM1195" i="5"/>
  <c r="BN1195" i="5" s="1"/>
  <c r="BO1195" i="5"/>
  <c r="BR1195" i="5" s="1"/>
  <c r="BM826" i="5"/>
  <c r="BN826" i="5" s="1"/>
  <c r="BO826" i="5"/>
  <c r="BR826" i="5" s="1"/>
  <c r="BM238" i="5"/>
  <c r="BN238" i="5" s="1"/>
  <c r="BO238" i="5"/>
  <c r="BR238" i="5" s="1"/>
  <c r="BM285" i="5"/>
  <c r="BN285" i="5" s="1"/>
  <c r="BO285" i="5"/>
  <c r="BR285" i="5" s="1"/>
  <c r="BM843" i="5"/>
  <c r="BN843" i="5" s="1"/>
  <c r="BO843" i="5"/>
  <c r="BR843" i="5" s="1"/>
  <c r="BM608" i="5"/>
  <c r="BN608" i="5" s="1"/>
  <c r="BO608" i="5"/>
  <c r="BR608" i="5" s="1"/>
  <c r="BM339" i="5"/>
  <c r="BN339" i="5" s="1"/>
  <c r="BO339" i="5"/>
  <c r="BR339" i="5" s="1"/>
  <c r="BM52" i="5"/>
  <c r="BN52" i="5" s="1"/>
  <c r="BO52" i="5"/>
  <c r="BR52" i="5" s="1"/>
  <c r="BM465" i="5"/>
  <c r="BN465" i="5" s="1"/>
  <c r="BO465" i="5"/>
  <c r="BR465" i="5" s="1"/>
  <c r="BM220" i="5"/>
  <c r="BN220" i="5" s="1"/>
  <c r="BO220" i="5"/>
  <c r="BR220" i="5" s="1"/>
  <c r="BM157" i="5"/>
  <c r="BN157" i="5" s="1"/>
  <c r="BO157" i="5"/>
  <c r="BR157" i="5" s="1"/>
  <c r="BM783" i="5"/>
  <c r="BN783" i="5" s="1"/>
  <c r="BO783" i="5"/>
  <c r="BR783" i="5" s="1"/>
  <c r="BM511" i="5"/>
  <c r="BN511" i="5" s="1"/>
  <c r="BO511" i="5"/>
  <c r="BR511" i="5" s="1"/>
  <c r="BM528" i="5"/>
  <c r="BN528" i="5" s="1"/>
  <c r="BO528" i="5"/>
  <c r="BR528" i="5" s="1"/>
  <c r="BM1402" i="5"/>
  <c r="BN1402" i="5" s="1"/>
  <c r="BO1402" i="5"/>
  <c r="BR1402" i="5" s="1"/>
  <c r="BM133" i="5"/>
  <c r="BN133" i="5" s="1"/>
  <c r="BO133" i="5"/>
  <c r="BR133" i="5" s="1"/>
  <c r="BM53" i="5"/>
  <c r="BN53" i="5" s="1"/>
  <c r="BO53" i="5"/>
  <c r="BR53" i="5" s="1"/>
  <c r="BM446" i="5"/>
  <c r="BN446" i="5" s="1"/>
  <c r="BO446" i="5"/>
  <c r="BR446" i="5" s="1"/>
  <c r="BM403" i="5"/>
  <c r="BN403" i="5" s="1"/>
  <c r="BO403" i="5"/>
  <c r="BR403" i="5" s="1"/>
  <c r="BM1007" i="5"/>
  <c r="BN1007" i="5" s="1"/>
  <c r="BO1007" i="5"/>
  <c r="BR1007" i="5" s="1"/>
  <c r="BM352" i="5"/>
  <c r="BN352" i="5" s="1"/>
  <c r="BO352" i="5"/>
  <c r="BR352" i="5" s="1"/>
  <c r="BM1218" i="5"/>
  <c r="BN1218" i="5" s="1"/>
  <c r="BO1218" i="5"/>
  <c r="BR1218" i="5" s="1"/>
  <c r="BM740" i="5"/>
  <c r="BN740" i="5" s="1"/>
  <c r="BO740" i="5"/>
  <c r="BR740" i="5" s="1"/>
  <c r="BM181" i="5"/>
  <c r="BN181" i="5" s="1"/>
  <c r="BO181" i="5"/>
  <c r="BR181" i="5" s="1"/>
  <c r="BM1053" i="5"/>
  <c r="BN1053" i="5" s="1"/>
  <c r="BO1053" i="5"/>
  <c r="BR1053" i="5" s="1"/>
  <c r="BM524" i="5"/>
  <c r="BN524" i="5" s="1"/>
  <c r="BO524" i="5"/>
  <c r="BR524" i="5" s="1"/>
  <c r="BM1386" i="5"/>
  <c r="BN1386" i="5" s="1"/>
  <c r="BO1386" i="5"/>
  <c r="BR1386" i="5" s="1"/>
  <c r="BM913" i="5"/>
  <c r="BN913" i="5" s="1"/>
  <c r="BO913" i="5"/>
  <c r="BR913" i="5" s="1"/>
  <c r="BM328" i="5"/>
  <c r="BN328" i="5" s="1"/>
  <c r="BO328" i="5"/>
  <c r="BR328" i="5" s="1"/>
  <c r="BM1199" i="5"/>
  <c r="BN1199" i="5" s="1"/>
  <c r="BO1199" i="5"/>
  <c r="BR1199" i="5" s="1"/>
  <c r="BM673" i="5"/>
  <c r="BN673" i="5" s="1"/>
  <c r="BO673" i="5"/>
  <c r="BR673" i="5" s="1"/>
  <c r="BM127" i="5"/>
  <c r="BN127" i="5" s="1"/>
  <c r="BO127" i="5"/>
  <c r="BR127" i="5" s="1"/>
  <c r="BM907" i="5"/>
  <c r="BN907" i="5" s="1"/>
  <c r="BO907" i="5"/>
  <c r="BR907" i="5" s="1"/>
  <c r="BM502" i="5"/>
  <c r="BN502" i="5" s="1"/>
  <c r="BO502" i="5"/>
  <c r="BR502" i="5" s="1"/>
  <c r="BM1353" i="5"/>
  <c r="BN1353" i="5" s="1"/>
  <c r="BO1353" i="5"/>
  <c r="BR1353" i="5" s="1"/>
  <c r="BM777" i="5"/>
  <c r="BN777" i="5" s="1"/>
  <c r="BO777" i="5"/>
  <c r="BR777" i="5" s="1"/>
  <c r="BM738" i="5"/>
  <c r="BN738" i="5" s="1"/>
  <c r="BO738" i="5"/>
  <c r="BR738" i="5" s="1"/>
  <c r="BM1099" i="5"/>
  <c r="BN1099" i="5" s="1"/>
  <c r="BO1099" i="5"/>
  <c r="BR1099" i="5" s="1"/>
  <c r="BM1158" i="5"/>
  <c r="BN1158" i="5" s="1"/>
  <c r="BO1158" i="5"/>
  <c r="BR1158" i="5" s="1"/>
  <c r="BM506" i="5"/>
  <c r="BN506" i="5" s="1"/>
  <c r="BO506" i="5"/>
  <c r="BR506" i="5" s="1"/>
  <c r="BM439" i="5"/>
  <c r="BN439" i="5" s="1"/>
  <c r="BO439" i="5"/>
  <c r="BR439" i="5" s="1"/>
  <c r="BM1310" i="5"/>
  <c r="BN1310" i="5" s="1"/>
  <c r="BO1310" i="5"/>
  <c r="BR1310" i="5" s="1"/>
  <c r="BM726" i="5"/>
  <c r="BN726" i="5" s="1"/>
  <c r="BO726" i="5"/>
  <c r="BR726" i="5" s="1"/>
  <c r="BM281" i="5"/>
  <c r="BN281" i="5" s="1"/>
  <c r="BO281" i="5"/>
  <c r="BR281" i="5" s="1"/>
  <c r="BM1155" i="5"/>
  <c r="BN1155" i="5" s="1"/>
  <c r="BO1155" i="5"/>
  <c r="BR1155" i="5" s="1"/>
  <c r="BM698" i="5"/>
  <c r="BN698" i="5" s="1"/>
  <c r="BO698" i="5"/>
  <c r="BR698" i="5" s="1"/>
  <c r="BM68" i="5"/>
  <c r="BN68" i="5" s="1"/>
  <c r="BO68" i="5"/>
  <c r="BR68" i="5" s="1"/>
  <c r="BM968" i="5"/>
  <c r="BN968" i="5" s="1"/>
  <c r="BO968" i="5"/>
  <c r="BR968" i="5" s="1"/>
  <c r="BM440" i="5"/>
  <c r="BN440" i="5" s="1"/>
  <c r="BO440" i="5"/>
  <c r="BR440" i="5" s="1"/>
  <c r="BM775" i="5"/>
  <c r="BN775" i="5" s="1"/>
  <c r="BO775" i="5"/>
  <c r="BR775" i="5" s="1"/>
  <c r="BM254" i="5"/>
  <c r="BN254" i="5" s="1"/>
  <c r="BO254" i="5"/>
  <c r="BR254" i="5" s="1"/>
  <c r="BM1119" i="5"/>
  <c r="BN1119" i="5" s="1"/>
  <c r="BO1119" i="5"/>
  <c r="BR1119" i="5" s="1"/>
  <c r="BM597" i="5"/>
  <c r="BN597" i="5" s="1"/>
  <c r="BO597" i="5"/>
  <c r="BR597" i="5" s="1"/>
  <c r="BM15" i="5"/>
  <c r="BN15" i="5" s="1"/>
  <c r="BO15" i="5"/>
  <c r="BR15" i="5" s="1"/>
  <c r="BM943" i="5"/>
  <c r="BN943" i="5" s="1"/>
  <c r="BO943" i="5"/>
  <c r="BR943" i="5" s="1"/>
  <c r="BM420" i="5"/>
  <c r="BN420" i="5" s="1"/>
  <c r="BO420" i="5"/>
  <c r="BR420" i="5" s="1"/>
  <c r="BM1284" i="5"/>
  <c r="BN1284" i="5" s="1"/>
  <c r="BO1284" i="5"/>
  <c r="BR1284" i="5" s="1"/>
  <c r="BM1145" i="5"/>
  <c r="BN1145" i="5" s="1"/>
  <c r="BO1145" i="5"/>
  <c r="BR1145" i="5" s="1"/>
  <c r="BM758" i="5"/>
  <c r="BN758" i="5" s="1"/>
  <c r="BO758" i="5"/>
  <c r="BR758" i="5" s="1"/>
  <c r="BM233" i="5"/>
  <c r="BN233" i="5" s="1"/>
  <c r="BO233" i="5"/>
  <c r="BR233" i="5" s="1"/>
  <c r="BM1098" i="5"/>
  <c r="BN1098" i="5" s="1"/>
  <c r="BO1098" i="5"/>
  <c r="BR1098" i="5" s="1"/>
  <c r="BM592" i="5"/>
  <c r="BN592" i="5" s="1"/>
  <c r="BO592" i="5"/>
  <c r="BR592" i="5" s="1"/>
  <c r="BM49" i="5"/>
  <c r="BN49" i="5" s="1"/>
  <c r="BO49" i="5"/>
  <c r="BR49" i="5" s="1"/>
  <c r="BM963" i="5"/>
  <c r="BN963" i="5" s="1"/>
  <c r="BO963" i="5"/>
  <c r="BR963" i="5" s="1"/>
  <c r="BM1269" i="5"/>
  <c r="BN1269" i="5" s="1"/>
  <c r="BO1269" i="5"/>
  <c r="BR1269" i="5" s="1"/>
  <c r="BM763" i="5"/>
  <c r="BN763" i="5" s="1"/>
  <c r="BO763" i="5"/>
  <c r="BR763" i="5" s="1"/>
  <c r="BM187" i="5"/>
  <c r="BN187" i="5" s="1"/>
  <c r="BO187" i="5"/>
  <c r="BR187" i="5" s="1"/>
  <c r="BM1082" i="5"/>
  <c r="BN1082" i="5" s="1"/>
  <c r="BO1082" i="5"/>
  <c r="BR1082" i="5" s="1"/>
  <c r="BM574" i="5"/>
  <c r="BN574" i="5" s="1"/>
  <c r="BO574" i="5"/>
  <c r="BR574" i="5" s="1"/>
  <c r="BM1404" i="5"/>
  <c r="BN1404" i="5" s="1"/>
  <c r="BO1404" i="5"/>
  <c r="BR1404" i="5" s="1"/>
  <c r="BM960" i="5"/>
  <c r="BN960" i="5" s="1"/>
  <c r="BO960" i="5"/>
  <c r="BR960" i="5" s="1"/>
  <c r="BM354" i="5"/>
  <c r="BN354" i="5" s="1"/>
  <c r="BO354" i="5"/>
  <c r="BR354" i="5" s="1"/>
  <c r="BM1239" i="5"/>
  <c r="BN1239" i="5" s="1"/>
  <c r="BO1239" i="5"/>
  <c r="BR1239" i="5" s="1"/>
  <c r="BM745" i="5"/>
  <c r="BN745" i="5" s="1"/>
  <c r="BO745" i="5"/>
  <c r="BR745" i="5" s="1"/>
  <c r="BM637" i="5"/>
  <c r="BN637" i="5" s="1"/>
  <c r="BO637" i="5"/>
  <c r="BR637" i="5" s="1"/>
  <c r="BM214" i="5"/>
  <c r="BN214" i="5" s="1"/>
  <c r="BO214" i="5"/>
  <c r="BR214" i="5" s="1"/>
  <c r="BM1180" i="5"/>
  <c r="BN1180" i="5" s="1"/>
  <c r="BO1180" i="5"/>
  <c r="BR1180" i="5" s="1"/>
  <c r="BM316" i="5"/>
  <c r="BN316" i="5" s="1"/>
  <c r="BO316" i="5"/>
  <c r="BR316" i="5" s="1"/>
  <c r="BM62" i="5"/>
  <c r="BN62" i="5" s="1"/>
  <c r="BO62" i="5"/>
  <c r="BR62" i="5" s="1"/>
  <c r="BM1051" i="5"/>
  <c r="BN1051" i="5" s="1"/>
  <c r="BO1051" i="5"/>
  <c r="BR1051" i="5" s="1"/>
  <c r="BM544" i="5"/>
  <c r="BN544" i="5" s="1"/>
  <c r="BO544" i="5"/>
  <c r="BR544" i="5" s="1"/>
  <c r="BM1382" i="5"/>
  <c r="BN1382" i="5" s="1"/>
  <c r="BO1382" i="5"/>
  <c r="BR1382" i="5" s="1"/>
  <c r="BM1011" i="5"/>
  <c r="BN1011" i="5" s="1"/>
  <c r="BO1011" i="5"/>
  <c r="BR1011" i="5" s="1"/>
  <c r="BM364" i="5"/>
  <c r="BN364" i="5" s="1"/>
  <c r="BO364" i="5"/>
  <c r="BR364" i="5" s="1"/>
  <c r="BM803" i="5"/>
  <c r="BN803" i="5" s="1"/>
  <c r="BO803" i="5"/>
  <c r="BR803" i="5" s="1"/>
  <c r="BM169" i="5"/>
  <c r="BN169" i="5" s="1"/>
  <c r="BO169" i="5"/>
  <c r="BR169" i="5" s="1"/>
  <c r="BM1043" i="5"/>
  <c r="BN1043" i="5" s="1"/>
  <c r="BO1043" i="5"/>
  <c r="BR1043" i="5" s="1"/>
  <c r="BM624" i="5"/>
  <c r="BN624" i="5" s="1"/>
  <c r="BO624" i="5"/>
  <c r="BR624" i="5" s="1"/>
  <c r="BM1368" i="5"/>
  <c r="BN1368" i="5" s="1"/>
  <c r="BO1368" i="5"/>
  <c r="BR1368" i="5" s="1"/>
  <c r="BM798" i="5"/>
  <c r="BN798" i="5" s="1"/>
  <c r="BO798" i="5"/>
  <c r="BR798" i="5" s="1"/>
  <c r="BM302" i="5"/>
  <c r="BN302" i="5" s="1"/>
  <c r="BO302" i="5"/>
  <c r="BR302" i="5" s="1"/>
  <c r="BM1190" i="5"/>
  <c r="BN1190" i="5" s="1"/>
  <c r="BO1190" i="5"/>
  <c r="BR1190" i="5" s="1"/>
  <c r="BM695" i="5"/>
  <c r="BN695" i="5" s="1"/>
  <c r="BO695" i="5"/>
  <c r="BR695" i="5" s="1"/>
  <c r="BM61" i="5"/>
  <c r="BN61" i="5" s="1"/>
  <c r="BO61" i="5"/>
  <c r="BR61" i="5" s="1"/>
  <c r="BM983" i="5"/>
  <c r="BN983" i="5" s="1"/>
  <c r="BO983" i="5"/>
  <c r="BR983" i="5" s="1"/>
  <c r="BM291" i="5"/>
  <c r="BN291" i="5" s="1"/>
  <c r="BO291" i="5"/>
  <c r="BR291" i="5" s="1"/>
  <c r="BM1030" i="5"/>
  <c r="BN1030" i="5" s="1"/>
  <c r="BO1030" i="5"/>
  <c r="BR1030" i="5" s="1"/>
  <c r="BM1056" i="5"/>
  <c r="BN1056" i="5" s="1"/>
  <c r="BO1056" i="5"/>
  <c r="BR1056" i="5" s="1"/>
  <c r="BM199" i="5"/>
  <c r="BN199" i="5" s="1"/>
  <c r="BO199" i="5"/>
  <c r="BR199" i="5" s="1"/>
  <c r="BM807" i="5"/>
  <c r="BN807" i="5" s="1"/>
  <c r="BO807" i="5"/>
  <c r="BR807" i="5" s="1"/>
  <c r="BM205" i="5"/>
  <c r="BN205" i="5" s="1"/>
  <c r="BO205" i="5"/>
  <c r="BR205" i="5" s="1"/>
  <c r="BM1095" i="5"/>
  <c r="BN1095" i="5" s="1"/>
  <c r="BO1095" i="5"/>
  <c r="BR1095" i="5" s="1"/>
  <c r="BM531" i="5"/>
  <c r="BN531" i="5" s="1"/>
  <c r="BO531" i="5"/>
  <c r="BR531" i="5" s="1"/>
  <c r="BM1013" i="5"/>
  <c r="BN1013" i="5" s="1"/>
  <c r="BO1013" i="5"/>
  <c r="BR1013" i="5" s="1"/>
  <c r="BM1255" i="5"/>
  <c r="BN1255" i="5" s="1"/>
  <c r="BO1255" i="5"/>
  <c r="BR1255" i="5" s="1"/>
  <c r="BM599" i="5"/>
  <c r="BN599" i="5" s="1"/>
  <c r="BO599" i="5"/>
  <c r="BR599" i="5" s="1"/>
  <c r="BM851" i="5"/>
  <c r="BN851" i="5" s="1"/>
  <c r="BO851" i="5"/>
  <c r="BR851" i="5" s="1"/>
  <c r="BM1291" i="5"/>
  <c r="BN1291" i="5" s="1"/>
  <c r="BO1291" i="5"/>
  <c r="BR1291" i="5" s="1"/>
  <c r="BM923" i="5"/>
  <c r="BN923" i="5" s="1"/>
  <c r="BO923" i="5"/>
  <c r="BR923" i="5" s="1"/>
  <c r="BM1344" i="5"/>
  <c r="BN1344" i="5" s="1"/>
  <c r="BO1344" i="5"/>
  <c r="BR1344" i="5" s="1"/>
  <c r="BM304" i="5"/>
  <c r="BN304" i="5" s="1"/>
  <c r="BO304" i="5"/>
  <c r="BR304" i="5" s="1"/>
  <c r="BM416" i="5"/>
  <c r="BN416" i="5" s="1"/>
  <c r="BO416" i="5"/>
  <c r="BR416" i="5" s="1"/>
  <c r="BM1232" i="5"/>
  <c r="BN1232" i="5" s="1"/>
  <c r="BO1232" i="5"/>
  <c r="BR1232" i="5" s="1"/>
  <c r="CW27" i="1"/>
  <c r="CZ27" i="1" s="1"/>
  <c r="CW26" i="1"/>
  <c r="CZ26" i="1" s="1"/>
  <c r="DA90" i="1"/>
  <c r="CK23" i="1"/>
  <c r="CK298" i="1"/>
  <c r="CK49" i="1"/>
  <c r="CW312" i="1"/>
  <c r="CZ312" i="1" s="1"/>
  <c r="CW297" i="1"/>
  <c r="CZ297" i="1" s="1"/>
  <c r="CK254" i="1"/>
  <c r="CK143" i="1"/>
  <c r="CK167" i="1"/>
  <c r="CK309" i="1"/>
  <c r="CJ157" i="1"/>
  <c r="CK163" i="1"/>
  <c r="CX290" i="1"/>
  <c r="CW190" i="1"/>
  <c r="DA190" i="1" s="1"/>
  <c r="CK211" i="1"/>
  <c r="CK239" i="1"/>
  <c r="CW100" i="1"/>
  <c r="DA100" i="1" s="1"/>
  <c r="CW248" i="1"/>
  <c r="CZ248" i="1" s="1"/>
  <c r="CW218" i="1"/>
  <c r="CZ218" i="1" s="1"/>
  <c r="CJ319" i="1"/>
  <c r="CK259" i="1"/>
  <c r="CJ96" i="1"/>
  <c r="CW292" i="1"/>
  <c r="CZ292" i="1" s="1"/>
  <c r="CW51" i="1"/>
  <c r="CZ51" i="1" s="1"/>
  <c r="CW289" i="1"/>
  <c r="DA289" i="1" s="1"/>
  <c r="CW79" i="1"/>
  <c r="CZ79" i="1" s="1"/>
  <c r="CW223" i="1"/>
  <c r="DA223" i="1" s="1"/>
  <c r="CW320" i="1"/>
  <c r="CZ320" i="1" s="1"/>
  <c r="CW309" i="1"/>
  <c r="CZ309" i="1" s="1"/>
  <c r="CW24" i="1"/>
  <c r="CZ24" i="1" s="1"/>
  <c r="CW25" i="1"/>
  <c r="CZ25" i="1" s="1"/>
  <c r="CW126" i="1"/>
  <c r="CZ126" i="1" s="1"/>
  <c r="CW109" i="1"/>
  <c r="CZ109" i="1" s="1"/>
  <c r="CW111" i="1"/>
  <c r="DA111" i="1" s="1"/>
  <c r="CK299" i="1"/>
  <c r="CK121" i="1"/>
  <c r="CW12" i="1"/>
  <c r="CZ12" i="1" s="1"/>
  <c r="CW43" i="1"/>
  <c r="DA43" i="1" s="1"/>
  <c r="CJ275" i="1"/>
  <c r="CU54" i="1"/>
  <c r="CX54" i="1" s="1"/>
  <c r="CW182" i="1"/>
  <c r="CZ182" i="1" s="1"/>
  <c r="CW92" i="1"/>
  <c r="CZ92" i="1" s="1"/>
  <c r="CW216" i="1"/>
  <c r="DA216" i="1" s="1"/>
  <c r="CW198" i="1"/>
  <c r="CZ198" i="1" s="1"/>
  <c r="CW318" i="1"/>
  <c r="CZ318" i="1" s="1"/>
  <c r="CJ75" i="1"/>
  <c r="CJ47" i="1"/>
  <c r="CJ103" i="1"/>
  <c r="CW17" i="1"/>
  <c r="CZ17" i="1" s="1"/>
  <c r="CW57" i="1"/>
  <c r="DA57" i="1" s="1"/>
  <c r="CW46" i="1"/>
  <c r="CZ46" i="1" s="1"/>
  <c r="CW206" i="1"/>
  <c r="CZ206" i="1" s="1"/>
  <c r="CW178" i="1"/>
  <c r="CW89" i="1"/>
  <c r="CZ89" i="1" s="1"/>
  <c r="CW245" i="1"/>
  <c r="CZ245" i="1" s="1"/>
  <c r="CW183" i="1"/>
  <c r="CZ183" i="1" s="1"/>
  <c r="CK34" i="1"/>
  <c r="CK317" i="1"/>
  <c r="DA290" i="1"/>
  <c r="CK218" i="1"/>
  <c r="CK160" i="1"/>
  <c r="CK197" i="1"/>
  <c r="CX218" i="1"/>
  <c r="CJ304" i="1"/>
  <c r="CX168" i="1"/>
  <c r="CK196" i="1"/>
  <c r="CW107" i="1"/>
  <c r="DA107" i="1" s="1"/>
  <c r="CK256" i="1"/>
  <c r="CK114" i="1"/>
  <c r="CK14" i="1"/>
  <c r="CX89" i="1"/>
  <c r="CX51" i="1"/>
  <c r="CK251" i="1"/>
  <c r="CX57" i="1"/>
  <c r="CW269" i="1"/>
  <c r="DA269" i="1" s="1"/>
  <c r="CK11" i="1"/>
  <c r="CX26" i="1"/>
  <c r="CK40" i="1"/>
  <c r="CX111" i="1"/>
  <c r="CW60" i="1"/>
  <c r="DA60" i="1" s="1"/>
  <c r="CW177" i="1"/>
  <c r="CZ177" i="1" s="1"/>
  <c r="CW193" i="1"/>
  <c r="CZ193" i="1" s="1"/>
  <c r="CW306" i="1"/>
  <c r="CZ306" i="1" s="1"/>
  <c r="CW247" i="1"/>
  <c r="CZ247" i="1" s="1"/>
  <c r="CW176" i="1"/>
  <c r="CZ176" i="1" s="1"/>
  <c r="CW302" i="1"/>
  <c r="DA302" i="1" s="1"/>
  <c r="CJ27" i="1"/>
  <c r="CJ85" i="1"/>
  <c r="CJ201" i="1"/>
  <c r="CK63" i="1"/>
  <c r="CW263" i="1"/>
  <c r="DA263" i="1" s="1"/>
  <c r="CW18" i="1"/>
  <c r="CZ18" i="1" s="1"/>
  <c r="CW64" i="1"/>
  <c r="CZ64" i="1" s="1"/>
  <c r="CW142" i="1"/>
  <c r="DA142" i="1" s="1"/>
  <c r="CW78" i="1"/>
  <c r="CZ78" i="1" s="1"/>
  <c r="CW304" i="1"/>
  <c r="CZ304" i="1" s="1"/>
  <c r="CJ16" i="1"/>
  <c r="CK278" i="1"/>
  <c r="CK125" i="1"/>
  <c r="CK38" i="1"/>
  <c r="CW163" i="1"/>
  <c r="DA163" i="1" s="1"/>
  <c r="CX245" i="1"/>
  <c r="CK148" i="1"/>
  <c r="CW156" i="1"/>
  <c r="CZ156" i="1" s="1"/>
  <c r="CX235" i="1"/>
  <c r="CW310" i="1"/>
  <c r="DA310" i="1" s="1"/>
  <c r="CW31" i="1"/>
  <c r="DA31" i="1" s="1"/>
  <c r="CX178" i="1"/>
  <c r="CK195" i="1"/>
  <c r="DA235" i="1"/>
  <c r="CJ287" i="1"/>
  <c r="CJ140" i="1"/>
  <c r="CW191" i="1"/>
  <c r="CZ191" i="1" s="1"/>
  <c r="CJ318" i="1"/>
  <c r="CX206" i="1"/>
  <c r="CW95" i="1"/>
  <c r="CZ95" i="1" s="1"/>
  <c r="CX297" i="1"/>
  <c r="CK164" i="1"/>
  <c r="CX216" i="1"/>
  <c r="CK229" i="1"/>
  <c r="CK198" i="1"/>
  <c r="CJ187" i="1"/>
  <c r="CK182" i="1"/>
  <c r="CK35" i="1"/>
  <c r="CK48" i="1"/>
  <c r="CK276" i="1"/>
  <c r="CK257" i="1"/>
  <c r="CK26" i="1"/>
  <c r="CX248" i="1"/>
  <c r="CJ86" i="1"/>
  <c r="CW106" i="1"/>
  <c r="CZ106" i="1" s="1"/>
  <c r="CK190" i="1"/>
  <c r="CK216" i="1"/>
  <c r="CJ263" i="1"/>
  <c r="CK92" i="1"/>
  <c r="CW134" i="1"/>
  <c r="DA134" i="1" s="1"/>
  <c r="CW80" i="1"/>
  <c r="DA80" i="1" s="1"/>
  <c r="CW115" i="1"/>
  <c r="CZ115" i="1" s="1"/>
  <c r="CW32" i="1"/>
  <c r="CZ32" i="1" s="1"/>
  <c r="CW214" i="1"/>
  <c r="CZ214" i="1" s="1"/>
  <c r="CW265" i="1"/>
  <c r="CZ265" i="1" s="1"/>
  <c r="CW181" i="1"/>
  <c r="CZ181" i="1" s="1"/>
  <c r="CW76" i="1"/>
  <c r="CZ76" i="1" s="1"/>
  <c r="CK87" i="1"/>
  <c r="CX46" i="1"/>
  <c r="CW34" i="1"/>
  <c r="CZ34" i="1" s="1"/>
  <c r="DA301" i="1"/>
  <c r="CW28" i="1"/>
  <c r="CZ28" i="1" s="1"/>
  <c r="CW278" i="1"/>
  <c r="CZ278" i="1" s="1"/>
  <c r="CW136" i="1"/>
  <c r="CZ136" i="1" s="1"/>
  <c r="CW88" i="1"/>
  <c r="CZ88" i="1" s="1"/>
  <c r="CW154" i="1"/>
  <c r="CZ154" i="1" s="1"/>
  <c r="CW192" i="1"/>
  <c r="CZ192" i="1" s="1"/>
  <c r="CW5" i="1"/>
  <c r="CZ5" i="1" s="1"/>
  <c r="CW8" i="1"/>
  <c r="DA8" i="1" s="1"/>
  <c r="CK50" i="1"/>
  <c r="CK223" i="1"/>
  <c r="CW239" i="1"/>
  <c r="CZ239" i="1" s="1"/>
  <c r="CX92" i="1"/>
  <c r="CX96" i="1"/>
  <c r="CW251" i="1"/>
  <c r="CZ251" i="1" s="1"/>
  <c r="CW141" i="1"/>
  <c r="CW133" i="1"/>
  <c r="CZ133" i="1" s="1"/>
  <c r="CW210" i="1"/>
  <c r="CZ210" i="1" s="1"/>
  <c r="CW70" i="1"/>
  <c r="CZ70" i="1" s="1"/>
  <c r="CW166" i="1"/>
  <c r="CZ166" i="1" s="1"/>
  <c r="CW238" i="1"/>
  <c r="CZ238" i="1" s="1"/>
  <c r="CW68" i="1"/>
  <c r="CZ68" i="1" s="1"/>
  <c r="CW162" i="1"/>
  <c r="CZ162" i="1" s="1"/>
  <c r="CW65" i="1"/>
  <c r="DA65" i="1" s="1"/>
  <c r="CW110" i="1"/>
  <c r="CK78" i="1"/>
  <c r="CK231" i="1"/>
  <c r="CX301" i="1"/>
  <c r="CW284" i="1"/>
  <c r="DA284" i="1" s="1"/>
  <c r="CW174" i="1"/>
  <c r="CZ174" i="1" s="1"/>
  <c r="CW250" i="1"/>
  <c r="CZ250" i="1" s="1"/>
  <c r="CW23" i="1"/>
  <c r="CZ23" i="1" s="1"/>
  <c r="CW279" i="1"/>
  <c r="DA279" i="1" s="1"/>
  <c r="CW49" i="1"/>
  <c r="CZ49" i="1" s="1"/>
  <c r="CW317" i="1"/>
  <c r="CZ317" i="1" s="1"/>
  <c r="CW272" i="1"/>
  <c r="CZ272" i="1" s="1"/>
  <c r="CW282" i="1"/>
  <c r="CZ282" i="1" s="1"/>
  <c r="CK24" i="1"/>
  <c r="CJ213" i="1"/>
  <c r="CJ258" i="1"/>
  <c r="CW85" i="1"/>
  <c r="CZ85" i="1" s="1"/>
  <c r="CW241" i="1"/>
  <c r="CZ241" i="1" s="1"/>
  <c r="CW7" i="1"/>
  <c r="DA7" i="1" s="1"/>
  <c r="CK116" i="1"/>
  <c r="CK126" i="1"/>
  <c r="CK115" i="1"/>
  <c r="CK177" i="1"/>
  <c r="CK221" i="1"/>
  <c r="CW113" i="1"/>
  <c r="CZ113" i="1" s="1"/>
  <c r="CW129" i="1"/>
  <c r="CZ129" i="1" s="1"/>
  <c r="CW222" i="1"/>
  <c r="CZ222" i="1" s="1"/>
  <c r="CX241" i="1"/>
  <c r="CW3" i="1"/>
  <c r="CZ3" i="1" s="1"/>
  <c r="CK135" i="1"/>
  <c r="CJ66" i="1"/>
  <c r="CX17" i="1"/>
  <c r="CX272" i="1"/>
  <c r="CX306" i="1"/>
  <c r="CX151" i="1"/>
  <c r="CK225" i="1"/>
  <c r="CW81" i="1"/>
  <c r="DA81" i="1" s="1"/>
  <c r="CK279" i="1"/>
  <c r="CK181" i="1"/>
  <c r="CX23" i="1"/>
  <c r="CJ51" i="1"/>
  <c r="CK83" i="1"/>
  <c r="CX25" i="1"/>
  <c r="CX24" i="1"/>
  <c r="CX317" i="1"/>
  <c r="CX198" i="1"/>
  <c r="CK283" i="1"/>
  <c r="CX109" i="1"/>
  <c r="CX126" i="1"/>
  <c r="CK107" i="1"/>
  <c r="CK20" i="1"/>
  <c r="CK174" i="1"/>
  <c r="CW273" i="1"/>
  <c r="DA273" i="1" s="1"/>
  <c r="CX88" i="1"/>
  <c r="CK207" i="1"/>
  <c r="CW281" i="1"/>
  <c r="DA281" i="1" s="1"/>
  <c r="CK10" i="1"/>
  <c r="CJ15" i="1"/>
  <c r="CW144" i="1"/>
  <c r="DA144" i="1" s="1"/>
  <c r="CW39" i="1"/>
  <c r="CZ39" i="1" s="1"/>
  <c r="CK183" i="1"/>
  <c r="CX292" i="1"/>
  <c r="CW228" i="1"/>
  <c r="CZ228" i="1" s="1"/>
  <c r="CX5" i="1"/>
  <c r="CK206" i="1"/>
  <c r="CJ320" i="1"/>
  <c r="CW256" i="1"/>
  <c r="CZ256" i="1" s="1"/>
  <c r="CX43" i="1"/>
  <c r="CW87" i="1"/>
  <c r="CZ87" i="1" s="1"/>
  <c r="CX193" i="1"/>
  <c r="CX27" i="1"/>
  <c r="CW123" i="1"/>
  <c r="DA123" i="1" s="1"/>
  <c r="CX182" i="1"/>
  <c r="CK123" i="1"/>
  <c r="CK62" i="1"/>
  <c r="CX12" i="1"/>
  <c r="CJ186" i="1"/>
  <c r="CK168" i="1"/>
  <c r="CW6" i="1"/>
  <c r="DA6" i="1" s="1"/>
  <c r="CW307" i="1"/>
  <c r="CZ307" i="1" s="1"/>
  <c r="CK12" i="1"/>
  <c r="CK43" i="1"/>
  <c r="CW217" i="1"/>
  <c r="CZ217" i="1" s="1"/>
  <c r="CX265" i="1"/>
  <c r="CK142" i="1"/>
  <c r="CJ79" i="1"/>
  <c r="CX176" i="1"/>
  <c r="CW200" i="1"/>
  <c r="CZ200" i="1" s="1"/>
  <c r="CX181" i="1"/>
  <c r="CX18" i="1"/>
  <c r="CX136" i="1"/>
  <c r="CU280" i="1"/>
  <c r="CW280" i="1" s="1"/>
  <c r="CK294" i="1"/>
  <c r="DA168" i="1"/>
  <c r="CW120" i="1"/>
  <c r="DA120" i="1" s="1"/>
  <c r="CK169" i="1"/>
  <c r="CW58" i="1"/>
  <c r="DA58" i="1" s="1"/>
  <c r="CX32" i="1"/>
  <c r="CK111" i="1"/>
  <c r="CK54" i="1"/>
  <c r="CW128" i="1"/>
  <c r="CZ128" i="1" s="1"/>
  <c r="CJ139" i="1"/>
  <c r="CK30" i="1"/>
  <c r="CK97" i="1"/>
  <c r="CK129" i="1"/>
  <c r="CK289" i="1"/>
  <c r="CX139" i="1"/>
  <c r="CK220" i="1"/>
  <c r="CK215" i="1"/>
  <c r="CW148" i="1"/>
  <c r="CZ148" i="1" s="1"/>
  <c r="CW44" i="1"/>
  <c r="CW94" i="1"/>
  <c r="DA94" i="1" s="1"/>
  <c r="CW213" i="1"/>
  <c r="DA213" i="1" s="1"/>
  <c r="CW36" i="1"/>
  <c r="CZ36" i="1" s="1"/>
  <c r="CX254" i="1"/>
  <c r="CW63" i="1"/>
  <c r="CW131" i="1"/>
  <c r="CW220" i="1"/>
  <c r="DA220" i="1" s="1"/>
  <c r="CW165" i="1"/>
  <c r="DA165" i="1" s="1"/>
  <c r="CW99" i="1"/>
  <c r="CX278" i="1"/>
  <c r="CW270" i="1"/>
  <c r="CK19" i="1"/>
  <c r="CX49" i="1"/>
  <c r="CX270" i="1"/>
  <c r="CW293" i="1"/>
  <c r="CW53" i="1"/>
  <c r="CZ53" i="1" s="1"/>
  <c r="CW225" i="1"/>
  <c r="CW116" i="1"/>
  <c r="CW229" i="1"/>
  <c r="CZ229" i="1" s="1"/>
  <c r="CW260" i="1"/>
  <c r="CZ260" i="1" s="1"/>
  <c r="CW234" i="1"/>
  <c r="CZ234" i="1" s="1"/>
  <c r="CW274" i="1"/>
  <c r="CZ274" i="1" s="1"/>
  <c r="CW10" i="1"/>
  <c r="CZ10" i="1" s="1"/>
  <c r="CW13" i="1"/>
  <c r="CZ13" i="1" s="1"/>
  <c r="CW69" i="1"/>
  <c r="CW180" i="1"/>
  <c r="CZ180" i="1" s="1"/>
  <c r="CK155" i="1"/>
  <c r="CW194" i="1"/>
  <c r="CZ194" i="1" s="1"/>
  <c r="CW221" i="1"/>
  <c r="CZ221" i="1" s="1"/>
  <c r="CW86" i="1"/>
  <c r="CZ86" i="1" s="1"/>
  <c r="CW98" i="1"/>
  <c r="CW35" i="1"/>
  <c r="CX279" i="1"/>
  <c r="CK241" i="1"/>
  <c r="CX302" i="1"/>
  <c r="CW242" i="1"/>
  <c r="DA242" i="1" s="1"/>
  <c r="DA96" i="1"/>
  <c r="CW16" i="1"/>
  <c r="DA16" i="1" s="1"/>
  <c r="CW261" i="1"/>
  <c r="CZ261" i="1" s="1"/>
  <c r="CX68" i="1"/>
  <c r="CX64" i="1"/>
  <c r="CW102" i="1"/>
  <c r="CZ102" i="1" s="1"/>
  <c r="CW146" i="1"/>
  <c r="CW108" i="1"/>
  <c r="CW169" i="1"/>
  <c r="CZ169" i="1" s="1"/>
  <c r="CK212" i="1"/>
  <c r="CW236" i="1"/>
  <c r="CZ236" i="1" s="1"/>
  <c r="CK134" i="1"/>
  <c r="CK3" i="1"/>
  <c r="CX318" i="1"/>
  <c r="CW160" i="1"/>
  <c r="DA160" i="1" s="1"/>
  <c r="CW75" i="1"/>
  <c r="CZ75" i="1" s="1"/>
  <c r="CW161" i="1"/>
  <c r="CZ161" i="1" s="1"/>
  <c r="CX44" i="1"/>
  <c r="CW52" i="1"/>
  <c r="CZ52" i="1" s="1"/>
  <c r="CX250" i="1"/>
  <c r="CX312" i="1"/>
  <c r="CW140" i="1"/>
  <c r="CW104" i="1"/>
  <c r="CW199" i="1"/>
  <c r="CW42" i="1"/>
  <c r="CW208" i="1"/>
  <c r="DA208" i="1" s="1"/>
  <c r="CK153" i="1"/>
  <c r="CK274" i="1"/>
  <c r="CK156" i="1"/>
  <c r="CW253" i="1"/>
  <c r="CZ253" i="1" s="1"/>
  <c r="CW197" i="1"/>
  <c r="CZ197" i="1" s="1"/>
  <c r="CW19" i="1"/>
  <c r="CZ19" i="1" s="1"/>
  <c r="CW2" i="1"/>
  <c r="DA2" i="1" s="1"/>
  <c r="DA151" i="1"/>
  <c r="CW124" i="1"/>
  <c r="CZ124" i="1" s="1"/>
  <c r="CW101" i="1"/>
  <c r="CZ101" i="1" s="1"/>
  <c r="CW157" i="1"/>
  <c r="CW204" i="1"/>
  <c r="CW164" i="1"/>
  <c r="CW82" i="1"/>
  <c r="CW224" i="1"/>
  <c r="CX85" i="1"/>
  <c r="CK29" i="1"/>
  <c r="CK188" i="1"/>
  <c r="CW143" i="1"/>
  <c r="CZ143" i="1" s="1"/>
  <c r="CW11" i="1"/>
  <c r="CZ11" i="1" s="1"/>
  <c r="CW258" i="1"/>
  <c r="CZ258" i="1" s="1"/>
  <c r="CW212" i="1"/>
  <c r="CZ212" i="1" s="1"/>
  <c r="CW311" i="1"/>
  <c r="CW257" i="1"/>
  <c r="CW294" i="1"/>
  <c r="CW252" i="1"/>
  <c r="CX320" i="1"/>
  <c r="CK67" i="1"/>
  <c r="CK284" i="1"/>
  <c r="CJ248" i="1"/>
  <c r="CK118" i="1"/>
  <c r="CW249" i="1"/>
  <c r="CZ249" i="1" s="1"/>
  <c r="CK267" i="1"/>
  <c r="CX161" i="1"/>
  <c r="CK184" i="1"/>
  <c r="CX289" i="1"/>
  <c r="CK166" i="1"/>
  <c r="CX174" i="1"/>
  <c r="CK39" i="1"/>
  <c r="CX177" i="1"/>
  <c r="CJ228" i="1"/>
  <c r="CK37" i="1"/>
  <c r="CK193" i="1"/>
  <c r="CJ194" i="1"/>
  <c r="CJ159" i="1"/>
  <c r="CW153" i="1"/>
  <c r="DA153" i="1" s="1"/>
  <c r="CK305" i="1"/>
  <c r="CX173" i="1"/>
  <c r="CX223" i="1"/>
  <c r="CK260" i="1"/>
  <c r="CK4" i="1"/>
  <c r="CX309" i="1"/>
  <c r="CK77" i="1"/>
  <c r="CW122" i="1"/>
  <c r="CZ122" i="1" s="1"/>
  <c r="CX78" i="1"/>
  <c r="CX192" i="1"/>
  <c r="CK295" i="1"/>
  <c r="CJ202" i="1"/>
  <c r="CX119" i="1"/>
  <c r="CK242" i="1"/>
  <c r="CJ59" i="1"/>
  <c r="CK154" i="1"/>
  <c r="CX28" i="1"/>
  <c r="CK217" i="1"/>
  <c r="CK7" i="1"/>
  <c r="CK161" i="1"/>
  <c r="CX238" i="1"/>
  <c r="CX194" i="1"/>
  <c r="CX79" i="1"/>
  <c r="CX138" i="1"/>
  <c r="CW30" i="1"/>
  <c r="CZ30" i="1" s="1"/>
  <c r="CW130" i="1"/>
  <c r="CZ130" i="1" s="1"/>
  <c r="CK302" i="1"/>
  <c r="CK102" i="1"/>
  <c r="CK144" i="1"/>
  <c r="CJ266" i="1"/>
  <c r="CK152" i="1"/>
  <c r="CX11" i="1"/>
  <c r="CK88" i="1"/>
  <c r="CJ22" i="1"/>
  <c r="CK52" i="1"/>
  <c r="CJ147" i="1"/>
  <c r="CX247" i="1"/>
  <c r="CJ261" i="1"/>
  <c r="CW291" i="1"/>
  <c r="CZ291" i="1" s="1"/>
  <c r="CK179" i="1"/>
  <c r="CX236" i="1"/>
  <c r="CK76" i="1"/>
  <c r="CK230" i="1"/>
  <c r="CK150" i="1"/>
  <c r="CW114" i="1"/>
  <c r="CZ119" i="1"/>
  <c r="DA119" i="1"/>
  <c r="CK237" i="1"/>
  <c r="CK310" i="1"/>
  <c r="CJ32" i="1"/>
  <c r="CW268" i="1"/>
  <c r="CX268" i="1"/>
  <c r="CW147" i="1"/>
  <c r="CX147" i="1"/>
  <c r="CW185" i="1"/>
  <c r="CX185" i="1"/>
  <c r="CW170" i="1"/>
  <c r="CX170" i="1"/>
  <c r="CW287" i="1"/>
  <c r="CW72" i="1"/>
  <c r="CW132" i="1"/>
  <c r="CX132" i="1"/>
  <c r="CW267" i="1"/>
  <c r="CW211" i="1"/>
  <c r="CW276" i="1"/>
  <c r="CW97" i="1"/>
  <c r="CW117" i="1"/>
  <c r="CW179" i="1"/>
  <c r="CW62" i="1"/>
  <c r="CW167" i="1"/>
  <c r="CX167" i="1"/>
  <c r="CX20" i="1"/>
  <c r="CW20" i="1"/>
  <c r="CW244" i="1"/>
  <c r="CX244" i="1"/>
  <c r="CK171" i="1"/>
  <c r="CW201" i="1"/>
  <c r="CX305" i="1"/>
  <c r="CW305" i="1"/>
  <c r="CW227" i="1"/>
  <c r="CX227" i="1"/>
  <c r="CW202" i="1"/>
  <c r="CW243" i="1"/>
  <c r="CX226" i="1"/>
  <c r="CW226" i="1"/>
  <c r="CW55" i="1"/>
  <c r="CW149" i="1"/>
  <c r="CW45" i="1"/>
  <c r="CX45" i="1"/>
  <c r="CW262" i="1"/>
  <c r="CX262" i="1"/>
  <c r="CW209" i="1"/>
  <c r="CW38" i="1"/>
  <c r="CX38" i="1"/>
  <c r="CW285" i="1"/>
  <c r="CX285" i="1"/>
  <c r="CW205" i="1"/>
  <c r="CX205" i="1"/>
  <c r="CX202" i="1"/>
  <c r="CX261" i="1"/>
  <c r="CW118" i="1"/>
  <c r="CX118" i="1"/>
  <c r="CW159" i="1"/>
  <c r="CW237" i="1"/>
  <c r="CW91" i="1"/>
  <c r="CW207" i="1"/>
  <c r="CX207" i="1"/>
  <c r="CW246" i="1"/>
  <c r="CW59" i="1"/>
  <c r="CW232" i="1"/>
  <c r="CX232" i="1"/>
  <c r="CX284" i="1"/>
  <c r="CW196" i="1"/>
  <c r="CX196" i="1"/>
  <c r="CW125" i="1"/>
  <c r="CK122" i="1"/>
  <c r="CK290" i="1"/>
  <c r="CX258" i="1"/>
  <c r="CX260" i="1"/>
  <c r="CW15" i="1"/>
  <c r="CX15" i="1"/>
  <c r="CX73" i="1"/>
  <c r="CW73" i="1"/>
  <c r="CW93" i="1"/>
  <c r="CX93" i="1"/>
  <c r="CW137" i="1"/>
  <c r="CX137" i="1"/>
  <c r="CW150" i="1"/>
  <c r="CW316" i="1"/>
  <c r="CX316" i="1"/>
  <c r="CW271" i="1"/>
  <c r="CW127" i="1"/>
  <c r="CW264" i="1"/>
  <c r="CW288" i="1"/>
  <c r="CW40" i="1"/>
  <c r="CW187" i="1"/>
  <c r="CW155" i="1"/>
  <c r="CJ272" i="1"/>
  <c r="CX34" i="1"/>
  <c r="CK41" i="1"/>
  <c r="CW283" i="1"/>
  <c r="CZ283" i="1" s="1"/>
  <c r="CW50" i="1"/>
  <c r="CX50" i="1"/>
  <c r="CW303" i="1"/>
  <c r="CX303" i="1"/>
  <c r="CW41" i="1"/>
  <c r="CW21" i="1"/>
  <c r="CX21" i="1"/>
  <c r="CW48" i="1"/>
  <c r="CW47" i="1"/>
  <c r="CX33" i="1"/>
  <c r="CW33" i="1"/>
  <c r="CW319" i="1"/>
  <c r="CW56" i="1"/>
  <c r="CX56" i="1"/>
  <c r="CW203" i="1"/>
  <c r="CX203" i="1"/>
  <c r="CW266" i="1"/>
  <c r="CW121" i="1"/>
  <c r="CW259" i="1"/>
  <c r="CW230" i="1"/>
  <c r="CZ139" i="1"/>
  <c r="DA139" i="1"/>
  <c r="CW103" i="1"/>
  <c r="CW172" i="1"/>
  <c r="CK84" i="1"/>
  <c r="CK209" i="1"/>
  <c r="CK205" i="1"/>
  <c r="CK249" i="1"/>
  <c r="CX166" i="1"/>
  <c r="CW77" i="1"/>
  <c r="CX77" i="1"/>
  <c r="CW135" i="1"/>
  <c r="CX135" i="1"/>
  <c r="CW184" i="1"/>
  <c r="CX184" i="1"/>
  <c r="CW300" i="1"/>
  <c r="CW231" i="1"/>
  <c r="CX231" i="1"/>
  <c r="CW188" i="1"/>
  <c r="CW66" i="1"/>
  <c r="CW315" i="1"/>
  <c r="CX315" i="1"/>
  <c r="CW186" i="1"/>
  <c r="CW299" i="1"/>
  <c r="CW4" i="1"/>
  <c r="CW240" i="1"/>
  <c r="CW195" i="1"/>
  <c r="CX195" i="1"/>
  <c r="CX9" i="1"/>
  <c r="CW9" i="1"/>
  <c r="CW286" i="1"/>
  <c r="CZ286" i="1" s="1"/>
  <c r="CX263" i="1"/>
  <c r="CW22" i="1"/>
  <c r="CX22" i="1"/>
  <c r="CW295" i="1"/>
  <c r="CX295" i="1"/>
  <c r="CW84" i="1"/>
  <c r="CX84" i="1"/>
  <c r="CW112" i="1"/>
  <c r="CW83" i="1"/>
  <c r="CW105" i="1"/>
  <c r="CW215" i="1"/>
  <c r="CW314" i="1"/>
  <c r="CX314" i="1"/>
  <c r="CW189" i="1"/>
  <c r="CW145" i="1"/>
  <c r="CW37" i="1"/>
  <c r="CW61" i="1"/>
  <c r="CX61" i="1"/>
  <c r="CW298" i="1"/>
  <c r="CX298" i="1"/>
  <c r="CX115" i="1"/>
  <c r="CJ74" i="1"/>
  <c r="CW219" i="1"/>
  <c r="CZ219" i="1" s="1"/>
  <c r="CX239" i="1"/>
  <c r="CW71" i="1"/>
  <c r="CZ71" i="1" s="1"/>
  <c r="CW171" i="1"/>
  <c r="CX171" i="1"/>
  <c r="CW158" i="1"/>
  <c r="CX158" i="1"/>
  <c r="CW175" i="1"/>
  <c r="CW296" i="1"/>
  <c r="CX296" i="1"/>
  <c r="CW255" i="1"/>
  <c r="CX255" i="1"/>
  <c r="CW313" i="1"/>
  <c r="CX313" i="1"/>
  <c r="CW152" i="1"/>
  <c r="CW74" i="1"/>
  <c r="CW14" i="1"/>
  <c r="CW29" i="1"/>
  <c r="CW308" i="1"/>
  <c r="CW275" i="1"/>
  <c r="CW67" i="1"/>
  <c r="CW277" i="1"/>
  <c r="CW233" i="1"/>
  <c r="CJ203" i="1"/>
  <c r="CJ132" i="1"/>
  <c r="CK132" i="1"/>
  <c r="CJ81" i="1"/>
  <c r="CK81" i="1"/>
  <c r="CJ200" i="1"/>
  <c r="CK200" i="1"/>
  <c r="CJ296" i="1"/>
  <c r="CK296" i="1"/>
  <c r="CJ31" i="1"/>
  <c r="CK31" i="1"/>
  <c r="CJ253" i="1"/>
  <c r="CK253" i="1"/>
  <c r="CJ204" i="1"/>
  <c r="CK204" i="1"/>
  <c r="CK101" i="1"/>
  <c r="CJ101" i="1"/>
  <c r="CJ110" i="1"/>
  <c r="CK110" i="1"/>
  <c r="CK17" i="1"/>
  <c r="CJ17" i="1"/>
  <c r="CJ112" i="1"/>
  <c r="CK112" i="1"/>
  <c r="CJ61" i="1"/>
  <c r="CK61" i="1"/>
  <c r="CJ273" i="1"/>
  <c r="CK273" i="1"/>
  <c r="CJ269" i="1"/>
  <c r="CK269" i="1"/>
  <c r="CJ68" i="1"/>
  <c r="CK68" i="1"/>
  <c r="CJ127" i="1"/>
  <c r="CK127" i="1"/>
  <c r="CJ250" i="1"/>
  <c r="CK250" i="1"/>
  <c r="CJ282" i="1"/>
  <c r="CK282" i="1"/>
  <c r="CJ293" i="1"/>
  <c r="CK293" i="1"/>
  <c r="CJ55" i="1"/>
  <c r="CK55" i="1"/>
  <c r="CJ60" i="1"/>
  <c r="CK60" i="1"/>
  <c r="CJ312" i="1"/>
  <c r="CK312" i="1"/>
  <c r="CJ301" i="1"/>
  <c r="CK301" i="1"/>
  <c r="CJ208" i="1"/>
  <c r="CK208" i="1"/>
  <c r="CJ233" i="1"/>
  <c r="CK233" i="1"/>
  <c r="CJ89" i="1"/>
  <c r="CK89" i="1"/>
  <c r="CK73" i="1"/>
  <c r="CJ73" i="1"/>
  <c r="CJ80" i="1"/>
  <c r="CK80" i="1"/>
  <c r="CK227" i="1"/>
  <c r="CJ227" i="1"/>
  <c r="CJ109" i="1"/>
  <c r="CK109" i="1"/>
  <c r="CJ285" i="1"/>
  <c r="CK285" i="1"/>
  <c r="CJ270" i="1"/>
  <c r="CK270" i="1"/>
  <c r="CJ288" i="1"/>
  <c r="CK288" i="1"/>
  <c r="CJ162" i="1"/>
  <c r="CK162" i="1"/>
  <c r="CJ308" i="1"/>
  <c r="CK308" i="1"/>
  <c r="CJ21" i="1"/>
  <c r="CK21" i="1"/>
  <c r="CJ236" i="1"/>
  <c r="CK236" i="1"/>
  <c r="CJ307" i="1"/>
  <c r="CK307" i="1"/>
  <c r="CJ18" i="1"/>
  <c r="CK18" i="1"/>
  <c r="CJ313" i="1"/>
  <c r="CK313" i="1"/>
  <c r="CJ303" i="1"/>
  <c r="CK303" i="1"/>
  <c r="CJ232" i="1"/>
  <c r="CK232" i="1"/>
  <c r="CJ268" i="1"/>
  <c r="CK268" i="1"/>
  <c r="CJ25" i="1"/>
  <c r="CK25" i="1"/>
  <c r="CJ141" i="1"/>
  <c r="CK141" i="1"/>
  <c r="CJ306" i="1"/>
  <c r="CK306" i="1"/>
  <c r="CJ124" i="1"/>
  <c r="CK124" i="1"/>
  <c r="CJ5" i="1"/>
  <c r="CK5" i="1"/>
  <c r="CJ119" i="1"/>
  <c r="CK119" i="1"/>
  <c r="CJ58" i="1"/>
  <c r="CK58" i="1"/>
  <c r="CJ271" i="1"/>
  <c r="CK271" i="1"/>
  <c r="CJ316" i="1"/>
  <c r="CK316" i="1"/>
  <c r="CJ244" i="1"/>
  <c r="CK244" i="1"/>
  <c r="CK33" i="1"/>
  <c r="CJ33" i="1"/>
  <c r="CJ105" i="1"/>
  <c r="CK105" i="1"/>
  <c r="CJ199" i="1"/>
  <c r="CK199" i="1"/>
  <c r="CJ173" i="1"/>
  <c r="CK173" i="1"/>
  <c r="CJ185" i="1"/>
  <c r="CK185" i="1"/>
  <c r="CJ6" i="1"/>
  <c r="CK6" i="1"/>
  <c r="CJ70" i="1"/>
  <c r="CK70" i="1"/>
  <c r="CJ189" i="1"/>
  <c r="CK189" i="1"/>
  <c r="CJ117" i="1"/>
  <c r="CK117" i="1"/>
  <c r="CJ104" i="1"/>
  <c r="CK104" i="1"/>
  <c r="CJ277" i="1"/>
  <c r="CK277" i="1"/>
  <c r="CJ175" i="1"/>
  <c r="CK175" i="1"/>
  <c r="CJ108" i="1"/>
  <c r="CK108" i="1"/>
  <c r="CJ245" i="1"/>
  <c r="CK245" i="1"/>
  <c r="CJ265" i="1"/>
  <c r="CK265" i="1"/>
  <c r="CK94" i="1"/>
  <c r="CJ94" i="1"/>
  <c r="CJ69" i="1"/>
  <c r="CK69" i="1"/>
  <c r="CJ158" i="1"/>
  <c r="CK158" i="1"/>
  <c r="CJ13" i="1"/>
  <c r="CK13" i="1"/>
  <c r="CJ234" i="1"/>
  <c r="CK234" i="1"/>
  <c r="CJ46" i="1"/>
  <c r="CK46" i="1"/>
  <c r="CJ131" i="1"/>
  <c r="CK131" i="1"/>
  <c r="CJ28" i="1"/>
  <c r="CK28" i="1"/>
  <c r="CJ99" i="1"/>
  <c r="CK99" i="1"/>
  <c r="CJ120" i="1"/>
  <c r="CK120" i="1"/>
  <c r="CJ130" i="1"/>
  <c r="CK130" i="1"/>
  <c r="CJ264" i="1"/>
  <c r="CK264" i="1"/>
  <c r="CJ128" i="1"/>
  <c r="CK128" i="1"/>
  <c r="CJ90" i="1"/>
  <c r="CK90" i="1"/>
  <c r="CJ192" i="1"/>
  <c r="CK192" i="1"/>
  <c r="CJ113" i="1"/>
  <c r="CK113" i="1"/>
  <c r="CJ311" i="1"/>
  <c r="CK311" i="1"/>
  <c r="CK226" i="1"/>
  <c r="CJ226" i="1"/>
  <c r="CK314" i="1"/>
  <c r="CJ314" i="1"/>
  <c r="CJ42" i="1"/>
  <c r="CK42" i="1"/>
  <c r="CJ165" i="1"/>
  <c r="CK165" i="1"/>
  <c r="CJ292" i="1"/>
  <c r="CK292" i="1"/>
  <c r="CJ57" i="1"/>
  <c r="CK57" i="1"/>
  <c r="CJ145" i="1"/>
  <c r="CK145" i="1"/>
  <c r="CJ137" i="1"/>
  <c r="CK137" i="1"/>
  <c r="CJ219" i="1"/>
  <c r="CK219" i="1"/>
  <c r="CK72" i="1"/>
  <c r="CJ72" i="1"/>
  <c r="CJ262" i="1"/>
  <c r="CK262" i="1"/>
  <c r="CJ297" i="1"/>
  <c r="CK297" i="1"/>
  <c r="CK146" i="1"/>
  <c r="CJ146" i="1"/>
  <c r="CJ315" i="1"/>
  <c r="CK315" i="1"/>
  <c r="CJ45" i="1"/>
  <c r="CK45" i="1"/>
  <c r="CJ170" i="1"/>
  <c r="CK170" i="1"/>
  <c r="CJ300" i="1"/>
  <c r="CK300" i="1"/>
  <c r="CJ98" i="1"/>
  <c r="CK98" i="1"/>
  <c r="CJ8" i="1"/>
  <c r="CK8" i="1"/>
  <c r="CJ247" i="1"/>
  <c r="CK247" i="1"/>
  <c r="CJ240" i="1"/>
  <c r="CK240" i="1"/>
  <c r="CJ64" i="1"/>
  <c r="CK64" i="1"/>
  <c r="CK95" i="1"/>
  <c r="CJ95" i="1"/>
  <c r="CJ238" i="1"/>
  <c r="CK238" i="1"/>
  <c r="CJ9" i="1"/>
  <c r="CK9" i="1"/>
  <c r="CJ133" i="1"/>
  <c r="CK133" i="1"/>
  <c r="CJ65" i="1"/>
  <c r="CK65" i="1"/>
  <c r="CJ222" i="1"/>
  <c r="CK222" i="1"/>
  <c r="CJ53" i="1"/>
  <c r="CK53" i="1"/>
  <c r="CJ191" i="1"/>
  <c r="CK191" i="1"/>
  <c r="CJ82" i="1"/>
  <c r="CK82" i="1"/>
  <c r="CK255" i="1"/>
  <c r="CJ255" i="1"/>
  <c r="CJ210" i="1"/>
  <c r="CK210" i="1"/>
  <c r="CJ281" i="1"/>
  <c r="CK281" i="1"/>
  <c r="CJ149" i="1"/>
  <c r="CK149" i="1"/>
  <c r="CJ252" i="1"/>
  <c r="CK252" i="1"/>
  <c r="CJ100" i="1"/>
  <c r="CK100" i="1"/>
  <c r="CJ36" i="1"/>
  <c r="CK36" i="1"/>
  <c r="CJ224" i="1"/>
  <c r="CK224" i="1"/>
  <c r="CJ93" i="1"/>
  <c r="CK93" i="1"/>
  <c r="CJ71" i="1"/>
  <c r="CK71" i="1"/>
  <c r="CJ214" i="1"/>
  <c r="CK214" i="1"/>
  <c r="CJ91" i="1"/>
  <c r="CK91" i="1"/>
  <c r="CJ56" i="1"/>
  <c r="CK56" i="1"/>
  <c r="CJ243" i="1"/>
  <c r="CK243" i="1"/>
  <c r="CJ151" i="1"/>
  <c r="CK151" i="1"/>
  <c r="CJ180" i="1"/>
  <c r="CK180" i="1"/>
  <c r="CK2" i="1"/>
  <c r="CJ2" i="1"/>
  <c r="CK286" i="1"/>
  <c r="CJ286" i="1"/>
  <c r="CJ172" i="1"/>
  <c r="CK172" i="1"/>
  <c r="CJ280" i="1"/>
  <c r="CK280" i="1"/>
  <c r="CJ138" i="1"/>
  <c r="CK138" i="1"/>
  <c r="CJ178" i="1"/>
  <c r="CK178" i="1"/>
  <c r="CJ176" i="1"/>
  <c r="CK176" i="1"/>
  <c r="BN1390" i="5" l="1"/>
  <c r="BN1096" i="5"/>
  <c r="BP1096" i="5" s="1"/>
  <c r="BN23" i="6"/>
  <c r="BN1279" i="5"/>
  <c r="BP1279" i="5" s="1"/>
  <c r="BP20" i="6"/>
  <c r="BQ20" i="6"/>
  <c r="BN21" i="6"/>
  <c r="BR1280" i="5"/>
  <c r="BR22" i="6"/>
  <c r="BN1306" i="5"/>
  <c r="BP1306" i="5" s="1"/>
  <c r="BQ22" i="6"/>
  <c r="BP22" i="6"/>
  <c r="BR1279" i="5"/>
  <c r="BR21" i="6"/>
  <c r="BR283" i="5"/>
  <c r="BR23" i="6"/>
  <c r="BN22" i="6"/>
  <c r="BQ21" i="6"/>
  <c r="BP21" i="6"/>
  <c r="BN283" i="5"/>
  <c r="BP283" i="5" s="1"/>
  <c r="BR1242" i="5"/>
  <c r="BR20" i="6"/>
  <c r="BN20" i="6"/>
  <c r="DA254" i="1"/>
  <c r="DA138" i="1"/>
  <c r="BN1313" i="5"/>
  <c r="BP1313" i="5" s="1"/>
  <c r="BN1392" i="5"/>
  <c r="BP1392" i="5" s="1"/>
  <c r="BN1117" i="5"/>
  <c r="BP1117" i="5" s="1"/>
  <c r="BN865" i="5"/>
  <c r="BQ865" i="5" s="1"/>
  <c r="BN263" i="5"/>
  <c r="BP263" i="5" s="1"/>
  <c r="BN862" i="5"/>
  <c r="BQ862" i="5" s="1"/>
  <c r="BN475" i="5"/>
  <c r="BP475" i="5" s="1"/>
  <c r="BN1372" i="5"/>
  <c r="BQ1372" i="5" s="1"/>
  <c r="BN13" i="6"/>
  <c r="BR1392" i="5"/>
  <c r="BR14" i="6"/>
  <c r="BN14" i="6"/>
  <c r="BR1390" i="5"/>
  <c r="BR13" i="6"/>
  <c r="BR1117" i="5"/>
  <c r="BR15" i="6"/>
  <c r="BQ13" i="6"/>
  <c r="BP13" i="6"/>
  <c r="BQ15" i="6"/>
  <c r="BP15" i="6"/>
  <c r="BR1372" i="5"/>
  <c r="BR12" i="6"/>
  <c r="BP12" i="6"/>
  <c r="BQ12" i="6"/>
  <c r="BN12" i="6"/>
  <c r="BQ14" i="6"/>
  <c r="BP14" i="6"/>
  <c r="BN15" i="6"/>
  <c r="BN1059" i="5"/>
  <c r="BP7" i="6" s="1"/>
  <c r="BN1002" i="5"/>
  <c r="BP4" i="6" s="1"/>
  <c r="BQ10" i="6"/>
  <c r="BP10" i="6"/>
  <c r="BN10" i="6"/>
  <c r="BR1306" i="5"/>
  <c r="BR11" i="6"/>
  <c r="BR1313" i="5"/>
  <c r="BR10" i="6"/>
  <c r="BQ11" i="6"/>
  <c r="BP11" i="6"/>
  <c r="BN11" i="6"/>
  <c r="BP5" i="6"/>
  <c r="BQ5" i="6"/>
  <c r="BR862" i="5"/>
  <c r="BR5" i="6"/>
  <c r="BN8" i="6"/>
  <c r="BR1096" i="5"/>
  <c r="BR8" i="6"/>
  <c r="BR865" i="5"/>
  <c r="BR6" i="6"/>
  <c r="BN6" i="6"/>
  <c r="BQ8" i="6"/>
  <c r="BP8" i="6"/>
  <c r="BR475" i="5"/>
  <c r="BR3" i="6"/>
  <c r="BR1002" i="5"/>
  <c r="BR4" i="6"/>
  <c r="BQ3" i="6"/>
  <c r="BP3" i="6"/>
  <c r="BN2" i="6"/>
  <c r="BP6" i="6"/>
  <c r="BQ6" i="6"/>
  <c r="BR1059" i="5"/>
  <c r="BR7" i="6"/>
  <c r="BR263" i="5"/>
  <c r="BR2" i="6"/>
  <c r="BQ4" i="6"/>
  <c r="BQ7" i="6"/>
  <c r="BQ2" i="6"/>
  <c r="BP2" i="6"/>
  <c r="BR1226" i="5"/>
  <c r="BR9" i="6"/>
  <c r="BN9" i="6"/>
  <c r="BN3" i="6"/>
  <c r="BN5" i="6"/>
  <c r="BQ9" i="6"/>
  <c r="BP9" i="6"/>
  <c r="BN7" i="6"/>
  <c r="BN4" i="6"/>
  <c r="DA173" i="1"/>
  <c r="BP169" i="5"/>
  <c r="BS169" i="5" s="1"/>
  <c r="BQ169" i="5"/>
  <c r="BP783" i="5"/>
  <c r="BS783" i="5" s="1"/>
  <c r="BQ783" i="5"/>
  <c r="BP454" i="5"/>
  <c r="BS454" i="5" s="1"/>
  <c r="BQ454" i="5"/>
  <c r="BP888" i="5"/>
  <c r="BS888" i="5" s="1"/>
  <c r="BQ888" i="5"/>
  <c r="BP1360" i="5"/>
  <c r="BS1360" i="5" s="1"/>
  <c r="BQ1360" i="5"/>
  <c r="BQ1106" i="5"/>
  <c r="BP1106" i="5"/>
  <c r="BS1106" i="5" s="1"/>
  <c r="BQ1220" i="5"/>
  <c r="BP1220" i="5"/>
  <c r="BS1220" i="5" s="1"/>
  <c r="BQ958" i="5"/>
  <c r="BP958" i="5"/>
  <c r="BS958" i="5" s="1"/>
  <c r="BP531" i="5"/>
  <c r="BS531" i="5" s="1"/>
  <c r="BQ531" i="5"/>
  <c r="BP53" i="5"/>
  <c r="BS53" i="5" s="1"/>
  <c r="BQ53" i="5"/>
  <c r="BP1265" i="5"/>
  <c r="BS1265" i="5" s="1"/>
  <c r="BQ1265" i="5"/>
  <c r="BQ545" i="5"/>
  <c r="BP545" i="5"/>
  <c r="BS545" i="5" s="1"/>
  <c r="BP109" i="5"/>
  <c r="BS109" i="5" s="1"/>
  <c r="BQ109" i="5"/>
  <c r="BQ1193" i="5"/>
  <c r="BP1193" i="5"/>
  <c r="BS1193" i="5" s="1"/>
  <c r="BP710" i="5"/>
  <c r="BS710" i="5" s="1"/>
  <c r="BQ710" i="5"/>
  <c r="BP1304" i="5"/>
  <c r="BS1304" i="5" s="1"/>
  <c r="BQ1304" i="5"/>
  <c r="BQ35" i="5"/>
  <c r="BP35" i="5"/>
  <c r="BS35" i="5" s="1"/>
  <c r="BP598" i="5"/>
  <c r="BS598" i="5" s="1"/>
  <c r="BQ598" i="5"/>
  <c r="BP634" i="5"/>
  <c r="BS634" i="5" s="1"/>
  <c r="BQ634" i="5"/>
  <c r="BP678" i="5"/>
  <c r="BS678" i="5" s="1"/>
  <c r="BQ678" i="5"/>
  <c r="BP797" i="5"/>
  <c r="BS797" i="5" s="1"/>
  <c r="BQ797" i="5"/>
  <c r="BP690" i="5"/>
  <c r="BS690" i="5" s="1"/>
  <c r="BQ690" i="5"/>
  <c r="BP672" i="5"/>
  <c r="BS672" i="5" s="1"/>
  <c r="BQ672" i="5"/>
  <c r="BP558" i="5"/>
  <c r="BS558" i="5" s="1"/>
  <c r="BQ558" i="5"/>
  <c r="BP823" i="5"/>
  <c r="BS823" i="5" s="1"/>
  <c r="BQ823" i="5"/>
  <c r="BP308" i="5"/>
  <c r="BS308" i="5" s="1"/>
  <c r="BQ308" i="5"/>
  <c r="BP235" i="5"/>
  <c r="BS235" i="5" s="1"/>
  <c r="BQ235" i="5"/>
  <c r="BP595" i="5"/>
  <c r="BS595" i="5" s="1"/>
  <c r="BQ595" i="5"/>
  <c r="BP959" i="5"/>
  <c r="BS959" i="5" s="1"/>
  <c r="BQ959" i="5"/>
  <c r="BQ6" i="5"/>
  <c r="BP6" i="5"/>
  <c r="BS6" i="5" s="1"/>
  <c r="BP42" i="5"/>
  <c r="BS42" i="5" s="1"/>
  <c r="BQ42" i="5"/>
  <c r="BP344" i="5"/>
  <c r="BS344" i="5" s="1"/>
  <c r="BQ344" i="5"/>
  <c r="BP851" i="5"/>
  <c r="BS851" i="5" s="1"/>
  <c r="BQ851" i="5"/>
  <c r="BQ133" i="5"/>
  <c r="BP133" i="5"/>
  <c r="BS133" i="5" s="1"/>
  <c r="BP251" i="5"/>
  <c r="BS251" i="5" s="1"/>
  <c r="BQ251" i="5"/>
  <c r="BP1125" i="5"/>
  <c r="BS1125" i="5" s="1"/>
  <c r="BQ1125" i="5"/>
  <c r="BP517" i="5"/>
  <c r="BS517" i="5" s="1"/>
  <c r="BQ517" i="5"/>
  <c r="BQ605" i="5"/>
  <c r="BP605" i="5"/>
  <c r="BS605" i="5" s="1"/>
  <c r="BP918" i="5"/>
  <c r="BS918" i="5" s="1"/>
  <c r="BQ918" i="5"/>
  <c r="BQ450" i="5"/>
  <c r="BP450" i="5"/>
  <c r="BS450" i="5" s="1"/>
  <c r="BP482" i="5"/>
  <c r="BS482" i="5" s="1"/>
  <c r="BQ482" i="5"/>
  <c r="BQ784" i="5"/>
  <c r="BP784" i="5"/>
  <c r="BS784" i="5" s="1"/>
  <c r="BP59" i="5"/>
  <c r="BS59" i="5" s="1"/>
  <c r="BQ59" i="5"/>
  <c r="BP1172" i="5"/>
  <c r="BS1172" i="5" s="1"/>
  <c r="BQ1172" i="5"/>
  <c r="BP891" i="5"/>
  <c r="BS891" i="5" s="1"/>
  <c r="BQ891" i="5"/>
  <c r="BP507" i="5"/>
  <c r="BS507" i="5" s="1"/>
  <c r="BQ507" i="5"/>
  <c r="BQ616" i="5"/>
  <c r="BP616" i="5"/>
  <c r="BS616" i="5" s="1"/>
  <c r="BP999" i="5"/>
  <c r="BS999" i="5" s="1"/>
  <c r="BQ999" i="5"/>
  <c r="BP709" i="5"/>
  <c r="BS709" i="5" s="1"/>
  <c r="BQ709" i="5"/>
  <c r="BP872" i="5"/>
  <c r="BS872" i="5" s="1"/>
  <c r="BQ872" i="5"/>
  <c r="BP1264" i="5"/>
  <c r="BS1264" i="5" s="1"/>
  <c r="BQ1264" i="5"/>
  <c r="BP856" i="5"/>
  <c r="BS856" i="5" s="1"/>
  <c r="BQ856" i="5"/>
  <c r="BP596" i="5"/>
  <c r="BS596" i="5" s="1"/>
  <c r="BQ596" i="5"/>
  <c r="BP47" i="5"/>
  <c r="BS47" i="5" s="1"/>
  <c r="BQ47" i="5"/>
  <c r="BP326" i="5"/>
  <c r="BS326" i="5" s="1"/>
  <c r="BQ326" i="5"/>
  <c r="BQ22" i="5"/>
  <c r="BP22" i="5"/>
  <c r="BS22" i="5" s="1"/>
  <c r="BP788" i="5"/>
  <c r="BS788" i="5" s="1"/>
  <c r="BQ788" i="5"/>
  <c r="BP128" i="5"/>
  <c r="BS128" i="5" s="1"/>
  <c r="BQ128" i="5"/>
  <c r="BP1176" i="5"/>
  <c r="BS1176" i="5" s="1"/>
  <c r="BQ1176" i="5"/>
  <c r="BP1222" i="5"/>
  <c r="BS1222" i="5" s="1"/>
  <c r="BQ1222" i="5"/>
  <c r="BP744" i="5"/>
  <c r="BS744" i="5" s="1"/>
  <c r="BQ744" i="5"/>
  <c r="BP515" i="5"/>
  <c r="BS515" i="5" s="1"/>
  <c r="BQ515" i="5"/>
  <c r="BP261" i="5"/>
  <c r="BS261" i="5" s="1"/>
  <c r="BQ261" i="5"/>
  <c r="BP96" i="5"/>
  <c r="BS96" i="5" s="1"/>
  <c r="BQ96" i="5"/>
  <c r="BP125" i="5"/>
  <c r="BS125" i="5" s="1"/>
  <c r="BQ125" i="5"/>
  <c r="BP1379" i="5"/>
  <c r="BS1379" i="5" s="1"/>
  <c r="BQ1379" i="5"/>
  <c r="BP1191" i="5"/>
  <c r="BS1191" i="5" s="1"/>
  <c r="BQ1191" i="5"/>
  <c r="BP919" i="5"/>
  <c r="BS919" i="5" s="1"/>
  <c r="BQ919" i="5"/>
  <c r="BP1263" i="5"/>
  <c r="BS1263" i="5" s="1"/>
  <c r="BQ1263" i="5"/>
  <c r="BQ529" i="5"/>
  <c r="BP529" i="5"/>
  <c r="BS529" i="5" s="1"/>
  <c r="BQ610" i="5"/>
  <c r="BP610" i="5"/>
  <c r="BS610" i="5" s="1"/>
  <c r="BP1132" i="5"/>
  <c r="BS1132" i="5" s="1"/>
  <c r="BQ1132" i="5"/>
  <c r="BP183" i="5"/>
  <c r="BS183" i="5" s="1"/>
  <c r="BQ183" i="5"/>
  <c r="BP680" i="5"/>
  <c r="BS680" i="5" s="1"/>
  <c r="BQ680" i="5"/>
  <c r="BQ1291" i="5"/>
  <c r="BP1291" i="5"/>
  <c r="BS1291" i="5" s="1"/>
  <c r="BP1095" i="5"/>
  <c r="BS1095" i="5" s="1"/>
  <c r="BQ1095" i="5"/>
  <c r="BP1396" i="5"/>
  <c r="BS1396" i="5" s="1"/>
  <c r="BQ1396" i="5"/>
  <c r="BP679" i="5"/>
  <c r="BS679" i="5" s="1"/>
  <c r="BQ679" i="5"/>
  <c r="BQ391" i="5"/>
  <c r="BP391" i="5"/>
  <c r="BS391" i="5" s="1"/>
  <c r="BP728" i="5"/>
  <c r="BS728" i="5" s="1"/>
  <c r="BQ728" i="5"/>
  <c r="BP400" i="5"/>
  <c r="BS400" i="5" s="1"/>
  <c r="BQ400" i="5"/>
  <c r="BP1060" i="5"/>
  <c r="BS1060" i="5" s="1"/>
  <c r="BQ1060" i="5"/>
  <c r="BP1281" i="5"/>
  <c r="BS1281" i="5" s="1"/>
  <c r="BQ1281" i="5"/>
  <c r="BP57" i="5"/>
  <c r="BS57" i="5" s="1"/>
  <c r="BQ57" i="5"/>
  <c r="BP1285" i="5"/>
  <c r="BS1285" i="5" s="1"/>
  <c r="BQ1285" i="5"/>
  <c r="BP12" i="5"/>
  <c r="BS12" i="5" s="1"/>
  <c r="BQ12" i="5"/>
  <c r="BP1272" i="5"/>
  <c r="BS1272" i="5" s="1"/>
  <c r="BQ1272" i="5"/>
  <c r="BP1194" i="5"/>
  <c r="BS1194" i="5" s="1"/>
  <c r="BQ1194" i="5"/>
  <c r="BP141" i="5"/>
  <c r="BS141" i="5" s="1"/>
  <c r="BQ141" i="5"/>
  <c r="BP1181" i="5"/>
  <c r="BS1181" i="5" s="1"/>
  <c r="BQ1181" i="5"/>
  <c r="BP1210" i="5"/>
  <c r="BS1210" i="5" s="1"/>
  <c r="BQ1210" i="5"/>
  <c r="BQ813" i="5"/>
  <c r="BP813" i="5"/>
  <c r="BS813" i="5" s="1"/>
  <c r="BP682" i="5"/>
  <c r="BS682" i="5" s="1"/>
  <c r="BQ682" i="5"/>
  <c r="BP916" i="5"/>
  <c r="BS916" i="5" s="1"/>
  <c r="BQ916" i="5"/>
  <c r="BP812" i="5"/>
  <c r="BS812" i="5" s="1"/>
  <c r="BQ812" i="5"/>
  <c r="BP1115" i="5"/>
  <c r="BS1115" i="5" s="1"/>
  <c r="BQ1115" i="5"/>
  <c r="BP76" i="5"/>
  <c r="BS76" i="5" s="1"/>
  <c r="BQ76" i="5"/>
  <c r="BP514" i="5"/>
  <c r="BS514" i="5" s="1"/>
  <c r="BQ514" i="5"/>
  <c r="BP1190" i="5"/>
  <c r="BS1190" i="5" s="1"/>
  <c r="BQ1190" i="5"/>
  <c r="BP810" i="5"/>
  <c r="BS810" i="5" s="1"/>
  <c r="BQ810" i="5"/>
  <c r="BP170" i="5"/>
  <c r="BS170" i="5" s="1"/>
  <c r="BQ170" i="5"/>
  <c r="BP465" i="5"/>
  <c r="BS465" i="5" s="1"/>
  <c r="BQ465" i="5"/>
  <c r="BP335" i="5"/>
  <c r="BS335" i="5" s="1"/>
  <c r="BQ335" i="5"/>
  <c r="BQ651" i="5"/>
  <c r="BP651" i="5"/>
  <c r="BS651" i="5" s="1"/>
  <c r="BP359" i="5"/>
  <c r="BS359" i="5" s="1"/>
  <c r="BQ359" i="5"/>
  <c r="BP717" i="5"/>
  <c r="BS717" i="5" s="1"/>
  <c r="BQ717" i="5"/>
  <c r="BP190" i="5"/>
  <c r="BS190" i="5" s="1"/>
  <c r="BQ190" i="5"/>
  <c r="BP13" i="5"/>
  <c r="BS13" i="5" s="1"/>
  <c r="BQ13" i="5"/>
  <c r="BP1018" i="5"/>
  <c r="BS1018" i="5" s="1"/>
  <c r="BQ1018" i="5"/>
  <c r="BP1080" i="5"/>
  <c r="BS1080" i="5" s="1"/>
  <c r="BQ1080" i="5"/>
  <c r="BP599" i="5"/>
  <c r="BS599" i="5" s="1"/>
  <c r="BQ599" i="5"/>
  <c r="BP968" i="5"/>
  <c r="BS968" i="5" s="1"/>
  <c r="BQ968" i="5"/>
  <c r="BQ1310" i="5"/>
  <c r="BP1310" i="5"/>
  <c r="BS1310" i="5" s="1"/>
  <c r="BQ777" i="5"/>
  <c r="BP777" i="5"/>
  <c r="BS777" i="5" s="1"/>
  <c r="BP1199" i="5"/>
  <c r="BS1199" i="5" s="1"/>
  <c r="BQ1199" i="5"/>
  <c r="BP181" i="5"/>
  <c r="BS181" i="5" s="1"/>
  <c r="BQ181" i="5"/>
  <c r="BP446" i="5"/>
  <c r="BS446" i="5" s="1"/>
  <c r="BQ446" i="5"/>
  <c r="BP220" i="5"/>
  <c r="BS220" i="5" s="1"/>
  <c r="BQ220" i="5"/>
  <c r="BP843" i="5"/>
  <c r="BS843" i="5" s="1"/>
  <c r="BQ843" i="5"/>
  <c r="BP1252" i="5"/>
  <c r="BS1252" i="5" s="1"/>
  <c r="BQ1252" i="5"/>
  <c r="BP1316" i="5"/>
  <c r="BS1316" i="5" s="1"/>
  <c r="BQ1316" i="5"/>
  <c r="BP140" i="5"/>
  <c r="BS140" i="5" s="1"/>
  <c r="BQ140" i="5"/>
  <c r="BP1164" i="5"/>
  <c r="BS1164" i="5" s="1"/>
  <c r="BQ1164" i="5"/>
  <c r="BP869" i="5"/>
  <c r="BS869" i="5" s="1"/>
  <c r="BQ869" i="5"/>
  <c r="BP107" i="5"/>
  <c r="BS107" i="5" s="1"/>
  <c r="BQ107" i="5"/>
  <c r="BQ1003" i="5"/>
  <c r="BP1003" i="5"/>
  <c r="BS1003" i="5" s="1"/>
  <c r="BP18" i="5"/>
  <c r="BS18" i="5" s="1"/>
  <c r="BQ18" i="5"/>
  <c r="BP1107" i="5"/>
  <c r="BS1107" i="5" s="1"/>
  <c r="BQ1107" i="5"/>
  <c r="BP78" i="5"/>
  <c r="BS78" i="5" s="1"/>
  <c r="BQ78" i="5"/>
  <c r="BP780" i="5"/>
  <c r="BS780" i="5" s="1"/>
  <c r="BQ780" i="5"/>
  <c r="BP376" i="5"/>
  <c r="BS376" i="5" s="1"/>
  <c r="BQ376" i="5"/>
  <c r="BP1320" i="5"/>
  <c r="BS1320" i="5" s="1"/>
  <c r="BQ1320" i="5"/>
  <c r="BQ724" i="5"/>
  <c r="BP724" i="5"/>
  <c r="BS724" i="5" s="1"/>
  <c r="BP151" i="5"/>
  <c r="BS151" i="5" s="1"/>
  <c r="BQ151" i="5"/>
  <c r="BQ175" i="5"/>
  <c r="BP175" i="5"/>
  <c r="BS175" i="5" s="1"/>
  <c r="BQ490" i="5"/>
  <c r="BP490" i="5"/>
  <c r="BS490" i="5" s="1"/>
  <c r="BP523" i="5"/>
  <c r="BS523" i="5" s="1"/>
  <c r="BQ523" i="5"/>
  <c r="BP839" i="5"/>
  <c r="BS839" i="5" s="1"/>
  <c r="BQ839" i="5"/>
  <c r="BQ1357" i="5"/>
  <c r="BP1357" i="5"/>
  <c r="BS1357" i="5" s="1"/>
  <c r="BP104" i="5"/>
  <c r="BS104" i="5" s="1"/>
  <c r="BQ104" i="5"/>
  <c r="BQ946" i="5"/>
  <c r="BP946" i="5"/>
  <c r="BS946" i="5" s="1"/>
  <c r="BP808" i="5"/>
  <c r="BS808" i="5" s="1"/>
  <c r="BQ808" i="5"/>
  <c r="BQ867" i="5"/>
  <c r="BP867" i="5"/>
  <c r="BS867" i="5" s="1"/>
  <c r="BQ353" i="5"/>
  <c r="BP353" i="5"/>
  <c r="BS353" i="5" s="1"/>
  <c r="BP493" i="5"/>
  <c r="BS493" i="5" s="1"/>
  <c r="BQ493" i="5"/>
  <c r="BP259" i="5"/>
  <c r="BS259" i="5" s="1"/>
  <c r="BQ259" i="5"/>
  <c r="BQ330" i="5"/>
  <c r="BP330" i="5"/>
  <c r="BS330" i="5" s="1"/>
  <c r="BP874" i="5"/>
  <c r="BS874" i="5" s="1"/>
  <c r="BQ874" i="5"/>
  <c r="BP1328" i="5"/>
  <c r="BS1328" i="5" s="1"/>
  <c r="BQ1328" i="5"/>
  <c r="BP1371" i="5"/>
  <c r="BS1371" i="5" s="1"/>
  <c r="BQ1371" i="5"/>
  <c r="BP189" i="5"/>
  <c r="BS189" i="5" s="1"/>
  <c r="BQ189" i="5"/>
  <c r="BP304" i="5"/>
  <c r="BS304" i="5" s="1"/>
  <c r="BQ304" i="5"/>
  <c r="BP826" i="5"/>
  <c r="BS826" i="5" s="1"/>
  <c r="BQ826" i="5"/>
  <c r="BP1363" i="5"/>
  <c r="BS1363" i="5" s="1"/>
  <c r="BQ1363" i="5"/>
  <c r="BP685" i="5"/>
  <c r="BS685" i="5" s="1"/>
  <c r="BQ685" i="5"/>
  <c r="BP1130" i="5"/>
  <c r="BS1130" i="5" s="1"/>
  <c r="BQ1130" i="5"/>
  <c r="BQ95" i="5"/>
  <c r="BP95" i="5"/>
  <c r="BS95" i="5" s="1"/>
  <c r="BQ923" i="5"/>
  <c r="BP923" i="5"/>
  <c r="BS923" i="5" s="1"/>
  <c r="BP205" i="5"/>
  <c r="BS205" i="5" s="1"/>
  <c r="BQ205" i="5"/>
  <c r="BP917" i="5"/>
  <c r="BS917" i="5" s="1"/>
  <c r="BQ917" i="5"/>
  <c r="BP33" i="5"/>
  <c r="BS33" i="5" s="1"/>
  <c r="BQ33" i="5"/>
  <c r="BP712" i="5"/>
  <c r="BS712" i="5" s="1"/>
  <c r="BQ712" i="5"/>
  <c r="BP1153" i="5"/>
  <c r="BS1153" i="5" s="1"/>
  <c r="BQ1153" i="5"/>
  <c r="BQ548" i="5"/>
  <c r="BP548" i="5"/>
  <c r="BS548" i="5" s="1"/>
  <c r="BQ887" i="5"/>
  <c r="BP887" i="5"/>
  <c r="BS887" i="5" s="1"/>
  <c r="BP432" i="5"/>
  <c r="BS432" i="5" s="1"/>
  <c r="BQ432" i="5"/>
  <c r="BP750" i="5"/>
  <c r="BS750" i="5" s="1"/>
  <c r="BQ750" i="5"/>
  <c r="BP897" i="5"/>
  <c r="BS897" i="5" s="1"/>
  <c r="BQ897" i="5"/>
  <c r="BP1233" i="5"/>
  <c r="BS1233" i="5" s="1"/>
  <c r="BQ1233" i="5"/>
  <c r="BP203" i="5"/>
  <c r="BS203" i="5" s="1"/>
  <c r="BQ203" i="5"/>
  <c r="BP483" i="5"/>
  <c r="BS483" i="5" s="1"/>
  <c r="BQ483" i="5"/>
  <c r="BP430" i="5"/>
  <c r="BS430" i="5" s="1"/>
  <c r="BQ430" i="5"/>
  <c r="BP1343" i="5"/>
  <c r="BS1343" i="5" s="1"/>
  <c r="BQ1343" i="5"/>
  <c r="BQ1279" i="5"/>
  <c r="BQ307" i="5"/>
  <c r="BP307" i="5"/>
  <c r="BS307" i="5" s="1"/>
  <c r="BP1244" i="5"/>
  <c r="BS1244" i="5" s="1"/>
  <c r="BQ1244" i="5"/>
  <c r="BP212" i="5"/>
  <c r="BS212" i="5" s="1"/>
  <c r="BQ212" i="5"/>
  <c r="BP950" i="5"/>
  <c r="BS950" i="5" s="1"/>
  <c r="BQ950" i="5"/>
  <c r="BP72" i="5"/>
  <c r="BS72" i="5" s="1"/>
  <c r="BQ72" i="5"/>
  <c r="BP915" i="5"/>
  <c r="BS915" i="5" s="1"/>
  <c r="BQ915" i="5"/>
  <c r="BQ1261" i="5"/>
  <c r="BP1261" i="5"/>
  <c r="BS1261" i="5" s="1"/>
  <c r="BQ236" i="5"/>
  <c r="BP236" i="5"/>
  <c r="BS236" i="5" s="1"/>
  <c r="BP1131" i="5"/>
  <c r="BS1131" i="5" s="1"/>
  <c r="BQ1131" i="5"/>
  <c r="BP134" i="5"/>
  <c r="BS134" i="5" s="1"/>
  <c r="BQ134" i="5"/>
  <c r="BP478" i="5"/>
  <c r="BS478" i="5" s="1"/>
  <c r="BQ478" i="5"/>
  <c r="BP123" i="5"/>
  <c r="BS123" i="5" s="1"/>
  <c r="BQ123" i="5"/>
  <c r="BP734" i="5"/>
  <c r="BS734" i="5" s="1"/>
  <c r="BQ734" i="5"/>
  <c r="BP649" i="5"/>
  <c r="BS649" i="5" s="1"/>
  <c r="BQ649" i="5"/>
  <c r="BP56" i="5"/>
  <c r="BS56" i="5" s="1"/>
  <c r="BQ56" i="5"/>
  <c r="BP1056" i="5"/>
  <c r="BS1056" i="5" s="1"/>
  <c r="BQ1056" i="5"/>
  <c r="BQ333" i="5"/>
  <c r="BP333" i="5"/>
  <c r="BS333" i="5" s="1"/>
  <c r="BP1067" i="5"/>
  <c r="BS1067" i="5" s="1"/>
  <c r="BQ1067" i="5"/>
  <c r="BP1074" i="5"/>
  <c r="BS1074" i="5" s="1"/>
  <c r="BQ1074" i="5"/>
  <c r="BP1163" i="5"/>
  <c r="BS1163" i="5" s="1"/>
  <c r="BQ1163" i="5"/>
  <c r="BP806" i="5"/>
  <c r="BS806" i="5" s="1"/>
  <c r="BQ806" i="5"/>
  <c r="BP114" i="5"/>
  <c r="BS114" i="5" s="1"/>
  <c r="BQ114" i="5"/>
  <c r="BP178" i="5"/>
  <c r="BS178" i="5" s="1"/>
  <c r="BQ178" i="5"/>
  <c r="BP416" i="5"/>
  <c r="BS416" i="5" s="1"/>
  <c r="BQ416" i="5"/>
  <c r="BP1255" i="5"/>
  <c r="BS1255" i="5" s="1"/>
  <c r="BQ1255" i="5"/>
  <c r="BP68" i="5"/>
  <c r="BS68" i="5" s="1"/>
  <c r="BQ68" i="5"/>
  <c r="BQ439" i="5"/>
  <c r="BP439" i="5"/>
  <c r="BS439" i="5" s="1"/>
  <c r="BP1353" i="5"/>
  <c r="BS1353" i="5" s="1"/>
  <c r="BQ1353" i="5"/>
  <c r="BP328" i="5"/>
  <c r="BS328" i="5" s="1"/>
  <c r="BQ328" i="5"/>
  <c r="BP740" i="5"/>
  <c r="BS740" i="5" s="1"/>
  <c r="BQ740" i="5"/>
  <c r="BQ285" i="5"/>
  <c r="BP285" i="5"/>
  <c r="BS285" i="5" s="1"/>
  <c r="BP708" i="5"/>
  <c r="BS708" i="5" s="1"/>
  <c r="BQ708" i="5"/>
  <c r="BP621" i="5"/>
  <c r="BS621" i="5" s="1"/>
  <c r="BQ621" i="5"/>
  <c r="BQ1144" i="5"/>
  <c r="BP1144" i="5"/>
  <c r="BS1144" i="5" s="1"/>
  <c r="BP367" i="5"/>
  <c r="BS367" i="5" s="1"/>
  <c r="BQ367" i="5"/>
  <c r="BP537" i="5"/>
  <c r="BS537" i="5" s="1"/>
  <c r="BQ537" i="5"/>
  <c r="BP977" i="5"/>
  <c r="BS977" i="5" s="1"/>
  <c r="BQ977" i="5"/>
  <c r="BP1385" i="5"/>
  <c r="BS1385" i="5" s="1"/>
  <c r="BQ1385" i="5"/>
  <c r="BQ350" i="5"/>
  <c r="BP350" i="5"/>
  <c r="BS350" i="5" s="1"/>
  <c r="BQ209" i="5"/>
  <c r="BP209" i="5"/>
  <c r="BS209" i="5" s="1"/>
  <c r="BQ504" i="5"/>
  <c r="BP504" i="5"/>
  <c r="BS504" i="5" s="1"/>
  <c r="BP880" i="5"/>
  <c r="BS880" i="5" s="1"/>
  <c r="BQ880" i="5"/>
  <c r="BP627" i="5"/>
  <c r="BS627" i="5" s="1"/>
  <c r="BQ627" i="5"/>
  <c r="BP1035" i="5"/>
  <c r="BS1035" i="5" s="1"/>
  <c r="BQ1035" i="5"/>
  <c r="BQ625" i="5"/>
  <c r="BP625" i="5"/>
  <c r="BS625" i="5" s="1"/>
  <c r="BQ208" i="5"/>
  <c r="BP208" i="5"/>
  <c r="BS208" i="5" s="1"/>
  <c r="BP1118" i="5"/>
  <c r="BS1118" i="5" s="1"/>
  <c r="BQ1118" i="5"/>
  <c r="BP166" i="5"/>
  <c r="BS166" i="5" s="1"/>
  <c r="BQ166" i="5"/>
  <c r="BP828" i="5"/>
  <c r="BS828" i="5" s="1"/>
  <c r="BQ828" i="5"/>
  <c r="BP360" i="5"/>
  <c r="BS360" i="5" s="1"/>
  <c r="BQ360" i="5"/>
  <c r="BP978" i="5"/>
  <c r="BS978" i="5" s="1"/>
  <c r="BQ978" i="5"/>
  <c r="BP749" i="5"/>
  <c r="BS749" i="5" s="1"/>
  <c r="BQ749" i="5"/>
  <c r="BQ1319" i="5"/>
  <c r="BP1319" i="5"/>
  <c r="BS1319" i="5" s="1"/>
  <c r="BP606" i="5"/>
  <c r="BS606" i="5" s="1"/>
  <c r="BQ606" i="5"/>
  <c r="BQ938" i="5"/>
  <c r="BP938" i="5"/>
  <c r="BS938" i="5" s="1"/>
  <c r="BP560" i="5"/>
  <c r="BS560" i="5" s="1"/>
  <c r="BQ560" i="5"/>
  <c r="BP926" i="5"/>
  <c r="BS926" i="5" s="1"/>
  <c r="BQ926" i="5"/>
  <c r="BP629" i="5"/>
  <c r="BS629" i="5" s="1"/>
  <c r="BQ629" i="5"/>
  <c r="BQ982" i="5"/>
  <c r="BP982" i="5"/>
  <c r="BS982" i="5" s="1"/>
  <c r="BP864" i="5"/>
  <c r="BS864" i="5" s="1"/>
  <c r="BQ864" i="5"/>
  <c r="BP19" i="5"/>
  <c r="BS19" i="5" s="1"/>
  <c r="BQ19" i="5"/>
  <c r="BP1277" i="5"/>
  <c r="BS1277" i="5" s="1"/>
  <c r="BQ1277" i="5"/>
  <c r="BQ371" i="5"/>
  <c r="BP371" i="5"/>
  <c r="BS371" i="5" s="1"/>
  <c r="BP496" i="5"/>
  <c r="BS496" i="5" s="1"/>
  <c r="BQ496" i="5"/>
  <c r="BP1362" i="5"/>
  <c r="BS1362" i="5" s="1"/>
  <c r="BQ1362" i="5"/>
  <c r="BP870" i="5"/>
  <c r="BS870" i="5" s="1"/>
  <c r="BQ870" i="5"/>
  <c r="BP807" i="5"/>
  <c r="BS807" i="5" s="1"/>
  <c r="BQ807" i="5"/>
  <c r="BP963" i="5"/>
  <c r="BS963" i="5" s="1"/>
  <c r="BQ963" i="5"/>
  <c r="BP339" i="5"/>
  <c r="BS339" i="5" s="1"/>
  <c r="BQ339" i="5"/>
  <c r="BP505" i="5"/>
  <c r="BS505" i="5" s="1"/>
  <c r="BQ505" i="5"/>
  <c r="BQ1216" i="5"/>
  <c r="BP1216" i="5"/>
  <c r="BS1216" i="5" s="1"/>
  <c r="BP142" i="5"/>
  <c r="BS142" i="5" s="1"/>
  <c r="BQ142" i="5"/>
  <c r="BP1323" i="5"/>
  <c r="BS1323" i="5" s="1"/>
  <c r="BQ1323" i="5"/>
  <c r="BP278" i="5"/>
  <c r="BS278" i="5" s="1"/>
  <c r="BQ278" i="5"/>
  <c r="BP1049" i="5"/>
  <c r="BS1049" i="5" s="1"/>
  <c r="BQ1049" i="5"/>
  <c r="BP89" i="5"/>
  <c r="BS89" i="5" s="1"/>
  <c r="BQ89" i="5"/>
  <c r="BP972" i="5"/>
  <c r="BS972" i="5" s="1"/>
  <c r="BQ972" i="5"/>
  <c r="BP392" i="5"/>
  <c r="BS392" i="5" s="1"/>
  <c r="BQ392" i="5"/>
  <c r="BP811" i="5"/>
  <c r="BS811" i="5" s="1"/>
  <c r="BQ811" i="5"/>
  <c r="BP510" i="5"/>
  <c r="BS510" i="5" s="1"/>
  <c r="BQ510" i="5"/>
  <c r="BP337" i="5"/>
  <c r="BS337" i="5" s="1"/>
  <c r="BQ337" i="5"/>
  <c r="BP479" i="5"/>
  <c r="BS479" i="5" s="1"/>
  <c r="BQ479" i="5"/>
  <c r="BQ846" i="5"/>
  <c r="BP846" i="5"/>
  <c r="BS846" i="5" s="1"/>
  <c r="BQ1365" i="5"/>
  <c r="BP1365" i="5"/>
  <c r="BS1365" i="5" s="1"/>
  <c r="BP377" i="5"/>
  <c r="BS377" i="5" s="1"/>
  <c r="BQ377" i="5"/>
  <c r="BP809" i="5"/>
  <c r="BS809" i="5" s="1"/>
  <c r="BQ809" i="5"/>
  <c r="BQ280" i="5"/>
  <c r="BP280" i="5"/>
  <c r="BS280" i="5" s="1"/>
  <c r="BP1356" i="5"/>
  <c r="BS1356" i="5" s="1"/>
  <c r="BQ1356" i="5"/>
  <c r="BQ841" i="5"/>
  <c r="BP841" i="5"/>
  <c r="BS841" i="5" s="1"/>
  <c r="BQ850" i="5"/>
  <c r="BP850" i="5"/>
  <c r="BS850" i="5" s="1"/>
  <c r="BP882" i="5"/>
  <c r="BS882" i="5" s="1"/>
  <c r="BQ882" i="5"/>
  <c r="BP646" i="5"/>
  <c r="BS646" i="5" s="1"/>
  <c r="BQ646" i="5"/>
  <c r="BP1391" i="5"/>
  <c r="BS1391" i="5" s="1"/>
  <c r="BQ1391" i="5"/>
  <c r="BP834" i="5"/>
  <c r="BS834" i="5" s="1"/>
  <c r="BQ834" i="5"/>
  <c r="BQ628" i="5"/>
  <c r="BP628" i="5"/>
  <c r="BS628" i="5" s="1"/>
  <c r="BQ894" i="5"/>
  <c r="BP894" i="5"/>
  <c r="BS894" i="5" s="1"/>
  <c r="BP1332" i="5"/>
  <c r="BS1332" i="5" s="1"/>
  <c r="BQ1332" i="5"/>
  <c r="BP1209" i="5"/>
  <c r="BS1209" i="5" s="1"/>
  <c r="BQ1209" i="5"/>
  <c r="BP437" i="5"/>
  <c r="BS437" i="5" s="1"/>
  <c r="BQ437" i="5"/>
  <c r="BP424" i="5"/>
  <c r="BS424" i="5" s="1"/>
  <c r="BQ424" i="5"/>
  <c r="BP36" i="5"/>
  <c r="BS36" i="5" s="1"/>
  <c r="BQ36" i="5"/>
  <c r="BP1195" i="5"/>
  <c r="BS1195" i="5" s="1"/>
  <c r="BQ1195" i="5"/>
  <c r="BP1232" i="5"/>
  <c r="BS1232" i="5" s="1"/>
  <c r="BQ1232" i="5"/>
  <c r="BP238" i="5"/>
  <c r="BS238" i="5" s="1"/>
  <c r="BQ238" i="5"/>
  <c r="BQ654" i="5"/>
  <c r="BP654" i="5"/>
  <c r="BS654" i="5" s="1"/>
  <c r="BP794" i="5"/>
  <c r="BS794" i="5" s="1"/>
  <c r="BQ794" i="5"/>
  <c r="BP1183" i="5"/>
  <c r="BS1183" i="5" s="1"/>
  <c r="BQ1183" i="5"/>
  <c r="BP644" i="5"/>
  <c r="BS644" i="5" s="1"/>
  <c r="BQ644" i="5"/>
  <c r="BP272" i="5"/>
  <c r="BS272" i="5" s="1"/>
  <c r="BQ272" i="5"/>
  <c r="BP885" i="5"/>
  <c r="BS885" i="5" s="1"/>
  <c r="BQ885" i="5"/>
  <c r="BQ743" i="5"/>
  <c r="BP743" i="5"/>
  <c r="BS743" i="5" s="1"/>
  <c r="BQ941" i="5"/>
  <c r="BP941" i="5"/>
  <c r="BS941" i="5" s="1"/>
  <c r="BQ1245" i="5"/>
  <c r="BP1245" i="5"/>
  <c r="BS1245" i="5" s="1"/>
  <c r="BQ643" i="5"/>
  <c r="BP643" i="5"/>
  <c r="BS643" i="5" s="1"/>
  <c r="BQ1303" i="5"/>
  <c r="BP1303" i="5"/>
  <c r="BS1303" i="5" s="1"/>
  <c r="BP585" i="5"/>
  <c r="BS585" i="5" s="1"/>
  <c r="BQ585" i="5"/>
  <c r="BP645" i="5"/>
  <c r="BS645" i="5" s="1"/>
  <c r="BQ645" i="5"/>
  <c r="BP781" i="5"/>
  <c r="BS781" i="5" s="1"/>
  <c r="BQ781" i="5"/>
  <c r="BP453" i="5"/>
  <c r="BS453" i="5" s="1"/>
  <c r="BQ453" i="5"/>
  <c r="BP94" i="5"/>
  <c r="BS94" i="5" s="1"/>
  <c r="BQ94" i="5"/>
  <c r="BP800" i="5"/>
  <c r="BS800" i="5" s="1"/>
  <c r="BQ800" i="5"/>
  <c r="BP472" i="5"/>
  <c r="BS472" i="5" s="1"/>
  <c r="BQ472" i="5"/>
  <c r="BP306" i="5"/>
  <c r="BS306" i="5" s="1"/>
  <c r="BQ306" i="5"/>
  <c r="BP116" i="5"/>
  <c r="BS116" i="5" s="1"/>
  <c r="BQ116" i="5"/>
  <c r="BQ17" i="5"/>
  <c r="BP17" i="5"/>
  <c r="BS17" i="5" s="1"/>
  <c r="BQ449" i="5"/>
  <c r="BP449" i="5"/>
  <c r="BS449" i="5" s="1"/>
  <c r="BP1162" i="5"/>
  <c r="BS1162" i="5" s="1"/>
  <c r="BQ1162" i="5"/>
  <c r="BP1152" i="5"/>
  <c r="BS1152" i="5" s="1"/>
  <c r="BQ1152" i="5"/>
  <c r="BP488" i="5"/>
  <c r="BS488" i="5" s="1"/>
  <c r="BQ488" i="5"/>
  <c r="BQ177" i="5"/>
  <c r="BP177" i="5"/>
  <c r="BS177" i="5" s="1"/>
  <c r="BP727" i="5"/>
  <c r="BS727" i="5" s="1"/>
  <c r="BQ727" i="5"/>
  <c r="BP462" i="5"/>
  <c r="BS462" i="5" s="1"/>
  <c r="BQ462" i="5"/>
  <c r="BQ405" i="5"/>
  <c r="BP405" i="5"/>
  <c r="BS405" i="5" s="1"/>
  <c r="BP1223" i="5"/>
  <c r="BS1223" i="5" s="1"/>
  <c r="BQ1223" i="5"/>
  <c r="BQ199" i="5"/>
  <c r="BP199" i="5"/>
  <c r="BS199" i="5" s="1"/>
  <c r="BP1043" i="5"/>
  <c r="BS1043" i="5" s="1"/>
  <c r="BQ1043" i="5"/>
  <c r="BQ49" i="5"/>
  <c r="BP49" i="5"/>
  <c r="BS49" i="5" s="1"/>
  <c r="BP511" i="5"/>
  <c r="BS511" i="5" s="1"/>
  <c r="BQ511" i="5"/>
  <c r="BQ492" i="5"/>
  <c r="BP492" i="5"/>
  <c r="BS492" i="5" s="1"/>
  <c r="BP753" i="5"/>
  <c r="BS753" i="5" s="1"/>
  <c r="BQ753" i="5"/>
  <c r="BP378" i="5"/>
  <c r="BS378" i="5" s="1"/>
  <c r="BQ378" i="5"/>
  <c r="BP158" i="5"/>
  <c r="BS158" i="5" s="1"/>
  <c r="BQ158" i="5"/>
  <c r="BP568" i="5"/>
  <c r="BS568" i="5" s="1"/>
  <c r="BQ568" i="5"/>
  <c r="BP956" i="5"/>
  <c r="BS956" i="5" s="1"/>
  <c r="BQ956" i="5"/>
  <c r="BP16" i="5"/>
  <c r="BS16" i="5" s="1"/>
  <c r="BQ16" i="5"/>
  <c r="BP1192" i="5"/>
  <c r="BS1192" i="5" s="1"/>
  <c r="BQ1192" i="5"/>
  <c r="BP67" i="5"/>
  <c r="BS67" i="5" s="1"/>
  <c r="BQ67" i="5"/>
  <c r="BP663" i="5"/>
  <c r="BS663" i="5" s="1"/>
  <c r="BQ663" i="5"/>
  <c r="BP665" i="5"/>
  <c r="BS665" i="5" s="1"/>
  <c r="BQ665" i="5"/>
  <c r="BP1207" i="5"/>
  <c r="BS1207" i="5" s="1"/>
  <c r="BQ1207" i="5"/>
  <c r="BP942" i="5"/>
  <c r="BS942" i="5" s="1"/>
  <c r="BQ942" i="5"/>
  <c r="BP1242" i="5"/>
  <c r="BQ1242" i="5"/>
  <c r="BP174" i="5"/>
  <c r="BS174" i="5" s="1"/>
  <c r="BQ174" i="5"/>
  <c r="BP905" i="5"/>
  <c r="BS905" i="5" s="1"/>
  <c r="BQ905" i="5"/>
  <c r="BP1248" i="5"/>
  <c r="BS1248" i="5" s="1"/>
  <c r="BQ1248" i="5"/>
  <c r="BP974" i="5"/>
  <c r="BS974" i="5" s="1"/>
  <c r="BQ974" i="5"/>
  <c r="BP553" i="5"/>
  <c r="BS553" i="5" s="1"/>
  <c r="BQ553" i="5"/>
  <c r="BP1016" i="5"/>
  <c r="BS1016" i="5" s="1"/>
  <c r="BQ1016" i="5"/>
  <c r="BP1325" i="5"/>
  <c r="BS1325" i="5" s="1"/>
  <c r="BQ1325" i="5"/>
  <c r="BQ287" i="5"/>
  <c r="BP287" i="5"/>
  <c r="BS287" i="5" s="1"/>
  <c r="BP1072" i="5"/>
  <c r="BS1072" i="5" s="1"/>
  <c r="BQ1072" i="5"/>
  <c r="BP28" i="5"/>
  <c r="BS28" i="5" s="1"/>
  <c r="BQ28" i="5"/>
  <c r="BQ410" i="5"/>
  <c r="BP410" i="5"/>
  <c r="BS410" i="5" s="1"/>
  <c r="BP1224" i="5"/>
  <c r="BS1224" i="5" s="1"/>
  <c r="BQ1224" i="5"/>
  <c r="BP742" i="5"/>
  <c r="BS742" i="5" s="1"/>
  <c r="BQ742" i="5"/>
  <c r="BP121" i="5"/>
  <c r="BS121" i="5" s="1"/>
  <c r="BQ121" i="5"/>
  <c r="BP100" i="5"/>
  <c r="BS100" i="5" s="1"/>
  <c r="BQ100" i="5"/>
  <c r="BP380" i="5"/>
  <c r="BS380" i="5" s="1"/>
  <c r="BQ380" i="5"/>
  <c r="BP4" i="5"/>
  <c r="BS4" i="5" s="1"/>
  <c r="BQ4" i="5"/>
  <c r="BP1128" i="5"/>
  <c r="BS1128" i="5" s="1"/>
  <c r="BQ1128" i="5"/>
  <c r="BP55" i="5"/>
  <c r="BS55" i="5" s="1"/>
  <c r="BQ55" i="5"/>
  <c r="BP1226" i="5"/>
  <c r="BQ1226" i="5"/>
  <c r="BQ90" i="5"/>
  <c r="BP90" i="5"/>
  <c r="BS90" i="5" s="1"/>
  <c r="BP601" i="5"/>
  <c r="BS601" i="5" s="1"/>
  <c r="BQ601" i="5"/>
  <c r="BP1013" i="5"/>
  <c r="BS1013" i="5" s="1"/>
  <c r="BQ1013" i="5"/>
  <c r="BP528" i="5"/>
  <c r="BS528" i="5" s="1"/>
  <c r="BQ528" i="5"/>
  <c r="BP930" i="5"/>
  <c r="BS930" i="5" s="1"/>
  <c r="BQ930" i="5"/>
  <c r="BP182" i="5"/>
  <c r="BS182" i="5" s="1"/>
  <c r="BQ182" i="5"/>
  <c r="BQ284" i="5"/>
  <c r="BP284" i="5"/>
  <c r="BS284" i="5" s="1"/>
  <c r="BP1212" i="5"/>
  <c r="BS1212" i="5" s="1"/>
  <c r="BQ1212" i="5"/>
  <c r="BP561" i="5"/>
  <c r="BS561" i="5" s="1"/>
  <c r="BQ561" i="5"/>
  <c r="BQ1087" i="5"/>
  <c r="BP1087" i="5"/>
  <c r="BS1087" i="5" s="1"/>
  <c r="BP71" i="5"/>
  <c r="BS71" i="5" s="1"/>
  <c r="BQ71" i="5"/>
  <c r="BP1113" i="5"/>
  <c r="BS1113" i="5" s="1"/>
  <c r="BQ1113" i="5"/>
  <c r="BP148" i="5"/>
  <c r="BS148" i="5" s="1"/>
  <c r="BQ148" i="5"/>
  <c r="BP393" i="5"/>
  <c r="BS393" i="5" s="1"/>
  <c r="BQ393" i="5"/>
  <c r="BP849" i="5"/>
  <c r="BS849" i="5" s="1"/>
  <c r="BQ849" i="5"/>
  <c r="BQ362" i="5"/>
  <c r="BP362" i="5"/>
  <c r="BS362" i="5" s="1"/>
  <c r="BQ653" i="5"/>
  <c r="BP653" i="5"/>
  <c r="BS653" i="5" s="1"/>
  <c r="BP464" i="5"/>
  <c r="BS464" i="5" s="1"/>
  <c r="BQ464" i="5"/>
  <c r="BP1266" i="5"/>
  <c r="BS1266" i="5" s="1"/>
  <c r="BQ1266" i="5"/>
  <c r="BP266" i="5"/>
  <c r="BS266" i="5" s="1"/>
  <c r="BQ266" i="5"/>
  <c r="BQ613" i="5"/>
  <c r="BP613" i="5"/>
  <c r="BS613" i="5" s="1"/>
  <c r="BP1178" i="5"/>
  <c r="BS1178" i="5" s="1"/>
  <c r="BQ1178" i="5"/>
  <c r="BP859" i="5"/>
  <c r="BS859" i="5" s="1"/>
  <c r="BQ859" i="5"/>
  <c r="BP369" i="5"/>
  <c r="BS369" i="5" s="1"/>
  <c r="BQ369" i="5"/>
  <c r="BP980" i="5"/>
  <c r="BS980" i="5" s="1"/>
  <c r="BQ980" i="5"/>
  <c r="BQ594" i="5"/>
  <c r="BP594" i="5"/>
  <c r="BS594" i="5" s="1"/>
  <c r="BP755" i="5"/>
  <c r="BS755" i="5" s="1"/>
  <c r="BQ755" i="5"/>
  <c r="BP965" i="5"/>
  <c r="BS965" i="5" s="1"/>
  <c r="BQ965" i="5"/>
  <c r="BP1317" i="5"/>
  <c r="BS1317" i="5" s="1"/>
  <c r="BQ1317" i="5"/>
  <c r="BQ719" i="5"/>
  <c r="BP719" i="5"/>
  <c r="BS719" i="5" s="1"/>
  <c r="BP1227" i="5"/>
  <c r="BS1227" i="5" s="1"/>
  <c r="BQ1227" i="5"/>
  <c r="BP695" i="5"/>
  <c r="BS695" i="5" s="1"/>
  <c r="BQ695" i="5"/>
  <c r="BQ567" i="5"/>
  <c r="BP567" i="5"/>
  <c r="BS567" i="5" s="1"/>
  <c r="BP519" i="5"/>
  <c r="BS519" i="5" s="1"/>
  <c r="BQ519" i="5"/>
  <c r="BP232" i="5"/>
  <c r="BS232" i="5" s="1"/>
  <c r="BQ232" i="5"/>
  <c r="BP771" i="5"/>
  <c r="BS771" i="5" s="1"/>
  <c r="BQ771" i="5"/>
  <c r="BP1271" i="5"/>
  <c r="BS1271" i="5" s="1"/>
  <c r="BQ1271" i="5"/>
  <c r="BP603" i="5"/>
  <c r="BS603" i="5" s="1"/>
  <c r="BQ603" i="5"/>
  <c r="BQ1295" i="5"/>
  <c r="BP1295" i="5"/>
  <c r="BS1295" i="5" s="1"/>
  <c r="BP772" i="5"/>
  <c r="BS772" i="5" s="1"/>
  <c r="BQ772" i="5"/>
  <c r="BQ604" i="5"/>
  <c r="BP604" i="5"/>
  <c r="BS604" i="5" s="1"/>
  <c r="BP549" i="5"/>
  <c r="BS549" i="5" s="1"/>
  <c r="BQ549" i="5"/>
  <c r="BP253" i="5"/>
  <c r="BS253" i="5" s="1"/>
  <c r="BQ253" i="5"/>
  <c r="BP438" i="5"/>
  <c r="BS438" i="5" s="1"/>
  <c r="BQ438" i="5"/>
  <c r="BP718" i="5"/>
  <c r="BS718" i="5" s="1"/>
  <c r="BQ718" i="5"/>
  <c r="BQ890" i="5"/>
  <c r="BP890" i="5"/>
  <c r="BS890" i="5" s="1"/>
  <c r="BP658" i="5"/>
  <c r="BS658" i="5" s="1"/>
  <c r="BQ658" i="5"/>
  <c r="BP436" i="5"/>
  <c r="BS436" i="5" s="1"/>
  <c r="BQ436" i="5"/>
  <c r="BP642" i="5"/>
  <c r="BS642" i="5" s="1"/>
  <c r="BQ642" i="5"/>
  <c r="BP903" i="5"/>
  <c r="BS903" i="5" s="1"/>
  <c r="BQ903" i="5"/>
  <c r="BP146" i="5"/>
  <c r="BS146" i="5" s="1"/>
  <c r="BQ146" i="5"/>
  <c r="BP636" i="5"/>
  <c r="BS636" i="5" s="1"/>
  <c r="BQ636" i="5"/>
  <c r="BP383" i="5"/>
  <c r="BS383" i="5" s="1"/>
  <c r="BQ383" i="5"/>
  <c r="BQ852" i="5"/>
  <c r="BP852" i="5"/>
  <c r="BS852" i="5" s="1"/>
  <c r="BP1331" i="5"/>
  <c r="BS1331" i="5" s="1"/>
  <c r="BQ1331" i="5"/>
  <c r="BQ563" i="5"/>
  <c r="BP563" i="5"/>
  <c r="BS563" i="5" s="1"/>
  <c r="BP1355" i="5"/>
  <c r="BS1355" i="5" s="1"/>
  <c r="BQ1355" i="5"/>
  <c r="BP778" i="5"/>
  <c r="BS778" i="5" s="1"/>
  <c r="BQ778" i="5"/>
  <c r="BP31" i="5"/>
  <c r="BS31" i="5" s="1"/>
  <c r="BQ31" i="5"/>
  <c r="BP312" i="5"/>
  <c r="BS312" i="5" s="1"/>
  <c r="BQ312" i="5"/>
  <c r="BP241" i="5"/>
  <c r="BS241" i="5" s="1"/>
  <c r="BQ241" i="5"/>
  <c r="BP485" i="5"/>
  <c r="BS485" i="5" s="1"/>
  <c r="BQ485" i="5"/>
  <c r="BP1058" i="5"/>
  <c r="BS1058" i="5" s="1"/>
  <c r="BQ1058" i="5"/>
  <c r="BP976" i="5"/>
  <c r="BS976" i="5" s="1"/>
  <c r="BQ976" i="5"/>
  <c r="BP136" i="5"/>
  <c r="BS136" i="5" s="1"/>
  <c r="BQ136" i="5"/>
  <c r="BP1377" i="5"/>
  <c r="BS1377" i="5" s="1"/>
  <c r="BQ1377" i="5"/>
  <c r="BP1359" i="5"/>
  <c r="BS1359" i="5" s="1"/>
  <c r="BQ1359" i="5"/>
  <c r="BP1033" i="5"/>
  <c r="BS1033" i="5" s="1"/>
  <c r="BQ1033" i="5"/>
  <c r="BP833" i="5"/>
  <c r="BS833" i="5" s="1"/>
  <c r="BQ833" i="5"/>
  <c r="BP868" i="5"/>
  <c r="BS868" i="5" s="1"/>
  <c r="BQ868" i="5"/>
  <c r="BP1401" i="5"/>
  <c r="BS1401" i="5" s="1"/>
  <c r="BQ1401" i="5"/>
  <c r="BP218" i="5"/>
  <c r="BS218" i="5" s="1"/>
  <c r="BQ218" i="5"/>
  <c r="BP1395" i="5"/>
  <c r="BS1395" i="5" s="1"/>
  <c r="BQ1395" i="5"/>
  <c r="BP5" i="5"/>
  <c r="BS5" i="5" s="1"/>
  <c r="BQ5" i="5"/>
  <c r="BQ617" i="5"/>
  <c r="BP617" i="5"/>
  <c r="BS617" i="5" s="1"/>
  <c r="BQ1382" i="5"/>
  <c r="BP1382" i="5"/>
  <c r="BS1382" i="5" s="1"/>
  <c r="BP1404" i="5"/>
  <c r="BS1404" i="5" s="1"/>
  <c r="BQ1404" i="5"/>
  <c r="BP233" i="5"/>
  <c r="BS233" i="5" s="1"/>
  <c r="BQ233" i="5"/>
  <c r="BP15" i="5"/>
  <c r="BS15" i="5" s="1"/>
  <c r="BQ15" i="5"/>
  <c r="BP281" i="5"/>
  <c r="BS281" i="5" s="1"/>
  <c r="BQ281" i="5"/>
  <c r="BQ127" i="5"/>
  <c r="BP127" i="5"/>
  <c r="BS127" i="5" s="1"/>
  <c r="BP1007" i="5"/>
  <c r="BS1007" i="5" s="1"/>
  <c r="BQ1007" i="5"/>
  <c r="BP262" i="5"/>
  <c r="BS262" i="5" s="1"/>
  <c r="BQ262" i="5"/>
  <c r="BP1376" i="5"/>
  <c r="BS1376" i="5" s="1"/>
  <c r="BQ1376" i="5"/>
  <c r="BQ1215" i="5"/>
  <c r="BP1215" i="5"/>
  <c r="BS1215" i="5" s="1"/>
  <c r="BP1336" i="5"/>
  <c r="BS1336" i="5" s="1"/>
  <c r="BQ1336" i="5"/>
  <c r="BP988" i="5"/>
  <c r="BS988" i="5" s="1"/>
  <c r="BQ988" i="5"/>
  <c r="BP759" i="5"/>
  <c r="BS759" i="5" s="1"/>
  <c r="BQ759" i="5"/>
  <c r="BP664" i="5"/>
  <c r="BS664" i="5" s="1"/>
  <c r="BQ664" i="5"/>
  <c r="BP305" i="5"/>
  <c r="BS305" i="5" s="1"/>
  <c r="BQ305" i="5"/>
  <c r="BP1203" i="5"/>
  <c r="BS1203" i="5" s="1"/>
  <c r="BQ1203" i="5"/>
  <c r="BP1400" i="5"/>
  <c r="BS1400" i="5" s="1"/>
  <c r="BQ1400" i="5"/>
  <c r="BP1047" i="5"/>
  <c r="BS1047" i="5" s="1"/>
  <c r="BQ1047" i="5"/>
  <c r="BQ388" i="5"/>
  <c r="BP388" i="5"/>
  <c r="BS388" i="5" s="1"/>
  <c r="BP691" i="5"/>
  <c r="BS691" i="5" s="1"/>
  <c r="BQ691" i="5"/>
  <c r="BP804" i="5"/>
  <c r="BS804" i="5" s="1"/>
  <c r="BQ804" i="5"/>
  <c r="BP428" i="5"/>
  <c r="BS428" i="5" s="1"/>
  <c r="BQ428" i="5"/>
  <c r="BP600" i="5"/>
  <c r="BS600" i="5" s="1"/>
  <c r="BQ600" i="5"/>
  <c r="BP126" i="5"/>
  <c r="BS126" i="5" s="1"/>
  <c r="BQ126" i="5"/>
  <c r="BP1055" i="5"/>
  <c r="BS1055" i="5" s="1"/>
  <c r="BQ1055" i="5"/>
  <c r="BQ395" i="5"/>
  <c r="BP395" i="5"/>
  <c r="BS395" i="5" s="1"/>
  <c r="BP358" i="5"/>
  <c r="BS358" i="5" s="1"/>
  <c r="BQ358" i="5"/>
  <c r="BP75" i="5"/>
  <c r="BS75" i="5" s="1"/>
  <c r="BQ75" i="5"/>
  <c r="BP954" i="5"/>
  <c r="BS954" i="5" s="1"/>
  <c r="BQ954" i="5"/>
  <c r="BQ565" i="5"/>
  <c r="BP565" i="5"/>
  <c r="BS565" i="5" s="1"/>
  <c r="BP1150" i="5"/>
  <c r="BS1150" i="5" s="1"/>
  <c r="BQ1150" i="5"/>
  <c r="BP130" i="5"/>
  <c r="BS130" i="5" s="1"/>
  <c r="BQ130" i="5"/>
  <c r="BP180" i="5"/>
  <c r="BS180" i="5" s="1"/>
  <c r="BQ180" i="5"/>
  <c r="BP1206" i="5"/>
  <c r="BS1206" i="5" s="1"/>
  <c r="BQ1206" i="5"/>
  <c r="BQ1305" i="5"/>
  <c r="BP1305" i="5"/>
  <c r="BS1305" i="5" s="1"/>
  <c r="BP1340" i="5"/>
  <c r="BS1340" i="5" s="1"/>
  <c r="BQ1340" i="5"/>
  <c r="BP1394" i="5"/>
  <c r="BS1394" i="5" s="1"/>
  <c r="BQ1394" i="5"/>
  <c r="BP325" i="5"/>
  <c r="BS325" i="5" s="1"/>
  <c r="BQ325" i="5"/>
  <c r="BP111" i="5"/>
  <c r="BS111" i="5" s="1"/>
  <c r="BQ111" i="5"/>
  <c r="BQ1341" i="5"/>
  <c r="BP1341" i="5"/>
  <c r="BS1341" i="5" s="1"/>
  <c r="BP656" i="5"/>
  <c r="BS656" i="5" s="1"/>
  <c r="BQ656" i="5"/>
  <c r="BP423" i="5"/>
  <c r="BS423" i="5" s="1"/>
  <c r="BQ423" i="5"/>
  <c r="BP1214" i="5"/>
  <c r="BS1214" i="5" s="1"/>
  <c r="BQ1214" i="5"/>
  <c r="BP1398" i="5"/>
  <c r="BS1398" i="5" s="1"/>
  <c r="BQ1398" i="5"/>
  <c r="BP1044" i="5"/>
  <c r="BS1044" i="5" s="1"/>
  <c r="BQ1044" i="5"/>
  <c r="BP372" i="5"/>
  <c r="BS372" i="5" s="1"/>
  <c r="BQ372" i="5"/>
  <c r="BP1116" i="5"/>
  <c r="BS1116" i="5" s="1"/>
  <c r="BQ1116" i="5"/>
  <c r="BP228" i="5"/>
  <c r="BS228" i="5" s="1"/>
  <c r="BQ228" i="5"/>
  <c r="BP469" i="5"/>
  <c r="BS469" i="5" s="1"/>
  <c r="BQ469" i="5"/>
  <c r="BP1311" i="5"/>
  <c r="BS1311" i="5" s="1"/>
  <c r="BQ1311" i="5"/>
  <c r="BQ155" i="5"/>
  <c r="BP155" i="5"/>
  <c r="BS155" i="5" s="1"/>
  <c r="BP159" i="5"/>
  <c r="BS159" i="5" s="1"/>
  <c r="BQ159" i="5"/>
  <c r="BP375" i="5"/>
  <c r="BS375" i="5" s="1"/>
  <c r="BQ375" i="5"/>
  <c r="BQ1135" i="5"/>
  <c r="BP1135" i="5"/>
  <c r="BS1135" i="5" s="1"/>
  <c r="BP200" i="5"/>
  <c r="BS200" i="5" s="1"/>
  <c r="BQ200" i="5"/>
  <c r="BP1046" i="5"/>
  <c r="BS1046" i="5" s="1"/>
  <c r="BQ1046" i="5"/>
  <c r="BP641" i="5"/>
  <c r="BS641" i="5" s="1"/>
  <c r="BQ641" i="5"/>
  <c r="BP659" i="5"/>
  <c r="BS659" i="5" s="1"/>
  <c r="BQ659" i="5"/>
  <c r="BQ1006" i="5"/>
  <c r="BP1006" i="5"/>
  <c r="BS1006" i="5" s="1"/>
  <c r="BQ1276" i="5"/>
  <c r="BP1276" i="5"/>
  <c r="BS1276" i="5" s="1"/>
  <c r="BQ835" i="5"/>
  <c r="BP835" i="5"/>
  <c r="BS835" i="5" s="1"/>
  <c r="BP889" i="5"/>
  <c r="BS889" i="5" s="1"/>
  <c r="BQ889" i="5"/>
  <c r="BQ1146" i="5"/>
  <c r="BP1146" i="5"/>
  <c r="BS1146" i="5" s="1"/>
  <c r="BP1182" i="5"/>
  <c r="BS1182" i="5" s="1"/>
  <c r="BQ1182" i="5"/>
  <c r="BQ118" i="5"/>
  <c r="BP118" i="5"/>
  <c r="BS118" i="5" s="1"/>
  <c r="BP900" i="5"/>
  <c r="BS900" i="5" s="1"/>
  <c r="BQ900" i="5"/>
  <c r="BP24" i="5"/>
  <c r="BS24" i="5" s="1"/>
  <c r="BQ24" i="5"/>
  <c r="BP587" i="5"/>
  <c r="BS587" i="5" s="1"/>
  <c r="BQ587" i="5"/>
  <c r="BP793" i="5"/>
  <c r="BS793" i="5" s="1"/>
  <c r="BQ793" i="5"/>
  <c r="BP1005" i="5"/>
  <c r="BS1005" i="5" s="1"/>
  <c r="BQ1005" i="5"/>
  <c r="BP716" i="5"/>
  <c r="BS716" i="5" s="1"/>
  <c r="BQ716" i="5"/>
  <c r="BP1351" i="5"/>
  <c r="BS1351" i="5" s="1"/>
  <c r="BQ1351" i="5"/>
  <c r="BP1361" i="5"/>
  <c r="BS1361" i="5" s="1"/>
  <c r="BQ1361" i="5"/>
  <c r="BP512" i="5"/>
  <c r="BS512" i="5" s="1"/>
  <c r="BQ512" i="5"/>
  <c r="BP668" i="5"/>
  <c r="BS668" i="5" s="1"/>
  <c r="BQ668" i="5"/>
  <c r="BP484" i="5"/>
  <c r="BS484" i="5" s="1"/>
  <c r="BQ484" i="5"/>
  <c r="BQ1054" i="5"/>
  <c r="BP1054" i="5"/>
  <c r="BS1054" i="5" s="1"/>
  <c r="BP64" i="5"/>
  <c r="BS64" i="5" s="1"/>
  <c r="BQ64" i="5"/>
  <c r="BP914" i="5"/>
  <c r="BS914" i="5" s="1"/>
  <c r="BQ914" i="5"/>
  <c r="BP960" i="5"/>
  <c r="BS960" i="5" s="1"/>
  <c r="BQ960" i="5"/>
  <c r="BP1352" i="5"/>
  <c r="BS1352" i="5" s="1"/>
  <c r="BQ1352" i="5"/>
  <c r="BP879" i="5"/>
  <c r="BS879" i="5" s="1"/>
  <c r="BQ879" i="5"/>
  <c r="BP1402" i="5"/>
  <c r="BS1402" i="5" s="1"/>
  <c r="BQ1402" i="5"/>
  <c r="BQ973" i="5"/>
  <c r="BP973" i="5"/>
  <c r="BS973" i="5" s="1"/>
  <c r="BP48" i="5"/>
  <c r="BS48" i="5" s="1"/>
  <c r="BQ48" i="5"/>
  <c r="BP222" i="5"/>
  <c r="BS222" i="5" s="1"/>
  <c r="BQ222" i="5"/>
  <c r="BP688" i="5"/>
  <c r="BS688" i="5" s="1"/>
  <c r="BQ688" i="5"/>
  <c r="BP726" i="5"/>
  <c r="BS726" i="5" s="1"/>
  <c r="BQ726" i="5"/>
  <c r="BQ509" i="5"/>
  <c r="BP509" i="5"/>
  <c r="BS509" i="5" s="1"/>
  <c r="BP608" i="5"/>
  <c r="BS608" i="5" s="1"/>
  <c r="BQ608" i="5"/>
  <c r="BP1375" i="5"/>
  <c r="BS1375" i="5" s="1"/>
  <c r="BQ1375" i="5"/>
  <c r="BP497" i="5"/>
  <c r="BS497" i="5" s="1"/>
  <c r="BQ497" i="5"/>
  <c r="BP390" i="5"/>
  <c r="BS390" i="5" s="1"/>
  <c r="BQ390" i="5"/>
  <c r="BP939" i="5"/>
  <c r="BS939" i="5" s="1"/>
  <c r="BQ939" i="5"/>
  <c r="BP1358" i="5"/>
  <c r="BS1358" i="5" s="1"/>
  <c r="BQ1358" i="5"/>
  <c r="BP611" i="5"/>
  <c r="BS611" i="5" s="1"/>
  <c r="BQ611" i="5"/>
  <c r="BP313" i="5"/>
  <c r="BS313" i="5" s="1"/>
  <c r="BQ313" i="5"/>
  <c r="BP798" i="5"/>
  <c r="BS798" i="5" s="1"/>
  <c r="BQ798" i="5"/>
  <c r="BP1051" i="5"/>
  <c r="BS1051" i="5" s="1"/>
  <c r="BQ1051" i="5"/>
  <c r="BP1082" i="5"/>
  <c r="BS1082" i="5" s="1"/>
  <c r="BQ1082" i="5"/>
  <c r="BQ1119" i="5"/>
  <c r="BP1119" i="5"/>
  <c r="BS1119" i="5" s="1"/>
  <c r="BP1122" i="5"/>
  <c r="BS1122" i="5" s="1"/>
  <c r="BQ1122" i="5"/>
  <c r="BP215" i="5"/>
  <c r="BS215" i="5" s="1"/>
  <c r="BQ215" i="5"/>
  <c r="BP994" i="5"/>
  <c r="BS994" i="5" s="1"/>
  <c r="BQ994" i="5"/>
  <c r="BP201" i="5"/>
  <c r="BS201" i="5" s="1"/>
  <c r="BQ201" i="5"/>
  <c r="BP407" i="5"/>
  <c r="BS407" i="5" s="1"/>
  <c r="BQ407" i="5"/>
  <c r="BP269" i="5"/>
  <c r="BS269" i="5" s="1"/>
  <c r="BQ269" i="5"/>
  <c r="BP1345" i="5"/>
  <c r="BS1345" i="5" s="1"/>
  <c r="BQ1345" i="5"/>
  <c r="BP1301" i="5"/>
  <c r="BS1301" i="5" s="1"/>
  <c r="BQ1301" i="5"/>
  <c r="BP231" i="5"/>
  <c r="BS231" i="5" s="1"/>
  <c r="BQ231" i="5"/>
  <c r="BQ1037" i="5"/>
  <c r="BP1037" i="5"/>
  <c r="BS1037" i="5" s="1"/>
  <c r="BQ356" i="5"/>
  <c r="BP356" i="5"/>
  <c r="BS356" i="5" s="1"/>
  <c r="BP138" i="5"/>
  <c r="BS138" i="5" s="1"/>
  <c r="BQ138" i="5"/>
  <c r="BP54" i="5"/>
  <c r="BS54" i="5" s="1"/>
  <c r="BQ54" i="5"/>
  <c r="BP1019" i="5"/>
  <c r="BS1019" i="5" s="1"/>
  <c r="BQ1019" i="5"/>
  <c r="BP1154" i="5"/>
  <c r="BS1154" i="5" s="1"/>
  <c r="BQ1154" i="5"/>
  <c r="BQ825" i="5"/>
  <c r="BP825" i="5"/>
  <c r="BS825" i="5" s="1"/>
  <c r="BP703" i="5"/>
  <c r="BS703" i="5" s="1"/>
  <c r="BQ703" i="5"/>
  <c r="BP981" i="5"/>
  <c r="BS981" i="5" s="1"/>
  <c r="BQ981" i="5"/>
  <c r="BP1140" i="5"/>
  <c r="BS1140" i="5" s="1"/>
  <c r="BQ1140" i="5"/>
  <c r="BP707" i="5"/>
  <c r="BS707" i="5" s="1"/>
  <c r="BQ707" i="5"/>
  <c r="BP225" i="5"/>
  <c r="BS225" i="5" s="1"/>
  <c r="BQ225" i="5"/>
  <c r="BP311" i="5"/>
  <c r="BS311" i="5" s="1"/>
  <c r="BQ311" i="5"/>
  <c r="BQ557" i="5"/>
  <c r="BP557" i="5"/>
  <c r="BS557" i="5" s="1"/>
  <c r="BP539" i="5"/>
  <c r="BS539" i="5" s="1"/>
  <c r="BQ539" i="5"/>
  <c r="BP1217" i="5"/>
  <c r="BS1217" i="5" s="1"/>
  <c r="BQ1217" i="5"/>
  <c r="BP1225" i="5"/>
  <c r="BS1225" i="5" s="1"/>
  <c r="BQ1225" i="5"/>
  <c r="BQ34" i="5"/>
  <c r="BP34" i="5"/>
  <c r="BS34" i="5" s="1"/>
  <c r="BP1069" i="5"/>
  <c r="BS1069" i="5" s="1"/>
  <c r="BQ1069" i="5"/>
  <c r="BP404" i="5"/>
  <c r="BS404" i="5" s="1"/>
  <c r="BQ404" i="5"/>
  <c r="BQ351" i="5"/>
  <c r="BP351" i="5"/>
  <c r="BS351" i="5" s="1"/>
  <c r="BQ429" i="5"/>
  <c r="BP429" i="5"/>
  <c r="BS429" i="5" s="1"/>
  <c r="BP987" i="5"/>
  <c r="BS987" i="5" s="1"/>
  <c r="BQ987" i="5"/>
  <c r="BP931" i="5"/>
  <c r="BS931" i="5" s="1"/>
  <c r="BQ931" i="5"/>
  <c r="BP992" i="5"/>
  <c r="BS992" i="5" s="1"/>
  <c r="BQ992" i="5"/>
  <c r="BP1052" i="5"/>
  <c r="BS1052" i="5" s="1"/>
  <c r="BQ1052" i="5"/>
  <c r="BP1103" i="5"/>
  <c r="BS1103" i="5" s="1"/>
  <c r="BQ1103" i="5"/>
  <c r="BQ257" i="5"/>
  <c r="BP257" i="5"/>
  <c r="BS257" i="5" s="1"/>
  <c r="BQ932" i="5"/>
  <c r="BP932" i="5"/>
  <c r="BS932" i="5" s="1"/>
  <c r="BP910" i="5"/>
  <c r="BS910" i="5" s="1"/>
  <c r="BQ910" i="5"/>
  <c r="BP341" i="5"/>
  <c r="BS341" i="5" s="1"/>
  <c r="BQ341" i="5"/>
  <c r="BP1008" i="5"/>
  <c r="BS1008" i="5" s="1"/>
  <c r="BQ1008" i="5"/>
  <c r="BP66" i="5"/>
  <c r="BS66" i="5" s="1"/>
  <c r="BQ66" i="5"/>
  <c r="BQ1147" i="5"/>
  <c r="BP1147" i="5"/>
  <c r="BS1147" i="5" s="1"/>
  <c r="BP802" i="5"/>
  <c r="BS802" i="5" s="1"/>
  <c r="BQ802" i="5"/>
  <c r="BP901" i="5"/>
  <c r="BS901" i="5" s="1"/>
  <c r="BQ901" i="5"/>
  <c r="BP1014" i="5"/>
  <c r="BS1014" i="5" s="1"/>
  <c r="BQ1014" i="5"/>
  <c r="BP77" i="5"/>
  <c r="BS77" i="5" s="1"/>
  <c r="BQ77" i="5"/>
  <c r="BP715" i="5"/>
  <c r="BS715" i="5" s="1"/>
  <c r="BQ715" i="5"/>
  <c r="BP564" i="5"/>
  <c r="BS564" i="5" s="1"/>
  <c r="BQ564" i="5"/>
  <c r="BP1280" i="5"/>
  <c r="BQ1280" i="5"/>
  <c r="BP85" i="5"/>
  <c r="BS85" i="5" s="1"/>
  <c r="BQ85" i="5"/>
  <c r="BP1017" i="5"/>
  <c r="BS1017" i="5" s="1"/>
  <c r="BQ1017" i="5"/>
  <c r="BP422" i="5"/>
  <c r="BS422" i="5" s="1"/>
  <c r="BQ422" i="5"/>
  <c r="BQ857" i="5"/>
  <c r="BP857" i="5"/>
  <c r="BS857" i="5" s="1"/>
  <c r="BP801" i="5"/>
  <c r="BS801" i="5" s="1"/>
  <c r="BQ801" i="5"/>
  <c r="BP681" i="5"/>
  <c r="BS681" i="5" s="1"/>
  <c r="BQ681" i="5"/>
  <c r="BP368" i="5"/>
  <c r="BS368" i="5" s="1"/>
  <c r="BQ368" i="5"/>
  <c r="BP1100" i="5"/>
  <c r="BS1100" i="5" s="1"/>
  <c r="BQ1100" i="5"/>
  <c r="BQ299" i="5"/>
  <c r="BP299" i="5"/>
  <c r="BS299" i="5" s="1"/>
  <c r="BP210" i="5"/>
  <c r="BS210" i="5" s="1"/>
  <c r="BQ210" i="5"/>
  <c r="BP962" i="5"/>
  <c r="BS962" i="5" s="1"/>
  <c r="BQ962" i="5"/>
  <c r="BP421" i="5"/>
  <c r="BS421" i="5" s="1"/>
  <c r="BQ421" i="5"/>
  <c r="BP522" i="5"/>
  <c r="BS522" i="5" s="1"/>
  <c r="BQ522" i="5"/>
  <c r="BP445" i="5"/>
  <c r="BS445" i="5" s="1"/>
  <c r="BQ445" i="5"/>
  <c r="BP677" i="5"/>
  <c r="BS677" i="5" s="1"/>
  <c r="BQ677" i="5"/>
  <c r="BP1022" i="5"/>
  <c r="BS1022" i="5" s="1"/>
  <c r="BQ1022" i="5"/>
  <c r="BP746" i="5"/>
  <c r="BS746" i="5" s="1"/>
  <c r="BQ746" i="5"/>
  <c r="BQ1027" i="5"/>
  <c r="BP1027" i="5"/>
  <c r="BS1027" i="5" s="1"/>
  <c r="BP723" i="5"/>
  <c r="BS723" i="5" s="1"/>
  <c r="BQ723" i="5"/>
  <c r="BP112" i="5"/>
  <c r="BS112" i="5" s="1"/>
  <c r="BQ112" i="5"/>
  <c r="BP1124" i="5"/>
  <c r="BS1124" i="5" s="1"/>
  <c r="BQ1124" i="5"/>
  <c r="BP207" i="5"/>
  <c r="BS207" i="5" s="1"/>
  <c r="BQ207" i="5"/>
  <c r="BQ1337" i="5"/>
  <c r="BP1337" i="5"/>
  <c r="BS1337" i="5" s="1"/>
  <c r="BP503" i="5"/>
  <c r="BS503" i="5" s="1"/>
  <c r="BQ503" i="5"/>
  <c r="BP1097" i="5"/>
  <c r="BS1097" i="5" s="1"/>
  <c r="BQ1097" i="5"/>
  <c r="BP455" i="5"/>
  <c r="BS455" i="5" s="1"/>
  <c r="BQ455" i="5"/>
  <c r="BP998" i="5"/>
  <c r="BS998" i="5" s="1"/>
  <c r="BQ998" i="5"/>
  <c r="BP875" i="5"/>
  <c r="BS875" i="5" s="1"/>
  <c r="BQ875" i="5"/>
  <c r="BQ1137" i="5"/>
  <c r="BP1137" i="5"/>
  <c r="BS1137" i="5" s="1"/>
  <c r="BP315" i="5"/>
  <c r="BS315" i="5" s="1"/>
  <c r="BQ315" i="5"/>
  <c r="BQ160" i="5"/>
  <c r="BP160" i="5"/>
  <c r="BS160" i="5" s="1"/>
  <c r="BP1021" i="5"/>
  <c r="BS1021" i="5" s="1"/>
  <c r="BQ1021" i="5"/>
  <c r="BP196" i="5"/>
  <c r="BS196" i="5" s="1"/>
  <c r="BQ196" i="5"/>
  <c r="BP845" i="5"/>
  <c r="BS845" i="5" s="1"/>
  <c r="BQ845" i="5"/>
  <c r="BP1185" i="5"/>
  <c r="BS1185" i="5" s="1"/>
  <c r="BQ1185" i="5"/>
  <c r="BP928" i="5"/>
  <c r="BS928" i="5" s="1"/>
  <c r="BQ928" i="5"/>
  <c r="BP669" i="5"/>
  <c r="BS669" i="5" s="1"/>
  <c r="BQ669" i="5"/>
  <c r="BP154" i="5"/>
  <c r="BS154" i="5" s="1"/>
  <c r="BQ154" i="5"/>
  <c r="BP135" i="5"/>
  <c r="BS135" i="5" s="1"/>
  <c r="BQ135" i="5"/>
  <c r="BP336" i="5"/>
  <c r="BS336" i="5" s="1"/>
  <c r="BQ336" i="5"/>
  <c r="BP673" i="5"/>
  <c r="BS673" i="5" s="1"/>
  <c r="BQ673" i="5"/>
  <c r="BQ1159" i="5"/>
  <c r="BP1159" i="5"/>
  <c r="BS1159" i="5" s="1"/>
  <c r="BQ250" i="5"/>
  <c r="BP250" i="5"/>
  <c r="BS250" i="5" s="1"/>
  <c r="BP168" i="5"/>
  <c r="BS168" i="5" s="1"/>
  <c r="BQ168" i="5"/>
  <c r="BQ1253" i="5"/>
  <c r="BP1253" i="5"/>
  <c r="BS1253" i="5" s="1"/>
  <c r="BP470" i="5"/>
  <c r="BS470" i="5" s="1"/>
  <c r="BQ470" i="5"/>
  <c r="BP530" i="5"/>
  <c r="BS530" i="5" s="1"/>
  <c r="BQ530" i="5"/>
  <c r="BP1187" i="5"/>
  <c r="BS1187" i="5" s="1"/>
  <c r="BQ1187" i="5"/>
  <c r="BP871" i="5"/>
  <c r="BS871" i="5" s="1"/>
  <c r="BQ871" i="5"/>
  <c r="BP1238" i="5"/>
  <c r="BS1238" i="5" s="1"/>
  <c r="BQ1238" i="5"/>
  <c r="BP1309" i="5"/>
  <c r="BS1309" i="5" s="1"/>
  <c r="BQ1309" i="5"/>
  <c r="BP1300" i="5"/>
  <c r="BS1300" i="5" s="1"/>
  <c r="BQ1300" i="5"/>
  <c r="BP1368" i="5"/>
  <c r="BS1368" i="5" s="1"/>
  <c r="BQ1368" i="5"/>
  <c r="BQ62" i="5"/>
  <c r="BP62" i="5"/>
  <c r="BS62" i="5" s="1"/>
  <c r="BP187" i="5"/>
  <c r="BS187" i="5" s="1"/>
  <c r="BQ187" i="5"/>
  <c r="BQ254" i="5"/>
  <c r="BP254" i="5"/>
  <c r="BS254" i="5" s="1"/>
  <c r="BP249" i="5"/>
  <c r="BS249" i="5" s="1"/>
  <c r="BQ249" i="5"/>
  <c r="BP442" i="5"/>
  <c r="BS442" i="5" s="1"/>
  <c r="BQ442" i="5"/>
  <c r="BQ838" i="5"/>
  <c r="BP838" i="5"/>
  <c r="BS838" i="5" s="1"/>
  <c r="BQ747" i="5"/>
  <c r="BP747" i="5"/>
  <c r="BS747" i="5" s="1"/>
  <c r="BP975" i="5"/>
  <c r="BS975" i="5" s="1"/>
  <c r="BQ975" i="5"/>
  <c r="BP762" i="5"/>
  <c r="BS762" i="5" s="1"/>
  <c r="BQ762" i="5"/>
  <c r="BQ487" i="5"/>
  <c r="BP487" i="5"/>
  <c r="BS487" i="5" s="1"/>
  <c r="BP858" i="5"/>
  <c r="BS858" i="5" s="1"/>
  <c r="BQ858" i="5"/>
  <c r="BQ1066" i="5"/>
  <c r="BP1066" i="5"/>
  <c r="BS1066" i="5" s="1"/>
  <c r="BP1211" i="5"/>
  <c r="BS1211" i="5" s="1"/>
  <c r="BQ1211" i="5"/>
  <c r="BP579" i="5"/>
  <c r="BS579" i="5" s="1"/>
  <c r="BQ579" i="5"/>
  <c r="BQ893" i="5"/>
  <c r="BP893" i="5"/>
  <c r="BS893" i="5" s="1"/>
  <c r="BP144" i="5"/>
  <c r="BS144" i="5" s="1"/>
  <c r="BQ144" i="5"/>
  <c r="BQ953" i="5"/>
  <c r="BP953" i="5"/>
  <c r="BS953" i="5" s="1"/>
  <c r="BQ940" i="5"/>
  <c r="BP940" i="5"/>
  <c r="BS940" i="5" s="1"/>
  <c r="BP571" i="5"/>
  <c r="BS571" i="5" s="1"/>
  <c r="BQ571" i="5"/>
  <c r="BP319" i="5"/>
  <c r="BS319" i="5" s="1"/>
  <c r="BQ319" i="5"/>
  <c r="BQ1335" i="5"/>
  <c r="BP1335" i="5"/>
  <c r="BS1335" i="5" s="1"/>
  <c r="BP267" i="5"/>
  <c r="BS267" i="5" s="1"/>
  <c r="BQ267" i="5"/>
  <c r="BQ1348" i="5"/>
  <c r="BP1348" i="5"/>
  <c r="BS1348" i="5" s="1"/>
  <c r="BP830" i="5"/>
  <c r="BS830" i="5" s="1"/>
  <c r="BQ830" i="5"/>
  <c r="BP705" i="5"/>
  <c r="BS705" i="5" s="1"/>
  <c r="BQ705" i="5"/>
  <c r="BP1039" i="5"/>
  <c r="BS1039" i="5" s="1"/>
  <c r="BQ1039" i="5"/>
  <c r="BP721" i="5"/>
  <c r="BS721" i="5" s="1"/>
  <c r="BQ721" i="5"/>
  <c r="BP132" i="5"/>
  <c r="BS132" i="5" s="1"/>
  <c r="BQ132" i="5"/>
  <c r="BQ626" i="5"/>
  <c r="BP626" i="5"/>
  <c r="BS626" i="5" s="1"/>
  <c r="BP191" i="5"/>
  <c r="BS191" i="5" s="1"/>
  <c r="BQ191" i="5"/>
  <c r="BP1025" i="5"/>
  <c r="BS1025" i="5" s="1"/>
  <c r="BQ1025" i="5"/>
  <c r="BP886" i="5"/>
  <c r="BS886" i="5" s="1"/>
  <c r="BQ886" i="5"/>
  <c r="BP732" i="5"/>
  <c r="BS732" i="5" s="1"/>
  <c r="BQ732" i="5"/>
  <c r="BP881" i="5"/>
  <c r="BS881" i="5" s="1"/>
  <c r="BQ881" i="5"/>
  <c r="BP471" i="5"/>
  <c r="BS471" i="5" s="1"/>
  <c r="BQ471" i="5"/>
  <c r="BQ164" i="5"/>
  <c r="BP164" i="5"/>
  <c r="BS164" i="5" s="1"/>
  <c r="BP91" i="5"/>
  <c r="BS91" i="5" s="1"/>
  <c r="BQ91" i="5"/>
  <c r="BP186" i="5"/>
  <c r="BS186" i="5" s="1"/>
  <c r="BQ186" i="5"/>
  <c r="BP457" i="5"/>
  <c r="BS457" i="5" s="1"/>
  <c r="BQ457" i="5"/>
  <c r="BP1350" i="5"/>
  <c r="BS1350" i="5" s="1"/>
  <c r="BQ1350" i="5"/>
  <c r="BP143" i="5"/>
  <c r="BS143" i="5" s="1"/>
  <c r="BQ143" i="5"/>
  <c r="BP912" i="5"/>
  <c r="BS912" i="5" s="1"/>
  <c r="BQ912" i="5"/>
  <c r="BP245" i="5"/>
  <c r="BS245" i="5" s="1"/>
  <c r="BQ245" i="5"/>
  <c r="BQ277" i="5"/>
  <c r="BP277" i="5"/>
  <c r="BS277" i="5" s="1"/>
  <c r="BP345" i="5"/>
  <c r="BS345" i="5" s="1"/>
  <c r="BQ345" i="5"/>
  <c r="BP51" i="5"/>
  <c r="BS51" i="5" s="1"/>
  <c r="BQ51" i="5"/>
  <c r="BP666" i="5"/>
  <c r="BS666" i="5" s="1"/>
  <c r="BQ666" i="5"/>
  <c r="BP1298" i="5"/>
  <c r="BS1298" i="5" s="1"/>
  <c r="BQ1298" i="5"/>
  <c r="BP242" i="5"/>
  <c r="BS242" i="5" s="1"/>
  <c r="BQ242" i="5"/>
  <c r="BP418" i="5"/>
  <c r="BS418" i="5" s="1"/>
  <c r="BQ418" i="5"/>
  <c r="BP555" i="5"/>
  <c r="BS555" i="5" s="1"/>
  <c r="BQ555" i="5"/>
  <c r="BP79" i="5"/>
  <c r="BS79" i="5" s="1"/>
  <c r="BQ79" i="5"/>
  <c r="BQ286" i="5"/>
  <c r="BP286" i="5"/>
  <c r="BS286" i="5" s="1"/>
  <c r="BP1059" i="5"/>
  <c r="BP1308" i="5"/>
  <c r="BS1308" i="5" s="1"/>
  <c r="BQ1308" i="5"/>
  <c r="BP720" i="5"/>
  <c r="BS720" i="5" s="1"/>
  <c r="BQ720" i="5"/>
  <c r="BP1231" i="5"/>
  <c r="BS1231" i="5" s="1"/>
  <c r="BQ1231" i="5"/>
  <c r="BP911" i="5"/>
  <c r="BS911" i="5" s="1"/>
  <c r="BQ911" i="5"/>
  <c r="BP1168" i="5"/>
  <c r="BS1168" i="5" s="1"/>
  <c r="BQ1168" i="5"/>
  <c r="BQ877" i="5"/>
  <c r="BP877" i="5"/>
  <c r="BS877" i="5" s="1"/>
  <c r="BP237" i="5"/>
  <c r="BS237" i="5" s="1"/>
  <c r="BQ237" i="5"/>
  <c r="BP815" i="5"/>
  <c r="BS815" i="5" s="1"/>
  <c r="BQ815" i="5"/>
  <c r="BP751" i="5"/>
  <c r="BS751" i="5" s="1"/>
  <c r="BQ751" i="5"/>
  <c r="BP46" i="5"/>
  <c r="BS46" i="5" s="1"/>
  <c r="BQ46" i="5"/>
  <c r="BP660" i="5"/>
  <c r="BS660" i="5" s="1"/>
  <c r="BQ660" i="5"/>
  <c r="BP1167" i="5"/>
  <c r="BS1167" i="5" s="1"/>
  <c r="BQ1167" i="5"/>
  <c r="BQ1165" i="5"/>
  <c r="BP1165" i="5"/>
  <c r="BS1165" i="5" s="1"/>
  <c r="BQ1373" i="5"/>
  <c r="BP1373" i="5"/>
  <c r="BS1373" i="5" s="1"/>
  <c r="BP27" i="5"/>
  <c r="BS27" i="5" s="1"/>
  <c r="BQ27" i="5"/>
  <c r="BP1290" i="5"/>
  <c r="BS1290" i="5" s="1"/>
  <c r="BQ1290" i="5"/>
  <c r="BQ409" i="5"/>
  <c r="BP409" i="5"/>
  <c r="BS409" i="5" s="1"/>
  <c r="BP1031" i="5"/>
  <c r="BS1031" i="5" s="1"/>
  <c r="BQ1031" i="5"/>
  <c r="BP60" i="5"/>
  <c r="BS60" i="5" s="1"/>
  <c r="BQ60" i="5"/>
  <c r="BP1230" i="5"/>
  <c r="BS1230" i="5" s="1"/>
  <c r="BQ1230" i="5"/>
  <c r="BQ23" i="5"/>
  <c r="BP23" i="5"/>
  <c r="BS23" i="5" s="1"/>
  <c r="BP264" i="5"/>
  <c r="BS264" i="5" s="1"/>
  <c r="BQ264" i="5"/>
  <c r="BP1322" i="5"/>
  <c r="BS1322" i="5" s="1"/>
  <c r="BQ1322" i="5"/>
  <c r="BQ1155" i="5"/>
  <c r="BP1155" i="5"/>
  <c r="BS1155" i="5" s="1"/>
  <c r="BP1045" i="5"/>
  <c r="BS1045" i="5" s="1"/>
  <c r="BQ1045" i="5"/>
  <c r="BP98" i="5"/>
  <c r="BS98" i="5" s="1"/>
  <c r="BQ98" i="5"/>
  <c r="BP704" i="5"/>
  <c r="BS704" i="5" s="1"/>
  <c r="BQ704" i="5"/>
  <c r="BP1062" i="5"/>
  <c r="BS1062" i="5" s="1"/>
  <c r="BQ1062" i="5"/>
  <c r="BP1240" i="5"/>
  <c r="BS1240" i="5" s="1"/>
  <c r="BQ1240" i="5"/>
  <c r="BP995" i="5"/>
  <c r="BS995" i="5" s="1"/>
  <c r="BQ995" i="5"/>
  <c r="BP1262" i="5"/>
  <c r="BS1262" i="5" s="1"/>
  <c r="BQ1262" i="5"/>
  <c r="BP1287" i="5"/>
  <c r="BS1287" i="5" s="1"/>
  <c r="BQ1287" i="5"/>
  <c r="BP1250" i="5"/>
  <c r="BS1250" i="5" s="1"/>
  <c r="BQ1250" i="5"/>
  <c r="BP648" i="5"/>
  <c r="BS648" i="5" s="1"/>
  <c r="BQ648" i="5"/>
  <c r="BP1278" i="5"/>
  <c r="BS1278" i="5" s="1"/>
  <c r="BQ1278" i="5"/>
  <c r="BQ618" i="5"/>
  <c r="BP618" i="5"/>
  <c r="BS618" i="5" s="1"/>
  <c r="BP115" i="5"/>
  <c r="BS115" i="5" s="1"/>
  <c r="BQ115" i="5"/>
  <c r="BP1390" i="5"/>
  <c r="BQ1390" i="5"/>
  <c r="BP559" i="5"/>
  <c r="BS559" i="5" s="1"/>
  <c r="BQ559" i="5"/>
  <c r="BQ131" i="5"/>
  <c r="BP131" i="5"/>
  <c r="BS131" i="5" s="1"/>
  <c r="BP1286" i="5"/>
  <c r="BS1286" i="5" s="1"/>
  <c r="BQ1286" i="5"/>
  <c r="BQ909" i="5"/>
  <c r="BP909" i="5"/>
  <c r="BS909" i="5" s="1"/>
  <c r="BQ860" i="5"/>
  <c r="BP860" i="5"/>
  <c r="BS860" i="5" s="1"/>
  <c r="BP624" i="5"/>
  <c r="BS624" i="5" s="1"/>
  <c r="BQ624" i="5"/>
  <c r="BP316" i="5"/>
  <c r="BS316" i="5" s="1"/>
  <c r="BQ316" i="5"/>
  <c r="BP763" i="5"/>
  <c r="BS763" i="5" s="1"/>
  <c r="BQ763" i="5"/>
  <c r="BP1145" i="5"/>
  <c r="BS1145" i="5" s="1"/>
  <c r="BQ1145" i="5"/>
  <c r="BP775" i="5"/>
  <c r="BS775" i="5" s="1"/>
  <c r="BQ775" i="5"/>
  <c r="BP506" i="5"/>
  <c r="BS506" i="5" s="1"/>
  <c r="BQ506" i="5"/>
  <c r="BP913" i="5"/>
  <c r="BS913" i="5" s="1"/>
  <c r="BQ913" i="5"/>
  <c r="BP831" i="5"/>
  <c r="BS831" i="5" s="1"/>
  <c r="BQ831" i="5"/>
  <c r="BP971" i="5"/>
  <c r="BS971" i="5" s="1"/>
  <c r="BQ971" i="5"/>
  <c r="BP1268" i="5"/>
  <c r="BS1268" i="5" s="1"/>
  <c r="BQ1268" i="5"/>
  <c r="BQ1294" i="5"/>
  <c r="BP1294" i="5"/>
  <c r="BS1294" i="5" s="1"/>
  <c r="BP14" i="5"/>
  <c r="BS14" i="5" s="1"/>
  <c r="BQ14" i="5"/>
  <c r="BP993" i="5"/>
  <c r="BS993" i="5" s="1"/>
  <c r="BQ993" i="5"/>
  <c r="BQ1338" i="5"/>
  <c r="BP1338" i="5"/>
  <c r="BS1338" i="5" s="1"/>
  <c r="BP171" i="5"/>
  <c r="BS171" i="5" s="1"/>
  <c r="BQ171" i="5"/>
  <c r="BP338" i="5"/>
  <c r="BS338" i="5" s="1"/>
  <c r="BQ338" i="5"/>
  <c r="BQ1075" i="5"/>
  <c r="BP1075" i="5"/>
  <c r="BS1075" i="5" s="1"/>
  <c r="BP2" i="5"/>
  <c r="BQ2" i="5"/>
  <c r="BP1329" i="5"/>
  <c r="BS1329" i="5" s="1"/>
  <c r="BQ1329" i="5"/>
  <c r="BP1127" i="5"/>
  <c r="BS1127" i="5" s="1"/>
  <c r="BQ1127" i="5"/>
  <c r="BQ848" i="5"/>
  <c r="BP848" i="5"/>
  <c r="BS848" i="5" s="1"/>
  <c r="BP401" i="5"/>
  <c r="BS401" i="5" s="1"/>
  <c r="BQ401" i="5"/>
  <c r="BP381" i="5"/>
  <c r="BS381" i="5" s="1"/>
  <c r="BQ381" i="5"/>
  <c r="BQ152" i="5"/>
  <c r="BP152" i="5"/>
  <c r="BS152" i="5" s="1"/>
  <c r="BP501" i="5"/>
  <c r="BS501" i="5" s="1"/>
  <c r="BQ501" i="5"/>
  <c r="BQ1275" i="5"/>
  <c r="BP1275" i="5"/>
  <c r="BS1275" i="5" s="1"/>
  <c r="BP1342" i="5"/>
  <c r="BS1342" i="5" s="1"/>
  <c r="BQ1342" i="5"/>
  <c r="BP1296" i="5"/>
  <c r="BS1296" i="5" s="1"/>
  <c r="BQ1296" i="5"/>
  <c r="BP662" i="5"/>
  <c r="BS662" i="5" s="1"/>
  <c r="BQ662" i="5"/>
  <c r="BP1089" i="5"/>
  <c r="BS1089" i="5" s="1"/>
  <c r="BQ1089" i="5"/>
  <c r="BP855" i="5"/>
  <c r="BS855" i="5" s="1"/>
  <c r="BQ855" i="5"/>
  <c r="BQ30" i="5"/>
  <c r="BP30" i="5"/>
  <c r="BS30" i="5" s="1"/>
  <c r="BP821" i="5"/>
  <c r="BS821" i="5" s="1"/>
  <c r="BQ821" i="5"/>
  <c r="BP58" i="5"/>
  <c r="BS58" i="5" s="1"/>
  <c r="BQ58" i="5"/>
  <c r="BP986" i="5"/>
  <c r="BS986" i="5" s="1"/>
  <c r="BQ986" i="5"/>
  <c r="BP655" i="5"/>
  <c r="BS655" i="5" s="1"/>
  <c r="BQ655" i="5"/>
  <c r="BQ546" i="5"/>
  <c r="BP546" i="5"/>
  <c r="BS546" i="5" s="1"/>
  <c r="BQ1050" i="5"/>
  <c r="BP1050" i="5"/>
  <c r="BS1050" i="5" s="1"/>
  <c r="BP661" i="5"/>
  <c r="BS661" i="5" s="1"/>
  <c r="BQ661" i="5"/>
  <c r="BQ412" i="5"/>
  <c r="BP412" i="5"/>
  <c r="BS412" i="5" s="1"/>
  <c r="BP552" i="5"/>
  <c r="BS552" i="5" s="1"/>
  <c r="BQ552" i="5"/>
  <c r="BQ789" i="5"/>
  <c r="BP789" i="5"/>
  <c r="BS789" i="5" s="1"/>
  <c r="BP533" i="5"/>
  <c r="BS533" i="5" s="1"/>
  <c r="BQ533" i="5"/>
  <c r="BP570" i="5"/>
  <c r="BS570" i="5" s="1"/>
  <c r="BQ570" i="5"/>
  <c r="BP1121" i="5"/>
  <c r="BS1121" i="5" s="1"/>
  <c r="BQ1121" i="5"/>
  <c r="BP474" i="5"/>
  <c r="BS474" i="5" s="1"/>
  <c r="BQ474" i="5"/>
  <c r="BQ779" i="5"/>
  <c r="BP779" i="5"/>
  <c r="BS779" i="5" s="1"/>
  <c r="BP947" i="5"/>
  <c r="BS947" i="5" s="1"/>
  <c r="BQ947" i="5"/>
  <c r="BP671" i="5"/>
  <c r="BS671" i="5" s="1"/>
  <c r="BQ671" i="5"/>
  <c r="BP1259" i="5"/>
  <c r="BS1259" i="5" s="1"/>
  <c r="BQ1259" i="5"/>
  <c r="BP411" i="5"/>
  <c r="BS411" i="5" s="1"/>
  <c r="BQ411" i="5"/>
  <c r="BP93" i="5"/>
  <c r="BS93" i="5" s="1"/>
  <c r="BQ93" i="5"/>
  <c r="BP1204" i="5"/>
  <c r="BS1204" i="5" s="1"/>
  <c r="BQ1204" i="5"/>
  <c r="BP365" i="5"/>
  <c r="BS365" i="5" s="1"/>
  <c r="BQ365" i="5"/>
  <c r="BQ876" i="5"/>
  <c r="BP876" i="5"/>
  <c r="BS876" i="5" s="1"/>
  <c r="BP314" i="5"/>
  <c r="BS314" i="5" s="1"/>
  <c r="BQ314" i="5"/>
  <c r="BP1393" i="5"/>
  <c r="BS1393" i="5" s="1"/>
  <c r="BQ1393" i="5"/>
  <c r="BP752" i="5"/>
  <c r="BS752" i="5" s="1"/>
  <c r="BQ752" i="5"/>
  <c r="BP1234" i="5"/>
  <c r="BS1234" i="5" s="1"/>
  <c r="BQ1234" i="5"/>
  <c r="BP591" i="5"/>
  <c r="BS591" i="5" s="1"/>
  <c r="BQ591" i="5"/>
  <c r="BP1327" i="5"/>
  <c r="BS1327" i="5" s="1"/>
  <c r="BQ1327" i="5"/>
  <c r="BP301" i="5"/>
  <c r="BS301" i="5" s="1"/>
  <c r="BQ301" i="5"/>
  <c r="BP310" i="5"/>
  <c r="BS310" i="5" s="1"/>
  <c r="BQ310" i="5"/>
  <c r="BQ612" i="5"/>
  <c r="BP612" i="5"/>
  <c r="BS612" i="5" s="1"/>
  <c r="BP447" i="5"/>
  <c r="BS447" i="5" s="1"/>
  <c r="BQ447" i="5"/>
  <c r="BP385" i="5"/>
  <c r="BS385" i="5" s="1"/>
  <c r="BQ385" i="5"/>
  <c r="BQ840" i="5"/>
  <c r="BP840" i="5"/>
  <c r="BS840" i="5" s="1"/>
  <c r="BP74" i="5"/>
  <c r="BS74" i="5" s="1"/>
  <c r="BQ74" i="5"/>
  <c r="BP689" i="5"/>
  <c r="BS689" i="5" s="1"/>
  <c r="BQ689" i="5"/>
  <c r="BP366" i="5"/>
  <c r="BS366" i="5" s="1"/>
  <c r="BQ366" i="5"/>
  <c r="BP554" i="5"/>
  <c r="BS554" i="5" s="1"/>
  <c r="BQ554" i="5"/>
  <c r="BQ737" i="5"/>
  <c r="BP737" i="5"/>
  <c r="BS737" i="5" s="1"/>
  <c r="BP443" i="5"/>
  <c r="BS443" i="5" s="1"/>
  <c r="BQ443" i="5"/>
  <c r="BP163" i="5"/>
  <c r="BS163" i="5" s="1"/>
  <c r="BQ163" i="5"/>
  <c r="BP1241" i="5"/>
  <c r="BS1241" i="5" s="1"/>
  <c r="BQ1241" i="5"/>
  <c r="BQ352" i="5"/>
  <c r="BP352" i="5"/>
  <c r="BS352" i="5" s="1"/>
  <c r="BP827" i="5"/>
  <c r="BS827" i="5" s="1"/>
  <c r="BQ827" i="5"/>
  <c r="BP921" i="5"/>
  <c r="BS921" i="5" s="1"/>
  <c r="BQ921" i="5"/>
  <c r="BP122" i="5"/>
  <c r="BS122" i="5" s="1"/>
  <c r="BQ122" i="5"/>
  <c r="BP1061" i="5"/>
  <c r="BS1061" i="5" s="1"/>
  <c r="BQ1061" i="5"/>
  <c r="BQ441" i="5"/>
  <c r="BP441" i="5"/>
  <c r="BS441" i="5" s="1"/>
  <c r="BQ725" i="5"/>
  <c r="BP725" i="5"/>
  <c r="BS725" i="5" s="1"/>
  <c r="BP674" i="5"/>
  <c r="BS674" i="5" s="1"/>
  <c r="BQ674" i="5"/>
  <c r="BP574" i="5"/>
  <c r="BS574" i="5" s="1"/>
  <c r="BQ574" i="5"/>
  <c r="BP403" i="5"/>
  <c r="BS403" i="5" s="1"/>
  <c r="BQ403" i="5"/>
  <c r="BP1081" i="5"/>
  <c r="BS1081" i="5" s="1"/>
  <c r="BQ1081" i="5"/>
  <c r="BP670" i="5"/>
  <c r="BS670" i="5" s="1"/>
  <c r="BQ670" i="5"/>
  <c r="BQ895" i="5"/>
  <c r="BP895" i="5"/>
  <c r="BS895" i="5" s="1"/>
  <c r="BP1105" i="5"/>
  <c r="BS1105" i="5" s="1"/>
  <c r="BQ1105" i="5"/>
  <c r="BP1029" i="5"/>
  <c r="BS1029" i="5" s="1"/>
  <c r="BQ1029" i="5"/>
  <c r="BP417" i="5"/>
  <c r="BS417" i="5" s="1"/>
  <c r="BQ417" i="5"/>
  <c r="BP460" i="5"/>
  <c r="BS460" i="5" s="1"/>
  <c r="BQ460" i="5"/>
  <c r="BP541" i="5"/>
  <c r="BS541" i="5" s="1"/>
  <c r="BQ541" i="5"/>
  <c r="BP1374" i="5"/>
  <c r="BS1374" i="5" s="1"/>
  <c r="BQ1374" i="5"/>
  <c r="BP355" i="5"/>
  <c r="BS355" i="5" s="1"/>
  <c r="BQ355" i="5"/>
  <c r="BP1020" i="5"/>
  <c r="BS1020" i="5" s="1"/>
  <c r="BQ1020" i="5"/>
  <c r="BP1010" i="5"/>
  <c r="BS1010" i="5" s="1"/>
  <c r="BQ1010" i="5"/>
  <c r="BQ216" i="5"/>
  <c r="BP216" i="5"/>
  <c r="BS216" i="5" s="1"/>
  <c r="BQ1180" i="5"/>
  <c r="BP1180" i="5"/>
  <c r="BS1180" i="5" s="1"/>
  <c r="BP1269" i="5"/>
  <c r="BS1269" i="5" s="1"/>
  <c r="BQ1269" i="5"/>
  <c r="BP1158" i="5"/>
  <c r="BS1158" i="5" s="1"/>
  <c r="BQ1158" i="5"/>
  <c r="BP1386" i="5"/>
  <c r="BS1386" i="5" s="1"/>
  <c r="BQ1386" i="5"/>
  <c r="BQ1288" i="5"/>
  <c r="BP1288" i="5"/>
  <c r="BS1288" i="5" s="1"/>
  <c r="BP87" i="5"/>
  <c r="BS87" i="5" s="1"/>
  <c r="BQ87" i="5"/>
  <c r="BP739" i="5"/>
  <c r="BS739" i="5" s="1"/>
  <c r="BQ739" i="5"/>
  <c r="BP398" i="5"/>
  <c r="BS398" i="5" s="1"/>
  <c r="BQ398" i="5"/>
  <c r="BP463" i="5"/>
  <c r="BS463" i="5" s="1"/>
  <c r="BQ463" i="5"/>
  <c r="BQ584" i="5"/>
  <c r="BP584" i="5"/>
  <c r="BS584" i="5" s="1"/>
  <c r="BQ156" i="5"/>
  <c r="BP156" i="5"/>
  <c r="BS156" i="5" s="1"/>
  <c r="BP495" i="5"/>
  <c r="BS495" i="5" s="1"/>
  <c r="BQ495" i="5"/>
  <c r="BP769" i="5"/>
  <c r="BS769" i="5" s="1"/>
  <c r="BQ769" i="5"/>
  <c r="BP1001" i="5"/>
  <c r="BS1001" i="5" s="1"/>
  <c r="BQ1001" i="5"/>
  <c r="BP226" i="5"/>
  <c r="BS226" i="5" s="1"/>
  <c r="BQ226" i="5"/>
  <c r="BP1134" i="5"/>
  <c r="BS1134" i="5" s="1"/>
  <c r="BQ1134" i="5"/>
  <c r="BP536" i="5"/>
  <c r="BS536" i="5" s="1"/>
  <c r="BQ536" i="5"/>
  <c r="BP386" i="5"/>
  <c r="BS386" i="5" s="1"/>
  <c r="BQ386" i="5"/>
  <c r="BP255" i="5"/>
  <c r="BS255" i="5" s="1"/>
  <c r="BQ255" i="5"/>
  <c r="BQ1143" i="5"/>
  <c r="BP1143" i="5"/>
  <c r="BS1143" i="5" s="1"/>
  <c r="BP1349" i="5"/>
  <c r="BS1349" i="5" s="1"/>
  <c r="BQ1349" i="5"/>
  <c r="BP837" i="5"/>
  <c r="BS837" i="5" s="1"/>
  <c r="BQ837" i="5"/>
  <c r="BP957" i="5"/>
  <c r="BS957" i="5" s="1"/>
  <c r="BQ957" i="5"/>
  <c r="BQ863" i="5"/>
  <c r="BP863" i="5"/>
  <c r="BS863" i="5" s="1"/>
  <c r="BP431" i="5"/>
  <c r="BS431" i="5" s="1"/>
  <c r="BQ431" i="5"/>
  <c r="BP480" i="5"/>
  <c r="BS480" i="5" s="1"/>
  <c r="BQ480" i="5"/>
  <c r="BQ467" i="5"/>
  <c r="BP467" i="5"/>
  <c r="BS467" i="5" s="1"/>
  <c r="BQ1366" i="5"/>
  <c r="BP1366" i="5"/>
  <c r="BS1366" i="5" s="1"/>
  <c r="BP1403" i="5"/>
  <c r="BS1403" i="5" s="1"/>
  <c r="BQ1403" i="5"/>
  <c r="BQ221" i="5"/>
  <c r="BP221" i="5"/>
  <c r="BS221" i="5" s="1"/>
  <c r="BP1254" i="5"/>
  <c r="BS1254" i="5" s="1"/>
  <c r="BQ1254" i="5"/>
  <c r="BP80" i="5"/>
  <c r="BS80" i="5" s="1"/>
  <c r="BQ80" i="5"/>
  <c r="BP1246" i="5"/>
  <c r="BS1246" i="5" s="1"/>
  <c r="BQ1246" i="5"/>
  <c r="BP525" i="5"/>
  <c r="BS525" i="5" s="1"/>
  <c r="BQ525" i="5"/>
  <c r="BP1208" i="5"/>
  <c r="BS1208" i="5" s="1"/>
  <c r="BQ1208" i="5"/>
  <c r="BP1071" i="5"/>
  <c r="BS1071" i="5" s="1"/>
  <c r="BQ1071" i="5"/>
  <c r="BP1283" i="5"/>
  <c r="BS1283" i="5" s="1"/>
  <c r="BQ1283" i="5"/>
  <c r="BP1188" i="5"/>
  <c r="BS1188" i="5" s="1"/>
  <c r="BQ1188" i="5"/>
  <c r="BP902" i="5"/>
  <c r="BS902" i="5" s="1"/>
  <c r="BQ902" i="5"/>
  <c r="BQ1041" i="5"/>
  <c r="BP1041" i="5"/>
  <c r="BS1041" i="5" s="1"/>
  <c r="BP534" i="5"/>
  <c r="BS534" i="5" s="1"/>
  <c r="BQ534" i="5"/>
  <c r="BP101" i="5"/>
  <c r="BS101" i="5" s="1"/>
  <c r="BQ101" i="5"/>
  <c r="BP1347" i="5"/>
  <c r="BS1347" i="5" s="1"/>
  <c r="BQ1347" i="5"/>
  <c r="BP952" i="5"/>
  <c r="BS952" i="5" s="1"/>
  <c r="BQ952" i="5"/>
  <c r="BQ1004" i="5"/>
  <c r="BP1004" i="5"/>
  <c r="BS1004" i="5" s="1"/>
  <c r="BP1126" i="5"/>
  <c r="BS1126" i="5" s="1"/>
  <c r="BQ1126" i="5"/>
  <c r="BQ773" i="5"/>
  <c r="BP773" i="5"/>
  <c r="BS773" i="5" s="1"/>
  <c r="BP967" i="5"/>
  <c r="BS967" i="5" s="1"/>
  <c r="BQ967" i="5"/>
  <c r="BP754" i="5"/>
  <c r="BS754" i="5" s="1"/>
  <c r="BQ754" i="5"/>
  <c r="BP45" i="5"/>
  <c r="BS45" i="5" s="1"/>
  <c r="BQ45" i="5"/>
  <c r="BQ1173" i="5"/>
  <c r="BP1173" i="5"/>
  <c r="BS1173" i="5" s="1"/>
  <c r="BP543" i="5"/>
  <c r="BS543" i="5" s="1"/>
  <c r="BQ543" i="5"/>
  <c r="BP1000" i="5"/>
  <c r="BS1000" i="5" s="1"/>
  <c r="BQ1000" i="5"/>
  <c r="BQ768" i="5"/>
  <c r="BP768" i="5"/>
  <c r="BS768" i="5" s="1"/>
  <c r="BP796" i="5"/>
  <c r="BS796" i="5" s="1"/>
  <c r="BQ796" i="5"/>
  <c r="BQ248" i="5"/>
  <c r="BP248" i="5"/>
  <c r="BS248" i="5" s="1"/>
  <c r="BP925" i="5"/>
  <c r="BS925" i="5" s="1"/>
  <c r="BQ925" i="5"/>
  <c r="BP86" i="5"/>
  <c r="BS86" i="5" s="1"/>
  <c r="BQ86" i="5"/>
  <c r="BQ847" i="5"/>
  <c r="BP847" i="5"/>
  <c r="BS847" i="5" s="1"/>
  <c r="BP535" i="5"/>
  <c r="BS535" i="5" s="1"/>
  <c r="BQ535" i="5"/>
  <c r="BQ1270" i="5"/>
  <c r="BP1270" i="5"/>
  <c r="BS1270" i="5" s="1"/>
  <c r="BP498" i="5"/>
  <c r="BS498" i="5" s="1"/>
  <c r="BQ498" i="5"/>
  <c r="BP908" i="5"/>
  <c r="BS908" i="5" s="1"/>
  <c r="BQ908" i="5"/>
  <c r="BP363" i="5"/>
  <c r="BS363" i="5" s="1"/>
  <c r="BQ363" i="5"/>
  <c r="BP1101" i="5"/>
  <c r="BS1101" i="5" s="1"/>
  <c r="BQ1101" i="5"/>
  <c r="BP776" i="5"/>
  <c r="BS776" i="5" s="1"/>
  <c r="BQ776" i="5"/>
  <c r="BP491" i="5"/>
  <c r="BS491" i="5" s="1"/>
  <c r="BQ491" i="5"/>
  <c r="BP542" i="5"/>
  <c r="BS542" i="5" s="1"/>
  <c r="BQ542" i="5"/>
  <c r="BQ844" i="5"/>
  <c r="BP844" i="5"/>
  <c r="BS844" i="5" s="1"/>
  <c r="BQ370" i="5"/>
  <c r="BP370" i="5"/>
  <c r="BS370" i="5" s="1"/>
  <c r="BP1083" i="5"/>
  <c r="BS1083" i="5" s="1"/>
  <c r="BQ1083" i="5"/>
  <c r="BP964" i="5"/>
  <c r="BS964" i="5" s="1"/>
  <c r="BQ964" i="5"/>
  <c r="BQ1156" i="5"/>
  <c r="BP1156" i="5"/>
  <c r="BS1156" i="5" s="1"/>
  <c r="BQ1057" i="5"/>
  <c r="BP1057" i="5"/>
  <c r="BS1057" i="5" s="1"/>
  <c r="BP1260" i="5"/>
  <c r="BS1260" i="5" s="1"/>
  <c r="BQ1260" i="5"/>
  <c r="BP1326" i="5"/>
  <c r="BS1326" i="5" s="1"/>
  <c r="BQ1326" i="5"/>
  <c r="BP650" i="5"/>
  <c r="BS650" i="5" s="1"/>
  <c r="BQ650" i="5"/>
  <c r="BP1257" i="5"/>
  <c r="BS1257" i="5" s="1"/>
  <c r="BQ1257" i="5"/>
  <c r="BP609" i="5"/>
  <c r="BS609" i="5" s="1"/>
  <c r="BQ609" i="5"/>
  <c r="BP1201" i="5"/>
  <c r="BS1201" i="5" s="1"/>
  <c r="BQ1201" i="5"/>
  <c r="BQ920" i="5"/>
  <c r="BP920" i="5"/>
  <c r="BS920" i="5" s="1"/>
  <c r="BP1093" i="5"/>
  <c r="BS1093" i="5" s="1"/>
  <c r="BQ1093" i="5"/>
  <c r="BP1293" i="5"/>
  <c r="BS1293" i="5" s="1"/>
  <c r="BQ1293" i="5"/>
  <c r="BP274" i="5"/>
  <c r="BS274" i="5" s="1"/>
  <c r="BQ274" i="5"/>
  <c r="BP1354" i="5"/>
  <c r="BS1354" i="5" s="1"/>
  <c r="BQ1354" i="5"/>
  <c r="BP1009" i="5"/>
  <c r="BS1009" i="5" s="1"/>
  <c r="BQ1009" i="5"/>
  <c r="BP1196" i="5"/>
  <c r="BS1196" i="5" s="1"/>
  <c r="BQ1196" i="5"/>
  <c r="BP697" i="5"/>
  <c r="BS697" i="5" s="1"/>
  <c r="BQ697" i="5"/>
  <c r="BP448" i="5"/>
  <c r="BS448" i="5" s="1"/>
  <c r="BQ448" i="5"/>
  <c r="BP147" i="5"/>
  <c r="BS147" i="5" s="1"/>
  <c r="BQ147" i="5"/>
  <c r="BP276" i="5"/>
  <c r="BS276" i="5" s="1"/>
  <c r="BQ276" i="5"/>
  <c r="BP907" i="5"/>
  <c r="BS907" i="5" s="1"/>
  <c r="BQ907" i="5"/>
  <c r="BQ1175" i="5"/>
  <c r="BP1175" i="5"/>
  <c r="BS1175" i="5" s="1"/>
  <c r="BP970" i="5"/>
  <c r="BS970" i="5" s="1"/>
  <c r="BQ970" i="5"/>
  <c r="BQ9" i="5"/>
  <c r="BP9" i="5"/>
  <c r="BS9" i="5" s="1"/>
  <c r="BQ700" i="5"/>
  <c r="BP700" i="5"/>
  <c r="BS700" i="5" s="1"/>
  <c r="BQ317" i="5"/>
  <c r="BP317" i="5"/>
  <c r="BS317" i="5" s="1"/>
  <c r="BP294" i="5"/>
  <c r="BS294" i="5" s="1"/>
  <c r="BQ294" i="5"/>
  <c r="BP349" i="5"/>
  <c r="BS349" i="5" s="1"/>
  <c r="BQ349" i="5"/>
  <c r="BP544" i="5"/>
  <c r="BS544" i="5" s="1"/>
  <c r="BQ544" i="5"/>
  <c r="BP1177" i="5"/>
  <c r="BS1177" i="5" s="1"/>
  <c r="BQ1177" i="5"/>
  <c r="BP1028" i="5"/>
  <c r="BS1028" i="5" s="1"/>
  <c r="BQ1028" i="5"/>
  <c r="BP1038" i="5"/>
  <c r="BS1038" i="5" s="1"/>
  <c r="BQ1038" i="5"/>
  <c r="BP202" i="5"/>
  <c r="BS202" i="5" s="1"/>
  <c r="BQ202" i="5"/>
  <c r="BQ347" i="5"/>
  <c r="BP347" i="5"/>
  <c r="BS347" i="5" s="1"/>
  <c r="BQ244" i="5"/>
  <c r="BP244" i="5"/>
  <c r="BS244" i="5" s="1"/>
  <c r="BP419" i="5"/>
  <c r="BS419" i="5" s="1"/>
  <c r="BQ419" i="5"/>
  <c r="BQ722" i="5"/>
  <c r="BP722" i="5"/>
  <c r="BS722" i="5" s="1"/>
  <c r="BP955" i="5"/>
  <c r="BS955" i="5" s="1"/>
  <c r="BQ955" i="5"/>
  <c r="BP434" i="5"/>
  <c r="BS434" i="5" s="1"/>
  <c r="BQ434" i="5"/>
  <c r="BQ1077" i="5"/>
  <c r="BP1077" i="5"/>
  <c r="BS1077" i="5" s="1"/>
  <c r="BP635" i="5"/>
  <c r="BS635" i="5" s="1"/>
  <c r="BQ635" i="5"/>
  <c r="BP214" i="5"/>
  <c r="BS214" i="5" s="1"/>
  <c r="BQ214" i="5"/>
  <c r="BQ1099" i="5"/>
  <c r="BP1099" i="5"/>
  <c r="BS1099" i="5" s="1"/>
  <c r="BP524" i="5"/>
  <c r="BS524" i="5" s="1"/>
  <c r="BQ524" i="5"/>
  <c r="BP406" i="5"/>
  <c r="BS406" i="5" s="1"/>
  <c r="BQ406" i="5"/>
  <c r="BP647" i="5"/>
  <c r="BS647" i="5" s="1"/>
  <c r="BQ647" i="5"/>
  <c r="BQ1221" i="5"/>
  <c r="BP1221" i="5"/>
  <c r="BS1221" i="5" s="1"/>
  <c r="BP929" i="5"/>
  <c r="BS929" i="5" s="1"/>
  <c r="BQ929" i="5"/>
  <c r="BP892" i="5"/>
  <c r="BS892" i="5" s="1"/>
  <c r="BQ892" i="5"/>
  <c r="BP1186" i="5"/>
  <c r="BS1186" i="5" s="1"/>
  <c r="BQ1186" i="5"/>
  <c r="BP979" i="5"/>
  <c r="BS979" i="5" s="1"/>
  <c r="BQ979" i="5"/>
  <c r="BP1109" i="5"/>
  <c r="BS1109" i="5" s="1"/>
  <c r="BQ1109" i="5"/>
  <c r="BQ638" i="5"/>
  <c r="BP638" i="5"/>
  <c r="BS638" i="5" s="1"/>
  <c r="BP1034" i="5"/>
  <c r="BS1034" i="5" s="1"/>
  <c r="BQ1034" i="5"/>
  <c r="BQ1228" i="5"/>
  <c r="BP1228" i="5"/>
  <c r="BS1228" i="5" s="1"/>
  <c r="BQ1392" i="5"/>
  <c r="BP1090" i="5"/>
  <c r="BS1090" i="5" s="1"/>
  <c r="BQ1090" i="5"/>
  <c r="BP275" i="5"/>
  <c r="BS275" i="5" s="1"/>
  <c r="BQ275" i="5"/>
  <c r="BQ508" i="5"/>
  <c r="BP508" i="5"/>
  <c r="BS508" i="5" s="1"/>
  <c r="BP10" i="5"/>
  <c r="BS10" i="5" s="1"/>
  <c r="BQ10" i="5"/>
  <c r="BP494" i="5"/>
  <c r="BS494" i="5" s="1"/>
  <c r="BQ494" i="5"/>
  <c r="BP1324" i="5"/>
  <c r="BS1324" i="5" s="1"/>
  <c r="BQ1324" i="5"/>
  <c r="BQ119" i="5"/>
  <c r="BP119" i="5"/>
  <c r="BS119" i="5" s="1"/>
  <c r="BP195" i="5"/>
  <c r="BS195" i="5" s="1"/>
  <c r="BQ195" i="5"/>
  <c r="BP1026" i="5"/>
  <c r="BS1026" i="5" s="1"/>
  <c r="BQ1026" i="5"/>
  <c r="BP990" i="5"/>
  <c r="BS990" i="5" s="1"/>
  <c r="BQ990" i="5"/>
  <c r="BP652" i="5"/>
  <c r="BS652" i="5" s="1"/>
  <c r="BQ652" i="5"/>
  <c r="BP562" i="5"/>
  <c r="BS562" i="5" s="1"/>
  <c r="BQ562" i="5"/>
  <c r="BP583" i="5"/>
  <c r="BS583" i="5" s="1"/>
  <c r="BQ583" i="5"/>
  <c r="BP573" i="5"/>
  <c r="BS573" i="5" s="1"/>
  <c r="BQ573" i="5"/>
  <c r="BP373" i="5"/>
  <c r="BS373" i="5" s="1"/>
  <c r="BQ373" i="5"/>
  <c r="BP65" i="5"/>
  <c r="BS65" i="5" s="1"/>
  <c r="BQ65" i="5"/>
  <c r="BP348" i="5"/>
  <c r="BS348" i="5" s="1"/>
  <c r="BQ348" i="5"/>
  <c r="BQ1273" i="5"/>
  <c r="BP1273" i="5"/>
  <c r="BS1273" i="5" s="1"/>
  <c r="BP37" i="5"/>
  <c r="BS37" i="5" s="1"/>
  <c r="BQ37" i="5"/>
  <c r="BP320" i="5"/>
  <c r="BS320" i="5" s="1"/>
  <c r="BQ320" i="5"/>
  <c r="BP500" i="5"/>
  <c r="BS500" i="5" s="1"/>
  <c r="BQ500" i="5"/>
  <c r="BP547" i="5"/>
  <c r="BS547" i="5" s="1"/>
  <c r="BQ547" i="5"/>
  <c r="BP1068" i="5"/>
  <c r="BS1068" i="5" s="1"/>
  <c r="BQ1068" i="5"/>
  <c r="BP711" i="5"/>
  <c r="BS711" i="5" s="1"/>
  <c r="BQ711" i="5"/>
  <c r="BP3" i="5"/>
  <c r="BQ3" i="5"/>
  <c r="BP252" i="5"/>
  <c r="BS252" i="5" s="1"/>
  <c r="BQ252" i="5"/>
  <c r="BQ92" i="5"/>
  <c r="BP92" i="5"/>
  <c r="BS92" i="5" s="1"/>
  <c r="BP948" i="5"/>
  <c r="BS948" i="5" s="1"/>
  <c r="BQ948" i="5"/>
  <c r="BQ630" i="5"/>
  <c r="BP630" i="5"/>
  <c r="BS630" i="5" s="1"/>
  <c r="BP623" i="5"/>
  <c r="BS623" i="5" s="1"/>
  <c r="BQ623" i="5"/>
  <c r="BQ8" i="5"/>
  <c r="BP8" i="5"/>
  <c r="BS8" i="5" s="1"/>
  <c r="BP321" i="5"/>
  <c r="BS321" i="5" s="1"/>
  <c r="BQ321" i="5"/>
  <c r="BP374" i="5"/>
  <c r="BS374" i="5" s="1"/>
  <c r="BQ374" i="5"/>
  <c r="BP1389" i="5"/>
  <c r="BS1389" i="5" s="1"/>
  <c r="BQ1389" i="5"/>
  <c r="BP1289" i="5"/>
  <c r="BS1289" i="5" s="1"/>
  <c r="BQ1289" i="5"/>
  <c r="BP427" i="5"/>
  <c r="BS427" i="5" s="1"/>
  <c r="BQ427" i="5"/>
  <c r="BP99" i="5"/>
  <c r="BS99" i="5" s="1"/>
  <c r="BQ99" i="5"/>
  <c r="BQ633" i="5"/>
  <c r="BP633" i="5"/>
  <c r="BS633" i="5" s="1"/>
  <c r="BQ1399" i="5"/>
  <c r="BP1399" i="5"/>
  <c r="BS1399" i="5" s="1"/>
  <c r="BP906" i="5"/>
  <c r="BS906" i="5" s="1"/>
  <c r="BQ906" i="5"/>
  <c r="BP927" i="5"/>
  <c r="BS927" i="5" s="1"/>
  <c r="BQ927" i="5"/>
  <c r="BP204" i="5"/>
  <c r="BS204" i="5" s="1"/>
  <c r="BQ204" i="5"/>
  <c r="BP572" i="5"/>
  <c r="BS572" i="5" s="1"/>
  <c r="BQ572" i="5"/>
  <c r="BP270" i="5"/>
  <c r="BS270" i="5" s="1"/>
  <c r="BQ270" i="5"/>
  <c r="BP1302" i="5"/>
  <c r="BS1302" i="5" s="1"/>
  <c r="BQ1302" i="5"/>
  <c r="BP1136" i="5"/>
  <c r="BS1136" i="5" s="1"/>
  <c r="BQ1136" i="5"/>
  <c r="BQ1330" i="5"/>
  <c r="BP1330" i="5"/>
  <c r="BS1330" i="5" s="1"/>
  <c r="BQ1040" i="5"/>
  <c r="BP1040" i="5"/>
  <c r="BS1040" i="5" s="1"/>
  <c r="BP293" i="5"/>
  <c r="BS293" i="5" s="1"/>
  <c r="BQ293" i="5"/>
  <c r="BQ179" i="5"/>
  <c r="BP179" i="5"/>
  <c r="BS179" i="5" s="1"/>
  <c r="BP476" i="5"/>
  <c r="BS476" i="5" s="1"/>
  <c r="BQ476" i="5"/>
  <c r="BP1189" i="5"/>
  <c r="BS1189" i="5" s="1"/>
  <c r="BQ1189" i="5"/>
  <c r="BP389" i="5"/>
  <c r="BS389" i="5" s="1"/>
  <c r="BQ389" i="5"/>
  <c r="BQ1123" i="5"/>
  <c r="BP1123" i="5"/>
  <c r="BS1123" i="5" s="1"/>
  <c r="BP324" i="5"/>
  <c r="BS324" i="5" s="1"/>
  <c r="BQ324" i="5"/>
  <c r="BQ760" i="5"/>
  <c r="BP760" i="5"/>
  <c r="BS760" i="5" s="1"/>
  <c r="BP145" i="5"/>
  <c r="BS145" i="5" s="1"/>
  <c r="BQ145" i="5"/>
  <c r="BP327" i="5"/>
  <c r="BS327" i="5" s="1"/>
  <c r="BQ327" i="5"/>
  <c r="BP1149" i="5"/>
  <c r="BS1149" i="5" s="1"/>
  <c r="BQ1149" i="5"/>
  <c r="BP786" i="5"/>
  <c r="BS786" i="5" s="1"/>
  <c r="BQ786" i="5"/>
  <c r="BP1184" i="5"/>
  <c r="BS1184" i="5" s="1"/>
  <c r="BQ1184" i="5"/>
  <c r="BP1064" i="5"/>
  <c r="BS1064" i="5" s="1"/>
  <c r="BQ1064" i="5"/>
  <c r="BP1258" i="5"/>
  <c r="BS1258" i="5" s="1"/>
  <c r="BQ1258" i="5"/>
  <c r="BP88" i="5"/>
  <c r="BS88" i="5" s="1"/>
  <c r="BQ88" i="5"/>
  <c r="BP1346" i="5"/>
  <c r="BS1346" i="5" s="1"/>
  <c r="BQ1346" i="5"/>
  <c r="BQ924" i="5"/>
  <c r="BP924" i="5"/>
  <c r="BS924" i="5" s="1"/>
  <c r="BP82" i="5"/>
  <c r="BS82" i="5" s="1"/>
  <c r="BQ82" i="5"/>
  <c r="BP387" i="5"/>
  <c r="BS387" i="5" s="1"/>
  <c r="BQ387" i="5"/>
  <c r="BP758" i="5"/>
  <c r="BS758" i="5" s="1"/>
  <c r="BQ758" i="5"/>
  <c r="BP1085" i="5"/>
  <c r="BS1085" i="5" s="1"/>
  <c r="BQ1085" i="5"/>
  <c r="BQ790" i="5"/>
  <c r="BP790" i="5"/>
  <c r="BS790" i="5" s="1"/>
  <c r="BQ520" i="5"/>
  <c r="BP520" i="5"/>
  <c r="BS520" i="5" s="1"/>
  <c r="BQ1378" i="5"/>
  <c r="BP1378" i="5"/>
  <c r="BS1378" i="5" s="1"/>
  <c r="BP499" i="5"/>
  <c r="BS499" i="5" s="1"/>
  <c r="BQ499" i="5"/>
  <c r="BP318" i="5"/>
  <c r="BS318" i="5" s="1"/>
  <c r="BQ318" i="5"/>
  <c r="BP139" i="5"/>
  <c r="BS139" i="5" s="1"/>
  <c r="BQ139" i="5"/>
  <c r="BP413" i="5"/>
  <c r="BS413" i="5" s="1"/>
  <c r="BQ413" i="5"/>
  <c r="BQ1030" i="5"/>
  <c r="BP1030" i="5"/>
  <c r="BS1030" i="5" s="1"/>
  <c r="BP803" i="5"/>
  <c r="BS803" i="5" s="1"/>
  <c r="BQ803" i="5"/>
  <c r="BP637" i="5"/>
  <c r="BS637" i="5" s="1"/>
  <c r="BQ637" i="5"/>
  <c r="BP440" i="5"/>
  <c r="BS440" i="5" s="1"/>
  <c r="BQ440" i="5"/>
  <c r="BP738" i="5"/>
  <c r="BS738" i="5" s="1"/>
  <c r="BQ738" i="5"/>
  <c r="BP1053" i="5"/>
  <c r="BS1053" i="5" s="1"/>
  <c r="BQ1053" i="5"/>
  <c r="BP945" i="5"/>
  <c r="BS945" i="5" s="1"/>
  <c r="BQ945" i="5"/>
  <c r="BP361" i="5"/>
  <c r="BS361" i="5" s="1"/>
  <c r="BQ361" i="5"/>
  <c r="BP11" i="5"/>
  <c r="BS11" i="5" s="1"/>
  <c r="BQ11" i="5"/>
  <c r="BP129" i="5"/>
  <c r="BS129" i="5" s="1"/>
  <c r="BQ129" i="5"/>
  <c r="BP290" i="5"/>
  <c r="BS290" i="5" s="1"/>
  <c r="BQ290" i="5"/>
  <c r="BP29" i="5"/>
  <c r="BS29" i="5" s="1"/>
  <c r="BQ29" i="5"/>
  <c r="BP227" i="5"/>
  <c r="BS227" i="5" s="1"/>
  <c r="BQ227" i="5"/>
  <c r="BP211" i="5"/>
  <c r="BS211" i="5" s="1"/>
  <c r="BQ211" i="5"/>
  <c r="BP137" i="5"/>
  <c r="BS137" i="5" s="1"/>
  <c r="BQ137" i="5"/>
  <c r="BP185" i="5"/>
  <c r="BS185" i="5" s="1"/>
  <c r="BQ185" i="5"/>
  <c r="BP865" i="5"/>
  <c r="BP602" i="5"/>
  <c r="BS602" i="5" s="1"/>
  <c r="BQ602" i="5"/>
  <c r="BP473" i="5"/>
  <c r="BS473" i="5" s="1"/>
  <c r="BQ473" i="5"/>
  <c r="BP1202" i="5"/>
  <c r="BS1202" i="5" s="1"/>
  <c r="BQ1202" i="5"/>
  <c r="BQ730" i="5"/>
  <c r="BP730" i="5"/>
  <c r="BS730" i="5" s="1"/>
  <c r="BQ1243" i="5"/>
  <c r="BP1243" i="5"/>
  <c r="BS1243" i="5" s="1"/>
  <c r="BQ162" i="5"/>
  <c r="BP162" i="5"/>
  <c r="BS162" i="5" s="1"/>
  <c r="BP217" i="5"/>
  <c r="BS217" i="5" s="1"/>
  <c r="BQ217" i="5"/>
  <c r="BP300" i="5"/>
  <c r="BS300" i="5" s="1"/>
  <c r="BQ300" i="5"/>
  <c r="BP106" i="5"/>
  <c r="BS106" i="5" s="1"/>
  <c r="BQ106" i="5"/>
  <c r="BQ1076" i="5"/>
  <c r="BP1076" i="5"/>
  <c r="BS1076" i="5" s="1"/>
  <c r="BP1380" i="5"/>
  <c r="BS1380" i="5" s="1"/>
  <c r="BQ1380" i="5"/>
  <c r="BP331" i="5"/>
  <c r="BS331" i="5" s="1"/>
  <c r="BQ331" i="5"/>
  <c r="BP521" i="5"/>
  <c r="BS521" i="5" s="1"/>
  <c r="BQ521" i="5"/>
  <c r="BP1148" i="5"/>
  <c r="BS1148" i="5" s="1"/>
  <c r="BQ1148" i="5"/>
  <c r="BQ933" i="5"/>
  <c r="BP933" i="5"/>
  <c r="BS933" i="5" s="1"/>
  <c r="BP415" i="5"/>
  <c r="BS415" i="5" s="1"/>
  <c r="BQ415" i="5"/>
  <c r="BP702" i="5"/>
  <c r="BS702" i="5" s="1"/>
  <c r="BQ702" i="5"/>
  <c r="BP1299" i="5"/>
  <c r="BS1299" i="5" s="1"/>
  <c r="BQ1299" i="5"/>
  <c r="BQ1364" i="5"/>
  <c r="BP1364" i="5"/>
  <c r="BS1364" i="5" s="1"/>
  <c r="BP223" i="5"/>
  <c r="BS223" i="5" s="1"/>
  <c r="BQ223" i="5"/>
  <c r="BQ575" i="5"/>
  <c r="BP575" i="5"/>
  <c r="BS575" i="5" s="1"/>
  <c r="BP774" i="5"/>
  <c r="BS774" i="5" s="1"/>
  <c r="BQ774" i="5"/>
  <c r="BP556" i="5"/>
  <c r="BS556" i="5" s="1"/>
  <c r="BQ556" i="5"/>
  <c r="BP81" i="5"/>
  <c r="BS81" i="5" s="1"/>
  <c r="BQ81" i="5"/>
  <c r="BQ951" i="5"/>
  <c r="BP951" i="5"/>
  <c r="BS951" i="5" s="1"/>
  <c r="BP1138" i="5"/>
  <c r="BS1138" i="5" s="1"/>
  <c r="BQ1138" i="5"/>
  <c r="BP619" i="5"/>
  <c r="BS619" i="5" s="1"/>
  <c r="BQ619" i="5"/>
  <c r="BP799" i="5"/>
  <c r="BS799" i="5" s="1"/>
  <c r="BQ799" i="5"/>
  <c r="BP581" i="5"/>
  <c r="BS581" i="5" s="1"/>
  <c r="BQ581" i="5"/>
  <c r="BP426" i="5"/>
  <c r="BS426" i="5" s="1"/>
  <c r="BQ426" i="5"/>
  <c r="BP687" i="5"/>
  <c r="BS687" i="5" s="1"/>
  <c r="BQ687" i="5"/>
  <c r="BP1200" i="5"/>
  <c r="BS1200" i="5" s="1"/>
  <c r="BQ1200" i="5"/>
  <c r="BP582" i="5"/>
  <c r="BS582" i="5" s="1"/>
  <c r="BQ582" i="5"/>
  <c r="BP120" i="5"/>
  <c r="BS120" i="5" s="1"/>
  <c r="BQ120" i="5"/>
  <c r="BP32" i="5"/>
  <c r="BS32" i="5" s="1"/>
  <c r="BQ32" i="5"/>
  <c r="BQ949" i="5"/>
  <c r="BP949" i="5"/>
  <c r="BS949" i="5" s="1"/>
  <c r="BP1129" i="5"/>
  <c r="BS1129" i="5" s="1"/>
  <c r="BQ1129" i="5"/>
  <c r="BP761" i="5"/>
  <c r="BS761" i="5" s="1"/>
  <c r="BQ761" i="5"/>
  <c r="BP456" i="5"/>
  <c r="BS456" i="5" s="1"/>
  <c r="BQ456" i="5"/>
  <c r="BQ1388" i="5"/>
  <c r="BP1388" i="5"/>
  <c r="BS1388" i="5" s="1"/>
  <c r="BP273" i="5"/>
  <c r="BS273" i="5" s="1"/>
  <c r="BQ273" i="5"/>
  <c r="BP489" i="5"/>
  <c r="BS489" i="5" s="1"/>
  <c r="BQ489" i="5"/>
  <c r="BP729" i="5"/>
  <c r="BS729" i="5" s="1"/>
  <c r="BQ729" i="5"/>
  <c r="BP757" i="5"/>
  <c r="BS757" i="5" s="1"/>
  <c r="BQ757" i="5"/>
  <c r="BP985" i="5"/>
  <c r="BS985" i="5" s="1"/>
  <c r="BQ985" i="5"/>
  <c r="BP329" i="5"/>
  <c r="BS329" i="5" s="1"/>
  <c r="BQ329" i="5"/>
  <c r="BP896" i="5"/>
  <c r="BS896" i="5" s="1"/>
  <c r="BQ896" i="5"/>
  <c r="BP240" i="5"/>
  <c r="BS240" i="5" s="1"/>
  <c r="BQ240" i="5"/>
  <c r="BP934" i="5"/>
  <c r="BS934" i="5" s="1"/>
  <c r="BQ934" i="5"/>
  <c r="BP1315" i="5"/>
  <c r="BS1315" i="5" s="1"/>
  <c r="BQ1315" i="5"/>
  <c r="BP675" i="5"/>
  <c r="BS675" i="5" s="1"/>
  <c r="BQ675" i="5"/>
  <c r="BP795" i="5"/>
  <c r="BS795" i="5" s="1"/>
  <c r="BQ795" i="5"/>
  <c r="BQ468" i="5"/>
  <c r="BP468" i="5"/>
  <c r="BS468" i="5" s="1"/>
  <c r="BP303" i="5"/>
  <c r="BS303" i="5" s="1"/>
  <c r="BQ303" i="5"/>
  <c r="BP943" i="5"/>
  <c r="BS943" i="5" s="1"/>
  <c r="BQ943" i="5"/>
  <c r="BP1111" i="5"/>
  <c r="BS1111" i="5" s="1"/>
  <c r="BQ1111" i="5"/>
  <c r="BP394" i="5"/>
  <c r="BS394" i="5" s="1"/>
  <c r="BQ394" i="5"/>
  <c r="BP70" i="5"/>
  <c r="BS70" i="5" s="1"/>
  <c r="BQ70" i="5"/>
  <c r="BP1108" i="5"/>
  <c r="BS1108" i="5" s="1"/>
  <c r="BQ1108" i="5"/>
  <c r="BP997" i="5"/>
  <c r="BS997" i="5" s="1"/>
  <c r="BQ997" i="5"/>
  <c r="BP766" i="5"/>
  <c r="BS766" i="5" s="1"/>
  <c r="BQ766" i="5"/>
  <c r="BP39" i="5"/>
  <c r="BS39" i="5" s="1"/>
  <c r="BQ39" i="5"/>
  <c r="BP1344" i="5"/>
  <c r="BS1344" i="5" s="1"/>
  <c r="BQ1344" i="5"/>
  <c r="BQ842" i="5"/>
  <c r="BP842" i="5"/>
  <c r="BS842" i="5" s="1"/>
  <c r="BQ1307" i="5"/>
  <c r="BP1307" i="5"/>
  <c r="BS1307" i="5" s="1"/>
  <c r="BP1112" i="5"/>
  <c r="BS1112" i="5" s="1"/>
  <c r="BQ1112" i="5"/>
  <c r="BP1282" i="5"/>
  <c r="BS1282" i="5" s="1"/>
  <c r="BQ1282" i="5"/>
  <c r="BP1166" i="5"/>
  <c r="BS1166" i="5" s="1"/>
  <c r="BQ1166" i="5"/>
  <c r="BP566" i="5"/>
  <c r="BS566" i="5" s="1"/>
  <c r="BQ566" i="5"/>
  <c r="BP741" i="5"/>
  <c r="BS741" i="5" s="1"/>
  <c r="BQ741" i="5"/>
  <c r="BP1174" i="5"/>
  <c r="BS1174" i="5" s="1"/>
  <c r="BQ1174" i="5"/>
  <c r="BP291" i="5"/>
  <c r="BS291" i="5" s="1"/>
  <c r="BQ291" i="5"/>
  <c r="BP745" i="5"/>
  <c r="BS745" i="5" s="1"/>
  <c r="BQ745" i="5"/>
  <c r="BQ922" i="5"/>
  <c r="BP922" i="5"/>
  <c r="BS922" i="5" s="1"/>
  <c r="BQ538" i="5"/>
  <c r="BP538" i="5"/>
  <c r="BS538" i="5" s="1"/>
  <c r="BP667" i="5"/>
  <c r="BS667" i="5" s="1"/>
  <c r="BQ667" i="5"/>
  <c r="BP733" i="5"/>
  <c r="BS733" i="5" s="1"/>
  <c r="BQ733" i="5"/>
  <c r="BP550" i="5"/>
  <c r="BS550" i="5" s="1"/>
  <c r="BQ550" i="5"/>
  <c r="BP817" i="5"/>
  <c r="BS817" i="5" s="1"/>
  <c r="BQ817" i="5"/>
  <c r="BP899" i="5"/>
  <c r="BS899" i="5" s="1"/>
  <c r="BQ899" i="5"/>
  <c r="BQ279" i="5"/>
  <c r="BP279" i="5"/>
  <c r="BS279" i="5" s="1"/>
  <c r="BP692" i="5"/>
  <c r="BS692" i="5" s="1"/>
  <c r="BQ692" i="5"/>
  <c r="BP1384" i="5"/>
  <c r="BS1384" i="5" s="1"/>
  <c r="BQ1384" i="5"/>
  <c r="BP829" i="5"/>
  <c r="BS829" i="5" s="1"/>
  <c r="BQ829" i="5"/>
  <c r="BP206" i="5"/>
  <c r="BS206" i="5" s="1"/>
  <c r="BQ206" i="5"/>
  <c r="BQ1297" i="5"/>
  <c r="BP1297" i="5"/>
  <c r="BS1297" i="5" s="1"/>
  <c r="BP935" i="5"/>
  <c r="BS935" i="5" s="1"/>
  <c r="BQ935" i="5"/>
  <c r="BP1079" i="5"/>
  <c r="BS1079" i="5" s="1"/>
  <c r="BQ1079" i="5"/>
  <c r="BP466" i="5"/>
  <c r="BS466" i="5" s="1"/>
  <c r="BQ466" i="5"/>
  <c r="BQ904" i="5"/>
  <c r="BP904" i="5"/>
  <c r="BS904" i="5" s="1"/>
  <c r="BP458" i="5"/>
  <c r="BS458" i="5" s="1"/>
  <c r="BQ458" i="5"/>
  <c r="BP1274" i="5"/>
  <c r="BS1274" i="5" s="1"/>
  <c r="BQ1274" i="5"/>
  <c r="BP989" i="5"/>
  <c r="BS989" i="5" s="1"/>
  <c r="BQ989" i="5"/>
  <c r="BP632" i="5"/>
  <c r="BS632" i="5" s="1"/>
  <c r="BQ632" i="5"/>
  <c r="BQ614" i="5"/>
  <c r="BP614" i="5"/>
  <c r="BS614" i="5" s="1"/>
  <c r="BQ425" i="5"/>
  <c r="BP425" i="5"/>
  <c r="BS425" i="5" s="1"/>
  <c r="BQ578" i="5"/>
  <c r="BP578" i="5"/>
  <c r="BS578" i="5" s="1"/>
  <c r="BP792" i="5"/>
  <c r="BS792" i="5" s="1"/>
  <c r="BQ792" i="5"/>
  <c r="BP1197" i="5"/>
  <c r="BS1197" i="5" s="1"/>
  <c r="BQ1197" i="5"/>
  <c r="BQ229" i="5"/>
  <c r="BP229" i="5"/>
  <c r="BS229" i="5" s="1"/>
  <c r="BP782" i="5"/>
  <c r="BS782" i="5" s="1"/>
  <c r="BQ782" i="5"/>
  <c r="BP41" i="5"/>
  <c r="BS41" i="5" s="1"/>
  <c r="BQ41" i="5"/>
  <c r="BQ346" i="5"/>
  <c r="BP346" i="5"/>
  <c r="BS346" i="5" s="1"/>
  <c r="BP50" i="5"/>
  <c r="BS50" i="5" s="1"/>
  <c r="BQ50" i="5"/>
  <c r="BP230" i="5"/>
  <c r="BS230" i="5" s="1"/>
  <c r="BQ230" i="5"/>
  <c r="BQ295" i="5"/>
  <c r="BP295" i="5"/>
  <c r="BS295" i="5" s="1"/>
  <c r="BP1367" i="5"/>
  <c r="BS1367" i="5" s="1"/>
  <c r="BQ1367" i="5"/>
  <c r="BP735" i="5"/>
  <c r="BS735" i="5" s="1"/>
  <c r="BQ735" i="5"/>
  <c r="BQ861" i="5"/>
  <c r="BP861" i="5"/>
  <c r="BS861" i="5" s="1"/>
  <c r="BQ1370" i="5"/>
  <c r="BP1370" i="5"/>
  <c r="BS1370" i="5" s="1"/>
  <c r="BP1110" i="5"/>
  <c r="BS1110" i="5" s="1"/>
  <c r="BQ1110" i="5"/>
  <c r="BP526" i="5"/>
  <c r="BS526" i="5" s="1"/>
  <c r="BQ526" i="5"/>
  <c r="BP814" i="5"/>
  <c r="BS814" i="5" s="1"/>
  <c r="BQ814" i="5"/>
  <c r="BP102" i="5"/>
  <c r="BS102" i="5" s="1"/>
  <c r="BQ102" i="5"/>
  <c r="BP342" i="5"/>
  <c r="BS342" i="5" s="1"/>
  <c r="BQ342" i="5"/>
  <c r="BP1078" i="5"/>
  <c r="BS1078" i="5" s="1"/>
  <c r="BQ1078" i="5"/>
  <c r="BP588" i="5"/>
  <c r="BS588" i="5" s="1"/>
  <c r="BQ588" i="5"/>
  <c r="BP878" i="5"/>
  <c r="BS878" i="5" s="1"/>
  <c r="BQ878" i="5"/>
  <c r="BP1133" i="5"/>
  <c r="BS1133" i="5" s="1"/>
  <c r="BQ1133" i="5"/>
  <c r="BP44" i="5"/>
  <c r="BS44" i="5" s="1"/>
  <c r="BQ44" i="5"/>
  <c r="BP260" i="5"/>
  <c r="BS260" i="5" s="1"/>
  <c r="BQ260" i="5"/>
  <c r="BP1142" i="5"/>
  <c r="BS1142" i="5" s="1"/>
  <c r="BQ1142" i="5"/>
  <c r="BP1334" i="5"/>
  <c r="BS1334" i="5" s="1"/>
  <c r="BQ1334" i="5"/>
  <c r="BP1065" i="5"/>
  <c r="BS1065" i="5" s="1"/>
  <c r="BQ1065" i="5"/>
  <c r="BP408" i="5"/>
  <c r="BS408" i="5" s="1"/>
  <c r="BQ408" i="5"/>
  <c r="BP884" i="5"/>
  <c r="BS884" i="5" s="1"/>
  <c r="BQ884" i="5"/>
  <c r="BP343" i="5"/>
  <c r="BS343" i="5" s="1"/>
  <c r="BQ343" i="5"/>
  <c r="BP1063" i="5"/>
  <c r="BS1063" i="5" s="1"/>
  <c r="BQ1063" i="5"/>
  <c r="BP243" i="5"/>
  <c r="BS243" i="5" s="1"/>
  <c r="BQ243" i="5"/>
  <c r="BP984" i="5"/>
  <c r="BS984" i="5" s="1"/>
  <c r="BQ984" i="5"/>
  <c r="BP853" i="5"/>
  <c r="BS853" i="5" s="1"/>
  <c r="BQ853" i="5"/>
  <c r="BP271" i="5"/>
  <c r="BS271" i="5" s="1"/>
  <c r="BQ271" i="5"/>
  <c r="BP639" i="5"/>
  <c r="BS639" i="5" s="1"/>
  <c r="BQ639" i="5"/>
  <c r="BP540" i="5"/>
  <c r="BS540" i="5" s="1"/>
  <c r="BQ540" i="5"/>
  <c r="BP246" i="5"/>
  <c r="BS246" i="5" s="1"/>
  <c r="BQ246" i="5"/>
  <c r="BQ340" i="5"/>
  <c r="BP340" i="5"/>
  <c r="BS340" i="5" s="1"/>
  <c r="BP969" i="5"/>
  <c r="BS969" i="5" s="1"/>
  <c r="BQ969" i="5"/>
  <c r="BQ631" i="5"/>
  <c r="BP631" i="5"/>
  <c r="BS631" i="5" s="1"/>
  <c r="BP713" i="5"/>
  <c r="BS713" i="5" s="1"/>
  <c r="BQ713" i="5"/>
  <c r="BP7" i="5"/>
  <c r="BS7" i="5" s="1"/>
  <c r="BQ7" i="5"/>
  <c r="BP481" i="5"/>
  <c r="BS481" i="5" s="1"/>
  <c r="BQ481" i="5"/>
  <c r="BP569" i="5"/>
  <c r="BS569" i="5" s="1"/>
  <c r="BQ569" i="5"/>
  <c r="BP292" i="5"/>
  <c r="BS292" i="5" s="1"/>
  <c r="BQ292" i="5"/>
  <c r="BP1157" i="5"/>
  <c r="BS1157" i="5" s="1"/>
  <c r="BQ1157" i="5"/>
  <c r="BQ184" i="5"/>
  <c r="BP184" i="5"/>
  <c r="BS184" i="5" s="1"/>
  <c r="BQ110" i="5"/>
  <c r="BP110" i="5"/>
  <c r="BS110" i="5" s="1"/>
  <c r="BP1235" i="5"/>
  <c r="BS1235" i="5" s="1"/>
  <c r="BQ1235" i="5"/>
  <c r="BP1023" i="5"/>
  <c r="BS1023" i="5" s="1"/>
  <c r="BQ1023" i="5"/>
  <c r="BQ149" i="5"/>
  <c r="BP149" i="5"/>
  <c r="BS149" i="5" s="1"/>
  <c r="BP791" i="5"/>
  <c r="BS791" i="5" s="1"/>
  <c r="BQ791" i="5"/>
  <c r="BQ20" i="5"/>
  <c r="BP20" i="5"/>
  <c r="BS20" i="5" s="1"/>
  <c r="BP1120" i="5"/>
  <c r="BS1120" i="5" s="1"/>
  <c r="BQ1120" i="5"/>
  <c r="BQ1381" i="5"/>
  <c r="BP1381" i="5"/>
  <c r="BS1381" i="5" s="1"/>
  <c r="BP580" i="5"/>
  <c r="BS580" i="5" s="1"/>
  <c r="BQ580" i="5"/>
  <c r="BP819" i="5"/>
  <c r="BS819" i="5" s="1"/>
  <c r="BQ819" i="5"/>
  <c r="BP459" i="5"/>
  <c r="BS459" i="5" s="1"/>
  <c r="BQ459" i="5"/>
  <c r="BP108" i="5"/>
  <c r="BS108" i="5" s="1"/>
  <c r="BQ108" i="5"/>
  <c r="BP1161" i="5"/>
  <c r="BS1161" i="5" s="1"/>
  <c r="BQ1161" i="5"/>
  <c r="BP1333" i="5"/>
  <c r="BS1333" i="5" s="1"/>
  <c r="BQ1333" i="5"/>
  <c r="BP73" i="5"/>
  <c r="BS73" i="5" s="1"/>
  <c r="BQ73" i="5"/>
  <c r="BP1098" i="5"/>
  <c r="BS1098" i="5" s="1"/>
  <c r="BQ1098" i="5"/>
  <c r="BQ706" i="5"/>
  <c r="BP706" i="5"/>
  <c r="BS706" i="5" s="1"/>
  <c r="BP1170" i="5"/>
  <c r="BS1170" i="5" s="1"/>
  <c r="BQ1170" i="5"/>
  <c r="BP69" i="5"/>
  <c r="BS69" i="5" s="1"/>
  <c r="BQ69" i="5"/>
  <c r="BP883" i="5"/>
  <c r="BS883" i="5" s="1"/>
  <c r="BQ883" i="5"/>
  <c r="BP1229" i="5"/>
  <c r="BS1229" i="5" s="1"/>
  <c r="BQ1229" i="5"/>
  <c r="BP302" i="5"/>
  <c r="BS302" i="5" s="1"/>
  <c r="BQ302" i="5"/>
  <c r="BP1236" i="5"/>
  <c r="BS1236" i="5" s="1"/>
  <c r="BQ1236" i="5"/>
  <c r="BP173" i="5"/>
  <c r="BS173" i="5" s="1"/>
  <c r="BQ173" i="5"/>
  <c r="BP516" i="5"/>
  <c r="BS516" i="5" s="1"/>
  <c r="BQ516" i="5"/>
  <c r="BP288" i="5"/>
  <c r="BS288" i="5" s="1"/>
  <c r="BQ288" i="5"/>
  <c r="BP805" i="5"/>
  <c r="BS805" i="5" s="1"/>
  <c r="BQ805" i="5"/>
  <c r="BP1205" i="5"/>
  <c r="BS1205" i="5" s="1"/>
  <c r="BQ1205" i="5"/>
  <c r="BP1237" i="5"/>
  <c r="BS1237" i="5" s="1"/>
  <c r="BQ1237" i="5"/>
  <c r="BP756" i="5"/>
  <c r="BS756" i="5" s="1"/>
  <c r="BQ756" i="5"/>
  <c r="BP258" i="5"/>
  <c r="BS258" i="5" s="1"/>
  <c r="BQ258" i="5"/>
  <c r="BP397" i="5"/>
  <c r="BS397" i="5" s="1"/>
  <c r="BQ397" i="5"/>
  <c r="BP1151" i="5"/>
  <c r="BS1151" i="5" s="1"/>
  <c r="BQ1151" i="5"/>
  <c r="BQ996" i="5"/>
  <c r="BP996" i="5"/>
  <c r="BS996" i="5" s="1"/>
  <c r="BQ983" i="5"/>
  <c r="BP983" i="5"/>
  <c r="BS983" i="5" s="1"/>
  <c r="BP1239" i="5"/>
  <c r="BS1239" i="5" s="1"/>
  <c r="BQ1239" i="5"/>
  <c r="BP1284" i="5"/>
  <c r="BS1284" i="5" s="1"/>
  <c r="BQ1284" i="5"/>
  <c r="BP1267" i="5"/>
  <c r="BS1267" i="5" s="1"/>
  <c r="BQ1267" i="5"/>
  <c r="BQ117" i="5"/>
  <c r="BP117" i="5"/>
  <c r="BS117" i="5" s="1"/>
  <c r="BP1160" i="5"/>
  <c r="BS1160" i="5" s="1"/>
  <c r="BQ1160" i="5"/>
  <c r="BQ379" i="5"/>
  <c r="BP379" i="5"/>
  <c r="BS379" i="5" s="1"/>
  <c r="BP1104" i="5"/>
  <c r="BS1104" i="5" s="1"/>
  <c r="BQ1104" i="5"/>
  <c r="BP1102" i="5"/>
  <c r="BS1102" i="5" s="1"/>
  <c r="BQ1102" i="5"/>
  <c r="BP153" i="5"/>
  <c r="BS153" i="5" s="1"/>
  <c r="BQ153" i="5"/>
  <c r="BP1219" i="5"/>
  <c r="BS1219" i="5" s="1"/>
  <c r="BQ1219" i="5"/>
  <c r="BP38" i="5"/>
  <c r="BS38" i="5" s="1"/>
  <c r="BQ38" i="5"/>
  <c r="BQ224" i="5"/>
  <c r="BP224" i="5"/>
  <c r="BS224" i="5" s="1"/>
  <c r="BP701" i="5"/>
  <c r="BS701" i="5" s="1"/>
  <c r="BQ701" i="5"/>
  <c r="BP577" i="5"/>
  <c r="BS577" i="5" s="1"/>
  <c r="BQ577" i="5"/>
  <c r="BP1251" i="5"/>
  <c r="BS1251" i="5" s="1"/>
  <c r="BQ1251" i="5"/>
  <c r="BP818" i="5"/>
  <c r="BS818" i="5" s="1"/>
  <c r="BQ818" i="5"/>
  <c r="BP1292" i="5"/>
  <c r="BS1292" i="5" s="1"/>
  <c r="BQ1292" i="5"/>
  <c r="BP1383" i="5"/>
  <c r="BS1383" i="5" s="1"/>
  <c r="BQ1383" i="5"/>
  <c r="BP192" i="5"/>
  <c r="BS192" i="5" s="1"/>
  <c r="BQ192" i="5"/>
  <c r="BP693" i="5"/>
  <c r="BS693" i="5" s="1"/>
  <c r="BQ693" i="5"/>
  <c r="BQ461" i="5"/>
  <c r="BP461" i="5"/>
  <c r="BS461" i="5" s="1"/>
  <c r="BP414" i="5"/>
  <c r="BS414" i="5" s="1"/>
  <c r="BQ414" i="5"/>
  <c r="BP1213" i="5"/>
  <c r="BS1213" i="5" s="1"/>
  <c r="BQ1213" i="5"/>
  <c r="BP944" i="5"/>
  <c r="BS944" i="5" s="1"/>
  <c r="BQ944" i="5"/>
  <c r="BP873" i="5"/>
  <c r="BS873" i="5" s="1"/>
  <c r="BQ873" i="5"/>
  <c r="BP822" i="5"/>
  <c r="BS822" i="5" s="1"/>
  <c r="BQ822" i="5"/>
  <c r="BP113" i="5"/>
  <c r="BS113" i="5" s="1"/>
  <c r="BQ113" i="5"/>
  <c r="BQ593" i="5"/>
  <c r="BP593" i="5"/>
  <c r="BS593" i="5" s="1"/>
  <c r="BP694" i="5"/>
  <c r="BS694" i="5" s="1"/>
  <c r="BQ694" i="5"/>
  <c r="BP532" i="5"/>
  <c r="BS532" i="5" s="1"/>
  <c r="BQ532" i="5"/>
  <c r="BP586" i="5"/>
  <c r="BS586" i="5" s="1"/>
  <c r="BQ586" i="5"/>
  <c r="BP787" i="5"/>
  <c r="BS787" i="5" s="1"/>
  <c r="BQ787" i="5"/>
  <c r="BQ824" i="5"/>
  <c r="BP824" i="5"/>
  <c r="BS824" i="5" s="1"/>
  <c r="BP1171" i="5"/>
  <c r="BS1171" i="5" s="1"/>
  <c r="BQ1171" i="5"/>
  <c r="BP477" i="5"/>
  <c r="BS477" i="5" s="1"/>
  <c r="BQ477" i="5"/>
  <c r="BP1247" i="5"/>
  <c r="BS1247" i="5" s="1"/>
  <c r="BQ1247" i="5"/>
  <c r="BP25" i="5"/>
  <c r="BS25" i="5" s="1"/>
  <c r="BQ25" i="5"/>
  <c r="BP991" i="5"/>
  <c r="BS991" i="5" s="1"/>
  <c r="BQ991" i="5"/>
  <c r="BP219" i="5"/>
  <c r="BS219" i="5" s="1"/>
  <c r="BQ219" i="5"/>
  <c r="BP615" i="5"/>
  <c r="BS615" i="5" s="1"/>
  <c r="BQ615" i="5"/>
  <c r="BP234" i="5"/>
  <c r="BS234" i="5" s="1"/>
  <c r="BQ234" i="5"/>
  <c r="BQ451" i="5"/>
  <c r="BP451" i="5"/>
  <c r="BS451" i="5" s="1"/>
  <c r="BP1036" i="5"/>
  <c r="BS1036" i="5" s="1"/>
  <c r="BQ1036" i="5"/>
  <c r="BQ444" i="5"/>
  <c r="BP444" i="5"/>
  <c r="BS444" i="5" s="1"/>
  <c r="BP684" i="5"/>
  <c r="BS684" i="5" s="1"/>
  <c r="BQ684" i="5"/>
  <c r="BP1084" i="5"/>
  <c r="BS1084" i="5" s="1"/>
  <c r="BQ1084" i="5"/>
  <c r="BP21" i="5"/>
  <c r="BS21" i="5" s="1"/>
  <c r="BQ21" i="5"/>
  <c r="BQ265" i="5"/>
  <c r="BP265" i="5"/>
  <c r="BS265" i="5" s="1"/>
  <c r="BP193" i="5"/>
  <c r="BS193" i="5" s="1"/>
  <c r="BQ193" i="5"/>
  <c r="BQ576" i="5"/>
  <c r="BP576" i="5"/>
  <c r="BS576" i="5" s="1"/>
  <c r="BP289" i="5"/>
  <c r="BS289" i="5" s="1"/>
  <c r="BQ289" i="5"/>
  <c r="BP1339" i="5"/>
  <c r="BS1339" i="5" s="1"/>
  <c r="BQ1339" i="5"/>
  <c r="BP198" i="5"/>
  <c r="BS198" i="5" s="1"/>
  <c r="BQ198" i="5"/>
  <c r="BP1012" i="5"/>
  <c r="BS1012" i="5" s="1"/>
  <c r="BQ1012" i="5"/>
  <c r="BP167" i="5"/>
  <c r="BS167" i="5" s="1"/>
  <c r="BQ167" i="5"/>
  <c r="BP832" i="5"/>
  <c r="BS832" i="5" s="1"/>
  <c r="BQ832" i="5"/>
  <c r="BP176" i="5"/>
  <c r="BS176" i="5" s="1"/>
  <c r="BQ176" i="5"/>
  <c r="BP736" i="5"/>
  <c r="BS736" i="5" s="1"/>
  <c r="BQ736" i="5"/>
  <c r="BP105" i="5"/>
  <c r="BS105" i="5" s="1"/>
  <c r="BQ105" i="5"/>
  <c r="BP1256" i="5"/>
  <c r="BS1256" i="5" s="1"/>
  <c r="BQ1256" i="5"/>
  <c r="BP836" i="5"/>
  <c r="BS836" i="5" s="1"/>
  <c r="BQ836" i="5"/>
  <c r="BP1198" i="5"/>
  <c r="BS1198" i="5" s="1"/>
  <c r="BQ1198" i="5"/>
  <c r="BQ1092" i="5"/>
  <c r="BP1092" i="5"/>
  <c r="BS1092" i="5" s="1"/>
  <c r="BP770" i="5"/>
  <c r="BS770" i="5" s="1"/>
  <c r="BQ770" i="5"/>
  <c r="BP172" i="5"/>
  <c r="BS172" i="5" s="1"/>
  <c r="BQ172" i="5"/>
  <c r="BP551" i="5"/>
  <c r="BS551" i="5" s="1"/>
  <c r="BQ551" i="5"/>
  <c r="BP1032" i="5"/>
  <c r="BS1032" i="5" s="1"/>
  <c r="BQ1032" i="5"/>
  <c r="BP1073" i="5"/>
  <c r="BS1073" i="5" s="1"/>
  <c r="BQ1073" i="5"/>
  <c r="BP767" i="5"/>
  <c r="BS767" i="5" s="1"/>
  <c r="BQ767" i="5"/>
  <c r="BQ282" i="5"/>
  <c r="BP282" i="5"/>
  <c r="BS282" i="5" s="1"/>
  <c r="BP40" i="5"/>
  <c r="BS40" i="5" s="1"/>
  <c r="BQ40" i="5"/>
  <c r="BP676" i="5"/>
  <c r="BS676" i="5" s="1"/>
  <c r="BQ676" i="5"/>
  <c r="BQ384" i="5"/>
  <c r="BP384" i="5"/>
  <c r="BS384" i="5" s="1"/>
  <c r="BQ84" i="5"/>
  <c r="BP84" i="5"/>
  <c r="BS84" i="5" s="1"/>
  <c r="BP686" i="5"/>
  <c r="BS686" i="5" s="1"/>
  <c r="BQ686" i="5"/>
  <c r="BP297" i="5"/>
  <c r="BS297" i="5" s="1"/>
  <c r="BQ297" i="5"/>
  <c r="BQ435" i="5"/>
  <c r="BP435" i="5"/>
  <c r="BS435" i="5" s="1"/>
  <c r="BP1369" i="5"/>
  <c r="BS1369" i="5" s="1"/>
  <c r="BQ1369" i="5"/>
  <c r="BP1011" i="5"/>
  <c r="BS1011" i="5" s="1"/>
  <c r="BQ1011" i="5"/>
  <c r="BP1139" i="5"/>
  <c r="BS1139" i="5" s="1"/>
  <c r="BQ1139" i="5"/>
  <c r="BQ268" i="5"/>
  <c r="BP268" i="5"/>
  <c r="BS268" i="5" s="1"/>
  <c r="BP157" i="5"/>
  <c r="BS157" i="5" s="1"/>
  <c r="BQ157" i="5"/>
  <c r="BQ52" i="5"/>
  <c r="BP52" i="5"/>
  <c r="BS52" i="5" s="1"/>
  <c r="BP26" i="5"/>
  <c r="BS26" i="5" s="1"/>
  <c r="BQ26" i="5"/>
  <c r="BP937" i="5"/>
  <c r="BS937" i="5" s="1"/>
  <c r="BQ937" i="5"/>
  <c r="BP161" i="5"/>
  <c r="BS161" i="5" s="1"/>
  <c r="BQ161" i="5"/>
  <c r="BP764" i="5"/>
  <c r="BS764" i="5" s="1"/>
  <c r="BQ764" i="5"/>
  <c r="BP597" i="5"/>
  <c r="BS597" i="5" s="1"/>
  <c r="BQ597" i="5"/>
  <c r="BP63" i="5"/>
  <c r="BS63" i="5" s="1"/>
  <c r="BQ63" i="5"/>
  <c r="BP1015" i="5"/>
  <c r="BS1015" i="5" s="1"/>
  <c r="BQ1015" i="5"/>
  <c r="BP43" i="5"/>
  <c r="BS43" i="5" s="1"/>
  <c r="BQ43" i="5"/>
  <c r="BP103" i="5"/>
  <c r="BS103" i="5" s="1"/>
  <c r="BQ103" i="5"/>
  <c r="BP1070" i="5"/>
  <c r="BS1070" i="5" s="1"/>
  <c r="BQ1070" i="5"/>
  <c r="BP247" i="5"/>
  <c r="BS247" i="5" s="1"/>
  <c r="BQ247" i="5"/>
  <c r="BQ1091" i="5"/>
  <c r="BP1091" i="5"/>
  <c r="BS1091" i="5" s="1"/>
  <c r="BP513" i="5"/>
  <c r="BS513" i="5" s="1"/>
  <c r="BQ513" i="5"/>
  <c r="BP61" i="5"/>
  <c r="BS61" i="5" s="1"/>
  <c r="BQ61" i="5"/>
  <c r="BQ364" i="5"/>
  <c r="BP364" i="5"/>
  <c r="BS364" i="5" s="1"/>
  <c r="BP354" i="5"/>
  <c r="BS354" i="5" s="1"/>
  <c r="BQ354" i="5"/>
  <c r="BP592" i="5"/>
  <c r="BS592" i="5" s="1"/>
  <c r="BQ592" i="5"/>
  <c r="BP420" i="5"/>
  <c r="BS420" i="5" s="1"/>
  <c r="BQ420" i="5"/>
  <c r="BQ698" i="5"/>
  <c r="BP698" i="5"/>
  <c r="BS698" i="5" s="1"/>
  <c r="BP502" i="5"/>
  <c r="BS502" i="5" s="1"/>
  <c r="BQ502" i="5"/>
  <c r="BP1218" i="5"/>
  <c r="BS1218" i="5" s="1"/>
  <c r="BQ1218" i="5"/>
  <c r="BP518" i="5"/>
  <c r="BS518" i="5" s="1"/>
  <c r="BQ518" i="5"/>
  <c r="BQ640" i="5"/>
  <c r="BP640" i="5"/>
  <c r="BS640" i="5" s="1"/>
  <c r="BP296" i="5"/>
  <c r="BS296" i="5" s="1"/>
  <c r="BQ296" i="5"/>
  <c r="BP657" i="5"/>
  <c r="BS657" i="5" s="1"/>
  <c r="BQ657" i="5"/>
  <c r="BQ696" i="5"/>
  <c r="BP696" i="5"/>
  <c r="BS696" i="5" s="1"/>
  <c r="BQ357" i="5"/>
  <c r="BP357" i="5"/>
  <c r="BS357" i="5" s="1"/>
  <c r="BP1088" i="5"/>
  <c r="BS1088" i="5" s="1"/>
  <c r="BQ1088" i="5"/>
  <c r="BQ816" i="5"/>
  <c r="BP816" i="5"/>
  <c r="BS816" i="5" s="1"/>
  <c r="BP1321" i="5"/>
  <c r="BS1321" i="5" s="1"/>
  <c r="BQ1321" i="5"/>
  <c r="BQ1048" i="5"/>
  <c r="BP1048" i="5"/>
  <c r="BS1048" i="5" s="1"/>
  <c r="BP399" i="5"/>
  <c r="BS399" i="5" s="1"/>
  <c r="BQ399" i="5"/>
  <c r="BP452" i="5"/>
  <c r="BS452" i="5" s="1"/>
  <c r="BQ452" i="5"/>
  <c r="BP683" i="5"/>
  <c r="BS683" i="5" s="1"/>
  <c r="BQ683" i="5"/>
  <c r="BP820" i="5"/>
  <c r="BS820" i="5" s="1"/>
  <c r="BQ820" i="5"/>
  <c r="BP866" i="5"/>
  <c r="BS866" i="5" s="1"/>
  <c r="BQ866" i="5"/>
  <c r="BP1249" i="5"/>
  <c r="BS1249" i="5" s="1"/>
  <c r="BQ1249" i="5"/>
  <c r="BP936" i="5"/>
  <c r="BS936" i="5" s="1"/>
  <c r="BQ936" i="5"/>
  <c r="BP334" i="5"/>
  <c r="BS334" i="5" s="1"/>
  <c r="BQ334" i="5"/>
  <c r="BP622" i="5"/>
  <c r="BS622" i="5" s="1"/>
  <c r="BQ622" i="5"/>
  <c r="BQ97" i="5"/>
  <c r="BP97" i="5"/>
  <c r="BS97" i="5" s="1"/>
  <c r="BP332" i="5"/>
  <c r="BS332" i="5" s="1"/>
  <c r="BQ332" i="5"/>
  <c r="BP961" i="5"/>
  <c r="BS961" i="5" s="1"/>
  <c r="BQ961" i="5"/>
  <c r="BP1114" i="5"/>
  <c r="BS1114" i="5" s="1"/>
  <c r="BQ1114" i="5"/>
  <c r="BP1086" i="5"/>
  <c r="BS1086" i="5" s="1"/>
  <c r="BQ1086" i="5"/>
  <c r="BP1094" i="5"/>
  <c r="BS1094" i="5" s="1"/>
  <c r="BQ1094" i="5"/>
  <c r="BP322" i="5"/>
  <c r="BS322" i="5" s="1"/>
  <c r="BQ322" i="5"/>
  <c r="BP256" i="5"/>
  <c r="BS256" i="5" s="1"/>
  <c r="BQ256" i="5"/>
  <c r="BQ1318" i="5"/>
  <c r="BP1318" i="5"/>
  <c r="BS1318" i="5" s="1"/>
  <c r="BP298" i="5"/>
  <c r="BS298" i="5" s="1"/>
  <c r="BQ298" i="5"/>
  <c r="BQ1024" i="5"/>
  <c r="BP1024" i="5"/>
  <c r="BS1024" i="5" s="1"/>
  <c r="BP396" i="5"/>
  <c r="BS396" i="5" s="1"/>
  <c r="BQ396" i="5"/>
  <c r="BP590" i="5"/>
  <c r="BS590" i="5" s="1"/>
  <c r="BQ590" i="5"/>
  <c r="BP527" i="5"/>
  <c r="BS527" i="5" s="1"/>
  <c r="BQ527" i="5"/>
  <c r="BQ1042" i="5"/>
  <c r="BP1042" i="5"/>
  <c r="BS1042" i="5" s="1"/>
  <c r="BP714" i="5"/>
  <c r="BS714" i="5" s="1"/>
  <c r="BQ714" i="5"/>
  <c r="BP966" i="5"/>
  <c r="BS966" i="5" s="1"/>
  <c r="BQ966" i="5"/>
  <c r="BQ150" i="5"/>
  <c r="BP150" i="5"/>
  <c r="BS150" i="5" s="1"/>
  <c r="BP898" i="5"/>
  <c r="BS898" i="5" s="1"/>
  <c r="BQ898" i="5"/>
  <c r="BQ1169" i="5"/>
  <c r="BP1169" i="5"/>
  <c r="BS1169" i="5" s="1"/>
  <c r="BQ197" i="5"/>
  <c r="BP197" i="5"/>
  <c r="BS197" i="5" s="1"/>
  <c r="BP433" i="5"/>
  <c r="BS433" i="5" s="1"/>
  <c r="BQ433" i="5"/>
  <c r="BP854" i="5"/>
  <c r="BS854" i="5" s="1"/>
  <c r="BQ854" i="5"/>
  <c r="BQ1141" i="5"/>
  <c r="BP1141" i="5"/>
  <c r="BS1141" i="5" s="1"/>
  <c r="BP620" i="5"/>
  <c r="BS620" i="5" s="1"/>
  <c r="BQ620" i="5"/>
  <c r="BP486" i="5"/>
  <c r="BS486" i="5" s="1"/>
  <c r="BQ486" i="5"/>
  <c r="BP765" i="5"/>
  <c r="BS765" i="5" s="1"/>
  <c r="BQ765" i="5"/>
  <c r="BP1387" i="5"/>
  <c r="BS1387" i="5" s="1"/>
  <c r="BQ1387" i="5"/>
  <c r="BP748" i="5"/>
  <c r="BS748" i="5" s="1"/>
  <c r="BQ748" i="5"/>
  <c r="BQ1312" i="5"/>
  <c r="BP1312" i="5"/>
  <c r="BS1312" i="5" s="1"/>
  <c r="BP239" i="5"/>
  <c r="BS239" i="5" s="1"/>
  <c r="BQ239" i="5"/>
  <c r="BP382" i="5"/>
  <c r="BS382" i="5" s="1"/>
  <c r="BQ382" i="5"/>
  <c r="BP323" i="5"/>
  <c r="BS323" i="5" s="1"/>
  <c r="BQ323" i="5"/>
  <c r="BP124" i="5"/>
  <c r="BS124" i="5" s="1"/>
  <c r="BQ124" i="5"/>
  <c r="BP213" i="5"/>
  <c r="BS213" i="5" s="1"/>
  <c r="BQ213" i="5"/>
  <c r="BP1314" i="5"/>
  <c r="BS1314" i="5" s="1"/>
  <c r="BQ1314" i="5"/>
  <c r="BP1397" i="5"/>
  <c r="BS1397" i="5" s="1"/>
  <c r="BQ1397" i="5"/>
  <c r="BQ83" i="5"/>
  <c r="BP83" i="5"/>
  <c r="BS83" i="5" s="1"/>
  <c r="BP165" i="5"/>
  <c r="BS165" i="5" s="1"/>
  <c r="BQ165" i="5"/>
  <c r="BP188" i="5"/>
  <c r="BS188" i="5" s="1"/>
  <c r="BQ188" i="5"/>
  <c r="BQ309" i="5"/>
  <c r="BP309" i="5"/>
  <c r="BS309" i="5" s="1"/>
  <c r="BP785" i="5"/>
  <c r="BS785" i="5" s="1"/>
  <c r="BQ785" i="5"/>
  <c r="BP589" i="5"/>
  <c r="BS589" i="5" s="1"/>
  <c r="BQ589" i="5"/>
  <c r="BP1179" i="5"/>
  <c r="BS1179" i="5" s="1"/>
  <c r="BQ1179" i="5"/>
  <c r="BQ402" i="5"/>
  <c r="BP402" i="5"/>
  <c r="BS402" i="5" s="1"/>
  <c r="BP699" i="5"/>
  <c r="BS699" i="5" s="1"/>
  <c r="BQ699" i="5"/>
  <c r="BQ194" i="5"/>
  <c r="BP194" i="5"/>
  <c r="BS194" i="5" s="1"/>
  <c r="BP731" i="5"/>
  <c r="BS731" i="5" s="1"/>
  <c r="BQ731" i="5"/>
  <c r="BP607" i="5"/>
  <c r="BS607" i="5" s="1"/>
  <c r="BQ607" i="5"/>
  <c r="CZ100" i="1"/>
  <c r="DA312" i="1"/>
  <c r="DA297" i="1"/>
  <c r="DA26" i="1"/>
  <c r="DA27" i="1"/>
  <c r="CZ43" i="1"/>
  <c r="CZ190" i="1"/>
  <c r="DA218" i="1"/>
  <c r="DA292" i="1"/>
  <c r="DA248" i="1"/>
  <c r="DA245" i="1"/>
  <c r="DA12" i="1"/>
  <c r="DA79" i="1"/>
  <c r="DA24" i="1"/>
  <c r="CZ289" i="1"/>
  <c r="DA17" i="1"/>
  <c r="CZ223" i="1"/>
  <c r="DA51" i="1"/>
  <c r="CZ111" i="1"/>
  <c r="CZ57" i="1"/>
  <c r="DA309" i="1"/>
  <c r="DA18" i="1"/>
  <c r="DA25" i="1"/>
  <c r="DA320" i="1"/>
  <c r="DA206" i="1"/>
  <c r="DA109" i="1"/>
  <c r="DA318" i="1"/>
  <c r="CW54" i="1"/>
  <c r="CZ54" i="1" s="1"/>
  <c r="DA126" i="1"/>
  <c r="DA182" i="1"/>
  <c r="DA46" i="1"/>
  <c r="DA89" i="1"/>
  <c r="CZ216" i="1"/>
  <c r="DA198" i="1"/>
  <c r="CZ107" i="1"/>
  <c r="DA92" i="1"/>
  <c r="DA64" i="1"/>
  <c r="DA177" i="1"/>
  <c r="DA183" i="1"/>
  <c r="CZ178" i="1"/>
  <c r="DA178" i="1"/>
  <c r="DA156" i="1"/>
  <c r="CZ60" i="1"/>
  <c r="CZ263" i="1"/>
  <c r="CZ269" i="1"/>
  <c r="DA304" i="1"/>
  <c r="DA193" i="1"/>
  <c r="DA78" i="1"/>
  <c r="DA191" i="1"/>
  <c r="CZ302" i="1"/>
  <c r="CZ163" i="1"/>
  <c r="CZ142" i="1"/>
  <c r="DA247" i="1"/>
  <c r="DA306" i="1"/>
  <c r="DA176" i="1"/>
  <c r="DA115" i="1"/>
  <c r="CZ31" i="1"/>
  <c r="CZ310" i="1"/>
  <c r="CZ134" i="1"/>
  <c r="DA278" i="1"/>
  <c r="DA106" i="1"/>
  <c r="DA95" i="1"/>
  <c r="CZ80" i="1"/>
  <c r="DA272" i="1"/>
  <c r="DA85" i="1"/>
  <c r="DA174" i="1"/>
  <c r="CZ58" i="1"/>
  <c r="DA282" i="1"/>
  <c r="DA133" i="1"/>
  <c r="DA28" i="1"/>
  <c r="DA239" i="1"/>
  <c r="DA32" i="1"/>
  <c r="DA136" i="1"/>
  <c r="CZ65" i="1"/>
  <c r="DA251" i="1"/>
  <c r="DA88" i="1"/>
  <c r="DA113" i="1"/>
  <c r="DA162" i="1"/>
  <c r="CZ8" i="1"/>
  <c r="DA241" i="1"/>
  <c r="DA23" i="1"/>
  <c r="DA34" i="1"/>
  <c r="DA76" i="1"/>
  <c r="DA265" i="1"/>
  <c r="CZ7" i="1"/>
  <c r="DA228" i="1"/>
  <c r="CZ279" i="1"/>
  <c r="DA166" i="1"/>
  <c r="DA317" i="1"/>
  <c r="DA181" i="1"/>
  <c r="DA68" i="1"/>
  <c r="CZ273" i="1"/>
  <c r="DA192" i="1"/>
  <c r="DA5" i="1"/>
  <c r="DA49" i="1"/>
  <c r="CZ284" i="1"/>
  <c r="DA70" i="1"/>
  <c r="DA154" i="1"/>
  <c r="DA214" i="1"/>
  <c r="CZ110" i="1"/>
  <c r="DA110" i="1"/>
  <c r="DA250" i="1"/>
  <c r="DA210" i="1"/>
  <c r="CZ141" i="1"/>
  <c r="DA141" i="1"/>
  <c r="DA238" i="1"/>
  <c r="DA3" i="1"/>
  <c r="DA129" i="1"/>
  <c r="CZ123" i="1"/>
  <c r="DA222" i="1"/>
  <c r="DA87" i="1"/>
  <c r="DA86" i="1"/>
  <c r="DA128" i="1"/>
  <c r="CX280" i="1"/>
  <c r="CZ81" i="1"/>
  <c r="CZ160" i="1"/>
  <c r="CZ281" i="1"/>
  <c r="CZ165" i="1"/>
  <c r="DA212" i="1"/>
  <c r="CZ242" i="1"/>
  <c r="CZ2" i="1"/>
  <c r="DA10" i="1"/>
  <c r="CZ213" i="1"/>
  <c r="DA256" i="1"/>
  <c r="DA217" i="1"/>
  <c r="DA71" i="1"/>
  <c r="DA236" i="1"/>
  <c r="CZ144" i="1"/>
  <c r="DA39" i="1"/>
  <c r="CZ220" i="1"/>
  <c r="CZ6" i="1"/>
  <c r="DA260" i="1"/>
  <c r="DA148" i="1"/>
  <c r="DA307" i="1"/>
  <c r="DA234" i="1"/>
  <c r="DA52" i="1"/>
  <c r="DA200" i="1"/>
  <c r="DA102" i="1"/>
  <c r="DA11" i="1"/>
  <c r="DA75" i="1"/>
  <c r="DA258" i="1"/>
  <c r="CZ153" i="1"/>
  <c r="DA249" i="1"/>
  <c r="DA253" i="1"/>
  <c r="DA229" i="1"/>
  <c r="CZ94" i="1"/>
  <c r="CZ120" i="1"/>
  <c r="CZ208" i="1"/>
  <c r="DA161" i="1"/>
  <c r="DA101" i="1"/>
  <c r="DA169" i="1"/>
  <c r="DA274" i="1"/>
  <c r="CZ225" i="1"/>
  <c r="DA225" i="1"/>
  <c r="CZ131" i="1"/>
  <c r="DA131" i="1"/>
  <c r="DA143" i="1"/>
  <c r="CZ252" i="1"/>
  <c r="DA252" i="1"/>
  <c r="CZ140" i="1"/>
  <c r="DA140" i="1"/>
  <c r="DA197" i="1"/>
  <c r="DA194" i="1"/>
  <c r="DA53" i="1"/>
  <c r="CZ294" i="1"/>
  <c r="DA294" i="1"/>
  <c r="CZ224" i="1"/>
  <c r="DA224" i="1"/>
  <c r="DA270" i="1"/>
  <c r="CZ270" i="1"/>
  <c r="DA199" i="1"/>
  <c r="CZ199" i="1"/>
  <c r="CZ257" i="1"/>
  <c r="DA257" i="1"/>
  <c r="DA82" i="1"/>
  <c r="CZ82" i="1"/>
  <c r="CZ108" i="1"/>
  <c r="DA108" i="1"/>
  <c r="DA13" i="1"/>
  <c r="DA221" i="1"/>
  <c r="CZ311" i="1"/>
  <c r="DA311" i="1"/>
  <c r="CZ164" i="1"/>
  <c r="DA164" i="1"/>
  <c r="CZ146" i="1"/>
  <c r="DA146" i="1"/>
  <c r="DA99" i="1"/>
  <c r="CZ99" i="1"/>
  <c r="DA44" i="1"/>
  <c r="CZ44" i="1"/>
  <c r="DA42" i="1"/>
  <c r="CZ42" i="1"/>
  <c r="DA124" i="1"/>
  <c r="CZ69" i="1"/>
  <c r="DA69" i="1"/>
  <c r="DA180" i="1"/>
  <c r="DA19" i="1"/>
  <c r="CZ204" i="1"/>
  <c r="DA204" i="1"/>
  <c r="CZ35" i="1"/>
  <c r="DA35" i="1"/>
  <c r="DA293" i="1"/>
  <c r="CZ293" i="1"/>
  <c r="DA261" i="1"/>
  <c r="CZ104" i="1"/>
  <c r="DA104" i="1"/>
  <c r="DA157" i="1"/>
  <c r="CZ157" i="1"/>
  <c r="DA98" i="1"/>
  <c r="CZ98" i="1"/>
  <c r="CZ63" i="1"/>
  <c r="DA63" i="1"/>
  <c r="CZ16" i="1"/>
  <c r="DA36" i="1"/>
  <c r="CZ116" i="1"/>
  <c r="DA116" i="1"/>
  <c r="DA219" i="1"/>
  <c r="DA130" i="1"/>
  <c r="DA30" i="1"/>
  <c r="DA122" i="1"/>
  <c r="CZ114" i="1"/>
  <c r="DA114" i="1"/>
  <c r="DA291" i="1"/>
  <c r="DA286" i="1"/>
  <c r="CZ155" i="1"/>
  <c r="DA155" i="1"/>
  <c r="CZ314" i="1"/>
  <c r="DA314" i="1"/>
  <c r="CZ308" i="1"/>
  <c r="DA308" i="1"/>
  <c r="DA271" i="1"/>
  <c r="CZ271" i="1"/>
  <c r="DA55" i="1"/>
  <c r="CZ55" i="1"/>
  <c r="CZ195" i="1"/>
  <c r="DA195" i="1"/>
  <c r="CZ121" i="1"/>
  <c r="DA121" i="1"/>
  <c r="CZ127" i="1"/>
  <c r="DA127" i="1"/>
  <c r="CZ67" i="1"/>
  <c r="DA67" i="1"/>
  <c r="CZ230" i="1"/>
  <c r="DA230" i="1"/>
  <c r="CZ132" i="1"/>
  <c r="DA132" i="1"/>
  <c r="CZ175" i="1"/>
  <c r="DA175" i="1"/>
  <c r="DA316" i="1"/>
  <c r="CZ316" i="1"/>
  <c r="DA287" i="1"/>
  <c r="CZ287" i="1"/>
  <c r="CZ158" i="1"/>
  <c r="DA158" i="1"/>
  <c r="DA231" i="1"/>
  <c r="CZ231" i="1"/>
  <c r="CZ167" i="1"/>
  <c r="DA167" i="1"/>
  <c r="DA83" i="1"/>
  <c r="CZ83" i="1"/>
  <c r="CZ74" i="1"/>
  <c r="DA74" i="1"/>
  <c r="CZ112" i="1"/>
  <c r="DA112" i="1"/>
  <c r="CZ4" i="1"/>
  <c r="DA4" i="1"/>
  <c r="CZ203" i="1"/>
  <c r="DA203" i="1"/>
  <c r="DA303" i="1"/>
  <c r="CZ303" i="1"/>
  <c r="CZ288" i="1"/>
  <c r="DA288" i="1"/>
  <c r="CZ137" i="1"/>
  <c r="DA137" i="1"/>
  <c r="DA59" i="1"/>
  <c r="CZ59" i="1"/>
  <c r="CZ118" i="1"/>
  <c r="DA118" i="1"/>
  <c r="CZ179" i="1"/>
  <c r="DA179" i="1"/>
  <c r="CZ277" i="1"/>
  <c r="DA277" i="1"/>
  <c r="CZ149" i="1"/>
  <c r="DA149" i="1"/>
  <c r="CZ48" i="1"/>
  <c r="DA48" i="1"/>
  <c r="CZ237" i="1"/>
  <c r="DA237" i="1"/>
  <c r="CZ188" i="1"/>
  <c r="DA188" i="1"/>
  <c r="CZ215" i="1"/>
  <c r="DA215" i="1"/>
  <c r="CZ170" i="1"/>
  <c r="DA170" i="1"/>
  <c r="CZ152" i="1"/>
  <c r="DA152" i="1"/>
  <c r="CZ298" i="1"/>
  <c r="DA298" i="1"/>
  <c r="CZ38" i="1"/>
  <c r="DA38" i="1"/>
  <c r="DA45" i="1"/>
  <c r="CZ45" i="1"/>
  <c r="CZ227" i="1"/>
  <c r="DA227" i="1"/>
  <c r="CZ117" i="1"/>
  <c r="DA117" i="1"/>
  <c r="CZ185" i="1"/>
  <c r="DA185" i="1"/>
  <c r="CZ189" i="1"/>
  <c r="DA189" i="1"/>
  <c r="DA47" i="1"/>
  <c r="CZ47" i="1"/>
  <c r="DA91" i="1"/>
  <c r="CZ91" i="1"/>
  <c r="CZ66" i="1"/>
  <c r="DA66" i="1"/>
  <c r="CZ40" i="1"/>
  <c r="DA40" i="1"/>
  <c r="CZ105" i="1"/>
  <c r="DA105" i="1"/>
  <c r="CZ103" i="1"/>
  <c r="DA103" i="1"/>
  <c r="CZ41" i="1"/>
  <c r="DA41" i="1"/>
  <c r="CZ159" i="1"/>
  <c r="DA159" i="1"/>
  <c r="DA243" i="1"/>
  <c r="CZ243" i="1"/>
  <c r="CZ14" i="1"/>
  <c r="DA14" i="1"/>
  <c r="CZ232" i="1"/>
  <c r="DA232" i="1"/>
  <c r="CZ62" i="1"/>
  <c r="DA62" i="1"/>
  <c r="CZ209" i="1"/>
  <c r="DA209" i="1"/>
  <c r="CZ305" i="1"/>
  <c r="DA305" i="1"/>
  <c r="CZ196" i="1"/>
  <c r="DA196" i="1"/>
  <c r="DA172" i="1"/>
  <c r="CZ172" i="1"/>
  <c r="CZ15" i="1"/>
  <c r="DA15" i="1"/>
  <c r="DA21" i="1"/>
  <c r="CZ21" i="1"/>
  <c r="CZ266" i="1"/>
  <c r="DA266" i="1"/>
  <c r="CZ84" i="1"/>
  <c r="DA84" i="1"/>
  <c r="DA283" i="1"/>
  <c r="CZ313" i="1"/>
  <c r="DA313" i="1"/>
  <c r="CZ61" i="1"/>
  <c r="DA61" i="1"/>
  <c r="CZ299" i="1"/>
  <c r="DA299" i="1"/>
  <c r="CZ319" i="1"/>
  <c r="DA319" i="1"/>
  <c r="DA246" i="1"/>
  <c r="CZ246" i="1"/>
  <c r="CZ205" i="1"/>
  <c r="DA205" i="1"/>
  <c r="CZ276" i="1"/>
  <c r="DA276" i="1"/>
  <c r="CZ147" i="1"/>
  <c r="DA147" i="1"/>
  <c r="CZ315" i="1"/>
  <c r="DA315" i="1"/>
  <c r="CZ296" i="1"/>
  <c r="DA296" i="1"/>
  <c r="CZ275" i="1"/>
  <c r="DA275" i="1"/>
  <c r="CZ259" i="1"/>
  <c r="DA259" i="1"/>
  <c r="DA72" i="1"/>
  <c r="CZ72" i="1"/>
  <c r="DA300" i="1"/>
  <c r="CZ300" i="1"/>
  <c r="CZ56" i="1"/>
  <c r="DA56" i="1"/>
  <c r="CZ97" i="1"/>
  <c r="DA97" i="1"/>
  <c r="CZ37" i="1"/>
  <c r="DA37" i="1"/>
  <c r="DA295" i="1"/>
  <c r="CZ295" i="1"/>
  <c r="CZ186" i="1"/>
  <c r="DA186" i="1"/>
  <c r="CZ33" i="1"/>
  <c r="DA33" i="1"/>
  <c r="CZ50" i="1"/>
  <c r="DA50" i="1"/>
  <c r="DA125" i="1"/>
  <c r="CZ125" i="1"/>
  <c r="CZ262" i="1"/>
  <c r="DA262" i="1"/>
  <c r="CZ201" i="1"/>
  <c r="DA201" i="1"/>
  <c r="DA244" i="1"/>
  <c r="CZ244" i="1"/>
  <c r="DA211" i="1"/>
  <c r="CZ211" i="1"/>
  <c r="CZ22" i="1"/>
  <c r="DA22" i="1"/>
  <c r="CZ135" i="1"/>
  <c r="DA135" i="1"/>
  <c r="CZ187" i="1"/>
  <c r="DA187" i="1"/>
  <c r="CZ226" i="1"/>
  <c r="DA226" i="1"/>
  <c r="CZ77" i="1"/>
  <c r="DA77" i="1"/>
  <c r="CZ29" i="1"/>
  <c r="DA29" i="1"/>
  <c r="CZ150" i="1"/>
  <c r="DA150" i="1"/>
  <c r="CZ240" i="1"/>
  <c r="DA240" i="1"/>
  <c r="DA285" i="1"/>
  <c r="CZ285" i="1"/>
  <c r="CZ202" i="1"/>
  <c r="DA202" i="1"/>
  <c r="CZ171" i="1"/>
  <c r="DA171" i="1"/>
  <c r="DA93" i="1"/>
  <c r="CZ93" i="1"/>
  <c r="CZ233" i="1"/>
  <c r="DA233" i="1"/>
  <c r="CZ255" i="1"/>
  <c r="DA255" i="1"/>
  <c r="DA145" i="1"/>
  <c r="CZ145" i="1"/>
  <c r="CZ9" i="1"/>
  <c r="DA9" i="1"/>
  <c r="DA184" i="1"/>
  <c r="CZ184" i="1"/>
  <c r="CZ264" i="1"/>
  <c r="DA264" i="1"/>
  <c r="CZ73" i="1"/>
  <c r="DA73" i="1"/>
  <c r="CZ207" i="1"/>
  <c r="DA207" i="1"/>
  <c r="CZ20" i="1"/>
  <c r="DA20" i="1"/>
  <c r="CZ267" i="1"/>
  <c r="DA267" i="1"/>
  <c r="CZ268" i="1"/>
  <c r="DA268" i="1"/>
  <c r="CZ280" i="1"/>
  <c r="DA280" i="1"/>
  <c r="BQ1096" i="5" l="1"/>
  <c r="BQ283" i="5"/>
  <c r="BP862" i="5"/>
  <c r="BS862" i="5" s="1"/>
  <c r="BQ1306" i="5"/>
  <c r="BQ1313" i="5"/>
  <c r="BQ1117" i="5"/>
  <c r="BS1279" i="5"/>
  <c r="BS21" i="6"/>
  <c r="BS1242" i="5"/>
  <c r="BS20" i="6"/>
  <c r="BQ23" i="6"/>
  <c r="BP23" i="6"/>
  <c r="BS283" i="5"/>
  <c r="BS23" i="6"/>
  <c r="BS1280" i="5"/>
  <c r="BS22" i="6"/>
  <c r="BQ263" i="5"/>
  <c r="BQ1059" i="5"/>
  <c r="BQ475" i="5"/>
  <c r="BQ1002" i="5"/>
  <c r="BP1002" i="5"/>
  <c r="BS1002" i="5" s="1"/>
  <c r="BP1372" i="5"/>
  <c r="BS1372" i="5" s="1"/>
  <c r="BS1117" i="5"/>
  <c r="BS15" i="6"/>
  <c r="BS1392" i="5"/>
  <c r="BS14" i="6"/>
  <c r="BS12" i="6"/>
  <c r="BS1390" i="5"/>
  <c r="BS13" i="6"/>
  <c r="BS1306" i="5"/>
  <c r="BS11" i="6"/>
  <c r="BS1313" i="5"/>
  <c r="BS10" i="6"/>
  <c r="BS475" i="5"/>
  <c r="BS3" i="6"/>
  <c r="BS4" i="6"/>
  <c r="BS1059" i="5"/>
  <c r="BS7" i="6"/>
  <c r="BS1096" i="5"/>
  <c r="BS8" i="6"/>
  <c r="BS865" i="5"/>
  <c r="BS6" i="6"/>
  <c r="BS5" i="6"/>
  <c r="BS1226" i="5"/>
  <c r="BS9" i="6"/>
  <c r="BS263" i="5"/>
  <c r="BS2" i="6"/>
  <c r="DA54" i="1"/>
</calcChain>
</file>

<file path=xl/sharedStrings.xml><?xml version="1.0" encoding="utf-8"?>
<sst xmlns="http://schemas.openxmlformats.org/spreadsheetml/2006/main" count="19608" uniqueCount="1999">
  <si>
    <t>Sales</t>
  </si>
  <si>
    <t>Count of Parcel</t>
  </si>
  <si>
    <t xml:space="preserve">Average of Unadj Ratio </t>
  </si>
  <si>
    <t>Adj</t>
  </si>
  <si>
    <t>Level of Assessment</t>
  </si>
  <si>
    <t>MX</t>
  </si>
  <si>
    <t>Grand Total</t>
  </si>
  <si>
    <t>Quality</t>
  </si>
  <si>
    <t>Condition</t>
  </si>
  <si>
    <t>L</t>
  </si>
  <si>
    <t>SL</t>
  </si>
  <si>
    <t>F-</t>
  </si>
  <si>
    <t>VP</t>
  </si>
  <si>
    <t>F</t>
  </si>
  <si>
    <t>PR</t>
  </si>
  <si>
    <t>F+</t>
  </si>
  <si>
    <t>FR</t>
  </si>
  <si>
    <t>A</t>
  </si>
  <si>
    <t>AV</t>
  </si>
  <si>
    <t>A+</t>
  </si>
  <si>
    <t>GD</t>
  </si>
  <si>
    <t>G</t>
  </si>
  <si>
    <t>VG</t>
  </si>
  <si>
    <t>G+</t>
  </si>
  <si>
    <t>EX</t>
  </si>
  <si>
    <t>V</t>
  </si>
  <si>
    <t>V+</t>
  </si>
  <si>
    <t>E</t>
  </si>
  <si>
    <t>E+</t>
  </si>
  <si>
    <t>X</t>
  </si>
  <si>
    <t>Decade</t>
  </si>
  <si>
    <t>Living Area Range</t>
  </si>
  <si>
    <t>60% of Intercept to Res</t>
  </si>
  <si>
    <t>40% of Intecept to Land</t>
  </si>
  <si>
    <t>Term</t>
  </si>
  <si>
    <t>Estimate</t>
  </si>
  <si>
    <t>Std Error</t>
  </si>
  <si>
    <t>t Ratio</t>
  </si>
  <si>
    <t>Prob&gt;|t|</t>
  </si>
  <si>
    <t>Intercept</t>
  </si>
  <si>
    <t>&lt;.0001</t>
  </si>
  <si>
    <t>LnAcres</t>
  </si>
  <si>
    <t xml:space="preserve">Days Prior </t>
  </si>
  <si>
    <t>DP1</t>
  </si>
  <si>
    <t>DP2</t>
  </si>
  <si>
    <t>DP3</t>
  </si>
  <si>
    <t>EffAge</t>
  </si>
  <si>
    <t xml:space="preserve">Quality </t>
  </si>
  <si>
    <t>MainFn</t>
  </si>
  <si>
    <t>UpprFn</t>
  </si>
  <si>
    <t>PrefabFP</t>
  </si>
  <si>
    <t>AttGar</t>
  </si>
  <si>
    <t>BltinGar</t>
  </si>
  <si>
    <t>Bsmt</t>
  </si>
  <si>
    <t>Masonry Trim</t>
  </si>
  <si>
    <t>B</t>
  </si>
  <si>
    <t>N</t>
  </si>
  <si>
    <t>S</t>
  </si>
  <si>
    <t>Average of Final Ratio</t>
  </si>
  <si>
    <t>Row Labels</t>
  </si>
  <si>
    <t>Average of Adjusted Total Difference</t>
  </si>
  <si>
    <t>a+</t>
  </si>
  <si>
    <t>Year</t>
  </si>
  <si>
    <t>Parcel</t>
  </si>
  <si>
    <t>Acres</t>
  </si>
  <si>
    <t>Sqft</t>
  </si>
  <si>
    <t>Cycle</t>
  </si>
  <si>
    <t>Type</t>
  </si>
  <si>
    <t>Nbhd</t>
  </si>
  <si>
    <t>TNbhd</t>
  </si>
  <si>
    <t>Zone</t>
  </si>
  <si>
    <t>Use</t>
  </si>
  <si>
    <t>Subtype</t>
  </si>
  <si>
    <t>Style</t>
  </si>
  <si>
    <t>Qlty</t>
  </si>
  <si>
    <t>Cnd</t>
  </si>
  <si>
    <t>YrBlt</t>
  </si>
  <si>
    <t>EffYr</t>
  </si>
  <si>
    <t>Age</t>
  </si>
  <si>
    <t>#Stories</t>
  </si>
  <si>
    <t>AddFn</t>
  </si>
  <si>
    <t>UnfinBsmt</t>
  </si>
  <si>
    <t>FnBsmt</t>
  </si>
  <si>
    <t>Living Area</t>
  </si>
  <si>
    <t>LivArea Range</t>
  </si>
  <si>
    <t>GarSpace</t>
  </si>
  <si>
    <t>MsnryTrim</t>
  </si>
  <si>
    <t>Heat</t>
  </si>
  <si>
    <t>Fuel</t>
  </si>
  <si>
    <t>AC</t>
  </si>
  <si>
    <t>WdStove</t>
  </si>
  <si>
    <t>MsnryFP</t>
  </si>
  <si>
    <t>3/4Bath</t>
  </si>
  <si>
    <t>1/2Bath</t>
  </si>
  <si>
    <t>Fixtures</t>
  </si>
  <si>
    <t>Carport</t>
  </si>
  <si>
    <t>WdDeck</t>
  </si>
  <si>
    <t>Patio</t>
  </si>
  <si>
    <t>CoverSf</t>
  </si>
  <si>
    <t>%Comp</t>
  </si>
  <si>
    <t>Ecn</t>
  </si>
  <si>
    <t>Rcn</t>
  </si>
  <si>
    <t>Rcnld</t>
  </si>
  <si>
    <t>Days Prior</t>
  </si>
  <si>
    <t>Date</t>
  </si>
  <si>
    <t>Excise</t>
  </si>
  <si>
    <t>Price</t>
  </si>
  <si>
    <t>SP-Det</t>
  </si>
  <si>
    <t>SaleType</t>
  </si>
  <si>
    <t>Verify</t>
  </si>
  <si>
    <t>Mult</t>
  </si>
  <si>
    <t>Bench</t>
  </si>
  <si>
    <t>24Final</t>
  </si>
  <si>
    <t>24Lnd</t>
  </si>
  <si>
    <t>24Bldg</t>
  </si>
  <si>
    <t>25Det</t>
  </si>
  <si>
    <t>Mdl Formula DP</t>
  </si>
  <si>
    <t>Mdl Formula Total</t>
  </si>
  <si>
    <t>Days Prior Total</t>
  </si>
  <si>
    <t>Mdl Res Intercept</t>
  </si>
  <si>
    <t>Mdl Land Intercept</t>
  </si>
  <si>
    <t>Mdl LnAcres</t>
  </si>
  <si>
    <t>Mdl Qlty</t>
  </si>
  <si>
    <t>Mdl Condition</t>
  </si>
  <si>
    <t>Mdl EffAge</t>
  </si>
  <si>
    <t>Mdl MainFn</t>
  </si>
  <si>
    <t>Mdl UpprFn</t>
  </si>
  <si>
    <t>Mdl Bsmt Area</t>
  </si>
  <si>
    <t xml:space="preserve">Mdl Msnry Trim </t>
  </si>
  <si>
    <t>Mdl Prefab</t>
  </si>
  <si>
    <t>Mdl AttGar</t>
  </si>
  <si>
    <t>Mdl BltinGar</t>
  </si>
  <si>
    <t>Match Mdl Value</t>
  </si>
  <si>
    <t>Unadj Det Value</t>
  </si>
  <si>
    <t>Unadj Res Value</t>
  </si>
  <si>
    <t>Unadj Land Value</t>
  </si>
  <si>
    <t>Unadj Total Value</t>
  </si>
  <si>
    <t xml:space="preserve">Unadj Ratio </t>
  </si>
  <si>
    <t>Unadj Diff</t>
  </si>
  <si>
    <t>Nbhd Adj</t>
  </si>
  <si>
    <t>Quality Adj</t>
  </si>
  <si>
    <t>Condition Adj</t>
  </si>
  <si>
    <t>Living Area Adj</t>
  </si>
  <si>
    <t>Decade Adj</t>
  </si>
  <si>
    <t>Det/Nbhd Adj</t>
  </si>
  <si>
    <t xml:space="preserve">Res Adj </t>
  </si>
  <si>
    <t>Adjusted Res</t>
  </si>
  <si>
    <t xml:space="preserve">Adj Det </t>
  </si>
  <si>
    <t>Adjusted Impr Total</t>
  </si>
  <si>
    <t>Adjusted Land Total</t>
  </si>
  <si>
    <t>Adjusted Total</t>
  </si>
  <si>
    <t>Adjusted Imp Diff</t>
  </si>
  <si>
    <t>Adjusted Lnd Diff</t>
  </si>
  <si>
    <t>Adjusted Total Difference</t>
  </si>
  <si>
    <t>Final Ratio</t>
  </si>
  <si>
    <t>RES</t>
  </si>
  <si>
    <t>R2</t>
  </si>
  <si>
    <t>CO</t>
  </si>
  <si>
    <t>HP</t>
  </si>
  <si>
    <t>E038772</t>
  </si>
  <si>
    <t>SWD</t>
  </si>
  <si>
    <t>Y</t>
  </si>
  <si>
    <t>E035369</t>
  </si>
  <si>
    <t>E035287</t>
  </si>
  <si>
    <t>E036132</t>
  </si>
  <si>
    <t>E035526</t>
  </si>
  <si>
    <t>E035914</t>
  </si>
  <si>
    <t>E036001</t>
  </si>
  <si>
    <t>E036523</t>
  </si>
  <si>
    <t>E037051</t>
  </si>
  <si>
    <t>E036960</t>
  </si>
  <si>
    <t>E035995</t>
  </si>
  <si>
    <t>E040296</t>
  </si>
  <si>
    <t>E036605</t>
  </si>
  <si>
    <t>E035374</t>
  </si>
  <si>
    <t>E036732</t>
  </si>
  <si>
    <t>E036406</t>
  </si>
  <si>
    <t>E035703</t>
  </si>
  <si>
    <t>E035801</t>
  </si>
  <si>
    <t>E036836</t>
  </si>
  <si>
    <t>E037910</t>
  </si>
  <si>
    <t>E036723</t>
  </si>
  <si>
    <t>E036208</t>
  </si>
  <si>
    <t>E036143</t>
  </si>
  <si>
    <t>E036526</t>
  </si>
  <si>
    <t>E036614</t>
  </si>
  <si>
    <t>E036634</t>
  </si>
  <si>
    <t>E036942</t>
  </si>
  <si>
    <t>E036804</t>
  </si>
  <si>
    <t>E038353</t>
  </si>
  <si>
    <t>E038541</t>
  </si>
  <si>
    <t>E038688</t>
  </si>
  <si>
    <t>E038870</t>
  </si>
  <si>
    <t>RN</t>
  </si>
  <si>
    <t>E037261</t>
  </si>
  <si>
    <t>E037863</t>
  </si>
  <si>
    <t>E037441</t>
  </si>
  <si>
    <t>E038246</t>
  </si>
  <si>
    <t>E038883</t>
  </si>
  <si>
    <t>E038372</t>
  </si>
  <si>
    <t>E038406</t>
  </si>
  <si>
    <t>E038199</t>
  </si>
  <si>
    <t>E038183</t>
  </si>
  <si>
    <t>E038796</t>
  </si>
  <si>
    <t>E038844</t>
  </si>
  <si>
    <t>E038097</t>
  </si>
  <si>
    <t>E038572</t>
  </si>
  <si>
    <t>E038429</t>
  </si>
  <si>
    <t>E038655</t>
  </si>
  <si>
    <t>E037876</t>
  </si>
  <si>
    <t>E037652</t>
  </si>
  <si>
    <t>E039008</t>
  </si>
  <si>
    <t>R1</t>
  </si>
  <si>
    <t>E039167</t>
  </si>
  <si>
    <t>E036502</t>
  </si>
  <si>
    <t>E035669</t>
  </si>
  <si>
    <t>E031968</t>
  </si>
  <si>
    <t>E031833</t>
  </si>
  <si>
    <t>E031759</t>
  </si>
  <si>
    <t>E032276</t>
  </si>
  <si>
    <t>E036890</t>
  </si>
  <si>
    <t>E031607</t>
  </si>
  <si>
    <t>E032068</t>
  </si>
  <si>
    <t>E031507</t>
  </si>
  <si>
    <t>E032283</t>
  </si>
  <si>
    <t>E031556</t>
  </si>
  <si>
    <t>E031405</t>
  </si>
  <si>
    <t>E031856</t>
  </si>
  <si>
    <t>E032313</t>
  </si>
  <si>
    <t>E032605</t>
  </si>
  <si>
    <t>E032760</t>
  </si>
  <si>
    <t>E033839</t>
  </si>
  <si>
    <t>E033328</t>
  </si>
  <si>
    <t>E034921</t>
  </si>
  <si>
    <t>E034190</t>
  </si>
  <si>
    <t>E033499</t>
  </si>
  <si>
    <t>E033341</t>
  </si>
  <si>
    <t>E033227</t>
  </si>
  <si>
    <t>E032938</t>
  </si>
  <si>
    <t>E034186</t>
  </si>
  <si>
    <t>E034471</t>
  </si>
  <si>
    <t>E034603</t>
  </si>
  <si>
    <t>E039436</t>
  </si>
  <si>
    <t>E033688</t>
  </si>
  <si>
    <t>E035479</t>
  </si>
  <si>
    <t>E034474</t>
  </si>
  <si>
    <t>E034515</t>
  </si>
  <si>
    <t>E034324</t>
  </si>
  <si>
    <t>E035582</t>
  </si>
  <si>
    <t>E034944</t>
  </si>
  <si>
    <t>E034910</t>
  </si>
  <si>
    <t>E034832</t>
  </si>
  <si>
    <t>E034981</t>
  </si>
  <si>
    <t>E034980</t>
  </si>
  <si>
    <t>E034912</t>
  </si>
  <si>
    <t>E035238</t>
  </si>
  <si>
    <t>E036824</t>
  </si>
  <si>
    <t>E037068</t>
  </si>
  <si>
    <t>E037377</t>
  </si>
  <si>
    <t>E037265</t>
  </si>
  <si>
    <t>E037069</t>
  </si>
  <si>
    <t>E032554</t>
  </si>
  <si>
    <t>E032475</t>
  </si>
  <si>
    <t>E032603</t>
  </si>
  <si>
    <t>E034935</t>
  </si>
  <si>
    <t>E033582</t>
  </si>
  <si>
    <t>E033096</t>
  </si>
  <si>
    <t>E032906</t>
  </si>
  <si>
    <t>E033572</t>
  </si>
  <si>
    <t>E034386</t>
  </si>
  <si>
    <t>E031849</t>
  </si>
  <si>
    <t>E031719</t>
  </si>
  <si>
    <t>E033673</t>
  </si>
  <si>
    <t>E036040</t>
  </si>
  <si>
    <t>E041769</t>
  </si>
  <si>
    <t>E040198</t>
  </si>
  <si>
    <t>E032495</t>
  </si>
  <si>
    <t>E033471</t>
  </si>
  <si>
    <t>E031616</t>
  </si>
  <si>
    <t>E033593</t>
  </si>
  <si>
    <t>E033114</t>
  </si>
  <si>
    <t>E032300</t>
  </si>
  <si>
    <t>E031397</t>
  </si>
  <si>
    <t>E032653</t>
  </si>
  <si>
    <t>E032389</t>
  </si>
  <si>
    <t>E032167</t>
  </si>
  <si>
    <t>E031534</t>
  </si>
  <si>
    <t>E032608</t>
  </si>
  <si>
    <t>E031949</t>
  </si>
  <si>
    <t>E031663</t>
  </si>
  <si>
    <t>E040859</t>
  </si>
  <si>
    <t>E032733</t>
  </si>
  <si>
    <t>E032094</t>
  </si>
  <si>
    <t>E032957</t>
  </si>
  <si>
    <t>E031627</t>
  </si>
  <si>
    <t>E033012</t>
  </si>
  <si>
    <t>E033690</t>
  </si>
  <si>
    <t>E033810</t>
  </si>
  <si>
    <t>E032264</t>
  </si>
  <si>
    <t>E032277</t>
  </si>
  <si>
    <t>E033224</t>
  </si>
  <si>
    <t>E033308</t>
  </si>
  <si>
    <t>E033895</t>
  </si>
  <si>
    <t>E033407</t>
  </si>
  <si>
    <t>E031571</t>
  </si>
  <si>
    <t>E033890</t>
  </si>
  <si>
    <t>E033606</t>
  </si>
  <si>
    <t>E034988</t>
  </si>
  <si>
    <t>E033660</t>
  </si>
  <si>
    <t>E033446</t>
  </si>
  <si>
    <t>E031716</t>
  </si>
  <si>
    <t>E032009</t>
  </si>
  <si>
    <t>E033677</t>
  </si>
  <si>
    <t>E033658</t>
  </si>
  <si>
    <t>E035454</t>
  </si>
  <si>
    <t>E033135</t>
  </si>
  <si>
    <t>E032785</t>
  </si>
  <si>
    <t>E035580</t>
  </si>
  <si>
    <t>E033405</t>
  </si>
  <si>
    <t>E035358</t>
  </si>
  <si>
    <t>E034996</t>
  </si>
  <si>
    <t>E042564</t>
  </si>
  <si>
    <t>E035379</t>
  </si>
  <si>
    <t>E035270</t>
  </si>
  <si>
    <t>E033087</t>
  </si>
  <si>
    <t>E032811</t>
  </si>
  <si>
    <t>E033339</t>
  </si>
  <si>
    <t>E033153</t>
  </si>
  <si>
    <t>E032831</t>
  </si>
  <si>
    <t>E035889</t>
  </si>
  <si>
    <t>CP</t>
  </si>
  <si>
    <t>FD</t>
  </si>
  <si>
    <t>E041819</t>
  </si>
  <si>
    <t>E040753</t>
  </si>
  <si>
    <t>E033250</t>
  </si>
  <si>
    <t>E038798</t>
  </si>
  <si>
    <t>E041632</t>
  </si>
  <si>
    <t>E039001</t>
  </si>
  <si>
    <t>E041896</t>
  </si>
  <si>
    <t>E042582</t>
  </si>
  <si>
    <t>E032016</t>
  </si>
  <si>
    <t>E036244</t>
  </si>
  <si>
    <t>E033379</t>
  </si>
  <si>
    <t>E040977</t>
  </si>
  <si>
    <t>E031408</t>
  </si>
  <si>
    <t>E033698</t>
  </si>
  <si>
    <t>E036544</t>
  </si>
  <si>
    <t>E031987</t>
  </si>
  <si>
    <t>E041143</t>
  </si>
  <si>
    <t>E032801</t>
  </si>
  <si>
    <t>E029910</t>
  </si>
  <si>
    <t>E032080</t>
  </si>
  <si>
    <t>E036123</t>
  </si>
  <si>
    <t>E033692</t>
  </si>
  <si>
    <t>E031862</t>
  </si>
  <si>
    <t>E029911</t>
  </si>
  <si>
    <t>E034449</t>
  </si>
  <si>
    <t>E029980</t>
  </si>
  <si>
    <t>E041786</t>
  </si>
  <si>
    <t>E039919</t>
  </si>
  <si>
    <t>E029877</t>
  </si>
  <si>
    <t>E034610</t>
  </si>
  <si>
    <t>E036150</t>
  </si>
  <si>
    <t>av</t>
  </si>
  <si>
    <t>E030314</t>
  </si>
  <si>
    <t>E033252</t>
  </si>
  <si>
    <t>E042053</t>
  </si>
  <si>
    <t>E037772</t>
  </si>
  <si>
    <t>E030891</t>
  </si>
  <si>
    <t>E030548</t>
  </si>
  <si>
    <t>E033832</t>
  </si>
  <si>
    <t>E031162</t>
  </si>
  <si>
    <t>E031888</t>
  </si>
  <si>
    <t>E032473</t>
  </si>
  <si>
    <t>E036692</t>
  </si>
  <si>
    <t>E038485</t>
  </si>
  <si>
    <t>E030810</t>
  </si>
  <si>
    <t>E034901</t>
  </si>
  <si>
    <t>E038151</t>
  </si>
  <si>
    <t>E031158</t>
  </si>
  <si>
    <t>E037176</t>
  </si>
  <si>
    <t>E030745</t>
  </si>
  <si>
    <t>E031076</t>
  </si>
  <si>
    <t>E039612</t>
  </si>
  <si>
    <t>E030536</t>
  </si>
  <si>
    <t>E037805</t>
  </si>
  <si>
    <t>E036194</t>
  </si>
  <si>
    <t>E031021</t>
  </si>
  <si>
    <t>E038939</t>
  </si>
  <si>
    <t>E032497</t>
  </si>
  <si>
    <t>E033798</t>
  </si>
  <si>
    <t>E030188</t>
  </si>
  <si>
    <t>E033266</t>
  </si>
  <si>
    <t>E033104</t>
  </si>
  <si>
    <t>E031010</t>
  </si>
  <si>
    <t>E036384</t>
  </si>
  <si>
    <t>E032281</t>
  </si>
  <si>
    <t>E038074</t>
  </si>
  <si>
    <t>E033611</t>
  </si>
  <si>
    <t>E040895</t>
  </si>
  <si>
    <t>E035742</t>
  </si>
  <si>
    <t>E035300</t>
  </si>
  <si>
    <t>E036413</t>
  </si>
  <si>
    <t>E031919</t>
  </si>
  <si>
    <t>E033163</t>
  </si>
  <si>
    <t>E034514</t>
  </si>
  <si>
    <t>E034911</t>
  </si>
  <si>
    <t>E030534</t>
  </si>
  <si>
    <t>E040327</t>
  </si>
  <si>
    <t>E030128</t>
  </si>
  <si>
    <t>E041323</t>
  </si>
  <si>
    <t>E039972</t>
  </si>
  <si>
    <t>E037314</t>
  </si>
  <si>
    <t>E030785</t>
  </si>
  <si>
    <t>E037747</t>
  </si>
  <si>
    <t>E034171</t>
  </si>
  <si>
    <t>E038336</t>
  </si>
  <si>
    <t>E031887</t>
  </si>
  <si>
    <t>E034149</t>
  </si>
  <si>
    <t>E038956</t>
  </si>
  <si>
    <t>E036709</t>
  </si>
  <si>
    <t>E035597</t>
  </si>
  <si>
    <t>E036464</t>
  </si>
  <si>
    <t>E038157</t>
  </si>
  <si>
    <t>E031858</t>
  </si>
  <si>
    <t>E040650</t>
  </si>
  <si>
    <t>E039173</t>
  </si>
  <si>
    <t>E031295</t>
  </si>
  <si>
    <t>E040068</t>
  </si>
  <si>
    <t>E032930</t>
  </si>
  <si>
    <t>E037347</t>
  </si>
  <si>
    <t>E036307</t>
  </si>
  <si>
    <t>E033319</t>
  </si>
  <si>
    <t>E031203</t>
  </si>
  <si>
    <t>E031912</t>
  </si>
  <si>
    <t>E037869</t>
  </si>
  <si>
    <t>E035427</t>
  </si>
  <si>
    <t>R3</t>
  </si>
  <si>
    <t>E034875</t>
  </si>
  <si>
    <t>E032920</t>
  </si>
  <si>
    <t>E029945</t>
  </si>
  <si>
    <t>E036239</t>
  </si>
  <si>
    <t>E033354</t>
  </si>
  <si>
    <t>E039822</t>
  </si>
  <si>
    <t>E035856</t>
  </si>
  <si>
    <t>E033838</t>
  </si>
  <si>
    <t>E041947</t>
  </si>
  <si>
    <t>E037198</t>
  </si>
  <si>
    <t>E033355</t>
  </si>
  <si>
    <t>E034196</t>
  </si>
  <si>
    <t>E042287</t>
  </si>
  <si>
    <t>E037991</t>
  </si>
  <si>
    <t>E032951</t>
  </si>
  <si>
    <t>OT</t>
  </si>
  <si>
    <t>E036072</t>
  </si>
  <si>
    <t>E030549</t>
  </si>
  <si>
    <t>E038897</t>
  </si>
  <si>
    <t>E031231</t>
  </si>
  <si>
    <t>RR</t>
  </si>
  <si>
    <t>E042611</t>
  </si>
  <si>
    <t>E035773</t>
  </si>
  <si>
    <t>E034495</t>
  </si>
  <si>
    <t>E033608</t>
  </si>
  <si>
    <t>NO</t>
  </si>
  <si>
    <t>E037718</t>
  </si>
  <si>
    <t>E035477</t>
  </si>
  <si>
    <t>ER</t>
  </si>
  <si>
    <t>E032865</t>
  </si>
  <si>
    <t>E039441</t>
  </si>
  <si>
    <t>E033794</t>
  </si>
  <si>
    <t>E033470</t>
  </si>
  <si>
    <t>E034454</t>
  </si>
  <si>
    <t>E035519</t>
  </si>
  <si>
    <t>TD</t>
  </si>
  <si>
    <t>E032826</t>
  </si>
  <si>
    <t>BG</t>
  </si>
  <si>
    <t>O</t>
  </si>
  <si>
    <t>E037094</t>
  </si>
  <si>
    <t>R1M</t>
  </si>
  <si>
    <t>E030454</t>
  </si>
  <si>
    <t>E038277</t>
  </si>
  <si>
    <t>E038730</t>
  </si>
  <si>
    <t>E041326</t>
  </si>
  <si>
    <t>E032952</t>
  </si>
  <si>
    <t>E036008</t>
  </si>
  <si>
    <t>FH</t>
  </si>
  <si>
    <t>E036292</t>
  </si>
  <si>
    <t>SP</t>
  </si>
  <si>
    <t>E040960</t>
  </si>
  <si>
    <t>RC</t>
  </si>
  <si>
    <t>AG</t>
  </si>
  <si>
    <t>E034424</t>
  </si>
  <si>
    <t>E035027</t>
  </si>
  <si>
    <t xml:space="preserve">Age </t>
  </si>
  <si>
    <t>Bsmt Area</t>
  </si>
  <si>
    <t>Unfin Bsmt</t>
  </si>
  <si>
    <t xml:space="preserve">Living Area </t>
  </si>
  <si>
    <t>Msnry Trim</t>
  </si>
  <si>
    <t>Prefab</t>
  </si>
  <si>
    <t>Phy</t>
  </si>
  <si>
    <t>Fun</t>
  </si>
  <si>
    <t>% Complete</t>
  </si>
  <si>
    <t>24Crop</t>
  </si>
  <si>
    <t>Mdl Garage Area</t>
  </si>
  <si>
    <t xml:space="preserve">19133644410    </t>
  </si>
  <si>
    <t>2</t>
  </si>
  <si>
    <t>11</t>
  </si>
  <si>
    <t>259</t>
  </si>
  <si>
    <t xml:space="preserve">19133641006    </t>
  </si>
  <si>
    <t>91</t>
  </si>
  <si>
    <t>256</t>
  </si>
  <si>
    <t xml:space="preserve">19120114515    </t>
  </si>
  <si>
    <t xml:space="preserve">19120114530    </t>
  </si>
  <si>
    <t xml:space="preserve">19120114526    </t>
  </si>
  <si>
    <t xml:space="preserve">19120114494    </t>
  </si>
  <si>
    <t xml:space="preserve">19120114473    </t>
  </si>
  <si>
    <t xml:space="preserve">19120114474    </t>
  </si>
  <si>
    <t xml:space="preserve">19120114514    </t>
  </si>
  <si>
    <t xml:space="preserve">19120114478    </t>
  </si>
  <si>
    <t xml:space="preserve">19120114516    </t>
  </si>
  <si>
    <t xml:space="preserve">19120114498    </t>
  </si>
  <si>
    <t xml:space="preserve">19120114505    </t>
  </si>
  <si>
    <t xml:space="preserve">19120114518    </t>
  </si>
  <si>
    <t xml:space="preserve">19120114479    </t>
  </si>
  <si>
    <t xml:space="preserve">19120114513    </t>
  </si>
  <si>
    <t xml:space="preserve">19120114519    </t>
  </si>
  <si>
    <t xml:space="preserve">19120114503    </t>
  </si>
  <si>
    <t xml:space="preserve">19120114521    </t>
  </si>
  <si>
    <t xml:space="preserve">19120114517    </t>
  </si>
  <si>
    <t xml:space="preserve">19120114477    </t>
  </si>
  <si>
    <t xml:space="preserve">19120114525    </t>
  </si>
  <si>
    <t xml:space="preserve">19120114504    </t>
  </si>
  <si>
    <t xml:space="preserve">19120114520    </t>
  </si>
  <si>
    <t xml:space="preserve">19120114501    </t>
  </si>
  <si>
    <t xml:space="preserve">19120114502    </t>
  </si>
  <si>
    <t xml:space="preserve">19120114512    </t>
  </si>
  <si>
    <t xml:space="preserve">19120114528    </t>
  </si>
  <si>
    <t xml:space="preserve">19120114522    </t>
  </si>
  <si>
    <t xml:space="preserve">19120114476    </t>
  </si>
  <si>
    <t xml:space="preserve">19120114529    </t>
  </si>
  <si>
    <t xml:space="preserve">19120114472    </t>
  </si>
  <si>
    <t xml:space="preserve">19120114499    </t>
  </si>
  <si>
    <t xml:space="preserve">19120114471    </t>
  </si>
  <si>
    <t xml:space="preserve">19120114524    </t>
  </si>
  <si>
    <t xml:space="preserve">19120114527    </t>
  </si>
  <si>
    <t xml:space="preserve">19120114500    </t>
  </si>
  <si>
    <t xml:space="preserve">19120114475    </t>
  </si>
  <si>
    <t xml:space="preserve">19120114497    </t>
  </si>
  <si>
    <t xml:space="preserve">19120114523    </t>
  </si>
  <si>
    <t xml:space="preserve">19120114490    </t>
  </si>
  <si>
    <t xml:space="preserve">19120134415    </t>
  </si>
  <si>
    <t xml:space="preserve">19120114460    </t>
  </si>
  <si>
    <t xml:space="preserve">19120114468    </t>
  </si>
  <si>
    <t xml:space="preserve">19120114508    </t>
  </si>
  <si>
    <t xml:space="preserve">19120114507    </t>
  </si>
  <si>
    <t xml:space="preserve">19133541432    </t>
  </si>
  <si>
    <t xml:space="preserve">19120114509    </t>
  </si>
  <si>
    <t xml:space="preserve">19120114511    </t>
  </si>
  <si>
    <t xml:space="preserve">19120114489    </t>
  </si>
  <si>
    <t xml:space="preserve">19120114470    </t>
  </si>
  <si>
    <t xml:space="preserve">19120114488    </t>
  </si>
  <si>
    <t xml:space="preserve">19120114487    </t>
  </si>
  <si>
    <t xml:space="preserve">19120114467    </t>
  </si>
  <si>
    <t xml:space="preserve">19133514419    </t>
  </si>
  <si>
    <t xml:space="preserve">19120114510    </t>
  </si>
  <si>
    <t xml:space="preserve">19133641408    </t>
  </si>
  <si>
    <t xml:space="preserve">19133614406    </t>
  </si>
  <si>
    <t>331</t>
  </si>
  <si>
    <t>CU</t>
  </si>
  <si>
    <t xml:space="preserve">19120114451    </t>
  </si>
  <si>
    <t xml:space="preserve">19120114454    </t>
  </si>
  <si>
    <t xml:space="preserve">19120114465    </t>
  </si>
  <si>
    <t xml:space="preserve">19120114443    </t>
  </si>
  <si>
    <t xml:space="preserve">19120114441    </t>
  </si>
  <si>
    <t xml:space="preserve">19120114495    </t>
  </si>
  <si>
    <t xml:space="preserve">19120114481    </t>
  </si>
  <si>
    <t xml:space="preserve">19120114450    </t>
  </si>
  <si>
    <t xml:space="preserve">19120114447    </t>
  </si>
  <si>
    <t xml:space="preserve">19120114432    </t>
  </si>
  <si>
    <t xml:space="preserve">19120114442    </t>
  </si>
  <si>
    <t xml:space="preserve">19120114491    </t>
  </si>
  <si>
    <t xml:space="preserve">19120114439    </t>
  </si>
  <si>
    <t xml:space="preserve">19120114448    </t>
  </si>
  <si>
    <t xml:space="preserve">19120114444    </t>
  </si>
  <si>
    <t xml:space="preserve">19120114496    </t>
  </si>
  <si>
    <t xml:space="preserve">19120114437    </t>
  </si>
  <si>
    <t xml:space="preserve">19120114440    </t>
  </si>
  <si>
    <t xml:space="preserve">19120114480    </t>
  </si>
  <si>
    <t xml:space="preserve">19120114485    </t>
  </si>
  <si>
    <t xml:space="preserve">19120114482    </t>
  </si>
  <si>
    <t xml:space="preserve">19120114430    </t>
  </si>
  <si>
    <t xml:space="preserve">19120114483    </t>
  </si>
  <si>
    <t xml:space="preserve">19120114434    </t>
  </si>
  <si>
    <t xml:space="preserve">19120114446    </t>
  </si>
  <si>
    <t xml:space="preserve">19120114438    </t>
  </si>
  <si>
    <t xml:space="preserve">19120114449    </t>
  </si>
  <si>
    <t xml:space="preserve">19120114433    </t>
  </si>
  <si>
    <t xml:space="preserve">19120114453    </t>
  </si>
  <si>
    <t xml:space="preserve">19120114435    </t>
  </si>
  <si>
    <t xml:space="preserve">19120114492    </t>
  </si>
  <si>
    <t xml:space="preserve">19120114452    </t>
  </si>
  <si>
    <t xml:space="preserve">19120114486    </t>
  </si>
  <si>
    <t xml:space="preserve">19120114431    </t>
  </si>
  <si>
    <t xml:space="preserve">19120114493    </t>
  </si>
  <si>
    <t xml:space="preserve">19120114484    </t>
  </si>
  <si>
    <t xml:space="preserve">19133514417    </t>
  </si>
  <si>
    <t xml:space="preserve">19133514414    </t>
  </si>
  <si>
    <t xml:space="preserve">19133514416    </t>
  </si>
  <si>
    <t xml:space="preserve">19133514413    </t>
  </si>
  <si>
    <t xml:space="preserve">19133514418    </t>
  </si>
  <si>
    <t xml:space="preserve">19133514411    </t>
  </si>
  <si>
    <t xml:space="preserve">19133514412    </t>
  </si>
  <si>
    <t xml:space="preserve">19133514432    </t>
  </si>
  <si>
    <t xml:space="preserve">19133514426    </t>
  </si>
  <si>
    <t xml:space="preserve">19133514431    </t>
  </si>
  <si>
    <t xml:space="preserve">19133541446    </t>
  </si>
  <si>
    <t xml:space="preserve">19133541436    </t>
  </si>
  <si>
    <t xml:space="preserve">19133541438    </t>
  </si>
  <si>
    <t xml:space="preserve">19133541424    </t>
  </si>
  <si>
    <t xml:space="preserve">19133541443    </t>
  </si>
  <si>
    <t xml:space="preserve">19133541439    </t>
  </si>
  <si>
    <t xml:space="preserve">19133541435    </t>
  </si>
  <si>
    <t xml:space="preserve">19133541425    </t>
  </si>
  <si>
    <t xml:space="preserve">19133541427    </t>
  </si>
  <si>
    <t xml:space="preserve">19133541445    </t>
  </si>
  <si>
    <t xml:space="preserve">19133541428    </t>
  </si>
  <si>
    <t xml:space="preserve">19133541437    </t>
  </si>
  <si>
    <t xml:space="preserve">19133541444    </t>
  </si>
  <si>
    <t xml:space="preserve">19133541426    </t>
  </si>
  <si>
    <t xml:space="preserve">19133541442    </t>
  </si>
  <si>
    <t xml:space="preserve">19120114436    </t>
  </si>
  <si>
    <t xml:space="preserve">19133514415    </t>
  </si>
  <si>
    <t xml:space="preserve">19133541456    </t>
  </si>
  <si>
    <t xml:space="preserve">19133541453    </t>
  </si>
  <si>
    <t xml:space="preserve">19133541455    </t>
  </si>
  <si>
    <t xml:space="preserve">19133541429    </t>
  </si>
  <si>
    <t xml:space="preserve">19133541454    </t>
  </si>
  <si>
    <t xml:space="preserve">19133541457    </t>
  </si>
  <si>
    <t xml:space="preserve">19133514430    </t>
  </si>
  <si>
    <t xml:space="preserve">19133514428    </t>
  </si>
  <si>
    <t xml:space="preserve">19120114459    </t>
  </si>
  <si>
    <t xml:space="preserve">19133541452    </t>
  </si>
  <si>
    <t xml:space="preserve">19133541465    </t>
  </si>
  <si>
    <t xml:space="preserve">19133541461    </t>
  </si>
  <si>
    <t xml:space="preserve">19133541460    </t>
  </si>
  <si>
    <t xml:space="preserve">19133541463    </t>
  </si>
  <si>
    <t xml:space="preserve">19133541466    </t>
  </si>
  <si>
    <t xml:space="preserve">19133541462    </t>
  </si>
  <si>
    <t xml:space="preserve">19133541464    </t>
  </si>
  <si>
    <t xml:space="preserve">19120114429    </t>
  </si>
  <si>
    <t xml:space="preserve">19133514427    </t>
  </si>
  <si>
    <t xml:space="preserve">19120114461    </t>
  </si>
  <si>
    <t xml:space="preserve">19120114462    </t>
  </si>
  <si>
    <t xml:space="preserve">19133541447    </t>
  </si>
  <si>
    <t xml:space="preserve">19133541430    </t>
  </si>
  <si>
    <t xml:space="preserve">19133541434    </t>
  </si>
  <si>
    <t xml:space="preserve">19133514425    </t>
  </si>
  <si>
    <t xml:space="preserve">19133541451    </t>
  </si>
  <si>
    <t xml:space="preserve">19120114469    </t>
  </si>
  <si>
    <t xml:space="preserve">19133514422    </t>
  </si>
  <si>
    <t xml:space="preserve">19133514424    </t>
  </si>
  <si>
    <t xml:space="preserve">19120114445    </t>
  </si>
  <si>
    <t xml:space="preserve">19133514423    </t>
  </si>
  <si>
    <t xml:space="preserve">19133541448    </t>
  </si>
  <si>
    <t xml:space="preserve">19133541449    </t>
  </si>
  <si>
    <t xml:space="preserve">19133541440    </t>
  </si>
  <si>
    <t xml:space="preserve">19133541423    </t>
  </si>
  <si>
    <t xml:space="preserve">19133541441    </t>
  </si>
  <si>
    <t xml:space="preserve">19133541433    </t>
  </si>
  <si>
    <t xml:space="preserve">19133541467    </t>
  </si>
  <si>
    <t xml:space="preserve">19133514421    </t>
  </si>
  <si>
    <t xml:space="preserve">19133541458    </t>
  </si>
  <si>
    <t xml:space="preserve">19133514420    </t>
  </si>
  <si>
    <t xml:space="preserve">19133541459    </t>
  </si>
  <si>
    <t xml:space="preserve">19120114463    </t>
  </si>
  <si>
    <t xml:space="preserve">19133541431    </t>
  </si>
  <si>
    <t xml:space="preserve">19120114464    </t>
  </si>
  <si>
    <t xml:space="preserve">19133541450    </t>
  </si>
  <si>
    <t xml:space="preserve">19133514429    </t>
  </si>
  <si>
    <t xml:space="preserve">20120634501    </t>
  </si>
  <si>
    <t xml:space="preserve">20120634524    </t>
  </si>
  <si>
    <t xml:space="preserve">20120634510    </t>
  </si>
  <si>
    <t xml:space="preserve">20120634502    </t>
  </si>
  <si>
    <t xml:space="preserve">20120634511    </t>
  </si>
  <si>
    <t xml:space="preserve">20120634505    </t>
  </si>
  <si>
    <t xml:space="preserve">20120634506    </t>
  </si>
  <si>
    <t xml:space="preserve">20120634527    </t>
  </si>
  <si>
    <t xml:space="preserve">20120634509    </t>
  </si>
  <si>
    <t xml:space="preserve">20120634492    </t>
  </si>
  <si>
    <t xml:space="preserve">20120634491    </t>
  </si>
  <si>
    <t xml:space="preserve">20120634534    </t>
  </si>
  <si>
    <t xml:space="preserve">20120634490    </t>
  </si>
  <si>
    <t xml:space="preserve">20120634540    </t>
  </si>
  <si>
    <t xml:space="preserve">20120632404    </t>
  </si>
  <si>
    <t xml:space="preserve">20120632405    </t>
  </si>
  <si>
    <t xml:space="preserve">20120632407    </t>
  </si>
  <si>
    <t xml:space="preserve">20120634499    </t>
  </si>
  <si>
    <t xml:space="preserve">20120634497    </t>
  </si>
  <si>
    <t xml:space="preserve">20120632403    </t>
  </si>
  <si>
    <t xml:space="preserve">20120634498    </t>
  </si>
  <si>
    <t xml:space="preserve">20120634496    </t>
  </si>
  <si>
    <t xml:space="preserve">20120634500    </t>
  </si>
  <si>
    <t xml:space="preserve">20120634530    </t>
  </si>
  <si>
    <t xml:space="preserve">20120634531    </t>
  </si>
  <si>
    <t xml:space="preserve">20120634533    </t>
  </si>
  <si>
    <t xml:space="preserve">20120634517    </t>
  </si>
  <si>
    <t xml:space="preserve">20120634532    </t>
  </si>
  <si>
    <t xml:space="preserve">20120634523    </t>
  </si>
  <si>
    <t xml:space="preserve">20120634518    </t>
  </si>
  <si>
    <t xml:space="preserve">20120634512    </t>
  </si>
  <si>
    <t xml:space="preserve">20120634516    </t>
  </si>
  <si>
    <t xml:space="preserve">20120634504    </t>
  </si>
  <si>
    <t xml:space="preserve">20120634513    </t>
  </si>
  <si>
    <t xml:space="preserve">20120634519    </t>
  </si>
  <si>
    <t xml:space="preserve">20120634525    </t>
  </si>
  <si>
    <t xml:space="preserve">20120634503    </t>
  </si>
  <si>
    <t xml:space="preserve">20120634529    </t>
  </si>
  <si>
    <t xml:space="preserve">20120634526    </t>
  </si>
  <si>
    <t xml:space="preserve">20120632410    </t>
  </si>
  <si>
    <t xml:space="preserve">20120632428    </t>
  </si>
  <si>
    <t xml:space="preserve">20120632412    </t>
  </si>
  <si>
    <t xml:space="preserve">20120632417    </t>
  </si>
  <si>
    <t xml:space="preserve">20120634522    </t>
  </si>
  <si>
    <t xml:space="preserve">20120632419    </t>
  </si>
  <si>
    <t xml:space="preserve">20120634514    </t>
  </si>
  <si>
    <t xml:space="preserve">20120634515    </t>
  </si>
  <si>
    <t xml:space="preserve">20120634520    </t>
  </si>
  <si>
    <t xml:space="preserve">20120632411    </t>
  </si>
  <si>
    <t xml:space="preserve">20120632424    </t>
  </si>
  <si>
    <t xml:space="preserve">20120632414    </t>
  </si>
  <si>
    <t xml:space="preserve">20120634495    </t>
  </si>
  <si>
    <t xml:space="preserve">20120632413    </t>
  </si>
  <si>
    <t xml:space="preserve">20120632402    </t>
  </si>
  <si>
    <t xml:space="preserve">20120633482    </t>
  </si>
  <si>
    <t xml:space="preserve">20120634539    </t>
  </si>
  <si>
    <t xml:space="preserve">20120632408    </t>
  </si>
  <si>
    <t xml:space="preserve">20120634493    </t>
  </si>
  <si>
    <t xml:space="preserve">20120634538    </t>
  </si>
  <si>
    <t xml:space="preserve">20120634535    </t>
  </si>
  <si>
    <t xml:space="preserve">20120634537    </t>
  </si>
  <si>
    <t xml:space="preserve">20120634536    </t>
  </si>
  <si>
    <t xml:space="preserve">20120634528    </t>
  </si>
  <si>
    <t xml:space="preserve">20120634507    </t>
  </si>
  <si>
    <t xml:space="preserve">20120634508    </t>
  </si>
  <si>
    <t xml:space="preserve">20120634521    </t>
  </si>
  <si>
    <t xml:space="preserve">20120634494    </t>
  </si>
  <si>
    <t xml:space="preserve">19120134435    </t>
  </si>
  <si>
    <t xml:space="preserve">19133614408    </t>
  </si>
  <si>
    <t xml:space="preserve">20120632406    </t>
  </si>
  <si>
    <t xml:space="preserve">20120632433    </t>
  </si>
  <si>
    <t xml:space="preserve">20120632431    </t>
  </si>
  <si>
    <t xml:space="preserve">20120632432    </t>
  </si>
  <si>
    <t xml:space="preserve">20120632434    </t>
  </si>
  <si>
    <t xml:space="preserve">20120632430    </t>
  </si>
  <si>
    <t xml:space="preserve">20120632422    </t>
  </si>
  <si>
    <t xml:space="preserve">20120632425    </t>
  </si>
  <si>
    <t xml:space="preserve">20120632427    </t>
  </si>
  <si>
    <t xml:space="preserve">20120632420    </t>
  </si>
  <si>
    <t xml:space="preserve">20120632415    </t>
  </si>
  <si>
    <t xml:space="preserve">20120632418    </t>
  </si>
  <si>
    <t xml:space="preserve">20120632409    </t>
  </si>
  <si>
    <t xml:space="preserve">20120632416    </t>
  </si>
  <si>
    <t xml:space="preserve">20120632423    </t>
  </si>
  <si>
    <t xml:space="preserve">20120632426    </t>
  </si>
  <si>
    <t xml:space="preserve">20120632421    </t>
  </si>
  <si>
    <t xml:space="preserve">20120632401    </t>
  </si>
  <si>
    <t xml:space="preserve">20120632435    </t>
  </si>
  <si>
    <t xml:space="preserve">20120632429    </t>
  </si>
  <si>
    <t xml:space="preserve">20120632436    </t>
  </si>
  <si>
    <t xml:space="preserve">19133613401    </t>
  </si>
  <si>
    <t xml:space="preserve">19133613403    </t>
  </si>
  <si>
    <t xml:space="preserve">19133614407    </t>
  </si>
  <si>
    <t xml:space="preserve">19133521400    </t>
  </si>
  <si>
    <t/>
  </si>
  <si>
    <t xml:space="preserve">19133614008    </t>
  </si>
  <si>
    <t xml:space="preserve">19133644413    </t>
  </si>
  <si>
    <t xml:space="preserve">19133641404    </t>
  </si>
  <si>
    <t xml:space="preserve">20120634481    </t>
  </si>
  <si>
    <t xml:space="preserve">20120634459    </t>
  </si>
  <si>
    <t xml:space="preserve">20120634444    </t>
  </si>
  <si>
    <t xml:space="preserve">20120634465    </t>
  </si>
  <si>
    <t xml:space="preserve">20120634469    </t>
  </si>
  <si>
    <t xml:space="preserve">20120634484    </t>
  </si>
  <si>
    <t xml:space="preserve">20120634445    </t>
  </si>
  <si>
    <t xml:space="preserve">20120634446    </t>
  </si>
  <si>
    <t xml:space="preserve">20120634442    </t>
  </si>
  <si>
    <t xml:space="preserve">20120634443    </t>
  </si>
  <si>
    <t xml:space="preserve">20120634448    </t>
  </si>
  <si>
    <t xml:space="preserve">20120634441    </t>
  </si>
  <si>
    <t xml:space="preserve">20120634447    </t>
  </si>
  <si>
    <t xml:space="preserve">20120634480    </t>
  </si>
  <si>
    <t xml:space="preserve">20120634479    </t>
  </si>
  <si>
    <t xml:space="preserve">19120212403    </t>
  </si>
  <si>
    <t xml:space="preserve">19120114417    </t>
  </si>
  <si>
    <t>325</t>
  </si>
  <si>
    <t>PE</t>
  </si>
  <si>
    <t>gd</t>
  </si>
  <si>
    <t xml:space="preserve">19120114418    </t>
  </si>
  <si>
    <t xml:space="preserve">20120634417    </t>
  </si>
  <si>
    <t xml:space="preserve">20120634467    </t>
  </si>
  <si>
    <t xml:space="preserve">20120634408    </t>
  </si>
  <si>
    <t xml:space="preserve">20120634403    </t>
  </si>
  <si>
    <t xml:space="preserve">20120634404    </t>
  </si>
  <si>
    <t xml:space="preserve">20120634455    </t>
  </si>
  <si>
    <t xml:space="preserve">20120634471    </t>
  </si>
  <si>
    <t xml:space="preserve">20120634466    </t>
  </si>
  <si>
    <t xml:space="preserve">20120634468    </t>
  </si>
  <si>
    <t xml:space="preserve">20120634476    </t>
  </si>
  <si>
    <t xml:space="preserve">20120634420    </t>
  </si>
  <si>
    <t xml:space="preserve">20120634472    </t>
  </si>
  <si>
    <t xml:space="preserve">20120634473    </t>
  </si>
  <si>
    <t xml:space="preserve">20120634483    </t>
  </si>
  <si>
    <t xml:space="preserve">20120634478    </t>
  </si>
  <si>
    <t xml:space="preserve">20120634477    </t>
  </si>
  <si>
    <t xml:space="preserve">20120634482    </t>
  </si>
  <si>
    <t xml:space="preserve">20120634454    </t>
  </si>
  <si>
    <t xml:space="preserve">20120634452    </t>
  </si>
  <si>
    <t xml:space="preserve">20120634462    </t>
  </si>
  <si>
    <t xml:space="preserve">20120634451    </t>
  </si>
  <si>
    <t xml:space="preserve">20120634464    </t>
  </si>
  <si>
    <t xml:space="preserve">20120634463    </t>
  </si>
  <si>
    <t xml:space="preserve">20120634449    </t>
  </si>
  <si>
    <t xml:space="preserve">20120634450    </t>
  </si>
  <si>
    <t xml:space="preserve">20120634461    </t>
  </si>
  <si>
    <t xml:space="preserve">20120634453    </t>
  </si>
  <si>
    <t xml:space="preserve">20120634474    </t>
  </si>
  <si>
    <t xml:space="preserve">20120634460    </t>
  </si>
  <si>
    <t xml:space="preserve">20120634470    </t>
  </si>
  <si>
    <t xml:space="preserve">20120634475    </t>
  </si>
  <si>
    <t xml:space="preserve">20120634487    </t>
  </si>
  <si>
    <t xml:space="preserve">20120634456    </t>
  </si>
  <si>
    <t xml:space="preserve">20120634486    </t>
  </si>
  <si>
    <t xml:space="preserve">20120634488    </t>
  </si>
  <si>
    <t xml:space="preserve">20120634485    </t>
  </si>
  <si>
    <t xml:space="preserve">20120634489    </t>
  </si>
  <si>
    <t xml:space="preserve">19120114416    </t>
  </si>
  <si>
    <t xml:space="preserve">20120634402    </t>
  </si>
  <si>
    <t xml:space="preserve">20120634424    </t>
  </si>
  <si>
    <t xml:space="preserve">20120634433    </t>
  </si>
  <si>
    <t xml:space="preserve">20120634426    </t>
  </si>
  <si>
    <t xml:space="preserve">20120634434    </t>
  </si>
  <si>
    <t xml:space="preserve">20120634429    </t>
  </si>
  <si>
    <t xml:space="preserve">20120634425    </t>
  </si>
  <si>
    <t xml:space="preserve">20120634428    </t>
  </si>
  <si>
    <t xml:space="preserve">19120131474    </t>
  </si>
  <si>
    <t xml:space="preserve">20120622405    </t>
  </si>
  <si>
    <t xml:space="preserve">20120634421    </t>
  </si>
  <si>
    <t xml:space="preserve">20120634419    </t>
  </si>
  <si>
    <t xml:space="preserve">20120634405    </t>
  </si>
  <si>
    <t xml:space="preserve">20120634418    </t>
  </si>
  <si>
    <t xml:space="preserve">20120634406    </t>
  </si>
  <si>
    <t xml:space="preserve">20120634401    </t>
  </si>
  <si>
    <t xml:space="preserve">20120634407    </t>
  </si>
  <si>
    <t xml:space="preserve">20120634416    </t>
  </si>
  <si>
    <t xml:space="preserve">20120634412    </t>
  </si>
  <si>
    <t xml:space="preserve">20120634423    </t>
  </si>
  <si>
    <t xml:space="preserve">20120634436    </t>
  </si>
  <si>
    <t xml:space="preserve">20120634427    </t>
  </si>
  <si>
    <t xml:space="preserve">20120634430    </t>
  </si>
  <si>
    <t xml:space="preserve">20120634413    </t>
  </si>
  <si>
    <t xml:space="preserve">20120634410    </t>
  </si>
  <si>
    <t xml:space="preserve">20120634431    </t>
  </si>
  <si>
    <t xml:space="preserve">20120634435    </t>
  </si>
  <si>
    <t xml:space="preserve">20120634432    </t>
  </si>
  <si>
    <t xml:space="preserve">20120634437    </t>
  </si>
  <si>
    <t xml:space="preserve">20120634415    </t>
  </si>
  <si>
    <t xml:space="preserve">20120633500    </t>
  </si>
  <si>
    <t xml:space="preserve">20120633498    </t>
  </si>
  <si>
    <t xml:space="preserve">20120633497    </t>
  </si>
  <si>
    <t xml:space="preserve">20120633499    </t>
  </si>
  <si>
    <t xml:space="preserve">20120633502    </t>
  </si>
  <si>
    <t xml:space="preserve">20120633501    </t>
  </si>
  <si>
    <t xml:space="preserve">20120633485    </t>
  </si>
  <si>
    <t xml:space="preserve">20120633484    </t>
  </si>
  <si>
    <t>400</t>
  </si>
  <si>
    <t xml:space="preserve">20120633481    </t>
  </si>
  <si>
    <t xml:space="preserve">20120634422    </t>
  </si>
  <si>
    <t xml:space="preserve">20120633526    </t>
  </si>
  <si>
    <t xml:space="preserve">20120633494    </t>
  </si>
  <si>
    <t xml:space="preserve">20120633519    </t>
  </si>
  <si>
    <t xml:space="preserve">20120633512    </t>
  </si>
  <si>
    <t xml:space="preserve">20120633515    </t>
  </si>
  <si>
    <t xml:space="preserve">20120633490    </t>
  </si>
  <si>
    <t xml:space="preserve">20120633520    </t>
  </si>
  <si>
    <t xml:space="preserve">20120633521    </t>
  </si>
  <si>
    <t xml:space="preserve">20120633493    </t>
  </si>
  <si>
    <t xml:space="preserve">20120633525    </t>
  </si>
  <si>
    <t xml:space="preserve">20120633527    </t>
  </si>
  <si>
    <t xml:space="preserve">20120633517    </t>
  </si>
  <si>
    <t xml:space="preserve">20120633516    </t>
  </si>
  <si>
    <t xml:space="preserve">20120633491    </t>
  </si>
  <si>
    <t xml:space="preserve">20120634414    </t>
  </si>
  <si>
    <t xml:space="preserve">19120143012    </t>
  </si>
  <si>
    <t xml:space="preserve">20120633473    </t>
  </si>
  <si>
    <t xml:space="preserve">20120633503    </t>
  </si>
  <si>
    <t xml:space="preserve">20120633438    </t>
  </si>
  <si>
    <t xml:space="preserve">20120633463    </t>
  </si>
  <si>
    <t xml:space="preserve">20120633445    </t>
  </si>
  <si>
    <t xml:space="preserve">20120633504    </t>
  </si>
  <si>
    <t xml:space="preserve">20120633483    </t>
  </si>
  <si>
    <t xml:space="preserve">20120633496    </t>
  </si>
  <si>
    <t xml:space="preserve">20120633492    </t>
  </si>
  <si>
    <t xml:space="preserve">20120633523    </t>
  </si>
  <si>
    <t xml:space="preserve">20120633528    </t>
  </si>
  <si>
    <t xml:space="preserve">20120633529    </t>
  </si>
  <si>
    <t xml:space="preserve">20120633495    </t>
  </si>
  <si>
    <t xml:space="preserve">20120633489    </t>
  </si>
  <si>
    <t xml:space="preserve">20120633530    </t>
  </si>
  <si>
    <t xml:space="preserve">20120633524    </t>
  </si>
  <si>
    <t xml:space="preserve">20120633505    </t>
  </si>
  <si>
    <t xml:space="preserve">20120633522    </t>
  </si>
  <si>
    <t xml:space="preserve">20120634411    </t>
  </si>
  <si>
    <t xml:space="preserve">20120633509    </t>
  </si>
  <si>
    <t xml:space="preserve">20120633518    </t>
  </si>
  <si>
    <t xml:space="preserve">20120634409    </t>
  </si>
  <si>
    <t xml:space="preserve">20120633471    </t>
  </si>
  <si>
    <t xml:space="preserve">20120633405    </t>
  </si>
  <si>
    <t xml:space="preserve">20120633461    </t>
  </si>
  <si>
    <t xml:space="preserve">20120633464    </t>
  </si>
  <si>
    <t xml:space="preserve">20120633459    </t>
  </si>
  <si>
    <t xml:space="preserve">20120633462    </t>
  </si>
  <si>
    <t xml:space="preserve">20120633418    </t>
  </si>
  <si>
    <t xml:space="preserve">20120633469    </t>
  </si>
  <si>
    <t xml:space="preserve">20120633460    </t>
  </si>
  <si>
    <t xml:space="preserve">20120633426    </t>
  </si>
  <si>
    <t xml:space="preserve">20120633420    </t>
  </si>
  <si>
    <t xml:space="preserve">20120633424    </t>
  </si>
  <si>
    <t xml:space="preserve">20120633457    </t>
  </si>
  <si>
    <t xml:space="preserve">20120633410    </t>
  </si>
  <si>
    <t xml:space="preserve">20120633446    </t>
  </si>
  <si>
    <t xml:space="preserve">20120633440    </t>
  </si>
  <si>
    <t xml:space="preserve">20120633412    </t>
  </si>
  <si>
    <t xml:space="preserve">20120633470    </t>
  </si>
  <si>
    <t xml:space="preserve">20120633413    </t>
  </si>
  <si>
    <t xml:space="preserve">20120633488    </t>
  </si>
  <si>
    <t xml:space="preserve">20120633487    </t>
  </si>
  <si>
    <t xml:space="preserve">20120633401    </t>
  </si>
  <si>
    <t xml:space="preserve">20120633486    </t>
  </si>
  <si>
    <t xml:space="preserve">20120633510    </t>
  </si>
  <si>
    <t xml:space="preserve">20120633511    </t>
  </si>
  <si>
    <t xml:space="preserve">20120633508    </t>
  </si>
  <si>
    <t xml:space="preserve">20120633506    </t>
  </si>
  <si>
    <t xml:space="preserve">20120633429    </t>
  </si>
  <si>
    <t xml:space="preserve">20120633507    </t>
  </si>
  <si>
    <t xml:space="preserve">20120633514    </t>
  </si>
  <si>
    <t xml:space="preserve">20120633513    </t>
  </si>
  <si>
    <t xml:space="preserve">20120633531    </t>
  </si>
  <si>
    <t xml:space="preserve">19120114405    </t>
  </si>
  <si>
    <t xml:space="preserve">19133624013    </t>
  </si>
  <si>
    <t xml:space="preserve">19133512409    </t>
  </si>
  <si>
    <t xml:space="preserve">20120633472    </t>
  </si>
  <si>
    <t xml:space="preserve">20120633474    </t>
  </si>
  <si>
    <t xml:space="preserve">20120633475    </t>
  </si>
  <si>
    <t xml:space="preserve">20120633422    </t>
  </si>
  <si>
    <t xml:space="preserve">20120633454    </t>
  </si>
  <si>
    <t xml:space="preserve">20120633443    </t>
  </si>
  <si>
    <t xml:space="preserve">20120633403    </t>
  </si>
  <si>
    <t xml:space="preserve">20120633416    </t>
  </si>
  <si>
    <t xml:space="preserve">20120633465    </t>
  </si>
  <si>
    <t xml:space="preserve">20120633442    </t>
  </si>
  <si>
    <t xml:space="preserve">20120633450    </t>
  </si>
  <si>
    <t xml:space="preserve">20120633452    </t>
  </si>
  <si>
    <t xml:space="preserve">20120633421    </t>
  </si>
  <si>
    <t xml:space="preserve">20120633447    </t>
  </si>
  <si>
    <t xml:space="preserve">20120633456    </t>
  </si>
  <si>
    <t xml:space="preserve">20120633468    </t>
  </si>
  <si>
    <t xml:space="preserve">20120633423    </t>
  </si>
  <si>
    <t xml:space="preserve">20120633415    </t>
  </si>
  <si>
    <t xml:space="preserve">20120633428    </t>
  </si>
  <si>
    <t xml:space="preserve">20120633414    </t>
  </si>
  <si>
    <t xml:space="preserve">20120633425    </t>
  </si>
  <si>
    <t xml:space="preserve">20120633451    </t>
  </si>
  <si>
    <t xml:space="preserve">20120633453    </t>
  </si>
  <si>
    <t xml:space="preserve">20120633444    </t>
  </si>
  <si>
    <t xml:space="preserve">20120633455    </t>
  </si>
  <si>
    <t xml:space="preserve">20120633417    </t>
  </si>
  <si>
    <t xml:space="preserve">20120633427    </t>
  </si>
  <si>
    <t xml:space="preserve">20120633458    </t>
  </si>
  <si>
    <t xml:space="preserve">20120633437    </t>
  </si>
  <si>
    <t xml:space="preserve">20120633448    </t>
  </si>
  <si>
    <t xml:space="preserve">19120113552    </t>
  </si>
  <si>
    <t xml:space="preserve">20120633466    </t>
  </si>
  <si>
    <t xml:space="preserve">20120633449    </t>
  </si>
  <si>
    <t xml:space="preserve">20120633436    </t>
  </si>
  <si>
    <t xml:space="preserve">20120633435    </t>
  </si>
  <si>
    <t xml:space="preserve">20120633431    </t>
  </si>
  <si>
    <t xml:space="preserve">20120633432    </t>
  </si>
  <si>
    <t xml:space="preserve">20120633407    </t>
  </si>
  <si>
    <t xml:space="preserve">19120131541    </t>
  </si>
  <si>
    <t xml:space="preserve">20133133402    </t>
  </si>
  <si>
    <t xml:space="preserve">20120622406    </t>
  </si>
  <si>
    <t xml:space="preserve">20120633419    </t>
  </si>
  <si>
    <t xml:space="preserve">19120113582    </t>
  </si>
  <si>
    <t xml:space="preserve">20120633406    </t>
  </si>
  <si>
    <t xml:space="preserve">19120113585    </t>
  </si>
  <si>
    <t xml:space="preserve">19120113579    </t>
  </si>
  <si>
    <t xml:space="preserve">19120113584    </t>
  </si>
  <si>
    <t xml:space="preserve">19120113588    </t>
  </si>
  <si>
    <t xml:space="preserve">19120113575    </t>
  </si>
  <si>
    <t xml:space="preserve">19120113604    </t>
  </si>
  <si>
    <t xml:space="preserve">19120113566    </t>
  </si>
  <si>
    <t xml:space="preserve">19120113600    </t>
  </si>
  <si>
    <t xml:space="preserve">19120113576    </t>
  </si>
  <si>
    <t xml:space="preserve">19120113601    </t>
  </si>
  <si>
    <t xml:space="preserve">19120113564    </t>
  </si>
  <si>
    <t xml:space="preserve">19120113590    </t>
  </si>
  <si>
    <t xml:space="preserve">19120113591    </t>
  </si>
  <si>
    <t xml:space="preserve">19120113587    </t>
  </si>
  <si>
    <t xml:space="preserve">20120633441    </t>
  </si>
  <si>
    <t xml:space="preserve">20120633404    </t>
  </si>
  <si>
    <t xml:space="preserve">19120113608    </t>
  </si>
  <si>
    <t xml:space="preserve">19120113598    </t>
  </si>
  <si>
    <t xml:space="preserve">19120113581    </t>
  </si>
  <si>
    <t xml:space="preserve">19120113572    </t>
  </si>
  <si>
    <t xml:space="preserve">19120113574    </t>
  </si>
  <si>
    <t xml:space="preserve">19120113567    </t>
  </si>
  <si>
    <t xml:space="preserve">19120113607    </t>
  </si>
  <si>
    <t xml:space="preserve">19120113578    </t>
  </si>
  <si>
    <t xml:space="preserve">19120113577    </t>
  </si>
  <si>
    <t xml:space="preserve">19120113565    </t>
  </si>
  <si>
    <t xml:space="preserve">20120633467    </t>
  </si>
  <si>
    <t xml:space="preserve">20120633439    </t>
  </si>
  <si>
    <t xml:space="preserve">20120633402    </t>
  </si>
  <si>
    <t xml:space="preserve">20120633409    </t>
  </si>
  <si>
    <t xml:space="preserve">20120633434    </t>
  </si>
  <si>
    <t xml:space="preserve">20120633430    </t>
  </si>
  <si>
    <t xml:space="preserve">20120633433    </t>
  </si>
  <si>
    <t xml:space="preserve">20120633408    </t>
  </si>
  <si>
    <t xml:space="preserve">19120134025    </t>
  </si>
  <si>
    <t xml:space="preserve">19133614405    </t>
  </si>
  <si>
    <t xml:space="preserve">19120112474    </t>
  </si>
  <si>
    <t xml:space="preserve">19120112415    </t>
  </si>
  <si>
    <t xml:space="preserve">19120112464    </t>
  </si>
  <si>
    <t xml:space="preserve">19120112433    </t>
  </si>
  <si>
    <t xml:space="preserve">19120112465    </t>
  </si>
  <si>
    <t xml:space="preserve">19120112412    </t>
  </si>
  <si>
    <t xml:space="preserve">19120112439    </t>
  </si>
  <si>
    <t xml:space="preserve">19120113493    </t>
  </si>
  <si>
    <t xml:space="preserve">19120113516    </t>
  </si>
  <si>
    <t xml:space="preserve">19120112422    </t>
  </si>
  <si>
    <t xml:space="preserve">19120112462    </t>
  </si>
  <si>
    <t xml:space="preserve">19120112444    </t>
  </si>
  <si>
    <t xml:space="preserve">19120112423    </t>
  </si>
  <si>
    <t xml:space="preserve">19120112463    </t>
  </si>
  <si>
    <t xml:space="preserve">19120112447    </t>
  </si>
  <si>
    <t xml:space="preserve">19120113603    </t>
  </si>
  <si>
    <t xml:space="preserve">19120112479    </t>
  </si>
  <si>
    <t xml:space="preserve">19120112417    </t>
  </si>
  <si>
    <t xml:space="preserve">19120113559    </t>
  </si>
  <si>
    <t xml:space="preserve">19120112451    </t>
  </si>
  <si>
    <t xml:space="preserve">19120113571    </t>
  </si>
  <si>
    <t xml:space="preserve">19120113563    </t>
  </si>
  <si>
    <t xml:space="preserve">19120112438    </t>
  </si>
  <si>
    <t xml:space="preserve">19120113519    </t>
  </si>
  <si>
    <t xml:space="preserve">19120113570    </t>
  </si>
  <si>
    <t xml:space="preserve">19120112469    </t>
  </si>
  <si>
    <t xml:space="preserve">19120113540    </t>
  </si>
  <si>
    <t xml:space="preserve">19120112421    </t>
  </si>
  <si>
    <t xml:space="preserve">19120113573    </t>
  </si>
  <si>
    <t xml:space="preserve">19120112471    </t>
  </si>
  <si>
    <t xml:space="preserve">19120112429    </t>
  </si>
  <si>
    <t xml:space="preserve">19120113593    </t>
  </si>
  <si>
    <t xml:space="preserve">19120113568    </t>
  </si>
  <si>
    <t xml:space="preserve">19120112472    </t>
  </si>
  <si>
    <t xml:space="preserve">19120112476    </t>
  </si>
  <si>
    <t xml:space="preserve">19120112435    </t>
  </si>
  <si>
    <t xml:space="preserve">19120112441    </t>
  </si>
  <si>
    <t xml:space="preserve">19120113605    </t>
  </si>
  <si>
    <t xml:space="preserve">19120112431    </t>
  </si>
  <si>
    <t xml:space="preserve">19120113597    </t>
  </si>
  <si>
    <t xml:space="preserve">19120112448    </t>
  </si>
  <si>
    <t xml:space="preserve">19120113586    </t>
  </si>
  <si>
    <t xml:space="preserve">19120112440    </t>
  </si>
  <si>
    <t xml:space="preserve">19120112446    </t>
  </si>
  <si>
    <t xml:space="preserve">19120113422    </t>
  </si>
  <si>
    <t xml:space="preserve">19120112445    </t>
  </si>
  <si>
    <t xml:space="preserve">19120112442    </t>
  </si>
  <si>
    <t xml:space="preserve">19120112467    </t>
  </si>
  <si>
    <t xml:space="preserve">19120113561    </t>
  </si>
  <si>
    <t xml:space="preserve">19120112478    </t>
  </si>
  <si>
    <t xml:space="preserve">19120113421    </t>
  </si>
  <si>
    <t xml:space="preserve">19120112427    </t>
  </si>
  <si>
    <t xml:space="preserve">19120112436    </t>
  </si>
  <si>
    <t xml:space="preserve">19120112425    </t>
  </si>
  <si>
    <t xml:space="preserve">19120113490    </t>
  </si>
  <si>
    <t xml:space="preserve">19120112461    </t>
  </si>
  <si>
    <t xml:space="preserve">19120112413    </t>
  </si>
  <si>
    <t xml:space="preserve">19120112424    </t>
  </si>
  <si>
    <t xml:space="preserve">19120113520    </t>
  </si>
  <si>
    <t xml:space="preserve">19120113589    </t>
  </si>
  <si>
    <t xml:space="preserve">19120112426    </t>
  </si>
  <si>
    <t xml:space="preserve">19120112443    </t>
  </si>
  <si>
    <t xml:space="preserve">19120112430    </t>
  </si>
  <si>
    <t xml:space="preserve">19120113524    </t>
  </si>
  <si>
    <t xml:space="preserve">19120112468    </t>
  </si>
  <si>
    <t xml:space="preserve">19120113599    </t>
  </si>
  <si>
    <t xml:space="preserve">19120113592    </t>
  </si>
  <si>
    <t xml:space="preserve">19120113488    </t>
  </si>
  <si>
    <t xml:space="preserve">19120112475    </t>
  </si>
  <si>
    <t xml:space="preserve">19120113596    </t>
  </si>
  <si>
    <t xml:space="preserve">19120113602    </t>
  </si>
  <si>
    <t xml:space="preserve">19120113569    </t>
  </si>
  <si>
    <t xml:space="preserve">19120113595    </t>
  </si>
  <si>
    <t xml:space="preserve">19120112449    </t>
  </si>
  <si>
    <t xml:space="preserve">19120113594    </t>
  </si>
  <si>
    <t xml:space="preserve">19120112432    </t>
  </si>
  <si>
    <t xml:space="preserve">19120113580    </t>
  </si>
  <si>
    <t xml:space="preserve">19120113606    </t>
  </si>
  <si>
    <t xml:space="preserve">19120113583    </t>
  </si>
  <si>
    <t xml:space="preserve">19120112434    </t>
  </si>
  <si>
    <t xml:space="preserve">19120112450    </t>
  </si>
  <si>
    <t xml:space="preserve">19120113537    </t>
  </si>
  <si>
    <t xml:space="preserve">19120113556    </t>
  </si>
  <si>
    <t xml:space="preserve">19120113558    </t>
  </si>
  <si>
    <t xml:space="preserve">19120113551    </t>
  </si>
  <si>
    <t xml:space="preserve">19120112483    </t>
  </si>
  <si>
    <t xml:space="preserve">19120112470    </t>
  </si>
  <si>
    <t xml:space="preserve">19120112477    </t>
  </si>
  <si>
    <t xml:space="preserve">19120113562    </t>
  </si>
  <si>
    <t xml:space="preserve">19120113554    </t>
  </si>
  <si>
    <t xml:space="preserve">19120112473    </t>
  </si>
  <si>
    <t xml:space="preserve">19120112437    </t>
  </si>
  <si>
    <t xml:space="preserve">19120112428    </t>
  </si>
  <si>
    <t xml:space="preserve">19120112452    </t>
  </si>
  <si>
    <t xml:space="preserve">19120113461    </t>
  </si>
  <si>
    <t xml:space="preserve">19120112466    </t>
  </si>
  <si>
    <t xml:space="preserve">19120114408    </t>
  </si>
  <si>
    <t xml:space="preserve">19120112458    </t>
  </si>
  <si>
    <t xml:space="preserve">19120112482    </t>
  </si>
  <si>
    <t xml:space="preserve">19120112459    </t>
  </si>
  <si>
    <t xml:space="preserve">19120112460    </t>
  </si>
  <si>
    <t xml:space="preserve">19120112457    </t>
  </si>
  <si>
    <t xml:space="preserve">19120112455    </t>
  </si>
  <si>
    <t xml:space="preserve">19120112454    </t>
  </si>
  <si>
    <t xml:space="preserve">19120112456    </t>
  </si>
  <si>
    <t xml:space="preserve">19120112481    </t>
  </si>
  <si>
    <t xml:space="preserve">19120112480    </t>
  </si>
  <si>
    <t xml:space="preserve">19120112453    </t>
  </si>
  <si>
    <t xml:space="preserve">19120112484    </t>
  </si>
  <si>
    <t xml:space="preserve">19120114406    </t>
  </si>
  <si>
    <t xml:space="preserve">19133541412    </t>
  </si>
  <si>
    <t xml:space="preserve">20121022407    </t>
  </si>
  <si>
    <t xml:space="preserve">19121134401    </t>
  </si>
  <si>
    <t>83</t>
  </si>
  <si>
    <t xml:space="preserve">19120113487    </t>
  </si>
  <si>
    <t xml:space="preserve">19120113451    </t>
  </si>
  <si>
    <t xml:space="preserve">19120112408    </t>
  </si>
  <si>
    <t xml:space="preserve">19120113513    </t>
  </si>
  <si>
    <t xml:space="preserve">19120112416    </t>
  </si>
  <si>
    <t xml:space="preserve">19120113506    </t>
  </si>
  <si>
    <t xml:space="preserve">19120113495    </t>
  </si>
  <si>
    <t xml:space="preserve">19120113459    </t>
  </si>
  <si>
    <t xml:space="preserve">19120113486    </t>
  </si>
  <si>
    <t xml:space="preserve">19120112409    </t>
  </si>
  <si>
    <t xml:space="preserve">19120112418    </t>
  </si>
  <si>
    <t xml:space="preserve">19120113535    </t>
  </si>
  <si>
    <t xml:space="preserve">19120113512    </t>
  </si>
  <si>
    <t xml:space="preserve">19120113494    </t>
  </si>
  <si>
    <t xml:space="preserve">19120113505    </t>
  </si>
  <si>
    <t xml:space="preserve">19120113466    </t>
  </si>
  <si>
    <t xml:space="preserve">19120113464    </t>
  </si>
  <si>
    <t xml:space="preserve">19120113503    </t>
  </si>
  <si>
    <t xml:space="preserve">19120113456    </t>
  </si>
  <si>
    <t xml:space="preserve">19120112411    </t>
  </si>
  <si>
    <t xml:space="preserve">19120113479    </t>
  </si>
  <si>
    <t xml:space="preserve">19120113492    </t>
  </si>
  <si>
    <t xml:space="preserve">19120112410    </t>
  </si>
  <si>
    <t xml:space="preserve">19120113480    </t>
  </si>
  <si>
    <t xml:space="preserve">19120113498    </t>
  </si>
  <si>
    <t xml:space="preserve">19120113458    </t>
  </si>
  <si>
    <t xml:space="preserve">19120113523    </t>
  </si>
  <si>
    <t xml:space="preserve">19120113465    </t>
  </si>
  <si>
    <t xml:space="preserve">19120113452    </t>
  </si>
  <si>
    <t xml:space="preserve">19120113453    </t>
  </si>
  <si>
    <t xml:space="preserve">19120113500    </t>
  </si>
  <si>
    <t xml:space="preserve">19120113538    </t>
  </si>
  <si>
    <t xml:space="preserve">19120112407    </t>
  </si>
  <si>
    <t xml:space="preserve">19120113501    </t>
  </si>
  <si>
    <t xml:space="preserve">19120113497    </t>
  </si>
  <si>
    <t xml:space="preserve">19120113515    </t>
  </si>
  <si>
    <t xml:space="preserve">19120113476    </t>
  </si>
  <si>
    <t xml:space="preserve">19120113517    </t>
  </si>
  <si>
    <t xml:space="preserve">19120113477    </t>
  </si>
  <si>
    <t xml:space="preserve">19120113462    </t>
  </si>
  <si>
    <t xml:space="preserve">19120113541    </t>
  </si>
  <si>
    <t xml:space="preserve">19120113483    </t>
  </si>
  <si>
    <t xml:space="preserve">19120113454    </t>
  </si>
  <si>
    <t xml:space="preserve">19120113536    </t>
  </si>
  <si>
    <t xml:space="preserve">19120113521    </t>
  </si>
  <si>
    <t xml:space="preserve">19120113504    </t>
  </si>
  <si>
    <t xml:space="preserve">19120113518    </t>
  </si>
  <si>
    <t xml:space="preserve">19120112414    </t>
  </si>
  <si>
    <t xml:space="preserve">19120113496    </t>
  </si>
  <si>
    <t xml:space="preserve">19120113522    </t>
  </si>
  <si>
    <t xml:space="preserve">19120113539    </t>
  </si>
  <si>
    <t xml:space="preserve">19120113485    </t>
  </si>
  <si>
    <t xml:space="preserve">19120113511    </t>
  </si>
  <si>
    <t xml:space="preserve">19120113484    </t>
  </si>
  <si>
    <t xml:space="preserve">19120113455    </t>
  </si>
  <si>
    <t xml:space="preserve">19120113502    </t>
  </si>
  <si>
    <t xml:space="preserve">19120113514    </t>
  </si>
  <si>
    <t xml:space="preserve">19120113489    </t>
  </si>
  <si>
    <t xml:space="preserve">19120113553    </t>
  </si>
  <si>
    <t xml:space="preserve">19120113471    </t>
  </si>
  <si>
    <t xml:space="preserve">19120113467    </t>
  </si>
  <si>
    <t xml:space="preserve">19120113463    </t>
  </si>
  <si>
    <t xml:space="preserve">19120113555    </t>
  </si>
  <si>
    <t xml:space="preserve">19120113557    </t>
  </si>
  <si>
    <t xml:space="preserve">19120113470    </t>
  </si>
  <si>
    <t xml:space="preserve">19120113474    </t>
  </si>
  <si>
    <t xml:space="preserve">19120113475    </t>
  </si>
  <si>
    <t xml:space="preserve">19120113472    </t>
  </si>
  <si>
    <t xml:space="preserve">19120113473    </t>
  </si>
  <si>
    <t xml:space="preserve">19120113499    </t>
  </si>
  <si>
    <t xml:space="preserve">19120113560    </t>
  </si>
  <si>
    <t xml:space="preserve">19133541404    </t>
  </si>
  <si>
    <t xml:space="preserve">19120141537    </t>
  </si>
  <si>
    <t xml:space="preserve">19120141442    </t>
  </si>
  <si>
    <t xml:space="preserve">19120141527    </t>
  </si>
  <si>
    <t xml:space="preserve">19120141460    </t>
  </si>
  <si>
    <t xml:space="preserve">19120141461    </t>
  </si>
  <si>
    <t xml:space="preserve">19120141524    </t>
  </si>
  <si>
    <t xml:space="preserve">19120141444    </t>
  </si>
  <si>
    <t xml:space="preserve">19120141470    </t>
  </si>
  <si>
    <t xml:space="preserve">19120141452    </t>
  </si>
  <si>
    <t xml:space="preserve">19120141516    </t>
  </si>
  <si>
    <t xml:space="preserve">19120141466    </t>
  </si>
  <si>
    <t xml:space="preserve">19120141468    </t>
  </si>
  <si>
    <t xml:space="preserve">19120141539    </t>
  </si>
  <si>
    <t xml:space="preserve">19120141511    </t>
  </si>
  <si>
    <t xml:space="preserve">19120144448    </t>
  </si>
  <si>
    <t xml:space="preserve">19120141415    </t>
  </si>
  <si>
    <t xml:space="preserve">19120141419    </t>
  </si>
  <si>
    <t xml:space="preserve">19120141513    </t>
  </si>
  <si>
    <t xml:space="preserve">19120141476    </t>
  </si>
  <si>
    <t xml:space="preserve">19120141465    </t>
  </si>
  <si>
    <t xml:space="preserve">19120141473    </t>
  </si>
  <si>
    <t xml:space="preserve">19120141467    </t>
  </si>
  <si>
    <t xml:space="preserve">20120633411    </t>
  </si>
  <si>
    <t xml:space="preserve">19120141414    </t>
  </si>
  <si>
    <t xml:space="preserve">19120141464    </t>
  </si>
  <si>
    <t xml:space="preserve">19120141521    </t>
  </si>
  <si>
    <t xml:space="preserve">19120141423    </t>
  </si>
  <si>
    <t xml:space="preserve">19120141453    </t>
  </si>
  <si>
    <t xml:space="preserve">19120141463    </t>
  </si>
  <si>
    <t xml:space="preserve">19120141519    </t>
  </si>
  <si>
    <t xml:space="preserve">19120141457    </t>
  </si>
  <si>
    <t xml:space="preserve">19120141458    </t>
  </si>
  <si>
    <t xml:space="preserve">19120141459    </t>
  </si>
  <si>
    <t xml:space="preserve">19120141413    </t>
  </si>
  <si>
    <t xml:space="preserve">19120141418    </t>
  </si>
  <si>
    <t xml:space="preserve">19120141525    </t>
  </si>
  <si>
    <t xml:space="preserve">19120141532    </t>
  </si>
  <si>
    <t xml:space="preserve">19120141443    </t>
  </si>
  <si>
    <t xml:space="preserve">19120141517    </t>
  </si>
  <si>
    <t xml:space="preserve">19120141474    </t>
  </si>
  <si>
    <t xml:space="preserve">19120141449    </t>
  </si>
  <si>
    <t xml:space="preserve">19120141422    </t>
  </si>
  <si>
    <t xml:space="preserve">19120141469    </t>
  </si>
  <si>
    <t xml:space="preserve">19120141417    </t>
  </si>
  <si>
    <t xml:space="preserve">19120141538    </t>
  </si>
  <si>
    <t xml:space="preserve">19120141479    </t>
  </si>
  <si>
    <t xml:space="preserve">19120141477    </t>
  </si>
  <si>
    <t xml:space="preserve">19120141430    </t>
  </si>
  <si>
    <t xml:space="preserve">19120141462    </t>
  </si>
  <si>
    <t xml:space="preserve">19120141478    </t>
  </si>
  <si>
    <t xml:space="preserve">19120141515    </t>
  </si>
  <si>
    <t xml:space="preserve">19120141411    </t>
  </si>
  <si>
    <t xml:space="preserve">19120141534    </t>
  </si>
  <si>
    <t xml:space="preserve">19120141475    </t>
  </si>
  <si>
    <t xml:space="preserve">19120141424    </t>
  </si>
  <si>
    <t xml:space="preserve">19120141412    </t>
  </si>
  <si>
    <t xml:space="preserve">19120141546    </t>
  </si>
  <si>
    <t xml:space="preserve">19120141535    </t>
  </si>
  <si>
    <t xml:space="preserve">19120141471    </t>
  </si>
  <si>
    <t xml:space="preserve">19120141523    </t>
  </si>
  <si>
    <t xml:space="preserve">19120141520    </t>
  </si>
  <si>
    <t xml:space="preserve">19120141540    </t>
  </si>
  <si>
    <t xml:space="preserve">19120141518    </t>
  </si>
  <si>
    <t xml:space="preserve">19120141510    </t>
  </si>
  <si>
    <t xml:space="preserve">19120141522    </t>
  </si>
  <si>
    <t xml:space="preserve">19120141512    </t>
  </si>
  <si>
    <t xml:space="preserve">19120141416    </t>
  </si>
  <si>
    <t xml:space="preserve">19120141420    </t>
  </si>
  <si>
    <t xml:space="preserve">19120141533    </t>
  </si>
  <si>
    <t xml:space="preserve">19120141421    </t>
  </si>
  <si>
    <t xml:space="preserve">19120113481    </t>
  </si>
  <si>
    <t xml:space="preserve">19120141472    </t>
  </si>
  <si>
    <t xml:space="preserve">19120141549    </t>
  </si>
  <si>
    <t xml:space="preserve">19120113478    </t>
  </si>
  <si>
    <t xml:space="preserve">19120144479    </t>
  </si>
  <si>
    <t xml:space="preserve">19120113482    </t>
  </si>
  <si>
    <t xml:space="preserve">19120141553    </t>
  </si>
  <si>
    <t xml:space="preserve">19120141428    </t>
  </si>
  <si>
    <t xml:space="preserve">19120141429    </t>
  </si>
  <si>
    <t xml:space="preserve">19120141402    </t>
  </si>
  <si>
    <t xml:space="preserve">19120141451    </t>
  </si>
  <si>
    <t xml:space="preserve">19120141425    </t>
  </si>
  <si>
    <t xml:space="preserve">19120141542    </t>
  </si>
  <si>
    <t xml:space="preserve">19120141556    </t>
  </si>
  <si>
    <t xml:space="preserve">19120141404    </t>
  </si>
  <si>
    <t xml:space="preserve">19120141407    </t>
  </si>
  <si>
    <t xml:space="preserve">19120141432    </t>
  </si>
  <si>
    <t xml:space="preserve">19120141426    </t>
  </si>
  <si>
    <t xml:space="preserve">19120141406    </t>
  </si>
  <si>
    <t xml:space="preserve">19120141440    </t>
  </si>
  <si>
    <t xml:space="preserve">19120141550    </t>
  </si>
  <si>
    <t xml:space="preserve">19120141528    </t>
  </si>
  <si>
    <t xml:space="preserve">19120141446    </t>
  </si>
  <si>
    <t xml:space="preserve">19120141529    </t>
  </si>
  <si>
    <t xml:space="preserve">19120141405    </t>
  </si>
  <si>
    <t xml:space="preserve">19120141400    </t>
  </si>
  <si>
    <t xml:space="preserve">19120141554    </t>
  </si>
  <si>
    <t xml:space="preserve">19120113460    </t>
  </si>
  <si>
    <t xml:space="preserve">19120141448    </t>
  </si>
  <si>
    <t xml:space="preserve">19120141544    </t>
  </si>
  <si>
    <t xml:space="preserve">19120141541    </t>
  </si>
  <si>
    <t xml:space="preserve">19120141558    </t>
  </si>
  <si>
    <t xml:space="preserve">19120141427    </t>
  </si>
  <si>
    <t xml:space="preserve">19120141431    </t>
  </si>
  <si>
    <t xml:space="preserve">19120141555    </t>
  </si>
  <si>
    <t xml:space="preserve">19120141545    </t>
  </si>
  <si>
    <t xml:space="preserve">19120141547    </t>
  </si>
  <si>
    <t xml:space="preserve">19120141409    </t>
  </si>
  <si>
    <t xml:space="preserve">19120141530    </t>
  </si>
  <si>
    <t xml:space="preserve">19120141410    </t>
  </si>
  <si>
    <t xml:space="preserve">19120141456    </t>
  </si>
  <si>
    <t xml:space="preserve">19120141447    </t>
  </si>
  <si>
    <t xml:space="preserve">19120141531    </t>
  </si>
  <si>
    <t xml:space="preserve">19120141559    </t>
  </si>
  <si>
    <t xml:space="preserve">19120113469    </t>
  </si>
  <si>
    <t xml:space="preserve">19120141560    </t>
  </si>
  <si>
    <t xml:space="preserve">19120141408    </t>
  </si>
  <si>
    <t xml:space="preserve">19120141455    </t>
  </si>
  <si>
    <t xml:space="preserve">19120141551    </t>
  </si>
  <si>
    <t xml:space="preserve">19120141450    </t>
  </si>
  <si>
    <t xml:space="preserve">19120141439    </t>
  </si>
  <si>
    <t xml:space="preserve">19120141445    </t>
  </si>
  <si>
    <t xml:space="preserve">19120141543    </t>
  </si>
  <si>
    <t xml:space="preserve">19120141561    </t>
  </si>
  <si>
    <t xml:space="preserve">19120141403    </t>
  </si>
  <si>
    <t xml:space="preserve">19120141514    </t>
  </si>
  <si>
    <t xml:space="preserve">19120141557    </t>
  </si>
  <si>
    <t xml:space="preserve">19120141552    </t>
  </si>
  <si>
    <t xml:space="preserve">19120141487    </t>
  </si>
  <si>
    <t xml:space="preserve">19120141526    </t>
  </si>
  <si>
    <t xml:space="preserve">19120141433    </t>
  </si>
  <si>
    <t xml:space="preserve">19120113468    </t>
  </si>
  <si>
    <t xml:space="preserve">19120141435    </t>
  </si>
  <si>
    <t xml:space="preserve">19120141484    </t>
  </si>
  <si>
    <t xml:space="preserve">19120141482    </t>
  </si>
  <si>
    <t xml:space="preserve">19120141489    </t>
  </si>
  <si>
    <t xml:space="preserve">19120141434    </t>
  </si>
  <si>
    <t xml:space="preserve">19120141488    </t>
  </si>
  <si>
    <t xml:space="preserve">19120141481    </t>
  </si>
  <si>
    <t xml:space="preserve">19120141483    </t>
  </si>
  <si>
    <t xml:space="preserve">19120141490    </t>
  </si>
  <si>
    <t xml:space="preserve">19120141501    </t>
  </si>
  <si>
    <t xml:space="preserve">19120141503    </t>
  </si>
  <si>
    <t xml:space="preserve">19120141485    </t>
  </si>
  <si>
    <t xml:space="preserve">19120141504    </t>
  </si>
  <si>
    <t xml:space="preserve">19120141502    </t>
  </si>
  <si>
    <t xml:space="preserve">19120141486    </t>
  </si>
  <si>
    <t xml:space="preserve">19120141480    </t>
  </si>
  <si>
    <t xml:space="preserve">19120114404    </t>
  </si>
  <si>
    <t xml:space="preserve">19120141491    </t>
  </si>
  <si>
    <t xml:space="preserve">19120141505    </t>
  </si>
  <si>
    <t xml:space="preserve">19120141507    </t>
  </si>
  <si>
    <t xml:space="preserve">19120141509    </t>
  </si>
  <si>
    <t xml:space="preserve">19120141506    </t>
  </si>
  <si>
    <t xml:space="preserve">19120141508    </t>
  </si>
  <si>
    <t xml:space="preserve">19120114402    </t>
  </si>
  <si>
    <t xml:space="preserve">19120141492    </t>
  </si>
  <si>
    <t xml:space="preserve">19133542401    </t>
  </si>
  <si>
    <t xml:space="preserve">19120141536    </t>
  </si>
  <si>
    <t xml:space="preserve">19120144504    </t>
  </si>
  <si>
    <t xml:space="preserve">19120144505    </t>
  </si>
  <si>
    <t xml:space="preserve">19120144524    </t>
  </si>
  <si>
    <t xml:space="preserve">19120144516    </t>
  </si>
  <si>
    <t xml:space="preserve">19120144526    </t>
  </si>
  <si>
    <t xml:space="preserve">19120144446    </t>
  </si>
  <si>
    <t xml:space="preserve">19120144521    </t>
  </si>
  <si>
    <t xml:space="preserve">19120144507    </t>
  </si>
  <si>
    <t xml:space="preserve">19120144444    </t>
  </si>
  <si>
    <t xml:space="preserve">19120144450    </t>
  </si>
  <si>
    <t xml:space="preserve">19120144441    </t>
  </si>
  <si>
    <t xml:space="preserve">19120144543    </t>
  </si>
  <si>
    <t xml:space="preserve">19120144425    </t>
  </si>
  <si>
    <t xml:space="preserve">19120144558    </t>
  </si>
  <si>
    <t xml:space="preserve">19120144496    </t>
  </si>
  <si>
    <t xml:space="preserve">19120144473    </t>
  </si>
  <si>
    <t xml:space="preserve">19120144466    </t>
  </si>
  <si>
    <t xml:space="preserve">19120144442    </t>
  </si>
  <si>
    <t xml:space="preserve">19120144428    </t>
  </si>
  <si>
    <t xml:space="preserve">19120144518    </t>
  </si>
  <si>
    <t xml:space="preserve">19120144494    </t>
  </si>
  <si>
    <t xml:space="preserve">19120144443    </t>
  </si>
  <si>
    <t xml:space="preserve">19120144474    </t>
  </si>
  <si>
    <t xml:space="preserve">19120113491    </t>
  </si>
  <si>
    <t xml:space="preserve">19120144554    </t>
  </si>
  <si>
    <t xml:space="preserve">19120144434    </t>
  </si>
  <si>
    <t xml:space="preserve">19120144532    </t>
  </si>
  <si>
    <t xml:space="preserve">19120144556    </t>
  </si>
  <si>
    <t xml:space="preserve">19120144435    </t>
  </si>
  <si>
    <t xml:space="preserve">19120144557    </t>
  </si>
  <si>
    <t xml:space="preserve">19120144460    </t>
  </si>
  <si>
    <t xml:space="preserve">19120144433    </t>
  </si>
  <si>
    <t xml:space="preserve">19120144445    </t>
  </si>
  <si>
    <t xml:space="preserve">19120144545    </t>
  </si>
  <si>
    <t xml:space="preserve">19120144546    </t>
  </si>
  <si>
    <t xml:space="preserve">19120144456    </t>
  </si>
  <si>
    <t xml:space="preserve">19120144427    </t>
  </si>
  <si>
    <t xml:space="preserve">19120144490    </t>
  </si>
  <si>
    <t xml:space="preserve">19120144440    </t>
  </si>
  <si>
    <t xml:space="preserve">19120144426    </t>
  </si>
  <si>
    <t xml:space="preserve">19120141548    </t>
  </si>
  <si>
    <t xml:space="preserve">19120144470    </t>
  </si>
  <si>
    <t xml:space="preserve">19120144555    </t>
  </si>
  <si>
    <t xml:space="preserve">19120144464    </t>
  </si>
  <si>
    <t xml:space="preserve">19120144465    </t>
  </si>
  <si>
    <t xml:space="preserve">19120144471    </t>
  </si>
  <si>
    <t xml:space="preserve">19120144508    </t>
  </si>
  <si>
    <t xml:space="preserve">19120144495    </t>
  </si>
  <si>
    <t xml:space="preserve">19120144453    </t>
  </si>
  <si>
    <t xml:space="preserve">19120144449    </t>
  </si>
  <si>
    <t xml:space="preserve">19120144480    </t>
  </si>
  <si>
    <t xml:space="preserve">19120144491    </t>
  </si>
  <si>
    <t xml:space="preserve">19120144501    </t>
  </si>
  <si>
    <t xml:space="preserve">19120144447    </t>
  </si>
  <si>
    <t xml:space="preserve">19120144533    </t>
  </si>
  <si>
    <t xml:space="preserve">19120144451    </t>
  </si>
  <si>
    <t xml:space="preserve">19120144452    </t>
  </si>
  <si>
    <t xml:space="preserve">19120144436    </t>
  </si>
  <si>
    <t xml:space="preserve">19120144429    </t>
  </si>
  <si>
    <t xml:space="preserve">19120144459    </t>
  </si>
  <si>
    <t xml:space="preserve">19120144569    </t>
  </si>
  <si>
    <t xml:space="preserve">19120144467    </t>
  </si>
  <si>
    <t xml:space="preserve">19120144457    </t>
  </si>
  <si>
    <t xml:space="preserve">19120144477    </t>
  </si>
  <si>
    <t xml:space="preserve">19120144536    </t>
  </si>
  <si>
    <t xml:space="preserve">19120144476    </t>
  </si>
  <si>
    <t xml:space="preserve">19120144520    </t>
  </si>
  <si>
    <t xml:space="preserve">19120144486    </t>
  </si>
  <si>
    <t xml:space="preserve">19120144500    </t>
  </si>
  <si>
    <t xml:space="preserve">19120144535    </t>
  </si>
  <si>
    <t xml:space="preserve">19120144547    </t>
  </si>
  <si>
    <t xml:space="preserve">19120144544    </t>
  </si>
  <si>
    <t xml:space="preserve">19120144534    </t>
  </si>
  <si>
    <t xml:space="preserve">19120144420    </t>
  </si>
  <si>
    <t xml:space="preserve">19120144469    </t>
  </si>
  <si>
    <t xml:space="preserve">19120144461    </t>
  </si>
  <si>
    <t xml:space="preserve">19120144570    </t>
  </si>
  <si>
    <t xml:space="preserve">19120144455    </t>
  </si>
  <si>
    <t xml:space="preserve">19120144454    </t>
  </si>
  <si>
    <t xml:space="preserve">19120144492    </t>
  </si>
  <si>
    <t xml:space="preserve">19120144421    </t>
  </si>
  <si>
    <t xml:space="preserve">19120144462    </t>
  </si>
  <si>
    <t xml:space="preserve">19120144475    </t>
  </si>
  <si>
    <t xml:space="preserve">19120144468    </t>
  </si>
  <si>
    <t xml:space="preserve">19120144432    </t>
  </si>
  <si>
    <t xml:space="preserve">19120144510    </t>
  </si>
  <si>
    <t xml:space="preserve">19120113457    </t>
  </si>
  <si>
    <t xml:space="preserve">19120144472    </t>
  </si>
  <si>
    <t xml:space="preserve">19120144511    </t>
  </si>
  <si>
    <t xml:space="preserve">19120144478    </t>
  </si>
  <si>
    <t xml:space="preserve">19120144488    </t>
  </si>
  <si>
    <t xml:space="preserve">19120144487    </t>
  </si>
  <si>
    <t xml:space="preserve">19120144512    </t>
  </si>
  <si>
    <t xml:space="preserve">19120144513    </t>
  </si>
  <si>
    <t xml:space="preserve">19120144515    </t>
  </si>
  <si>
    <t xml:space="preserve">19120144485    </t>
  </si>
  <si>
    <t xml:space="preserve">19120144422    </t>
  </si>
  <si>
    <t xml:space="preserve">19120144548    </t>
  </si>
  <si>
    <t xml:space="preserve">19120144549    </t>
  </si>
  <si>
    <t xml:space="preserve">19120144571    </t>
  </si>
  <si>
    <t xml:space="preserve">19120144481    </t>
  </si>
  <si>
    <t xml:space="preserve">19120144517    </t>
  </si>
  <si>
    <t xml:space="preserve">19120144458    </t>
  </si>
  <si>
    <t xml:space="preserve">19120144514    </t>
  </si>
  <si>
    <t xml:space="preserve">19120144503    </t>
  </si>
  <si>
    <t xml:space="preserve">19120144463    </t>
  </si>
  <si>
    <t xml:space="preserve">19120144537    </t>
  </si>
  <si>
    <t xml:space="preserve">19120144523    </t>
  </si>
  <si>
    <t xml:space="preserve">19120144525    </t>
  </si>
  <si>
    <t xml:space="preserve">19120144519    </t>
  </si>
  <si>
    <t xml:space="preserve">19120144552    </t>
  </si>
  <si>
    <t xml:space="preserve">19120144553    </t>
  </si>
  <si>
    <t xml:space="preserve">19120144509    </t>
  </si>
  <si>
    <t xml:space="preserve">19120144493    </t>
  </si>
  <si>
    <t xml:space="preserve">19120144489    </t>
  </si>
  <si>
    <t xml:space="preserve">19120144522    </t>
  </si>
  <si>
    <t xml:space="preserve">19120144502    </t>
  </si>
  <si>
    <t xml:space="preserve">19120144484    </t>
  </si>
  <si>
    <t xml:space="preserve">19120144528    </t>
  </si>
  <si>
    <t xml:space="preserve">19120144541    </t>
  </si>
  <si>
    <t xml:space="preserve">19120144506    </t>
  </si>
  <si>
    <t xml:space="preserve">19120144529    </t>
  </si>
  <si>
    <t xml:space="preserve">19120144527    </t>
  </si>
  <si>
    <t xml:space="preserve">19120144567    </t>
  </si>
  <si>
    <t xml:space="preserve">19120144565    </t>
  </si>
  <si>
    <t xml:space="preserve">19120144578    </t>
  </si>
  <si>
    <t xml:space="preserve">19120144561    </t>
  </si>
  <si>
    <t xml:space="preserve">19120144572    </t>
  </si>
  <si>
    <t xml:space="preserve">19120144431    </t>
  </si>
  <si>
    <t xml:space="preserve">19120144562    </t>
  </si>
  <si>
    <t xml:space="preserve">19120141437    </t>
  </si>
  <si>
    <t xml:space="preserve">19120141438    </t>
  </si>
  <si>
    <t xml:space="preserve">19120141436    </t>
  </si>
  <si>
    <t xml:space="preserve">19120144530    </t>
  </si>
  <si>
    <t xml:space="preserve">19120144418    </t>
  </si>
  <si>
    <t xml:space="preserve">19120141441    </t>
  </si>
  <si>
    <t xml:space="preserve">19120144577    </t>
  </si>
  <si>
    <t xml:space="preserve">19120144559    </t>
  </si>
  <si>
    <t xml:space="preserve">19120144564    </t>
  </si>
  <si>
    <t xml:space="preserve">19120144539    </t>
  </si>
  <si>
    <t xml:space="preserve">19120144551    </t>
  </si>
  <si>
    <t xml:space="preserve">19120144576    </t>
  </si>
  <si>
    <t xml:space="preserve">19120144550    </t>
  </si>
  <si>
    <t xml:space="preserve">19120144430    </t>
  </si>
  <si>
    <t xml:space="preserve">19120144437    </t>
  </si>
  <si>
    <t xml:space="preserve">19120144416    </t>
  </si>
  <si>
    <t xml:space="preserve">19120144531    </t>
  </si>
  <si>
    <t xml:space="preserve">19120144538    </t>
  </si>
  <si>
    <t xml:space="preserve">19120144439    </t>
  </si>
  <si>
    <t xml:space="preserve">19120144417    </t>
  </si>
  <si>
    <t xml:space="preserve">19120144560    </t>
  </si>
  <si>
    <t xml:space="preserve">19120144498    </t>
  </si>
  <si>
    <t xml:space="preserve">19120141454    </t>
  </si>
  <si>
    <t xml:space="preserve">19120144499    </t>
  </si>
  <si>
    <t xml:space="preserve">19120144540    </t>
  </si>
  <si>
    <t xml:space="preserve">19120144566    </t>
  </si>
  <si>
    <t xml:space="preserve">19120144497    </t>
  </si>
  <si>
    <t xml:space="preserve">19120144542    </t>
  </si>
  <si>
    <t xml:space="preserve">19120144568    </t>
  </si>
  <si>
    <t xml:space="preserve">19120144419    </t>
  </si>
  <si>
    <t xml:space="preserve">19120144563    </t>
  </si>
  <si>
    <t xml:space="preserve">19120144483    </t>
  </si>
  <si>
    <t xml:space="preserve">19120144424    </t>
  </si>
  <si>
    <t xml:space="preserve">19120144573    </t>
  </si>
  <si>
    <t xml:space="preserve">19120144482    </t>
  </si>
  <si>
    <t xml:space="preserve">19120143422    </t>
  </si>
  <si>
    <t xml:space="preserve">19120144438    </t>
  </si>
  <si>
    <t xml:space="preserve">19120144574    </t>
  </si>
  <si>
    <t xml:space="preserve">19120144423    </t>
  </si>
  <si>
    <t xml:space="preserve">19120144575    </t>
  </si>
  <si>
    <t xml:space="preserve">19120114401    </t>
  </si>
  <si>
    <t xml:space="preserve">19120131532    </t>
  </si>
  <si>
    <t xml:space="preserve">19133514404    </t>
  </si>
  <si>
    <t xml:space="preserve">19120131416    </t>
  </si>
  <si>
    <t xml:space="preserve">19120214405    </t>
  </si>
  <si>
    <t xml:space="preserve">20133122408    </t>
  </si>
  <si>
    <t xml:space="preserve">19120131526    </t>
  </si>
  <si>
    <t xml:space="preserve">19120134456    </t>
  </si>
  <si>
    <t xml:space="preserve">20120622401    </t>
  </si>
  <si>
    <t xml:space="preserve">19120142507    </t>
  </si>
  <si>
    <t xml:space="preserve">19120131530    </t>
  </si>
  <si>
    <t xml:space="preserve">19120131525    </t>
  </si>
  <si>
    <t xml:space="preserve">19120142593    </t>
  </si>
  <si>
    <t xml:space="preserve">19120142595    </t>
  </si>
  <si>
    <t xml:space="preserve">19120142601    </t>
  </si>
  <si>
    <t xml:space="preserve">19120142594    </t>
  </si>
  <si>
    <t xml:space="preserve">19120142597    </t>
  </si>
  <si>
    <t xml:space="preserve">19120142600    </t>
  </si>
  <si>
    <t xml:space="preserve">19120142596    </t>
  </si>
  <si>
    <t xml:space="preserve">19120142598    </t>
  </si>
  <si>
    <t xml:space="preserve">19120142599    </t>
  </si>
  <si>
    <t xml:space="preserve">19120142603    </t>
  </si>
  <si>
    <t xml:space="preserve">19120142602    </t>
  </si>
  <si>
    <t xml:space="preserve">19120134406    </t>
  </si>
  <si>
    <t xml:space="preserve">19120131528    </t>
  </si>
  <si>
    <t xml:space="preserve">19120113406    </t>
  </si>
  <si>
    <t xml:space="preserve">19120113407    </t>
  </si>
  <si>
    <t xml:space="preserve">19133541409    </t>
  </si>
  <si>
    <t xml:space="preserve">19120111401    </t>
  </si>
  <si>
    <t xml:space="preserve">20133133003    </t>
  </si>
  <si>
    <t xml:space="preserve">19133511403    </t>
  </si>
  <si>
    <t xml:space="preserve">19120142533    </t>
  </si>
  <si>
    <t xml:space="preserve">19120131529    </t>
  </si>
  <si>
    <t xml:space="preserve">19120131524    </t>
  </si>
  <si>
    <t xml:space="preserve">19120131535    </t>
  </si>
  <si>
    <t xml:space="preserve">19120113408    </t>
  </si>
  <si>
    <t xml:space="preserve">19120142506    </t>
  </si>
  <si>
    <t xml:space="preserve">19133512405    </t>
  </si>
  <si>
    <t xml:space="preserve">19133632402    </t>
  </si>
  <si>
    <t xml:space="preserve">19120131533    </t>
  </si>
  <si>
    <t xml:space="preserve">19120134453    </t>
  </si>
  <si>
    <t xml:space="preserve">19120134454    </t>
  </si>
  <si>
    <t xml:space="preserve">19120142448    </t>
  </si>
  <si>
    <t xml:space="preserve">19120113027    </t>
  </si>
  <si>
    <t xml:space="preserve">19133512403    </t>
  </si>
  <si>
    <t xml:space="preserve">19120112485    </t>
  </si>
  <si>
    <t xml:space="preserve">19120134457    </t>
  </si>
  <si>
    <t xml:space="preserve">19120131521    </t>
  </si>
  <si>
    <t xml:space="preserve">19120131522    </t>
  </si>
  <si>
    <t xml:space="preserve">19120131534    </t>
  </si>
  <si>
    <t xml:space="preserve">19120134450    </t>
  </si>
  <si>
    <t xml:space="preserve">19120131537    </t>
  </si>
  <si>
    <t xml:space="preserve">20120643401    </t>
  </si>
  <si>
    <t xml:space="preserve">19120134458    </t>
  </si>
  <si>
    <t xml:space="preserve">19120124401    </t>
  </si>
  <si>
    <t xml:space="preserve">19120134442    </t>
  </si>
  <si>
    <t xml:space="preserve">19120134434    </t>
  </si>
  <si>
    <t xml:space="preserve">19120134430    </t>
  </si>
  <si>
    <t xml:space="preserve">19120111006    </t>
  </si>
  <si>
    <t xml:space="preserve">19133512402    </t>
  </si>
  <si>
    <t xml:space="preserve">19133512401    </t>
  </si>
  <si>
    <t xml:space="preserve">19133512404    </t>
  </si>
  <si>
    <t xml:space="preserve">19120131405    </t>
  </si>
  <si>
    <t xml:space="preserve">19120134432    </t>
  </si>
  <si>
    <t xml:space="preserve">19120134433    </t>
  </si>
  <si>
    <t xml:space="preserve">19120134449    </t>
  </si>
  <si>
    <t xml:space="preserve">19133411406    </t>
  </si>
  <si>
    <t xml:space="preserve">19120134440    </t>
  </si>
  <si>
    <t xml:space="preserve">19120134429    </t>
  </si>
  <si>
    <t xml:space="preserve">19120134437    </t>
  </si>
  <si>
    <t xml:space="preserve">19120134439    </t>
  </si>
  <si>
    <t xml:space="preserve">19120213016    </t>
  </si>
  <si>
    <t xml:space="preserve">19120131418    </t>
  </si>
  <si>
    <t xml:space="preserve">19120134425    </t>
  </si>
  <si>
    <t xml:space="preserve">19120142539    </t>
  </si>
  <si>
    <t xml:space="preserve">19133513401    </t>
  </si>
  <si>
    <t xml:space="preserve">19120134407    </t>
  </si>
  <si>
    <t xml:space="preserve">19133643004    </t>
  </si>
  <si>
    <t xml:space="preserve">19120114411    </t>
  </si>
  <si>
    <t xml:space="preserve">19120134441    </t>
  </si>
  <si>
    <t xml:space="preserve">19120131506    </t>
  </si>
  <si>
    <t xml:space="preserve">19120213017    </t>
  </si>
  <si>
    <t xml:space="preserve">19120142466    </t>
  </si>
  <si>
    <t xml:space="preserve">19120131507    </t>
  </si>
  <si>
    <t xml:space="preserve">19120134002    </t>
  </si>
  <si>
    <t xml:space="preserve">19120134402    </t>
  </si>
  <si>
    <t xml:space="preserve">19120134443    </t>
  </si>
  <si>
    <t xml:space="preserve">19120222002    </t>
  </si>
  <si>
    <t>181</t>
  </si>
  <si>
    <t xml:space="preserve">19120134426    </t>
  </si>
  <si>
    <t xml:space="preserve">19120134438    </t>
  </si>
  <si>
    <t xml:space="preserve">19120113032    </t>
  </si>
  <si>
    <t xml:space="preserve">19120221004    </t>
  </si>
  <si>
    <t xml:space="preserve">19133541403    </t>
  </si>
  <si>
    <t xml:space="preserve">19120131427    </t>
  </si>
  <si>
    <t xml:space="preserve">19120131501    </t>
  </si>
  <si>
    <t xml:space="preserve">19120213014    </t>
  </si>
  <si>
    <t xml:space="preserve">19120212406    </t>
  </si>
  <si>
    <t xml:space="preserve">19120222412    </t>
  </si>
  <si>
    <t xml:space="preserve">19120134423    </t>
  </si>
  <si>
    <t xml:space="preserve">19120131471    </t>
  </si>
  <si>
    <t xml:space="preserve">19120131426    </t>
  </si>
  <si>
    <t xml:space="preserve">19120131428    </t>
  </si>
  <si>
    <t xml:space="preserve">19120131460    </t>
  </si>
  <si>
    <t xml:space="preserve">19133511405    </t>
  </si>
  <si>
    <t xml:space="preserve">19120214014    </t>
  </si>
  <si>
    <t xml:space="preserve">19120131455    </t>
  </si>
  <si>
    <t xml:space="preserve">19120131456    </t>
  </si>
  <si>
    <t xml:space="preserve">19120131457    </t>
  </si>
  <si>
    <t xml:space="preserve">19120131466    </t>
  </si>
  <si>
    <t xml:space="preserve">19120131472    </t>
  </si>
  <si>
    <t xml:space="preserve">19120134436    </t>
  </si>
  <si>
    <t xml:space="preserve">19133541405    </t>
  </si>
  <si>
    <t xml:space="preserve">19120131494    </t>
  </si>
  <si>
    <t xml:space="preserve">19120131505    </t>
  </si>
  <si>
    <t xml:space="preserve">19120131467    </t>
  </si>
  <si>
    <t xml:space="preserve">19120131489    </t>
  </si>
  <si>
    <t xml:space="preserve">19120131484    </t>
  </si>
  <si>
    <t xml:space="preserve">19120131481    </t>
  </si>
  <si>
    <t xml:space="preserve">19120131482    </t>
  </si>
  <si>
    <t xml:space="preserve">19120131486    </t>
  </si>
  <si>
    <t xml:space="preserve">19120131495    </t>
  </si>
  <si>
    <t xml:space="preserve">19120131483    </t>
  </si>
  <si>
    <t xml:space="preserve">19120131490    </t>
  </si>
  <si>
    <t xml:space="preserve">19120131488    </t>
  </si>
  <si>
    <t xml:space="preserve">19120131475    </t>
  </si>
  <si>
    <t xml:space="preserve">19120131492    </t>
  </si>
  <si>
    <t xml:space="preserve">19120131477    </t>
  </si>
  <si>
    <t xml:space="preserve">19120131493    </t>
  </si>
  <si>
    <t xml:space="preserve">19120131485    </t>
  </si>
  <si>
    <t xml:space="preserve">19120131487    </t>
  </si>
  <si>
    <t xml:space="preserve">19120131491    </t>
  </si>
  <si>
    <t xml:space="preserve">19120131478    </t>
  </si>
  <si>
    <t xml:space="preserve">19120131441    </t>
  </si>
  <si>
    <t xml:space="preserve">19120131442    </t>
  </si>
  <si>
    <t xml:space="preserve">19120131500    </t>
  </si>
  <si>
    <t xml:space="preserve">19120131470    </t>
  </si>
  <si>
    <t xml:space="preserve">19120131464    </t>
  </si>
  <si>
    <t xml:space="preserve">19120131469    </t>
  </si>
  <si>
    <t xml:space="preserve">19120131463    </t>
  </si>
  <si>
    <t xml:space="preserve">19120131429    </t>
  </si>
  <si>
    <t xml:space="preserve">19120131480    </t>
  </si>
  <si>
    <t xml:space="preserve">19120131473    </t>
  </si>
  <si>
    <t xml:space="preserve">19120131479    </t>
  </si>
  <si>
    <t xml:space="preserve">19120131476    </t>
  </si>
  <si>
    <t xml:space="preserve">19120131448    </t>
  </si>
  <si>
    <t xml:space="preserve">19120131446    </t>
  </si>
  <si>
    <t xml:space="preserve">19120131447    </t>
  </si>
  <si>
    <t xml:space="preserve">19133632401    </t>
  </si>
  <si>
    <t>SE</t>
  </si>
  <si>
    <t xml:space="preserve">19120114412    </t>
  </si>
  <si>
    <t xml:space="preserve">19133644003    </t>
  </si>
  <si>
    <t xml:space="preserve">19120131468    </t>
  </si>
  <si>
    <t xml:space="preserve">19120131465    </t>
  </si>
  <si>
    <t xml:space="preserve">19120131450    </t>
  </si>
  <si>
    <t xml:space="preserve">19120131445    </t>
  </si>
  <si>
    <t xml:space="preserve">19133624009    </t>
  </si>
  <si>
    <t xml:space="preserve">19133613003    </t>
  </si>
  <si>
    <t xml:space="preserve">19133541008    </t>
  </si>
  <si>
    <t xml:space="preserve">19120131461    </t>
  </si>
  <si>
    <t xml:space="preserve">19120131462    </t>
  </si>
  <si>
    <t xml:space="preserve">19120131400    </t>
  </si>
  <si>
    <t xml:space="preserve">19120131444    </t>
  </si>
  <si>
    <t xml:space="preserve">19120113004    </t>
  </si>
  <si>
    <t xml:space="preserve">19120131449    </t>
  </si>
  <si>
    <t xml:space="preserve">19120131443    </t>
  </si>
  <si>
    <t xml:space="preserve">19120214009    </t>
  </si>
  <si>
    <t xml:space="preserve">19133641007    </t>
  </si>
  <si>
    <t xml:space="preserve">19133624011    </t>
  </si>
  <si>
    <t xml:space="preserve">19120134411    </t>
  </si>
  <si>
    <t xml:space="preserve">19120131458    </t>
  </si>
  <si>
    <t xml:space="preserve">19120143003    </t>
  </si>
  <si>
    <t xml:space="preserve">19133511005    </t>
  </si>
  <si>
    <t xml:space="preserve">19133534004    </t>
  </si>
  <si>
    <t xml:space="preserve">19120222411    </t>
  </si>
  <si>
    <t xml:space="preserve">19133641407    </t>
  </si>
  <si>
    <t xml:space="preserve">19120131454    </t>
  </si>
  <si>
    <t xml:space="preserve">19120131459    </t>
  </si>
  <si>
    <t xml:space="preserve">19120213008    </t>
  </si>
  <si>
    <t xml:space="preserve">19133511018    </t>
  </si>
  <si>
    <t xml:space="preserve">19120142534    </t>
  </si>
  <si>
    <t xml:space="preserve">19120134412    </t>
  </si>
  <si>
    <t xml:space="preserve">19120131453    </t>
  </si>
  <si>
    <t xml:space="preserve">19120131451    </t>
  </si>
  <si>
    <t xml:space="preserve">19120124001    </t>
  </si>
  <si>
    <t xml:space="preserve">19120214020    </t>
  </si>
  <si>
    <t xml:space="preserve">19133641403    </t>
  </si>
  <si>
    <t xml:space="preserve">19133633004    </t>
  </si>
  <si>
    <t xml:space="preserve">19133512005    </t>
  </si>
  <si>
    <t xml:space="preserve">19133541005    </t>
  </si>
  <si>
    <t xml:space="preserve">19133541004    </t>
  </si>
  <si>
    <t xml:space="preserve">19120142418    </t>
  </si>
  <si>
    <t xml:space="preserve">19120131452    </t>
  </si>
  <si>
    <t xml:space="preserve">19120113405    </t>
  </si>
  <si>
    <t xml:space="preserve">19120143016    </t>
  </si>
  <si>
    <t xml:space="preserve">19120141014    </t>
  </si>
  <si>
    <t xml:space="preserve">19120144583    </t>
  </si>
  <si>
    <t xml:space="preserve">19120212402    </t>
  </si>
  <si>
    <t xml:space="preserve">20133133401    </t>
  </si>
  <si>
    <t xml:space="preserve">19133411407    </t>
  </si>
  <si>
    <t xml:space="preserve">19120134448    </t>
  </si>
  <si>
    <t xml:space="preserve">19120142530    </t>
  </si>
  <si>
    <t xml:space="preserve">19120143409    </t>
  </si>
  <si>
    <t xml:space="preserve">19120142529    </t>
  </si>
  <si>
    <t xml:space="preserve">19120131542    </t>
  </si>
  <si>
    <t xml:space="preserve">19120124003    </t>
  </si>
  <si>
    <t xml:space="preserve">19120142400    </t>
  </si>
  <si>
    <t xml:space="preserve">19120131411    </t>
  </si>
  <si>
    <t xml:space="preserve">19120134417    </t>
  </si>
  <si>
    <t xml:space="preserve">19120142504    </t>
  </si>
  <si>
    <t xml:space="preserve">19120142528    </t>
  </si>
  <si>
    <t xml:space="preserve">19133511008    </t>
  </si>
  <si>
    <t xml:space="preserve">19120134029    </t>
  </si>
  <si>
    <t xml:space="preserve">19120131401    </t>
  </si>
  <si>
    <t xml:space="preserve">19120142402    </t>
  </si>
  <si>
    <t xml:space="preserve">19120214022    </t>
  </si>
  <si>
    <t xml:space="preserve">19120142468    </t>
  </si>
  <si>
    <t xml:space="preserve">19120144405    </t>
  </si>
  <si>
    <t xml:space="preserve">19120144403    </t>
  </si>
  <si>
    <t xml:space="preserve">19120143004    </t>
  </si>
  <si>
    <t xml:space="preserve">19133511011    </t>
  </si>
  <si>
    <t xml:space="preserve">19120131424    </t>
  </si>
  <si>
    <t xml:space="preserve">19120142510    </t>
  </si>
  <si>
    <t xml:space="preserve">19120143412    </t>
  </si>
  <si>
    <t xml:space="preserve">19120131509    </t>
  </si>
  <si>
    <t xml:space="preserve">19120142446    </t>
  </si>
  <si>
    <t xml:space="preserve">19120131408    </t>
  </si>
  <si>
    <t xml:space="preserve">19120142453    </t>
  </si>
  <si>
    <t xml:space="preserve">19120142452    </t>
  </si>
  <si>
    <t xml:space="preserve">19120144409    </t>
  </si>
  <si>
    <t xml:space="preserve">19120144410    </t>
  </si>
  <si>
    <t xml:space="preserve">19120143407    </t>
  </si>
  <si>
    <t xml:space="preserve">19120142509    </t>
  </si>
  <si>
    <t xml:space="preserve">19120144411    </t>
  </si>
  <si>
    <t xml:space="preserve">19120144408    </t>
  </si>
  <si>
    <t xml:space="preserve">19120131407    </t>
  </si>
  <si>
    <t xml:space="preserve">19120134420    </t>
  </si>
  <si>
    <t xml:space="preserve">19120134431    </t>
  </si>
  <si>
    <t xml:space="preserve">19120131412    </t>
  </si>
  <si>
    <t xml:space="preserve">19120131415    </t>
  </si>
  <si>
    <t xml:space="preserve">19120131414    </t>
  </si>
  <si>
    <t>CA</t>
  </si>
  <si>
    <t xml:space="preserve">19133511004    </t>
  </si>
  <si>
    <t xml:space="preserve">19120131539    </t>
  </si>
  <si>
    <t xml:space="preserve">19120131417    </t>
  </si>
  <si>
    <t xml:space="preserve">19120113040    </t>
  </si>
  <si>
    <t xml:space="preserve">19120123007    </t>
  </si>
  <si>
    <t xml:space="preserve">19120214008    </t>
  </si>
  <si>
    <t xml:space="preserve">19120222403    </t>
  </si>
  <si>
    <t xml:space="preserve">19133511009    </t>
  </si>
  <si>
    <t xml:space="preserve">19120124411    </t>
  </si>
  <si>
    <t xml:space="preserve">19133511017    </t>
  </si>
  <si>
    <t xml:space="preserve">19120142426    </t>
  </si>
  <si>
    <t xml:space="preserve">19120131510    </t>
  </si>
  <si>
    <t xml:space="preserve">19120142432    </t>
  </si>
  <si>
    <t xml:space="preserve">19120142500    </t>
  </si>
  <si>
    <t xml:space="preserve">19120142483    </t>
  </si>
  <si>
    <t xml:space="preserve">19120142494    </t>
  </si>
  <si>
    <t xml:space="preserve">19120144582    </t>
  </si>
  <si>
    <t xml:space="preserve">19120144581    </t>
  </si>
  <si>
    <t xml:space="preserve">19120131508    </t>
  </si>
  <si>
    <t xml:space="preserve">19120131512    </t>
  </si>
  <si>
    <t xml:space="preserve">19133623401    </t>
  </si>
  <si>
    <t xml:space="preserve">19133534003    </t>
  </si>
  <si>
    <t xml:space="preserve">19120142515    </t>
  </si>
  <si>
    <t xml:space="preserve">19120142518    </t>
  </si>
  <si>
    <t xml:space="preserve">19120142516    </t>
  </si>
  <si>
    <t xml:space="preserve">19120142463    </t>
  </si>
  <si>
    <t xml:space="preserve">19120131404    </t>
  </si>
  <si>
    <t xml:space="preserve">19120142513    </t>
  </si>
  <si>
    <t>CC</t>
  </si>
  <si>
    <t xml:space="preserve">19120131406    </t>
  </si>
  <si>
    <t xml:space="preserve">19120142527    </t>
  </si>
  <si>
    <t xml:space="preserve">19120142433    </t>
  </si>
  <si>
    <t xml:space="preserve">19120134414    </t>
  </si>
  <si>
    <t xml:space="preserve">19120134403    </t>
  </si>
  <si>
    <t xml:space="preserve">19120134416    </t>
  </si>
  <si>
    <t xml:space="preserve">19120142512    </t>
  </si>
  <si>
    <t xml:space="preserve">19120134444    </t>
  </si>
  <si>
    <t xml:space="preserve">19120143401    </t>
  </si>
  <si>
    <t xml:space="preserve">20120631002    </t>
  </si>
  <si>
    <t xml:space="preserve">19133511006    </t>
  </si>
  <si>
    <t xml:space="preserve">19120113028    </t>
  </si>
  <si>
    <t xml:space="preserve">19120214010    </t>
  </si>
  <si>
    <t xml:space="preserve">19120214017    </t>
  </si>
  <si>
    <t xml:space="preserve">20120643403    </t>
  </si>
  <si>
    <t xml:space="preserve">19120222401    </t>
  </si>
  <si>
    <t xml:space="preserve">20120643404    </t>
  </si>
  <si>
    <t xml:space="preserve">19133411002    </t>
  </si>
  <si>
    <t xml:space="preserve">19120214403    </t>
  </si>
  <si>
    <t xml:space="preserve">19120142425    </t>
  </si>
  <si>
    <t xml:space="preserve">19120142424    </t>
  </si>
  <si>
    <t xml:space="preserve">19120142401    </t>
  </si>
  <si>
    <t xml:space="preserve">19120143404    </t>
  </si>
  <si>
    <t xml:space="preserve">19120143402    </t>
  </si>
  <si>
    <t xml:space="preserve">19120142454    </t>
  </si>
  <si>
    <t xml:space="preserve">19120142481    </t>
  </si>
  <si>
    <t xml:space="preserve">19120142467    </t>
  </si>
  <si>
    <t xml:space="preserve">19120142464    </t>
  </si>
  <si>
    <t xml:space="preserve">19120142488    </t>
  </si>
  <si>
    <t xml:space="preserve">19120143015    </t>
  </si>
  <si>
    <t xml:space="preserve">19120142614    </t>
  </si>
  <si>
    <t xml:space="preserve">19120142489    </t>
  </si>
  <si>
    <t xml:space="preserve">19120142456    </t>
  </si>
  <si>
    <t xml:space="preserve">19120143014    </t>
  </si>
  <si>
    <t xml:space="preserve">19133622003    </t>
  </si>
  <si>
    <t xml:space="preserve">19120142612    </t>
  </si>
  <si>
    <t xml:space="preserve">19120142498    </t>
  </si>
  <si>
    <t xml:space="preserve">19120142501    </t>
  </si>
  <si>
    <t xml:space="preserve">19120142485    </t>
  </si>
  <si>
    <t xml:space="preserve">19120142502    </t>
  </si>
  <si>
    <t xml:space="preserve">19120142486    </t>
  </si>
  <si>
    <t xml:space="preserve">19120142469    </t>
  </si>
  <si>
    <t xml:space="preserve">19120142462    </t>
  </si>
  <si>
    <t xml:space="preserve">19120142613    </t>
  </si>
  <si>
    <t xml:space="preserve">19120141013    </t>
  </si>
  <si>
    <t xml:space="preserve">19120124402    </t>
  </si>
  <si>
    <t xml:space="preserve">19120134404    </t>
  </si>
  <si>
    <t xml:space="preserve">19120134418    </t>
  </si>
  <si>
    <t xml:space="preserve">19120142461    </t>
  </si>
  <si>
    <t xml:space="preserve">19120142497    </t>
  </si>
  <si>
    <t xml:space="preserve">19120124410    </t>
  </si>
  <si>
    <t xml:space="preserve">19120134446    </t>
  </si>
  <si>
    <t xml:space="preserve">19120143403    </t>
  </si>
  <si>
    <t xml:space="preserve">19120142496    </t>
  </si>
  <si>
    <t xml:space="preserve">19120141009    </t>
  </si>
  <si>
    <t xml:space="preserve">19120131540    </t>
  </si>
  <si>
    <t xml:space="preserve">19133642013    </t>
  </si>
  <si>
    <t xml:space="preserve">19133511015    </t>
  </si>
  <si>
    <t xml:space="preserve">19120144006    </t>
  </si>
  <si>
    <t xml:space="preserve">20120643402    </t>
  </si>
  <si>
    <t xml:space="preserve">20120634003    </t>
  </si>
  <si>
    <t xml:space="preserve">20120643405    </t>
  </si>
  <si>
    <t xml:space="preserve">19120213404    </t>
  </si>
  <si>
    <t xml:space="preserve">20120642006    </t>
  </si>
  <si>
    <t xml:space="preserve">19120111402    </t>
  </si>
  <si>
    <t xml:space="preserve">19120142615    </t>
  </si>
  <si>
    <t xml:space="preserve">19120142484    </t>
  </si>
  <si>
    <t xml:space="preserve">19120142487    </t>
  </si>
  <si>
    <t xml:space="preserve">19120142465    </t>
  </si>
  <si>
    <t xml:space="preserve">19120142503    </t>
  </si>
  <si>
    <t xml:space="preserve">19120142445    </t>
  </si>
  <si>
    <t xml:space="preserve">19120143002    </t>
  </si>
  <si>
    <t xml:space="preserve">19120131497    </t>
  </si>
  <si>
    <t xml:space="preserve">19120142609    </t>
  </si>
  <si>
    <t xml:space="preserve">19120142532    </t>
  </si>
  <si>
    <t xml:space="preserve">20120631005    </t>
  </si>
  <si>
    <t xml:space="preserve">19133614011    </t>
  </si>
  <si>
    <t xml:space="preserve">19133543402    </t>
  </si>
  <si>
    <t xml:space="preserve">19120142480    </t>
  </si>
  <si>
    <t xml:space="preserve">19120113042    </t>
  </si>
  <si>
    <t xml:space="preserve">19120113003    </t>
  </si>
  <si>
    <t xml:space="preserve">19120142409    </t>
  </si>
  <si>
    <t xml:space="preserve">20120623411    </t>
  </si>
  <si>
    <t xml:space="preserve">19120113010    </t>
  </si>
  <si>
    <t xml:space="preserve">19133513002    </t>
  </si>
  <si>
    <t xml:space="preserve">19120113043    </t>
  </si>
  <si>
    <t xml:space="preserve">19133644409    </t>
  </si>
  <si>
    <t xml:space="preserve">19133641401    </t>
  </si>
  <si>
    <t xml:space="preserve">19133514405    </t>
  </si>
  <si>
    <t xml:space="preserve">19133622401    </t>
  </si>
  <si>
    <t xml:space="preserve">19120221003    </t>
  </si>
  <si>
    <t xml:space="preserve">19133512006    </t>
  </si>
  <si>
    <t xml:space="preserve">19120142451    </t>
  </si>
  <si>
    <t xml:space="preserve">19133411005    </t>
  </si>
  <si>
    <t xml:space="preserve">19133511007    </t>
  </si>
  <si>
    <t xml:space="preserve">19133412401    </t>
  </si>
  <si>
    <t xml:space="preserve">19120143408    </t>
  </si>
  <si>
    <t xml:space="preserve">19133541411    </t>
  </si>
  <si>
    <t xml:space="preserve">19133511002    </t>
  </si>
  <si>
    <t xml:space="preserve">19120114016    </t>
  </si>
  <si>
    <t xml:space="preserve">20120632005    </t>
  </si>
  <si>
    <t xml:space="preserve">19133513405    </t>
  </si>
  <si>
    <t xml:space="preserve">20120613002    </t>
  </si>
  <si>
    <t xml:space="preserve">19120142508    </t>
  </si>
  <si>
    <t xml:space="preserve">19120141493    </t>
  </si>
  <si>
    <t xml:space="preserve">19133513403    </t>
  </si>
  <si>
    <t xml:space="preserve">19120213018    </t>
  </si>
  <si>
    <t xml:space="preserve">19120213406    </t>
  </si>
  <si>
    <t xml:space="preserve">19120142540    </t>
  </si>
  <si>
    <t>223</t>
  </si>
  <si>
    <t xml:space="preserve">19120143005    </t>
  </si>
  <si>
    <t xml:space="preserve">19120142482    </t>
  </si>
  <si>
    <t xml:space="preserve">19120142514    </t>
  </si>
  <si>
    <t xml:space="preserve">19133522003    </t>
  </si>
  <si>
    <t>AGR</t>
  </si>
  <si>
    <t>28</t>
  </si>
  <si>
    <t xml:space="preserve">20133141404    </t>
  </si>
  <si>
    <t xml:space="preserve">19120134011    </t>
  </si>
  <si>
    <t xml:space="preserve">20120624001    </t>
  </si>
  <si>
    <t xml:space="preserve">19120214024    </t>
  </si>
  <si>
    <t xml:space="preserve">19120322405    </t>
  </si>
  <si>
    <t xml:space="preserve">19121034402    </t>
  </si>
  <si>
    <t>81</t>
  </si>
  <si>
    <t>COUNT</t>
  </si>
  <si>
    <t>NUMBER IN SAMPLE</t>
  </si>
  <si>
    <t>MEDIAN</t>
  </si>
  <si>
    <t>.5(N)+.5</t>
  </si>
  <si>
    <t>TOTAL SALES PRICE</t>
  </si>
  <si>
    <t>MEAN</t>
  </si>
  <si>
    <t>SUM OF RATIOS / NUMBER OF SALES</t>
  </si>
  <si>
    <t>TOTAL ASSESSED VALUE</t>
  </si>
  <si>
    <t>WEIGHTED MEAN</t>
  </si>
  <si>
    <t>TOTAL A/V / TOTAL SALE PRICE</t>
  </si>
  <si>
    <t>SUM OF RATIOS</t>
  </si>
  <si>
    <t>MEAN SALE PRICE</t>
  </si>
  <si>
    <t>COD</t>
  </si>
  <si>
    <t>(sum of ABS(median-ratio) / NUMBER OF SALES / MEDIAN) * 100</t>
  </si>
  <si>
    <t>MEAN A/V</t>
  </si>
  <si>
    <t>COV</t>
  </si>
  <si>
    <t>(SQRT ((sum of (mean ratio-ratio)^2 )/ (NUMBER OF SALES-1) )/MEAN) * 100</t>
  </si>
  <si>
    <t>R^2</t>
  </si>
  <si>
    <t>PRD</t>
  </si>
  <si>
    <t>mean/weighted mean</t>
  </si>
  <si>
    <t># of Inventory</t>
  </si>
  <si>
    <t>STD. DEVIATION</t>
  </si>
  <si>
    <t>SQRT ((sum of (mean ratio-ratio)^2 )/ (NUMBER OF SALES-1)) * 100</t>
  </si>
  <si>
    <t>% of Inventory Sold</t>
  </si>
  <si>
    <t xml:space="preserve">STANDARD ERROR </t>
  </si>
  <si>
    <t>Cnt</t>
  </si>
  <si>
    <t>NBHD</t>
  </si>
  <si>
    <t>2025 Final Value</t>
  </si>
  <si>
    <t>Ratio</t>
  </si>
  <si>
    <t>Error from Model</t>
  </si>
  <si>
    <t>Error^2</t>
  </si>
  <si>
    <t>Mean Sale Price</t>
  </si>
  <si>
    <t>Error from Mean SP</t>
  </si>
  <si>
    <t xml:space="preserve"> ABS(median minus ratio)</t>
  </si>
  <si>
    <t>mean ratio minus ratio</t>
  </si>
  <si>
    <t>(mean ratio minus ratio) ^2</t>
  </si>
  <si>
    <t>CstDate</t>
  </si>
  <si>
    <t>E034550</t>
  </si>
  <si>
    <t>372T</t>
  </si>
  <si>
    <t>BH</t>
  </si>
  <si>
    <t>E039016</t>
  </si>
  <si>
    <t>E038259</t>
  </si>
  <si>
    <t>E038121</t>
  </si>
  <si>
    <t>E029800</t>
  </si>
  <si>
    <t>E038347</t>
  </si>
  <si>
    <t>E037838</t>
  </si>
  <si>
    <t>E039937</t>
  </si>
  <si>
    <t>E035613</t>
  </si>
  <si>
    <t>E035980</t>
  </si>
  <si>
    <t>E030129</t>
  </si>
  <si>
    <t>BARGA</t>
  </si>
  <si>
    <t>E033955</t>
  </si>
  <si>
    <t>E033988</t>
  </si>
  <si>
    <t>E035409</t>
  </si>
  <si>
    <t>HE</t>
  </si>
  <si>
    <t>R10/5</t>
  </si>
  <si>
    <t>E037645</t>
  </si>
  <si>
    <t>E030435</t>
  </si>
  <si>
    <t>E041801</t>
  </si>
  <si>
    <t>SPWD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</si>
</sst>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3" formatCode="_(* #,##0.00_);_(* \(#,##0.00\);_(* &quot;-&quot;??_);_(@_)"/>
    <numFmt numFmtId="164" formatCode="mm/dd/yyyy;@"/>
    <numFmt numFmtId="165" formatCode="0.000"/>
    <numFmt numFmtId="166" formatCode="_(* #,##0_);_(* \(#,##0\);_(* &quot;-&quot;??_);_(@_)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FF0000"/>
      <name val="Calibri"/>
      <family val="2"/>
    </font>
    <font>
      <sz val="10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C9162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0"/>
      </patternFill>
    </fill>
  </fills>
  <borders count="1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</cellStyleXfs>
  <cellXfs count="91">
    <xf numFmtId="0" fontId="0" fillId="0" borderId="0" xfId="0"/>
    <xf numFmtId="0" fontId="0" fillId="2" borderId="0" xfId="0" applyFill="1"/>
    <xf numFmtId="164" fontId="0" fillId="0" borderId="0" xfId="0" applyNumberFormat="1"/>
    <xf numFmtId="0" fontId="0" fillId="0" borderId="0" xfId="0" applyAlignment="1">
      <alignment horizontal="center"/>
    </xf>
    <xf numFmtId="0" fontId="2" fillId="0" borderId="0" xfId="0" applyFont="1"/>
    <xf numFmtId="0" fontId="3" fillId="4" borderId="1" xfId="0" applyFont="1" applyFill="1" applyBorder="1"/>
    <xf numFmtId="0" fontId="3" fillId="4" borderId="2" xfId="0" applyFont="1" applyFill="1" applyBorder="1"/>
    <xf numFmtId="0" fontId="3" fillId="4" borderId="3" xfId="0" applyFont="1" applyFill="1" applyBorder="1"/>
    <xf numFmtId="0" fontId="0" fillId="0" borderId="0" xfId="0" applyAlignment="1">
      <alignment wrapText="1"/>
    </xf>
    <xf numFmtId="9" fontId="0" fillId="0" borderId="0" xfId="2" applyFont="1" applyAlignment="1">
      <alignment wrapText="1"/>
    </xf>
    <xf numFmtId="9" fontId="0" fillId="0" borderId="0" xfId="2" applyFon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2" fontId="0" fillId="0" borderId="0" xfId="0" applyNumberFormat="1"/>
    <xf numFmtId="0" fontId="0" fillId="0" borderId="4" xfId="0" applyBorder="1"/>
    <xf numFmtId="0" fontId="0" fillId="6" borderId="4" xfId="0" applyFill="1" applyBorder="1"/>
    <xf numFmtId="43" fontId="0" fillId="0" borderId="0" xfId="0" applyNumberFormat="1"/>
    <xf numFmtId="9" fontId="0" fillId="0" borderId="0" xfId="0" applyNumberFormat="1"/>
    <xf numFmtId="0" fontId="1" fillId="6" borderId="4" xfId="0" applyFont="1" applyFill="1" applyBorder="1" applyAlignment="1">
      <alignment wrapText="1"/>
    </xf>
    <xf numFmtId="0" fontId="1" fillId="6" borderId="4" xfId="0" applyFont="1" applyFill="1" applyBorder="1"/>
    <xf numFmtId="164" fontId="2" fillId="0" borderId="0" xfId="0" applyNumberFormat="1" applyFont="1"/>
    <xf numFmtId="9" fontId="2" fillId="0" borderId="0" xfId="2" applyFont="1"/>
    <xf numFmtId="9" fontId="0" fillId="0" borderId="0" xfId="0" applyNumberFormat="1" applyAlignment="1">
      <alignment wrapText="1"/>
    </xf>
    <xf numFmtId="0" fontId="2" fillId="0" borderId="4" xfId="0" applyFont="1" applyBorder="1"/>
    <xf numFmtId="0" fontId="1" fillId="3" borderId="4" xfId="0" applyFont="1" applyFill="1" applyBorder="1"/>
    <xf numFmtId="0" fontId="0" fillId="3" borderId="4" xfId="0" applyFill="1" applyBorder="1"/>
    <xf numFmtId="0" fontId="1" fillId="0" borderId="4" xfId="0" applyFont="1" applyBorder="1"/>
    <xf numFmtId="0" fontId="2" fillId="0" borderId="4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5" fillId="0" borderId="6" xfId="3" applyFont="1" applyBorder="1" applyAlignment="1">
      <alignment horizontal="right" wrapText="1"/>
    </xf>
    <xf numFmtId="0" fontId="5" fillId="0" borderId="6" xfId="3" applyFont="1" applyBorder="1" applyAlignment="1">
      <alignment wrapText="1"/>
    </xf>
    <xf numFmtId="0" fontId="6" fillId="0" borderId="0" xfId="3"/>
    <xf numFmtId="0" fontId="5" fillId="7" borderId="7" xfId="3" applyFont="1" applyFill="1" applyBorder="1" applyAlignment="1">
      <alignment horizontal="center" wrapText="1"/>
    </xf>
    <xf numFmtId="0" fontId="5" fillId="0" borderId="8" xfId="3" applyFont="1" applyBorder="1" applyAlignment="1">
      <alignment horizontal="right" wrapText="1"/>
    </xf>
    <xf numFmtId="0" fontId="5" fillId="0" borderId="9" xfId="3" applyFont="1" applyBorder="1" applyAlignment="1">
      <alignment horizontal="right" wrapText="1"/>
    </xf>
    <xf numFmtId="0" fontId="5" fillId="0" borderId="0" xfId="3" applyFont="1" applyAlignment="1">
      <alignment wrapText="1"/>
    </xf>
    <xf numFmtId="0" fontId="6" fillId="0" borderId="6" xfId="3" applyBorder="1"/>
    <xf numFmtId="0" fontId="5" fillId="0" borderId="0" xfId="3" applyFont="1" applyAlignment="1">
      <alignment horizontal="right" wrapText="1"/>
    </xf>
    <xf numFmtId="0" fontId="2" fillId="0" borderId="4" xfId="0" applyFont="1" applyBorder="1" applyAlignment="1">
      <alignment wrapText="1"/>
    </xf>
    <xf numFmtId="0" fontId="7" fillId="0" borderId="4" xfId="0" applyFont="1" applyBorder="1" applyAlignment="1">
      <alignment wrapText="1"/>
    </xf>
    <xf numFmtId="9" fontId="5" fillId="7" borderId="7" xfId="2" applyFont="1" applyFill="1" applyBorder="1" applyAlignment="1">
      <alignment horizontal="center" wrapText="1"/>
    </xf>
    <xf numFmtId="9" fontId="5" fillId="0" borderId="8" xfId="2" applyFont="1" applyFill="1" applyBorder="1" applyAlignment="1">
      <alignment horizontal="right" wrapText="1"/>
    </xf>
    <xf numFmtId="9" fontId="5" fillId="0" borderId="6" xfId="2" applyFont="1" applyFill="1" applyBorder="1" applyAlignment="1">
      <alignment horizontal="right" wrapText="1"/>
    </xf>
    <xf numFmtId="9" fontId="5" fillId="0" borderId="9" xfId="2" applyFont="1" applyFill="1" applyBorder="1" applyAlignment="1">
      <alignment horizontal="right" wrapText="1"/>
    </xf>
    <xf numFmtId="0" fontId="10" fillId="0" borderId="6" xfId="3" applyFont="1" applyBorder="1" applyAlignment="1">
      <alignment wrapText="1"/>
    </xf>
    <xf numFmtId="0" fontId="11" fillId="0" borderId="0" xfId="0" applyFont="1"/>
    <xf numFmtId="1" fontId="12" fillId="0" borderId="0" xfId="0" applyNumberFormat="1" applyFont="1"/>
    <xf numFmtId="0" fontId="0" fillId="0" borderId="0" xfId="0" applyAlignment="1">
      <alignment horizontal="right"/>
    </xf>
    <xf numFmtId="2" fontId="0" fillId="0" borderId="0" xfId="2" applyNumberFormat="1" applyFont="1" applyAlignment="1">
      <alignment horizontal="center"/>
    </xf>
    <xf numFmtId="0" fontId="13" fillId="0" borderId="0" xfId="0" applyFont="1"/>
    <xf numFmtId="1" fontId="9" fillId="0" borderId="0" xfId="4" applyNumberFormat="1" applyAlignment="1">
      <alignment horizontal="right" wrapText="1"/>
    </xf>
    <xf numFmtId="166" fontId="12" fillId="0" borderId="0" xfId="1" applyNumberFormat="1" applyFont="1"/>
    <xf numFmtId="2" fontId="14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0" fontId="13" fillId="0" borderId="0" xfId="0" quotePrefix="1" applyFont="1"/>
    <xf numFmtId="0" fontId="12" fillId="0" borderId="0" xfId="0" applyFont="1"/>
    <xf numFmtId="0" fontId="9" fillId="0" borderId="0" xfId="4" applyAlignment="1">
      <alignment horizontal="left"/>
    </xf>
    <xf numFmtId="0" fontId="13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" fillId="8" borderId="0" xfId="0" applyFont="1" applyFill="1"/>
    <xf numFmtId="0" fontId="8" fillId="7" borderId="5" xfId="5" applyFont="1" applyFill="1" applyBorder="1" applyAlignment="1">
      <alignment horizontal="center"/>
    </xf>
    <xf numFmtId="0" fontId="8" fillId="9" borderId="5" xfId="5" applyFont="1" applyFill="1" applyBorder="1" applyAlignment="1">
      <alignment horizontal="center"/>
    </xf>
    <xf numFmtId="2" fontId="8" fillId="7" borderId="5" xfId="5" applyNumberFormat="1" applyFont="1" applyFill="1" applyBorder="1" applyAlignment="1">
      <alignment horizontal="center"/>
    </xf>
    <xf numFmtId="0" fontId="8" fillId="7" borderId="10" xfId="5" applyFont="1" applyFill="1" applyBorder="1" applyAlignment="1">
      <alignment horizontal="center" wrapText="1"/>
    </xf>
    <xf numFmtId="6" fontId="16" fillId="8" borderId="11" xfId="0" applyNumberFormat="1" applyFont="1" applyFill="1" applyBorder="1" applyAlignment="1">
      <alignment horizontal="center" wrapText="1"/>
    </xf>
    <xf numFmtId="6" fontId="16" fillId="8" borderId="12" xfId="0" applyNumberFormat="1" applyFont="1" applyFill="1" applyBorder="1" applyAlignment="1">
      <alignment horizontal="center" wrapText="1"/>
    </xf>
    <xf numFmtId="6" fontId="16" fillId="8" borderId="13" xfId="0" applyNumberFormat="1" applyFont="1" applyFill="1" applyBorder="1" applyAlignment="1">
      <alignment horizontal="center" wrapText="1"/>
    </xf>
    <xf numFmtId="0" fontId="13" fillId="8" borderId="14" xfId="0" applyFont="1" applyFill="1" applyBorder="1" applyAlignment="1">
      <alignment horizontal="center" wrapText="1"/>
    </xf>
    <xf numFmtId="0" fontId="13" fillId="8" borderId="11" xfId="0" applyFont="1" applyFill="1" applyBorder="1" applyAlignment="1">
      <alignment horizontal="center" wrapText="1"/>
    </xf>
    <xf numFmtId="0" fontId="13" fillId="8" borderId="12" xfId="0" applyFont="1" applyFill="1" applyBorder="1" applyAlignment="1">
      <alignment horizontal="center" wrapText="1"/>
    </xf>
    <xf numFmtId="0" fontId="0" fillId="5" borderId="2" xfId="0" applyFill="1" applyBorder="1"/>
    <xf numFmtId="9" fontId="0" fillId="5" borderId="2" xfId="2" applyFont="1" applyFill="1" applyBorder="1"/>
    <xf numFmtId="2" fontId="0" fillId="0" borderId="6" xfId="0" applyNumberFormat="1" applyBorder="1"/>
    <xf numFmtId="0" fontId="0" fillId="0" borderId="2" xfId="0" applyBorder="1"/>
    <xf numFmtId="9" fontId="0" fillId="0" borderId="2" xfId="2" applyFont="1" applyBorder="1"/>
    <xf numFmtId="14" fontId="0" fillId="0" borderId="6" xfId="0" applyNumberFormat="1" applyBorder="1"/>
    <xf numFmtId="0" fontId="0" fillId="0" borderId="6" xfId="0" applyBorder="1"/>
    <xf numFmtId="14" fontId="0" fillId="0" borderId="0" xfId="0" applyNumberFormat="1"/>
    <xf numFmtId="9" fontId="5" fillId="0" borderId="6" xfId="2" applyFont="1" applyBorder="1" applyAlignment="1">
      <alignment horizontal="right" wrapText="1"/>
    </xf>
    <xf numFmtId="0" fontId="0" fillId="3" borderId="4" xfId="0" applyFill="1" applyBorder="1" applyAlignment="1">
      <alignment horizontal="center"/>
    </xf>
    <xf numFmtId="0" fontId="5" fillId="0" borderId="6" xfId="4" applyFont="1" applyBorder="1" applyAlignment="1">
      <alignment horizontal="center" wrapText="1"/>
    </xf>
    <xf numFmtId="14" fontId="5" fillId="0" borderId="6" xfId="4" applyNumberFormat="1" applyFont="1" applyBorder="1" applyAlignment="1">
      <alignment horizontal="right" wrapText="1"/>
    </xf>
    <xf numFmtId="1" fontId="5" fillId="0" borderId="6" xfId="4" applyNumberFormat="1" applyFont="1" applyBorder="1" applyAlignment="1">
      <alignment horizontal="right" wrapText="1"/>
    </xf>
    <xf numFmtId="1" fontId="5" fillId="0" borderId="0" xfId="6" applyNumberFormat="1" applyFont="1" applyAlignment="1">
      <alignment horizontal="right" wrapText="1"/>
    </xf>
    <xf numFmtId="0" fontId="5" fillId="0" borderId="0" xfId="6" applyFont="1" applyAlignment="1">
      <alignment horizontal="right" wrapText="1"/>
    </xf>
    <xf numFmtId="1" fontId="5" fillId="0" borderId="6" xfId="7" applyNumberFormat="1" applyFont="1" applyBorder="1" applyAlignment="1">
      <alignment horizontal="right" wrapText="1"/>
    </xf>
    <xf numFmtId="14" fontId="5" fillId="0" borderId="0" xfId="4" applyNumberFormat="1" applyFont="1" applyAlignment="1">
      <alignment horizontal="right" wrapText="1"/>
    </xf>
    <xf numFmtId="1" fontId="5" fillId="0" borderId="0" xfId="7" applyNumberFormat="1" applyFont="1" applyAlignment="1">
      <alignment horizontal="right" wrapText="1"/>
    </xf>
    <xf numFmtId="0" fontId="5" fillId="0" borderId="8" xfId="4" applyFont="1" applyBorder="1" applyAlignment="1">
      <alignment horizontal="center" wrapText="1"/>
    </xf>
    <xf numFmtId="1" fontId="5" fillId="0" borderId="0" xfId="4" applyNumberFormat="1" applyFont="1" applyAlignment="1">
      <alignment horizontal="right" wrapText="1"/>
    </xf>
  </cellXfs>
  <cellStyles count="8">
    <cellStyle name="Comma" xfId="1" builtinId="3"/>
    <cellStyle name="Normal" xfId="0" builtinId="0"/>
    <cellStyle name="Normal_All Sales Cost no Adj" xfId="7" xr:uid="{81FDD053-71E6-4B7F-82D5-89F94CBF62B8}"/>
    <cellStyle name="Normal_Inventory" xfId="3" xr:uid="{76971240-ACBD-4FAF-9DC8-6037E46AD963}"/>
    <cellStyle name="Normal_Sheet1" xfId="4" xr:uid="{EAF233A5-11F9-4C29-97C9-C03E44100335}"/>
    <cellStyle name="Normal_Sheet12" xfId="5" xr:uid="{44114656-9742-4039-BCCF-4E283581E2D9}"/>
    <cellStyle name="Normal_Sheet3" xfId="6" xr:uid="{0509271B-4823-4FD4-9683-D921BF037C1A}"/>
    <cellStyle name="Percent" xfId="2" builtinId="5"/>
  </cellStyles>
  <dxfs count="1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8"/>
        </bottom>
      </border>
    </dxf>
    <dxf>
      <border outline="0">
        <top style="thin">
          <color indexed="8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C91629"/>
          <bgColor rgb="FF000000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mm/dd/yyyy;@"/>
    </dxf>
    <dxf>
      <alignment horizontal="general" vertical="bottom" textRotation="0" wrapText="1" indent="0" justifyLastLine="0" shrinkToFit="0" readingOrder="0"/>
    </dxf>
    <dxf>
      <numFmt numFmtId="35" formatCode="_(* #,##0.00_);_(* \(#,##0.00\);_(* &quot;-&quot;??_);_(@_)"/>
    </dxf>
    <dxf>
      <numFmt numFmtId="13" formatCode="0%"/>
    </dxf>
    <dxf>
      <numFmt numFmtId="13" formatCode="0%"/>
    </dxf>
    <dxf>
      <numFmt numFmtId="13" formatCode="0%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99060</xdr:rowOff>
    </xdr:from>
    <xdr:to>
      <xdr:col>4</xdr:col>
      <xdr:colOff>228847</xdr:colOff>
      <xdr:row>9</xdr:row>
      <xdr:rowOff>38301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228426-C08C-E5D1-D1B7-2D2FFF5A4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" y="99060"/>
          <a:ext cx="2850127" cy="2316681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0</xdr:row>
      <xdr:rowOff>106680</xdr:rowOff>
    </xdr:from>
    <xdr:to>
      <xdr:col>10</xdr:col>
      <xdr:colOff>434622</xdr:colOff>
      <xdr:row>9</xdr:row>
      <xdr:rowOff>68783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1C566C-6005-0CBC-4C83-48CD03031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76600" y="106680"/>
          <a:ext cx="3254022" cy="2339543"/>
        </a:xfrm>
        <a:prstGeom prst="rect">
          <a:avLst/>
        </a:prstGeom>
      </xdr:spPr>
    </xdr:pic>
    <xdr:clientData/>
  </xdr:twoCellAnchor>
  <xdr:twoCellAnchor editAs="oneCell">
    <xdr:from>
      <xdr:col>0</xdr:col>
      <xdr:colOff>335280</xdr:colOff>
      <xdr:row>25</xdr:row>
      <xdr:rowOff>121920</xdr:rowOff>
    </xdr:from>
    <xdr:to>
      <xdr:col>4</xdr:col>
      <xdr:colOff>266926</xdr:colOff>
      <xdr:row>31</xdr:row>
      <xdr:rowOff>175360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B9B6EA-BBD1-2ACF-B946-35458ECB8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5280" y="4693920"/>
          <a:ext cx="2606266" cy="115072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14</xdr:row>
      <xdr:rowOff>60960</xdr:rowOff>
    </xdr:from>
    <xdr:to>
      <xdr:col>4</xdr:col>
      <xdr:colOff>129706</xdr:colOff>
      <xdr:row>19</xdr:row>
      <xdr:rowOff>45798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1D25AB0-B772-1023-4CDD-E0FD5FC51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7700" y="2621280"/>
          <a:ext cx="1920406" cy="89923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20</xdr:row>
      <xdr:rowOff>7620</xdr:rowOff>
    </xdr:from>
    <xdr:to>
      <xdr:col>4</xdr:col>
      <xdr:colOff>205957</xdr:colOff>
      <xdr:row>23</xdr:row>
      <xdr:rowOff>350597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B0ABC68-6926-0754-CBE3-BB851EB9D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0" y="3665220"/>
          <a:ext cx="2499577" cy="891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6</xdr:col>
      <xdr:colOff>91785</xdr:colOff>
      <xdr:row>41</xdr:row>
      <xdr:rowOff>122057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EE2C034-B462-FF9B-AA1B-CC0BF37E9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6035040"/>
          <a:ext cx="3985605" cy="15850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6</xdr:col>
      <xdr:colOff>274681</xdr:colOff>
      <xdr:row>52</xdr:row>
      <xdr:rowOff>175418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FAE57FD-75A1-0BD0-B65F-8C63105EB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7863840"/>
          <a:ext cx="4168501" cy="1821338"/>
        </a:xfrm>
        <a:prstGeom prst="rect">
          <a:avLst/>
        </a:prstGeom>
      </xdr:spPr>
    </xdr:pic>
    <xdr:clientData/>
  </xdr:twoCellAnchor>
  <xdr:twoCellAnchor editAs="oneCell">
    <xdr:from>
      <xdr:col>5</xdr:col>
      <xdr:colOff>480060</xdr:colOff>
      <xdr:row>13</xdr:row>
      <xdr:rowOff>129540</xdr:rowOff>
    </xdr:from>
    <xdr:to>
      <xdr:col>9</xdr:col>
      <xdr:colOff>556478</xdr:colOff>
      <xdr:row>28</xdr:row>
      <xdr:rowOff>15531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D126DAB-4C68-A4F5-1D51-4F0C0411E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28060" y="2506980"/>
          <a:ext cx="2514818" cy="33607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10</xdr:col>
      <xdr:colOff>602191</xdr:colOff>
      <xdr:row>76</xdr:row>
      <xdr:rowOff>666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78FE0A1-2DDA-A46C-5A5B-1DC770746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67200" y="6217920"/>
          <a:ext cx="2430991" cy="76816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Valuation\TY%202025\Residential\Res%20Model%20Information\Terrace%20Heights\Terrace%20Heights%20Model%20TY%202025.xlsx" TargetMode="External"/><Relationship Id="rId1" Type="http://schemas.openxmlformats.org/officeDocument/2006/relationships/externalLinkPath" Target="/Valuation/TY%202025/Residential/Res%20Model%20Information/Terrace%20Heights/Terrace%20Heights%20Model%20TY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ookups"/>
      <sheetName val="Pivots"/>
      <sheetName val="Terrace Heights Model TY 2025"/>
      <sheetName val="Ratio Study"/>
      <sheetName val="Inventory"/>
      <sheetName val="MF and Subtype 223"/>
      <sheetName val="Trimmed Sal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rista Halliday" refreshedDate="45489.575043634257" createdVersion="8" refreshedVersion="8" minRefreshableVersion="3" recordCount="1403" xr:uid="{DDE5F670-B7C8-44B7-BFF9-0D205614FF9E}">
  <cacheSource type="worksheet">
    <worksheetSource name="Inventory"/>
  </cacheSource>
  <cacheFields count="71">
    <cacheField name="Year" numFmtId="0">
      <sharedItems containsSemiMixedTypes="0" containsString="0" containsNumber="1" containsInteger="1" minValue="2025" maxValue="2025"/>
    </cacheField>
    <cacheField name="Parcel" numFmtId="0">
      <sharedItems/>
    </cacheField>
    <cacheField name="LnAcres" numFmtId="0">
      <sharedItems containsSemiMixedTypes="0" containsString="0" containsNumber="1" minValue="-3.5065578973199818" maxValue="1.951608170169951"/>
    </cacheField>
    <cacheField name="Acres" numFmtId="0">
      <sharedItems containsSemiMixedTypes="0" containsString="0" containsNumber="1" minValue="0.03" maxValue="7.04"/>
    </cacheField>
    <cacheField name="Sqft" numFmtId="0">
      <sharedItems containsString="0" containsBlank="1" containsNumber="1" containsInteger="1" minValue="1500" maxValue="208724"/>
    </cacheField>
    <cacheField name="Cycle" numFmtId="0">
      <sharedItems/>
    </cacheField>
    <cacheField name="Type" numFmtId="0">
      <sharedItems/>
    </cacheField>
    <cacheField name="Nbhd" numFmtId="0">
      <sharedItems/>
    </cacheField>
    <cacheField name="Use" numFmtId="0">
      <sharedItems/>
    </cacheField>
    <cacheField name="Subtype" numFmtId="0">
      <sharedItems/>
    </cacheField>
    <cacheField name="Style" numFmtId="0">
      <sharedItems/>
    </cacheField>
    <cacheField name="Qlty" numFmtId="0">
      <sharedItems count="12">
        <s v="A"/>
        <s v="F"/>
        <s v="F+"/>
        <s v="F-"/>
        <s v="a+"/>
        <s v="G"/>
        <s v="G+"/>
        <s v="L"/>
        <s v="V"/>
        <s v="E"/>
        <s v="V+"/>
        <s v="E+" u="1"/>
      </sharedItems>
    </cacheField>
    <cacheField name="Cnd" numFmtId="0">
      <sharedItems/>
    </cacheField>
    <cacheField name="Decade" numFmtId="0">
      <sharedItems containsSemiMixedTypes="0" containsString="0" containsNumber="1" containsInteger="1" minValue="0" maxValue="140"/>
    </cacheField>
    <cacheField name="Age " numFmtId="0">
      <sharedItems containsSemiMixedTypes="0" containsString="0" containsNumber="1" containsInteger="1" minValue="0" maxValue="144"/>
    </cacheField>
    <cacheField name="EffAge" numFmtId="0">
      <sharedItems containsSemiMixedTypes="0" containsString="0" containsNumber="1" containsInteger="1" minValue="0" maxValue="94"/>
    </cacheField>
    <cacheField name="YrBlt" numFmtId="0">
      <sharedItems containsSemiMixedTypes="0" containsString="0" containsNumber="1" containsInteger="1" minValue="1880" maxValue="2024"/>
    </cacheField>
    <cacheField name="EffYr" numFmtId="0">
      <sharedItems containsSemiMixedTypes="0" containsString="0" containsNumber="1" containsInteger="1" minValue="1930" maxValue="2024"/>
    </cacheField>
    <cacheField name="MainFn" numFmtId="0">
      <sharedItems containsSemiMixedTypes="0" containsString="0" containsNumber="1" containsInteger="1" minValue="462" maxValue="3653"/>
    </cacheField>
    <cacheField name="UpprFn" numFmtId="0">
      <sharedItems containsString="0" containsBlank="1" containsNumber="1" containsInteger="1" minValue="200" maxValue="1686"/>
    </cacheField>
    <cacheField name="Bsmt Area" numFmtId="0">
      <sharedItems containsString="0" containsBlank="1" containsNumber="1" containsInteger="1" minValue="64" maxValue="2868"/>
    </cacheField>
    <cacheField name="AddFn" numFmtId="0">
      <sharedItems containsString="0" containsBlank="1" containsNumber="1" containsInteger="1" minValue="299" maxValue="486"/>
    </cacheField>
    <cacheField name="FnBsmt" numFmtId="0">
      <sharedItems containsString="0" containsBlank="1" containsNumber="1" containsInteger="1" minValue="0" maxValue="1438"/>
    </cacheField>
    <cacheField name="Unfin Bsmt" numFmtId="0">
      <sharedItems containsSemiMixedTypes="0" containsString="0" containsNumber="1" containsInteger="1" minValue="0" maxValue="2868"/>
    </cacheField>
    <cacheField name="Living Area " numFmtId="0">
      <sharedItems containsSemiMixedTypes="0" containsString="0" containsNumber="1" containsInteger="1" minValue="462" maxValue="4923"/>
    </cacheField>
    <cacheField name="LivArea Range" numFmtId="0">
      <sharedItems containsSemiMixedTypes="0" containsString="0" containsNumber="1" containsInteger="1" minValue="500" maxValue="5000"/>
    </cacheField>
    <cacheField name="Msnry Trim" numFmtId="0">
      <sharedItems/>
    </cacheField>
    <cacheField name="Prefab" numFmtId="0">
      <sharedItems containsString="0" containsBlank="1" containsNumber="1" containsInteger="1" minValue="1" maxValue="2"/>
    </cacheField>
    <cacheField name="AttGar" numFmtId="0">
      <sharedItems containsString="0" containsBlank="1" containsNumber="1" containsInteger="1" minValue="230" maxValue="1752"/>
    </cacheField>
    <cacheField name="BltinGar" numFmtId="0">
      <sharedItems containsString="0" containsBlank="1" containsNumber="1" containsInteger="1" minValue="216" maxValue="802"/>
    </cacheField>
    <cacheField name="Phy" numFmtId="0">
      <sharedItems containsNonDate="0" containsString="0" containsBlank="1"/>
    </cacheField>
    <cacheField name="Fun" numFmtId="0">
      <sharedItems containsString="0" containsBlank="1" containsNumber="1" containsInteger="1" minValue="66" maxValue="66"/>
    </cacheField>
    <cacheField name="Ecn" numFmtId="0">
      <sharedItems containsString="0" containsBlank="1" containsNumber="1" containsInteger="1" minValue="118" maxValue="118"/>
    </cacheField>
    <cacheField name="% Complete" numFmtId="0">
      <sharedItems containsString="0" containsBlank="1" containsNumber="1" containsInteger="1" minValue="0" maxValue="100"/>
    </cacheField>
    <cacheField name="Rcn" numFmtId="0">
      <sharedItems containsString="0" containsBlank="1" containsNumber="1" containsInteger="1" minValue="57274" maxValue="1293944"/>
    </cacheField>
    <cacheField name="Rcnld" numFmtId="0">
      <sharedItems containsString="0" containsBlank="1" containsNumber="1" containsInteger="1" minValue="29210" maxValue="1293944"/>
    </cacheField>
    <cacheField name="25Det" numFmtId="0">
      <sharedItems containsSemiMixedTypes="0" containsString="0" containsNumber="1" containsInteger="1" minValue="0" maxValue="249741"/>
    </cacheField>
    <cacheField name="24Crop" numFmtId="0">
      <sharedItems containsSemiMixedTypes="0" containsString="0" containsNumber="1" containsInteger="1" minValue="0" maxValue="6000"/>
    </cacheField>
    <cacheField name="24Lnd" numFmtId="0">
      <sharedItems containsSemiMixedTypes="0" containsString="0" containsNumber="1" containsInteger="1" minValue="33300" maxValue="109700"/>
    </cacheField>
    <cacheField name="24Bldg" numFmtId="0">
      <sharedItems containsSemiMixedTypes="0" containsString="0" containsNumber="1" containsInteger="1" minValue="0" maxValue="726900"/>
    </cacheField>
    <cacheField name="24Final" numFmtId="0">
      <sharedItems containsSemiMixedTypes="0" containsString="0" containsNumber="1" containsInteger="1" minValue="89400" maxValue="791900"/>
    </cacheField>
    <cacheField name="Mdl Res Intercept" numFmtId="0">
      <sharedItems containsSemiMixedTypes="0" containsString="0" containsNumber="1" minValue="132535.48800000001" maxValue="132535.48800000001"/>
    </cacheField>
    <cacheField name="Mdl Land Intercept" numFmtId="0">
      <sharedItems containsSemiMixedTypes="0" containsString="0" containsNumber="1" minValue="88356.992000000013" maxValue="88356.992000000013"/>
    </cacheField>
    <cacheField name="Mdl LnAcres" numFmtId="0">
      <sharedItems containsSemiMixedTypes="0" containsString="0" containsNumber="1" minValue="-46021.19144951248" maxValue="25613.532091533063"/>
    </cacheField>
    <cacheField name="Mdl Qlty" numFmtId="0">
      <sharedItems containsSemiMixedTypes="0" containsString="0" containsNumber="1" minValue="-18031.051255923801" maxValue="71137.786194647706"/>
    </cacheField>
    <cacheField name="Mdl Condition" numFmtId="0">
      <sharedItems containsSemiMixedTypes="0" containsString="0" containsNumber="1" minValue="-9051.7226098799892" maxValue="50438.379078999998"/>
    </cacheField>
    <cacheField name="Mdl EffAge" numFmtId="0">
      <sharedItems containsSemiMixedTypes="0" containsString="0" containsNumber="1" minValue="-10221.663399999999" maxValue="0"/>
    </cacheField>
    <cacheField name="Mdl MainFn" numFmtId="0">
      <sharedItems containsSemiMixedTypes="0" containsString="0" containsNumber="1" minValue="28833.595560000002" maxValue="227985.11814000001"/>
    </cacheField>
    <cacheField name="Mdl UpprFn" numFmtId="0">
      <sharedItems containsSemiMixedTypes="0" containsString="0" containsNumber="1" minValue="0" maxValue="100452.525738"/>
    </cacheField>
    <cacheField name="Mdl Bsmt Area" numFmtId="0">
      <sharedItems containsSemiMixedTypes="0" containsString="0" containsNumber="1" minValue="0" maxValue="179498.07052799998"/>
    </cacheField>
    <cacheField name="Mdl Garage Area" numFmtId="0">
      <sharedItems containsSemiMixedTypes="0" containsString="0" containsNumber="1" minValue="0" maxValue="61847.406312000006"/>
    </cacheField>
    <cacheField name="Unadj Det Value" numFmtId="0">
      <sharedItems containsSemiMixedTypes="0" containsString="0" containsNumber="1" containsInteger="1" minValue="0" maxValue="249700"/>
    </cacheField>
    <cacheField name="Unadj Res Value" numFmtId="0">
      <sharedItems containsSemiMixedTypes="0" containsString="0" containsNumber="1" containsInteger="1" minValue="127300" maxValue="601000"/>
    </cacheField>
    <cacheField name="Unadj Land Value" numFmtId="0">
      <sharedItems containsSemiMixedTypes="0" containsString="0" containsNumber="1" containsInteger="1" minValue="42300" maxValue="114000"/>
    </cacheField>
    <cacheField name="Unadj Total Value" numFmtId="0">
      <sharedItems containsSemiMixedTypes="0" containsString="0" containsNumber="1" containsInteger="1" minValue="192400" maxValue="937700"/>
    </cacheField>
    <cacheField name="Unadj Diff" numFmtId="0">
      <sharedItems containsSemiMixedTypes="0" containsString="0" containsNumber="1" minValue="-0.16951710261569417" maxValue="4.1017897091722597"/>
    </cacheField>
    <cacheField name="Nbhd Adj" numFmtId="0">
      <sharedItems containsSemiMixedTypes="0" containsString="0" containsNumber="1" minValue="0.99970000000000003" maxValue="0.99970000000000003"/>
    </cacheField>
    <cacheField name="Quality Adj" numFmtId="0">
      <sharedItems containsSemiMixedTypes="0" containsString="0" containsNumber="1" minValue="0.99199999999999999" maxValue="1.0022"/>
    </cacheField>
    <cacheField name="Condition Adj" numFmtId="0">
      <sharedItems containsSemiMixedTypes="0" containsString="0" containsNumber="1" minValue="0.99680000000000002" maxValue="1.0012000000000001"/>
    </cacheField>
    <cacheField name="Living Area Adj" numFmtId="0">
      <sharedItems containsSemiMixedTypes="0" containsString="0" containsNumber="1" minValue="0.98509999999999998" maxValue="1.0099"/>
    </cacheField>
    <cacheField name="Decade Adj" numFmtId="0">
      <sharedItems containsSemiMixedTypes="0" containsString="0" containsNumber="1" minValue="0.95689999999999997" maxValue="1.0558000000000001"/>
    </cacheField>
    <cacheField name="Det/Nbhd Adj" numFmtId="0">
      <sharedItems containsSemiMixedTypes="0" containsString="0" containsNumber="1" minValue="0.94971499999999998" maxValue="0.94971499999999998"/>
    </cacheField>
    <cacheField name="Res Adj " numFmtId="0">
      <sharedItems containsSemiMixedTypes="0" containsString="0" containsNumber="1" minValue="0.89431377625485153" maxValue="1.0031811523878755"/>
    </cacheField>
    <cacheField name="Adjusted Res" numFmtId="0">
      <sharedItems containsSemiMixedTypes="0" containsString="0" containsNumber="1" containsInteger="1" minValue="120700" maxValue="596200"/>
    </cacheField>
    <cacheField name="Adj Det " numFmtId="0">
      <sharedItems containsSemiMixedTypes="0" containsString="0" containsNumber="1" containsInteger="1" minValue="0" maxValue="237200"/>
    </cacheField>
    <cacheField name="Adjusted Impr Total" numFmtId="0">
      <sharedItems containsSemiMixedTypes="0" containsString="0" containsNumber="1" containsInteger="1" minValue="120700" maxValue="833400"/>
    </cacheField>
    <cacheField name="Adjusted Land Total" numFmtId="0">
      <sharedItems containsSemiMixedTypes="0" containsString="0" containsNumber="1" containsInteger="1" minValue="40200" maxValue="108200"/>
    </cacheField>
    <cacheField name="Adjusted Total" numFmtId="0">
      <sharedItems containsSemiMixedTypes="0" containsString="0" containsNumber="1" containsInteger="1" minValue="182500" maxValue="916000"/>
    </cacheField>
    <cacheField name="Adjusted Imp Diff" numFmtId="0">
      <sharedItems containsSemiMixedTypes="0" containsString="0" containsNumber="1" minValue="-0.24502932341582034" maxValue="0.68091972569584513"/>
    </cacheField>
    <cacheField name="Adjusted Lnd Diff" numFmtId="9">
      <sharedItems containsSemiMixedTypes="0" containsString="0" containsNumber="1" minValue="-4.7531992687385741E-2" maxValue="0.72672672672672678"/>
    </cacheField>
    <cacheField name="Adjusted Total Difference" numFmtId="9">
      <sharedItems containsSemiMixedTypes="0" containsString="0" containsNumber="1" minValue="-0.18527833668678739" maxValue="0.4218616567036720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rista Halliday" refreshedDate="45509.657721759257" createdVersion="8" refreshedVersion="8" minRefreshableVersion="3" recordCount="319" xr:uid="{59BC8B67-60FB-4AF1-A794-5DDEB6394F15}">
  <cacheSource type="worksheet">
    <worksheetSource name="Sales"/>
  </cacheSource>
  <cacheFields count="105">
    <cacheField name="Year" numFmtId="0">
      <sharedItems containsSemiMixedTypes="0" containsString="0" containsNumber="1" containsInteger="1" minValue="2025" maxValue="2025"/>
    </cacheField>
    <cacheField name="Parcel" numFmtId="0">
      <sharedItems containsSemiMixedTypes="0" containsString="0" containsNumber="1" containsInteger="1" minValue="19120112410" maxValue="20120642006"/>
    </cacheField>
    <cacheField name="LnAcres" numFmtId="0">
      <sharedItems containsSemiMixedTypes="0" containsString="0" containsNumber="1" minValue="-2.4079456086518722" maxValue="1.3190856114264407"/>
    </cacheField>
    <cacheField name="Acres" numFmtId="0">
      <sharedItems containsSemiMixedTypes="0" containsString="0" containsNumber="1" minValue="0.09" maxValue="3.74"/>
    </cacheField>
    <cacheField name="Sqft" numFmtId="0">
      <sharedItems containsSemiMixedTypes="0" containsString="0" containsNumber="1" containsInteger="1" minValue="0" maxValue="162969"/>
    </cacheField>
    <cacheField name="Cycle" numFmtId="0">
      <sharedItems containsSemiMixedTypes="0" containsString="0" containsNumber="1" containsInteger="1" minValue="2" maxValue="2"/>
    </cacheField>
    <cacheField name="Type" numFmtId="0">
      <sharedItems/>
    </cacheField>
    <cacheField name="Nbhd" numFmtId="0">
      <sharedItems containsMixedTypes="1" containsNumber="1" containsInteger="1" minValue="317" maxValue="317"/>
    </cacheField>
    <cacheField name="TNbhd" numFmtId="0">
      <sharedItems/>
    </cacheField>
    <cacheField name="Zone" numFmtId="0">
      <sharedItems/>
    </cacheField>
    <cacheField name="Use" numFmtId="0">
      <sharedItems containsSemiMixedTypes="0" containsString="0" containsNumber="1" containsInteger="1" minValue="11" maxValue="11"/>
    </cacheField>
    <cacheField name="Subtype" numFmtId="0">
      <sharedItems containsSemiMixedTypes="0" containsString="0" containsNumber="1" containsInteger="1" minValue="259" maxValue="400"/>
    </cacheField>
    <cacheField name="Style" numFmtId="0">
      <sharedItems/>
    </cacheField>
    <cacheField name="Qlty" numFmtId="0">
      <sharedItems/>
    </cacheField>
    <cacheField name="Cnd" numFmtId="0">
      <sharedItems/>
    </cacheField>
    <cacheField name="YrBlt" numFmtId="0">
      <sharedItems containsSemiMixedTypes="0" containsString="0" containsNumber="1" containsInteger="1" minValue="1900" maxValue="2022"/>
    </cacheField>
    <cacheField name="EffYr" numFmtId="0">
      <sharedItems containsSemiMixedTypes="0" containsString="0" containsNumber="1" containsInteger="1" minValue="1949" maxValue="2022"/>
    </cacheField>
    <cacheField name="Decade" numFmtId="0">
      <sharedItems containsSemiMixedTypes="0" containsString="0" containsNumber="1" containsInteger="1" minValue="10" maxValue="130" count="10">
        <n v="10"/>
        <n v="20"/>
        <n v="30"/>
        <n v="40"/>
        <n v="50"/>
        <n v="60"/>
        <n v="70"/>
        <n v="100"/>
        <n v="110"/>
        <n v="130"/>
      </sharedItems>
    </cacheField>
    <cacheField name="Age" numFmtId="0">
      <sharedItems containsSemiMixedTypes="0" containsString="0" containsNumber="1" containsInteger="1" minValue="2" maxValue="124"/>
    </cacheField>
    <cacheField name="EffAge" numFmtId="0">
      <sharedItems containsSemiMixedTypes="0" containsString="0" containsNumber="1" containsInteger="1" minValue="2" maxValue="75"/>
    </cacheField>
    <cacheField name="#Stories" numFmtId="0">
      <sharedItems containsSemiMixedTypes="0" containsString="0" containsNumber="1" containsInteger="1" minValue="1" maxValue="2"/>
    </cacheField>
    <cacheField name="MainFn" numFmtId="0">
      <sharedItems containsSemiMixedTypes="0" containsString="0" containsNumber="1" containsInteger="1" minValue="780" maxValue="2883"/>
    </cacheField>
    <cacheField name="UpprFn" numFmtId="0">
      <sharedItems containsSemiMixedTypes="0" containsString="0" containsNumber="1" containsInteger="1" minValue="0" maxValue="1686"/>
    </cacheField>
    <cacheField name="AddFn" numFmtId="0">
      <sharedItems containsSemiMixedTypes="0" containsString="0" containsNumber="1" containsInteger="1" minValue="0" maxValue="0"/>
    </cacheField>
    <cacheField name="Bsmt" numFmtId="0">
      <sharedItems containsSemiMixedTypes="0" containsString="0" containsNumber="1" containsInteger="1" minValue="0" maxValue="1036"/>
    </cacheField>
    <cacheField name="UnfinBsmt" numFmtId="0">
      <sharedItems containsSemiMixedTypes="0" containsString="0" containsNumber="1" containsInteger="1" minValue="0" maxValue="888"/>
    </cacheField>
    <cacheField name="FnBsmt" numFmtId="0">
      <sharedItems containsSemiMixedTypes="0" containsString="0" containsNumber="1" containsInteger="1" minValue="0" maxValue="1036"/>
    </cacheField>
    <cacheField name="Living Area" numFmtId="0">
      <sharedItems containsSemiMixedTypes="0" containsString="0" containsNumber="1" containsInteger="1" minValue="834" maxValue="3014"/>
    </cacheField>
    <cacheField name="LivArea Range" numFmtId="0">
      <sharedItems containsSemiMixedTypes="0" containsString="0" containsNumber="1" containsInteger="1" minValue="1000" maxValue="3500" count="6">
        <n v="2000"/>
        <n v="2500"/>
        <n v="3500"/>
        <n v="1500"/>
        <n v="3000"/>
        <n v="1000"/>
      </sharedItems>
    </cacheField>
    <cacheField name="GarSpace" numFmtId="0">
      <sharedItems containsSemiMixedTypes="0" containsString="0" containsNumber="1" containsInteger="1" minValue="0" maxValue="3"/>
    </cacheField>
    <cacheField name="MsnryTrim" numFmtId="0">
      <sharedItems/>
    </cacheField>
    <cacheField name="Heat" numFmtId="0">
      <sharedItems/>
    </cacheField>
    <cacheField name="Fuel" numFmtId="0">
      <sharedItems/>
    </cacheField>
    <cacheField name="AC" numFmtId="0">
      <sharedItems containsBlank="1"/>
    </cacheField>
    <cacheField name="WdStove" numFmtId="0">
      <sharedItems containsSemiMixedTypes="0" containsString="0" containsNumber="1" containsInteger="1" minValue="0" maxValue="1"/>
    </cacheField>
    <cacheField name="MsnryFP" numFmtId="0">
      <sharedItems containsSemiMixedTypes="0" containsString="0" containsNumber="1" containsInteger="1" minValue="0" maxValue="1"/>
    </cacheField>
    <cacheField name="PrefabFP" numFmtId="0">
      <sharedItems containsSemiMixedTypes="0" containsString="0" containsNumber="1" containsInteger="1" minValue="0" maxValue="1"/>
    </cacheField>
    <cacheField name="3/4Bath" numFmtId="0">
      <sharedItems containsSemiMixedTypes="0" containsString="0" containsNumber="1" containsInteger="1" minValue="0" maxValue="2"/>
    </cacheField>
    <cacheField name="1/2Bath" numFmtId="0">
      <sharedItems containsSemiMixedTypes="0" containsString="0" containsNumber="1" containsInteger="1" minValue="0" maxValue="1"/>
    </cacheField>
    <cacheField name="Fixtures" numFmtId="0">
      <sharedItems containsSemiMixedTypes="0" containsString="0" containsNumber="1" containsInteger="1" minValue="5" maxValue="19"/>
    </cacheField>
    <cacheField name="AttGar" numFmtId="0">
      <sharedItems containsSemiMixedTypes="0" containsString="0" containsNumber="1" containsInteger="1" minValue="0" maxValue="1236"/>
    </cacheField>
    <cacheField name="BltinGar" numFmtId="0">
      <sharedItems containsSemiMixedTypes="0" containsString="0" containsNumber="1" containsInteger="1" minValue="0" maxValue="1143"/>
    </cacheField>
    <cacheField name="Carport" numFmtId="0">
      <sharedItems containsSemiMixedTypes="0" containsString="0" containsNumber="1" containsInteger="1" minValue="0" maxValue="672"/>
    </cacheField>
    <cacheField name="WdDeck" numFmtId="0">
      <sharedItems containsSemiMixedTypes="0" containsString="0" containsNumber="1" containsInteger="1" minValue="0" maxValue="843"/>
    </cacheField>
    <cacheField name="Patio" numFmtId="0">
      <sharedItems containsSemiMixedTypes="0" containsString="0" containsNumber="1" containsInteger="1" minValue="0" maxValue="1435"/>
    </cacheField>
    <cacheField name="CoverSf" numFmtId="0">
      <sharedItems containsSemiMixedTypes="0" containsString="0" containsNumber="1" containsInteger="1" minValue="0" maxValue="870"/>
    </cacheField>
    <cacheField name="%Comp" numFmtId="0">
      <sharedItems containsSemiMixedTypes="0" containsString="0" containsNumber="1" containsInteger="1" minValue="100" maxValue="100"/>
    </cacheField>
    <cacheField name="Ecn" numFmtId="0">
      <sharedItems containsSemiMixedTypes="0" containsString="0" containsNumber="1" containsInteger="1" minValue="100" maxValue="153"/>
    </cacheField>
    <cacheField name="Rcn" numFmtId="0">
      <sharedItems containsSemiMixedTypes="0" containsString="0" containsNumber="1" containsInteger="1" minValue="112262" maxValue="543430"/>
    </cacheField>
    <cacheField name="Rcnld" numFmtId="0">
      <sharedItems containsSemiMixedTypes="0" containsString="0" containsNumber="1" containsInteger="1" minValue="80437" maxValue="533792"/>
    </cacheField>
    <cacheField name="Days Prior" numFmtId="0">
      <sharedItems containsSemiMixedTypes="0" containsString="0" containsNumber="1" containsInteger="1" minValue="-22" maxValue="1091"/>
    </cacheField>
    <cacheField name="DP1" numFmtId="0">
      <sharedItems containsSemiMixedTypes="0" containsString="0" containsNumber="1" containsInteger="1" minValue="-22" maxValue="365"/>
    </cacheField>
    <cacheField name="DP2" numFmtId="0">
      <sharedItems containsSemiMixedTypes="0" containsString="0" containsNumber="1" containsInteger="1" minValue="0" maxValue="365"/>
    </cacheField>
    <cacheField name="DP3" numFmtId="0">
      <sharedItems containsSemiMixedTypes="0" containsString="0" containsNumber="1" containsInteger="1" minValue="0" maxValue="361"/>
    </cacheField>
    <cacheField name="Date" numFmtId="164">
      <sharedItems containsSemiMixedTypes="0" containsNonDate="0" containsDate="1" containsString="0" minDate="2021-01-05T00:00:00" maxDate="2024-01-24T00:00:00"/>
    </cacheField>
    <cacheField name="Excise" numFmtId="0">
      <sharedItems containsMixedTypes="1" containsNumber="1" containsInteger="1" minValue="458877" maxValue="465555"/>
    </cacheField>
    <cacheField name="Price" numFmtId="0">
      <sharedItems containsSemiMixedTypes="0" containsString="0" containsNumber="1" containsInteger="1" minValue="230000" maxValue="550000"/>
    </cacheField>
    <cacheField name="SP-Det" numFmtId="0">
      <sharedItems containsSemiMixedTypes="0" containsString="0" containsNumber="1" containsInteger="1" minValue="223638" maxValue="507115"/>
    </cacheField>
    <cacheField name="SaleType" numFmtId="0">
      <sharedItems/>
    </cacheField>
    <cacheField name="Verify" numFmtId="0">
      <sharedItems containsSemiMixedTypes="0" containsString="0" containsNumber="1" containsInteger="1" minValue="30" maxValue="30"/>
    </cacheField>
    <cacheField name="Mult" numFmtId="0">
      <sharedItems/>
    </cacheField>
    <cacheField name="Bench" numFmtId="0">
      <sharedItems/>
    </cacheField>
    <cacheField name="24Final" numFmtId="0">
      <sharedItems containsSemiMixedTypes="0" containsString="0" containsNumber="1" containsInteger="1" minValue="214200" maxValue="485200"/>
    </cacheField>
    <cacheField name="24Lnd" numFmtId="0">
      <sharedItems containsSemiMixedTypes="0" containsString="0" containsNumber="1" containsInteger="1" minValue="52800" maxValue="105000"/>
    </cacheField>
    <cacheField name="24Bldg" numFmtId="0">
      <sharedItems containsSemiMixedTypes="0" containsString="0" containsNumber="1" containsInteger="1" minValue="154800" maxValue="419900"/>
    </cacheField>
    <cacheField name="25Det" numFmtId="0">
      <sharedItems containsSemiMixedTypes="0" containsString="0" containsNumber="1" containsInteger="1" minValue="0" maxValue="54244"/>
    </cacheField>
    <cacheField name="Mdl Formula DP" numFmtId="0">
      <sharedItems containsSemiMixedTypes="0" containsString="0" containsNumber="1" minValue="237360.15310751068" maxValue="494529.2402196615"/>
    </cacheField>
    <cacheField name="Mdl Formula Total" numFmtId="0">
      <sharedItems containsSemiMixedTypes="0" containsString="0" containsNumber="1" minValue="244686.41707818283" maxValue="499144.18095345533"/>
    </cacheField>
    <cacheField name="Days Prior Total" numFmtId="0">
      <sharedItems containsSemiMixedTypes="0" containsString="0" containsNumber="1" minValue="-103819.106031" maxValue="3457.0756584000001"/>
    </cacheField>
    <cacheField name="Mdl Res Intercept" numFmtId="0">
      <sharedItems containsSemiMixedTypes="0" containsString="0" containsNumber="1" minValue="132535.48800000001" maxValue="132535.48800000001"/>
    </cacheField>
    <cacheField name="Mdl Land Intercept" numFmtId="0">
      <sharedItems containsSemiMixedTypes="0" containsString="0" containsNumber="1" minValue="88356.992000000013" maxValue="88356.992000000013"/>
    </cacheField>
    <cacheField name="Mdl LnAcres" numFmtId="0">
      <sharedItems containsSemiMixedTypes="0" containsString="0" containsNumber="1" minValue="-31602.651118487549" maxValue="17312.102990841875"/>
    </cacheField>
    <cacheField name="Mdl Qlty" numFmtId="0">
      <sharedItems containsSemiMixedTypes="0" containsString="0" containsNumber="1" minValue="-1240.8083630000001" maxValue="39366.494398000003"/>
    </cacheField>
    <cacheField name="Mdl Condition" numFmtId="0">
      <sharedItems containsSemiMixedTypes="0" containsString="0" containsNumber="1" minValue="0" maxValue="50438.379078999998"/>
    </cacheField>
    <cacheField name="Mdl EffAge" numFmtId="0">
      <sharedItems containsSemiMixedTypes="0" containsString="0" containsNumber="1" minValue="-8155.5825000000004" maxValue="-217.48220000000001"/>
    </cacheField>
    <cacheField name="Mdl MainFn" numFmtId="0">
      <sharedItems containsSemiMixedTypes="0" containsString="0" containsNumber="1" minValue="48680.096400000002" maxValue="179929.12554000001"/>
    </cacheField>
    <cacheField name="Mdl UpprFn" numFmtId="0">
      <sharedItems containsSemiMixedTypes="0" containsString="0" containsNumber="1" minValue="0" maxValue="100452.525738"/>
    </cacheField>
    <cacheField name="Mdl Bsmt Area" numFmtId="0">
      <sharedItems containsSemiMixedTypes="0" containsString="0" containsNumber="1" minValue="0" maxValue="64839.609855999995"/>
    </cacheField>
    <cacheField name="Mdl Msnry Trim " numFmtId="0">
      <sharedItems containsSemiMixedTypes="0" containsString="0" containsNumber="1" minValue="-9412.7029999999995" maxValue="5299.8242"/>
    </cacheField>
    <cacheField name="Mdl Prefab" numFmtId="0">
      <sharedItems containsSemiMixedTypes="0" containsString="0" containsNumber="1" minValue="0" maxValue="9807.1044999999995"/>
    </cacheField>
    <cacheField name="Mdl AttGar" numFmtId="0">
      <sharedItems containsSemiMixedTypes="0" containsString="0" containsNumber="1" minValue="0" maxValue="43632.074316000006"/>
    </cacheField>
    <cacheField name="Mdl BltinGar" numFmtId="0">
      <sharedItems containsSemiMixedTypes="0" containsString="0" containsNumber="1" minValue="0" maxValue="56460.542399999998"/>
    </cacheField>
    <cacheField name="Match Mdl Value" numFmtId="0">
      <sharedItems containsSemiMixedTypes="0" containsString="0" containsNumber="1" minValue="237360.15540466996" maxValue="494529.2375786085"/>
    </cacheField>
    <cacheField name="Unadj Det Value" numFmtId="0">
      <sharedItems containsSemiMixedTypes="0" containsString="0" containsNumber="1" containsInteger="1" minValue="0" maxValue="54200"/>
    </cacheField>
    <cacheField name="Unadj Res Value" numFmtId="0">
      <sharedItems containsSemiMixedTypes="0" containsString="0" containsNumber="1" containsInteger="1" minValue="155700" maxValue="426700"/>
    </cacheField>
    <cacheField name="Unadj Land Value" numFmtId="0">
      <sharedItems containsSemiMixedTypes="0" containsString="0" containsNumber="1" containsInteger="1" minValue="56800" maxValue="105700"/>
    </cacheField>
    <cacheField name="Unadj Total Value" numFmtId="0">
      <sharedItems containsSemiMixedTypes="0" containsString="0" containsNumber="1" containsInteger="1" minValue="241900" maxValue="537400"/>
    </cacheField>
    <cacheField name="Unadj Ratio " numFmtId="9">
      <sharedItems containsSemiMixedTypes="0" containsString="0" containsNumber="1" minValue="0.83670295489891133" maxValue="1.1529126213592233"/>
    </cacheField>
    <cacheField name="Unadj Diff" numFmtId="9">
      <sharedItems containsSemiMixedTypes="0" containsString="0" containsNumber="1" minValue="-0.33807051106859798" maxValue="0.34371825262444972"/>
    </cacheField>
    <cacheField name="Nbhd Adj" numFmtId="0">
      <sharedItems containsSemiMixedTypes="0" containsString="0" containsNumber="1" minValue="0.99970000000000003" maxValue="0.99970000000000003"/>
    </cacheField>
    <cacheField name="Quality Adj" numFmtId="0">
      <sharedItems containsSemiMixedTypes="0" containsString="0" containsNumber="1" minValue="0.99199999999999999" maxValue="1.0022"/>
    </cacheField>
    <cacheField name="Condition Adj" numFmtId="0">
      <sharedItems containsSemiMixedTypes="0" containsString="0" containsNumber="1" minValue="0.99680000000000002" maxValue="1.0012000000000001"/>
    </cacheField>
    <cacheField name="Living Area Adj" numFmtId="0">
      <sharedItems containsSemiMixedTypes="0" containsString="0" containsNumber="1" minValue="0.98509999999999998" maxValue="1.0099"/>
    </cacheField>
    <cacheField name="Decade Adj" numFmtId="0">
      <sharedItems containsSemiMixedTypes="0" containsString="0" containsNumber="1" minValue="0.95689999999999997" maxValue="1.0558000000000001"/>
    </cacheField>
    <cacheField name="Det/Nbhd Adj" numFmtId="0">
      <sharedItems containsSemiMixedTypes="0" containsString="0" containsNumber="1" minValue="0.94971499999999998" maxValue="0.94971499999999998"/>
    </cacheField>
    <cacheField name="Res Adj " numFmtId="0">
      <sharedItems containsSemiMixedTypes="0" containsString="0" containsNumber="1" minValue="0.89431377625485153" maxValue="0.99753132989137128"/>
    </cacheField>
    <cacheField name="Adjusted Res" numFmtId="0">
      <sharedItems containsSemiMixedTypes="0" containsString="0" containsNumber="1" containsInteger="1" minValue="178700" maxValue="423300"/>
    </cacheField>
    <cacheField name="Adj Det " numFmtId="0">
      <sharedItems containsSemiMixedTypes="0" containsString="0" containsNumber="1" containsInteger="1" minValue="0" maxValue="51500"/>
    </cacheField>
    <cacheField name="Adjusted Impr Total" numFmtId="0">
      <sharedItems containsSemiMixedTypes="0" containsString="0" containsNumber="1" containsInteger="1" minValue="178700" maxValue="428400"/>
    </cacheField>
    <cacheField name="Adjusted Land Total" numFmtId="0">
      <sharedItems containsSemiMixedTypes="0" containsString="0" containsNumber="1" containsInteger="1" minValue="53900" maxValue="100400"/>
    </cacheField>
    <cacheField name="Adjusted Total" numFmtId="0">
      <sharedItems containsSemiMixedTypes="0" containsString="0" containsNumber="1" containsInteger="1" minValue="232600" maxValue="518900"/>
    </cacheField>
    <cacheField name="Adjusted Imp Diff" numFmtId="9">
      <sharedItems containsSemiMixedTypes="0" containsString="0" containsNumber="1" minValue="-0.19682726204465334" maxValue="0.61111111111111116"/>
    </cacheField>
    <cacheField name="Adjusted Lnd Diff" numFmtId="9">
      <sharedItems containsSemiMixedTypes="0" containsString="0" containsNumber="1" minValue="-4.3809523809523812E-2" maxValue="2.0833333333333332E-2"/>
    </cacheField>
    <cacheField name="Adjusted Total Difference" numFmtId="0">
      <sharedItems containsSemiMixedTypes="0" containsString="0" containsNumber="1" minValue="-0.16625124626121635" maxValue="0.39581554227156279"/>
    </cacheField>
    <cacheField name="Final Ratio" numFmtId="9">
      <sharedItems containsSemiMixedTypes="0" containsString="0" containsNumber="1" minValue="0.8343819956807017" maxValue="1.16274623334200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03">
  <r>
    <n v="2025"/>
    <s v="19120142593    "/>
    <n v="-3.5065578973199818"/>
    <n v="0.03"/>
    <n v="1500"/>
    <s v="2"/>
    <s v="RES"/>
    <s v="MX"/>
    <s v="11"/>
    <s v="259"/>
    <s v="CO"/>
    <x v="0"/>
    <s v="GD"/>
    <n v="20"/>
    <n v="26"/>
    <n v="26"/>
    <n v="1998"/>
    <n v="1998"/>
    <n v="531"/>
    <n v="747"/>
    <m/>
    <m/>
    <m/>
    <n v="0"/>
    <n v="1278"/>
    <n v="1500"/>
    <s v="N"/>
    <m/>
    <m/>
    <n v="216"/>
    <m/>
    <m/>
    <m/>
    <m/>
    <n v="206732"/>
    <n v="183991"/>
    <n v="0"/>
    <n v="0"/>
    <n v="37400"/>
    <n v="257000"/>
    <n v="294400"/>
    <n v="132535.48800000001"/>
    <n v="88356.992000000013"/>
    <n v="-46021.19144951248"/>
    <n v="24371.765965999999"/>
    <n v="30300.329274"/>
    <n v="-2827.2685999999999"/>
    <n v="33139.911780000002"/>
    <n v="44506.546101"/>
    <n v="0"/>
    <n v="0"/>
    <n v="0"/>
    <n v="262000"/>
    <n v="42300"/>
    <n v="304300"/>
    <n v="3.3627717391304345E-2"/>
    <n v="0.99970000000000003"/>
    <n v="0.99199999999999999"/>
    <n v="0.997"/>
    <n v="0.99519999999999997"/>
    <n v="1.0138"/>
    <n v="0.94971499999999998"/>
    <n v="0.94768232788235862"/>
    <n v="255100"/>
    <n v="0"/>
    <n v="255100"/>
    <n v="40200"/>
    <n v="295300"/>
    <n v="-7.3929961089494161E-3"/>
    <n v="7.4866310160427801E-2"/>
    <n v="3.0570652173913045E-3"/>
  </r>
  <r>
    <n v="2025"/>
    <s v="19120142595    "/>
    <n v="-2.8134107167600364"/>
    <n v="0.06"/>
    <n v="2567"/>
    <s v="2"/>
    <s v="RES"/>
    <s v="MX"/>
    <s v="11"/>
    <s v="259"/>
    <s v="CO"/>
    <x v="0"/>
    <s v="AV"/>
    <n v="20"/>
    <n v="26"/>
    <n v="26"/>
    <n v="1998"/>
    <n v="1998"/>
    <n v="531"/>
    <n v="747"/>
    <m/>
    <m/>
    <m/>
    <n v="0"/>
    <n v="1278"/>
    <n v="1500"/>
    <s v="N"/>
    <m/>
    <m/>
    <n v="216"/>
    <m/>
    <m/>
    <m/>
    <m/>
    <n v="205490"/>
    <n v="180831"/>
    <n v="0"/>
    <n v="0"/>
    <n v="47100"/>
    <n v="245500"/>
    <n v="292600"/>
    <n v="132535.48800000001"/>
    <n v="88356.992000000013"/>
    <n v="-36924.105351598795"/>
    <n v="24371.765965999999"/>
    <n v="17761.121909000001"/>
    <n v="-2827.2685999999999"/>
    <n v="33139.911780000002"/>
    <n v="44506.546101"/>
    <n v="0"/>
    <n v="0"/>
    <n v="0"/>
    <n v="249500"/>
    <n v="51400"/>
    <n v="300900"/>
    <n v="2.836637047163363E-2"/>
    <n v="0.99970000000000003"/>
    <n v="0.99199999999999999"/>
    <n v="0.99680000000000002"/>
    <n v="0.99519999999999997"/>
    <n v="1.0138"/>
    <n v="0.94971499999999998"/>
    <n v="0.94749222109642439"/>
    <n v="242500"/>
    <n v="0"/>
    <n v="242500"/>
    <n v="48800"/>
    <n v="291300"/>
    <n v="-1.2219959266802444E-2"/>
    <n v="3.6093418259023353E-2"/>
    <n v="-4.4429254955570749E-3"/>
  </r>
  <r>
    <n v="2025"/>
    <s v="19120142601    "/>
    <n v="-2.8134107167600364"/>
    <n v="0.06"/>
    <n v="2608"/>
    <s v="2"/>
    <s v="RES"/>
    <s v="MX"/>
    <s v="11"/>
    <s v="259"/>
    <s v="CO"/>
    <x v="0"/>
    <s v="AV"/>
    <n v="20"/>
    <n v="26"/>
    <n v="26"/>
    <n v="1998"/>
    <n v="1998"/>
    <n v="531"/>
    <n v="747"/>
    <m/>
    <m/>
    <m/>
    <n v="0"/>
    <n v="1278"/>
    <n v="1500"/>
    <s v="N"/>
    <m/>
    <m/>
    <n v="216"/>
    <m/>
    <m/>
    <m/>
    <m/>
    <n v="204820"/>
    <n v="180242"/>
    <n v="0"/>
    <n v="0"/>
    <n v="47100"/>
    <n v="245500"/>
    <n v="292600"/>
    <n v="132535.48800000001"/>
    <n v="88356.992000000013"/>
    <n v="-36924.105351598795"/>
    <n v="24371.765965999999"/>
    <n v="17761.121909000001"/>
    <n v="-2827.2685999999999"/>
    <n v="33139.911780000002"/>
    <n v="44506.546101"/>
    <n v="0"/>
    <n v="0"/>
    <n v="0"/>
    <n v="249500"/>
    <n v="51400"/>
    <n v="300900"/>
    <n v="2.836637047163363E-2"/>
    <n v="0.99970000000000003"/>
    <n v="0.99199999999999999"/>
    <n v="0.99680000000000002"/>
    <n v="0.99519999999999997"/>
    <n v="1.0138"/>
    <n v="0.94971499999999998"/>
    <n v="0.94749222109642439"/>
    <n v="242500"/>
    <n v="0"/>
    <n v="242500"/>
    <n v="48800"/>
    <n v="291300"/>
    <n v="-1.2219959266802444E-2"/>
    <n v="3.6093418259023353E-2"/>
    <n v="-4.4429254955570749E-3"/>
  </r>
  <r>
    <n v="2025"/>
    <s v="19120142594    "/>
    <n v="-2.8134107167600364"/>
    <n v="0.06"/>
    <n v="2487"/>
    <s v="2"/>
    <s v="RES"/>
    <s v="MX"/>
    <s v="11"/>
    <s v="259"/>
    <s v="CO"/>
    <x v="0"/>
    <s v="GD"/>
    <n v="20"/>
    <n v="26"/>
    <n v="26"/>
    <n v="1998"/>
    <n v="1998"/>
    <n v="531"/>
    <n v="747"/>
    <m/>
    <m/>
    <m/>
    <n v="0"/>
    <n v="1278"/>
    <n v="1500"/>
    <s v="N"/>
    <m/>
    <m/>
    <n v="216"/>
    <m/>
    <m/>
    <m/>
    <m/>
    <n v="205585"/>
    <n v="182971"/>
    <n v="0"/>
    <n v="0"/>
    <n v="47100"/>
    <n v="257000"/>
    <n v="304100"/>
    <n v="132535.48800000001"/>
    <n v="88356.992000000013"/>
    <n v="-36924.105351598795"/>
    <n v="24371.765965999999"/>
    <n v="30300.329274"/>
    <n v="-2827.2685999999999"/>
    <n v="33139.911780000002"/>
    <n v="44506.546101"/>
    <n v="0"/>
    <n v="0"/>
    <n v="0"/>
    <n v="262000"/>
    <n v="51400"/>
    <n v="313400"/>
    <n v="3.0582045379809273E-2"/>
    <n v="0.99970000000000003"/>
    <n v="0.99199999999999999"/>
    <n v="0.997"/>
    <n v="0.99519999999999997"/>
    <n v="1.0138"/>
    <n v="0.94971499999999998"/>
    <n v="0.94768232788235862"/>
    <n v="255100"/>
    <n v="0"/>
    <n v="255100"/>
    <n v="48800"/>
    <n v="303900"/>
    <n v="-7.3929961089494161E-3"/>
    <n v="3.6093418259023353E-2"/>
    <n v="-6.5767839526471557E-4"/>
  </r>
  <r>
    <n v="2025"/>
    <s v="19120142597    "/>
    <n v="-2.8134107167600364"/>
    <n v="0.06"/>
    <n v="2595"/>
    <s v="2"/>
    <s v="RES"/>
    <s v="MX"/>
    <s v="11"/>
    <s v="259"/>
    <s v="CO"/>
    <x v="0"/>
    <s v="GD"/>
    <n v="20"/>
    <n v="26"/>
    <n v="26"/>
    <n v="1998"/>
    <n v="1998"/>
    <n v="531"/>
    <n v="747"/>
    <m/>
    <m/>
    <m/>
    <n v="0"/>
    <n v="1278"/>
    <n v="1500"/>
    <s v="N"/>
    <n v="1"/>
    <m/>
    <n v="216"/>
    <m/>
    <m/>
    <m/>
    <m/>
    <n v="208599"/>
    <n v="185653"/>
    <n v="0"/>
    <n v="0"/>
    <n v="47100"/>
    <n v="257000"/>
    <n v="304100"/>
    <n v="132535.48800000001"/>
    <n v="88356.992000000013"/>
    <n v="-36924.105351598795"/>
    <n v="24371.765965999999"/>
    <n v="30300.329274"/>
    <n v="-2827.2685999999999"/>
    <n v="33139.911780000002"/>
    <n v="44506.546101"/>
    <n v="0"/>
    <n v="0"/>
    <n v="0"/>
    <n v="262000"/>
    <n v="51400"/>
    <n v="313400"/>
    <n v="3.0582045379809273E-2"/>
    <n v="0.99970000000000003"/>
    <n v="0.99199999999999999"/>
    <n v="0.997"/>
    <n v="0.99519999999999997"/>
    <n v="1.0138"/>
    <n v="0.94971499999999998"/>
    <n v="0.94768232788235862"/>
    <n v="255100"/>
    <n v="0"/>
    <n v="255100"/>
    <n v="48800"/>
    <n v="303900"/>
    <n v="-7.3929961089494161E-3"/>
    <n v="3.6093418259023353E-2"/>
    <n v="-6.5767839526471557E-4"/>
  </r>
  <r>
    <n v="2025"/>
    <s v="19120142600    "/>
    <n v="-2.8134107167600364"/>
    <n v="0.06"/>
    <n v="2620"/>
    <s v="2"/>
    <s v="RES"/>
    <s v="MX"/>
    <s v="11"/>
    <s v="259"/>
    <s v="CO"/>
    <x v="0"/>
    <s v="GD"/>
    <n v="20"/>
    <n v="26"/>
    <n v="26"/>
    <n v="1998"/>
    <n v="1998"/>
    <n v="531"/>
    <n v="747"/>
    <m/>
    <m/>
    <m/>
    <n v="0"/>
    <n v="1278"/>
    <n v="1500"/>
    <s v="N"/>
    <m/>
    <m/>
    <n v="216"/>
    <m/>
    <m/>
    <m/>
    <m/>
    <n v="204820"/>
    <n v="182290"/>
    <n v="0"/>
    <n v="0"/>
    <n v="47100"/>
    <n v="257000"/>
    <n v="304100"/>
    <n v="132535.48800000001"/>
    <n v="88356.992000000013"/>
    <n v="-36924.105351598795"/>
    <n v="24371.765965999999"/>
    <n v="30300.329274"/>
    <n v="-2827.2685999999999"/>
    <n v="33139.911780000002"/>
    <n v="44506.546101"/>
    <n v="0"/>
    <n v="0"/>
    <n v="0"/>
    <n v="262000"/>
    <n v="51400"/>
    <n v="313400"/>
    <n v="3.0582045379809273E-2"/>
    <n v="0.99970000000000003"/>
    <n v="0.99199999999999999"/>
    <n v="0.997"/>
    <n v="0.99519999999999997"/>
    <n v="1.0138"/>
    <n v="0.94971499999999998"/>
    <n v="0.94768232788235862"/>
    <n v="255100"/>
    <n v="0"/>
    <n v="255100"/>
    <n v="48800"/>
    <n v="303900"/>
    <n v="-7.3929961089494161E-3"/>
    <n v="3.6093418259023353E-2"/>
    <n v="-6.5767839526471557E-4"/>
  </r>
  <r>
    <n v="2025"/>
    <s v="19120142596    "/>
    <n v="-2.8134107167600364"/>
    <n v="0.06"/>
    <n v="2612"/>
    <s v="2"/>
    <s v="RES"/>
    <s v="MX"/>
    <s v="11"/>
    <s v="259"/>
    <s v="CO"/>
    <x v="0"/>
    <s v="VG"/>
    <n v="20"/>
    <n v="26"/>
    <n v="26"/>
    <n v="1998"/>
    <n v="1998"/>
    <n v="531"/>
    <n v="747"/>
    <m/>
    <m/>
    <m/>
    <n v="0"/>
    <n v="1278"/>
    <n v="1500"/>
    <s v="N"/>
    <m/>
    <m/>
    <n v="216"/>
    <m/>
    <m/>
    <m/>
    <m/>
    <n v="204820"/>
    <n v="182290"/>
    <n v="0"/>
    <n v="0"/>
    <n v="47100"/>
    <n v="272700"/>
    <n v="319800"/>
    <n v="132535.48800000001"/>
    <n v="88356.992000000013"/>
    <n v="-36924.105351598795"/>
    <n v="24371.765965999999"/>
    <n v="50438.379078999998"/>
    <n v="-2827.2685999999999"/>
    <n v="33139.911780000002"/>
    <n v="44506.546101"/>
    <n v="0"/>
    <n v="0"/>
    <n v="0"/>
    <n v="282200"/>
    <n v="51400"/>
    <n v="333600"/>
    <n v="4.3151969981238276E-2"/>
    <n v="0.99970000000000003"/>
    <n v="0.99199999999999999"/>
    <n v="1.0007999999999999"/>
    <n v="0.99519999999999997"/>
    <n v="1.0138"/>
    <n v="0.94971499999999998"/>
    <n v="0.95129435681510977"/>
    <n v="275700"/>
    <n v="0"/>
    <n v="275700"/>
    <n v="48800"/>
    <n v="324500"/>
    <n v="1.1001100110011002E-2"/>
    <n v="3.6093418259023353E-2"/>
    <n v="1.4696685428392746E-2"/>
  </r>
  <r>
    <n v="2025"/>
    <s v="19120142598    "/>
    <n v="-2.8134107167600364"/>
    <n v="0.06"/>
    <n v="2613"/>
    <s v="2"/>
    <s v="RES"/>
    <s v="MX"/>
    <s v="11"/>
    <s v="259"/>
    <s v="CO"/>
    <x v="0"/>
    <s v="VG"/>
    <n v="20"/>
    <n v="26"/>
    <n v="26"/>
    <n v="1998"/>
    <n v="1998"/>
    <n v="531"/>
    <n v="747"/>
    <m/>
    <m/>
    <m/>
    <n v="0"/>
    <n v="1278"/>
    <n v="1500"/>
    <s v="N"/>
    <m/>
    <m/>
    <n v="216"/>
    <m/>
    <m/>
    <m/>
    <m/>
    <n v="204820"/>
    <n v="182290"/>
    <n v="0"/>
    <n v="0"/>
    <n v="47100"/>
    <n v="272700"/>
    <n v="319800"/>
    <n v="132535.48800000001"/>
    <n v="88356.992000000013"/>
    <n v="-36924.105351598795"/>
    <n v="24371.765965999999"/>
    <n v="50438.379078999998"/>
    <n v="-2827.2685999999999"/>
    <n v="33139.911780000002"/>
    <n v="44506.546101"/>
    <n v="0"/>
    <n v="0"/>
    <n v="0"/>
    <n v="282200"/>
    <n v="51400"/>
    <n v="333600"/>
    <n v="4.3151969981238276E-2"/>
    <n v="0.99970000000000003"/>
    <n v="0.99199999999999999"/>
    <n v="1.0007999999999999"/>
    <n v="0.99519999999999997"/>
    <n v="1.0138"/>
    <n v="0.94971499999999998"/>
    <n v="0.95129435681510977"/>
    <n v="275700"/>
    <n v="0"/>
    <n v="275700"/>
    <n v="48800"/>
    <n v="324500"/>
    <n v="1.1001100110011002E-2"/>
    <n v="3.6093418259023353E-2"/>
    <n v="1.4696685428392746E-2"/>
  </r>
  <r>
    <n v="2025"/>
    <s v="19120142599    "/>
    <n v="-2.8134107167600364"/>
    <n v="0.06"/>
    <n v="2613"/>
    <s v="2"/>
    <s v="RES"/>
    <s v="MX"/>
    <s v="11"/>
    <s v="259"/>
    <s v="CO"/>
    <x v="0"/>
    <s v="GD"/>
    <n v="20"/>
    <n v="26"/>
    <n v="26"/>
    <n v="1998"/>
    <n v="1998"/>
    <n v="747"/>
    <n v="747"/>
    <m/>
    <m/>
    <m/>
    <n v="0"/>
    <n v="1494"/>
    <n v="1500"/>
    <s v="N"/>
    <m/>
    <m/>
    <m/>
    <m/>
    <m/>
    <m/>
    <m/>
    <n v="218570"/>
    <n v="194527"/>
    <n v="0"/>
    <n v="0"/>
    <n v="47100"/>
    <n v="259100"/>
    <n v="306200"/>
    <n v="132535.48800000001"/>
    <n v="88356.992000000013"/>
    <n v="-36924.105351598795"/>
    <n v="24371.765965999999"/>
    <n v="30300.329274"/>
    <n v="-2827.2685999999999"/>
    <n v="46620.55386"/>
    <n v="44506.546101"/>
    <n v="0"/>
    <n v="0"/>
    <n v="0"/>
    <n v="275500"/>
    <n v="51400"/>
    <n v="326900"/>
    <n v="6.7602873938602218E-2"/>
    <n v="0.99970000000000003"/>
    <n v="0.99199999999999999"/>
    <n v="0.997"/>
    <n v="0.99519999999999997"/>
    <n v="1.0138"/>
    <n v="0.94971499999999998"/>
    <n v="0.94768232788235862"/>
    <n v="268600"/>
    <n v="0"/>
    <n v="268600"/>
    <n v="48800"/>
    <n v="317400"/>
    <n v="3.6665380162099574E-2"/>
    <n v="3.6093418259023353E-2"/>
    <n v="3.6577400391900716E-2"/>
  </r>
  <r>
    <n v="2025"/>
    <s v="19120142418    "/>
    <n v="-2.8134107167600364"/>
    <n v="0.06"/>
    <n v="2441"/>
    <s v="2"/>
    <s v="RES"/>
    <s v="MX"/>
    <s v="11"/>
    <s v="259"/>
    <s v="RN"/>
    <x v="0"/>
    <s v="AV"/>
    <n v="60"/>
    <n v="64"/>
    <n v="49"/>
    <n v="1960"/>
    <n v="1975"/>
    <n v="1200"/>
    <m/>
    <m/>
    <m/>
    <m/>
    <n v="0"/>
    <n v="1200"/>
    <n v="1500"/>
    <s v="N"/>
    <m/>
    <m/>
    <m/>
    <m/>
    <m/>
    <m/>
    <m/>
    <n v="190303"/>
    <n v="135115"/>
    <n v="0"/>
    <n v="0"/>
    <n v="47100"/>
    <n v="200500"/>
    <n v="247600"/>
    <n v="132535.48800000001"/>
    <n v="88356.992000000013"/>
    <n v="-36924.105351598795"/>
    <n v="24371.765965999999"/>
    <n v="17761.121909000001"/>
    <n v="-5328.3139000000001"/>
    <n v="74892.456000000006"/>
    <n v="0"/>
    <n v="0"/>
    <n v="0"/>
    <n v="0"/>
    <n v="244200"/>
    <n v="51400"/>
    <n v="295600"/>
    <n v="0.1938610662358643"/>
    <n v="0.99970000000000003"/>
    <n v="0.99199999999999999"/>
    <n v="0.99680000000000002"/>
    <n v="0.99519999999999997"/>
    <n v="1.0558000000000001"/>
    <n v="0.94971499999999998"/>
    <n v="0.98674520322904413"/>
    <n v="242500"/>
    <n v="0"/>
    <n v="242500"/>
    <n v="48800"/>
    <n v="291300"/>
    <n v="0.20947630922693267"/>
    <n v="3.6093418259023353E-2"/>
    <n v="0.17649434571890146"/>
  </r>
  <r>
    <n v="2025"/>
    <s v="19120142603    "/>
    <n v="-2.6592600369327779"/>
    <n v="7.0000000000000007E-2"/>
    <n v="3185"/>
    <s v="2"/>
    <s v="RES"/>
    <s v="MX"/>
    <s v="11"/>
    <s v="259"/>
    <s v="RN"/>
    <x v="0"/>
    <s v="VG"/>
    <n v="20"/>
    <n v="26"/>
    <n v="26"/>
    <n v="1998"/>
    <n v="1998"/>
    <n v="1300"/>
    <m/>
    <m/>
    <m/>
    <m/>
    <n v="0"/>
    <n v="1300"/>
    <n v="1500"/>
    <s v="N"/>
    <m/>
    <m/>
    <m/>
    <m/>
    <m/>
    <m/>
    <m/>
    <n v="221063"/>
    <n v="196746"/>
    <n v="0"/>
    <n v="0"/>
    <n v="49300"/>
    <n v="259600"/>
    <n v="308900"/>
    <n v="132535.48800000001"/>
    <n v="88356.992000000013"/>
    <n v="-34900.982347177633"/>
    <n v="24371.765965999999"/>
    <n v="50438.379078999998"/>
    <n v="-2827.2685999999999"/>
    <n v="81133.494000000006"/>
    <n v="0"/>
    <n v="0"/>
    <n v="0"/>
    <n v="0"/>
    <n v="285700"/>
    <n v="53500"/>
    <n v="339200"/>
    <n v="9.8089996762706383E-2"/>
    <n v="0.99970000000000003"/>
    <n v="0.99199999999999999"/>
    <n v="1.0007999999999999"/>
    <n v="0.99519999999999997"/>
    <n v="1.0138"/>
    <n v="0.94971499999999998"/>
    <n v="0.95129435681510977"/>
    <n v="279200"/>
    <n v="0"/>
    <n v="279200"/>
    <n v="50800"/>
    <n v="330000"/>
    <n v="7.5500770416024654E-2"/>
    <n v="3.0425963488843813E-2"/>
    <n v="6.8306895435415987E-2"/>
  </r>
  <r>
    <n v="2025"/>
    <s v="19120142615    "/>
    <n v="-2.5257286443082556"/>
    <n v="0.08"/>
    <m/>
    <s v="2"/>
    <s v="RES"/>
    <s v="MX"/>
    <s v="11"/>
    <s v="259"/>
    <s v="BG"/>
    <x v="1"/>
    <s v="AV"/>
    <n v="100"/>
    <n v="109"/>
    <n v="61"/>
    <n v="1915"/>
    <n v="1963"/>
    <n v="880"/>
    <m/>
    <m/>
    <m/>
    <m/>
    <n v="0"/>
    <n v="880"/>
    <n v="1000"/>
    <s v="B"/>
    <m/>
    <m/>
    <m/>
    <m/>
    <m/>
    <m/>
    <m/>
    <n v="129353"/>
    <n v="76318"/>
    <n v="0"/>
    <n v="0"/>
    <n v="51100"/>
    <n v="163300"/>
    <n v="214400"/>
    <n v="132535.48800000001"/>
    <n v="88356.992000000013"/>
    <n v="-33148.473486796371"/>
    <n v="0"/>
    <n v="17761.121909000001"/>
    <n v="-6633.2071000000005"/>
    <n v="54921.134400000003"/>
    <n v="0"/>
    <n v="0"/>
    <n v="0"/>
    <n v="0"/>
    <n v="198600"/>
    <n v="55200"/>
    <n v="253800"/>
    <n v="0.1837686567164179"/>
    <n v="0.99970000000000003"/>
    <n v="1.0003"/>
    <n v="0.99680000000000002"/>
    <n v="1"/>
    <n v="0.98240000000000005"/>
    <n v="0.94971499999999998"/>
    <n v="0.93029342027358464"/>
    <n v="189300"/>
    <n v="0"/>
    <n v="189300"/>
    <n v="52400"/>
    <n v="241700"/>
    <n v="0.15921616656460502"/>
    <n v="2.5440313111545987E-2"/>
    <n v="0.12733208955223882"/>
  </r>
  <r>
    <n v="2025"/>
    <s v="19120142602    "/>
    <n v="-2.4079456086518722"/>
    <n v="0.09"/>
    <n v="3856"/>
    <s v="2"/>
    <s v="RES"/>
    <s v="MX"/>
    <s v="11"/>
    <s v="259"/>
    <s v="CO"/>
    <x v="0"/>
    <s v="GD"/>
    <n v="20"/>
    <n v="26"/>
    <n v="26"/>
    <n v="1998"/>
    <n v="1998"/>
    <n v="531"/>
    <n v="747"/>
    <m/>
    <m/>
    <m/>
    <n v="0"/>
    <n v="1278"/>
    <n v="1500"/>
    <s v="N"/>
    <n v="1"/>
    <m/>
    <n v="216"/>
    <m/>
    <m/>
    <m/>
    <m/>
    <n v="210132"/>
    <n v="187017"/>
    <n v="0"/>
    <n v="0"/>
    <n v="52800"/>
    <n v="257000"/>
    <n v="309800"/>
    <n v="132535.48800000001"/>
    <n v="88356.992000000013"/>
    <n v="-31602.651118487549"/>
    <n v="24371.765965999999"/>
    <n v="30300.329274"/>
    <n v="-2827.2685999999999"/>
    <n v="33139.911780000002"/>
    <n v="44506.546101"/>
    <n v="0"/>
    <n v="0"/>
    <n v="0"/>
    <n v="262000"/>
    <n v="56800"/>
    <n v="318800"/>
    <n v="2.9051000645577793E-2"/>
    <n v="0.99970000000000003"/>
    <n v="0.99199999999999999"/>
    <n v="0.997"/>
    <n v="0.99519999999999997"/>
    <n v="1.0138"/>
    <n v="0.94971499999999998"/>
    <n v="0.94768232788235862"/>
    <n v="255100"/>
    <n v="0"/>
    <n v="255100"/>
    <n v="53900"/>
    <n v="309000"/>
    <n v="-7.3929961089494161E-3"/>
    <n v="2.0833333333333332E-2"/>
    <n v="-2.5823111684958036E-3"/>
  </r>
  <r>
    <n v="2025"/>
    <s v="19120142515    "/>
    <n v="-2.4079456086518722"/>
    <n v="0.09"/>
    <n v="3729"/>
    <s v="2"/>
    <s v="RES"/>
    <s v="MX"/>
    <s v="11"/>
    <s v="259"/>
    <s v="BG"/>
    <x v="2"/>
    <s v="AV"/>
    <n v="90"/>
    <n v="94"/>
    <n v="54"/>
    <n v="1930"/>
    <n v="1970"/>
    <n v="980"/>
    <m/>
    <m/>
    <m/>
    <m/>
    <n v="0"/>
    <n v="980"/>
    <n v="1000"/>
    <s v="N"/>
    <m/>
    <m/>
    <m/>
    <m/>
    <m/>
    <m/>
    <m/>
    <n v="149270"/>
    <n v="98518"/>
    <n v="0"/>
    <n v="0"/>
    <n v="52800"/>
    <n v="173300"/>
    <n v="226100"/>
    <n v="132535.48800000001"/>
    <n v="88356.992000000013"/>
    <n v="-31602.651118487549"/>
    <n v="-1240.8083630000001"/>
    <n v="17761.121909000001"/>
    <n v="-5872.0194000000001"/>
    <n v="61162.172400000003"/>
    <n v="0"/>
    <n v="0"/>
    <n v="0"/>
    <n v="0"/>
    <n v="204300"/>
    <n v="56800"/>
    <n v="261100"/>
    <n v="0.15479876160990713"/>
    <n v="0.99970000000000003"/>
    <n v="1.0022"/>
    <n v="0.99680000000000002"/>
    <n v="1"/>
    <n v="0.99960000000000004"/>
    <n v="0.94971499999999998"/>
    <n v="0.94837909556679745"/>
    <n v="197500"/>
    <n v="0"/>
    <n v="197500"/>
    <n v="53900"/>
    <n v="251400"/>
    <n v="0.13964223889209462"/>
    <n v="2.0833333333333332E-2"/>
    <n v="0.11189739053516143"/>
  </r>
  <r>
    <n v="2025"/>
    <s v="19120142425    "/>
    <n v="-2.4079456086518722"/>
    <n v="0.09"/>
    <n v="4080"/>
    <s v="2"/>
    <s v="RES"/>
    <s v="MX"/>
    <s v="11"/>
    <s v="259"/>
    <s v="BG"/>
    <x v="1"/>
    <s v="AV"/>
    <n v="90"/>
    <n v="99"/>
    <n v="46"/>
    <n v="1925"/>
    <n v="1978"/>
    <n v="834"/>
    <m/>
    <m/>
    <m/>
    <m/>
    <n v="0"/>
    <n v="834"/>
    <n v="1000"/>
    <s v="N"/>
    <m/>
    <m/>
    <m/>
    <m/>
    <m/>
    <m/>
    <m/>
    <n v="125295"/>
    <n v="95224"/>
    <n v="0"/>
    <n v="0"/>
    <n v="52800"/>
    <n v="161400"/>
    <n v="214200"/>
    <n v="132535.48800000001"/>
    <n v="88356.992000000013"/>
    <n v="-31602.651118487549"/>
    <n v="0"/>
    <n v="17761.121909000001"/>
    <n v="-5002.0906000000004"/>
    <n v="52050.25692"/>
    <n v="0"/>
    <n v="0"/>
    <n v="0"/>
    <n v="0"/>
    <n v="197300"/>
    <n v="56800"/>
    <n v="254100"/>
    <n v="0.18627450980392157"/>
    <n v="0.99970000000000003"/>
    <n v="1.0003"/>
    <n v="0.99680000000000002"/>
    <n v="1"/>
    <n v="0.99960000000000004"/>
    <n v="0.94971499999999998"/>
    <n v="0.94658113080769057"/>
    <n v="190300"/>
    <n v="0"/>
    <n v="190300"/>
    <n v="53900"/>
    <n v="244200"/>
    <n v="0.17905824039653037"/>
    <n v="2.0833333333333332E-2"/>
    <n v="0.14005602240896359"/>
  </r>
  <r>
    <n v="2025"/>
    <s v="19120142424    "/>
    <n v="-2.4079456086518722"/>
    <n v="0.09"/>
    <n v="4080"/>
    <s v="2"/>
    <s v="RES"/>
    <s v="MX"/>
    <s v="11"/>
    <s v="259"/>
    <s v="CA"/>
    <x v="3"/>
    <s v="AV"/>
    <n v="90"/>
    <n v="99"/>
    <n v="56"/>
    <n v="1925"/>
    <n v="1968"/>
    <n v="1008"/>
    <m/>
    <m/>
    <m/>
    <m/>
    <n v="0"/>
    <n v="1008"/>
    <n v="1500"/>
    <s v="N"/>
    <m/>
    <m/>
    <m/>
    <m/>
    <m/>
    <m/>
    <m/>
    <n v="100962"/>
    <n v="64616"/>
    <n v="0"/>
    <n v="0"/>
    <n v="52800"/>
    <n v="149000"/>
    <n v="201800"/>
    <n v="132535.48800000001"/>
    <n v="88356.992000000013"/>
    <n v="-31602.651118487549"/>
    <n v="-9114.1675108666695"/>
    <n v="17761.121909000001"/>
    <n v="-6089.5016000000005"/>
    <n v="62909.663040000007"/>
    <n v="0"/>
    <n v="0"/>
    <n v="0"/>
    <n v="0"/>
    <n v="198000"/>
    <n v="56800"/>
    <n v="254800"/>
    <n v="0.26263627353815661"/>
    <n v="0.99970000000000003"/>
    <n v="1"/>
    <n v="0.99680000000000002"/>
    <n v="0.99519999999999997"/>
    <n v="0.99960000000000004"/>
    <n v="0.94971499999999998"/>
    <n v="0.94175501487535107"/>
    <n v="190300"/>
    <n v="0"/>
    <n v="190300"/>
    <n v="53900"/>
    <n v="244200"/>
    <n v="0.27718120805369129"/>
    <n v="2.0833333333333332E-2"/>
    <n v="0.21010901883052527"/>
  </r>
  <r>
    <n v="2025"/>
    <s v="19120142400    "/>
    <n v="-2.2072749131897207"/>
    <n v="0.11"/>
    <n v="4896"/>
    <s v="2"/>
    <s v="RES"/>
    <s v="MX"/>
    <s v="11"/>
    <s v="259"/>
    <s v="TD"/>
    <x v="2"/>
    <s v="AV"/>
    <n v="70"/>
    <n v="74"/>
    <n v="51"/>
    <n v="1950"/>
    <n v="1973"/>
    <n v="1061"/>
    <m/>
    <m/>
    <m/>
    <m/>
    <n v="0"/>
    <n v="1061"/>
    <n v="1500"/>
    <s v="B"/>
    <m/>
    <m/>
    <m/>
    <m/>
    <m/>
    <m/>
    <m/>
    <n v="167074"/>
    <n v="115281"/>
    <n v="0"/>
    <n v="0"/>
    <n v="55600"/>
    <n v="180000"/>
    <n v="235600"/>
    <n v="132535.48800000001"/>
    <n v="88356.992000000013"/>
    <n v="-28968.984495949029"/>
    <n v="-1240.8083630000001"/>
    <n v="17761.121909000001"/>
    <n v="-5545.7961000000005"/>
    <n v="66217.413180000003"/>
    <n v="0"/>
    <n v="0"/>
    <n v="0"/>
    <n v="0"/>
    <n v="209700"/>
    <n v="59400"/>
    <n v="269100"/>
    <n v="0.14219015280135824"/>
    <n v="0.99970000000000003"/>
    <n v="1.0022"/>
    <n v="0.99680000000000002"/>
    <n v="0.99519999999999997"/>
    <n v="1"/>
    <n v="0.94971499999999998"/>
    <n v="0.94420455773116918"/>
    <n v="202300"/>
    <n v="0"/>
    <n v="202300"/>
    <n v="56400"/>
    <n v="258700"/>
    <n v="0.1238888888888889"/>
    <n v="1.4388489208633094E-2"/>
    <n v="9.8047538200339554E-2"/>
  </r>
  <r>
    <n v="2025"/>
    <s v="19120131509    "/>
    <n v="-2.2072749131897207"/>
    <n v="0.11"/>
    <n v="4814"/>
    <s v="2"/>
    <s v="RES"/>
    <s v="MX"/>
    <s v="11"/>
    <s v="259"/>
    <s v="BG"/>
    <x v="2"/>
    <s v="GD"/>
    <n v="80"/>
    <n v="84"/>
    <n v="52"/>
    <n v="1940"/>
    <n v="1972"/>
    <n v="1072"/>
    <m/>
    <m/>
    <m/>
    <m/>
    <n v="0"/>
    <n v="1072"/>
    <n v="1500"/>
    <s v="N"/>
    <m/>
    <n v="666"/>
    <m/>
    <m/>
    <m/>
    <m/>
    <m/>
    <n v="196867"/>
    <n v="137807"/>
    <n v="2630"/>
    <n v="0"/>
    <n v="55600"/>
    <n v="224400"/>
    <n v="280000"/>
    <n v="132535.48800000001"/>
    <n v="88356.992000000013"/>
    <n v="-28968.984495949029"/>
    <n v="-1240.8083630000001"/>
    <n v="30300.329274"/>
    <n v="-5654.5371999999998"/>
    <n v="66903.927360000001"/>
    <n v="0"/>
    <n v="0"/>
    <n v="23510.486646000001"/>
    <n v="2600"/>
    <n v="246400"/>
    <n v="59400"/>
    <n v="308400"/>
    <n v="0.10142857142857142"/>
    <n v="0.99970000000000003"/>
    <n v="1.0022"/>
    <n v="0.997"/>
    <n v="0.99519999999999997"/>
    <n v="1"/>
    <n v="0.94971499999999998"/>
    <n v="0.94439400487357117"/>
    <n v="239000"/>
    <n v="2500"/>
    <n v="241500"/>
    <n v="56400"/>
    <n v="297900"/>
    <n v="7.6203208556149732E-2"/>
    <n v="1.4388489208633094E-2"/>
    <n v="6.3928571428571432E-2"/>
  </r>
  <r>
    <n v="2025"/>
    <s v="19120142402    "/>
    <n v="-2.2072749131897207"/>
    <n v="0.11"/>
    <n v="4979"/>
    <s v="2"/>
    <s v="RES"/>
    <s v="MX"/>
    <s v="11"/>
    <s v="259"/>
    <s v="TD"/>
    <x v="1"/>
    <s v="AV"/>
    <n v="70"/>
    <n v="78"/>
    <n v="52"/>
    <n v="1946"/>
    <n v="1972"/>
    <n v="1440"/>
    <m/>
    <m/>
    <m/>
    <m/>
    <n v="0"/>
    <n v="1440"/>
    <n v="1500"/>
    <s v="N"/>
    <m/>
    <m/>
    <m/>
    <m/>
    <m/>
    <m/>
    <m/>
    <n v="211912"/>
    <n v="144100"/>
    <n v="0"/>
    <n v="0"/>
    <n v="55600"/>
    <n v="200400"/>
    <n v="256000"/>
    <n v="132535.48800000001"/>
    <n v="88356.992000000013"/>
    <n v="-28968.984495949029"/>
    <n v="0"/>
    <n v="17761.121909000001"/>
    <n v="-5654.5371999999998"/>
    <n v="89870.94720000001"/>
    <n v="0"/>
    <n v="0"/>
    <n v="0"/>
    <n v="0"/>
    <n v="234500"/>
    <n v="59400"/>
    <n v="293900"/>
    <n v="0.14804687499999999"/>
    <n v="0.99970000000000003"/>
    <n v="1.0003"/>
    <n v="0.99680000000000002"/>
    <n v="0.99519999999999997"/>
    <n v="1"/>
    <n v="0.94971499999999998"/>
    <n v="0.9424145071826866"/>
    <n v="226900"/>
    <n v="0"/>
    <n v="226900"/>
    <n v="56400"/>
    <n v="283300"/>
    <n v="0.13223552894211577"/>
    <n v="1.4388489208633094E-2"/>
    <n v="0.106640625"/>
  </r>
  <r>
    <n v="2025"/>
    <s v="19120142426    "/>
    <n v="-2.2072749131897207"/>
    <n v="0.11"/>
    <n v="4773"/>
    <s v="2"/>
    <s v="RES"/>
    <s v="MX"/>
    <s v="11"/>
    <s v="259"/>
    <s v="CO"/>
    <x v="1"/>
    <s v="GD"/>
    <n v="80"/>
    <n v="89"/>
    <n v="53"/>
    <n v="1935"/>
    <n v="1971"/>
    <n v="900"/>
    <n v="288"/>
    <m/>
    <m/>
    <m/>
    <n v="0"/>
    <n v="1188"/>
    <n v="1500"/>
    <s v="N"/>
    <m/>
    <m/>
    <m/>
    <m/>
    <m/>
    <m/>
    <m/>
    <n v="152052"/>
    <n v="104916"/>
    <n v="4161"/>
    <n v="0"/>
    <n v="55600"/>
    <n v="188800"/>
    <n v="244400"/>
    <n v="132535.48800000001"/>
    <n v="88356.992000000013"/>
    <n v="-28968.984495949029"/>
    <n v="0"/>
    <n v="30300.329274"/>
    <n v="-5763.2782999999999"/>
    <n v="56169.342000000004"/>
    <n v="17159.150303999999"/>
    <n v="0"/>
    <n v="0"/>
    <n v="4200"/>
    <n v="230400"/>
    <n v="59400"/>
    <n v="294000"/>
    <n v="0.20294599018003273"/>
    <n v="0.99970000000000003"/>
    <n v="1.0003"/>
    <n v="0.997"/>
    <n v="0.99519999999999997"/>
    <n v="1"/>
    <n v="0.94971499999999998"/>
    <n v="0.94260359516566872"/>
    <n v="222800"/>
    <n v="4000"/>
    <n v="226800"/>
    <n v="56400"/>
    <n v="283200"/>
    <n v="0.20127118644067796"/>
    <n v="1.4388489208633094E-2"/>
    <n v="0.15875613747954173"/>
  </r>
  <r>
    <n v="2025"/>
    <s v="19120131510    "/>
    <n v="-2.2072749131897207"/>
    <n v="0.11"/>
    <n v="4938"/>
    <s v="2"/>
    <s v="RES"/>
    <s v="MX"/>
    <s v="11"/>
    <s v="259"/>
    <s v="TD"/>
    <x v="1"/>
    <s v="GD"/>
    <n v="80"/>
    <n v="89"/>
    <n v="53"/>
    <n v="1935"/>
    <n v="1971"/>
    <n v="648"/>
    <m/>
    <m/>
    <m/>
    <m/>
    <n v="0"/>
    <n v="648"/>
    <n v="1000"/>
    <s v="N"/>
    <m/>
    <m/>
    <m/>
    <m/>
    <m/>
    <m/>
    <m/>
    <n v="100632"/>
    <n v="69436"/>
    <n v="6094"/>
    <n v="0"/>
    <n v="55600"/>
    <n v="162400"/>
    <n v="218000"/>
    <n v="132535.48800000001"/>
    <n v="88356.992000000013"/>
    <n v="-28968.984495949029"/>
    <n v="0"/>
    <n v="30300.329274"/>
    <n v="-5763.2782999999999"/>
    <n v="40441.926240000001"/>
    <n v="0"/>
    <n v="0"/>
    <n v="0"/>
    <n v="6100"/>
    <n v="197500"/>
    <n v="59400"/>
    <n v="263000"/>
    <n v="0.20642201834862386"/>
    <n v="0.99970000000000003"/>
    <n v="1.0003"/>
    <n v="0.997"/>
    <n v="1"/>
    <n v="1"/>
    <n v="0.94971499999999998"/>
    <n v="0.94714991475650001"/>
    <n v="190500"/>
    <n v="5800"/>
    <n v="196300"/>
    <n v="56400"/>
    <n v="252700"/>
    <n v="0.20874384236453203"/>
    <n v="1.4388489208633094E-2"/>
    <n v="0.1591743119266055"/>
  </r>
  <r>
    <n v="2025"/>
    <s v="19120114417    "/>
    <n v="-2.120263536200091"/>
    <n v="0.12"/>
    <n v="5257"/>
    <s v="2"/>
    <s v="RES"/>
    <s v="MX"/>
    <s v="11"/>
    <s v="325"/>
    <s v="PE"/>
    <x v="4"/>
    <s v="GD"/>
    <n v="0"/>
    <n v="9"/>
    <n v="9"/>
    <n v="2015"/>
    <n v="2015"/>
    <n v="1636"/>
    <m/>
    <m/>
    <m/>
    <m/>
    <n v="0"/>
    <n v="1636"/>
    <n v="2000"/>
    <s v="S"/>
    <m/>
    <n v="448"/>
    <m/>
    <m/>
    <m/>
    <m/>
    <m/>
    <n v="345937"/>
    <n v="332100"/>
    <n v="5147"/>
    <n v="0"/>
    <n v="33300"/>
    <n v="324800"/>
    <n v="358100"/>
    <n v="132535.48800000001"/>
    <n v="88356.992000000013"/>
    <n v="-27827.019253685114"/>
    <n v="37154.252388000001"/>
    <n v="30300.329274"/>
    <n v="-978.66989999999998"/>
    <n v="102103.38168000001"/>
    <n v="0"/>
    <n v="0"/>
    <n v="15814.861888000001"/>
    <n v="5100"/>
    <n v="316900"/>
    <n v="60500"/>
    <n v="382500"/>
    <n v="6.8137391790002791E-2"/>
    <n v="0.99970000000000003"/>
    <n v="0.99819999999999998"/>
    <n v="0.997"/>
    <n v="1.0007999999999999"/>
    <n v="1.0022"/>
    <n v="0.94971499999999998"/>
    <n v="0.94799864443461668"/>
    <n v="310000"/>
    <n v="4900"/>
    <n v="314900"/>
    <n v="57500"/>
    <n v="372400"/>
    <n v="-3.0480295566502464E-2"/>
    <n v="0.72672672672672678"/>
    <n v="3.9932979614632783E-2"/>
  </r>
  <r>
    <n v="2025"/>
    <s v="19120114418    "/>
    <n v="-2.120263536200091"/>
    <n v="0.12"/>
    <n v="5257"/>
    <s v="2"/>
    <s v="RES"/>
    <s v="MX"/>
    <s v="11"/>
    <s v="325"/>
    <s v="PE"/>
    <x v="4"/>
    <s v="GD"/>
    <n v="0"/>
    <n v="9"/>
    <n v="9"/>
    <n v="2015"/>
    <n v="2015"/>
    <n v="1636"/>
    <m/>
    <m/>
    <m/>
    <m/>
    <n v="0"/>
    <n v="1636"/>
    <n v="2000"/>
    <s v="S"/>
    <m/>
    <n v="448"/>
    <m/>
    <m/>
    <m/>
    <m/>
    <m/>
    <n v="345937"/>
    <n v="332100"/>
    <n v="5147"/>
    <n v="0"/>
    <n v="33300"/>
    <n v="324800"/>
    <n v="358100"/>
    <n v="132535.48800000001"/>
    <n v="88356.992000000013"/>
    <n v="-27827.019253685114"/>
    <n v="37154.252388000001"/>
    <n v="30300.329274"/>
    <n v="-978.66989999999998"/>
    <n v="102103.38168000001"/>
    <n v="0"/>
    <n v="0"/>
    <n v="15814.861888000001"/>
    <n v="5100"/>
    <n v="316900"/>
    <n v="60500"/>
    <n v="382500"/>
    <n v="6.8137391790002791E-2"/>
    <n v="0.99970000000000003"/>
    <n v="0.99819999999999998"/>
    <n v="0.997"/>
    <n v="1.0007999999999999"/>
    <n v="1.0022"/>
    <n v="0.94971499999999998"/>
    <n v="0.94799864443461668"/>
    <n v="310000"/>
    <n v="4900"/>
    <n v="314900"/>
    <n v="57500"/>
    <n v="372400"/>
    <n v="-3.0480295566502464E-2"/>
    <n v="0.72672672672672678"/>
    <n v="3.9932979614632783E-2"/>
  </r>
  <r>
    <n v="2025"/>
    <s v="19120134423    "/>
    <n v="-2.120263536200091"/>
    <n v="0.12"/>
    <n v="5200"/>
    <s v="2"/>
    <s v="RES"/>
    <s v="MX"/>
    <s v="11"/>
    <s v="259"/>
    <s v="RN"/>
    <x v="0"/>
    <s v="AV"/>
    <n v="40"/>
    <n v="47"/>
    <n v="45"/>
    <n v="1977"/>
    <n v="1979"/>
    <n v="1078"/>
    <m/>
    <m/>
    <m/>
    <m/>
    <n v="0"/>
    <n v="1078"/>
    <n v="1500"/>
    <s v="B"/>
    <m/>
    <n v="300"/>
    <m/>
    <m/>
    <m/>
    <m/>
    <m/>
    <n v="191301"/>
    <n v="147302"/>
    <n v="0"/>
    <n v="0"/>
    <n v="56800"/>
    <n v="216600"/>
    <n v="273400"/>
    <n v="132535.48800000001"/>
    <n v="88356.992000000013"/>
    <n v="-27827.019253685114"/>
    <n v="24371.765965999999"/>
    <n v="17761.121909000001"/>
    <n v="-4893.3495000000003"/>
    <n v="67278.389640000009"/>
    <n v="0"/>
    <n v="0"/>
    <n v="10590.309300000001"/>
    <n v="0"/>
    <n v="247600"/>
    <n v="60500"/>
    <n v="308100"/>
    <n v="0.12692026335040235"/>
    <n v="0.99970000000000003"/>
    <n v="0.99199999999999999"/>
    <n v="0.99680000000000002"/>
    <n v="0.99519999999999997"/>
    <n v="0.95689999999999997"/>
    <n v="0.94971499999999998"/>
    <n v="0.89431377625485153"/>
    <n v="233600"/>
    <n v="0"/>
    <n v="233600"/>
    <n v="57500"/>
    <n v="291100"/>
    <n v="7.8485687903970452E-2"/>
    <n v="1.232394366197183E-2"/>
    <n v="6.4740307242136058E-2"/>
  </r>
  <r>
    <n v="2025"/>
    <s v="19120142612    "/>
    <n v="-2.120263536200091"/>
    <n v="0.12"/>
    <m/>
    <s v="2"/>
    <s v="RES"/>
    <s v="MX"/>
    <s v="11"/>
    <s v="259"/>
    <s v="CO"/>
    <x v="2"/>
    <s v="AV"/>
    <n v="100"/>
    <n v="104"/>
    <n v="58"/>
    <n v="1920"/>
    <n v="1966"/>
    <n v="1184"/>
    <n v="520"/>
    <m/>
    <m/>
    <m/>
    <n v="0"/>
    <n v="1704"/>
    <n v="2000"/>
    <s v="B"/>
    <m/>
    <m/>
    <m/>
    <m/>
    <m/>
    <m/>
    <m/>
    <n v="246231"/>
    <n v="152663"/>
    <n v="8212"/>
    <n v="0"/>
    <n v="56800"/>
    <n v="216300"/>
    <n v="273100"/>
    <n v="132535.48800000001"/>
    <n v="88356.992000000013"/>
    <n v="-27827.019253685114"/>
    <n v="-1240.8083630000001"/>
    <n v="17761.121909000001"/>
    <n v="-6306.9838"/>
    <n v="73893.889920000001"/>
    <n v="30981.799159999999"/>
    <n v="0"/>
    <n v="0"/>
    <n v="8200"/>
    <n v="247600"/>
    <n v="60500"/>
    <n v="316300"/>
    <n v="0.1581838154522153"/>
    <n v="0.99970000000000003"/>
    <n v="1.0022"/>
    <n v="0.99680000000000002"/>
    <n v="1.0007999999999999"/>
    <n v="0.98240000000000005"/>
    <n v="0.94971499999999998"/>
    <n v="0.93280609602201836"/>
    <n v="238700"/>
    <n v="7800"/>
    <n v="246500"/>
    <n v="57500"/>
    <n v="304000"/>
    <n v="0.1396208969024503"/>
    <n v="1.232394366197183E-2"/>
    <n v="0.11314536799707067"/>
  </r>
  <r>
    <n v="2025"/>
    <s v="19120141536    "/>
    <n v="-2.120263536200091"/>
    <n v="0.12"/>
    <n v="5385"/>
    <s v="2"/>
    <s v="RES"/>
    <s v="MX"/>
    <s v="11"/>
    <s v="259"/>
    <s v="RN"/>
    <x v="4"/>
    <s v="VG"/>
    <n v="20"/>
    <n v="20"/>
    <n v="20"/>
    <n v="2004"/>
    <n v="2004"/>
    <n v="1092"/>
    <m/>
    <m/>
    <m/>
    <m/>
    <n v="0"/>
    <n v="1092"/>
    <n v="1500"/>
    <s v="N"/>
    <m/>
    <n v="440"/>
    <m/>
    <m/>
    <m/>
    <m/>
    <m/>
    <n v="256202"/>
    <n v="235706"/>
    <n v="0"/>
    <n v="0"/>
    <n v="56800"/>
    <n v="328300"/>
    <n v="385100"/>
    <n v="132535.48800000001"/>
    <n v="88356.992000000013"/>
    <n v="-27827.019253685114"/>
    <n v="37154.252388000001"/>
    <n v="50438.379078999998"/>
    <n v="-2174.8220000000001"/>
    <n v="68152.13496000001"/>
    <n v="0"/>
    <n v="0"/>
    <n v="15532.453640000002"/>
    <n v="0"/>
    <n v="301600"/>
    <n v="60500"/>
    <n v="362100"/>
    <n v="-5.9724746819008051E-2"/>
    <n v="0.99970000000000003"/>
    <n v="0.99819999999999998"/>
    <n v="1.0007999999999999"/>
    <n v="0.99519999999999997"/>
    <n v="1.0138"/>
    <n v="0.94971499999999998"/>
    <n v="0.95723994654520439"/>
    <n v="296000"/>
    <n v="0"/>
    <n v="296000"/>
    <n v="57500"/>
    <n v="353500"/>
    <n v="-9.8385622905878767E-2"/>
    <n v="1.232394366197183E-2"/>
    <n v="-8.2056608673071935E-2"/>
  </r>
  <r>
    <n v="2025"/>
    <s v="19120142432    "/>
    <n v="-2.120263536200091"/>
    <n v="0.12"/>
    <n v="5115"/>
    <s v="2"/>
    <s v="RES"/>
    <s v="MX"/>
    <s v="11"/>
    <s v="259"/>
    <s v="TD"/>
    <x v="0"/>
    <s v="AV"/>
    <n v="80"/>
    <n v="89"/>
    <n v="53"/>
    <n v="1935"/>
    <n v="1971"/>
    <n v="1158"/>
    <m/>
    <m/>
    <m/>
    <m/>
    <n v="0"/>
    <n v="1158"/>
    <n v="1500"/>
    <s v="N"/>
    <m/>
    <m/>
    <m/>
    <m/>
    <m/>
    <m/>
    <m/>
    <n v="214130"/>
    <n v="143467"/>
    <n v="0"/>
    <n v="0"/>
    <n v="56800"/>
    <n v="194900"/>
    <n v="251700"/>
    <n v="132535.48800000001"/>
    <n v="88356.992000000013"/>
    <n v="-27827.019253685114"/>
    <n v="24371.765965999999"/>
    <n v="17761.121909000001"/>
    <n v="-5763.2782999999999"/>
    <n v="72271.22004"/>
    <n v="0"/>
    <n v="0"/>
    <n v="0"/>
    <n v="0"/>
    <n v="241200"/>
    <n v="60500"/>
    <n v="301700"/>
    <n v="0.1986491855383393"/>
    <n v="0.99970000000000003"/>
    <n v="0.99199999999999999"/>
    <n v="0.99680000000000002"/>
    <n v="0.99519999999999997"/>
    <n v="1"/>
    <n v="0.94971499999999998"/>
    <n v="0.93459481268142075"/>
    <n v="232500"/>
    <n v="0"/>
    <n v="232500"/>
    <n v="57500"/>
    <n v="290000"/>
    <n v="0.19291944586967677"/>
    <n v="1.232394366197183E-2"/>
    <n v="0.15216527612236791"/>
  </r>
  <r>
    <n v="2025"/>
    <s v="19120142401    "/>
    <n v="-2.120263536200091"/>
    <n v="0.12"/>
    <n v="5095"/>
    <s v="2"/>
    <s v="RES"/>
    <s v="MX"/>
    <s v="11"/>
    <s v="259"/>
    <s v="BG"/>
    <x v="3"/>
    <s v="AV"/>
    <n v="90"/>
    <n v="99"/>
    <n v="56"/>
    <n v="1925"/>
    <n v="1968"/>
    <n v="712"/>
    <m/>
    <m/>
    <m/>
    <m/>
    <n v="0"/>
    <n v="712"/>
    <n v="1000"/>
    <s v="N"/>
    <m/>
    <m/>
    <m/>
    <m/>
    <m/>
    <m/>
    <m/>
    <n v="102168"/>
    <n v="65388"/>
    <n v="8104"/>
    <n v="0"/>
    <n v="56800"/>
    <n v="141400"/>
    <n v="198200"/>
    <n v="132535.48800000001"/>
    <n v="88356.992000000013"/>
    <n v="-27827.019253685114"/>
    <n v="-9114.1675108666695"/>
    <n v="17761.121909000001"/>
    <n v="-6089.5016000000005"/>
    <n v="44436.190560000003"/>
    <n v="0"/>
    <n v="0"/>
    <n v="0"/>
    <n v="8100"/>
    <n v="179500"/>
    <n v="60500"/>
    <n v="248100"/>
    <n v="0.25176589303733604"/>
    <n v="0.99970000000000003"/>
    <n v="1"/>
    <n v="0.99680000000000002"/>
    <n v="1"/>
    <n v="0.99960000000000004"/>
    <n v="0.94971499999999998"/>
    <n v="0.94629724163520013"/>
    <n v="172400"/>
    <n v="7700"/>
    <n v="180100"/>
    <n v="57500"/>
    <n v="237600"/>
    <n v="0.2736916548797737"/>
    <n v="1.232394366197183E-2"/>
    <n v="0.1987891019172553"/>
  </r>
  <r>
    <n v="2025"/>
    <s v="19120142446    "/>
    <n v="-2.0402208285265546"/>
    <n v="0.13"/>
    <n v="5770"/>
    <s v="2"/>
    <s v="RES"/>
    <s v="MX"/>
    <s v="11"/>
    <s v="259"/>
    <s v="TD"/>
    <x v="4"/>
    <s v="GD"/>
    <n v="80"/>
    <n v="84"/>
    <n v="33"/>
    <n v="1940"/>
    <n v="1991"/>
    <n v="1782"/>
    <n v="432"/>
    <m/>
    <m/>
    <m/>
    <n v="0"/>
    <n v="2214"/>
    <n v="2500"/>
    <s v="B"/>
    <m/>
    <m/>
    <m/>
    <m/>
    <m/>
    <m/>
    <n v="84"/>
    <n v="243994"/>
    <n v="170796"/>
    <n v="0"/>
    <n v="0"/>
    <n v="57900"/>
    <n v="241200"/>
    <n v="299100"/>
    <n v="132535.48800000001"/>
    <n v="88356.992000000013"/>
    <n v="-26776.513064468461"/>
    <n v="37154.252388000001"/>
    <n v="30300.329274"/>
    <n v="-3588.4563000000003"/>
    <n v="111215.29716"/>
    <n v="25738.725456"/>
    <n v="0"/>
    <n v="0"/>
    <n v="0"/>
    <n v="333400"/>
    <n v="61600"/>
    <n v="395000"/>
    <n v="0.32062855232363757"/>
    <n v="0.99970000000000003"/>
    <n v="0.99819999999999998"/>
    <n v="0.997"/>
    <n v="1.0008999999999999"/>
    <n v="1"/>
    <n v="0.94971499999999998"/>
    <n v="0.94601214180781479"/>
    <n v="326200"/>
    <n v="0"/>
    <n v="326200"/>
    <n v="58500"/>
    <n v="384700"/>
    <n v="0.35240464344941957"/>
    <n v="1.0362694300518135E-2"/>
    <n v="0.28619190906051489"/>
  </r>
  <r>
    <n v="2025"/>
    <s v="19120142518    "/>
    <n v="-2.0402208285265546"/>
    <n v="0.13"/>
    <n v="5583"/>
    <s v="2"/>
    <s v="RES"/>
    <s v="MX"/>
    <s v="11"/>
    <s v="259"/>
    <s v="BG"/>
    <x v="2"/>
    <s v="AV"/>
    <n v="90"/>
    <n v="94"/>
    <n v="54"/>
    <n v="1930"/>
    <n v="1970"/>
    <n v="734"/>
    <n v="300"/>
    <n v="64"/>
    <m/>
    <m/>
    <n v="64"/>
    <n v="1034"/>
    <n v="1500"/>
    <s v="N"/>
    <m/>
    <m/>
    <m/>
    <m/>
    <m/>
    <m/>
    <m/>
    <n v="151539"/>
    <n v="100016"/>
    <n v="0"/>
    <n v="0"/>
    <n v="57900"/>
    <n v="179500"/>
    <n v="237400"/>
    <n v="132535.48800000001"/>
    <n v="88356.992000000013"/>
    <n v="-26776.513064468461"/>
    <n v="-1240.8083630000001"/>
    <n v="17761.121909000001"/>
    <n v="-5872.0194000000001"/>
    <n v="45809.218919999999"/>
    <n v="17874.1149"/>
    <n v="4005.5357439999998"/>
    <n v="0"/>
    <n v="0"/>
    <n v="210900"/>
    <n v="61600"/>
    <n v="272500"/>
    <n v="0.14785172704296545"/>
    <n v="0.99970000000000003"/>
    <n v="1.0022"/>
    <n v="0.99680000000000002"/>
    <n v="0.99519999999999997"/>
    <n v="0.99960000000000004"/>
    <n v="0.94971499999999998"/>
    <n v="0.94382687590807679"/>
    <n v="203400"/>
    <n v="0"/>
    <n v="203400"/>
    <n v="58500"/>
    <n v="261900"/>
    <n v="0.13314763231197771"/>
    <n v="1.0362694300518135E-2"/>
    <n v="0.10320134793597305"/>
  </r>
  <r>
    <n v="2025"/>
    <s v="19120142498    "/>
    <n v="-2.0402208285265546"/>
    <n v="0.13"/>
    <n v="5490"/>
    <s v="2"/>
    <s v="RES"/>
    <s v="MX"/>
    <s v="11"/>
    <s v="259"/>
    <s v="TD"/>
    <x v="0"/>
    <s v="GD"/>
    <n v="100"/>
    <n v="104"/>
    <n v="58"/>
    <n v="1920"/>
    <n v="1966"/>
    <n v="864"/>
    <n v="600"/>
    <n v="100"/>
    <m/>
    <m/>
    <n v="100"/>
    <n v="1464"/>
    <n v="1500"/>
    <s v="N"/>
    <m/>
    <m/>
    <m/>
    <m/>
    <m/>
    <m/>
    <m/>
    <n v="230352"/>
    <n v="147425"/>
    <n v="0"/>
    <n v="0"/>
    <n v="57900"/>
    <n v="226300"/>
    <n v="284200"/>
    <n v="132535.48800000001"/>
    <n v="88356.992000000013"/>
    <n v="-26776.513064468461"/>
    <n v="24371.765965999999"/>
    <n v="30300.329274"/>
    <n v="-6306.9838"/>
    <n v="53922.568320000006"/>
    <n v="35748.229800000001"/>
    <n v="6258.6495999999997"/>
    <n v="0"/>
    <n v="0"/>
    <n v="276800"/>
    <n v="61600"/>
    <n v="338400"/>
    <n v="0.19071076706544687"/>
    <n v="0.99970000000000003"/>
    <n v="0.99199999999999999"/>
    <n v="0.997"/>
    <n v="0.99519999999999997"/>
    <n v="0.98240000000000005"/>
    <n v="0.94971499999999998"/>
    <n v="0.91833016266682688"/>
    <n v="266000"/>
    <n v="0"/>
    <n v="266000"/>
    <n v="58500"/>
    <n v="324500"/>
    <n v="0.17543084401237297"/>
    <n v="1.0362694300518135E-2"/>
    <n v="0.1418015482054891"/>
  </r>
  <r>
    <n v="2025"/>
    <s v="19120143404    "/>
    <n v="-2.0402208285265546"/>
    <n v="0.13"/>
    <n v="5637"/>
    <s v="2"/>
    <s v="RES"/>
    <s v="MX"/>
    <s v="11"/>
    <s v="259"/>
    <s v="BG"/>
    <x v="1"/>
    <s v="AV"/>
    <n v="90"/>
    <n v="99"/>
    <n v="56"/>
    <n v="1925"/>
    <n v="1968"/>
    <n v="875"/>
    <m/>
    <n v="100"/>
    <m/>
    <m/>
    <n v="100"/>
    <n v="875"/>
    <n v="1000"/>
    <s v="N"/>
    <m/>
    <m/>
    <m/>
    <m/>
    <m/>
    <m/>
    <m/>
    <n v="135235"/>
    <n v="86550"/>
    <n v="12649"/>
    <n v="0"/>
    <n v="57900"/>
    <n v="176400"/>
    <n v="234300"/>
    <n v="132535.48800000001"/>
    <n v="88356.992000000013"/>
    <n v="-26776.513064468461"/>
    <n v="0"/>
    <n v="17761.121909000001"/>
    <n v="-6089.5016000000005"/>
    <n v="54609.082500000004"/>
    <n v="0"/>
    <n v="6258.6495999999997"/>
    <n v="0"/>
    <n v="12600"/>
    <n v="205100"/>
    <n v="61600"/>
    <n v="279300"/>
    <n v="0.19206145966709348"/>
    <n v="0.99970000000000003"/>
    <n v="1.0003"/>
    <n v="0.99680000000000002"/>
    <n v="1"/>
    <n v="0.99960000000000004"/>
    <n v="0.94971499999999998"/>
    <n v="0.94658113080769057"/>
    <n v="198000"/>
    <n v="12000"/>
    <n v="210000"/>
    <n v="58500"/>
    <n v="268500"/>
    <n v="0.19047619047619047"/>
    <n v="1.0362694300518135E-2"/>
    <n v="0.14596670934699105"/>
  </r>
  <r>
    <n v="2025"/>
    <s v="19120142501    "/>
    <n v="-2.0402208285265546"/>
    <n v="0.13"/>
    <n v="5490"/>
    <s v="2"/>
    <s v="RES"/>
    <s v="MX"/>
    <s v="11"/>
    <s v="259"/>
    <s v="TD"/>
    <x v="0"/>
    <s v="GD"/>
    <n v="100"/>
    <n v="104"/>
    <n v="58"/>
    <n v="1920"/>
    <n v="1966"/>
    <n v="1389"/>
    <m/>
    <n v="240"/>
    <m/>
    <n v="240"/>
    <n v="0"/>
    <n v="1629"/>
    <n v="2000"/>
    <s v="N"/>
    <m/>
    <m/>
    <m/>
    <m/>
    <m/>
    <m/>
    <m/>
    <n v="253976"/>
    <n v="162545"/>
    <n v="3166"/>
    <n v="0"/>
    <n v="57900"/>
    <n v="218500"/>
    <n v="276400"/>
    <n v="132535.48800000001"/>
    <n v="88356.992000000013"/>
    <n v="-26776.513064468461"/>
    <n v="24371.765965999999"/>
    <n v="30300.329274"/>
    <n v="-6306.9838"/>
    <n v="86688.017820000008"/>
    <n v="0"/>
    <n v="15020.759039999999"/>
    <n v="0"/>
    <n v="3200"/>
    <n v="282600"/>
    <n v="61600"/>
    <n v="347400"/>
    <n v="0.25687409551374818"/>
    <n v="0.99970000000000003"/>
    <n v="0.99199999999999999"/>
    <n v="0.997"/>
    <n v="1.0007999999999999"/>
    <n v="0.98240000000000005"/>
    <n v="0.94971499999999998"/>
    <n v="0.92349761535064334"/>
    <n v="272500"/>
    <n v="3000"/>
    <n v="275500"/>
    <n v="58500"/>
    <n v="334000"/>
    <n v="0.2608695652173913"/>
    <n v="1.0362694300518135E-2"/>
    <n v="0.20839363241678727"/>
  </r>
  <r>
    <n v="2025"/>
    <s v="19120141537    "/>
    <n v="-2.0402208285265546"/>
    <n v="0.13"/>
    <n v="5514"/>
    <s v="2"/>
    <s v="RES"/>
    <s v="MX"/>
    <s v="11"/>
    <s v="259"/>
    <s v="RN"/>
    <x v="4"/>
    <s v="AV"/>
    <n v="10"/>
    <n v="19"/>
    <n v="19"/>
    <n v="2005"/>
    <n v="2005"/>
    <n v="1380"/>
    <m/>
    <m/>
    <m/>
    <m/>
    <n v="0"/>
    <n v="1380"/>
    <n v="1500"/>
    <s v="N"/>
    <m/>
    <n v="428"/>
    <m/>
    <m/>
    <m/>
    <m/>
    <m/>
    <n v="277795"/>
    <n v="250016"/>
    <n v="0"/>
    <n v="0"/>
    <n v="57900"/>
    <n v="283700"/>
    <n v="341600"/>
    <n v="132535.48800000001"/>
    <n v="88356.992000000013"/>
    <n v="-26776.513064468461"/>
    <n v="37154.252388000001"/>
    <n v="17761.121909000001"/>
    <n v="-2066.0808999999999"/>
    <n v="86126.324399999998"/>
    <n v="0"/>
    <n v="0"/>
    <n v="15108.841268"/>
    <n v="0"/>
    <n v="286600"/>
    <n v="61600"/>
    <n v="348200"/>
    <n v="1.9320843091334895E-2"/>
    <n v="0.99970000000000003"/>
    <n v="0.99819999999999998"/>
    <n v="0.99680000000000002"/>
    <n v="0.99519999999999997"/>
    <n v="0.99080000000000001"/>
    <n v="0.94971499999999998"/>
    <n v="0.93178401878228145"/>
    <n v="277600"/>
    <n v="0"/>
    <n v="277600"/>
    <n v="58500"/>
    <n v="336100"/>
    <n v="-2.150158618258724E-2"/>
    <n v="1.0362694300518135E-2"/>
    <n v="-1.6100702576112413E-2"/>
  </r>
  <r>
    <n v="2025"/>
    <s v="19120142485    "/>
    <n v="-2.0402208285265546"/>
    <n v="0.13"/>
    <n v="5756"/>
    <s v="2"/>
    <s v="RES"/>
    <s v="MX"/>
    <s v="11"/>
    <s v="259"/>
    <s v="CO"/>
    <x v="2"/>
    <s v="GD"/>
    <n v="100"/>
    <n v="104"/>
    <n v="58"/>
    <n v="1920"/>
    <n v="1966"/>
    <n v="759"/>
    <n v="200"/>
    <m/>
    <m/>
    <m/>
    <n v="0"/>
    <n v="959"/>
    <n v="1000"/>
    <s v="N"/>
    <m/>
    <m/>
    <m/>
    <m/>
    <m/>
    <m/>
    <m/>
    <n v="149377"/>
    <n v="95601"/>
    <n v="37992"/>
    <n v="0"/>
    <n v="57900"/>
    <n v="237200"/>
    <n v="295100"/>
    <n v="132535.48800000001"/>
    <n v="88356.992000000013"/>
    <n v="-26776.513064468461"/>
    <n v="-1240.8083630000001"/>
    <n v="30300.329274"/>
    <n v="-6306.9838"/>
    <n v="47369.478419999999"/>
    <n v="11916.0766"/>
    <n v="0"/>
    <n v="0"/>
    <n v="38000"/>
    <n v="214600"/>
    <n v="61600"/>
    <n v="314200"/>
    <n v="6.4723822433073536E-2"/>
    <n v="0.99970000000000003"/>
    <n v="1.0022"/>
    <n v="0.997"/>
    <n v="1"/>
    <n v="0.98240000000000005"/>
    <n v="0.94971499999999998"/>
    <n v="0.93224745818709454"/>
    <n v="205600"/>
    <n v="36100"/>
    <n v="241700"/>
    <n v="58500"/>
    <n v="300200"/>
    <n v="1.897133220910624E-2"/>
    <n v="1.0362694300518135E-2"/>
    <n v="1.7282277194171466E-2"/>
  </r>
  <r>
    <n v="2025"/>
    <s v="19120142533    "/>
    <n v="-2.0402208285265546"/>
    <n v="0.13"/>
    <n v="5490"/>
    <s v="2"/>
    <s v="RES"/>
    <s v="MX"/>
    <s v="11"/>
    <s v="259"/>
    <s v="RN"/>
    <x v="2"/>
    <s v="GD"/>
    <n v="20"/>
    <n v="27"/>
    <n v="27"/>
    <n v="1997"/>
    <n v="1997"/>
    <n v="925"/>
    <m/>
    <m/>
    <m/>
    <m/>
    <n v="0"/>
    <n v="925"/>
    <n v="1000"/>
    <s v="N"/>
    <m/>
    <m/>
    <m/>
    <m/>
    <m/>
    <m/>
    <m/>
    <n v="144271"/>
    <n v="126958"/>
    <n v="6246"/>
    <n v="0"/>
    <n v="57900"/>
    <n v="211400"/>
    <n v="269300"/>
    <n v="132535.48800000001"/>
    <n v="88356.992000000013"/>
    <n v="-26776.513064468461"/>
    <n v="-1240.8083630000001"/>
    <n v="30300.329274"/>
    <n v="-2936.0097000000001"/>
    <n v="57729.601500000004"/>
    <n v="0"/>
    <n v="0"/>
    <n v="0"/>
    <n v="6200"/>
    <n v="216400"/>
    <n v="61600"/>
    <n v="284200"/>
    <n v="5.5328629780913477E-2"/>
    <n v="0.99970000000000003"/>
    <n v="1.0022"/>
    <n v="0.997"/>
    <n v="1"/>
    <n v="1.0138"/>
    <n v="0.94971499999999998"/>
    <n v="0.96204445552735796"/>
    <n v="211400"/>
    <n v="5900"/>
    <n v="217300"/>
    <n v="58500"/>
    <n v="275800"/>
    <n v="2.7909176915799434E-2"/>
    <n v="1.0362694300518135E-2"/>
    <n v="2.4136650575566285E-2"/>
  </r>
  <r>
    <n v="2025"/>
    <s v="19120142534    "/>
    <n v="-2.0402208285265546"/>
    <n v="0.13"/>
    <n v="5490"/>
    <s v="2"/>
    <s v="RES"/>
    <s v="MX"/>
    <s v="11"/>
    <s v="259"/>
    <s v="RN"/>
    <x v="1"/>
    <s v="FR"/>
    <n v="50"/>
    <n v="59"/>
    <n v="48"/>
    <n v="1965"/>
    <n v="1976"/>
    <n v="832"/>
    <m/>
    <m/>
    <m/>
    <m/>
    <n v="0"/>
    <n v="832"/>
    <n v="1000"/>
    <s v="N"/>
    <m/>
    <m/>
    <m/>
    <m/>
    <m/>
    <m/>
    <m/>
    <n v="116564"/>
    <n v="82760"/>
    <n v="0"/>
    <n v="0"/>
    <n v="57900"/>
    <n v="170700"/>
    <n v="228600"/>
    <n v="132535.48800000001"/>
    <n v="88356.992000000013"/>
    <n v="-26776.513064468461"/>
    <n v="0"/>
    <n v="0"/>
    <n v="-5219.5727999999999"/>
    <n v="51925.436160000005"/>
    <n v="0"/>
    <n v="0"/>
    <n v="0"/>
    <n v="0"/>
    <n v="179200"/>
    <n v="61600"/>
    <n v="240800"/>
    <n v="5.3368328958880142E-2"/>
    <n v="0.99970000000000003"/>
    <n v="1.0003"/>
    <n v="1"/>
    <n v="1"/>
    <n v="1.0470999999999999"/>
    <n v="0.94971499999999998"/>
    <n v="0.99474491047294988"/>
    <n v="178500"/>
    <n v="0"/>
    <n v="178500"/>
    <n v="58500"/>
    <n v="237000"/>
    <n v="4.5694200351493852E-2"/>
    <n v="1.0362694300518135E-2"/>
    <n v="3.6745406824146981E-2"/>
  </r>
  <r>
    <n v="2025"/>
    <s v="19120142500    "/>
    <n v="-2.0402208285265546"/>
    <n v="0.13"/>
    <n v="5490"/>
    <s v="2"/>
    <s v="RES"/>
    <s v="MX"/>
    <s v="11"/>
    <s v="259"/>
    <s v="CO"/>
    <x v="0"/>
    <s v="GD"/>
    <n v="80"/>
    <n v="89"/>
    <n v="53"/>
    <n v="1935"/>
    <n v="1971"/>
    <n v="784"/>
    <n v="784"/>
    <m/>
    <m/>
    <m/>
    <n v="0"/>
    <n v="1568"/>
    <n v="2000"/>
    <s v="N"/>
    <m/>
    <m/>
    <m/>
    <m/>
    <m/>
    <m/>
    <m/>
    <n v="235772"/>
    <n v="162683"/>
    <n v="3764"/>
    <n v="0"/>
    <n v="57900"/>
    <n v="247900"/>
    <n v="305800"/>
    <n v="132535.48800000001"/>
    <n v="88356.992000000013"/>
    <n v="-26776.513064468461"/>
    <n v="24371.765965999999"/>
    <n v="30300.329274"/>
    <n v="-5763.2782999999999"/>
    <n v="48929.73792"/>
    <n v="46711.020272000002"/>
    <n v="0"/>
    <n v="0"/>
    <n v="3800"/>
    <n v="277100"/>
    <n v="61600"/>
    <n v="342500"/>
    <n v="0.12001308044473512"/>
    <n v="0.99970000000000003"/>
    <n v="0.99199999999999999"/>
    <n v="0.997"/>
    <n v="1.0007999999999999"/>
    <n v="1"/>
    <n v="0.94971499999999998"/>
    <n v="0.9400423609025278"/>
    <n v="269100"/>
    <n v="3600"/>
    <n v="272700"/>
    <n v="58500"/>
    <n v="331200"/>
    <n v="0.100040338846309"/>
    <n v="1.0362694300518135E-2"/>
    <n v="8.3060824068018319E-2"/>
  </r>
  <r>
    <n v="2025"/>
    <s v="19120143402    "/>
    <n v="-2.0402208285265546"/>
    <n v="0.13"/>
    <n v="5755"/>
    <s v="2"/>
    <s v="RES"/>
    <s v="MX"/>
    <s v="11"/>
    <s v="259"/>
    <s v="TD"/>
    <x v="1"/>
    <s v="FR"/>
    <n v="90"/>
    <n v="99"/>
    <n v="56"/>
    <n v="1925"/>
    <n v="1968"/>
    <n v="1050"/>
    <m/>
    <m/>
    <m/>
    <m/>
    <n v="0"/>
    <n v="1050"/>
    <n v="1500"/>
    <s v="N"/>
    <m/>
    <m/>
    <m/>
    <m/>
    <m/>
    <m/>
    <m/>
    <n v="162460"/>
    <n v="100725"/>
    <n v="5780"/>
    <n v="0"/>
    <n v="57900"/>
    <n v="171100"/>
    <n v="229000"/>
    <n v="132535.48800000001"/>
    <n v="88356.992000000013"/>
    <n v="-26776.513064468461"/>
    <n v="0"/>
    <n v="0"/>
    <n v="-6089.5016000000005"/>
    <n v="65530.899000000005"/>
    <n v="0"/>
    <n v="0"/>
    <n v="0"/>
    <n v="5800"/>
    <n v="192000"/>
    <n v="61600"/>
    <n v="259400"/>
    <n v="0.13275109170305677"/>
    <n v="0.99970000000000003"/>
    <n v="1.0003"/>
    <n v="1"/>
    <n v="0.99519999999999997"/>
    <n v="0.99960000000000004"/>
    <n v="0.94971499999999998"/>
    <n v="0.94506173894443579"/>
    <n v="184700"/>
    <n v="5500"/>
    <n v="190200"/>
    <n v="58500"/>
    <n v="248700"/>
    <n v="0.11163062536528345"/>
    <n v="1.0362694300518135E-2"/>
    <n v="8.6026200873362449E-2"/>
  </r>
  <r>
    <n v="2025"/>
    <s v="19120142539    "/>
    <n v="-2.0402208285265546"/>
    <n v="0.13"/>
    <n v="5827"/>
    <s v="2"/>
    <s v="RES"/>
    <s v="MX"/>
    <s v="11"/>
    <s v="259"/>
    <s v="RN"/>
    <x v="0"/>
    <s v="GD"/>
    <n v="30"/>
    <n v="38"/>
    <n v="38"/>
    <n v="1986"/>
    <n v="1986"/>
    <n v="1394"/>
    <m/>
    <m/>
    <m/>
    <m/>
    <n v="0"/>
    <n v="1394"/>
    <n v="1500"/>
    <s v="N"/>
    <m/>
    <m/>
    <m/>
    <m/>
    <m/>
    <m/>
    <m/>
    <n v="225661"/>
    <n v="189555"/>
    <n v="0"/>
    <n v="0"/>
    <n v="57900"/>
    <n v="231200"/>
    <n v="289100"/>
    <n v="132535.48800000001"/>
    <n v="88356.992000000013"/>
    <n v="-26776.513064468461"/>
    <n v="24371.765965999999"/>
    <n v="30300.329274"/>
    <n v="-4132.1617999999999"/>
    <n v="87000.06972"/>
    <n v="0"/>
    <n v="0"/>
    <n v="0"/>
    <n v="0"/>
    <n v="270100"/>
    <n v="61600"/>
    <n v="331700"/>
    <n v="0.14735385679695606"/>
    <n v="0.99970000000000003"/>
    <n v="0.99199999999999999"/>
    <n v="0.997"/>
    <n v="0.99519999999999997"/>
    <n v="0.95920000000000005"/>
    <n v="0.94971499999999998"/>
    <n v="0.89664321257127488"/>
    <n v="256400"/>
    <n v="0"/>
    <n v="256400"/>
    <n v="58500"/>
    <n v="314900"/>
    <n v="0.10899653979238755"/>
    <n v="1.0362694300518135E-2"/>
    <n v="8.9242476651677616E-2"/>
  </r>
  <r>
    <n v="2025"/>
    <s v="19120142502    "/>
    <n v="-2.0402208285265546"/>
    <n v="0.13"/>
    <n v="5490"/>
    <s v="2"/>
    <s v="RES"/>
    <s v="MX"/>
    <s v="11"/>
    <s v="259"/>
    <s v="TD"/>
    <x v="2"/>
    <s v="AV"/>
    <n v="100"/>
    <n v="104"/>
    <n v="58"/>
    <n v="1920"/>
    <n v="1966"/>
    <n v="1172"/>
    <m/>
    <m/>
    <m/>
    <m/>
    <n v="0"/>
    <n v="1172"/>
    <n v="1500"/>
    <s v="N"/>
    <m/>
    <m/>
    <m/>
    <m/>
    <m/>
    <m/>
    <m/>
    <n v="177750"/>
    <n v="110205"/>
    <n v="19633"/>
    <n v="0"/>
    <n v="57900"/>
    <n v="200600"/>
    <n v="258500"/>
    <n v="132535.48800000001"/>
    <n v="88356.992000000013"/>
    <n v="-26776.513064468461"/>
    <n v="-1240.8083630000001"/>
    <n v="17761.121909000001"/>
    <n v="-6306.9838"/>
    <n v="73144.965360000002"/>
    <n v="0"/>
    <n v="0"/>
    <n v="0"/>
    <n v="19600"/>
    <n v="215900"/>
    <n v="61600"/>
    <n v="297100"/>
    <n v="0.14932301740812379"/>
    <n v="0.99970000000000003"/>
    <n v="1.0022"/>
    <n v="0.99680000000000002"/>
    <n v="0.99519999999999997"/>
    <n v="0.98240000000000005"/>
    <n v="0.94971499999999998"/>
    <n v="0.92758655751510066"/>
    <n v="206300"/>
    <n v="18600"/>
    <n v="224900"/>
    <n v="58500"/>
    <n v="283400"/>
    <n v="0.12113659022931206"/>
    <n v="1.0362694300518135E-2"/>
    <n v="9.6324951644100584E-2"/>
  </r>
  <r>
    <n v="2025"/>
    <s v="19120142483    "/>
    <n v="-2.0402208285265546"/>
    <n v="0.13"/>
    <n v="5805"/>
    <s v="2"/>
    <s v="RES"/>
    <s v="MX"/>
    <s v="11"/>
    <s v="259"/>
    <s v="TD"/>
    <x v="2"/>
    <s v="AV"/>
    <n v="80"/>
    <n v="89"/>
    <n v="53"/>
    <n v="1935"/>
    <n v="1971"/>
    <n v="1380"/>
    <m/>
    <m/>
    <m/>
    <m/>
    <n v="0"/>
    <n v="1380"/>
    <n v="1500"/>
    <s v="N"/>
    <m/>
    <m/>
    <m/>
    <m/>
    <m/>
    <m/>
    <m/>
    <n v="193554"/>
    <n v="129681"/>
    <n v="4087"/>
    <n v="0"/>
    <n v="57900"/>
    <n v="201000"/>
    <n v="258900"/>
    <n v="132535.48800000001"/>
    <n v="88356.992000000013"/>
    <n v="-26776.513064468461"/>
    <n v="-1240.8083630000001"/>
    <n v="17761.121909000001"/>
    <n v="-5763.2782999999999"/>
    <n v="86126.324399999998"/>
    <n v="0"/>
    <n v="0"/>
    <n v="0"/>
    <n v="4100"/>
    <n v="229400"/>
    <n v="61600"/>
    <n v="295100"/>
    <n v="0.13982232522209348"/>
    <n v="0.99970000000000003"/>
    <n v="1.0022"/>
    <n v="0.99680000000000002"/>
    <n v="0.99519999999999997"/>
    <n v="1"/>
    <n v="0.94971499999999998"/>
    <n v="0.94420455773116918"/>
    <n v="222000"/>
    <n v="3900"/>
    <n v="225900"/>
    <n v="58500"/>
    <n v="284400"/>
    <n v="0.12388059701492538"/>
    <n v="1.0362694300518135E-2"/>
    <n v="9.8493626882966395E-2"/>
  </r>
  <r>
    <n v="2025"/>
    <s v="19120142516    "/>
    <n v="-2.0402208285265546"/>
    <n v="0.13"/>
    <n v="5771"/>
    <s v="2"/>
    <s v="RES"/>
    <s v="MX"/>
    <s v="11"/>
    <s v="259"/>
    <s v="BG"/>
    <x v="1"/>
    <s v="FR"/>
    <n v="90"/>
    <n v="94"/>
    <n v="54"/>
    <n v="1930"/>
    <n v="1970"/>
    <n v="826"/>
    <m/>
    <m/>
    <m/>
    <m/>
    <n v="0"/>
    <n v="826"/>
    <n v="1000"/>
    <s v="N"/>
    <m/>
    <m/>
    <m/>
    <m/>
    <m/>
    <m/>
    <m/>
    <n v="114955"/>
    <n v="73571"/>
    <n v="7109"/>
    <n v="0"/>
    <n v="57900"/>
    <n v="160000"/>
    <n v="217900"/>
    <n v="132535.48800000001"/>
    <n v="88356.992000000013"/>
    <n v="-26776.513064468461"/>
    <n v="0"/>
    <n v="0"/>
    <n v="-5872.0194000000001"/>
    <n v="51550.973880000005"/>
    <n v="0"/>
    <n v="0"/>
    <n v="0"/>
    <n v="7100"/>
    <n v="178200"/>
    <n v="61600"/>
    <n v="246900"/>
    <n v="0.13308857273978889"/>
    <n v="0.99970000000000003"/>
    <n v="1.0003"/>
    <n v="1"/>
    <n v="1"/>
    <n v="0.99960000000000004"/>
    <n v="0.94971499999999998"/>
    <n v="0.94961991453419992"/>
    <n v="171500"/>
    <n v="6800"/>
    <n v="178300"/>
    <n v="58500"/>
    <n v="236800"/>
    <n v="0.114375"/>
    <n v="1.0362694300518135E-2"/>
    <n v="8.6737035337310697E-2"/>
  </r>
  <r>
    <n v="2025"/>
    <s v="19120131411    "/>
    <n v="-2.0402208285265546"/>
    <n v="0.13"/>
    <n v="5754"/>
    <s v="2"/>
    <s v="RES"/>
    <s v="MX"/>
    <s v="11"/>
    <s v="259"/>
    <s v="TD"/>
    <x v="3"/>
    <s v="FR"/>
    <n v="70"/>
    <n v="74"/>
    <n v="51"/>
    <n v="1950"/>
    <n v="1973"/>
    <n v="742"/>
    <m/>
    <m/>
    <m/>
    <m/>
    <n v="0"/>
    <n v="742"/>
    <n v="1000"/>
    <s v="N"/>
    <m/>
    <m/>
    <m/>
    <m/>
    <m/>
    <m/>
    <m/>
    <n v="100724"/>
    <n v="67485"/>
    <n v="0"/>
    <n v="0"/>
    <n v="57900"/>
    <n v="140500"/>
    <n v="198400"/>
    <n v="132535.48800000001"/>
    <n v="88356.992000000013"/>
    <n v="-26776.513064468461"/>
    <n v="-9114.1675108666695"/>
    <n v="0"/>
    <n v="-5545.7961000000005"/>
    <n v="46308.501960000001"/>
    <n v="0"/>
    <n v="0"/>
    <n v="0"/>
    <n v="0"/>
    <n v="164200"/>
    <n v="61600"/>
    <n v="225800"/>
    <n v="0.13810483870967741"/>
    <n v="0.99970000000000003"/>
    <n v="1"/>
    <n v="1"/>
    <n v="1"/>
    <n v="1"/>
    <n v="0.94971499999999998"/>
    <n v="0.94971499999999998"/>
    <n v="157500"/>
    <n v="0"/>
    <n v="157500"/>
    <n v="58500"/>
    <n v="216000"/>
    <n v="0.12099644128113879"/>
    <n v="1.0362694300518135E-2"/>
    <n v="8.8709677419354843E-2"/>
  </r>
  <r>
    <n v="2025"/>
    <s v="19120131408    "/>
    <n v="-2.0402208285265546"/>
    <n v="0.13"/>
    <n v="5782"/>
    <s v="2"/>
    <s v="RES"/>
    <s v="MX"/>
    <s v="11"/>
    <s v="259"/>
    <s v="TD"/>
    <x v="3"/>
    <s v="FR"/>
    <n v="80"/>
    <n v="84"/>
    <n v="52"/>
    <n v="1940"/>
    <n v="1972"/>
    <n v="672"/>
    <m/>
    <m/>
    <m/>
    <m/>
    <n v="0"/>
    <n v="672"/>
    <n v="1000"/>
    <s v="N"/>
    <m/>
    <m/>
    <m/>
    <m/>
    <m/>
    <m/>
    <m/>
    <n v="93845"/>
    <n v="61938"/>
    <n v="0"/>
    <n v="0"/>
    <n v="57900"/>
    <n v="136200"/>
    <n v="194100"/>
    <n v="132535.48800000001"/>
    <n v="88356.992000000013"/>
    <n v="-26776.513064468461"/>
    <n v="-9114.1675108666695"/>
    <n v="0"/>
    <n v="-5654.5371999999998"/>
    <n v="41939.77536"/>
    <n v="0"/>
    <n v="0"/>
    <n v="0"/>
    <n v="0"/>
    <n v="159700"/>
    <n v="61600"/>
    <n v="221300"/>
    <n v="0.14013395157135497"/>
    <n v="0.99970000000000003"/>
    <n v="1"/>
    <n v="1"/>
    <n v="1"/>
    <n v="1"/>
    <n v="0.94971499999999998"/>
    <n v="0.94971499999999998"/>
    <n v="153000"/>
    <n v="0"/>
    <n v="153000"/>
    <n v="58500"/>
    <n v="211500"/>
    <n v="0.12334801762114538"/>
    <n v="1.0362694300518135E-2"/>
    <n v="8.964451313755796E-2"/>
  </r>
  <r>
    <n v="2025"/>
    <s v="19120142494    "/>
    <n v="-2.0402208285265546"/>
    <n v="0.13"/>
    <n v="5833"/>
    <s v="2"/>
    <s v="RES"/>
    <s v="MX"/>
    <s v="11"/>
    <s v="259"/>
    <s v="BG"/>
    <x v="2"/>
    <s v="AV"/>
    <n v="80"/>
    <n v="89"/>
    <n v="53"/>
    <n v="1935"/>
    <n v="1971"/>
    <n v="811"/>
    <m/>
    <m/>
    <m/>
    <m/>
    <n v="0"/>
    <n v="811"/>
    <n v="1000"/>
    <s v="N"/>
    <m/>
    <m/>
    <m/>
    <m/>
    <m/>
    <m/>
    <m/>
    <n v="125371"/>
    <n v="83999"/>
    <n v="8032"/>
    <n v="0"/>
    <n v="57900"/>
    <n v="172800"/>
    <n v="230700"/>
    <n v="132535.48800000001"/>
    <n v="88356.992000000013"/>
    <n v="-26776.513064468461"/>
    <n v="-1240.8083630000001"/>
    <n v="17761.121909000001"/>
    <n v="-5763.2782999999999"/>
    <n v="50614.818180000002"/>
    <n v="0"/>
    <n v="0"/>
    <n v="0"/>
    <n v="8000"/>
    <n v="193900"/>
    <n v="61600"/>
    <n v="263500"/>
    <n v="0.14217598612917209"/>
    <n v="0.99970000000000003"/>
    <n v="1.0022"/>
    <n v="0.99680000000000002"/>
    <n v="1"/>
    <n v="1"/>
    <n v="0.94971499999999998"/>
    <n v="0.94875859900640003"/>
    <n v="187100"/>
    <n v="7600"/>
    <n v="194700"/>
    <n v="58500"/>
    <n v="253200"/>
    <n v="0.1267361111111111"/>
    <n v="1.0362694300518135E-2"/>
    <n v="9.7529258777633285E-2"/>
  </r>
  <r>
    <n v="2025"/>
    <s v="19120142454    "/>
    <n v="-2.0402208285265546"/>
    <n v="0.13"/>
    <n v="5720"/>
    <s v="2"/>
    <s v="RES"/>
    <s v="MX"/>
    <s v="11"/>
    <s v="259"/>
    <s v="TD"/>
    <x v="2"/>
    <s v="AV"/>
    <n v="90"/>
    <n v="99"/>
    <n v="56"/>
    <n v="1925"/>
    <n v="1968"/>
    <n v="980"/>
    <m/>
    <m/>
    <m/>
    <m/>
    <n v="0"/>
    <n v="980"/>
    <n v="1000"/>
    <s v="N"/>
    <m/>
    <m/>
    <m/>
    <m/>
    <m/>
    <m/>
    <m/>
    <n v="147515"/>
    <n v="94410"/>
    <n v="0"/>
    <n v="0"/>
    <n v="57900"/>
    <n v="171500"/>
    <n v="229400"/>
    <n v="132535.48800000001"/>
    <n v="88356.992000000013"/>
    <n v="-26776.513064468461"/>
    <n v="-1240.8083630000001"/>
    <n v="17761.121909000001"/>
    <n v="-6089.5016000000005"/>
    <n v="61162.172400000003"/>
    <n v="0"/>
    <n v="0"/>
    <n v="0"/>
    <n v="0"/>
    <n v="204100"/>
    <n v="61600"/>
    <n v="265700"/>
    <n v="0.15823888404533565"/>
    <n v="0.99970000000000003"/>
    <n v="1.0022"/>
    <n v="0.99680000000000002"/>
    <n v="1"/>
    <n v="0.99960000000000004"/>
    <n v="0.94971499999999998"/>
    <n v="0.94837909556679745"/>
    <n v="197300"/>
    <n v="0"/>
    <n v="197300"/>
    <n v="58500"/>
    <n v="255800"/>
    <n v="0.15043731778425656"/>
    <n v="1.0362694300518135E-2"/>
    <n v="0.11508282476024412"/>
  </r>
  <r>
    <n v="2025"/>
    <s v="19120142484    "/>
    <n v="-2.0402208285265546"/>
    <n v="0.13"/>
    <n v="5801"/>
    <s v="2"/>
    <s v="RES"/>
    <s v="MX"/>
    <s v="11"/>
    <s v="259"/>
    <s v="TD"/>
    <x v="1"/>
    <s v="AV"/>
    <n v="100"/>
    <n v="109"/>
    <n v="61"/>
    <n v="1915"/>
    <n v="1963"/>
    <n v="869"/>
    <n v="316"/>
    <m/>
    <m/>
    <m/>
    <n v="0"/>
    <n v="1185"/>
    <n v="1500"/>
    <s v="N"/>
    <m/>
    <m/>
    <m/>
    <m/>
    <m/>
    <m/>
    <m/>
    <n v="153556"/>
    <n v="90598"/>
    <n v="26953"/>
    <n v="0"/>
    <n v="57900"/>
    <n v="193500"/>
    <n v="251400"/>
    <n v="132535.48800000001"/>
    <n v="88356.992000000013"/>
    <n v="-26776.513064468461"/>
    <n v="0"/>
    <n v="17761.121909000001"/>
    <n v="-6633.2071000000005"/>
    <n v="54234.620220000004"/>
    <n v="18827.401028"/>
    <n v="0"/>
    <n v="0"/>
    <n v="27000"/>
    <n v="216700"/>
    <n v="61600"/>
    <n v="305300"/>
    <n v="0.21439936356404138"/>
    <n v="0.99970000000000003"/>
    <n v="1.0003"/>
    <n v="0.99680000000000002"/>
    <n v="0.99519999999999997"/>
    <n v="0.98240000000000005"/>
    <n v="0.94971499999999998"/>
    <n v="0.92582801185627128"/>
    <n v="206900"/>
    <n v="25600"/>
    <n v="232500"/>
    <n v="58500"/>
    <n v="291000"/>
    <n v="0.20155038759689922"/>
    <n v="1.0362694300518135E-2"/>
    <n v="0.15751789976133651"/>
  </r>
  <r>
    <n v="2025"/>
    <s v="19120142453    "/>
    <n v="-2.0402208285265546"/>
    <n v="0.13"/>
    <n v="5694"/>
    <s v="2"/>
    <s v="RES"/>
    <s v="MX"/>
    <s v="11"/>
    <s v="259"/>
    <s v="TD"/>
    <x v="1"/>
    <s v="GD"/>
    <n v="80"/>
    <n v="84"/>
    <n v="52"/>
    <n v="1940"/>
    <n v="1972"/>
    <n v="779"/>
    <m/>
    <m/>
    <m/>
    <m/>
    <n v="0"/>
    <n v="779"/>
    <n v="1000"/>
    <s v="N"/>
    <m/>
    <m/>
    <m/>
    <m/>
    <m/>
    <m/>
    <m/>
    <n v="115876"/>
    <n v="81113"/>
    <n v="0"/>
    <n v="0"/>
    <n v="57900"/>
    <n v="166900"/>
    <n v="224800"/>
    <n v="132535.48800000001"/>
    <n v="88356.992000000013"/>
    <n v="-26776.513064468461"/>
    <n v="0"/>
    <n v="30300.329274"/>
    <n v="-5654.5371999999998"/>
    <n v="48617.686020000001"/>
    <n v="0"/>
    <n v="0"/>
    <n v="0"/>
    <n v="0"/>
    <n v="205800"/>
    <n v="61600"/>
    <n v="267400"/>
    <n v="0.18950177935943061"/>
    <n v="0.99970000000000003"/>
    <n v="1.0003"/>
    <n v="0.997"/>
    <n v="1"/>
    <n v="1"/>
    <n v="0.94971499999999998"/>
    <n v="0.94714991475650001"/>
    <n v="198800"/>
    <n v="0"/>
    <n v="198800"/>
    <n v="58500"/>
    <n v="257300"/>
    <n v="0.19113241461953265"/>
    <n v="1.0362694300518135E-2"/>
    <n v="0.1445729537366548"/>
  </r>
  <r>
    <n v="2025"/>
    <s v="19120142487    "/>
    <n v="-2.0402208285265546"/>
    <n v="0.13"/>
    <n v="5867"/>
    <s v="2"/>
    <s v="RES"/>
    <s v="MX"/>
    <s v="11"/>
    <s v="259"/>
    <s v="CC"/>
    <x v="0"/>
    <s v="VG"/>
    <n v="100"/>
    <n v="109"/>
    <n v="61"/>
    <n v="1915"/>
    <n v="1963"/>
    <n v="1056"/>
    <n v="360"/>
    <m/>
    <m/>
    <m/>
    <n v="0"/>
    <n v="1416"/>
    <n v="1500"/>
    <s v="N"/>
    <m/>
    <m/>
    <m/>
    <m/>
    <m/>
    <m/>
    <m/>
    <n v="222065"/>
    <n v="139901"/>
    <n v="11988"/>
    <n v="0"/>
    <n v="57900"/>
    <n v="239700"/>
    <n v="297600"/>
    <n v="132535.48800000001"/>
    <n v="88356.992000000013"/>
    <n v="-26776.513064468461"/>
    <n v="24371.765965999999"/>
    <n v="50438.379078999998"/>
    <n v="-6633.2071000000005"/>
    <n v="65905.361279999997"/>
    <n v="21448.937879999998"/>
    <n v="0"/>
    <n v="0"/>
    <n v="12000"/>
    <n v="288100"/>
    <n v="61600"/>
    <n v="361700"/>
    <n v="0.21538978494623656"/>
    <n v="0.99970000000000003"/>
    <n v="0.99199999999999999"/>
    <n v="1.0007999999999999"/>
    <n v="0.99519999999999997"/>
    <n v="0.98240000000000005"/>
    <n v="0.94971499999999998"/>
    <n v="0.92183031775021096"/>
    <n v="277700"/>
    <n v="11400"/>
    <n v="289100"/>
    <n v="58500"/>
    <n v="347600"/>
    <n v="0.2060909470171047"/>
    <n v="1.0362694300518135E-2"/>
    <n v="0.16801075268817203"/>
  </r>
  <r>
    <n v="2025"/>
    <s v="19120142452    "/>
    <n v="-2.0402208285265546"/>
    <n v="0.13"/>
    <n v="5634"/>
    <s v="2"/>
    <s v="RES"/>
    <s v="MX"/>
    <s v="11"/>
    <s v="259"/>
    <s v="TD"/>
    <x v="1"/>
    <s v="GD"/>
    <n v="80"/>
    <n v="84"/>
    <n v="52"/>
    <n v="1940"/>
    <n v="1972"/>
    <n v="660"/>
    <m/>
    <m/>
    <m/>
    <m/>
    <n v="0"/>
    <n v="660"/>
    <n v="1000"/>
    <s v="N"/>
    <m/>
    <m/>
    <m/>
    <m/>
    <m/>
    <m/>
    <m/>
    <n v="96351"/>
    <n v="67446"/>
    <n v="3597"/>
    <n v="0"/>
    <n v="57900"/>
    <n v="161700"/>
    <n v="219600"/>
    <n v="132535.48800000001"/>
    <n v="88356.992000000013"/>
    <n v="-26776.513064468461"/>
    <n v="0"/>
    <n v="30300.329274"/>
    <n v="-5654.5371999999998"/>
    <n v="41190.8508"/>
    <n v="0"/>
    <n v="0"/>
    <n v="0"/>
    <n v="3600"/>
    <n v="198400"/>
    <n v="61600"/>
    <n v="263600"/>
    <n v="0.20036429872495445"/>
    <n v="0.99970000000000003"/>
    <n v="1.0003"/>
    <n v="0.997"/>
    <n v="1"/>
    <n v="1"/>
    <n v="0.94971499999999998"/>
    <n v="0.94714991475650001"/>
    <n v="191400"/>
    <n v="3400"/>
    <n v="194800"/>
    <n v="58500"/>
    <n v="253300"/>
    <n v="0.20470006184291897"/>
    <n v="1.0362694300518135E-2"/>
    <n v="0.15346083788706741"/>
  </r>
  <r>
    <n v="2025"/>
    <s v="19120142480    "/>
    <n v="-2.0402208285265546"/>
    <n v="0.13"/>
    <n v="5572"/>
    <s v="2"/>
    <s v="RES"/>
    <s v="MX"/>
    <s v="11"/>
    <s v="259"/>
    <s v="BG"/>
    <x v="3"/>
    <s v="AV"/>
    <n v="110"/>
    <n v="114"/>
    <n v="66"/>
    <n v="1910"/>
    <n v="1958"/>
    <n v="780"/>
    <m/>
    <m/>
    <m/>
    <m/>
    <n v="0"/>
    <n v="780"/>
    <n v="1000"/>
    <s v="N"/>
    <m/>
    <m/>
    <m/>
    <m/>
    <m/>
    <m/>
    <m/>
    <n v="111398"/>
    <n v="61269"/>
    <n v="7573"/>
    <n v="0"/>
    <n v="57900"/>
    <n v="141400"/>
    <n v="199300"/>
    <n v="132535.48800000001"/>
    <n v="88356.992000000013"/>
    <n v="-26776.513064468461"/>
    <n v="-9114.1675108666695"/>
    <n v="17761.121909000001"/>
    <n v="-7176.9126000000006"/>
    <n v="48680.096400000002"/>
    <n v="0"/>
    <n v="0"/>
    <n v="0"/>
    <n v="7600"/>
    <n v="182700"/>
    <n v="61600"/>
    <n v="251900"/>
    <n v="0.26392373306573008"/>
    <n v="0.99970000000000003"/>
    <n v="1"/>
    <n v="0.99680000000000002"/>
    <n v="1"/>
    <n v="1"/>
    <n v="0.94971499999999998"/>
    <n v="0.94667591200000001"/>
    <n v="175600"/>
    <n v="7200"/>
    <n v="182800"/>
    <n v="58500"/>
    <n v="241300"/>
    <n v="0.29278642149929279"/>
    <n v="1.0362694300518135E-2"/>
    <n v="0.21073758153537381"/>
  </r>
  <r>
    <n v="2025"/>
    <s v="19120142463    "/>
    <n v="-1.9661128563728327"/>
    <n v="0.14000000000000001"/>
    <n v="6108"/>
    <s v="2"/>
    <s v="RES"/>
    <s v="MX"/>
    <s v="11"/>
    <s v="259"/>
    <s v="CO"/>
    <x v="0"/>
    <s v="AV"/>
    <n v="90"/>
    <n v="94"/>
    <n v="54"/>
    <n v="1930"/>
    <n v="1970"/>
    <n v="1360"/>
    <n v="400"/>
    <m/>
    <m/>
    <m/>
    <n v="0"/>
    <n v="1760"/>
    <n v="2000"/>
    <s v="B"/>
    <m/>
    <m/>
    <m/>
    <m/>
    <m/>
    <m/>
    <m/>
    <n v="251951"/>
    <n v="166288"/>
    <n v="10475"/>
    <n v="0"/>
    <n v="59000"/>
    <n v="234600"/>
    <n v="293600"/>
    <n v="132535.48800000001"/>
    <n v="88356.992000000013"/>
    <n v="-25803.896249263951"/>
    <n v="24371.765965999999"/>
    <n v="17761.121909000001"/>
    <n v="-5872.0194000000001"/>
    <n v="84878.116800000003"/>
    <n v="23832.153200000001"/>
    <n v="0"/>
    <n v="0"/>
    <n v="10500"/>
    <n v="277500"/>
    <n v="62600"/>
    <n v="350600"/>
    <n v="0.19414168937329701"/>
    <n v="0.99970000000000003"/>
    <n v="0.99199999999999999"/>
    <n v="0.99680000000000002"/>
    <n v="1.0007999999999999"/>
    <n v="0.99960000000000004"/>
    <n v="0.94971499999999998"/>
    <n v="0.93947784519307997"/>
    <n v="269500"/>
    <n v="9900"/>
    <n v="279400"/>
    <n v="59400"/>
    <n v="338800"/>
    <n v="0.19096334185848252"/>
    <n v="6.7796610169491523E-3"/>
    <n v="0.15395095367847411"/>
  </r>
  <r>
    <n v="2025"/>
    <s v="19120142468    "/>
    <n v="-1.9661128563728327"/>
    <n v="0.14000000000000001"/>
    <n v="6023"/>
    <s v="2"/>
    <s v="RES"/>
    <s v="MX"/>
    <s v="11"/>
    <s v="259"/>
    <s v="TD"/>
    <x v="1"/>
    <s v="GD"/>
    <n v="70"/>
    <n v="79"/>
    <n v="52"/>
    <n v="1945"/>
    <n v="1972"/>
    <n v="1100"/>
    <m/>
    <n v="300"/>
    <m/>
    <m/>
    <n v="300"/>
    <n v="1100"/>
    <n v="1500"/>
    <s v="N"/>
    <m/>
    <m/>
    <m/>
    <m/>
    <m/>
    <m/>
    <m/>
    <n v="169553"/>
    <n v="118687"/>
    <n v="3296"/>
    <n v="0"/>
    <n v="59000"/>
    <n v="183100"/>
    <n v="242100"/>
    <n v="132535.48800000001"/>
    <n v="88356.992000000013"/>
    <n v="-25803.896249263951"/>
    <n v="0"/>
    <n v="30300.329274"/>
    <n v="-5654.5371999999998"/>
    <n v="68651.418000000005"/>
    <n v="0"/>
    <n v="18775.948799999998"/>
    <n v="0"/>
    <n v="3300"/>
    <n v="244600"/>
    <n v="62600"/>
    <n v="310500"/>
    <n v="0.28252788104089221"/>
    <n v="0.99970000000000003"/>
    <n v="1.0003"/>
    <n v="0.997"/>
    <n v="0.99519999999999997"/>
    <n v="1"/>
    <n v="0.94971499999999998"/>
    <n v="0.94260359516566872"/>
    <n v="237000"/>
    <n v="3100"/>
    <n v="240100"/>
    <n v="59400"/>
    <n v="299500"/>
    <n v="0.31130529765155651"/>
    <n v="6.7796610169491523E-3"/>
    <n v="0.23709211069805866"/>
  </r>
  <r>
    <n v="2025"/>
    <s v="19120142481    "/>
    <n v="-1.9661128563728327"/>
    <n v="0.14000000000000001"/>
    <n v="5995"/>
    <s v="2"/>
    <s v="RES"/>
    <s v="MX"/>
    <s v="11"/>
    <s v="259"/>
    <s v="BG"/>
    <x v="3"/>
    <s v="AV"/>
    <n v="90"/>
    <n v="99"/>
    <n v="56"/>
    <n v="1925"/>
    <n v="1968"/>
    <n v="1248"/>
    <m/>
    <n v="375"/>
    <m/>
    <m/>
    <n v="375"/>
    <n v="1248"/>
    <n v="1500"/>
    <s v="N"/>
    <m/>
    <m/>
    <m/>
    <m/>
    <m/>
    <m/>
    <m/>
    <n v="174211"/>
    <n v="111495"/>
    <n v="998"/>
    <n v="0"/>
    <n v="59000"/>
    <n v="168500"/>
    <n v="227500"/>
    <n v="132535.48800000001"/>
    <n v="88356.992000000013"/>
    <n v="-25803.896249263951"/>
    <n v="-9114.1675108666695"/>
    <n v="17761.121909000001"/>
    <n v="-6089.5016000000005"/>
    <n v="77888.154240000003"/>
    <n v="0"/>
    <n v="23469.935999999998"/>
    <n v="0"/>
    <n v="1000"/>
    <n v="236500"/>
    <n v="62600"/>
    <n v="300100"/>
    <n v="0.31912087912087911"/>
    <n v="0.99970000000000003"/>
    <n v="1"/>
    <n v="0.99680000000000002"/>
    <n v="0.99519999999999997"/>
    <n v="0.99960000000000004"/>
    <n v="0.94971499999999998"/>
    <n v="0.94175501487535107"/>
    <n v="228700"/>
    <n v="900"/>
    <n v="229600"/>
    <n v="59400"/>
    <n v="289000"/>
    <n v="0.36261127596439169"/>
    <n v="6.7796610169491523E-3"/>
    <n v="0.27032967032967031"/>
  </r>
  <r>
    <n v="2025"/>
    <s v="19120142486    "/>
    <n v="-1.9661128563728327"/>
    <n v="0.14000000000000001"/>
    <n v="5930"/>
    <s v="2"/>
    <s v="RES"/>
    <s v="MX"/>
    <s v="11"/>
    <s v="259"/>
    <s v="CC"/>
    <x v="1"/>
    <s v="GD"/>
    <n v="100"/>
    <n v="104"/>
    <n v="58"/>
    <n v="1920"/>
    <n v="1966"/>
    <n v="1129"/>
    <n v="312"/>
    <n v="376"/>
    <m/>
    <m/>
    <n v="376"/>
    <n v="1441"/>
    <n v="1500"/>
    <s v="N"/>
    <m/>
    <m/>
    <m/>
    <m/>
    <m/>
    <m/>
    <m/>
    <n v="206571"/>
    <n v="132205"/>
    <n v="8721"/>
    <n v="0"/>
    <n v="59000"/>
    <n v="210000"/>
    <n v="269000"/>
    <n v="132535.48800000001"/>
    <n v="88356.992000000013"/>
    <n v="-25803.896249263951"/>
    <n v="0"/>
    <n v="30300.329274"/>
    <n v="-6306.9838"/>
    <n v="70461.31902000001"/>
    <n v="18589.079495999998"/>
    <n v="23532.522495999998"/>
    <n v="0"/>
    <n v="8700"/>
    <n v="269100"/>
    <n v="62600"/>
    <n v="340400"/>
    <n v="0.26542750929368031"/>
    <n v="0.99970000000000003"/>
    <n v="1.0003"/>
    <n v="0.997"/>
    <n v="0.99519999999999997"/>
    <n v="0.98240000000000005"/>
    <n v="0.94971499999999998"/>
    <n v="0.92601377189075307"/>
    <n v="259300"/>
    <n v="8300"/>
    <n v="267600"/>
    <n v="59400"/>
    <n v="327000"/>
    <n v="0.2742857142857143"/>
    <n v="6.7796610169491523E-3"/>
    <n v="0.21561338289962825"/>
  </r>
  <r>
    <n v="2025"/>
    <s v="19120144582    "/>
    <n v="-1.9661128563728327"/>
    <n v="0.14000000000000001"/>
    <n v="6250"/>
    <s v="2"/>
    <s v="RES"/>
    <s v="MX"/>
    <s v="11"/>
    <s v="259"/>
    <s v="TD"/>
    <x v="0"/>
    <s v="AV"/>
    <n v="80"/>
    <n v="89"/>
    <n v="53"/>
    <n v="1935"/>
    <n v="1971"/>
    <n v="1350"/>
    <m/>
    <n v="504"/>
    <m/>
    <m/>
    <n v="504"/>
    <n v="1350"/>
    <n v="1500"/>
    <s v="N"/>
    <m/>
    <m/>
    <m/>
    <m/>
    <m/>
    <m/>
    <m/>
    <n v="278271"/>
    <n v="186442"/>
    <n v="11730"/>
    <n v="0"/>
    <n v="59000"/>
    <n v="221100"/>
    <n v="280100"/>
    <n v="132535.48800000001"/>
    <n v="88356.992000000013"/>
    <n v="-25803.896249263951"/>
    <n v="24371.765965999999"/>
    <n v="17761.121909000001"/>
    <n v="-5763.2782999999999"/>
    <n v="84254.013000000006"/>
    <n v="0"/>
    <n v="31543.593983999999"/>
    <n v="0"/>
    <n v="11700"/>
    <n v="284700"/>
    <n v="62600"/>
    <n v="359000"/>
    <n v="0.2816851124598358"/>
    <n v="0.99970000000000003"/>
    <n v="0.99199999999999999"/>
    <n v="0.99680000000000002"/>
    <n v="0.99519999999999997"/>
    <n v="1"/>
    <n v="0.94971499999999998"/>
    <n v="0.93459481268142075"/>
    <n v="276000"/>
    <n v="11100"/>
    <n v="287100"/>
    <n v="59400"/>
    <n v="346500"/>
    <n v="0.29850746268656714"/>
    <n v="6.7796610169491523E-3"/>
    <n v="0.2370581935023206"/>
  </r>
  <r>
    <n v="2025"/>
    <s v="19120142469    "/>
    <n v="-1.9661128563728327"/>
    <n v="0.14000000000000001"/>
    <n v="6236"/>
    <s v="2"/>
    <s v="RES"/>
    <s v="MX"/>
    <s v="11"/>
    <s v="400"/>
    <s v="TD"/>
    <x v="1"/>
    <s v="GD"/>
    <n v="100"/>
    <n v="104"/>
    <n v="58"/>
    <n v="1920"/>
    <n v="1966"/>
    <n v="1020"/>
    <n v="352"/>
    <n v="560"/>
    <m/>
    <n v="560"/>
    <n v="0"/>
    <n v="1932"/>
    <n v="2000"/>
    <s v="N"/>
    <m/>
    <m/>
    <m/>
    <m/>
    <m/>
    <m/>
    <m/>
    <n v="222316"/>
    <n v="142282"/>
    <n v="5595"/>
    <n v="0"/>
    <n v="59000"/>
    <n v="203600"/>
    <n v="262600"/>
    <n v="132535.48800000001"/>
    <n v="88356.992000000013"/>
    <n v="-25803.896249263951"/>
    <n v="0"/>
    <n v="30300.329274"/>
    <n v="-6306.9838"/>
    <n v="63658.587600000006"/>
    <n v="20972.294815999998"/>
    <n v="35048.437760000001"/>
    <n v="0"/>
    <n v="5600"/>
    <n v="276200"/>
    <n v="62600"/>
    <n v="344400"/>
    <n v="0.31150038080731152"/>
    <n v="0.99970000000000003"/>
    <n v="1.0003"/>
    <n v="0.997"/>
    <n v="1.0007999999999999"/>
    <n v="0.98240000000000005"/>
    <n v="0.94971499999999998"/>
    <n v="0.93122446031779094"/>
    <n v="267100"/>
    <n v="5300"/>
    <n v="272400"/>
    <n v="59400"/>
    <n v="331800"/>
    <n v="0.33791748526522591"/>
    <n v="6.7796610169491523E-3"/>
    <n v="0.26351865955826353"/>
  </r>
  <r>
    <n v="2025"/>
    <s v="19120131455    "/>
    <n v="-1.9661128563728327"/>
    <n v="0.14000000000000001"/>
    <n v="6252"/>
    <s v="2"/>
    <s v="RES"/>
    <s v="MX"/>
    <s v="11"/>
    <s v="259"/>
    <s v="RN"/>
    <x v="2"/>
    <s v="FR"/>
    <n v="40"/>
    <n v="49"/>
    <n v="45"/>
    <n v="1975"/>
    <n v="1979"/>
    <n v="936"/>
    <m/>
    <m/>
    <m/>
    <m/>
    <n v="0"/>
    <n v="936"/>
    <n v="1000"/>
    <s v="N"/>
    <m/>
    <n v="312"/>
    <m/>
    <m/>
    <m/>
    <m/>
    <m/>
    <n v="154796"/>
    <n v="117645"/>
    <n v="0"/>
    <n v="0"/>
    <n v="59000"/>
    <n v="197100"/>
    <n v="256100"/>
    <n v="132535.48800000001"/>
    <n v="88356.992000000013"/>
    <n v="-25803.896249263951"/>
    <n v="-1240.8083630000001"/>
    <n v="0"/>
    <n v="-4893.3495000000003"/>
    <n v="58416.115680000003"/>
    <n v="0"/>
    <n v="0"/>
    <n v="11013.921672"/>
    <n v="0"/>
    <n v="195800"/>
    <n v="62600"/>
    <n v="258400"/>
    <n v="8.9808668488871538E-3"/>
    <n v="0.99970000000000003"/>
    <n v="1.0022"/>
    <n v="1"/>
    <n v="1"/>
    <n v="0.95689999999999997"/>
    <n v="0.94971499999999998"/>
    <n v="0.91078160452369994"/>
    <n v="184000"/>
    <n v="0"/>
    <n v="184000"/>
    <n v="59400"/>
    <n v="243400"/>
    <n v="-6.646372399797057E-2"/>
    <n v="6.7796610169491523E-3"/>
    <n v="-4.9590003904724719E-2"/>
  </r>
  <r>
    <n v="2025"/>
    <s v="19120131405    "/>
    <n v="-1.9661128563728327"/>
    <n v="0.14000000000000001"/>
    <n v="6020"/>
    <s v="2"/>
    <s v="RES"/>
    <s v="MX"/>
    <s v="11"/>
    <s v="259"/>
    <s v="RN"/>
    <x v="2"/>
    <s v="AV"/>
    <n v="30"/>
    <n v="32"/>
    <n v="32"/>
    <n v="1992"/>
    <n v="1992"/>
    <n v="1242"/>
    <m/>
    <m/>
    <m/>
    <m/>
    <n v="0"/>
    <n v="1242"/>
    <n v="1500"/>
    <s v="N"/>
    <m/>
    <m/>
    <m/>
    <m/>
    <m/>
    <m/>
    <m/>
    <n v="177421"/>
    <n v="150808"/>
    <n v="0"/>
    <n v="0"/>
    <n v="59000"/>
    <n v="205800"/>
    <n v="264800"/>
    <n v="132535.48800000001"/>
    <n v="88356.992000000013"/>
    <n v="-25803.896249263951"/>
    <n v="-1240.8083630000001"/>
    <n v="17761.121909000001"/>
    <n v="-3479.7152000000001"/>
    <n v="77513.691960000011"/>
    <n v="0"/>
    <n v="0"/>
    <n v="0"/>
    <n v="0"/>
    <n v="223100"/>
    <n v="62600"/>
    <n v="285700"/>
    <n v="7.8927492447129904E-2"/>
    <n v="0.99970000000000003"/>
    <n v="1.0022"/>
    <n v="0.99680000000000002"/>
    <n v="0.99519999999999997"/>
    <n v="0.95920000000000005"/>
    <n v="0.94971499999999998"/>
    <n v="0.90568101177573757"/>
    <n v="210600"/>
    <n v="0"/>
    <n v="210600"/>
    <n v="59400"/>
    <n v="270000"/>
    <n v="2.3323615160349854E-2"/>
    <n v="6.7796610169491523E-3"/>
    <n v="1.9637462235649546E-2"/>
  </r>
  <r>
    <n v="2025"/>
    <s v="19120142467    "/>
    <n v="-1.9661128563728327"/>
    <n v="0.14000000000000001"/>
    <n v="6046"/>
    <s v="2"/>
    <s v="RES"/>
    <s v="MX"/>
    <s v="11"/>
    <s v="259"/>
    <s v="BG"/>
    <x v="2"/>
    <s v="FR"/>
    <n v="90"/>
    <n v="99"/>
    <n v="56"/>
    <n v="1925"/>
    <n v="1968"/>
    <n v="956"/>
    <m/>
    <m/>
    <m/>
    <m/>
    <n v="0"/>
    <n v="956"/>
    <n v="1000"/>
    <s v="N"/>
    <m/>
    <m/>
    <m/>
    <m/>
    <m/>
    <m/>
    <m/>
    <n v="149088"/>
    <n v="92435"/>
    <n v="35057"/>
    <n v="0"/>
    <n v="59000"/>
    <n v="210800"/>
    <n v="269800"/>
    <n v="132535.48800000001"/>
    <n v="88356.992000000013"/>
    <n v="-25803.896249263951"/>
    <n v="-1240.8083630000001"/>
    <n v="0"/>
    <n v="-6089.5016000000005"/>
    <n v="59664.323280000004"/>
    <n v="0"/>
    <n v="0"/>
    <n v="0"/>
    <n v="35100"/>
    <n v="184900"/>
    <n v="62600"/>
    <n v="282600"/>
    <n v="4.744255003706449E-2"/>
    <n v="0.99970000000000003"/>
    <n v="1.0022"/>
    <n v="1"/>
    <n v="1"/>
    <n v="0.99960000000000004"/>
    <n v="0.94971499999999998"/>
    <n v="0.95142365125080008"/>
    <n v="178400"/>
    <n v="33300"/>
    <n v="211700"/>
    <n v="59400"/>
    <n v="271100"/>
    <n v="4.2694497153700191E-3"/>
    <n v="6.7796610169491523E-3"/>
    <n v="4.8183839881393627E-3"/>
  </r>
  <r>
    <n v="2025"/>
    <s v="19120142466    "/>
    <n v="-1.9661128563728327"/>
    <n v="0.14000000000000001"/>
    <n v="6032"/>
    <s v="2"/>
    <s v="RES"/>
    <s v="MX"/>
    <s v="11"/>
    <s v="259"/>
    <s v="RN"/>
    <x v="2"/>
    <s v="AV"/>
    <n v="40"/>
    <n v="44"/>
    <n v="44"/>
    <n v="1980"/>
    <n v="1980"/>
    <n v="1000"/>
    <m/>
    <m/>
    <m/>
    <m/>
    <n v="0"/>
    <n v="1000"/>
    <n v="1500"/>
    <s v="N"/>
    <m/>
    <n v="264"/>
    <m/>
    <m/>
    <m/>
    <m/>
    <m/>
    <n v="158484"/>
    <n v="123618"/>
    <n v="0"/>
    <n v="0"/>
    <n v="59000"/>
    <n v="194600"/>
    <n v="253600"/>
    <n v="132535.48800000001"/>
    <n v="88356.992000000013"/>
    <n v="-25803.896249263951"/>
    <n v="-1240.8083630000001"/>
    <n v="17761.121909000001"/>
    <n v="-4784.6084000000001"/>
    <n v="62410.380000000005"/>
    <n v="0"/>
    <n v="0"/>
    <n v="9319.4721840000002"/>
    <n v="0"/>
    <n v="216000"/>
    <n v="62600"/>
    <n v="278600"/>
    <n v="9.8580441640378547E-2"/>
    <n v="0.99970000000000003"/>
    <n v="1.0022"/>
    <n v="0.99680000000000002"/>
    <n v="0.99519999999999997"/>
    <n v="0.95689999999999997"/>
    <n v="0.94971499999999998"/>
    <n v="0.90350934129295579"/>
    <n v="203200"/>
    <n v="0"/>
    <n v="203200"/>
    <n v="59400"/>
    <n v="262600"/>
    <n v="4.4193216855087356E-2"/>
    <n v="6.7796610169491523E-3"/>
    <n v="3.5488958990536279E-2"/>
  </r>
  <r>
    <n v="2025"/>
    <s v="19120142462    "/>
    <n v="-1.9661128563728327"/>
    <n v="0.14000000000000001"/>
    <n v="5981"/>
    <s v="2"/>
    <s v="RES"/>
    <s v="MX"/>
    <s v="11"/>
    <s v="259"/>
    <s v="FH"/>
    <x v="2"/>
    <s v="FR"/>
    <n v="100"/>
    <n v="104"/>
    <n v="58"/>
    <n v="1920"/>
    <n v="1966"/>
    <n v="1294"/>
    <n v="766"/>
    <m/>
    <m/>
    <m/>
    <n v="0"/>
    <n v="2060"/>
    <n v="2500"/>
    <s v="N"/>
    <m/>
    <m/>
    <m/>
    <m/>
    <m/>
    <m/>
    <m/>
    <n v="263623"/>
    <n v="158174"/>
    <n v="20316"/>
    <n v="0"/>
    <n v="59000"/>
    <n v="249100"/>
    <n v="308100"/>
    <n v="132535.48800000001"/>
    <n v="88356.992000000013"/>
    <n v="-25803.896249263951"/>
    <n v="-1240.8083630000001"/>
    <n v="0"/>
    <n v="-6306.9838"/>
    <n v="80759.031719999999"/>
    <n v="45638.573378000001"/>
    <n v="0"/>
    <n v="0"/>
    <n v="20300"/>
    <n v="251400"/>
    <n v="62600"/>
    <n v="334300"/>
    <n v="8.503732554365466E-2"/>
    <n v="0.99970000000000003"/>
    <n v="1.0022"/>
    <n v="1"/>
    <n v="1.0008999999999999"/>
    <n v="0.98240000000000005"/>
    <n v="0.94971499999999998"/>
    <n v="0.93589416338963172"/>
    <n v="242900"/>
    <n v="19300"/>
    <n v="262200"/>
    <n v="59400"/>
    <n v="321600"/>
    <n v="5.2589321557607385E-2"/>
    <n v="6.7796610169491523E-3"/>
    <n v="4.3816942551119765E-2"/>
  </r>
  <r>
    <n v="2025"/>
    <s v="19120142507    "/>
    <n v="-1.9661128563728327"/>
    <n v="0.14000000000000001"/>
    <n v="6000"/>
    <s v="2"/>
    <s v="RES"/>
    <s v="MX"/>
    <s v="11"/>
    <s v="259"/>
    <s v="CP"/>
    <x v="0"/>
    <s v="GD"/>
    <n v="20"/>
    <n v="25"/>
    <n v="25"/>
    <n v="1999"/>
    <n v="1999"/>
    <n v="1092"/>
    <m/>
    <m/>
    <m/>
    <m/>
    <n v="0"/>
    <n v="1092"/>
    <n v="1500"/>
    <s v="N"/>
    <m/>
    <m/>
    <m/>
    <m/>
    <m/>
    <m/>
    <m/>
    <n v="186619"/>
    <n v="167957"/>
    <n v="3483"/>
    <n v="0"/>
    <n v="59000"/>
    <n v="234900"/>
    <n v="293900"/>
    <n v="132535.48800000001"/>
    <n v="88356.992000000013"/>
    <n v="-25803.896249263951"/>
    <n v="24371.765965999999"/>
    <n v="30300.329274"/>
    <n v="-2718.5275000000001"/>
    <n v="68152.13496000001"/>
    <n v="0"/>
    <n v="0"/>
    <n v="0"/>
    <n v="3500"/>
    <n v="252600"/>
    <n v="62600"/>
    <n v="318700"/>
    <n v="8.4382443007825797E-2"/>
    <n v="0.99970000000000003"/>
    <n v="0.99199999999999999"/>
    <n v="0.997"/>
    <n v="0.99519999999999997"/>
    <n v="1.0138"/>
    <n v="0.94971499999999998"/>
    <n v="0.94768232788235862"/>
    <n v="245700"/>
    <n v="3300"/>
    <n v="249000"/>
    <n v="59400"/>
    <n v="308400"/>
    <n v="6.0025542784163471E-2"/>
    <n v="6.7796610169491523E-3"/>
    <n v="4.9336509016672338E-2"/>
  </r>
  <r>
    <n v="2025"/>
    <s v="19120142464    "/>
    <n v="-1.9661128563728327"/>
    <n v="0.14000000000000001"/>
    <n v="5962"/>
    <s v="2"/>
    <s v="RES"/>
    <s v="MX"/>
    <s v="11"/>
    <s v="259"/>
    <s v="TD"/>
    <x v="2"/>
    <s v="AV"/>
    <n v="90"/>
    <n v="99"/>
    <n v="56"/>
    <n v="1925"/>
    <n v="1968"/>
    <n v="1008"/>
    <m/>
    <m/>
    <m/>
    <m/>
    <n v="0"/>
    <n v="1008"/>
    <n v="1500"/>
    <s v="N"/>
    <m/>
    <m/>
    <m/>
    <m/>
    <m/>
    <m/>
    <m/>
    <n v="155667"/>
    <n v="99627"/>
    <n v="11658"/>
    <n v="0"/>
    <n v="59000"/>
    <n v="195100"/>
    <n v="254100"/>
    <n v="132535.48800000001"/>
    <n v="88356.992000000013"/>
    <n v="-25803.896249263951"/>
    <n v="-1240.8083630000001"/>
    <n v="17761.121909000001"/>
    <n v="-6089.5016000000005"/>
    <n v="62909.663040000007"/>
    <n v="0"/>
    <n v="0"/>
    <n v="0"/>
    <n v="11700"/>
    <n v="205900"/>
    <n v="62600"/>
    <n v="280200"/>
    <n v="0.10271546635182999"/>
    <n v="0.99970000000000003"/>
    <n v="1.0022"/>
    <n v="0.99680000000000002"/>
    <n v="0.99519999999999997"/>
    <n v="0.99960000000000004"/>
    <n v="0.94971499999999998"/>
    <n v="0.94382687590807679"/>
    <n v="198400"/>
    <n v="11100"/>
    <n v="209500"/>
    <n v="59400"/>
    <n v="268900"/>
    <n v="7.3808303434136344E-2"/>
    <n v="6.7796610169491523E-3"/>
    <n v="5.824478551751279E-2"/>
  </r>
  <r>
    <n v="2025"/>
    <s v="19120144409    "/>
    <n v="-1.9661128563728327"/>
    <n v="0.14000000000000001"/>
    <n v="6250"/>
    <s v="2"/>
    <s v="RES"/>
    <s v="MX"/>
    <s v="11"/>
    <s v="259"/>
    <s v="BG"/>
    <x v="1"/>
    <s v="FR"/>
    <n v="80"/>
    <n v="84"/>
    <n v="52"/>
    <n v="1940"/>
    <n v="1972"/>
    <n v="694"/>
    <m/>
    <m/>
    <m/>
    <m/>
    <n v="0"/>
    <n v="694"/>
    <n v="1000"/>
    <s v="N"/>
    <m/>
    <m/>
    <m/>
    <m/>
    <m/>
    <m/>
    <m/>
    <n v="100909"/>
    <n v="66600"/>
    <n v="3095"/>
    <n v="0"/>
    <n v="59000"/>
    <n v="152000"/>
    <n v="211000"/>
    <n v="132535.48800000001"/>
    <n v="88356.992000000013"/>
    <n v="-25803.896249263951"/>
    <n v="0"/>
    <n v="0"/>
    <n v="-5654.5371999999998"/>
    <n v="43312.803720000004"/>
    <n v="0"/>
    <n v="0"/>
    <n v="0"/>
    <n v="3100"/>
    <n v="170200"/>
    <n v="62600"/>
    <n v="235900"/>
    <n v="0.11800947867298578"/>
    <n v="0.99970000000000003"/>
    <n v="1.0003"/>
    <n v="1"/>
    <n v="1"/>
    <n v="1"/>
    <n v="0.94971499999999998"/>
    <n v="0.94999991449999999"/>
    <n v="163600"/>
    <n v="2900"/>
    <n v="166500"/>
    <n v="59400"/>
    <n v="225900"/>
    <n v="9.5394736842105268E-2"/>
    <n v="6.7796610169491523E-3"/>
    <n v="7.0616113744075823E-2"/>
  </r>
  <r>
    <n v="2025"/>
    <s v="19120142465    "/>
    <n v="-1.9661128563728327"/>
    <n v="0.14000000000000001"/>
    <n v="6001"/>
    <s v="2"/>
    <s v="RES"/>
    <s v="MX"/>
    <s v="11"/>
    <s v="259"/>
    <s v="CO"/>
    <x v="2"/>
    <s v="GD"/>
    <n v="100"/>
    <n v="109"/>
    <n v="61"/>
    <n v="1915"/>
    <n v="1963"/>
    <n v="884"/>
    <n v="480"/>
    <m/>
    <m/>
    <m/>
    <n v="0"/>
    <n v="1364"/>
    <n v="1500"/>
    <s v="N"/>
    <m/>
    <m/>
    <m/>
    <m/>
    <m/>
    <m/>
    <m/>
    <n v="190417"/>
    <n v="116154"/>
    <n v="0"/>
    <n v="0"/>
    <n v="59000"/>
    <n v="205400"/>
    <n v="264400"/>
    <n v="132535.48800000001"/>
    <n v="88356.992000000013"/>
    <n v="-25803.896249263951"/>
    <n v="-1240.8083630000001"/>
    <n v="30300.329274"/>
    <n v="-6633.2071000000005"/>
    <n v="55170.77592"/>
    <n v="28598.583839999999"/>
    <n v="0"/>
    <n v="0"/>
    <n v="0"/>
    <n v="238700"/>
    <n v="62600"/>
    <n v="301300"/>
    <n v="0.13956127080181543"/>
    <n v="0.99970000000000003"/>
    <n v="1.0022"/>
    <n v="0.997"/>
    <n v="0.99519999999999997"/>
    <n v="0.98240000000000005"/>
    <n v="0.94971499999999998"/>
    <n v="0.92777267038779632"/>
    <n v="229200"/>
    <n v="0"/>
    <n v="229200"/>
    <n v="59400"/>
    <n v="288600"/>
    <n v="0.11587147030185005"/>
    <n v="6.7796610169491523E-3"/>
    <n v="9.1527987897125573E-2"/>
  </r>
  <r>
    <n v="2025"/>
    <s v="19120144410    "/>
    <n v="-1.9661128563728327"/>
    <n v="0.14000000000000001"/>
    <n v="6250"/>
    <s v="2"/>
    <s v="RES"/>
    <s v="MX"/>
    <s v="11"/>
    <s v="259"/>
    <s v="BG"/>
    <x v="2"/>
    <s v="AV"/>
    <n v="80"/>
    <n v="84"/>
    <n v="52"/>
    <n v="1940"/>
    <n v="1972"/>
    <n v="576"/>
    <m/>
    <m/>
    <m/>
    <m/>
    <n v="0"/>
    <n v="576"/>
    <n v="1000"/>
    <s v="N"/>
    <m/>
    <m/>
    <m/>
    <m/>
    <m/>
    <m/>
    <m/>
    <n v="92520"/>
    <n v="62914"/>
    <n v="0"/>
    <n v="0"/>
    <n v="59000"/>
    <n v="155300"/>
    <n v="214300"/>
    <n v="132535.48800000001"/>
    <n v="88356.992000000013"/>
    <n v="-25803.896249263951"/>
    <n v="-1240.8083630000001"/>
    <n v="17761.121909000001"/>
    <n v="-5654.5371999999998"/>
    <n v="35948.378880000004"/>
    <n v="0"/>
    <n v="0"/>
    <n v="0"/>
    <n v="0"/>
    <n v="179300"/>
    <n v="62600"/>
    <n v="241900"/>
    <n v="0.12879141390573962"/>
    <n v="0.99970000000000003"/>
    <n v="1.0022"/>
    <n v="0.99680000000000002"/>
    <n v="1"/>
    <n v="1"/>
    <n v="0.94971499999999998"/>
    <n v="0.94875859900640003"/>
    <n v="172600"/>
    <n v="0"/>
    <n v="172600"/>
    <n v="59400"/>
    <n v="232000"/>
    <n v="0.11139729555698648"/>
    <n v="6.7796610169491523E-3"/>
    <n v="8.2594493700419977E-2"/>
  </r>
  <r>
    <n v="2025"/>
    <s v="19120143407    "/>
    <n v="-1.9661128563728327"/>
    <n v="0.14000000000000001"/>
    <n v="5911"/>
    <s v="2"/>
    <s v="RES"/>
    <s v="MX"/>
    <s v="11"/>
    <s v="259"/>
    <s v="TD"/>
    <x v="1"/>
    <s v="AV"/>
    <n v="80"/>
    <n v="84"/>
    <n v="52"/>
    <n v="1940"/>
    <n v="1972"/>
    <n v="1298"/>
    <n v="496"/>
    <m/>
    <m/>
    <m/>
    <n v="0"/>
    <n v="1794"/>
    <n v="2000"/>
    <s v="N"/>
    <m/>
    <m/>
    <m/>
    <m/>
    <m/>
    <m/>
    <m/>
    <n v="227469"/>
    <n v="154679"/>
    <n v="8348"/>
    <n v="0"/>
    <n v="59000"/>
    <n v="222700"/>
    <n v="281700"/>
    <n v="132535.48800000001"/>
    <n v="88356.992000000013"/>
    <n v="-25803.896249263951"/>
    <n v="0"/>
    <n v="17761.121909000001"/>
    <n v="-5654.5371999999998"/>
    <n v="81008.673240000004"/>
    <n v="29551.869967999999"/>
    <n v="0"/>
    <n v="0"/>
    <n v="8300"/>
    <n v="255200"/>
    <n v="62600"/>
    <n v="326100"/>
    <n v="0.15761448349307774"/>
    <n v="0.99970000000000003"/>
    <n v="1.0003"/>
    <n v="0.99680000000000002"/>
    <n v="1.0007999999999999"/>
    <n v="1"/>
    <n v="0.94971499999999998"/>
    <n v="0.94771748270541878"/>
    <n v="248300"/>
    <n v="7900"/>
    <n v="256200"/>
    <n v="59400"/>
    <n v="315600"/>
    <n v="0.15042658284687921"/>
    <n v="6.7796610169491523E-3"/>
    <n v="0.12034078807241747"/>
  </r>
  <r>
    <n v="2025"/>
    <s v="19120144405    "/>
    <n v="-1.9661128563728327"/>
    <n v="0.14000000000000001"/>
    <n v="6250"/>
    <s v="2"/>
    <s v="RES"/>
    <s v="MX"/>
    <s v="11"/>
    <s v="259"/>
    <s v="TD"/>
    <x v="4"/>
    <s v="AV"/>
    <n v="70"/>
    <n v="79"/>
    <n v="52"/>
    <n v="1945"/>
    <n v="1972"/>
    <n v="1011"/>
    <m/>
    <m/>
    <m/>
    <m/>
    <n v="0"/>
    <n v="1011"/>
    <n v="1500"/>
    <s v="N"/>
    <m/>
    <m/>
    <m/>
    <m/>
    <m/>
    <m/>
    <m/>
    <n v="218638"/>
    <n v="148674"/>
    <n v="21526"/>
    <n v="0"/>
    <n v="59000"/>
    <n v="223300"/>
    <n v="282300"/>
    <n v="132535.48800000001"/>
    <n v="88356.992000000013"/>
    <n v="-25803.896249263951"/>
    <n v="37154.252388000001"/>
    <n v="17761.121909000001"/>
    <n v="-5654.5371999999998"/>
    <n v="63096.894180000003"/>
    <n v="0"/>
    <n v="0"/>
    <n v="0"/>
    <n v="21500"/>
    <n v="244900"/>
    <n v="62600"/>
    <n v="329000"/>
    <n v="0.16542685086787107"/>
    <n v="0.99970000000000003"/>
    <n v="0.99819999999999998"/>
    <n v="0.99680000000000002"/>
    <n v="0.99519999999999997"/>
    <n v="1"/>
    <n v="0.94971499999999998"/>
    <n v="0.94043603026067968"/>
    <n v="237000"/>
    <n v="20400"/>
    <n v="257400"/>
    <n v="59400"/>
    <n v="316800"/>
    <n v="0.15270935960591134"/>
    <n v="6.7796610169491523E-3"/>
    <n v="0.12221041445270989"/>
  </r>
  <r>
    <n v="2025"/>
    <s v="19120144581    "/>
    <n v="-1.9661128563728327"/>
    <n v="0.14000000000000001"/>
    <n v="6250"/>
    <s v="2"/>
    <s v="RES"/>
    <s v="MX"/>
    <s v="11"/>
    <s v="259"/>
    <s v="BG"/>
    <x v="1"/>
    <s v="AV"/>
    <n v="80"/>
    <n v="89"/>
    <n v="53"/>
    <n v="1935"/>
    <n v="1971"/>
    <n v="752"/>
    <m/>
    <m/>
    <m/>
    <m/>
    <n v="0"/>
    <n v="752"/>
    <n v="1000"/>
    <s v="N"/>
    <m/>
    <m/>
    <m/>
    <m/>
    <m/>
    <m/>
    <m/>
    <n v="108720"/>
    <n v="72842"/>
    <n v="0"/>
    <n v="0"/>
    <n v="59000"/>
    <n v="157200"/>
    <n v="216200"/>
    <n v="132535.48800000001"/>
    <n v="88356.992000000013"/>
    <n v="-25803.896249263951"/>
    <n v="0"/>
    <n v="17761.121909000001"/>
    <n v="-5763.2782999999999"/>
    <n v="46932.605760000006"/>
    <n v="0"/>
    <n v="0"/>
    <n v="0"/>
    <n v="0"/>
    <n v="191500"/>
    <n v="62600"/>
    <n v="254100"/>
    <n v="0.17530064754856614"/>
    <n v="0.99970000000000003"/>
    <n v="1.0003"/>
    <n v="0.99680000000000002"/>
    <n v="1"/>
    <n v="1"/>
    <n v="0.94971499999999998"/>
    <n v="0.94695991477359998"/>
    <n v="184400"/>
    <n v="0"/>
    <n v="184400"/>
    <n v="59400"/>
    <n v="243800"/>
    <n v="0.17302798982188294"/>
    <n v="6.7796610169491523E-3"/>
    <n v="0.1276595744680851"/>
  </r>
  <r>
    <n v="2025"/>
    <s v="19120131404    "/>
    <n v="-1.9661128563728327"/>
    <n v="0.14000000000000001"/>
    <n v="6009"/>
    <s v="2"/>
    <s v="RES"/>
    <s v="MX"/>
    <s v="11"/>
    <s v="259"/>
    <s v="TD"/>
    <x v="0"/>
    <s v="AV"/>
    <n v="90"/>
    <n v="94"/>
    <n v="54"/>
    <n v="1930"/>
    <n v="1970"/>
    <n v="1350"/>
    <m/>
    <m/>
    <m/>
    <m/>
    <n v="0"/>
    <n v="1350"/>
    <n v="1500"/>
    <s v="N"/>
    <m/>
    <m/>
    <m/>
    <m/>
    <m/>
    <m/>
    <m/>
    <n v="205162"/>
    <n v="135407"/>
    <n v="29635"/>
    <n v="0"/>
    <n v="59000"/>
    <n v="228600"/>
    <n v="287600"/>
    <n v="132535.48800000001"/>
    <n v="88356.992000000013"/>
    <n v="-25803.896249263951"/>
    <n v="24371.765965999999"/>
    <n v="17761.121909000001"/>
    <n v="-5872.0194000000001"/>
    <n v="84254.013000000006"/>
    <n v="0"/>
    <n v="0"/>
    <n v="0"/>
    <n v="29600"/>
    <n v="253100"/>
    <n v="62600"/>
    <n v="345300"/>
    <n v="0.2006258692628651"/>
    <n v="0.99970000000000003"/>
    <n v="0.99199999999999999"/>
    <n v="0.99680000000000002"/>
    <n v="0.99519999999999997"/>
    <n v="0.99960000000000004"/>
    <n v="0.94971499999999998"/>
    <n v="0.93422097475634824"/>
    <n v="244300"/>
    <n v="28100"/>
    <n v="272400"/>
    <n v="59400"/>
    <n v="331800"/>
    <n v="0.19160104986876642"/>
    <n v="6.7796610169491523E-3"/>
    <n v="0.15368567454798332"/>
  </r>
  <r>
    <n v="2025"/>
    <s v="19120142509    "/>
    <n v="-1.9661128563728327"/>
    <n v="0.14000000000000001"/>
    <n v="5986"/>
    <s v="2"/>
    <s v="RES"/>
    <s v="MX"/>
    <s v="11"/>
    <s v="259"/>
    <s v="TD"/>
    <x v="1"/>
    <s v="AV"/>
    <n v="80"/>
    <n v="84"/>
    <n v="52"/>
    <n v="1940"/>
    <n v="1972"/>
    <n v="1104"/>
    <m/>
    <m/>
    <m/>
    <m/>
    <n v="0"/>
    <n v="1104"/>
    <n v="1500"/>
    <s v="N"/>
    <n v="1"/>
    <m/>
    <m/>
    <m/>
    <m/>
    <m/>
    <m/>
    <n v="158318"/>
    <n v="107656"/>
    <n v="5934"/>
    <n v="0"/>
    <n v="59000"/>
    <n v="174200"/>
    <n v="233200"/>
    <n v="132535.48800000001"/>
    <n v="88356.992000000013"/>
    <n v="-25803.896249263951"/>
    <n v="0"/>
    <n v="17761.121909000001"/>
    <n v="-5654.5371999999998"/>
    <n v="68901.05952000001"/>
    <n v="0"/>
    <n v="0"/>
    <n v="0"/>
    <n v="5900"/>
    <n v="213500"/>
    <n v="62600"/>
    <n v="282000"/>
    <n v="0.20926243567753003"/>
    <n v="0.99970000000000003"/>
    <n v="1.0003"/>
    <n v="0.99680000000000002"/>
    <n v="0.99519999999999997"/>
    <n v="1"/>
    <n v="0.94971499999999998"/>
    <n v="0.9424145071826866"/>
    <n v="205900"/>
    <n v="5600"/>
    <n v="211500"/>
    <n v="59400"/>
    <n v="270900"/>
    <n v="0.21412169919632607"/>
    <n v="6.7796610169491523E-3"/>
    <n v="0.16166380789022297"/>
  </r>
  <r>
    <n v="2025"/>
    <s v="19120142503    "/>
    <n v="-1.9661128563728327"/>
    <n v="0.14000000000000001"/>
    <n v="6271"/>
    <s v="2"/>
    <s v="RES"/>
    <s v="MX"/>
    <s v="11"/>
    <s v="259"/>
    <s v="FH"/>
    <x v="0"/>
    <s v="GD"/>
    <n v="100"/>
    <n v="109"/>
    <n v="61"/>
    <n v="1915"/>
    <n v="1963"/>
    <n v="1426"/>
    <n v="384"/>
    <m/>
    <m/>
    <m/>
    <n v="0"/>
    <n v="1810"/>
    <n v="2000"/>
    <s v="N"/>
    <m/>
    <m/>
    <m/>
    <m/>
    <m/>
    <m/>
    <m/>
    <n v="251625"/>
    <n v="153491"/>
    <n v="11010"/>
    <n v="0"/>
    <n v="59000"/>
    <n v="242600"/>
    <n v="301600"/>
    <n v="132535.48800000001"/>
    <n v="88356.992000000013"/>
    <n v="-25803.896249263951"/>
    <n v="24371.765965999999"/>
    <n v="30300.329274"/>
    <n v="-6633.2071000000005"/>
    <n v="88997.201880000008"/>
    <n v="22878.867072000001"/>
    <n v="0"/>
    <n v="0"/>
    <n v="11000"/>
    <n v="292500"/>
    <n v="62600"/>
    <n v="366100"/>
    <n v="0.21385941644562334"/>
    <n v="0.99970000000000003"/>
    <n v="0.99199999999999999"/>
    <n v="0.997"/>
    <n v="1.0007999999999999"/>
    <n v="0.98240000000000005"/>
    <n v="0.94971499999999998"/>
    <n v="0.92349761535064334"/>
    <n v="282300"/>
    <n v="10500"/>
    <n v="292800"/>
    <n v="59400"/>
    <n v="352200"/>
    <n v="0.20692497938994228"/>
    <n v="6.7796610169491523E-3"/>
    <n v="0.16777188328912468"/>
  </r>
  <r>
    <n v="2025"/>
    <s v="19120144411    "/>
    <n v="-1.9661128563728327"/>
    <n v="0.14000000000000001"/>
    <n v="6250"/>
    <s v="2"/>
    <s v="RES"/>
    <s v="MX"/>
    <s v="11"/>
    <s v="259"/>
    <s v="BG"/>
    <x v="1"/>
    <s v="AV"/>
    <n v="80"/>
    <n v="84"/>
    <n v="52"/>
    <n v="1940"/>
    <n v="1972"/>
    <n v="624"/>
    <m/>
    <m/>
    <m/>
    <m/>
    <n v="0"/>
    <n v="624"/>
    <n v="1000"/>
    <s v="N"/>
    <m/>
    <m/>
    <m/>
    <m/>
    <m/>
    <m/>
    <m/>
    <n v="92308"/>
    <n v="62769"/>
    <n v="2563"/>
    <n v="0"/>
    <n v="59000"/>
    <n v="147900"/>
    <n v="206900"/>
    <n v="132535.48800000001"/>
    <n v="88356.992000000013"/>
    <n v="-25803.896249263951"/>
    <n v="0"/>
    <n v="17761.121909000001"/>
    <n v="-5654.5371999999998"/>
    <n v="38944.077120000002"/>
    <n v="0"/>
    <n v="0"/>
    <n v="0"/>
    <n v="2600"/>
    <n v="183600"/>
    <n v="62600"/>
    <n v="248800"/>
    <n v="0.20251329144514257"/>
    <n v="0.99970000000000003"/>
    <n v="1.0003"/>
    <n v="0.99680000000000002"/>
    <n v="1"/>
    <n v="1"/>
    <n v="0.94971499999999998"/>
    <n v="0.94695991477359998"/>
    <n v="176600"/>
    <n v="2400"/>
    <n v="179000"/>
    <n v="59400"/>
    <n v="238400"/>
    <n v="0.21027721433400948"/>
    <n v="6.7796610169491523E-3"/>
    <n v="0.15224746254229096"/>
  </r>
  <r>
    <n v="2025"/>
    <s v="19120142513    "/>
    <n v="-1.9661128563728327"/>
    <n v="0.14000000000000001"/>
    <n v="6132"/>
    <s v="2"/>
    <s v="RES"/>
    <s v="MX"/>
    <s v="11"/>
    <s v="259"/>
    <s v="CC"/>
    <x v="3"/>
    <s v="GD"/>
    <n v="90"/>
    <n v="94"/>
    <n v="54"/>
    <n v="1930"/>
    <n v="1970"/>
    <n v="888"/>
    <n v="400"/>
    <m/>
    <m/>
    <m/>
    <n v="0"/>
    <n v="1288"/>
    <n v="1500"/>
    <s v="N"/>
    <m/>
    <m/>
    <m/>
    <m/>
    <m/>
    <m/>
    <m/>
    <n v="157482"/>
    <n v="107088"/>
    <n v="13878"/>
    <n v="0"/>
    <n v="59000"/>
    <n v="189700"/>
    <n v="248700"/>
    <n v="132535.48800000001"/>
    <n v="88356.992000000013"/>
    <n v="-25803.896249263951"/>
    <n v="-9114.1675108666695"/>
    <n v="30300.329274"/>
    <n v="-5872.0194000000001"/>
    <n v="55420.417440000005"/>
    <n v="23832.153200000001"/>
    <n v="0"/>
    <n v="0"/>
    <n v="13900"/>
    <n v="227100"/>
    <n v="62600"/>
    <n v="303600"/>
    <n v="0.22074788902291917"/>
    <n v="0.99970000000000003"/>
    <n v="1"/>
    <n v="0.997"/>
    <n v="0.99519999999999997"/>
    <n v="0.99960000000000004"/>
    <n v="0.94971499999999998"/>
    <n v="0.94194397053644163"/>
    <n v="219400"/>
    <n v="13200"/>
    <n v="232600"/>
    <n v="59400"/>
    <n v="292000"/>
    <n v="0.22614654717975752"/>
    <n v="6.7796610169491523E-3"/>
    <n v="0.17410534780860473"/>
  </r>
  <r>
    <n v="2025"/>
    <s v="19120144408    "/>
    <n v="-1.9661128563728327"/>
    <n v="0.14000000000000001"/>
    <n v="6250"/>
    <s v="2"/>
    <s v="RES"/>
    <s v="MX"/>
    <s v="11"/>
    <s v="259"/>
    <s v="BG"/>
    <x v="1"/>
    <s v="AV"/>
    <n v="80"/>
    <n v="84"/>
    <n v="52"/>
    <n v="1940"/>
    <n v="1972"/>
    <n v="816"/>
    <m/>
    <m/>
    <m/>
    <m/>
    <n v="0"/>
    <n v="816"/>
    <n v="1000"/>
    <s v="N"/>
    <m/>
    <m/>
    <m/>
    <m/>
    <m/>
    <m/>
    <m/>
    <n v="113772"/>
    <n v="77365"/>
    <n v="6885"/>
    <n v="0"/>
    <n v="59000"/>
    <n v="161000"/>
    <n v="220000"/>
    <n v="132535.48800000001"/>
    <n v="88356.992000000013"/>
    <n v="-25803.896249263951"/>
    <n v="0"/>
    <n v="17761.121909000001"/>
    <n v="-5654.5371999999998"/>
    <n v="50926.870080000001"/>
    <n v="0"/>
    <n v="0"/>
    <n v="0"/>
    <n v="6900"/>
    <n v="195600"/>
    <n v="62600"/>
    <n v="265100"/>
    <n v="0.20499999999999999"/>
    <n v="0.99970000000000003"/>
    <n v="1.0003"/>
    <n v="0.99680000000000002"/>
    <n v="1"/>
    <n v="1"/>
    <n v="0.94971499999999998"/>
    <n v="0.94695991477359998"/>
    <n v="188500"/>
    <n v="6500"/>
    <n v="195000"/>
    <n v="59400"/>
    <n v="254400"/>
    <n v="0.21118012422360249"/>
    <n v="6.7796610169491523E-3"/>
    <n v="0.15636363636363637"/>
  </r>
  <r>
    <n v="2025"/>
    <s v="19120131406    "/>
    <n v="-1.9661128563728327"/>
    <n v="0.14000000000000001"/>
    <n v="6002"/>
    <s v="2"/>
    <s v="RES"/>
    <s v="MX"/>
    <s v="11"/>
    <s v="259"/>
    <s v="BG"/>
    <x v="3"/>
    <s v="GD"/>
    <n v="90"/>
    <n v="94"/>
    <n v="54"/>
    <n v="1930"/>
    <n v="1970"/>
    <n v="856"/>
    <m/>
    <m/>
    <m/>
    <m/>
    <n v="0"/>
    <n v="856"/>
    <n v="1000"/>
    <s v="N"/>
    <m/>
    <m/>
    <m/>
    <m/>
    <m/>
    <m/>
    <m/>
    <n v="114672"/>
    <n v="77977"/>
    <n v="0"/>
    <n v="0"/>
    <n v="59000"/>
    <n v="156400"/>
    <n v="215400"/>
    <n v="132535.48800000001"/>
    <n v="88356.992000000013"/>
    <n v="-25803.896249263951"/>
    <n v="-9114.1675108666695"/>
    <n v="30300.329274"/>
    <n v="-5872.0194000000001"/>
    <n v="53423.285280000004"/>
    <n v="0"/>
    <n v="0"/>
    <n v="0"/>
    <n v="0"/>
    <n v="201300"/>
    <n v="62600"/>
    <n v="263900"/>
    <n v="0.22516248839368616"/>
    <n v="0.99970000000000003"/>
    <n v="1"/>
    <n v="0.997"/>
    <n v="1"/>
    <n v="0.99960000000000004"/>
    <n v="0.94971499999999998"/>
    <n v="0.94648710865800001"/>
    <n v="194200"/>
    <n v="0"/>
    <n v="194200"/>
    <n v="59400"/>
    <n v="253600"/>
    <n v="0.24168797953964194"/>
    <n v="6.7796610169491523E-3"/>
    <n v="0.17734447539461468"/>
  </r>
  <r>
    <n v="2025"/>
    <s v="19120131407    "/>
    <n v="-1.9661128563728327"/>
    <n v="0.14000000000000001"/>
    <n v="6209"/>
    <s v="2"/>
    <s v="RES"/>
    <s v="MX"/>
    <s v="11"/>
    <s v="259"/>
    <s v="TD"/>
    <x v="3"/>
    <s v="AV"/>
    <n v="80"/>
    <n v="84"/>
    <n v="52"/>
    <n v="1940"/>
    <n v="1972"/>
    <n v="690"/>
    <m/>
    <m/>
    <m/>
    <m/>
    <n v="0"/>
    <n v="690"/>
    <n v="1000"/>
    <s v="N"/>
    <m/>
    <m/>
    <m/>
    <m/>
    <m/>
    <m/>
    <m/>
    <n v="95818"/>
    <n v="65156"/>
    <n v="0"/>
    <n v="0"/>
    <n v="59000"/>
    <n v="137000"/>
    <n v="196000"/>
    <n v="132535.48800000001"/>
    <n v="88356.992000000013"/>
    <n v="-25803.896249263951"/>
    <n v="-9114.1675108666695"/>
    <n v="17761.121909000001"/>
    <n v="-5654.5371999999998"/>
    <n v="43063.162199999999"/>
    <n v="0"/>
    <n v="0"/>
    <n v="0"/>
    <n v="0"/>
    <n v="178600"/>
    <n v="62600"/>
    <n v="241200"/>
    <n v="0.23061224489795917"/>
    <n v="0.99970000000000003"/>
    <n v="1"/>
    <n v="0.99680000000000002"/>
    <n v="1"/>
    <n v="1"/>
    <n v="0.94971499999999998"/>
    <n v="0.94667591200000001"/>
    <n v="171500"/>
    <n v="0"/>
    <n v="171500"/>
    <n v="59400"/>
    <n v="230900"/>
    <n v="0.2518248175182482"/>
    <n v="6.7796610169491523E-3"/>
    <n v="0.17806122448979592"/>
  </r>
  <r>
    <n v="2025"/>
    <s v="19120142445    "/>
    <n v="-1.9661128563728327"/>
    <n v="0.14000000000000001"/>
    <n v="6236"/>
    <s v="2"/>
    <s v="RES"/>
    <s v="MX"/>
    <s v="11"/>
    <s v="259"/>
    <s v="BG"/>
    <x v="1"/>
    <s v="GD"/>
    <n v="100"/>
    <n v="109"/>
    <n v="61"/>
    <n v="1915"/>
    <n v="1963"/>
    <n v="852"/>
    <m/>
    <m/>
    <m/>
    <m/>
    <n v="0"/>
    <n v="852"/>
    <n v="1000"/>
    <s v="N"/>
    <m/>
    <m/>
    <m/>
    <m/>
    <m/>
    <m/>
    <m/>
    <n v="125075"/>
    <n v="76296"/>
    <n v="2727"/>
    <n v="0"/>
    <n v="59000"/>
    <n v="162400"/>
    <n v="221400"/>
    <n v="132535.48800000001"/>
    <n v="88356.992000000013"/>
    <n v="-25803.896249263951"/>
    <n v="0"/>
    <n v="30300.329274"/>
    <n v="-6633.2071000000005"/>
    <n v="53173.643760000006"/>
    <n v="0"/>
    <n v="0"/>
    <n v="0"/>
    <n v="2700"/>
    <n v="209400"/>
    <n v="62600"/>
    <n v="274700"/>
    <n v="0.24074074074074073"/>
    <n v="0.99970000000000003"/>
    <n v="1.0003"/>
    <n v="0.997"/>
    <n v="1"/>
    <n v="0.98240000000000005"/>
    <n v="0.94971499999999998"/>
    <n v="0.93048007625678564"/>
    <n v="200200"/>
    <n v="2600"/>
    <n v="202800"/>
    <n v="59400"/>
    <n v="262200"/>
    <n v="0.24876847290640394"/>
    <n v="6.7796610169491523E-3"/>
    <n v="0.18428184281842819"/>
  </r>
  <r>
    <n v="2025"/>
    <s v="19120143408    "/>
    <n v="-1.9661128563728327"/>
    <n v="0.14000000000000001"/>
    <n v="5907"/>
    <s v="2"/>
    <s v="RES"/>
    <s v="MX"/>
    <s v="11"/>
    <s v="259"/>
    <s v="TD"/>
    <x v="1"/>
    <s v="AV"/>
    <n v="120"/>
    <n v="122"/>
    <n v="74"/>
    <n v="1902"/>
    <n v="1950"/>
    <n v="644"/>
    <n v="290"/>
    <m/>
    <m/>
    <m/>
    <n v="0"/>
    <n v="934"/>
    <n v="1000"/>
    <s v="N"/>
    <m/>
    <m/>
    <m/>
    <m/>
    <m/>
    <m/>
    <m/>
    <n v="141781"/>
    <n v="77980"/>
    <n v="0"/>
    <n v="0"/>
    <n v="59000"/>
    <n v="142900"/>
    <n v="201900"/>
    <n v="132535.48800000001"/>
    <n v="88356.992000000013"/>
    <n v="-25803.896249263951"/>
    <n v="0"/>
    <n v="17761.121909000001"/>
    <n v="-8046.8414000000002"/>
    <n v="40192.284720000003"/>
    <n v="17278.31107"/>
    <n v="0"/>
    <n v="0"/>
    <n v="0"/>
    <n v="199700"/>
    <n v="62600"/>
    <n v="262300"/>
    <n v="0.29915799900941059"/>
    <n v="0.99970000000000003"/>
    <n v="1.0003"/>
    <n v="0.99680000000000002"/>
    <n v="1"/>
    <n v="0.96709999999999996"/>
    <n v="0.94971499999999998"/>
    <n v="0.91580493357754844"/>
    <n v="188600"/>
    <n v="0"/>
    <n v="188600"/>
    <n v="59400"/>
    <n v="248000"/>
    <n v="0.31980405878236529"/>
    <n v="6.7796610169491523E-3"/>
    <n v="0.22833085685983159"/>
  </r>
  <r>
    <n v="2025"/>
    <s v="19120142508    "/>
    <n v="-1.9661128563728327"/>
    <n v="0.14000000000000001"/>
    <n v="6000"/>
    <s v="2"/>
    <s v="RES"/>
    <s v="MX"/>
    <s v="11"/>
    <s v="259"/>
    <s v="CO"/>
    <x v="3"/>
    <s v="GD"/>
    <n v="120"/>
    <n v="124"/>
    <n v="76"/>
    <n v="1900"/>
    <n v="1948"/>
    <n v="1056"/>
    <n v="405"/>
    <m/>
    <m/>
    <m/>
    <n v="0"/>
    <n v="1461"/>
    <n v="1500"/>
    <s v="N"/>
    <m/>
    <m/>
    <m/>
    <m/>
    <m/>
    <m/>
    <m/>
    <n v="174641"/>
    <n v="99545"/>
    <n v="2078"/>
    <n v="0"/>
    <n v="59000"/>
    <n v="168600"/>
    <n v="227600"/>
    <n v="132535.48800000001"/>
    <n v="88356.992000000013"/>
    <n v="-25803.896249263951"/>
    <n v="-9114.1675108666695"/>
    <n v="30300.329274"/>
    <n v="-8264.3235999999997"/>
    <n v="65905.361279999997"/>
    <n v="24130.055114999999"/>
    <n v="0"/>
    <n v="0"/>
    <n v="2100"/>
    <n v="235500"/>
    <n v="62600"/>
    <n v="300200"/>
    <n v="0.3189806678383128"/>
    <n v="0.99970000000000003"/>
    <n v="1"/>
    <n v="0.997"/>
    <n v="0.99519999999999997"/>
    <n v="0.96709999999999996"/>
    <n v="0.94971499999999998"/>
    <n v="0.91131854132232137"/>
    <n v="223700"/>
    <n v="2000"/>
    <n v="225700"/>
    <n v="59400"/>
    <n v="285100"/>
    <n v="0.3386714116251483"/>
    <n v="6.7796610169491523E-3"/>
    <n v="0.25263620386643232"/>
  </r>
  <r>
    <n v="2025"/>
    <s v="20120632406    "/>
    <n v="-1.9519282213808764"/>
    <n v="0.14199999999999999"/>
    <n v="6200"/>
    <s v="2"/>
    <s v="RES"/>
    <s v="MX"/>
    <s v="11"/>
    <s v="259"/>
    <s v="CP"/>
    <x v="5"/>
    <s v="VG"/>
    <n v="0"/>
    <n v="6"/>
    <n v="6"/>
    <n v="2018"/>
    <n v="2018"/>
    <n v="1687"/>
    <m/>
    <m/>
    <m/>
    <m/>
    <n v="0"/>
    <n v="1687"/>
    <n v="2000"/>
    <s v="N"/>
    <m/>
    <n v="441"/>
    <m/>
    <m/>
    <m/>
    <m/>
    <m/>
    <n v="370665"/>
    <n v="355838"/>
    <n v="0"/>
    <n v="0"/>
    <n v="59000"/>
    <n v="328400"/>
    <n v="387400"/>
    <n v="132535.48800000001"/>
    <n v="88356.992000000013"/>
    <n v="-25617.732546361683"/>
    <n v="32917.849192000001"/>
    <n v="50438.379078999998"/>
    <n v="-652.44659999999999"/>
    <n v="105286.31106000001"/>
    <n v="0"/>
    <n v="0"/>
    <n v="15567.754671000001"/>
    <n v="0"/>
    <n v="336100"/>
    <n v="62700"/>
    <n v="398800"/>
    <n v="2.942694889003614E-2"/>
    <n v="0.99970000000000003"/>
    <n v="1.0019"/>
    <n v="1.0007999999999999"/>
    <n v="1.0007999999999999"/>
    <n v="1.0022"/>
    <n v="0.94971499999999998"/>
    <n v="0.95513919210298648"/>
    <n v="330100"/>
    <n v="0"/>
    <n v="330100"/>
    <n v="59600"/>
    <n v="389700"/>
    <n v="5.1766138855054815E-3"/>
    <n v="1.0169491525423728E-2"/>
    <n v="5.937016004130098E-3"/>
  </r>
  <r>
    <n v="2025"/>
    <s v="20120632404    "/>
    <n v="-1.9519282213808764"/>
    <n v="0.14199999999999999"/>
    <n v="6200"/>
    <s v="2"/>
    <s v="RES"/>
    <s v="MX"/>
    <s v="11"/>
    <s v="259"/>
    <s v="CP"/>
    <x v="5"/>
    <s v="VG"/>
    <n v="0"/>
    <n v="5"/>
    <n v="5"/>
    <n v="2019"/>
    <n v="2019"/>
    <n v="2000"/>
    <m/>
    <m/>
    <m/>
    <m/>
    <n v="0"/>
    <n v="2000"/>
    <n v="2500"/>
    <s v="N"/>
    <n v="1"/>
    <n v="441"/>
    <m/>
    <m/>
    <m/>
    <m/>
    <m/>
    <n v="429546"/>
    <n v="412364"/>
    <n v="0"/>
    <n v="0"/>
    <n v="59000"/>
    <n v="343700"/>
    <n v="402700"/>
    <n v="132535.48800000001"/>
    <n v="88356.992000000013"/>
    <n v="-25617.732546361683"/>
    <n v="32917.849192000001"/>
    <n v="50438.379078999998"/>
    <n v="-543.70550000000003"/>
    <n v="124820.76000000001"/>
    <n v="0"/>
    <n v="0"/>
    <n v="15567.754671000001"/>
    <n v="0"/>
    <n v="355700"/>
    <n v="62700"/>
    <n v="418400"/>
    <n v="3.8986838837844547E-2"/>
    <n v="0.99970000000000003"/>
    <n v="1.0019"/>
    <n v="1.0007999999999999"/>
    <n v="1.0008999999999999"/>
    <n v="1.0022"/>
    <n v="0.94971499999999998"/>
    <n v="0.95523462967214157"/>
    <n v="349800"/>
    <n v="0"/>
    <n v="349800"/>
    <n v="59600"/>
    <n v="409400"/>
    <n v="1.7748036077974979E-2"/>
    <n v="1.0169491525423728E-2"/>
    <n v="1.6637695555003724E-2"/>
  </r>
  <r>
    <n v="2025"/>
    <s v="20120632405    "/>
    <n v="-1.9519282213808764"/>
    <n v="0.14199999999999999"/>
    <n v="6200"/>
    <s v="2"/>
    <s v="RES"/>
    <s v="MX"/>
    <s v="11"/>
    <s v="259"/>
    <s v="CP"/>
    <x v="4"/>
    <s v="VG"/>
    <n v="0"/>
    <n v="5"/>
    <n v="5"/>
    <n v="2019"/>
    <n v="2019"/>
    <n v="1749"/>
    <m/>
    <m/>
    <m/>
    <m/>
    <n v="0"/>
    <n v="1749"/>
    <n v="2000"/>
    <s v="N"/>
    <m/>
    <n v="441"/>
    <m/>
    <m/>
    <m/>
    <m/>
    <m/>
    <n v="334034"/>
    <n v="320673"/>
    <n v="0"/>
    <n v="0"/>
    <n v="59000"/>
    <n v="331900"/>
    <n v="390900"/>
    <n v="132535.48800000001"/>
    <n v="88356.992000000013"/>
    <n v="-25617.732546361683"/>
    <n v="37154.252388000001"/>
    <n v="50438.379078999998"/>
    <n v="-543.70550000000003"/>
    <n v="109155.75462000001"/>
    <n v="0"/>
    <n v="0"/>
    <n v="15567.754671000001"/>
    <n v="0"/>
    <n v="344300"/>
    <n v="62700"/>
    <n v="407000"/>
    <n v="4.118700434893835E-2"/>
    <n v="0.99970000000000003"/>
    <n v="0.99819999999999998"/>
    <n v="1.0007999999999999"/>
    <n v="1.0007999999999999"/>
    <n v="1.0022"/>
    <n v="0.94971499999999998"/>
    <n v="0.95161187898712574"/>
    <n v="337900"/>
    <n v="0"/>
    <n v="337900"/>
    <n v="59600"/>
    <n v="397500"/>
    <n v="1.8077734257306417E-2"/>
    <n v="1.0169491525423728E-2"/>
    <n v="1.6884113584036839E-2"/>
  </r>
  <r>
    <n v="2025"/>
    <s v="20120632407    "/>
    <n v="-1.9310215365615626"/>
    <n v="0.14499999999999999"/>
    <n v="6300"/>
    <s v="2"/>
    <s v="RES"/>
    <s v="MX"/>
    <s v="11"/>
    <s v="259"/>
    <s v="CP"/>
    <x v="5"/>
    <s v="VG"/>
    <n v="0"/>
    <n v="5"/>
    <n v="5"/>
    <n v="2019"/>
    <n v="2019"/>
    <n v="2000"/>
    <m/>
    <m/>
    <m/>
    <m/>
    <n v="0"/>
    <n v="2000"/>
    <n v="2500"/>
    <s v="N"/>
    <m/>
    <n v="441"/>
    <m/>
    <m/>
    <m/>
    <m/>
    <m/>
    <n v="424739"/>
    <n v="407749"/>
    <n v="0"/>
    <n v="0"/>
    <n v="59000"/>
    <n v="350600"/>
    <n v="409600"/>
    <n v="132535.48800000001"/>
    <n v="88356.992000000013"/>
    <n v="-25343.346503747183"/>
    <n v="32917.849192000001"/>
    <n v="50438.379078999998"/>
    <n v="-543.70550000000003"/>
    <n v="124820.76000000001"/>
    <n v="0"/>
    <n v="0"/>
    <n v="15567.754671000001"/>
    <n v="0"/>
    <n v="355700"/>
    <n v="63000"/>
    <n v="418700"/>
    <n v="2.2216796875E-2"/>
    <n v="0.99970000000000003"/>
    <n v="1.0019"/>
    <n v="1.0007999999999999"/>
    <n v="1.0008999999999999"/>
    <n v="1.0022"/>
    <n v="0.94971499999999998"/>
    <n v="0.95523462967214157"/>
    <n v="349800"/>
    <n v="0"/>
    <n v="349800"/>
    <n v="59800"/>
    <n v="409600"/>
    <n v="-2.2818026240730175E-3"/>
    <n v="1.3559322033898305E-2"/>
    <n v="0"/>
  </r>
  <r>
    <n v="2025"/>
    <s v="20120634499    "/>
    <n v="-1.9310215365615626"/>
    <n v="0.14499999999999999"/>
    <n v="6300"/>
    <s v="2"/>
    <s v="RES"/>
    <s v="MX"/>
    <s v="11"/>
    <s v="259"/>
    <s v="CP"/>
    <x v="5"/>
    <s v="VG"/>
    <n v="0"/>
    <n v="5"/>
    <n v="5"/>
    <n v="2019"/>
    <n v="2019"/>
    <n v="1708"/>
    <m/>
    <m/>
    <m/>
    <m/>
    <n v="0"/>
    <n v="1708"/>
    <n v="2000"/>
    <s v="N"/>
    <m/>
    <n v="420"/>
    <m/>
    <m/>
    <m/>
    <m/>
    <m/>
    <n v="372492"/>
    <n v="357592"/>
    <n v="0"/>
    <n v="0"/>
    <n v="59000"/>
    <n v="328700"/>
    <n v="387700"/>
    <n v="132535.48800000001"/>
    <n v="88356.992000000013"/>
    <n v="-25343.346503747183"/>
    <n v="32917.849192000001"/>
    <n v="50438.379078999998"/>
    <n v="-543.70550000000003"/>
    <n v="106596.92904"/>
    <n v="0"/>
    <n v="0"/>
    <n v="14826.43302"/>
    <n v="0"/>
    <n v="336800"/>
    <n v="63000"/>
    <n v="399800"/>
    <n v="3.1209698220273408E-2"/>
    <n v="0.99970000000000003"/>
    <n v="1.0019"/>
    <n v="1.0007999999999999"/>
    <n v="1.0007999999999999"/>
    <n v="1.0022"/>
    <n v="0.94971499999999998"/>
    <n v="0.95513919210298648"/>
    <n v="330800"/>
    <n v="0"/>
    <n v="330800"/>
    <n v="59800"/>
    <n v="390600"/>
    <n v="6.3888043808944328E-3"/>
    <n v="1.3559322033898305E-2"/>
    <n v="7.4800103172556103E-3"/>
  </r>
  <r>
    <n v="2025"/>
    <s v="20120634497    "/>
    <n v="-1.9310215365615626"/>
    <n v="0.14499999999999999"/>
    <n v="6300"/>
    <s v="2"/>
    <s v="RES"/>
    <s v="MX"/>
    <s v="11"/>
    <s v="259"/>
    <s v="CP"/>
    <x v="4"/>
    <s v="VG"/>
    <n v="0"/>
    <n v="5"/>
    <n v="5"/>
    <n v="2019"/>
    <n v="2019"/>
    <n v="1529"/>
    <m/>
    <m/>
    <m/>
    <m/>
    <n v="0"/>
    <n v="1529"/>
    <n v="2000"/>
    <s v="N"/>
    <m/>
    <n v="441"/>
    <m/>
    <m/>
    <m/>
    <m/>
    <m/>
    <n v="300667"/>
    <n v="288640"/>
    <n v="0"/>
    <n v="0"/>
    <n v="59000"/>
    <n v="321600"/>
    <n v="380600"/>
    <n v="132535.48800000001"/>
    <n v="88356.992000000013"/>
    <n v="-25343.346503747183"/>
    <n v="37154.252388000001"/>
    <n v="50438.379078999998"/>
    <n v="-543.70550000000003"/>
    <n v="95425.471020000012"/>
    <n v="0"/>
    <n v="0"/>
    <n v="15567.754671000001"/>
    <n v="0"/>
    <n v="330600"/>
    <n v="63000"/>
    <n v="393600"/>
    <n v="3.415659485023647E-2"/>
    <n v="0.99970000000000003"/>
    <n v="0.99819999999999998"/>
    <n v="1.0007999999999999"/>
    <n v="1.0007999999999999"/>
    <n v="1.0022"/>
    <n v="0.94971499999999998"/>
    <n v="0.95161187898712574"/>
    <n v="324200"/>
    <n v="0"/>
    <n v="324200"/>
    <n v="59800"/>
    <n v="384000"/>
    <n v="8.0845771144278603E-3"/>
    <n v="1.3559322033898305E-2"/>
    <n v="8.9332632685233844E-3"/>
  </r>
  <r>
    <n v="2025"/>
    <s v="20120632403    "/>
    <n v="-1.9310215365615626"/>
    <n v="0.14499999999999999"/>
    <n v="6300"/>
    <s v="2"/>
    <s v="RES"/>
    <s v="MX"/>
    <s v="11"/>
    <s v="259"/>
    <s v="CP"/>
    <x v="4"/>
    <s v="VG"/>
    <n v="0"/>
    <n v="5"/>
    <n v="5"/>
    <n v="2019"/>
    <n v="2019"/>
    <n v="1529"/>
    <m/>
    <m/>
    <m/>
    <m/>
    <n v="0"/>
    <n v="1529"/>
    <n v="2000"/>
    <s v="N"/>
    <n v="1"/>
    <n v="441"/>
    <m/>
    <m/>
    <m/>
    <m/>
    <m/>
    <n v="307649"/>
    <n v="295343"/>
    <n v="0"/>
    <n v="0"/>
    <n v="59000"/>
    <n v="320800"/>
    <n v="379800"/>
    <n v="132535.48800000001"/>
    <n v="88356.992000000013"/>
    <n v="-25343.346503747183"/>
    <n v="37154.252388000001"/>
    <n v="50438.379078999998"/>
    <n v="-543.70550000000003"/>
    <n v="95425.471020000012"/>
    <n v="0"/>
    <n v="0"/>
    <n v="15567.754671000001"/>
    <n v="0"/>
    <n v="330600"/>
    <n v="63000"/>
    <n v="393600"/>
    <n v="3.6334913112164295E-2"/>
    <n v="0.99970000000000003"/>
    <n v="0.99819999999999998"/>
    <n v="1.0007999999999999"/>
    <n v="1.0007999999999999"/>
    <n v="1.0022"/>
    <n v="0.94971499999999998"/>
    <n v="0.95161187898712574"/>
    <n v="324200"/>
    <n v="0"/>
    <n v="324200"/>
    <n v="59800"/>
    <n v="384000"/>
    <n v="1.059850374064838E-2"/>
    <n v="1.3559322033898305E-2"/>
    <n v="1.1058451816745656E-2"/>
  </r>
  <r>
    <n v="2025"/>
    <s v="19120134420    "/>
    <n v="-1.9310215365615626"/>
    <n v="0.14499999999999999"/>
    <n v="6337"/>
    <s v="2"/>
    <s v="RES"/>
    <s v="MX"/>
    <s v="11"/>
    <s v="259"/>
    <s v="TD"/>
    <x v="3"/>
    <s v="AV"/>
    <n v="80"/>
    <n v="84"/>
    <n v="52"/>
    <n v="1940"/>
    <n v="1972"/>
    <n v="1312"/>
    <m/>
    <m/>
    <m/>
    <m/>
    <n v="0"/>
    <n v="1312"/>
    <n v="1500"/>
    <s v="N"/>
    <m/>
    <m/>
    <m/>
    <m/>
    <m/>
    <m/>
    <m/>
    <n v="173424"/>
    <n v="117928"/>
    <n v="0"/>
    <n v="0"/>
    <n v="59900"/>
    <n v="167500"/>
    <n v="227400"/>
    <n v="132535.48800000001"/>
    <n v="88356.992000000013"/>
    <n v="-25343.346503747183"/>
    <n v="-9114.1675108666695"/>
    <n v="17761.121909000001"/>
    <n v="-5654.5371999999998"/>
    <n v="81882.418560000006"/>
    <n v="0"/>
    <n v="0"/>
    <n v="0"/>
    <n v="0"/>
    <n v="217400"/>
    <n v="63000"/>
    <n v="280400"/>
    <n v="0.23306948109058928"/>
    <n v="0.99970000000000003"/>
    <n v="1"/>
    <n v="0.99680000000000002"/>
    <n v="0.99519999999999997"/>
    <n v="1"/>
    <n v="0.94971499999999998"/>
    <n v="0.94213186762239998"/>
    <n v="209700"/>
    <n v="0"/>
    <n v="209700"/>
    <n v="59800"/>
    <n v="269500"/>
    <n v="0.25194029850746269"/>
    <n v="-1.6694490818030051E-3"/>
    <n v="0.1851363236587511"/>
  </r>
  <r>
    <n v="2025"/>
    <s v="20120632433    "/>
    <n v="-1.9241486572738007"/>
    <n v="0.14599999999999999"/>
    <n v="6338"/>
    <s v="2"/>
    <s v="RES"/>
    <s v="MX"/>
    <s v="11"/>
    <s v="259"/>
    <s v="CP"/>
    <x v="5"/>
    <s v="VG"/>
    <n v="0"/>
    <n v="6"/>
    <n v="6"/>
    <n v="2018"/>
    <n v="2018"/>
    <n v="1749"/>
    <m/>
    <m/>
    <m/>
    <m/>
    <n v="0"/>
    <n v="1749"/>
    <n v="2000"/>
    <s v="N"/>
    <m/>
    <n v="441"/>
    <m/>
    <m/>
    <m/>
    <m/>
    <m/>
    <n v="380960"/>
    <n v="365722"/>
    <n v="0"/>
    <n v="0"/>
    <n v="59900"/>
    <n v="335800"/>
    <n v="395700"/>
    <n v="132535.48800000001"/>
    <n v="88356.992000000013"/>
    <n v="-25253.144629780345"/>
    <n v="32917.849192000001"/>
    <n v="50438.379078999998"/>
    <n v="-652.44659999999999"/>
    <n v="109155.75462000001"/>
    <n v="0"/>
    <n v="0"/>
    <n v="15567.754671000001"/>
    <n v="0"/>
    <n v="340000"/>
    <n v="63100"/>
    <n v="403100"/>
    <n v="1.8701036138488752E-2"/>
    <n v="0.99970000000000003"/>
    <n v="1.0019"/>
    <n v="1.0007999999999999"/>
    <n v="1.0007999999999999"/>
    <n v="1.0022"/>
    <n v="0.94971499999999998"/>
    <n v="0.95513919210298648"/>
    <n v="334000"/>
    <n v="0"/>
    <n v="334000"/>
    <n v="59900"/>
    <n v="393900"/>
    <n v="-5.3603335318642047E-3"/>
    <n v="0"/>
    <n v="-4.5489006823351023E-3"/>
  </r>
  <r>
    <n v="2025"/>
    <s v="20120632431    "/>
    <n v="-1.9241486572738007"/>
    <n v="0.14599999999999999"/>
    <n v="6350"/>
    <s v="2"/>
    <s v="RES"/>
    <s v="MX"/>
    <s v="11"/>
    <s v="259"/>
    <s v="CP"/>
    <x v="4"/>
    <s v="VG"/>
    <n v="0"/>
    <n v="6"/>
    <n v="6"/>
    <n v="2018"/>
    <n v="2018"/>
    <n v="1529"/>
    <m/>
    <m/>
    <m/>
    <m/>
    <n v="0"/>
    <n v="1529"/>
    <n v="2000"/>
    <s v="N"/>
    <m/>
    <n v="441"/>
    <m/>
    <m/>
    <m/>
    <m/>
    <m/>
    <n v="299905"/>
    <n v="287909"/>
    <n v="0"/>
    <n v="0"/>
    <n v="59900"/>
    <n v="319900"/>
    <n v="379800"/>
    <n v="132535.48800000001"/>
    <n v="88356.992000000013"/>
    <n v="-25253.144629780345"/>
    <n v="37154.252388000001"/>
    <n v="50438.379078999998"/>
    <n v="-652.44659999999999"/>
    <n v="95425.471020000012"/>
    <n v="0"/>
    <n v="0"/>
    <n v="15567.754671000001"/>
    <n v="0"/>
    <n v="330500"/>
    <n v="63100"/>
    <n v="393600"/>
    <n v="3.6334913112164295E-2"/>
    <n v="0.99970000000000003"/>
    <n v="0.99819999999999998"/>
    <n v="1.0007999999999999"/>
    <n v="1.0007999999999999"/>
    <n v="1.0022"/>
    <n v="0.94971499999999998"/>
    <n v="0.95161187898712574"/>
    <n v="324100"/>
    <n v="0"/>
    <n v="324100"/>
    <n v="59900"/>
    <n v="384000"/>
    <n v="1.3129102844638949E-2"/>
    <n v="0"/>
    <n v="1.1058451816745656E-2"/>
  </r>
  <r>
    <n v="2025"/>
    <s v="20120632432    "/>
    <n v="-1.9241486572738007"/>
    <n v="0.14599999999999999"/>
    <n v="6344"/>
    <s v="2"/>
    <s v="RES"/>
    <s v="MX"/>
    <s v="11"/>
    <s v="259"/>
    <s v="CP"/>
    <x v="5"/>
    <s v="VG"/>
    <n v="0"/>
    <n v="6"/>
    <n v="6"/>
    <n v="2018"/>
    <n v="2018"/>
    <n v="1756"/>
    <m/>
    <m/>
    <m/>
    <m/>
    <n v="0"/>
    <n v="1756"/>
    <n v="2000"/>
    <s v="N"/>
    <m/>
    <n v="441"/>
    <m/>
    <m/>
    <m/>
    <m/>
    <m/>
    <n v="378824"/>
    <n v="363671"/>
    <n v="0"/>
    <n v="0"/>
    <n v="59900"/>
    <n v="326700"/>
    <n v="386600"/>
    <n v="132535.48800000001"/>
    <n v="88356.992000000013"/>
    <n v="-25253.144629780345"/>
    <n v="32917.849192000001"/>
    <n v="50438.379078999998"/>
    <n v="-652.44659999999999"/>
    <n v="109592.62728"/>
    <n v="0"/>
    <n v="0"/>
    <n v="15567.754671000001"/>
    <n v="0"/>
    <n v="340400"/>
    <n v="63100"/>
    <n v="403500"/>
    <n v="4.3714433523021214E-2"/>
    <n v="0.99970000000000003"/>
    <n v="1.0019"/>
    <n v="1.0007999999999999"/>
    <n v="1.0007999999999999"/>
    <n v="1.0022"/>
    <n v="0.94971499999999998"/>
    <n v="0.95513919210298648"/>
    <n v="334500"/>
    <n v="0"/>
    <n v="334500"/>
    <n v="59900"/>
    <n v="394400"/>
    <n v="2.3875114784205693E-2"/>
    <n v="0"/>
    <n v="2.017589239524056E-2"/>
  </r>
  <r>
    <n v="2025"/>
    <s v="20120632434    "/>
    <n v="-1.9105430052180221"/>
    <n v="0.14799999999999999"/>
    <n v="6434"/>
    <s v="2"/>
    <s v="RES"/>
    <s v="MX"/>
    <s v="11"/>
    <s v="259"/>
    <s v="CP"/>
    <x v="5"/>
    <s v="VG"/>
    <n v="0"/>
    <n v="6"/>
    <n v="6"/>
    <n v="2018"/>
    <n v="2018"/>
    <n v="861"/>
    <n v="1323"/>
    <m/>
    <m/>
    <m/>
    <n v="0"/>
    <n v="2184"/>
    <n v="2500"/>
    <s v="N"/>
    <n v="1"/>
    <n v="294"/>
    <n v="441"/>
    <m/>
    <m/>
    <m/>
    <m/>
    <n v="459129"/>
    <n v="440764"/>
    <n v="0"/>
    <n v="0"/>
    <n v="59900"/>
    <n v="369200"/>
    <n v="429100"/>
    <n v="132535.48800000001"/>
    <n v="88356.992000000013"/>
    <n v="-25074.579684785997"/>
    <n v="32917.849192000001"/>
    <n v="50438.379078999998"/>
    <n v="-652.44659999999999"/>
    <n v="53735.337180000002"/>
    <n v="78824.84670899999"/>
    <n v="0"/>
    <n v="10378.503114000001"/>
    <n v="0"/>
    <n v="358200"/>
    <n v="63300"/>
    <n v="421500"/>
    <n v="-1.7711489163365183E-2"/>
    <n v="0.99970000000000003"/>
    <n v="1.0019"/>
    <n v="1.0007999999999999"/>
    <n v="1.0008999999999999"/>
    <n v="1.0022"/>
    <n v="0.94971499999999998"/>
    <n v="0.95523462967214157"/>
    <n v="352200"/>
    <n v="0"/>
    <n v="352200"/>
    <n v="60100"/>
    <n v="412300"/>
    <n v="-4.6045503791982668E-2"/>
    <n v="3.3388981636060101E-3"/>
    <n v="-3.9151712887438822E-2"/>
  </r>
  <r>
    <n v="2025"/>
    <s v="20120632430    "/>
    <n v="-1.9105430052180221"/>
    <n v="0.14799999999999999"/>
    <n v="6458"/>
    <s v="2"/>
    <s v="RES"/>
    <s v="MX"/>
    <s v="11"/>
    <s v="259"/>
    <s v="CO"/>
    <x v="4"/>
    <s v="VG"/>
    <n v="0"/>
    <n v="6"/>
    <n v="6"/>
    <n v="2018"/>
    <n v="2018"/>
    <n v="1529"/>
    <m/>
    <m/>
    <m/>
    <m/>
    <n v="0"/>
    <n v="1529"/>
    <n v="2000"/>
    <s v="N"/>
    <m/>
    <n v="441"/>
    <m/>
    <m/>
    <m/>
    <m/>
    <m/>
    <n v="305415"/>
    <n v="293198"/>
    <n v="0"/>
    <n v="0"/>
    <n v="59900"/>
    <n v="329100"/>
    <n v="389000"/>
    <n v="132535.48800000001"/>
    <n v="88356.992000000013"/>
    <n v="-25074.579684785997"/>
    <n v="37154.252388000001"/>
    <n v="50438.379078999998"/>
    <n v="-652.44659999999999"/>
    <n v="95425.471020000012"/>
    <n v="0"/>
    <n v="0"/>
    <n v="15567.754671000001"/>
    <n v="0"/>
    <n v="330500"/>
    <n v="63300"/>
    <n v="393800"/>
    <n v="1.2339331619537276E-2"/>
    <n v="0.99970000000000003"/>
    <n v="0.99819999999999998"/>
    <n v="1.0007999999999999"/>
    <n v="1.0007999999999999"/>
    <n v="1.0022"/>
    <n v="0.94971499999999998"/>
    <n v="0.95161187898712574"/>
    <n v="324100"/>
    <n v="0"/>
    <n v="324100"/>
    <n v="60100"/>
    <n v="384200"/>
    <n v="-1.5192950470981464E-2"/>
    <n v="3.3388981636060101E-3"/>
    <n v="-1.2339331619537276E-2"/>
  </r>
  <r>
    <n v="2025"/>
    <s v="20120633471    "/>
    <n v="-1.8971199848858813"/>
    <n v="0.15"/>
    <n v="6633"/>
    <s v="2"/>
    <s v="RES"/>
    <s v="MX"/>
    <s v="11"/>
    <s v="259"/>
    <s v="CP"/>
    <x v="4"/>
    <s v="GD"/>
    <n v="10"/>
    <n v="14"/>
    <n v="14"/>
    <n v="2010"/>
    <n v="2010"/>
    <n v="1117"/>
    <m/>
    <m/>
    <m/>
    <m/>
    <n v="0"/>
    <n v="1117"/>
    <n v="1500"/>
    <s v="S"/>
    <m/>
    <n v="459"/>
    <m/>
    <m/>
    <m/>
    <m/>
    <m/>
    <n v="253154"/>
    <n v="235433"/>
    <n v="0"/>
    <n v="0"/>
    <n v="59900"/>
    <n v="306600"/>
    <n v="366500"/>
    <n v="132535.48800000001"/>
    <n v="88356.992000000013"/>
    <n v="-24898.411657157456"/>
    <n v="37154.252388000001"/>
    <n v="30300.329274"/>
    <n v="-1522.3754000000001"/>
    <n v="69712.39446000001"/>
    <n v="0"/>
    <n v="0"/>
    <n v="16203.173229"/>
    <n v="0"/>
    <n v="284400"/>
    <n v="63500"/>
    <n v="347900"/>
    <n v="-5.0750341064120054E-2"/>
    <n v="0.99970000000000003"/>
    <n v="0.99819999999999998"/>
    <n v="0.997"/>
    <n v="0.99519999999999997"/>
    <n v="0.99080000000000001"/>
    <n v="0.94971499999999998"/>
    <n v="0.93197097384222971"/>
    <n v="275400"/>
    <n v="0"/>
    <n v="275400"/>
    <n v="60300"/>
    <n v="335700"/>
    <n v="-0.10176125244618395"/>
    <n v="6.6777963272120202E-3"/>
    <n v="-8.4038199181446116E-2"/>
  </r>
  <r>
    <n v="2025"/>
    <s v="20120633472    "/>
    <n v="-1.8971199848858813"/>
    <n v="0.15"/>
    <n v="6580"/>
    <s v="2"/>
    <s v="RES"/>
    <s v="MX"/>
    <s v="11"/>
    <s v="259"/>
    <s v="CP"/>
    <x v="4"/>
    <s v="GD"/>
    <n v="10"/>
    <n v="15"/>
    <n v="15"/>
    <n v="2009"/>
    <n v="2009"/>
    <n v="1560"/>
    <m/>
    <m/>
    <m/>
    <m/>
    <n v="0"/>
    <n v="1560"/>
    <n v="2000"/>
    <s v="S"/>
    <m/>
    <n v="400"/>
    <m/>
    <m/>
    <m/>
    <m/>
    <m/>
    <n v="310108"/>
    <n v="288400"/>
    <n v="0"/>
    <n v="0"/>
    <n v="59900"/>
    <n v="312900"/>
    <n v="372800"/>
    <n v="132535.48800000001"/>
    <n v="88356.992000000013"/>
    <n v="-24898.411657157456"/>
    <n v="37154.252388000001"/>
    <n v="30300.329274"/>
    <n v="-1631.1165000000001"/>
    <n v="97360.192800000004"/>
    <n v="0"/>
    <n v="0"/>
    <n v="14120.412400000001"/>
    <n v="0"/>
    <n v="309800"/>
    <n v="63500"/>
    <n v="373300"/>
    <n v="1.3412017167381974E-3"/>
    <n v="0.99970000000000003"/>
    <n v="0.99819999999999998"/>
    <n v="0.997"/>
    <n v="1.0007999999999999"/>
    <n v="0.99080000000000001"/>
    <n v="0.94971499999999998"/>
    <n v="0.93721518350211364"/>
    <n v="301500"/>
    <n v="0"/>
    <n v="301500"/>
    <n v="60300"/>
    <n v="361800"/>
    <n v="-3.6433365292425697E-2"/>
    <n v="6.6777963272120202E-3"/>
    <n v="-2.9506437768240343E-2"/>
  </r>
  <r>
    <n v="2025"/>
    <s v="19120141442    "/>
    <n v="-1.8971199848858813"/>
    <n v="0.15"/>
    <n v="6665"/>
    <s v="2"/>
    <s v="RES"/>
    <s v="MX"/>
    <s v="11"/>
    <s v="259"/>
    <s v="CO"/>
    <x v="5"/>
    <s v="VG"/>
    <n v="10"/>
    <n v="19"/>
    <n v="19"/>
    <n v="2005"/>
    <n v="2005"/>
    <n v="1158"/>
    <n v="1332"/>
    <m/>
    <m/>
    <m/>
    <n v="0"/>
    <n v="2490"/>
    <n v="2500"/>
    <s v="S"/>
    <m/>
    <m/>
    <n v="502"/>
    <m/>
    <m/>
    <m/>
    <m/>
    <n v="479136"/>
    <n v="436014"/>
    <n v="0"/>
    <n v="0"/>
    <n v="59900"/>
    <n v="367300"/>
    <n v="427200"/>
    <n v="132535.48800000001"/>
    <n v="88356.992000000013"/>
    <n v="-24898.411657157456"/>
    <n v="32917.849192000001"/>
    <n v="50438.379078999998"/>
    <n v="-2066.0808999999999"/>
    <n v="72271.22004"/>
    <n v="79361.070156000002"/>
    <n v="0"/>
    <n v="0"/>
    <n v="0"/>
    <n v="365500"/>
    <n v="63500"/>
    <n v="429000"/>
    <n v="4.2134831460674156E-3"/>
    <n v="0.99970000000000003"/>
    <n v="1.0019"/>
    <n v="1.0007999999999999"/>
    <n v="1.0008999999999999"/>
    <n v="0.99080000000000001"/>
    <n v="0.94971499999999998"/>
    <n v="0.94436885958806405"/>
    <n v="358100"/>
    <n v="0"/>
    <n v="358100"/>
    <n v="60300"/>
    <n v="418400"/>
    <n v="-2.5047644976858154E-2"/>
    <n v="6.6777963272120202E-3"/>
    <n v="-2.0599250936329586E-2"/>
  </r>
  <r>
    <n v="2025"/>
    <s v="20120633473    "/>
    <n v="-1.8971199848858813"/>
    <n v="0.15"/>
    <n v="6528"/>
    <s v="2"/>
    <s v="RES"/>
    <s v="MX"/>
    <s v="11"/>
    <s v="259"/>
    <s v="CO"/>
    <x v="4"/>
    <s v="VG"/>
    <n v="10"/>
    <n v="13"/>
    <n v="13"/>
    <n v="2011"/>
    <n v="2011"/>
    <n v="1368"/>
    <m/>
    <m/>
    <m/>
    <m/>
    <n v="0"/>
    <n v="1368"/>
    <n v="1500"/>
    <s v="S"/>
    <n v="1"/>
    <n v="424"/>
    <m/>
    <m/>
    <m/>
    <m/>
    <m/>
    <n v="278595"/>
    <n v="264665"/>
    <n v="0"/>
    <n v="0"/>
    <n v="59900"/>
    <n v="311800"/>
    <n v="371700"/>
    <n v="132535.48800000001"/>
    <n v="88356.992000000013"/>
    <n v="-24898.411657157456"/>
    <n v="37154.252388000001"/>
    <n v="50438.379078999998"/>
    <n v="-1413.6342999999999"/>
    <n v="85377.399839999998"/>
    <n v="0"/>
    <n v="0"/>
    <n v="14967.637144"/>
    <n v="0"/>
    <n v="319100"/>
    <n v="63500"/>
    <n v="382600"/>
    <n v="2.9324724239978478E-2"/>
    <n v="0.99970000000000003"/>
    <n v="0.99819999999999998"/>
    <n v="1.0007999999999999"/>
    <n v="0.99519999999999997"/>
    <n v="0.99080000000000001"/>
    <n v="0.94971499999999998"/>
    <n v="0.93552311998124726"/>
    <n v="310500"/>
    <n v="0"/>
    <n v="310500"/>
    <n v="60300"/>
    <n v="370800"/>
    <n v="-4.1693393200769721E-3"/>
    <n v="6.6777963272120202E-3"/>
    <n v="-2.4213075060532689E-3"/>
  </r>
  <r>
    <n v="2025"/>
    <s v="19120141527    "/>
    <n v="-1.8971199848858813"/>
    <n v="0.15"/>
    <n v="6685"/>
    <s v="2"/>
    <s v="RES"/>
    <s v="MX"/>
    <s v="11"/>
    <s v="259"/>
    <s v="RN"/>
    <x v="5"/>
    <s v="GD"/>
    <n v="10"/>
    <n v="19"/>
    <n v="19"/>
    <n v="2005"/>
    <n v="2005"/>
    <n v="1380"/>
    <m/>
    <m/>
    <m/>
    <m/>
    <n v="0"/>
    <n v="1380"/>
    <n v="1500"/>
    <s v="B"/>
    <m/>
    <n v="428"/>
    <m/>
    <m/>
    <m/>
    <m/>
    <m/>
    <n v="308394"/>
    <n v="280639"/>
    <n v="0"/>
    <n v="0"/>
    <n v="59900"/>
    <n v="286000"/>
    <n v="345900"/>
    <n v="132535.48800000001"/>
    <n v="88356.992000000013"/>
    <n v="-24898.411657157456"/>
    <n v="32917.849192000001"/>
    <n v="30300.329274"/>
    <n v="-2066.0808999999999"/>
    <n v="86126.324399999998"/>
    <n v="0"/>
    <n v="0"/>
    <n v="15108.841268"/>
    <n v="0"/>
    <n v="294900"/>
    <n v="63500"/>
    <n v="358400"/>
    <n v="3.6137612026597279E-2"/>
    <n v="0.99970000000000003"/>
    <n v="1.0019"/>
    <n v="0.997"/>
    <n v="0.99519999999999997"/>
    <n v="0.99080000000000001"/>
    <n v="0.94971499999999998"/>
    <n v="0.9354254845647465"/>
    <n v="286400"/>
    <n v="0"/>
    <n v="286400"/>
    <n v="60300"/>
    <n v="346700"/>
    <n v="1.3986013986013986E-3"/>
    <n v="6.6777963272120202E-3"/>
    <n v="2.3128071697022263E-3"/>
  </r>
  <r>
    <n v="2025"/>
    <s v="19120142613    "/>
    <n v="-1.8971199848858813"/>
    <n v="0.15"/>
    <m/>
    <s v="2"/>
    <s v="RES"/>
    <s v="MX"/>
    <s v="11"/>
    <s v="259"/>
    <s v="TD"/>
    <x v="2"/>
    <s v="AV"/>
    <n v="100"/>
    <n v="104"/>
    <n v="58"/>
    <n v="1920"/>
    <n v="1966"/>
    <n v="1280"/>
    <m/>
    <m/>
    <m/>
    <m/>
    <n v="0"/>
    <n v="1280"/>
    <n v="1500"/>
    <s v="B"/>
    <m/>
    <m/>
    <m/>
    <m/>
    <m/>
    <m/>
    <m/>
    <n v="204019"/>
    <n v="126492"/>
    <n v="9043"/>
    <n v="0"/>
    <n v="59900"/>
    <n v="195200"/>
    <n v="255100"/>
    <n v="132535.48800000001"/>
    <n v="88356.992000000013"/>
    <n v="-24898.411657157456"/>
    <n v="-1240.8083630000001"/>
    <n v="17761.121909000001"/>
    <n v="-6306.9838"/>
    <n v="79885.286400000012"/>
    <n v="0"/>
    <n v="0"/>
    <n v="0"/>
    <n v="9000"/>
    <n v="222600"/>
    <n v="63500"/>
    <n v="295100"/>
    <n v="0.15680125441003528"/>
    <n v="0.99970000000000003"/>
    <n v="1.0022"/>
    <n v="0.99680000000000002"/>
    <n v="0.99519999999999997"/>
    <n v="0.98240000000000005"/>
    <n v="0.94971499999999998"/>
    <n v="0.92758655751510066"/>
    <n v="213000"/>
    <n v="8600"/>
    <n v="221600"/>
    <n v="60300"/>
    <n v="281900"/>
    <n v="0.13524590163934427"/>
    <n v="6.6777963272120202E-3"/>
    <n v="0.10505684045472363"/>
  </r>
  <r>
    <n v="2025"/>
    <s v="19120112474    "/>
    <n v="-1.8971199848858813"/>
    <n v="0.15"/>
    <n v="6697"/>
    <s v="2"/>
    <s v="RES"/>
    <s v="MX"/>
    <s v="11"/>
    <s v="259"/>
    <s v="CO"/>
    <x v="5"/>
    <s v="GD"/>
    <n v="10"/>
    <n v="17"/>
    <n v="17"/>
    <n v="2007"/>
    <n v="2007"/>
    <n v="909"/>
    <n v="1085"/>
    <m/>
    <m/>
    <m/>
    <n v="0"/>
    <n v="1994"/>
    <n v="2000"/>
    <s v="N"/>
    <n v="1"/>
    <m/>
    <n v="420"/>
    <m/>
    <m/>
    <m/>
    <m/>
    <n v="404166"/>
    <n v="371833"/>
    <n v="0"/>
    <n v="0"/>
    <n v="59900"/>
    <n v="321600"/>
    <n v="381500"/>
    <n v="132535.48800000001"/>
    <n v="88356.992000000013"/>
    <n v="-24898.411657157456"/>
    <n v="32917.849192000001"/>
    <n v="30300.329274"/>
    <n v="-1848.5987"/>
    <n v="56731.03542"/>
    <n v="64644.715554999995"/>
    <n v="0"/>
    <n v="0"/>
    <n v="0"/>
    <n v="315300"/>
    <n v="63500"/>
    <n v="378800"/>
    <n v="-7.0773263433813894E-3"/>
    <n v="0.99970000000000003"/>
    <n v="1.0019"/>
    <n v="0.997"/>
    <n v="1.0007999999999999"/>
    <n v="0.99080000000000001"/>
    <n v="0.94971499999999998"/>
    <n v="0.94068913278978916"/>
    <n v="307400"/>
    <n v="0"/>
    <n v="307400"/>
    <n v="60300"/>
    <n v="367700"/>
    <n v="-4.4154228855721393E-2"/>
    <n v="6.6777963272120202E-3"/>
    <n v="-3.6173001310615988E-2"/>
  </r>
  <r>
    <n v="2025"/>
    <s v="19120144504    "/>
    <n v="-1.8971199848858813"/>
    <n v="0.15"/>
    <n v="6688"/>
    <s v="2"/>
    <s v="RES"/>
    <s v="MX"/>
    <s v="11"/>
    <s v="259"/>
    <s v="CO"/>
    <x v="5"/>
    <s v="GD"/>
    <n v="20"/>
    <n v="20"/>
    <n v="20"/>
    <n v="2004"/>
    <n v="2004"/>
    <n v="1158"/>
    <n v="1322"/>
    <m/>
    <m/>
    <m/>
    <n v="0"/>
    <n v="2480"/>
    <n v="2500"/>
    <s v="N"/>
    <n v="1"/>
    <m/>
    <n v="502"/>
    <m/>
    <m/>
    <m/>
    <m/>
    <n v="481791"/>
    <n v="438430"/>
    <n v="0"/>
    <n v="0"/>
    <n v="59900"/>
    <n v="350400"/>
    <n v="410300"/>
    <n v="132535.48800000001"/>
    <n v="88356.992000000013"/>
    <n v="-24898.411657157456"/>
    <n v="32917.849192000001"/>
    <n v="30300.329274"/>
    <n v="-2174.8220000000001"/>
    <n v="72271.22004"/>
    <n v="78765.266325999997"/>
    <n v="0"/>
    <n v="0"/>
    <n v="0"/>
    <n v="344600"/>
    <n v="63500"/>
    <n v="408100"/>
    <n v="-5.3619302949061663E-3"/>
    <n v="0.99970000000000003"/>
    <n v="1.0019"/>
    <n v="0.997"/>
    <n v="1.0008999999999999"/>
    <n v="1.0138"/>
    <n v="0.94971499999999998"/>
    <n v="0.96262205657438948"/>
    <n v="339700"/>
    <n v="0"/>
    <n v="339700"/>
    <n v="60300"/>
    <n v="400000"/>
    <n v="-3.0536529680365295E-2"/>
    <n v="6.6777963272120202E-3"/>
    <n v="-2.5103582744333414E-2"/>
  </r>
  <r>
    <n v="2025"/>
    <s v="19120113487    "/>
    <n v="-1.8971199848858813"/>
    <n v="0.15"/>
    <n v="6569"/>
    <s v="2"/>
    <s v="RES"/>
    <s v="MX"/>
    <s v="11"/>
    <s v="259"/>
    <s v="RN"/>
    <x v="4"/>
    <s v="AV"/>
    <n v="10"/>
    <n v="18"/>
    <n v="18"/>
    <n v="2006"/>
    <n v="2006"/>
    <n v="1092"/>
    <m/>
    <m/>
    <m/>
    <m/>
    <n v="0"/>
    <n v="1092"/>
    <n v="1500"/>
    <s v="N"/>
    <m/>
    <n v="440"/>
    <m/>
    <m/>
    <m/>
    <m/>
    <m/>
    <n v="231626"/>
    <n v="210780"/>
    <n v="0"/>
    <n v="0"/>
    <n v="59900"/>
    <n v="266100"/>
    <n v="326000"/>
    <n v="132535.48800000001"/>
    <n v="88356.992000000013"/>
    <n v="-24898.411657157456"/>
    <n v="37154.252388000001"/>
    <n v="17761.121909000001"/>
    <n v="-1957.3398"/>
    <n v="68152.13496000001"/>
    <n v="0"/>
    <n v="0"/>
    <n v="15532.453640000002"/>
    <n v="0"/>
    <n v="269200"/>
    <n v="63500"/>
    <n v="332700"/>
    <n v="2.0552147239263803E-2"/>
    <n v="0.99970000000000003"/>
    <n v="0.99819999999999998"/>
    <n v="0.99680000000000002"/>
    <n v="0.99519999999999997"/>
    <n v="0.99080000000000001"/>
    <n v="0.94971499999999998"/>
    <n v="0.93178401878228145"/>
    <n v="260100"/>
    <n v="0"/>
    <n v="260100"/>
    <n v="60300"/>
    <n v="320400"/>
    <n v="-2.2547914317925591E-2"/>
    <n v="6.6777963272120202E-3"/>
    <n v="-1.7177914110429449E-2"/>
  </r>
  <r>
    <n v="2025"/>
    <s v="20120633474    "/>
    <n v="-1.8971199848858813"/>
    <n v="0.15"/>
    <n v="6475"/>
    <s v="2"/>
    <s v="RES"/>
    <s v="MX"/>
    <s v="11"/>
    <s v="259"/>
    <s v="RN"/>
    <x v="4"/>
    <s v="GD"/>
    <n v="10"/>
    <n v="15"/>
    <n v="15"/>
    <n v="2009"/>
    <n v="2009"/>
    <n v="1420"/>
    <m/>
    <m/>
    <m/>
    <m/>
    <n v="0"/>
    <n v="1420"/>
    <n v="1500"/>
    <s v="N"/>
    <m/>
    <n v="400"/>
    <m/>
    <m/>
    <m/>
    <m/>
    <n v="100"/>
    <n v="280243"/>
    <n v="260626"/>
    <n v="0"/>
    <n v="0"/>
    <n v="59900"/>
    <n v="293700"/>
    <n v="353600"/>
    <n v="132535.48800000001"/>
    <n v="88356.992000000013"/>
    <n v="-24898.411657157456"/>
    <n v="37154.252388000001"/>
    <n v="30300.329274"/>
    <n v="-1631.1165000000001"/>
    <n v="88622.739600000001"/>
    <n v="0"/>
    <n v="0"/>
    <n v="14120.412400000001"/>
    <n v="0"/>
    <n v="301100"/>
    <n v="63500"/>
    <n v="364600"/>
    <n v="3.1108597285067874E-2"/>
    <n v="0.99970000000000003"/>
    <n v="0.99819999999999998"/>
    <n v="0.997"/>
    <n v="0.99519999999999997"/>
    <n v="0.99080000000000001"/>
    <n v="0.94971499999999998"/>
    <n v="0.93197097384222971"/>
    <n v="292100"/>
    <n v="0"/>
    <n v="292100"/>
    <n v="60300"/>
    <n v="352400"/>
    <n v="-5.4477357848144361E-3"/>
    <n v="6.6777963272120202E-3"/>
    <n v="-3.3936651583710408E-3"/>
  </r>
  <r>
    <n v="2025"/>
    <s v="19120113451    "/>
    <n v="-1.8971199848858813"/>
    <n v="0.15"/>
    <n v="6701"/>
    <s v="2"/>
    <s v="RES"/>
    <s v="MX"/>
    <s v="11"/>
    <s v="259"/>
    <s v="RN"/>
    <x v="4"/>
    <s v="VG"/>
    <n v="10"/>
    <n v="18"/>
    <n v="18"/>
    <n v="2006"/>
    <n v="2006"/>
    <n v="1076"/>
    <m/>
    <m/>
    <m/>
    <m/>
    <n v="0"/>
    <n v="1076"/>
    <n v="1500"/>
    <s v="N"/>
    <m/>
    <n v="440"/>
    <m/>
    <m/>
    <m/>
    <m/>
    <m/>
    <n v="242018"/>
    <n v="222657"/>
    <n v="0"/>
    <n v="0"/>
    <n v="59900"/>
    <n v="290100"/>
    <n v="350000"/>
    <n v="132535.48800000001"/>
    <n v="88356.992000000013"/>
    <n v="-24898.411657157456"/>
    <n v="37154.252388000001"/>
    <n v="50438.379078999998"/>
    <n v="-1957.3398"/>
    <n v="67153.568880000006"/>
    <n v="0"/>
    <n v="0"/>
    <n v="15532.453640000002"/>
    <n v="0"/>
    <n v="300900"/>
    <n v="63500"/>
    <n v="364400"/>
    <n v="4.1142857142857141E-2"/>
    <n v="0.99970000000000003"/>
    <n v="0.99819999999999998"/>
    <n v="1.0007999999999999"/>
    <n v="0.99519999999999997"/>
    <n v="0.99080000000000001"/>
    <n v="0.94971499999999998"/>
    <n v="0.93552311998124726"/>
    <n v="292300"/>
    <n v="0"/>
    <n v="292300"/>
    <n v="60300"/>
    <n v="352600"/>
    <n v="7.5835918648741816E-3"/>
    <n v="6.6777963272120202E-3"/>
    <n v="7.4285714285714285E-3"/>
  </r>
  <r>
    <n v="2025"/>
    <s v="20120633475    "/>
    <n v="-1.8971199848858813"/>
    <n v="0.15"/>
    <n v="6545"/>
    <s v="2"/>
    <s v="RES"/>
    <s v="MX"/>
    <s v="11"/>
    <s v="259"/>
    <s v="RN"/>
    <x v="5"/>
    <s v="VG"/>
    <n v="10"/>
    <n v="15"/>
    <n v="15"/>
    <n v="2009"/>
    <n v="2009"/>
    <n v="1737"/>
    <m/>
    <m/>
    <m/>
    <m/>
    <n v="0"/>
    <n v="1737"/>
    <n v="2000"/>
    <s v="N"/>
    <m/>
    <n v="435"/>
    <m/>
    <m/>
    <m/>
    <m/>
    <m/>
    <n v="388091"/>
    <n v="364806"/>
    <n v="0"/>
    <n v="0"/>
    <n v="59900"/>
    <n v="324900"/>
    <n v="384800"/>
    <n v="132535.48800000001"/>
    <n v="88356.992000000013"/>
    <n v="-24898.411657157456"/>
    <n v="32917.849192000001"/>
    <n v="50438.379078999998"/>
    <n v="-1631.1165000000001"/>
    <n v="108406.83006000001"/>
    <n v="0"/>
    <n v="0"/>
    <n v="15355.948485000001"/>
    <n v="0"/>
    <n v="338000"/>
    <n v="63500"/>
    <n v="401500"/>
    <n v="4.3399168399168402E-2"/>
    <n v="0.99970000000000003"/>
    <n v="1.0019"/>
    <n v="1.0007999999999999"/>
    <n v="1.0007999999999999"/>
    <n v="0.99080000000000001"/>
    <n v="0.94971499999999998"/>
    <n v="0.94427450761887755"/>
    <n v="330600"/>
    <n v="0"/>
    <n v="330600"/>
    <n v="60300"/>
    <n v="390900"/>
    <n v="1.7543859649122806E-2"/>
    <n v="6.6777963272120202E-3"/>
    <n v="1.5852390852390853E-2"/>
  </r>
  <r>
    <n v="2025"/>
    <s v="19120112408    "/>
    <n v="-1.8971199848858813"/>
    <n v="0.15"/>
    <n v="6705"/>
    <s v="2"/>
    <s v="RES"/>
    <s v="MX"/>
    <s v="11"/>
    <s v="259"/>
    <s v="RN"/>
    <x v="4"/>
    <s v="VG"/>
    <n v="10"/>
    <n v="18"/>
    <n v="18"/>
    <n v="2006"/>
    <n v="2006"/>
    <n v="1386"/>
    <m/>
    <m/>
    <m/>
    <m/>
    <n v="0"/>
    <n v="1386"/>
    <n v="1500"/>
    <s v="N"/>
    <m/>
    <n v="422"/>
    <m/>
    <m/>
    <m/>
    <m/>
    <m/>
    <n v="280599"/>
    <n v="258151"/>
    <n v="0"/>
    <n v="0"/>
    <n v="59900"/>
    <n v="305500"/>
    <n v="365400"/>
    <n v="132535.48800000001"/>
    <n v="88356.992000000013"/>
    <n v="-24898.411657157456"/>
    <n v="37154.252388000001"/>
    <n v="50438.379078999998"/>
    <n v="-1957.3398"/>
    <n v="86500.786680000005"/>
    <n v="0"/>
    <n v="0"/>
    <n v="14897.035082"/>
    <n v="0"/>
    <n v="319600"/>
    <n v="63500"/>
    <n v="383100"/>
    <n v="4.8440065681444995E-2"/>
    <n v="0.99970000000000003"/>
    <n v="0.99819999999999998"/>
    <n v="1.0007999999999999"/>
    <n v="0.99519999999999997"/>
    <n v="0.99080000000000001"/>
    <n v="0.94971499999999998"/>
    <n v="0.93552311998124726"/>
    <n v="311000"/>
    <n v="0"/>
    <n v="311000"/>
    <n v="60300"/>
    <n v="371300"/>
    <n v="1.8003273322422259E-2"/>
    <n v="6.6777963272120202E-3"/>
    <n v="1.6146688560481664E-2"/>
  </r>
  <r>
    <n v="2025"/>
    <s v="19120144505    "/>
    <n v="-1.8971199848858813"/>
    <n v="0.15"/>
    <n v="6688"/>
    <s v="2"/>
    <s v="RES"/>
    <s v="MX"/>
    <s v="11"/>
    <s v="259"/>
    <s v="RN"/>
    <x v="4"/>
    <s v="VG"/>
    <n v="20"/>
    <n v="20"/>
    <n v="20"/>
    <n v="2004"/>
    <n v="2004"/>
    <n v="1690"/>
    <m/>
    <m/>
    <m/>
    <m/>
    <n v="0"/>
    <n v="1690"/>
    <n v="2000"/>
    <s v="N"/>
    <m/>
    <n v="466"/>
    <m/>
    <m/>
    <m/>
    <m/>
    <m/>
    <n v="330383"/>
    <n v="303952"/>
    <n v="0"/>
    <n v="0"/>
    <n v="59900"/>
    <n v="324900"/>
    <n v="384800"/>
    <n v="132535.48800000001"/>
    <n v="88356.992000000013"/>
    <n v="-24898.411657157456"/>
    <n v="37154.252388000001"/>
    <n v="50438.379078999998"/>
    <n v="-2174.8220000000001"/>
    <n v="105473.54220000001"/>
    <n v="0"/>
    <n v="0"/>
    <n v="16450.280446000001"/>
    <n v="0"/>
    <n v="339900"/>
    <n v="63500"/>
    <n v="403400"/>
    <n v="4.8336798336798339E-2"/>
    <n v="0.99970000000000003"/>
    <n v="0.99819999999999998"/>
    <n v="1.0007999999999999"/>
    <n v="1.0007999999999999"/>
    <n v="1.0138"/>
    <n v="0.94971499999999998"/>
    <n v="0.96262634495823995"/>
    <n v="334900"/>
    <n v="0"/>
    <n v="334900"/>
    <n v="60300"/>
    <n v="395200"/>
    <n v="3.0778701138811943E-2"/>
    <n v="6.6777963272120202E-3"/>
    <n v="2.7027027027027029E-2"/>
  </r>
  <r>
    <n v="2025"/>
    <s v="19120143002    "/>
    <n v="-1.8971199848858813"/>
    <n v="0.15"/>
    <n v="6747"/>
    <s v="2"/>
    <s v="RES"/>
    <s v="MX"/>
    <s v="11"/>
    <s v="259"/>
    <s v="RN"/>
    <x v="2"/>
    <s v="AV"/>
    <n v="100"/>
    <n v="109"/>
    <n v="51"/>
    <n v="1915"/>
    <n v="1973"/>
    <n v="1200"/>
    <m/>
    <m/>
    <m/>
    <m/>
    <n v="0"/>
    <n v="1200"/>
    <n v="1500"/>
    <s v="N"/>
    <m/>
    <n v="714"/>
    <m/>
    <m/>
    <m/>
    <m/>
    <m/>
    <n v="202771"/>
    <n v="139912"/>
    <n v="0"/>
    <n v="0"/>
    <n v="59900"/>
    <n v="220300"/>
    <n v="280200"/>
    <n v="132535.48800000001"/>
    <n v="88356.992000000013"/>
    <n v="-24898.411657157456"/>
    <n v="-1240.8083630000001"/>
    <n v="17761.121909000001"/>
    <n v="-5545.7961000000005"/>
    <n v="74892.456000000006"/>
    <n v="0"/>
    <n v="0"/>
    <n v="25204.936134"/>
    <n v="0"/>
    <n v="243600"/>
    <n v="63500"/>
    <n v="307100"/>
    <n v="9.60028551034975E-2"/>
    <n v="0.99970000000000003"/>
    <n v="1.0022"/>
    <n v="0.99680000000000002"/>
    <n v="0.99519999999999997"/>
    <n v="0.98240000000000005"/>
    <n v="0.94971499999999998"/>
    <n v="0.92758655751510066"/>
    <n v="234000"/>
    <n v="0"/>
    <n v="234000"/>
    <n v="60300"/>
    <n v="294300"/>
    <n v="6.2187925556059918E-2"/>
    <n v="6.6777963272120202E-3"/>
    <n v="5.0321199143468949E-2"/>
  </r>
  <r>
    <n v="2025"/>
    <s v="19120131494    "/>
    <n v="-1.8971199848858813"/>
    <n v="0.15"/>
    <n v="6396"/>
    <s v="2"/>
    <s v="RES"/>
    <s v="MX"/>
    <s v="11"/>
    <s v="259"/>
    <s v="RN"/>
    <x v="2"/>
    <s v="GD"/>
    <n v="50"/>
    <n v="50"/>
    <n v="45"/>
    <n v="1974"/>
    <n v="1979"/>
    <n v="1344"/>
    <m/>
    <m/>
    <m/>
    <m/>
    <n v="0"/>
    <n v="1344"/>
    <n v="1500"/>
    <s v="N"/>
    <m/>
    <m/>
    <m/>
    <m/>
    <m/>
    <m/>
    <m/>
    <n v="189444"/>
    <n v="147766"/>
    <n v="0"/>
    <n v="0"/>
    <n v="59900"/>
    <n v="212200"/>
    <n v="272100"/>
    <n v="132535.48800000001"/>
    <n v="88356.992000000013"/>
    <n v="-24898.411657157456"/>
    <n v="-1240.8083630000001"/>
    <n v="30300.329274"/>
    <n v="-4893.3495000000003"/>
    <n v="83879.550719999999"/>
    <n v="0"/>
    <n v="0"/>
    <n v="0"/>
    <n v="0"/>
    <n v="240600"/>
    <n v="63500"/>
    <n v="304100"/>
    <n v="0.11760382212421903"/>
    <n v="0.99970000000000003"/>
    <n v="1.0022"/>
    <n v="0.997"/>
    <n v="0.99519999999999997"/>
    <n v="1.0470999999999999"/>
    <n v="0.94971499999999998"/>
    <n v="0.98887496250311624"/>
    <n v="239100"/>
    <n v="0"/>
    <n v="239100"/>
    <n v="60300"/>
    <n v="299400"/>
    <n v="0.12676720075400566"/>
    <n v="6.6777963272120202E-3"/>
    <n v="0.10033076074972437"/>
  </r>
  <r>
    <n v="2025"/>
    <s v="19120142488    "/>
    <n v="-1.8971199848858813"/>
    <n v="0.15"/>
    <n v="6378"/>
    <s v="2"/>
    <s v="RES"/>
    <s v="MX"/>
    <s v="11"/>
    <s v="259"/>
    <s v="CC"/>
    <x v="2"/>
    <s v="AV"/>
    <n v="90"/>
    <n v="99"/>
    <n v="56"/>
    <n v="1925"/>
    <n v="1968"/>
    <n v="1498"/>
    <n v="512"/>
    <m/>
    <m/>
    <m/>
    <n v="0"/>
    <n v="2010"/>
    <n v="2500"/>
    <s v="N"/>
    <m/>
    <m/>
    <m/>
    <m/>
    <m/>
    <m/>
    <m/>
    <n v="274416"/>
    <n v="175626"/>
    <n v="20333"/>
    <n v="0"/>
    <n v="59900"/>
    <n v="242000"/>
    <n v="301900"/>
    <n v="132535.48800000001"/>
    <n v="88356.992000000013"/>
    <n v="-24898.411657157456"/>
    <n v="-1240.8083630000001"/>
    <n v="17761.121909000001"/>
    <n v="-6089.5016000000005"/>
    <n v="93490.749240000005"/>
    <n v="30505.156095999999"/>
    <n v="0"/>
    <n v="0"/>
    <n v="20300"/>
    <n v="267000"/>
    <n v="63500"/>
    <n v="350800"/>
    <n v="0.16197416363034117"/>
    <n v="0.99970000000000003"/>
    <n v="1.0022"/>
    <n v="0.99680000000000002"/>
    <n v="1.0008999999999999"/>
    <n v="0.99960000000000004"/>
    <n v="0.94971499999999998"/>
    <n v="0.94923263675280745"/>
    <n v="260200"/>
    <n v="19300"/>
    <n v="279500"/>
    <n v="60300"/>
    <n v="339800"/>
    <n v="0.15495867768595042"/>
    <n v="6.6777963272120202E-3"/>
    <n v="0.12553825770122556"/>
  </r>
  <r>
    <n v="2025"/>
    <s v="19120141013    "/>
    <n v="-1.8971199848858813"/>
    <n v="0.15"/>
    <m/>
    <s v="2"/>
    <s v="RES"/>
    <s v="MX"/>
    <s v="11"/>
    <s v="259"/>
    <s v="TD"/>
    <x v="3"/>
    <s v="AV"/>
    <n v="100"/>
    <n v="104"/>
    <n v="58"/>
    <n v="1920"/>
    <n v="1966"/>
    <n v="912"/>
    <m/>
    <m/>
    <m/>
    <m/>
    <n v="0"/>
    <n v="912"/>
    <n v="1000"/>
    <s v="N"/>
    <m/>
    <m/>
    <m/>
    <m/>
    <m/>
    <m/>
    <m/>
    <n v="120416"/>
    <n v="74658"/>
    <n v="6112"/>
    <n v="0"/>
    <n v="59900"/>
    <n v="147700"/>
    <n v="207600"/>
    <n v="132535.48800000001"/>
    <n v="88356.992000000013"/>
    <n v="-24898.411657157456"/>
    <n v="-9114.1675108666695"/>
    <n v="17761.121909000001"/>
    <n v="-6306.9838"/>
    <n v="56918.266560000004"/>
    <n v="0"/>
    <n v="0"/>
    <n v="0"/>
    <n v="6100"/>
    <n v="191800"/>
    <n v="63500"/>
    <n v="261400"/>
    <n v="0.25915221579961462"/>
    <n v="0.99970000000000003"/>
    <n v="1"/>
    <n v="0.99680000000000002"/>
    <n v="1"/>
    <n v="0.98240000000000005"/>
    <n v="0.94971499999999998"/>
    <n v="0.93001441594880008"/>
    <n v="182500"/>
    <n v="5800"/>
    <n v="188300"/>
    <n v="60300"/>
    <n v="248600"/>
    <n v="0.27488151658767773"/>
    <n v="6.6777963272120202E-3"/>
    <n v="0.19749518304431599"/>
  </r>
  <r>
    <n v="2025"/>
    <s v="20120634498    "/>
    <n v="-1.870802676568508"/>
    <n v="0.154"/>
    <n v="6700"/>
    <s v="2"/>
    <s v="RES"/>
    <s v="MX"/>
    <s v="11"/>
    <s v="259"/>
    <s v="CP"/>
    <x v="4"/>
    <s v="VG"/>
    <n v="0"/>
    <n v="5"/>
    <n v="5"/>
    <n v="2019"/>
    <n v="2019"/>
    <n v="1529"/>
    <m/>
    <m/>
    <m/>
    <m/>
    <n v="0"/>
    <n v="1529"/>
    <n v="2000"/>
    <s v="N"/>
    <m/>
    <n v="441"/>
    <m/>
    <m/>
    <m/>
    <m/>
    <m/>
    <n v="304233"/>
    <n v="292064"/>
    <n v="0"/>
    <n v="0"/>
    <n v="59900"/>
    <n v="321600"/>
    <n v="381500"/>
    <n v="132535.48800000001"/>
    <n v="88356.992000000013"/>
    <n v="-24553.014854944278"/>
    <n v="37154.252388000001"/>
    <n v="50438.379078999998"/>
    <n v="-543.70550000000003"/>
    <n v="95425.471020000012"/>
    <n v="0"/>
    <n v="0"/>
    <n v="15567.754671000001"/>
    <n v="0"/>
    <n v="330600"/>
    <n v="63800"/>
    <n v="394400"/>
    <n v="3.3813892529488861E-2"/>
    <n v="0.99970000000000003"/>
    <n v="0.99819999999999998"/>
    <n v="1.0007999999999999"/>
    <n v="1.0007999999999999"/>
    <n v="1.0022"/>
    <n v="0.94971499999999998"/>
    <n v="0.95161187898712574"/>
    <n v="324200"/>
    <n v="0"/>
    <n v="324200"/>
    <n v="60600"/>
    <n v="384800"/>
    <n v="8.0845771144278603E-3"/>
    <n v="1.1686143572621035E-2"/>
    <n v="8.6500655307994757E-3"/>
  </r>
  <r>
    <n v="2025"/>
    <s v="20120634496    "/>
    <n v="-1.870802676568508"/>
    <n v="0.154"/>
    <n v="6708"/>
    <s v="2"/>
    <s v="RES"/>
    <s v="MX"/>
    <s v="11"/>
    <s v="259"/>
    <s v="CP"/>
    <x v="4"/>
    <s v="VG"/>
    <n v="0"/>
    <n v="5"/>
    <n v="5"/>
    <n v="2019"/>
    <n v="2019"/>
    <n v="1529"/>
    <m/>
    <m/>
    <m/>
    <m/>
    <n v="0"/>
    <n v="1529"/>
    <n v="2000"/>
    <s v="N"/>
    <m/>
    <n v="441"/>
    <m/>
    <m/>
    <m/>
    <m/>
    <m/>
    <n v="306562"/>
    <n v="294300"/>
    <n v="0"/>
    <n v="0"/>
    <n v="59900"/>
    <n v="321600"/>
    <n v="381500"/>
    <n v="132535.48800000001"/>
    <n v="88356.992000000013"/>
    <n v="-24553.014854944278"/>
    <n v="37154.252388000001"/>
    <n v="50438.379078999998"/>
    <n v="-543.70550000000003"/>
    <n v="95425.471020000012"/>
    <n v="0"/>
    <n v="0"/>
    <n v="15567.754671000001"/>
    <n v="0"/>
    <n v="330600"/>
    <n v="63800"/>
    <n v="394400"/>
    <n v="3.3813892529488861E-2"/>
    <n v="0.99970000000000003"/>
    <n v="0.99819999999999998"/>
    <n v="1.0007999999999999"/>
    <n v="1.0007999999999999"/>
    <n v="1.0022"/>
    <n v="0.94971499999999998"/>
    <n v="0.95161187898712574"/>
    <n v="324200"/>
    <n v="0"/>
    <n v="324200"/>
    <n v="60600"/>
    <n v="384800"/>
    <n v="8.0845771144278603E-3"/>
    <n v="1.1686143572621035E-2"/>
    <n v="8.6500655307994757E-3"/>
  </r>
  <r>
    <n v="2025"/>
    <s v="20120634500    "/>
    <n v="-1.870802676568508"/>
    <n v="0.154"/>
    <n v="6700"/>
    <s v="2"/>
    <s v="RES"/>
    <s v="MX"/>
    <s v="11"/>
    <s v="259"/>
    <s v="CP"/>
    <x v="4"/>
    <s v="VG"/>
    <n v="0"/>
    <n v="5"/>
    <n v="5"/>
    <n v="2019"/>
    <n v="2019"/>
    <n v="1550"/>
    <m/>
    <m/>
    <m/>
    <m/>
    <n v="0"/>
    <n v="1550"/>
    <n v="2000"/>
    <s v="N"/>
    <m/>
    <n v="420"/>
    <m/>
    <m/>
    <m/>
    <m/>
    <m/>
    <n v="303583"/>
    <n v="291440"/>
    <n v="0"/>
    <n v="0"/>
    <n v="59900"/>
    <n v="320600"/>
    <n v="380500"/>
    <n v="132535.48800000001"/>
    <n v="88356.992000000013"/>
    <n v="-24553.014854944278"/>
    <n v="37154.252388000001"/>
    <n v="50438.379078999998"/>
    <n v="-543.70550000000003"/>
    <n v="96736.089000000007"/>
    <n v="0"/>
    <n v="0"/>
    <n v="14826.43302"/>
    <n v="0"/>
    <n v="331100"/>
    <n v="63800"/>
    <n v="394900"/>
    <n v="3.7844940867279894E-2"/>
    <n v="0.99970000000000003"/>
    <n v="0.99819999999999998"/>
    <n v="1.0007999999999999"/>
    <n v="1.0007999999999999"/>
    <n v="1.0022"/>
    <n v="0.94971499999999998"/>
    <n v="0.95161187898712574"/>
    <n v="324700"/>
    <n v="0"/>
    <n v="324700"/>
    <n v="60600"/>
    <n v="385300"/>
    <n v="1.2788521522145976E-2"/>
    <n v="1.1686143572621035E-2"/>
    <n v="1.2614980289093298E-2"/>
  </r>
  <r>
    <n v="2025"/>
    <s v="20120634501    "/>
    <n v="-1.8451602459551701"/>
    <n v="0.158"/>
    <n v="6865"/>
    <s v="2"/>
    <s v="RES"/>
    <s v="MX"/>
    <s v="11"/>
    <s v="259"/>
    <s v="CP"/>
    <x v="4"/>
    <s v="AV"/>
    <n v="0"/>
    <n v="4"/>
    <n v="4"/>
    <n v="2020"/>
    <n v="2020"/>
    <n v="1560"/>
    <m/>
    <m/>
    <m/>
    <m/>
    <n v="0"/>
    <n v="1560"/>
    <n v="2000"/>
    <s v="N"/>
    <n v="1"/>
    <n v="420"/>
    <m/>
    <m/>
    <m/>
    <m/>
    <m/>
    <n v="317604"/>
    <n v="304900"/>
    <n v="0"/>
    <n v="0"/>
    <n v="60800"/>
    <n v="324800"/>
    <n v="385600"/>
    <n v="132535.48800000001"/>
    <n v="88356.992000000013"/>
    <n v="-24216.475364354603"/>
    <n v="37154.252388000001"/>
    <n v="17761.121909000001"/>
    <n v="-434.96440000000001"/>
    <n v="97360.192800000004"/>
    <n v="0"/>
    <n v="0"/>
    <n v="14826.43302"/>
    <n v="0"/>
    <n v="299200"/>
    <n v="64100"/>
    <n v="363300"/>
    <n v="-5.7831950207468882E-2"/>
    <n v="0.99970000000000003"/>
    <n v="0.99819999999999998"/>
    <n v="0.99680000000000002"/>
    <n v="1.0007999999999999"/>
    <n v="1.0022"/>
    <n v="0.94971499999999998"/>
    <n v="0.94780847419501102"/>
    <n v="292300"/>
    <n v="0"/>
    <n v="292300"/>
    <n v="60900"/>
    <n v="353200"/>
    <n v="-0.1000615763546798"/>
    <n v="1.6447368421052631E-3"/>
    <n v="-8.4024896265560173E-2"/>
  </r>
  <r>
    <n v="2025"/>
    <s v="19120112415    "/>
    <n v="-1.8325814637483102"/>
    <n v="0.16"/>
    <n v="7000"/>
    <s v="2"/>
    <s v="RES"/>
    <s v="MX"/>
    <s v="11"/>
    <s v="259"/>
    <s v="CO"/>
    <x v="6"/>
    <s v="VG"/>
    <n v="10"/>
    <n v="17"/>
    <n v="17"/>
    <n v="2007"/>
    <n v="2007"/>
    <n v="1158"/>
    <n v="1318"/>
    <m/>
    <m/>
    <m/>
    <n v="0"/>
    <n v="2476"/>
    <n v="2500"/>
    <s v="S"/>
    <n v="1"/>
    <n v="300"/>
    <n v="502"/>
    <m/>
    <m/>
    <m/>
    <m/>
    <n v="591420"/>
    <n v="555935"/>
    <n v="0"/>
    <n v="0"/>
    <n v="60800"/>
    <n v="448500"/>
    <n v="509300"/>
    <n v="132535.48800000001"/>
    <n v="88356.992000000013"/>
    <n v="-24051.387388882686"/>
    <n v="39366.494398000003"/>
    <n v="50438.379078999998"/>
    <n v="-1848.5987"/>
    <n v="72271.22004"/>
    <n v="78526.944793999995"/>
    <n v="0"/>
    <n v="10590.309300000001"/>
    <n v="0"/>
    <n v="381900"/>
    <n v="64300"/>
    <n v="446200"/>
    <n v="-0.12389554290202238"/>
    <n v="0.99970000000000003"/>
    <n v="0.99980000000000002"/>
    <n v="1.0007999999999999"/>
    <n v="1.0008999999999999"/>
    <n v="0.99080000000000001"/>
    <n v="0.94971499999999998"/>
    <n v="0.9423894458689952"/>
    <n v="374200"/>
    <n v="0"/>
    <n v="374200"/>
    <n v="61100"/>
    <n v="435300"/>
    <n v="-0.16566332218506133"/>
    <n v="4.9342105263157892E-3"/>
    <n v="-0.14529746711172198"/>
  </r>
  <r>
    <n v="2025"/>
    <s v="19120112464    "/>
    <n v="-1.8325814637483102"/>
    <n v="0.16"/>
    <n v="7000"/>
    <s v="2"/>
    <s v="RES"/>
    <s v="MX"/>
    <s v="11"/>
    <s v="259"/>
    <s v="CO"/>
    <x v="5"/>
    <s v="GD"/>
    <n v="10"/>
    <n v="17"/>
    <n v="17"/>
    <n v="2007"/>
    <n v="2007"/>
    <n v="1158"/>
    <n v="1318"/>
    <m/>
    <m/>
    <m/>
    <n v="0"/>
    <n v="2476"/>
    <n v="2500"/>
    <s v="S"/>
    <n v="1"/>
    <n v="300"/>
    <n v="502"/>
    <m/>
    <m/>
    <m/>
    <m/>
    <n v="530530"/>
    <n v="488088"/>
    <n v="0"/>
    <n v="0"/>
    <n v="60800"/>
    <n v="404500"/>
    <n v="465300"/>
    <n v="132535.48800000001"/>
    <n v="88356.992000000013"/>
    <n v="-24051.387388882686"/>
    <n v="32917.849192000001"/>
    <n v="30300.329274"/>
    <n v="-1848.5987"/>
    <n v="72271.22004"/>
    <n v="78526.944793999995"/>
    <n v="0"/>
    <n v="10590.309300000001"/>
    <n v="0"/>
    <n v="355300"/>
    <n v="64300"/>
    <n v="419600"/>
    <n v="-9.8216204599183329E-2"/>
    <n v="0.99970000000000003"/>
    <n v="1.0019"/>
    <n v="0.997"/>
    <n v="1.0008999999999999"/>
    <n v="0.99080000000000001"/>
    <n v="0.94971499999999998"/>
    <n v="0.94078312650809337"/>
    <n v="347400"/>
    <n v="0"/>
    <n v="347400"/>
    <n v="61100"/>
    <n v="408500"/>
    <n v="-0.1411619283065513"/>
    <n v="4.9342105263157892E-3"/>
    <n v="-0.12207178164624972"/>
  </r>
  <r>
    <n v="2025"/>
    <s v="19120113513    "/>
    <n v="-1.8325814637483102"/>
    <n v="0.16"/>
    <n v="7079"/>
    <s v="2"/>
    <s v="RES"/>
    <s v="MX"/>
    <s v="11"/>
    <s v="259"/>
    <s v="CO"/>
    <x v="5"/>
    <s v="GD"/>
    <n v="10"/>
    <n v="18"/>
    <n v="18"/>
    <n v="2006"/>
    <n v="2006"/>
    <n v="1158"/>
    <n v="1332"/>
    <m/>
    <m/>
    <m/>
    <n v="0"/>
    <n v="2490"/>
    <n v="2500"/>
    <s v="S"/>
    <m/>
    <m/>
    <n v="502"/>
    <m/>
    <m/>
    <m/>
    <m/>
    <n v="494693"/>
    <n v="450171"/>
    <n v="0"/>
    <n v="0"/>
    <n v="60800"/>
    <n v="377300"/>
    <n v="438100"/>
    <n v="132535.48800000001"/>
    <n v="88356.992000000013"/>
    <n v="-24051.387388882686"/>
    <n v="32917.849192000001"/>
    <n v="30300.329274"/>
    <n v="-1957.3398"/>
    <n v="72271.22004"/>
    <n v="79361.070156000002"/>
    <n v="0"/>
    <n v="0"/>
    <n v="0"/>
    <n v="345400"/>
    <n v="64300"/>
    <n v="409700"/>
    <n v="-6.4825382332800732E-2"/>
    <n v="0.99970000000000003"/>
    <n v="1.0019"/>
    <n v="0.997"/>
    <n v="1.0008999999999999"/>
    <n v="0.99080000000000001"/>
    <n v="0.94971499999999998"/>
    <n v="0.94078312650809337"/>
    <n v="337600"/>
    <n v="0"/>
    <n v="337600"/>
    <n v="61100"/>
    <n v="398700"/>
    <n v="-0.10522130930294196"/>
    <n v="4.9342105263157892E-3"/>
    <n v="-8.9933805067336225E-2"/>
  </r>
  <r>
    <n v="2025"/>
    <s v="19120112416    "/>
    <n v="-1.8325814637483102"/>
    <n v="0.16"/>
    <n v="7000"/>
    <s v="2"/>
    <s v="RES"/>
    <s v="MX"/>
    <s v="11"/>
    <s v="259"/>
    <s v="CO"/>
    <x v="6"/>
    <s v="GD"/>
    <n v="10"/>
    <n v="18"/>
    <n v="18"/>
    <n v="2006"/>
    <n v="2006"/>
    <n v="1374"/>
    <n v="1318"/>
    <m/>
    <m/>
    <m/>
    <n v="0"/>
    <n v="2692"/>
    <n v="3000"/>
    <s v="S"/>
    <m/>
    <n v="240"/>
    <n v="502"/>
    <m/>
    <m/>
    <m/>
    <m/>
    <n v="587303"/>
    <n v="546192"/>
    <n v="0"/>
    <n v="0"/>
    <n v="60800"/>
    <n v="401500"/>
    <n v="462300"/>
    <n v="132535.48800000001"/>
    <n v="88356.992000000013"/>
    <n v="-24051.387388882686"/>
    <n v="39366.494398000003"/>
    <n v="30300.329274"/>
    <n v="-1957.3398"/>
    <n v="85751.862120000005"/>
    <n v="78526.944793999995"/>
    <n v="0"/>
    <n v="8472.247440000001"/>
    <n v="0"/>
    <n v="373000"/>
    <n v="64300"/>
    <n v="437300"/>
    <n v="-5.4077438892494049E-2"/>
    <n v="0.99970000000000003"/>
    <n v="0.99980000000000002"/>
    <n v="0.997"/>
    <n v="1.0099"/>
    <n v="0.99080000000000001"/>
    <n v="0.94971499999999998"/>
    <n v="0.94725293207231531"/>
    <n v="366000"/>
    <n v="0"/>
    <n v="366000"/>
    <n v="61100"/>
    <n v="427100"/>
    <n v="-8.8418430884184315E-2"/>
    <n v="4.9342105263157892E-3"/>
    <n v="-7.6141033960631627E-2"/>
  </r>
  <r>
    <n v="2025"/>
    <s v="19120112433    "/>
    <n v="-1.8325814637483102"/>
    <n v="0.16"/>
    <n v="6989"/>
    <s v="2"/>
    <s v="RES"/>
    <s v="MX"/>
    <s v="11"/>
    <s v="259"/>
    <s v="CO"/>
    <x v="6"/>
    <s v="VG"/>
    <n v="10"/>
    <n v="17"/>
    <n v="17"/>
    <n v="2007"/>
    <n v="2007"/>
    <n v="1374"/>
    <n v="1344"/>
    <m/>
    <m/>
    <m/>
    <n v="0"/>
    <n v="2718"/>
    <n v="3000"/>
    <s v="S"/>
    <m/>
    <n v="240"/>
    <n v="502"/>
    <m/>
    <m/>
    <m/>
    <m/>
    <n v="595165"/>
    <n v="559455"/>
    <n v="0"/>
    <n v="0"/>
    <n v="60800"/>
    <n v="419200"/>
    <n v="480000"/>
    <n v="132535.48800000001"/>
    <n v="88356.992000000013"/>
    <n v="-24051.387388882686"/>
    <n v="39366.494398000003"/>
    <n v="50438.379078999998"/>
    <n v="-1848.5987"/>
    <n v="85751.862120000005"/>
    <n v="80076.034751999992"/>
    <n v="0"/>
    <n v="8472.247440000001"/>
    <n v="0"/>
    <n v="394800"/>
    <n v="64300"/>
    <n v="459100"/>
    <n v="-4.3541666666666666E-2"/>
    <n v="0.99970000000000003"/>
    <n v="0.99980000000000002"/>
    <n v="1.0007999999999999"/>
    <n v="1.0099"/>
    <n v="0.99080000000000001"/>
    <n v="0.94971499999999998"/>
    <n v="0.95086332439114651"/>
    <n v="388300"/>
    <n v="0"/>
    <n v="388300"/>
    <n v="61100"/>
    <n v="449400"/>
    <n v="-7.3711832061068697E-2"/>
    <n v="4.9342105263157892E-3"/>
    <n v="-6.3750000000000001E-2"/>
  </r>
  <r>
    <n v="2025"/>
    <s v="19120141460    "/>
    <n v="-1.8325814637483102"/>
    <n v="0.16"/>
    <n v="6992"/>
    <s v="2"/>
    <s v="RES"/>
    <s v="MX"/>
    <s v="11"/>
    <s v="259"/>
    <s v="CO"/>
    <x v="5"/>
    <s v="AV"/>
    <n v="10"/>
    <n v="19"/>
    <n v="19"/>
    <n v="2005"/>
    <n v="2005"/>
    <n v="1158"/>
    <n v="1322"/>
    <m/>
    <m/>
    <m/>
    <n v="0"/>
    <n v="2480"/>
    <n v="2500"/>
    <s v="S"/>
    <n v="1"/>
    <n v="300"/>
    <n v="502"/>
    <m/>
    <m/>
    <m/>
    <m/>
    <n v="505154"/>
    <n v="454639"/>
    <n v="0"/>
    <n v="0"/>
    <n v="60800"/>
    <n v="352500"/>
    <n v="413300"/>
    <n v="132535.48800000001"/>
    <n v="88356.992000000013"/>
    <n v="-24051.387388882686"/>
    <n v="32917.849192000001"/>
    <n v="17761.121909000001"/>
    <n v="-2066.0808999999999"/>
    <n v="72271.22004"/>
    <n v="78765.266325999997"/>
    <n v="0"/>
    <n v="10590.309300000001"/>
    <n v="0"/>
    <n v="342800"/>
    <n v="64300"/>
    <n v="407100"/>
    <n v="-1.5001209774981853E-2"/>
    <n v="0.99970000000000003"/>
    <n v="1.0019"/>
    <n v="0.99680000000000002"/>
    <n v="1.0008999999999999"/>
    <n v="0.99080000000000001"/>
    <n v="0.94971499999999998"/>
    <n v="0.94059440371441083"/>
    <n v="334900"/>
    <n v="0"/>
    <n v="334900"/>
    <n v="61100"/>
    <n v="396000"/>
    <n v="-4.9929078014184398E-2"/>
    <n v="4.9342105263157892E-3"/>
    <n v="-4.1858214372126785E-2"/>
  </r>
  <r>
    <n v="2025"/>
    <s v="19120113506    "/>
    <n v="-1.8325814637483102"/>
    <n v="0.16"/>
    <n v="6799"/>
    <s v="2"/>
    <s v="RES"/>
    <s v="MX"/>
    <s v="11"/>
    <s v="259"/>
    <s v="CO"/>
    <x v="5"/>
    <s v="GD"/>
    <n v="10"/>
    <n v="18"/>
    <n v="18"/>
    <n v="2006"/>
    <n v="2006"/>
    <n v="1158"/>
    <n v="1332"/>
    <m/>
    <m/>
    <m/>
    <n v="0"/>
    <n v="2490"/>
    <n v="2500"/>
    <s v="S"/>
    <n v="1"/>
    <n v="300"/>
    <n v="502"/>
    <m/>
    <m/>
    <m/>
    <m/>
    <n v="504681"/>
    <n v="459260"/>
    <n v="0"/>
    <n v="0"/>
    <n v="60800"/>
    <n v="365600"/>
    <n v="426400"/>
    <n v="132535.48800000001"/>
    <n v="88356.992000000013"/>
    <n v="-24051.387388882686"/>
    <n v="32917.849192000001"/>
    <n v="30300.329274"/>
    <n v="-1957.3398"/>
    <n v="72271.22004"/>
    <n v="79361.070156000002"/>
    <n v="0"/>
    <n v="10590.309300000001"/>
    <n v="0"/>
    <n v="356000"/>
    <n v="64300"/>
    <n v="420300"/>
    <n v="-1.4305816135084427E-2"/>
    <n v="0.99970000000000003"/>
    <n v="1.0019"/>
    <n v="0.997"/>
    <n v="1.0008999999999999"/>
    <n v="0.99080000000000001"/>
    <n v="0.94971499999999998"/>
    <n v="0.94078312650809337"/>
    <n v="348200"/>
    <n v="0"/>
    <n v="348200"/>
    <n v="61100"/>
    <n v="409300"/>
    <n v="-4.7592997811816196E-2"/>
    <n v="4.9342105263157892E-3"/>
    <n v="-4.0103189493433396E-2"/>
  </r>
  <r>
    <n v="2025"/>
    <s v="19120113495    "/>
    <n v="-1.8325814637483102"/>
    <n v="0.16"/>
    <n v="7002"/>
    <s v="2"/>
    <s v="RES"/>
    <s v="MX"/>
    <s v="11"/>
    <s v="259"/>
    <s v="CO"/>
    <x v="5"/>
    <s v="VG"/>
    <n v="10"/>
    <n v="18"/>
    <n v="18"/>
    <n v="2006"/>
    <n v="2006"/>
    <n v="1158"/>
    <n v="1332"/>
    <m/>
    <m/>
    <m/>
    <n v="0"/>
    <n v="2490"/>
    <n v="2500"/>
    <s v="S"/>
    <n v="1"/>
    <m/>
    <n v="502"/>
    <m/>
    <m/>
    <m/>
    <m/>
    <n v="487677"/>
    <n v="448663"/>
    <n v="0"/>
    <n v="0"/>
    <n v="60800"/>
    <n v="375900"/>
    <n v="436700"/>
    <n v="132535.48800000001"/>
    <n v="88356.992000000013"/>
    <n v="-24051.387388882686"/>
    <n v="32917.849192000001"/>
    <n v="50438.379078999998"/>
    <n v="-1957.3398"/>
    <n v="72271.22004"/>
    <n v="79361.070156000002"/>
    <n v="0"/>
    <n v="0"/>
    <n v="0"/>
    <n v="365600"/>
    <n v="64300"/>
    <n v="429900"/>
    <n v="-1.5571330432791391E-2"/>
    <n v="0.99970000000000003"/>
    <n v="1.0019"/>
    <n v="1.0007999999999999"/>
    <n v="1.0008999999999999"/>
    <n v="0.99080000000000001"/>
    <n v="0.94971499999999998"/>
    <n v="0.94436885958806405"/>
    <n v="358200"/>
    <n v="0"/>
    <n v="358200"/>
    <n v="61100"/>
    <n v="419300"/>
    <n v="-4.7086991221069435E-2"/>
    <n v="4.9342105263157892E-3"/>
    <n v="-3.9844286695672089E-2"/>
  </r>
  <r>
    <n v="2025"/>
    <s v="19120141461    "/>
    <n v="-1.8325814637483102"/>
    <n v="0.16"/>
    <n v="6992"/>
    <s v="2"/>
    <s v="RES"/>
    <s v="MX"/>
    <s v="11"/>
    <s v="259"/>
    <s v="CO"/>
    <x v="5"/>
    <s v="GD"/>
    <n v="10"/>
    <n v="19"/>
    <n v="19"/>
    <n v="2005"/>
    <n v="2005"/>
    <n v="1158"/>
    <n v="1322"/>
    <m/>
    <m/>
    <m/>
    <n v="0"/>
    <n v="2480"/>
    <n v="2500"/>
    <s v="S"/>
    <n v="1"/>
    <n v="300"/>
    <n v="502"/>
    <m/>
    <m/>
    <m/>
    <m/>
    <n v="504445"/>
    <n v="459045"/>
    <n v="0"/>
    <n v="0"/>
    <n v="60800"/>
    <n v="364200"/>
    <n v="425000"/>
    <n v="132535.48800000001"/>
    <n v="88356.992000000013"/>
    <n v="-24051.387388882686"/>
    <n v="32917.849192000001"/>
    <n v="30300.329274"/>
    <n v="-2066.0808999999999"/>
    <n v="72271.22004"/>
    <n v="78765.266325999997"/>
    <n v="0"/>
    <n v="10590.309300000001"/>
    <n v="0"/>
    <n v="355300"/>
    <n v="64300"/>
    <n v="419600"/>
    <n v="-1.2705882352941176E-2"/>
    <n v="0.99970000000000003"/>
    <n v="1.0019"/>
    <n v="0.997"/>
    <n v="1.0008999999999999"/>
    <n v="0.99080000000000001"/>
    <n v="0.94971499999999998"/>
    <n v="0.94078312650809337"/>
    <n v="347500"/>
    <n v="0"/>
    <n v="347500"/>
    <n v="61100"/>
    <n v="408600"/>
    <n v="-4.5853926414058208E-2"/>
    <n v="4.9342105263157892E-3"/>
    <n v="-3.8588235294117645E-2"/>
  </r>
  <r>
    <n v="2025"/>
    <s v="19120112465    "/>
    <n v="-1.8325814637483102"/>
    <n v="0.16"/>
    <n v="7000"/>
    <s v="2"/>
    <s v="RES"/>
    <s v="MX"/>
    <s v="11"/>
    <s v="259"/>
    <s v="CO"/>
    <x v="5"/>
    <s v="GD"/>
    <n v="10"/>
    <n v="17"/>
    <n v="17"/>
    <n v="2007"/>
    <n v="2007"/>
    <n v="909"/>
    <n v="1085"/>
    <m/>
    <m/>
    <m/>
    <n v="0"/>
    <n v="1994"/>
    <n v="2000"/>
    <s v="S"/>
    <n v="1"/>
    <m/>
    <n v="420"/>
    <m/>
    <m/>
    <m/>
    <m/>
    <n v="404166"/>
    <n v="371833"/>
    <n v="0"/>
    <n v="0"/>
    <n v="60800"/>
    <n v="321600"/>
    <n v="382400"/>
    <n v="132535.48800000001"/>
    <n v="88356.992000000013"/>
    <n v="-24051.387388882686"/>
    <n v="32917.849192000001"/>
    <n v="30300.329274"/>
    <n v="-1848.5987"/>
    <n v="56731.03542"/>
    <n v="64644.715554999995"/>
    <n v="0"/>
    <n v="0"/>
    <n v="0"/>
    <n v="315300"/>
    <n v="64300"/>
    <n v="379600"/>
    <n v="-7.3221757322175732E-3"/>
    <n v="0.99970000000000003"/>
    <n v="1.0019"/>
    <n v="0.997"/>
    <n v="1.0007999999999999"/>
    <n v="0.99080000000000001"/>
    <n v="0.94971499999999998"/>
    <n v="0.94068913278978916"/>
    <n v="307400"/>
    <n v="0"/>
    <n v="307400"/>
    <n v="61100"/>
    <n v="368500"/>
    <n v="-4.4154228855721393E-2"/>
    <n v="4.9342105263157892E-3"/>
    <n v="-3.634937238493724E-2"/>
  </r>
  <r>
    <n v="2025"/>
    <s v="20120633419    "/>
    <n v="-1.8325814637483102"/>
    <n v="0.16"/>
    <n v="7180"/>
    <s v="2"/>
    <s v="RES"/>
    <s v="MX"/>
    <s v="11"/>
    <s v="259"/>
    <s v="CP"/>
    <x v="5"/>
    <s v="VG"/>
    <n v="10"/>
    <n v="16"/>
    <n v="16"/>
    <n v="2008"/>
    <n v="2008"/>
    <n v="1389"/>
    <n v="1322"/>
    <m/>
    <m/>
    <m/>
    <n v="0"/>
    <n v="2711"/>
    <n v="3000"/>
    <s v="S"/>
    <m/>
    <m/>
    <n v="728"/>
    <m/>
    <m/>
    <m/>
    <m/>
    <n v="518366"/>
    <n v="482080"/>
    <n v="0"/>
    <n v="0"/>
    <n v="60800"/>
    <n v="389500"/>
    <n v="450300"/>
    <n v="132535.48800000001"/>
    <n v="88356.992000000013"/>
    <n v="-24051.387388882686"/>
    <n v="32917.849192000001"/>
    <n v="50438.379078999998"/>
    <n v="-1739.8576"/>
    <n v="86688.017820000008"/>
    <n v="78765.266325999997"/>
    <n v="0"/>
    <n v="0"/>
    <n v="0"/>
    <n v="379600"/>
    <n v="64300"/>
    <n v="443900"/>
    <n v="-1.4212747057517211E-2"/>
    <n v="0.99970000000000003"/>
    <n v="1.0019"/>
    <n v="1.0007999999999999"/>
    <n v="1.0099"/>
    <n v="0.99080000000000001"/>
    <n v="0.94971499999999998"/>
    <n v="0.95286053681485272"/>
    <n v="373400"/>
    <n v="0"/>
    <n v="373400"/>
    <n v="61100"/>
    <n v="434500"/>
    <n v="-4.1335044929396665E-2"/>
    <n v="4.9342105263157892E-3"/>
    <n v="-3.5087719298245612E-2"/>
  </r>
  <r>
    <n v="2025"/>
    <s v="19120141524    "/>
    <n v="-1.8325814637483102"/>
    <n v="0.16"/>
    <n v="6964"/>
    <s v="2"/>
    <s v="RES"/>
    <s v="MX"/>
    <s v="11"/>
    <s v="259"/>
    <s v="CO"/>
    <x v="5"/>
    <s v="GD"/>
    <n v="10"/>
    <n v="19"/>
    <n v="19"/>
    <n v="2005"/>
    <n v="2005"/>
    <n v="1158"/>
    <n v="1322"/>
    <m/>
    <m/>
    <m/>
    <n v="0"/>
    <n v="2480"/>
    <n v="2500"/>
    <s v="S"/>
    <m/>
    <m/>
    <n v="502"/>
    <m/>
    <m/>
    <m/>
    <m/>
    <n v="480813"/>
    <n v="437540"/>
    <n v="0"/>
    <n v="0"/>
    <n v="60800"/>
    <n v="351300"/>
    <n v="412100"/>
    <n v="132535.48800000001"/>
    <n v="88356.992000000013"/>
    <n v="-24051.387388882686"/>
    <n v="32917.849192000001"/>
    <n v="30300.329274"/>
    <n v="-2066.0808999999999"/>
    <n v="72271.22004"/>
    <n v="78765.266325999997"/>
    <n v="0"/>
    <n v="0"/>
    <n v="0"/>
    <n v="344700"/>
    <n v="64300"/>
    <n v="409000"/>
    <n v="-7.522446008250425E-3"/>
    <n v="0.99970000000000003"/>
    <n v="1.0019"/>
    <n v="0.997"/>
    <n v="1.0008999999999999"/>
    <n v="0.99080000000000001"/>
    <n v="0.94971499999999998"/>
    <n v="0.94078312650809337"/>
    <n v="336900"/>
    <n v="0"/>
    <n v="336900"/>
    <n v="61100"/>
    <n v="398000"/>
    <n v="-4.0990606319385142E-2"/>
    <n v="4.9342105263157892E-3"/>
    <n v="-3.4214996360106768E-2"/>
  </r>
  <r>
    <n v="2025"/>
    <s v="19120141444    "/>
    <n v="-1.8325814637483102"/>
    <n v="0.16"/>
    <n v="7187"/>
    <s v="2"/>
    <s v="RES"/>
    <s v="MX"/>
    <s v="11"/>
    <s v="259"/>
    <s v="CO"/>
    <x v="5"/>
    <s v="GD"/>
    <n v="10"/>
    <n v="19"/>
    <n v="19"/>
    <n v="2005"/>
    <n v="2005"/>
    <n v="1158"/>
    <n v="1322"/>
    <m/>
    <m/>
    <m/>
    <n v="0"/>
    <n v="2480"/>
    <n v="2500"/>
    <s v="S"/>
    <n v="1"/>
    <m/>
    <n v="502"/>
    <m/>
    <m/>
    <m/>
    <m/>
    <n v="495412"/>
    <n v="450825"/>
    <n v="0"/>
    <n v="0"/>
    <n v="60800"/>
    <n v="351300"/>
    <n v="412100"/>
    <n v="132535.48800000001"/>
    <n v="88356.992000000013"/>
    <n v="-24051.387388882686"/>
    <n v="32917.849192000001"/>
    <n v="30300.329274"/>
    <n v="-2066.0808999999999"/>
    <n v="72271.22004"/>
    <n v="78765.266325999997"/>
    <n v="0"/>
    <n v="0"/>
    <n v="0"/>
    <n v="344700"/>
    <n v="64300"/>
    <n v="409000"/>
    <n v="-7.522446008250425E-3"/>
    <n v="0.99970000000000003"/>
    <n v="1.0019"/>
    <n v="0.997"/>
    <n v="1.0008999999999999"/>
    <n v="0.99080000000000001"/>
    <n v="0.94971499999999998"/>
    <n v="0.94078312650809337"/>
    <n v="336900"/>
    <n v="0"/>
    <n v="336900"/>
    <n v="61100"/>
    <n v="398000"/>
    <n v="-4.0990606319385142E-2"/>
    <n v="4.9342105263157892E-3"/>
    <n v="-3.4214996360106768E-2"/>
  </r>
  <r>
    <n v="2025"/>
    <s v="19120113459    "/>
    <n v="-1.8325814637483102"/>
    <n v="0.16"/>
    <n v="7095"/>
    <s v="2"/>
    <s v="RES"/>
    <s v="MX"/>
    <s v="11"/>
    <s v="259"/>
    <s v="CO"/>
    <x v="5"/>
    <s v="GD"/>
    <n v="10"/>
    <n v="18"/>
    <n v="18"/>
    <n v="2006"/>
    <n v="2006"/>
    <n v="1374"/>
    <n v="1332"/>
    <m/>
    <m/>
    <m/>
    <n v="0"/>
    <n v="2706"/>
    <n v="3000"/>
    <s v="S"/>
    <n v="1"/>
    <n v="240"/>
    <n v="502"/>
    <m/>
    <m/>
    <m/>
    <m/>
    <n v="532281"/>
    <n v="484376"/>
    <n v="0"/>
    <n v="0"/>
    <n v="60800"/>
    <n v="375500"/>
    <n v="436300"/>
    <n v="132535.48800000001"/>
    <n v="88356.992000000013"/>
    <n v="-24051.387388882686"/>
    <n v="32917.849192000001"/>
    <n v="30300.329274"/>
    <n v="-1957.3398"/>
    <n v="85751.862120000005"/>
    <n v="79361.070156000002"/>
    <n v="0"/>
    <n v="8472.247440000001"/>
    <n v="0"/>
    <n v="367400"/>
    <n v="64300"/>
    <n v="431700"/>
    <n v="-1.0543204217281686E-2"/>
    <n v="0.99970000000000003"/>
    <n v="1.0019"/>
    <n v="0.997"/>
    <n v="1.0099"/>
    <n v="0.99080000000000001"/>
    <n v="0.94971499999999998"/>
    <n v="0.94924256115548389"/>
    <n v="360700"/>
    <n v="0"/>
    <n v="360700"/>
    <n v="61100"/>
    <n v="421800"/>
    <n v="-3.9414114513981358E-2"/>
    <n v="4.9342105263157892E-3"/>
    <n v="-3.323401329360532E-2"/>
  </r>
  <r>
    <n v="2025"/>
    <s v="19120112412    "/>
    <n v="-1.8325814637483102"/>
    <n v="0.16"/>
    <n v="7048"/>
    <s v="2"/>
    <s v="RES"/>
    <s v="MX"/>
    <s v="11"/>
    <s v="259"/>
    <s v="CO"/>
    <x v="5"/>
    <s v="GD"/>
    <n v="10"/>
    <n v="17"/>
    <n v="17"/>
    <n v="2007"/>
    <n v="2007"/>
    <n v="1116"/>
    <n v="1116"/>
    <m/>
    <m/>
    <m/>
    <n v="0"/>
    <n v="2232"/>
    <n v="2500"/>
    <s v="S"/>
    <n v="1"/>
    <n v="440"/>
    <m/>
    <m/>
    <m/>
    <m/>
    <m/>
    <n v="454484"/>
    <n v="418125"/>
    <n v="0"/>
    <n v="0"/>
    <n v="60800"/>
    <n v="351700"/>
    <n v="412500"/>
    <n v="132535.48800000001"/>
    <n v="88356.992000000013"/>
    <n v="-24051.387388882686"/>
    <n v="32917.849192000001"/>
    <n v="30300.329274"/>
    <n v="-1848.5987"/>
    <n v="69649.984080000009"/>
    <n v="66491.707427999994"/>
    <n v="0"/>
    <n v="15532.453640000002"/>
    <n v="0"/>
    <n v="345600"/>
    <n v="64300"/>
    <n v="409900"/>
    <n v="-6.3030303030303034E-3"/>
    <n v="0.99970000000000003"/>
    <n v="1.0019"/>
    <n v="0.997"/>
    <n v="1.0008999999999999"/>
    <n v="0.99080000000000001"/>
    <n v="0.94971499999999998"/>
    <n v="0.94078312650809337"/>
    <n v="337700"/>
    <n v="0"/>
    <n v="337700"/>
    <n v="61100"/>
    <n v="398800"/>
    <n v="-3.98066533977822E-2"/>
    <n v="4.9342105263157892E-3"/>
    <n v="-3.3212121212121214E-2"/>
  </r>
  <r>
    <n v="2025"/>
    <s v="19120144524    "/>
    <n v="-1.8325814637483102"/>
    <n v="0.16"/>
    <n v="7013"/>
    <s v="2"/>
    <s v="RES"/>
    <s v="MX"/>
    <s v="11"/>
    <s v=""/>
    <s v="CO"/>
    <x v="5"/>
    <s v="GD"/>
    <n v="20"/>
    <n v="20"/>
    <n v="20"/>
    <n v="2004"/>
    <n v="2004"/>
    <n v="1158"/>
    <n v="1322"/>
    <m/>
    <m/>
    <m/>
    <n v="0"/>
    <n v="2480"/>
    <n v="2500"/>
    <s v="S"/>
    <n v="1"/>
    <m/>
    <n v="502"/>
    <m/>
    <m/>
    <m/>
    <m/>
    <n v="481791"/>
    <n v="438430"/>
    <n v="0"/>
    <n v="0"/>
    <n v="60800"/>
    <n v="350400"/>
    <n v="411200"/>
    <n v="132535.48800000001"/>
    <n v="88356.992000000013"/>
    <n v="-24051.387388882686"/>
    <n v="32917.849192000001"/>
    <n v="30300.329274"/>
    <n v="-2174.8220000000001"/>
    <n v="72271.22004"/>
    <n v="78765.266325999997"/>
    <n v="0"/>
    <n v="0"/>
    <n v="0"/>
    <n v="344600"/>
    <n v="64300"/>
    <n v="408900"/>
    <n v="-5.5933852140077822E-3"/>
    <n v="0.99970000000000003"/>
    <n v="1.0019"/>
    <n v="0.997"/>
    <n v="1.0008999999999999"/>
    <n v="1.0138"/>
    <n v="0.94971499999999998"/>
    <n v="0.96262205657438948"/>
    <n v="339700"/>
    <n v="0"/>
    <n v="339700"/>
    <n v="61100"/>
    <n v="400800"/>
    <n v="-3.0536529680365295E-2"/>
    <n v="4.9342105263157892E-3"/>
    <n v="-2.5291828793774319E-2"/>
  </r>
  <r>
    <n v="2025"/>
    <s v="19120144516    "/>
    <n v="-1.8325814637483102"/>
    <n v="0.16"/>
    <n v="7014"/>
    <s v="2"/>
    <s v="RES"/>
    <s v="MX"/>
    <s v="11"/>
    <s v="259"/>
    <s v="CO"/>
    <x v="5"/>
    <s v="GD"/>
    <n v="20"/>
    <n v="20"/>
    <n v="20"/>
    <n v="2004"/>
    <n v="2004"/>
    <n v="1158"/>
    <n v="1322"/>
    <m/>
    <m/>
    <m/>
    <n v="0"/>
    <n v="2480"/>
    <n v="2500"/>
    <s v="S"/>
    <n v="1"/>
    <m/>
    <n v="502"/>
    <m/>
    <m/>
    <m/>
    <m/>
    <n v="481791"/>
    <n v="438430"/>
    <n v="0"/>
    <n v="0"/>
    <n v="60800"/>
    <n v="350400"/>
    <n v="411200"/>
    <n v="132535.48800000001"/>
    <n v="88356.992000000013"/>
    <n v="-24051.387388882686"/>
    <n v="32917.849192000001"/>
    <n v="30300.329274"/>
    <n v="-2174.8220000000001"/>
    <n v="72271.22004"/>
    <n v="78765.266325999997"/>
    <n v="0"/>
    <n v="0"/>
    <n v="0"/>
    <n v="344600"/>
    <n v="64300"/>
    <n v="408900"/>
    <n v="-5.5933852140077822E-3"/>
    <n v="0.99970000000000003"/>
    <n v="1.0019"/>
    <n v="0.997"/>
    <n v="1.0008999999999999"/>
    <n v="1.0138"/>
    <n v="0.94971499999999998"/>
    <n v="0.96262205657438948"/>
    <n v="339700"/>
    <n v="0"/>
    <n v="339700"/>
    <n v="61100"/>
    <n v="400800"/>
    <n v="-3.0536529680365295E-2"/>
    <n v="4.9342105263157892E-3"/>
    <n v="-2.5291828793774319E-2"/>
  </r>
  <r>
    <n v="2025"/>
    <s v="19120144526    "/>
    <n v="-1.8325814637483102"/>
    <n v="0.16"/>
    <n v="7015"/>
    <s v="2"/>
    <s v="RES"/>
    <s v="MX"/>
    <s v="11"/>
    <s v="259"/>
    <s v="CO"/>
    <x v="5"/>
    <s v="GD"/>
    <n v="20"/>
    <n v="20"/>
    <n v="20"/>
    <n v="2004"/>
    <n v="2004"/>
    <n v="1158"/>
    <n v="1322"/>
    <m/>
    <m/>
    <m/>
    <n v="0"/>
    <n v="2480"/>
    <n v="2500"/>
    <s v="S"/>
    <n v="1"/>
    <m/>
    <n v="502"/>
    <m/>
    <m/>
    <m/>
    <m/>
    <n v="481791"/>
    <n v="438430"/>
    <n v="0"/>
    <n v="0"/>
    <n v="60800"/>
    <n v="350400"/>
    <n v="411200"/>
    <n v="132535.48800000001"/>
    <n v="88356.992000000013"/>
    <n v="-24051.387388882686"/>
    <n v="32917.849192000001"/>
    <n v="30300.329274"/>
    <n v="-2174.8220000000001"/>
    <n v="72271.22004"/>
    <n v="78765.266325999997"/>
    <n v="0"/>
    <n v="0"/>
    <n v="0"/>
    <n v="344600"/>
    <n v="64300"/>
    <n v="408900"/>
    <n v="-5.5933852140077822E-3"/>
    <n v="0.99970000000000003"/>
    <n v="1.0019"/>
    <n v="0.997"/>
    <n v="1.0008999999999999"/>
    <n v="1.0138"/>
    <n v="0.94971499999999998"/>
    <n v="0.96262205657438948"/>
    <n v="339700"/>
    <n v="0"/>
    <n v="339700"/>
    <n v="61100"/>
    <n v="400800"/>
    <n v="-3.0536529680365295E-2"/>
    <n v="4.9342105263157892E-3"/>
    <n v="-2.5291828793774319E-2"/>
  </r>
  <r>
    <n v="2025"/>
    <s v="20120634417    "/>
    <n v="-1.8325814637483102"/>
    <n v="0.16"/>
    <n v="7124"/>
    <s v="2"/>
    <s v="RES"/>
    <s v="MX"/>
    <s v="11"/>
    <s v="259"/>
    <s v="CP"/>
    <x v="5"/>
    <s v="VG"/>
    <n v="0"/>
    <n v="9"/>
    <n v="9"/>
    <n v="2015"/>
    <n v="2015"/>
    <n v="1126"/>
    <n v="1126"/>
    <m/>
    <m/>
    <m/>
    <n v="0"/>
    <n v="2252"/>
    <n v="2500"/>
    <s v="S"/>
    <m/>
    <n v="440"/>
    <m/>
    <m/>
    <m/>
    <m/>
    <m/>
    <n v="450449"/>
    <n v="432431"/>
    <n v="0"/>
    <n v="0"/>
    <n v="60800"/>
    <n v="372700"/>
    <n v="433500"/>
    <n v="132535.48800000001"/>
    <n v="88356.992000000013"/>
    <n v="-24051.387388882686"/>
    <n v="32917.849192000001"/>
    <n v="50438.379078999998"/>
    <n v="-978.66989999999998"/>
    <n v="70274.087880000006"/>
    <n v="67087.511257999999"/>
    <n v="0"/>
    <n v="15532.453640000002"/>
    <n v="0"/>
    <n v="367800"/>
    <n v="64300"/>
    <n v="432100"/>
    <n v="-3.2295271049596311E-3"/>
    <n v="0.99970000000000003"/>
    <n v="1.0019"/>
    <n v="1.0007999999999999"/>
    <n v="1.0008999999999999"/>
    <n v="1.0022"/>
    <n v="0.94971499999999998"/>
    <n v="0.95523462967214157"/>
    <n v="361900"/>
    <n v="0"/>
    <n v="361900"/>
    <n v="61100"/>
    <n v="423000"/>
    <n v="-2.8977730077810571E-2"/>
    <n v="4.9342105263157892E-3"/>
    <n v="-2.4221453287197232E-2"/>
  </r>
  <r>
    <n v="2025"/>
    <s v="20120633422    "/>
    <n v="-1.8325814637483102"/>
    <n v="0.16"/>
    <n v="7147"/>
    <s v="2"/>
    <s v="RES"/>
    <s v="MX"/>
    <s v="11"/>
    <s v="259"/>
    <s v="RN"/>
    <x v="4"/>
    <s v="GD"/>
    <n v="10"/>
    <n v="15"/>
    <n v="15"/>
    <n v="2009"/>
    <n v="2009"/>
    <n v="1540"/>
    <m/>
    <m/>
    <m/>
    <m/>
    <n v="0"/>
    <n v="1540"/>
    <n v="2000"/>
    <s v="S"/>
    <m/>
    <n v="420"/>
    <m/>
    <m/>
    <m/>
    <m/>
    <m/>
    <n v="303238"/>
    <n v="282011"/>
    <n v="0"/>
    <n v="0"/>
    <n v="60800"/>
    <n v="309700"/>
    <n v="370500"/>
    <n v="132535.48800000001"/>
    <n v="88356.992000000013"/>
    <n v="-24051.387388882686"/>
    <n v="37154.252388000001"/>
    <n v="30300.329274"/>
    <n v="-1631.1165000000001"/>
    <n v="96111.98520000001"/>
    <n v="0"/>
    <n v="0"/>
    <n v="14826.43302"/>
    <n v="0"/>
    <n v="309300"/>
    <n v="64300"/>
    <n v="373600"/>
    <n v="8.3670715249662617E-3"/>
    <n v="0.99970000000000003"/>
    <n v="0.99819999999999998"/>
    <n v="0.997"/>
    <n v="1.0007999999999999"/>
    <n v="0.99080000000000001"/>
    <n v="0.94971499999999998"/>
    <n v="0.93721518350211364"/>
    <n v="301000"/>
    <n v="0"/>
    <n v="301000"/>
    <n v="61100"/>
    <n v="362100"/>
    <n v="-2.8091701646754924E-2"/>
    <n v="4.9342105263157892E-3"/>
    <n v="-2.2672064777327937E-2"/>
  </r>
  <r>
    <n v="2025"/>
    <s v="19120112439    "/>
    <n v="-1.8325814637483102"/>
    <n v="0.16"/>
    <n v="7032"/>
    <s v="2"/>
    <s v="RES"/>
    <s v="MX"/>
    <s v="11"/>
    <s v="259"/>
    <s v="CO"/>
    <x v="5"/>
    <s v="VG"/>
    <n v="10"/>
    <n v="17"/>
    <n v="17"/>
    <n v="2007"/>
    <n v="2007"/>
    <n v="1374"/>
    <n v="1252"/>
    <m/>
    <m/>
    <m/>
    <n v="0"/>
    <n v="2626"/>
    <n v="3000"/>
    <s v="S"/>
    <m/>
    <n v="240"/>
    <n v="502"/>
    <m/>
    <m/>
    <m/>
    <m/>
    <n v="525561"/>
    <n v="488772"/>
    <n v="0"/>
    <n v="0"/>
    <n v="60800"/>
    <n v="385600"/>
    <n v="446400"/>
    <n v="132535.48800000001"/>
    <n v="88356.992000000013"/>
    <n v="-24051.387388882686"/>
    <n v="32917.849192000001"/>
    <n v="50438.379078999998"/>
    <n v="-1848.5987"/>
    <n v="85751.862120000005"/>
    <n v="74594.639515999996"/>
    <n v="0"/>
    <n v="8472.247440000001"/>
    <n v="0"/>
    <n v="382900"/>
    <n v="64300"/>
    <n v="447200"/>
    <n v="1.7921146953405018E-3"/>
    <n v="0.99970000000000003"/>
    <n v="1.0019"/>
    <n v="1.0007999999999999"/>
    <n v="1.0099"/>
    <n v="0.99080000000000001"/>
    <n v="0.94971499999999998"/>
    <n v="0.95286053681485272"/>
    <n v="376600"/>
    <n v="0"/>
    <n v="376600"/>
    <n v="61100"/>
    <n v="437700"/>
    <n v="-2.3340248962655602E-2"/>
    <n v="4.9342105263157892E-3"/>
    <n v="-1.9489247311827957E-2"/>
  </r>
  <r>
    <n v="2025"/>
    <s v="19120113486    "/>
    <n v="-1.8325814637483102"/>
    <n v="0.16"/>
    <n v="7000"/>
    <s v="2"/>
    <s v="RES"/>
    <s v="MX"/>
    <s v="11"/>
    <s v="259"/>
    <s v="CO"/>
    <x v="5"/>
    <s v="VG"/>
    <n v="10"/>
    <n v="18"/>
    <n v="18"/>
    <n v="2006"/>
    <n v="2006"/>
    <n v="1374"/>
    <n v="1332"/>
    <m/>
    <m/>
    <m/>
    <n v="0"/>
    <n v="2706"/>
    <n v="3000"/>
    <s v="S"/>
    <m/>
    <n v="240"/>
    <n v="502"/>
    <m/>
    <m/>
    <m/>
    <m/>
    <n v="536435"/>
    <n v="493520"/>
    <n v="0"/>
    <n v="0"/>
    <n v="60800"/>
    <n v="389100"/>
    <n v="449900"/>
    <n v="132535.48800000001"/>
    <n v="88356.992000000013"/>
    <n v="-24051.387388882686"/>
    <n v="32917.849192000001"/>
    <n v="50438.379078999998"/>
    <n v="-1957.3398"/>
    <n v="85751.862120000005"/>
    <n v="79361.070156000002"/>
    <n v="0"/>
    <n v="8472.247440000001"/>
    <n v="0"/>
    <n v="387500"/>
    <n v="64300"/>
    <n v="451800"/>
    <n v="4.2231607023783067E-3"/>
    <n v="0.99970000000000003"/>
    <n v="1.0019"/>
    <n v="1.0007999999999999"/>
    <n v="1.0099"/>
    <n v="0.99080000000000001"/>
    <n v="0.94971499999999998"/>
    <n v="0.95286053681485272"/>
    <n v="381300"/>
    <n v="0"/>
    <n v="381300"/>
    <n v="61100"/>
    <n v="442400"/>
    <n v="-2.0046260601387818E-2"/>
    <n v="4.9342105263157892E-3"/>
    <n v="-1.6670371193598578E-2"/>
  </r>
  <r>
    <n v="2025"/>
    <s v="19120141470    "/>
    <n v="-1.8325814637483102"/>
    <n v="0.16"/>
    <n v="6987"/>
    <s v="2"/>
    <s v="RES"/>
    <s v="MX"/>
    <s v="11"/>
    <s v="259"/>
    <s v="CO"/>
    <x v="5"/>
    <s v="VG"/>
    <n v="10"/>
    <n v="19"/>
    <n v="19"/>
    <n v="2005"/>
    <n v="2005"/>
    <n v="1116"/>
    <n v="1116"/>
    <m/>
    <m/>
    <m/>
    <n v="0"/>
    <n v="2232"/>
    <n v="2500"/>
    <s v="S"/>
    <n v="1"/>
    <n v="440"/>
    <m/>
    <m/>
    <m/>
    <m/>
    <m/>
    <n v="454484"/>
    <n v="413580"/>
    <n v="0"/>
    <n v="0"/>
    <n v="60800"/>
    <n v="365400"/>
    <n v="426200"/>
    <n v="132535.48800000001"/>
    <n v="88356.992000000013"/>
    <n v="-24051.387388882686"/>
    <n v="32917.849192000001"/>
    <n v="50438.379078999998"/>
    <n v="-2066.0808999999999"/>
    <n v="69649.984080000009"/>
    <n v="66491.707427999994"/>
    <n v="0"/>
    <n v="15532.453640000002"/>
    <n v="0"/>
    <n v="365500"/>
    <n v="64300"/>
    <n v="429800"/>
    <n v="8.4467386203660247E-3"/>
    <n v="0.99970000000000003"/>
    <n v="1.0019"/>
    <n v="1.0007999999999999"/>
    <n v="1.0008999999999999"/>
    <n v="0.99080000000000001"/>
    <n v="0.94971499999999998"/>
    <n v="0.94436885958806405"/>
    <n v="358100"/>
    <n v="0"/>
    <n v="358100"/>
    <n v="61100"/>
    <n v="419200"/>
    <n v="-1.9978106185002738E-2"/>
    <n v="4.9342105263157892E-3"/>
    <n v="-1.642421398404505E-2"/>
  </r>
  <r>
    <n v="2025"/>
    <s v="19120113493    "/>
    <n v="-1.8325814637483102"/>
    <n v="0.16"/>
    <n v="7002"/>
    <s v="2"/>
    <s v="RES"/>
    <s v="MX"/>
    <s v="11"/>
    <s v="259"/>
    <s v="RN"/>
    <x v="5"/>
    <s v="GD"/>
    <n v="10"/>
    <n v="17"/>
    <n v="17"/>
    <n v="2007"/>
    <n v="2007"/>
    <n v="1092"/>
    <m/>
    <m/>
    <m/>
    <m/>
    <n v="0"/>
    <n v="1092"/>
    <n v="1500"/>
    <s v="S"/>
    <n v="1"/>
    <n v="440"/>
    <m/>
    <m/>
    <m/>
    <m/>
    <n v="100"/>
    <n v="264133"/>
    <n v="243002"/>
    <n v="0"/>
    <n v="0"/>
    <n v="60800"/>
    <n v="274200"/>
    <n v="335000"/>
    <n v="132535.48800000001"/>
    <n v="88356.992000000013"/>
    <n v="-24051.387388882686"/>
    <n v="32917.849192000001"/>
    <n v="30300.329274"/>
    <n v="-1848.5987"/>
    <n v="68152.13496000001"/>
    <n v="0"/>
    <n v="0"/>
    <n v="15532.453640000002"/>
    <n v="0"/>
    <n v="277600"/>
    <n v="64300"/>
    <n v="341900"/>
    <n v="2.0597014925373136E-2"/>
    <n v="0.99970000000000003"/>
    <n v="1.0019"/>
    <n v="0.997"/>
    <n v="0.99519999999999997"/>
    <n v="0.99080000000000001"/>
    <n v="0.94971499999999998"/>
    <n v="0.9354254845647465"/>
    <n v="269000"/>
    <n v="0"/>
    <n v="269000"/>
    <n v="61100"/>
    <n v="330100"/>
    <n v="-1.8964259664478483E-2"/>
    <n v="4.9342105263157892E-3"/>
    <n v="-1.4626865671641792E-2"/>
  </r>
  <r>
    <n v="2025"/>
    <s v="19120113516    "/>
    <n v="-1.8325814637483102"/>
    <n v="0.16"/>
    <n v="7085"/>
    <s v="2"/>
    <s v="RES"/>
    <s v="MX"/>
    <s v="11"/>
    <s v="259"/>
    <s v="RN"/>
    <x v="5"/>
    <s v="GD"/>
    <n v="10"/>
    <n v="17"/>
    <n v="17"/>
    <n v="2007"/>
    <n v="2007"/>
    <n v="1092"/>
    <m/>
    <m/>
    <m/>
    <m/>
    <n v="0"/>
    <n v="1092"/>
    <n v="1500"/>
    <s v="S"/>
    <m/>
    <n v="440"/>
    <m/>
    <m/>
    <m/>
    <m/>
    <m/>
    <n v="260062"/>
    <n v="239257"/>
    <n v="0"/>
    <n v="0"/>
    <n v="60800"/>
    <n v="274200"/>
    <n v="335000"/>
    <n v="132535.48800000001"/>
    <n v="88356.992000000013"/>
    <n v="-24051.387388882686"/>
    <n v="32917.849192000001"/>
    <n v="30300.329274"/>
    <n v="-1848.5987"/>
    <n v="68152.13496000001"/>
    <n v="0"/>
    <n v="0"/>
    <n v="15532.453640000002"/>
    <n v="0"/>
    <n v="277600"/>
    <n v="64300"/>
    <n v="341900"/>
    <n v="2.0597014925373136E-2"/>
    <n v="0.99970000000000003"/>
    <n v="1.0019"/>
    <n v="0.997"/>
    <n v="0.99519999999999997"/>
    <n v="0.99080000000000001"/>
    <n v="0.94971499999999998"/>
    <n v="0.9354254845647465"/>
    <n v="269000"/>
    <n v="0"/>
    <n v="269000"/>
    <n v="61100"/>
    <n v="330100"/>
    <n v="-1.8964259664478483E-2"/>
    <n v="4.9342105263157892E-3"/>
    <n v="-1.4626865671641792E-2"/>
  </r>
  <r>
    <n v="2025"/>
    <s v="19120144446    "/>
    <n v="-1.8325814637483102"/>
    <n v="0.16"/>
    <n v="7017"/>
    <s v="2"/>
    <s v="RES"/>
    <s v="MX"/>
    <s v="11"/>
    <s v=""/>
    <s v="CO"/>
    <x v="5"/>
    <s v="VG"/>
    <n v="20"/>
    <n v="20"/>
    <n v="20"/>
    <n v="2004"/>
    <n v="2004"/>
    <n v="1158"/>
    <n v="1322"/>
    <m/>
    <m/>
    <m/>
    <n v="0"/>
    <n v="2480"/>
    <n v="2500"/>
    <s v="S"/>
    <n v="1"/>
    <m/>
    <n v="502"/>
    <m/>
    <m/>
    <m/>
    <m/>
    <n v="494127"/>
    <n v="454597"/>
    <n v="0"/>
    <n v="0"/>
    <n v="60800"/>
    <n v="365900"/>
    <n v="426700"/>
    <n v="132535.48800000001"/>
    <n v="88356.992000000013"/>
    <n v="-24051.387388882686"/>
    <n v="32917.849192000001"/>
    <n v="50438.379078999998"/>
    <n v="-2174.8220000000001"/>
    <n v="72271.22004"/>
    <n v="78765.266325999997"/>
    <n v="0"/>
    <n v="0"/>
    <n v="0"/>
    <n v="364800"/>
    <n v="64300"/>
    <n v="429100"/>
    <n v="5.6245605812045938E-3"/>
    <n v="0.99970000000000003"/>
    <n v="1.0019"/>
    <n v="1.0007999999999999"/>
    <n v="1.0008999999999999"/>
    <n v="1.0138"/>
    <n v="0.94971499999999998"/>
    <n v="0.9662910273015537"/>
    <n v="360300"/>
    <n v="0"/>
    <n v="360300"/>
    <n v="61100"/>
    <n v="421400"/>
    <n v="-1.5304728067778082E-2"/>
    <n v="4.9342105263157892E-3"/>
    <n v="-1.242090461682681E-2"/>
  </r>
  <r>
    <n v="2025"/>
    <s v="19120144521    "/>
    <n v="-1.8325814637483102"/>
    <n v="0.16"/>
    <n v="7013"/>
    <s v="2"/>
    <s v="RES"/>
    <s v="MX"/>
    <s v="11"/>
    <s v="259"/>
    <s v="CO"/>
    <x v="5"/>
    <s v="VG"/>
    <n v="20"/>
    <n v="20"/>
    <n v="20"/>
    <n v="2004"/>
    <n v="2004"/>
    <n v="1158"/>
    <n v="1322"/>
    <m/>
    <m/>
    <m/>
    <n v="0"/>
    <n v="2480"/>
    <n v="2500"/>
    <s v="S"/>
    <n v="1"/>
    <m/>
    <n v="502"/>
    <m/>
    <m/>
    <m/>
    <m/>
    <n v="481791"/>
    <n v="443248"/>
    <n v="0"/>
    <n v="0"/>
    <n v="60800"/>
    <n v="365900"/>
    <n v="426700"/>
    <n v="132535.48800000001"/>
    <n v="88356.992000000013"/>
    <n v="-24051.387388882686"/>
    <n v="32917.849192000001"/>
    <n v="50438.379078999998"/>
    <n v="-2174.8220000000001"/>
    <n v="72271.22004"/>
    <n v="78765.266325999997"/>
    <n v="0"/>
    <n v="0"/>
    <n v="0"/>
    <n v="364800"/>
    <n v="64300"/>
    <n v="429100"/>
    <n v="5.6245605812045938E-3"/>
    <n v="0.99970000000000003"/>
    <n v="1.0019"/>
    <n v="1.0007999999999999"/>
    <n v="1.0008999999999999"/>
    <n v="1.0138"/>
    <n v="0.94971499999999998"/>
    <n v="0.9662910273015537"/>
    <n v="360300"/>
    <n v="0"/>
    <n v="360300"/>
    <n v="61100"/>
    <n v="421400"/>
    <n v="-1.5304728067778082E-2"/>
    <n v="4.9342105263157892E-3"/>
    <n v="-1.242090461682681E-2"/>
  </r>
  <r>
    <n v="2025"/>
    <s v="19120144507    "/>
    <n v="-1.8325814637483102"/>
    <n v="0.16"/>
    <n v="7112"/>
    <s v="2"/>
    <s v="RES"/>
    <s v="MX"/>
    <s v="11"/>
    <s v="259"/>
    <s v="CO"/>
    <x v="5"/>
    <s v="VG"/>
    <n v="20"/>
    <n v="20"/>
    <n v="20"/>
    <n v="2004"/>
    <n v="2004"/>
    <n v="1158"/>
    <n v="1322"/>
    <m/>
    <m/>
    <m/>
    <n v="0"/>
    <n v="2480"/>
    <n v="2500"/>
    <s v="S"/>
    <n v="1"/>
    <m/>
    <n v="502"/>
    <m/>
    <m/>
    <m/>
    <m/>
    <n v="490722"/>
    <n v="451464"/>
    <n v="0"/>
    <n v="0"/>
    <n v="60800"/>
    <n v="365900"/>
    <n v="426700"/>
    <n v="132535.48800000001"/>
    <n v="88356.992000000013"/>
    <n v="-24051.387388882686"/>
    <n v="32917.849192000001"/>
    <n v="50438.379078999998"/>
    <n v="-2174.8220000000001"/>
    <n v="72271.22004"/>
    <n v="78765.266325999997"/>
    <n v="0"/>
    <n v="0"/>
    <n v="0"/>
    <n v="364800"/>
    <n v="64300"/>
    <n v="429100"/>
    <n v="5.6245605812045938E-3"/>
    <n v="0.99970000000000003"/>
    <n v="1.0019"/>
    <n v="1.0007999999999999"/>
    <n v="1.0008999999999999"/>
    <n v="1.0138"/>
    <n v="0.94971499999999998"/>
    <n v="0.9662910273015537"/>
    <n v="360300"/>
    <n v="0"/>
    <n v="360300"/>
    <n v="61100"/>
    <n v="421400"/>
    <n v="-1.5304728067778082E-2"/>
    <n v="4.9342105263157892E-3"/>
    <n v="-1.242090461682681E-2"/>
  </r>
  <r>
    <n v="2025"/>
    <s v="20120633454    "/>
    <n v="-1.8325814637483102"/>
    <n v="0.16"/>
    <n v="7100"/>
    <s v="2"/>
    <s v="RES"/>
    <s v="MX"/>
    <s v="11"/>
    <s v="259"/>
    <s v="RN"/>
    <x v="4"/>
    <s v="GD"/>
    <n v="10"/>
    <n v="15"/>
    <n v="15"/>
    <n v="2009"/>
    <n v="2009"/>
    <n v="1380"/>
    <m/>
    <m/>
    <m/>
    <m/>
    <n v="0"/>
    <n v="1380"/>
    <n v="1500"/>
    <s v="S"/>
    <n v="1"/>
    <n v="440"/>
    <m/>
    <m/>
    <m/>
    <m/>
    <m/>
    <n v="279586"/>
    <n v="260015"/>
    <n v="0"/>
    <n v="0"/>
    <n v="60800"/>
    <n v="293500"/>
    <n v="354300"/>
    <n v="132535.48800000001"/>
    <n v="88356.992000000013"/>
    <n v="-24051.387388882686"/>
    <n v="37154.252388000001"/>
    <n v="30300.329274"/>
    <n v="-1631.1165000000001"/>
    <n v="86126.324399999998"/>
    <n v="0"/>
    <n v="0"/>
    <n v="15532.453640000002"/>
    <n v="0"/>
    <n v="300000"/>
    <n v="64300"/>
    <n v="364300"/>
    <n v="2.8224668360146768E-2"/>
    <n v="0.99970000000000003"/>
    <n v="0.99819999999999998"/>
    <n v="0.997"/>
    <n v="0.99519999999999997"/>
    <n v="0.99080000000000001"/>
    <n v="0.94971499999999998"/>
    <n v="0.93197097384222971"/>
    <n v="291000"/>
    <n v="0"/>
    <n v="291000"/>
    <n v="61100"/>
    <n v="352100"/>
    <n v="-8.5178875638841564E-3"/>
    <n v="4.9342105263157892E-3"/>
    <n v="-6.2094270392322893E-3"/>
  </r>
  <r>
    <n v="2025"/>
    <s v="19120112422    "/>
    <n v="-1.8325814637483102"/>
    <n v="0.16"/>
    <n v="6875"/>
    <s v="2"/>
    <s v="RES"/>
    <s v="MX"/>
    <s v="11"/>
    <s v="259"/>
    <s v="CO"/>
    <x v="5"/>
    <s v="GD"/>
    <n v="10"/>
    <n v="17"/>
    <n v="17"/>
    <n v="2007"/>
    <n v="2007"/>
    <n v="1116"/>
    <n v="1116"/>
    <m/>
    <m/>
    <m/>
    <n v="0"/>
    <n v="2232"/>
    <n v="2500"/>
    <s v="S"/>
    <n v="1"/>
    <n v="716"/>
    <m/>
    <m/>
    <m/>
    <m/>
    <m/>
    <n v="459528"/>
    <n v="422766"/>
    <n v="0"/>
    <n v="0"/>
    <n v="60800"/>
    <n v="348200"/>
    <n v="409000"/>
    <n v="132535.48800000001"/>
    <n v="88356.992000000013"/>
    <n v="-24051.387388882686"/>
    <n v="32917.849192000001"/>
    <n v="30300.329274"/>
    <n v="-1848.5987"/>
    <n v="69649.984080000009"/>
    <n v="66491.707427999994"/>
    <n v="0"/>
    <n v="25275.538196000001"/>
    <n v="0"/>
    <n v="355300"/>
    <n v="64300"/>
    <n v="419600"/>
    <n v="2.591687041564792E-2"/>
    <n v="0.99970000000000003"/>
    <n v="1.0019"/>
    <n v="0.997"/>
    <n v="1.0008999999999999"/>
    <n v="0.99080000000000001"/>
    <n v="0.94971499999999998"/>
    <n v="0.94078312650809337"/>
    <n v="347500"/>
    <n v="0"/>
    <n v="347500"/>
    <n v="61100"/>
    <n v="408600"/>
    <n v="-2.0103388856978748E-3"/>
    <n v="4.9342105263157892E-3"/>
    <n v="-9.7799511002444979E-4"/>
  </r>
  <r>
    <n v="2025"/>
    <s v="19120112462    "/>
    <n v="-1.8325814637483102"/>
    <n v="0.16"/>
    <n v="7000"/>
    <s v="2"/>
    <s v="RES"/>
    <s v="MX"/>
    <s v="11"/>
    <s v="259"/>
    <s v="RN"/>
    <x v="5"/>
    <s v="VG"/>
    <n v="10"/>
    <n v="17"/>
    <n v="17"/>
    <n v="2007"/>
    <n v="2007"/>
    <n v="1092"/>
    <m/>
    <m/>
    <m/>
    <m/>
    <n v="0"/>
    <n v="1092"/>
    <n v="1500"/>
    <s v="S"/>
    <m/>
    <n v="440"/>
    <m/>
    <m/>
    <m/>
    <m/>
    <m/>
    <n v="259370"/>
    <n v="241214"/>
    <n v="0"/>
    <n v="0"/>
    <n v="60800"/>
    <n v="289900"/>
    <n v="350700"/>
    <n v="132535.48800000001"/>
    <n v="88356.992000000013"/>
    <n v="-24051.387388882686"/>
    <n v="32917.849192000001"/>
    <n v="50438.379078999998"/>
    <n v="-1848.5987"/>
    <n v="68152.13496000001"/>
    <n v="0"/>
    <n v="0"/>
    <n v="15532.453640000002"/>
    <n v="0"/>
    <n v="297700"/>
    <n v="64300"/>
    <n v="362000"/>
    <n v="3.2221271742229829E-2"/>
    <n v="0.99970000000000003"/>
    <n v="1.0019"/>
    <n v="1.0007999999999999"/>
    <n v="0.99519999999999997"/>
    <n v="0.99080000000000001"/>
    <n v="0.94971499999999998"/>
    <n v="0.93899079734443147"/>
    <n v="289600"/>
    <n v="0"/>
    <n v="289600"/>
    <n v="61100"/>
    <n v="350700"/>
    <n v="-1.0348395998620215E-3"/>
    <n v="4.9342105263157892E-3"/>
    <n v="0"/>
  </r>
  <r>
    <n v="2025"/>
    <s v="19120144444    "/>
    <n v="-1.8325814637483102"/>
    <n v="0.16"/>
    <n v="7025"/>
    <s v="2"/>
    <s v="RES"/>
    <s v="MX"/>
    <s v="11"/>
    <s v="259"/>
    <s v="CO"/>
    <x v="5"/>
    <s v="VG"/>
    <n v="20"/>
    <n v="20"/>
    <n v="20"/>
    <n v="2004"/>
    <n v="2004"/>
    <n v="1458"/>
    <n v="1322"/>
    <m/>
    <m/>
    <m/>
    <n v="0"/>
    <n v="2780"/>
    <n v="3000"/>
    <s v="S"/>
    <n v="1"/>
    <m/>
    <n v="502"/>
    <m/>
    <m/>
    <m/>
    <m/>
    <n v="539324"/>
    <n v="496178"/>
    <n v="0"/>
    <n v="0"/>
    <n v="60800"/>
    <n v="380500"/>
    <n v="441300"/>
    <n v="132535.48800000001"/>
    <n v="88356.992000000013"/>
    <n v="-24051.387388882686"/>
    <n v="32917.849192000001"/>
    <n v="50438.379078999998"/>
    <n v="-2174.8220000000001"/>
    <n v="90994.334040000002"/>
    <n v="78765.266325999997"/>
    <n v="0"/>
    <n v="0"/>
    <n v="0"/>
    <n v="383500"/>
    <n v="64300"/>
    <n v="447800"/>
    <n v="1.4729209154769997E-2"/>
    <n v="0.99970000000000003"/>
    <n v="1.0019"/>
    <n v="1.0007999999999999"/>
    <n v="1.0099"/>
    <n v="1.0138"/>
    <n v="0.94971499999999998"/>
    <n v="0.97497982662787419"/>
    <n v="380200"/>
    <n v="0"/>
    <n v="380200"/>
    <n v="61100"/>
    <n v="441300"/>
    <n v="-7.8843626806833109E-4"/>
    <n v="4.9342105263157892E-3"/>
    <n v="0"/>
  </r>
  <r>
    <n v="2025"/>
    <s v="20120633443    "/>
    <n v="-1.8325814637483102"/>
    <n v="0.16"/>
    <n v="7100"/>
    <s v="2"/>
    <s v="RES"/>
    <s v="MX"/>
    <s v="11"/>
    <s v="259"/>
    <s v="CO"/>
    <x v="5"/>
    <s v="GD"/>
    <n v="10"/>
    <n v="15"/>
    <n v="15"/>
    <n v="2009"/>
    <n v="2009"/>
    <n v="1116"/>
    <n v="1116"/>
    <m/>
    <m/>
    <m/>
    <n v="0"/>
    <n v="2232"/>
    <n v="2500"/>
    <s v="S"/>
    <m/>
    <n v="440"/>
    <m/>
    <m/>
    <m/>
    <m/>
    <m/>
    <n v="441922"/>
    <n v="410987"/>
    <n v="0"/>
    <n v="0"/>
    <n v="60800"/>
    <n v="338100"/>
    <n v="398900"/>
    <n v="132535.48800000001"/>
    <n v="88356.992000000013"/>
    <n v="-24051.387388882686"/>
    <n v="32917.849192000001"/>
    <n v="30300.329274"/>
    <n v="-1631.1165000000001"/>
    <n v="69649.984080000009"/>
    <n v="66491.707427999994"/>
    <n v="0"/>
    <n v="15532.453640000002"/>
    <n v="0"/>
    <n v="345800"/>
    <n v="64300"/>
    <n v="410100"/>
    <n v="2.8077212333918276E-2"/>
    <n v="0.99970000000000003"/>
    <n v="1.0019"/>
    <n v="0.997"/>
    <n v="1.0008999999999999"/>
    <n v="0.99080000000000001"/>
    <n v="0.94971499999999998"/>
    <n v="0.94078312650809337"/>
    <n v="337900"/>
    <n v="0"/>
    <n v="337900"/>
    <n v="61100"/>
    <n v="399000"/>
    <n v="-5.9154096421177161E-4"/>
    <n v="4.9342105263157892E-3"/>
    <n v="2.5068939583855601E-4"/>
  </r>
  <r>
    <n v="2025"/>
    <s v="20120633403    "/>
    <n v="-1.8325814637483102"/>
    <n v="0.16"/>
    <n v="7157"/>
    <s v="2"/>
    <s v="RES"/>
    <s v="MX"/>
    <s v="11"/>
    <s v="259"/>
    <s v="CO"/>
    <x v="5"/>
    <s v="GD"/>
    <n v="10"/>
    <n v="15"/>
    <n v="15"/>
    <n v="2009"/>
    <n v="2009"/>
    <n v="1116"/>
    <n v="1116"/>
    <m/>
    <m/>
    <m/>
    <n v="0"/>
    <n v="2232"/>
    <n v="2500"/>
    <s v="S"/>
    <n v="1"/>
    <n v="440"/>
    <m/>
    <m/>
    <m/>
    <m/>
    <m/>
    <n v="448953"/>
    <n v="417526"/>
    <n v="0"/>
    <n v="0"/>
    <n v="60800"/>
    <n v="338100"/>
    <n v="398900"/>
    <n v="132535.48800000001"/>
    <n v="88356.992000000013"/>
    <n v="-24051.387388882686"/>
    <n v="32917.849192000001"/>
    <n v="30300.329274"/>
    <n v="-1631.1165000000001"/>
    <n v="69649.984080000009"/>
    <n v="66491.707427999994"/>
    <n v="0"/>
    <n v="15532.453640000002"/>
    <n v="0"/>
    <n v="345800"/>
    <n v="64300"/>
    <n v="410100"/>
    <n v="2.8077212333918276E-2"/>
    <n v="0.99970000000000003"/>
    <n v="1.0019"/>
    <n v="0.997"/>
    <n v="1.0008999999999999"/>
    <n v="0.99080000000000001"/>
    <n v="0.94971499999999998"/>
    <n v="0.94078312650809337"/>
    <n v="337900"/>
    <n v="0"/>
    <n v="337900"/>
    <n v="61100"/>
    <n v="399000"/>
    <n v="-5.9154096421177161E-4"/>
    <n v="4.9342105263157892E-3"/>
    <n v="2.5068939583855601E-4"/>
  </r>
  <r>
    <n v="2025"/>
    <s v="19120113582    "/>
    <n v="-1.8325814637483102"/>
    <n v="0.16"/>
    <n v="7052"/>
    <s v="2"/>
    <s v="RES"/>
    <s v="MX"/>
    <s v="11"/>
    <s v="259"/>
    <s v="RN"/>
    <x v="5"/>
    <s v="VG"/>
    <n v="10"/>
    <n v="16"/>
    <n v="16"/>
    <n v="2008"/>
    <n v="2008"/>
    <n v="1132"/>
    <m/>
    <m/>
    <m/>
    <m/>
    <n v="0"/>
    <n v="1132"/>
    <n v="1500"/>
    <s v="S"/>
    <m/>
    <n v="400"/>
    <m/>
    <m/>
    <m/>
    <m/>
    <m/>
    <n v="266308"/>
    <n v="247666"/>
    <n v="0"/>
    <n v="0"/>
    <n v="60800"/>
    <n v="291000"/>
    <n v="351800"/>
    <n v="132535.48800000001"/>
    <n v="88356.992000000013"/>
    <n v="-24051.387388882686"/>
    <n v="32917.849192000001"/>
    <n v="50438.379078999998"/>
    <n v="-1739.8576"/>
    <n v="70648.550159999999"/>
    <n v="0"/>
    <n v="0"/>
    <n v="14120.412400000001"/>
    <n v="0"/>
    <n v="298900"/>
    <n v="64300"/>
    <n v="363200"/>
    <n v="3.2404775440591248E-2"/>
    <n v="0.99970000000000003"/>
    <n v="1.0019"/>
    <n v="1.0007999999999999"/>
    <n v="0.99519999999999997"/>
    <n v="0.99080000000000001"/>
    <n v="0.94971499999999998"/>
    <n v="0.93899079734443147"/>
    <n v="290800"/>
    <n v="0"/>
    <n v="290800"/>
    <n v="61100"/>
    <n v="351900"/>
    <n v="-6.8728522336769765E-4"/>
    <n v="4.9342105263157892E-3"/>
    <n v="2.8425241614553722E-4"/>
  </r>
  <r>
    <n v="2025"/>
    <s v="20120633406    "/>
    <n v="-1.8325814637483102"/>
    <n v="0.16"/>
    <n v="7005"/>
    <s v="2"/>
    <s v="RES"/>
    <s v="MX"/>
    <s v="11"/>
    <s v="259"/>
    <s v="RN"/>
    <x v="5"/>
    <s v="VG"/>
    <n v="10"/>
    <n v="16"/>
    <n v="16"/>
    <n v="2008"/>
    <n v="2008"/>
    <n v="1172"/>
    <m/>
    <m/>
    <m/>
    <m/>
    <n v="0"/>
    <n v="1172"/>
    <n v="1500"/>
    <s v="S"/>
    <n v="1"/>
    <n v="460"/>
    <m/>
    <m/>
    <m/>
    <m/>
    <m/>
    <n v="287856"/>
    <n v="267706"/>
    <n v="0"/>
    <n v="0"/>
    <n v="60800"/>
    <n v="295500"/>
    <n v="356300"/>
    <n v="132535.48800000001"/>
    <n v="88356.992000000013"/>
    <n v="-24051.387388882686"/>
    <n v="32917.849192000001"/>
    <n v="50438.379078999998"/>
    <n v="-1739.8576"/>
    <n v="73144.965360000002"/>
    <n v="0"/>
    <n v="0"/>
    <n v="16238.474260000001"/>
    <n v="0"/>
    <n v="303500"/>
    <n v="64300"/>
    <n v="367800"/>
    <n v="3.2276171765366263E-2"/>
    <n v="0.99970000000000003"/>
    <n v="1.0019"/>
    <n v="1.0007999999999999"/>
    <n v="0.99519999999999997"/>
    <n v="0.99080000000000001"/>
    <n v="0.94971499999999998"/>
    <n v="0.93899079734443147"/>
    <n v="295400"/>
    <n v="0"/>
    <n v="295400"/>
    <n v="61100"/>
    <n v="356500"/>
    <n v="-3.3840947546531303E-4"/>
    <n v="4.9342105263157892E-3"/>
    <n v="5.6132472635419596E-4"/>
  </r>
  <r>
    <n v="2025"/>
    <s v="19120144450    "/>
    <n v="-1.8325814637483102"/>
    <n v="0.16"/>
    <n v="6944"/>
    <s v="2"/>
    <s v="RES"/>
    <s v="MX"/>
    <s v="11"/>
    <s v="259"/>
    <s v="RN"/>
    <x v="5"/>
    <s v="GD"/>
    <n v="20"/>
    <n v="20"/>
    <n v="20"/>
    <n v="2004"/>
    <n v="2004"/>
    <n v="1092"/>
    <m/>
    <m/>
    <m/>
    <m/>
    <n v="0"/>
    <n v="1092"/>
    <n v="1500"/>
    <s v="S"/>
    <m/>
    <n v="440"/>
    <m/>
    <m/>
    <m/>
    <m/>
    <m/>
    <n v="258810"/>
    <n v="235517"/>
    <n v="0"/>
    <n v="0"/>
    <n v="60800"/>
    <n v="271500"/>
    <n v="332300"/>
    <n v="132535.48800000001"/>
    <n v="88356.992000000013"/>
    <n v="-24051.387388882686"/>
    <n v="32917.849192000001"/>
    <n v="30300.329274"/>
    <n v="-2174.8220000000001"/>
    <n v="68152.13496000001"/>
    <n v="0"/>
    <n v="0"/>
    <n v="15532.453640000002"/>
    <n v="0"/>
    <n v="277300"/>
    <n v="64300"/>
    <n v="341600"/>
    <n v="2.7986758952753536E-2"/>
    <n v="0.99970000000000003"/>
    <n v="1.0019"/>
    <n v="0.997"/>
    <n v="0.99519999999999997"/>
    <n v="1.0138"/>
    <n v="0.94971499999999998"/>
    <n v="0.95714004466263625"/>
    <n v="271600"/>
    <n v="0"/>
    <n v="271600"/>
    <n v="61100"/>
    <n v="332700"/>
    <n v="3.6832412523020257E-4"/>
    <n v="4.9342105263157892E-3"/>
    <n v="1.2037315678603672E-3"/>
  </r>
  <r>
    <n v="2025"/>
    <s v="19120144441    "/>
    <n v="-1.8325814637483102"/>
    <n v="0.16"/>
    <n v="7000"/>
    <s v="2"/>
    <s v="RES"/>
    <s v="MX"/>
    <s v="11"/>
    <s v="259"/>
    <s v="RN"/>
    <x v="5"/>
    <s v="GD"/>
    <n v="20"/>
    <n v="20"/>
    <n v="20"/>
    <n v="2004"/>
    <n v="2004"/>
    <n v="1092"/>
    <m/>
    <m/>
    <m/>
    <m/>
    <n v="0"/>
    <n v="1092"/>
    <n v="1500"/>
    <s v="S"/>
    <m/>
    <n v="440"/>
    <m/>
    <m/>
    <m/>
    <m/>
    <m/>
    <n v="259269"/>
    <n v="235935"/>
    <n v="0"/>
    <n v="0"/>
    <n v="60800"/>
    <n v="271500"/>
    <n v="332300"/>
    <n v="132535.48800000001"/>
    <n v="88356.992000000013"/>
    <n v="-24051.387388882686"/>
    <n v="32917.849192000001"/>
    <n v="30300.329274"/>
    <n v="-2174.8220000000001"/>
    <n v="68152.13496000001"/>
    <n v="0"/>
    <n v="0"/>
    <n v="15532.453640000002"/>
    <n v="0"/>
    <n v="277300"/>
    <n v="64300"/>
    <n v="341600"/>
    <n v="2.7986758952753536E-2"/>
    <n v="0.99970000000000003"/>
    <n v="1.0019"/>
    <n v="0.997"/>
    <n v="0.99519999999999997"/>
    <n v="1.0138"/>
    <n v="0.94971499999999998"/>
    <n v="0.95714004466263625"/>
    <n v="271600"/>
    <n v="0"/>
    <n v="271600"/>
    <n v="61100"/>
    <n v="332700"/>
    <n v="3.6832412523020257E-4"/>
    <n v="4.9342105263157892E-3"/>
    <n v="1.2037315678603672E-3"/>
  </r>
  <r>
    <n v="2025"/>
    <s v="20120633405    "/>
    <n v="-1.8325814637483102"/>
    <n v="0.16"/>
    <n v="7033"/>
    <s v="2"/>
    <s v="RES"/>
    <s v="MX"/>
    <s v="11"/>
    <s v="259"/>
    <s v="CP"/>
    <x v="5"/>
    <s v="GD"/>
    <n v="10"/>
    <n v="14"/>
    <n v="14"/>
    <n v="2010"/>
    <n v="2010"/>
    <n v="1114"/>
    <n v="1114"/>
    <m/>
    <m/>
    <m/>
    <n v="0"/>
    <n v="2228"/>
    <n v="2500"/>
    <s v="S"/>
    <m/>
    <n v="440"/>
    <m/>
    <m/>
    <m/>
    <m/>
    <m/>
    <n v="438288"/>
    <n v="407608"/>
    <n v="0"/>
    <n v="0"/>
    <n v="60800"/>
    <n v="337600"/>
    <n v="398400"/>
    <n v="132535.48800000001"/>
    <n v="88356.992000000013"/>
    <n v="-24051.387388882686"/>
    <n v="32917.849192000001"/>
    <n v="30300.329274"/>
    <n v="-1522.3754000000001"/>
    <n v="69525.163320000007"/>
    <n v="66372.546661999993"/>
    <n v="0"/>
    <n v="15532.453640000002"/>
    <n v="0"/>
    <n v="345700"/>
    <n v="64300"/>
    <n v="410000"/>
    <n v="2.9116465863453816E-2"/>
    <n v="0.99970000000000003"/>
    <n v="1.0019"/>
    <n v="0.997"/>
    <n v="1.0008999999999999"/>
    <n v="0.99080000000000001"/>
    <n v="0.94971499999999998"/>
    <n v="0.94078312650809337"/>
    <n v="337800"/>
    <n v="0"/>
    <n v="337800"/>
    <n v="61100"/>
    <n v="398900"/>
    <n v="5.9241706161137445E-4"/>
    <n v="4.9342105263157892E-3"/>
    <n v="1.2550200803212851E-3"/>
  </r>
  <r>
    <n v="2025"/>
    <s v="19120141452    "/>
    <n v="-1.8325814637483102"/>
    <n v="0.16"/>
    <n v="7161"/>
    <s v="2"/>
    <s v="RES"/>
    <s v="MX"/>
    <s v="11"/>
    <s v="259"/>
    <s v="RN"/>
    <x v="5"/>
    <s v="GD"/>
    <n v="10"/>
    <n v="19"/>
    <n v="19"/>
    <n v="2005"/>
    <n v="2005"/>
    <n v="1380"/>
    <m/>
    <m/>
    <m/>
    <m/>
    <n v="0"/>
    <n v="1380"/>
    <n v="1500"/>
    <s v="S"/>
    <m/>
    <n v="428"/>
    <m/>
    <m/>
    <m/>
    <m/>
    <m/>
    <n v="311438"/>
    <n v="283409"/>
    <n v="0"/>
    <n v="0"/>
    <n v="60800"/>
    <n v="286000"/>
    <n v="346800"/>
    <n v="132535.48800000001"/>
    <n v="88356.992000000013"/>
    <n v="-24051.387388882686"/>
    <n v="32917.849192000001"/>
    <n v="30300.329274"/>
    <n v="-2066.0808999999999"/>
    <n v="86126.324399999998"/>
    <n v="0"/>
    <n v="0"/>
    <n v="15108.841268"/>
    <n v="0"/>
    <n v="294900"/>
    <n v="64300"/>
    <n v="359200"/>
    <n v="3.5755478662053058E-2"/>
    <n v="0.99970000000000003"/>
    <n v="1.0019"/>
    <n v="0.997"/>
    <n v="0.99519999999999997"/>
    <n v="0.99080000000000001"/>
    <n v="0.94971499999999998"/>
    <n v="0.9354254845647465"/>
    <n v="286400"/>
    <n v="0"/>
    <n v="286400"/>
    <n v="61100"/>
    <n v="347500"/>
    <n v="1.3986013986013986E-3"/>
    <n v="4.9342105263157892E-3"/>
    <n v="2.0184544405997692E-3"/>
  </r>
  <r>
    <n v="2025"/>
    <s v="19120141516    "/>
    <n v="-1.8325814637483102"/>
    <n v="0.16"/>
    <n v="6998"/>
    <s v="2"/>
    <s v="RES"/>
    <s v="MX"/>
    <s v="11"/>
    <s v="259"/>
    <s v="CO"/>
    <x v="5"/>
    <s v="GD"/>
    <n v="10"/>
    <n v="19"/>
    <n v="19"/>
    <n v="2005"/>
    <n v="2005"/>
    <n v="1116"/>
    <n v="1116"/>
    <m/>
    <m/>
    <m/>
    <n v="0"/>
    <n v="2232"/>
    <n v="2500"/>
    <s v="S"/>
    <n v="1"/>
    <n v="716"/>
    <m/>
    <m/>
    <m/>
    <m/>
    <m/>
    <n v="461976"/>
    <n v="420398"/>
    <n v="0"/>
    <n v="0"/>
    <n v="60800"/>
    <n v="346400"/>
    <n v="407200"/>
    <n v="132535.48800000001"/>
    <n v="88356.992000000013"/>
    <n v="-24051.387388882686"/>
    <n v="32917.849192000001"/>
    <n v="30300.329274"/>
    <n v="-2066.0808999999999"/>
    <n v="69649.984080000009"/>
    <n v="66491.707427999994"/>
    <n v="0"/>
    <n v="25275.538196000001"/>
    <n v="0"/>
    <n v="355100"/>
    <n v="64300"/>
    <n v="419400"/>
    <n v="2.9960707269155205E-2"/>
    <n v="0.99970000000000003"/>
    <n v="1.0019"/>
    <n v="0.997"/>
    <n v="1.0008999999999999"/>
    <n v="0.99080000000000001"/>
    <n v="0.94971499999999998"/>
    <n v="0.94078312650809337"/>
    <n v="347300"/>
    <n v="0"/>
    <n v="347300"/>
    <n v="61100"/>
    <n v="408400"/>
    <n v="2.5981524249422631E-3"/>
    <n v="4.9342105263157892E-3"/>
    <n v="2.9469548133595285E-3"/>
  </r>
  <r>
    <n v="2025"/>
    <s v="19120112444    "/>
    <n v="-1.8325814637483102"/>
    <n v="0.16"/>
    <n v="7023"/>
    <s v="2"/>
    <s v="RES"/>
    <s v="MX"/>
    <s v="11"/>
    <s v="259"/>
    <s v="RN"/>
    <x v="5"/>
    <s v="GD"/>
    <n v="10"/>
    <n v="17"/>
    <n v="17"/>
    <n v="2007"/>
    <n v="2007"/>
    <n v="1706"/>
    <m/>
    <m/>
    <m/>
    <m/>
    <n v="0"/>
    <n v="1706"/>
    <n v="2000"/>
    <s v="S"/>
    <m/>
    <n v="466"/>
    <m/>
    <m/>
    <m/>
    <m/>
    <m/>
    <n v="377448"/>
    <n v="347252"/>
    <n v="0"/>
    <n v="0"/>
    <n v="60800"/>
    <n v="307200"/>
    <n v="368000"/>
    <n v="132535.48800000001"/>
    <n v="88356.992000000013"/>
    <n v="-24051.387388882686"/>
    <n v="32917.849192000001"/>
    <n v="30300.329274"/>
    <n v="-1848.5987"/>
    <n v="106472.10828"/>
    <n v="0"/>
    <n v="0"/>
    <n v="16450.280446000001"/>
    <n v="0"/>
    <n v="316800"/>
    <n v="64300"/>
    <n v="381100"/>
    <n v="3.5597826086956524E-2"/>
    <n v="0.99970000000000003"/>
    <n v="1.0019"/>
    <n v="0.997"/>
    <n v="1.0007999999999999"/>
    <n v="0.99080000000000001"/>
    <n v="0.94971499999999998"/>
    <n v="0.94068913278978916"/>
    <n v="309000"/>
    <n v="0"/>
    <n v="309000"/>
    <n v="61100"/>
    <n v="370100"/>
    <n v="5.859375E-3"/>
    <n v="4.9342105263157892E-3"/>
    <n v="5.7065217391304348E-3"/>
  </r>
  <r>
    <n v="2025"/>
    <s v="19120112409    "/>
    <n v="-1.8325814637483102"/>
    <n v="0.16"/>
    <n v="7031"/>
    <s v="2"/>
    <s v="RES"/>
    <s v="MX"/>
    <s v="11"/>
    <s v="259"/>
    <s v="CO"/>
    <x v="5"/>
    <s v="GD"/>
    <n v="10"/>
    <n v="18"/>
    <n v="18"/>
    <n v="2006"/>
    <n v="2006"/>
    <n v="1116"/>
    <n v="1116"/>
    <m/>
    <m/>
    <m/>
    <n v="0"/>
    <n v="2232"/>
    <n v="2500"/>
    <s v="S"/>
    <n v="1"/>
    <n v="440"/>
    <m/>
    <m/>
    <m/>
    <m/>
    <m/>
    <n v="454336"/>
    <n v="413446"/>
    <n v="0"/>
    <n v="0"/>
    <n v="60800"/>
    <n v="335400"/>
    <n v="396200"/>
    <n v="132535.48800000001"/>
    <n v="88356.992000000013"/>
    <n v="-24051.387388882686"/>
    <n v="32917.849192000001"/>
    <n v="30300.329274"/>
    <n v="-1957.3398"/>
    <n v="69649.984080000009"/>
    <n v="66491.707427999994"/>
    <n v="0"/>
    <n v="15532.453640000002"/>
    <n v="0"/>
    <n v="345500"/>
    <n v="64300"/>
    <n v="409800"/>
    <n v="3.4326097930338216E-2"/>
    <n v="0.99970000000000003"/>
    <n v="1.0019"/>
    <n v="0.997"/>
    <n v="1.0008999999999999"/>
    <n v="0.99080000000000001"/>
    <n v="0.94971499999999998"/>
    <n v="0.94078312650809337"/>
    <n v="337600"/>
    <n v="0"/>
    <n v="337600"/>
    <n v="61100"/>
    <n v="398700"/>
    <n v="6.5593321407274897E-3"/>
    <n v="4.9342105263157892E-3"/>
    <n v="6.3099444724886425E-3"/>
  </r>
  <r>
    <n v="2025"/>
    <s v="19120144543    "/>
    <n v="-1.8325814637483102"/>
    <n v="0.16"/>
    <n v="7148"/>
    <s v="2"/>
    <s v="RES"/>
    <s v="MX"/>
    <s v="11"/>
    <s v="259"/>
    <s v="RN"/>
    <x v="4"/>
    <s v="GD"/>
    <n v="20"/>
    <n v="20"/>
    <n v="20"/>
    <n v="2004"/>
    <n v="2004"/>
    <n v="1364"/>
    <m/>
    <m/>
    <m/>
    <m/>
    <n v="0"/>
    <n v="1364"/>
    <n v="1500"/>
    <s v="S"/>
    <m/>
    <n v="428"/>
    <m/>
    <m/>
    <m/>
    <m/>
    <m/>
    <n v="273939"/>
    <n v="249284"/>
    <n v="0"/>
    <n v="0"/>
    <n v="60800"/>
    <n v="289900"/>
    <n v="350700"/>
    <n v="132535.48800000001"/>
    <n v="88356.992000000013"/>
    <n v="-24051.387388882686"/>
    <n v="37154.252388000001"/>
    <n v="30300.329274"/>
    <n v="-2174.8220000000001"/>
    <n v="85127.758320000008"/>
    <n v="0"/>
    <n v="0"/>
    <n v="15108.841268"/>
    <n v="0"/>
    <n v="298100"/>
    <n v="64300"/>
    <n v="362400"/>
    <n v="3.3361847733105215E-2"/>
    <n v="0.99970000000000003"/>
    <n v="0.99819999999999998"/>
    <n v="0.997"/>
    <n v="0.99519999999999997"/>
    <n v="1.0138"/>
    <n v="0.94971499999999998"/>
    <n v="0.95360534243162343"/>
    <n v="291900"/>
    <n v="0"/>
    <n v="291900"/>
    <n v="61100"/>
    <n v="353000"/>
    <n v="6.8989306657468094E-3"/>
    <n v="4.9342105263157892E-3"/>
    <n v="6.5583119475335046E-3"/>
  </r>
  <r>
    <n v="2025"/>
    <s v="19120112423    "/>
    <n v="-1.8325814637483102"/>
    <n v="0.16"/>
    <n v="6875"/>
    <s v="2"/>
    <s v="RES"/>
    <s v="MX"/>
    <s v="11"/>
    <s v="259"/>
    <s v="RN"/>
    <x v="5"/>
    <s v="GD"/>
    <n v="10"/>
    <n v="17"/>
    <n v="17"/>
    <n v="2007"/>
    <n v="2007"/>
    <n v="1536"/>
    <m/>
    <m/>
    <m/>
    <m/>
    <n v="0"/>
    <n v="1536"/>
    <n v="2000"/>
    <s v="S"/>
    <m/>
    <n v="440"/>
    <m/>
    <m/>
    <m/>
    <m/>
    <m/>
    <n v="335064"/>
    <n v="308259"/>
    <n v="0"/>
    <n v="0"/>
    <n v="60800"/>
    <n v="295300"/>
    <n v="356100"/>
    <n v="132535.48800000001"/>
    <n v="88356.992000000013"/>
    <n v="-24051.387388882686"/>
    <n v="32917.849192000001"/>
    <n v="30300.329274"/>
    <n v="-1848.5987"/>
    <n v="95862.343680000005"/>
    <n v="0"/>
    <n v="0"/>
    <n v="15532.453640000002"/>
    <n v="0"/>
    <n v="305300"/>
    <n v="64300"/>
    <n v="369600"/>
    <n v="3.7910699241786014E-2"/>
    <n v="0.99970000000000003"/>
    <n v="1.0019"/>
    <n v="0.997"/>
    <n v="1.0007999999999999"/>
    <n v="0.99080000000000001"/>
    <n v="0.94971499999999998"/>
    <n v="0.94068913278978916"/>
    <n v="297400"/>
    <n v="0"/>
    <n v="297400"/>
    <n v="61100"/>
    <n v="358500"/>
    <n v="7.1114121232644769E-3"/>
    <n v="4.9342105263157892E-3"/>
    <n v="6.7396798652064023E-3"/>
  </r>
  <r>
    <n v="2025"/>
    <s v="19120141466    "/>
    <n v="-1.8325814637483102"/>
    <n v="0.16"/>
    <n v="6993"/>
    <s v="2"/>
    <s v="RES"/>
    <s v="MX"/>
    <s v="11"/>
    <s v="259"/>
    <s v="CO"/>
    <x v="5"/>
    <s v="GD"/>
    <n v="10"/>
    <n v="19"/>
    <n v="19"/>
    <n v="2005"/>
    <n v="2005"/>
    <n v="1116"/>
    <n v="1116"/>
    <m/>
    <m/>
    <m/>
    <n v="0"/>
    <n v="2232"/>
    <n v="2500"/>
    <s v="S"/>
    <m/>
    <n v="440"/>
    <m/>
    <m/>
    <m/>
    <m/>
    <m/>
    <n v="444224"/>
    <n v="404244"/>
    <n v="0"/>
    <n v="0"/>
    <n v="60800"/>
    <n v="334500"/>
    <n v="395300"/>
    <n v="132535.48800000001"/>
    <n v="88356.992000000013"/>
    <n v="-24051.387388882686"/>
    <n v="32917.849192000001"/>
    <n v="30300.329274"/>
    <n v="-2066.0808999999999"/>
    <n v="69649.984080000009"/>
    <n v="66491.707427999994"/>
    <n v="0"/>
    <n v="15532.453640000002"/>
    <n v="0"/>
    <n v="345400"/>
    <n v="64300"/>
    <n v="409700"/>
    <n v="3.6428029344801417E-2"/>
    <n v="0.99970000000000003"/>
    <n v="1.0019"/>
    <n v="0.997"/>
    <n v="1.0008999999999999"/>
    <n v="0.99080000000000001"/>
    <n v="0.94971499999999998"/>
    <n v="0.94078312650809337"/>
    <n v="337500"/>
    <n v="0"/>
    <n v="337500"/>
    <n v="61100"/>
    <n v="398600"/>
    <n v="8.9686098654708519E-3"/>
    <n v="4.9342105263157892E-3"/>
    <n v="8.3480900581836583E-3"/>
  </r>
  <r>
    <n v="2025"/>
    <s v="19120141468    "/>
    <n v="-1.8325814637483102"/>
    <n v="0.16"/>
    <n v="7009"/>
    <s v="2"/>
    <s v="RES"/>
    <s v="MX"/>
    <s v="11"/>
    <s v="259"/>
    <s v="CO"/>
    <x v="5"/>
    <s v="GD"/>
    <n v="10"/>
    <n v="19"/>
    <n v="19"/>
    <n v="2005"/>
    <n v="2005"/>
    <n v="1116"/>
    <n v="1116"/>
    <m/>
    <m/>
    <m/>
    <n v="0"/>
    <n v="2232"/>
    <n v="2500"/>
    <s v="S"/>
    <n v="1"/>
    <n v="440"/>
    <m/>
    <m/>
    <m/>
    <m/>
    <m/>
    <n v="447366"/>
    <n v="407103"/>
    <n v="0"/>
    <n v="0"/>
    <n v="60800"/>
    <n v="334500"/>
    <n v="395300"/>
    <n v="132535.48800000001"/>
    <n v="88356.992000000013"/>
    <n v="-24051.387388882686"/>
    <n v="32917.849192000001"/>
    <n v="30300.329274"/>
    <n v="-2066.0808999999999"/>
    <n v="69649.984080000009"/>
    <n v="66491.707427999994"/>
    <n v="0"/>
    <n v="15532.453640000002"/>
    <n v="0"/>
    <n v="345400"/>
    <n v="64300"/>
    <n v="409700"/>
    <n v="3.6428029344801417E-2"/>
    <n v="0.99970000000000003"/>
    <n v="1.0019"/>
    <n v="0.997"/>
    <n v="1.0008999999999999"/>
    <n v="0.99080000000000001"/>
    <n v="0.94971499999999998"/>
    <n v="0.94078312650809337"/>
    <n v="337500"/>
    <n v="0"/>
    <n v="337500"/>
    <n v="61100"/>
    <n v="398600"/>
    <n v="8.9686098654708519E-3"/>
    <n v="4.9342105263157892E-3"/>
    <n v="8.3480900581836583E-3"/>
  </r>
  <r>
    <n v="2025"/>
    <s v="19120141539    "/>
    <n v="-1.8325814637483102"/>
    <n v="0.16"/>
    <n v="7138"/>
    <s v="2"/>
    <s v="RES"/>
    <s v="MX"/>
    <s v="11"/>
    <s v="259"/>
    <s v="CO"/>
    <x v="5"/>
    <s v="GD"/>
    <n v="10"/>
    <n v="19"/>
    <n v="19"/>
    <n v="2005"/>
    <n v="2005"/>
    <n v="1116"/>
    <n v="1116"/>
    <m/>
    <m/>
    <m/>
    <n v="0"/>
    <n v="2232"/>
    <n v="2500"/>
    <s v="S"/>
    <n v="1"/>
    <n v="440"/>
    <m/>
    <m/>
    <m/>
    <m/>
    <m/>
    <n v="444722"/>
    <n v="404697"/>
    <n v="0"/>
    <n v="0"/>
    <n v="60800"/>
    <n v="334500"/>
    <n v="395300"/>
    <n v="132535.48800000001"/>
    <n v="88356.992000000013"/>
    <n v="-24051.387388882686"/>
    <n v="32917.849192000001"/>
    <n v="30300.329274"/>
    <n v="-2066.0808999999999"/>
    <n v="69649.984080000009"/>
    <n v="66491.707427999994"/>
    <n v="0"/>
    <n v="15532.453640000002"/>
    <n v="0"/>
    <n v="345400"/>
    <n v="64300"/>
    <n v="409700"/>
    <n v="3.6428029344801417E-2"/>
    <n v="0.99970000000000003"/>
    <n v="1.0019"/>
    <n v="0.997"/>
    <n v="1.0008999999999999"/>
    <n v="0.99080000000000001"/>
    <n v="0.94971499999999998"/>
    <n v="0.94078312650809337"/>
    <n v="337500"/>
    <n v="0"/>
    <n v="337500"/>
    <n v="61100"/>
    <n v="398600"/>
    <n v="8.9686098654708519E-3"/>
    <n v="4.9342105263157892E-3"/>
    <n v="8.3480900581836583E-3"/>
  </r>
  <r>
    <n v="2025"/>
    <s v="20120633461    "/>
    <n v="-1.8325814637483102"/>
    <n v="0.16"/>
    <n v="7095"/>
    <s v="2"/>
    <s v="RES"/>
    <s v="MX"/>
    <s v="11"/>
    <s v="259"/>
    <s v="CP"/>
    <x v="4"/>
    <s v="VG"/>
    <n v="10"/>
    <n v="14"/>
    <n v="14"/>
    <n v="2010"/>
    <n v="2010"/>
    <n v="1721"/>
    <m/>
    <m/>
    <m/>
    <m/>
    <n v="0"/>
    <n v="1721"/>
    <n v="2000"/>
    <s v="S"/>
    <n v="1"/>
    <n v="435"/>
    <m/>
    <m/>
    <m/>
    <m/>
    <m/>
    <n v="334766"/>
    <n v="314680"/>
    <n v="0"/>
    <n v="0"/>
    <n v="60800"/>
    <n v="330500"/>
    <n v="391300"/>
    <n v="132535.48800000001"/>
    <n v="88356.992000000013"/>
    <n v="-24051.387388882686"/>
    <n v="37154.252388000001"/>
    <n v="50438.379078999998"/>
    <n v="-1522.3754000000001"/>
    <n v="107408.26398"/>
    <n v="0"/>
    <n v="0"/>
    <n v="15355.948485000001"/>
    <n v="0"/>
    <n v="341400"/>
    <n v="64300"/>
    <n v="405700"/>
    <n v="3.6800408893432147E-2"/>
    <n v="0.99970000000000003"/>
    <n v="0.99819999999999998"/>
    <n v="1.0007999999999999"/>
    <n v="1.0007999999999999"/>
    <n v="0.99080000000000001"/>
    <n v="0.94971499999999998"/>
    <n v="0.9407873176017203"/>
    <n v="333500"/>
    <n v="0"/>
    <n v="333500"/>
    <n v="61100"/>
    <n v="394600"/>
    <n v="9.0771558245083209E-3"/>
    <n v="4.9342105263157892E-3"/>
    <n v="8.4334270380782006E-3"/>
  </r>
  <r>
    <n v="2025"/>
    <s v="19120113585    "/>
    <n v="-1.8325814637483102"/>
    <n v="0.16"/>
    <n v="7077"/>
    <s v="2"/>
    <s v="RES"/>
    <s v="MX"/>
    <s v="11"/>
    <s v="259"/>
    <s v="RN"/>
    <x v="5"/>
    <s v="GD"/>
    <n v="10"/>
    <n v="16"/>
    <n v="16"/>
    <n v="2008"/>
    <n v="2008"/>
    <n v="1722"/>
    <m/>
    <m/>
    <m/>
    <m/>
    <n v="0"/>
    <n v="1722"/>
    <n v="2000"/>
    <s v="S"/>
    <m/>
    <n v="450"/>
    <m/>
    <m/>
    <m/>
    <m/>
    <m/>
    <n v="376951"/>
    <n v="346795"/>
    <n v="0"/>
    <n v="0"/>
    <n v="60800"/>
    <n v="306500"/>
    <n v="367300"/>
    <n v="132535.48800000001"/>
    <n v="88356.992000000013"/>
    <n v="-24051.387388882686"/>
    <n v="32917.849192000001"/>
    <n v="30300.329274"/>
    <n v="-1739.8576"/>
    <n v="107470.67436"/>
    <n v="0"/>
    <n v="0"/>
    <n v="15885.463950000001"/>
    <n v="0"/>
    <n v="317400"/>
    <n v="64300"/>
    <n v="381700"/>
    <n v="3.9205009528995374E-2"/>
    <n v="0.99970000000000003"/>
    <n v="1.0019"/>
    <n v="0.997"/>
    <n v="1.0007999999999999"/>
    <n v="0.99080000000000001"/>
    <n v="0.94971499999999998"/>
    <n v="0.94068913278978916"/>
    <n v="309500"/>
    <n v="0"/>
    <n v="309500"/>
    <n v="61100"/>
    <n v="370600"/>
    <n v="9.7879282218597055E-3"/>
    <n v="4.9342105263157892E-3"/>
    <n v="8.984481350394773E-3"/>
  </r>
  <r>
    <n v="2025"/>
    <s v="19120141511    "/>
    <n v="-1.8325814637483102"/>
    <n v="0.16"/>
    <n v="6999"/>
    <s v="2"/>
    <s v="RES"/>
    <s v="MX"/>
    <s v="11"/>
    <s v="259"/>
    <s v="RN"/>
    <x v="5"/>
    <s v="GD"/>
    <n v="10"/>
    <n v="19"/>
    <n v="19"/>
    <n v="2005"/>
    <n v="2005"/>
    <n v="1706"/>
    <m/>
    <m/>
    <m/>
    <m/>
    <n v="0"/>
    <n v="1706"/>
    <n v="2000"/>
    <s v="S"/>
    <m/>
    <n v="466"/>
    <m/>
    <m/>
    <m/>
    <m/>
    <m/>
    <n v="375686"/>
    <n v="341874"/>
    <n v="0"/>
    <n v="0"/>
    <n v="60800"/>
    <n v="305400"/>
    <n v="366200"/>
    <n v="132535.48800000001"/>
    <n v="88356.992000000013"/>
    <n v="-24051.387388882686"/>
    <n v="32917.849192000001"/>
    <n v="30300.329274"/>
    <n v="-2066.0808999999999"/>
    <n v="106472.10828"/>
    <n v="0"/>
    <n v="0"/>
    <n v="16450.280446000001"/>
    <n v="0"/>
    <n v="316600"/>
    <n v="64300"/>
    <n v="380900"/>
    <n v="4.0141998907700711E-2"/>
    <n v="0.99970000000000003"/>
    <n v="1.0019"/>
    <n v="0.997"/>
    <n v="1.0007999999999999"/>
    <n v="0.99080000000000001"/>
    <n v="0.94971499999999998"/>
    <n v="0.94068913278978916"/>
    <n v="308700"/>
    <n v="0"/>
    <n v="308700"/>
    <n v="61100"/>
    <n v="369800"/>
    <n v="1.0805500982318271E-2"/>
    <n v="4.9342105263157892E-3"/>
    <n v="9.8306936100491533E-3"/>
  </r>
  <r>
    <n v="2025"/>
    <s v="19120144425    "/>
    <n v="-1.8325814637483102"/>
    <n v="0.16"/>
    <n v="7001"/>
    <s v="2"/>
    <s v="RES"/>
    <s v="MX"/>
    <s v="11"/>
    <s v="259"/>
    <s v="RN"/>
    <x v="5"/>
    <s v="GD"/>
    <n v="20"/>
    <n v="20"/>
    <n v="20"/>
    <n v="2004"/>
    <n v="2004"/>
    <n v="1380"/>
    <m/>
    <m/>
    <m/>
    <m/>
    <n v="0"/>
    <n v="1380"/>
    <n v="1500"/>
    <s v="S"/>
    <m/>
    <n v="428"/>
    <m/>
    <m/>
    <m/>
    <m/>
    <m/>
    <n v="308394"/>
    <n v="280639"/>
    <n v="0"/>
    <n v="0"/>
    <n v="60800"/>
    <n v="285100"/>
    <n v="345900"/>
    <n v="132535.48800000001"/>
    <n v="88356.992000000013"/>
    <n v="-24051.387388882686"/>
    <n v="32917.849192000001"/>
    <n v="30300.329274"/>
    <n v="-2174.8220000000001"/>
    <n v="86126.324399999998"/>
    <n v="0"/>
    <n v="0"/>
    <n v="15108.841268"/>
    <n v="0"/>
    <n v="294800"/>
    <n v="64300"/>
    <n v="359100"/>
    <n v="3.8161318300086733E-2"/>
    <n v="0.99970000000000003"/>
    <n v="1.0019"/>
    <n v="0.997"/>
    <n v="0.99519999999999997"/>
    <n v="1.0138"/>
    <n v="0.94971499999999998"/>
    <n v="0.95714004466263625"/>
    <n v="289100"/>
    <n v="0"/>
    <n v="289100"/>
    <n v="61100"/>
    <n v="350200"/>
    <n v="1.403016485443704E-2"/>
    <n v="4.9342105263157892E-3"/>
    <n v="1.2431338537149466E-2"/>
  </r>
  <r>
    <n v="2025"/>
    <s v="19120112418    "/>
    <n v="-1.8325814637483102"/>
    <n v="0.16"/>
    <n v="7078"/>
    <s v="2"/>
    <s v="RES"/>
    <s v="MX"/>
    <s v="11"/>
    <s v="259"/>
    <s v="CO"/>
    <x v="5"/>
    <s v="VG"/>
    <n v="10"/>
    <n v="18"/>
    <n v="18"/>
    <n v="2006"/>
    <n v="2006"/>
    <n v="1116"/>
    <n v="1116"/>
    <m/>
    <m/>
    <m/>
    <n v="0"/>
    <n v="2232"/>
    <n v="2500"/>
    <s v="S"/>
    <n v="1"/>
    <n v="716"/>
    <m/>
    <m/>
    <m/>
    <m/>
    <m/>
    <n v="468920"/>
    <n v="431406"/>
    <n v="0"/>
    <n v="0"/>
    <n v="60800"/>
    <n v="362800"/>
    <n v="423600"/>
    <n v="132535.48800000001"/>
    <n v="88356.992000000013"/>
    <n v="-24051.387388882686"/>
    <n v="32917.849192000001"/>
    <n v="50438.379078999998"/>
    <n v="-1957.3398"/>
    <n v="69649.984080000009"/>
    <n v="66491.707427999994"/>
    <n v="0"/>
    <n v="25275.538196000001"/>
    <n v="0"/>
    <n v="375400"/>
    <n v="64300"/>
    <n v="439700"/>
    <n v="3.8007554296506138E-2"/>
    <n v="0.99970000000000003"/>
    <n v="1.0019"/>
    <n v="1.0007999999999999"/>
    <n v="1.0008999999999999"/>
    <n v="0.99080000000000001"/>
    <n v="0.94971499999999998"/>
    <n v="0.94436885958806405"/>
    <n v="368000"/>
    <n v="0"/>
    <n v="368000"/>
    <n v="61100"/>
    <n v="429100"/>
    <n v="1.4332965821389196E-2"/>
    <n v="4.9342105263157892E-3"/>
    <n v="1.2983947119924457E-2"/>
  </r>
  <r>
    <n v="2025"/>
    <s v="20120633464    "/>
    <n v="-1.8325814637483102"/>
    <n v="0.16"/>
    <n v="7098"/>
    <s v="2"/>
    <s v="RES"/>
    <s v="MX"/>
    <s v="11"/>
    <s v="259"/>
    <s v="CP"/>
    <x v="5"/>
    <s v="VG"/>
    <n v="10"/>
    <n v="14"/>
    <n v="14"/>
    <n v="2010"/>
    <n v="2010"/>
    <n v="1737"/>
    <m/>
    <m/>
    <m/>
    <m/>
    <n v="0"/>
    <n v="1737"/>
    <n v="2000"/>
    <s v="S"/>
    <m/>
    <n v="435"/>
    <m/>
    <m/>
    <m/>
    <m/>
    <m/>
    <n v="373825"/>
    <n v="351396"/>
    <n v="0"/>
    <n v="0"/>
    <n v="60800"/>
    <n v="325700"/>
    <n v="386500"/>
    <n v="132535.48800000001"/>
    <n v="88356.992000000013"/>
    <n v="-24051.387388882686"/>
    <n v="32917.849192000001"/>
    <n v="50438.379078999998"/>
    <n v="-1522.3754000000001"/>
    <n v="108406.83006000001"/>
    <n v="0"/>
    <n v="0"/>
    <n v="15355.948485000001"/>
    <n v="0"/>
    <n v="338100"/>
    <n v="64300"/>
    <n v="402400"/>
    <n v="4.113842173350582E-2"/>
    <n v="0.99970000000000003"/>
    <n v="1.0019"/>
    <n v="1.0007999999999999"/>
    <n v="1.0007999999999999"/>
    <n v="0.99080000000000001"/>
    <n v="0.94971499999999998"/>
    <n v="0.94427450761887755"/>
    <n v="330700"/>
    <n v="0"/>
    <n v="330700"/>
    <n v="61100"/>
    <n v="391800"/>
    <n v="1.5351550506601168E-2"/>
    <n v="4.9342105263157892E-3"/>
    <n v="1.371280724450194E-2"/>
  </r>
  <r>
    <n v="2025"/>
    <s v="19120112463    "/>
    <n v="-1.8325814637483102"/>
    <n v="0.16"/>
    <n v="7000"/>
    <s v="2"/>
    <s v="RES"/>
    <s v="MX"/>
    <s v="11"/>
    <s v="259"/>
    <s v="RN"/>
    <x v="5"/>
    <s v="VG"/>
    <n v="10"/>
    <n v="17"/>
    <n v="17"/>
    <n v="2007"/>
    <n v="2007"/>
    <n v="1368"/>
    <m/>
    <m/>
    <m/>
    <m/>
    <n v="0"/>
    <n v="1368"/>
    <n v="1500"/>
    <s v="S"/>
    <n v="1"/>
    <n v="440"/>
    <m/>
    <m/>
    <m/>
    <m/>
    <m/>
    <n v="312351"/>
    <n v="290486"/>
    <n v="0"/>
    <n v="0"/>
    <n v="60800"/>
    <n v="302000"/>
    <n v="362800"/>
    <n v="132535.48800000001"/>
    <n v="88356.992000000013"/>
    <n v="-24051.387388882686"/>
    <n v="32917.849192000001"/>
    <n v="50438.379078999998"/>
    <n v="-1848.5987"/>
    <n v="85377.399839999998"/>
    <n v="0"/>
    <n v="0"/>
    <n v="15532.453640000002"/>
    <n v="0"/>
    <n v="315000"/>
    <n v="64300"/>
    <n v="379300"/>
    <n v="4.5479603087100327E-2"/>
    <n v="0.99970000000000003"/>
    <n v="1.0019"/>
    <n v="1.0007999999999999"/>
    <n v="0.99519999999999997"/>
    <n v="0.99080000000000001"/>
    <n v="0.94971499999999998"/>
    <n v="0.93899079734443147"/>
    <n v="306900"/>
    <n v="0"/>
    <n v="306900"/>
    <n v="61100"/>
    <n v="368000"/>
    <n v="1.6225165562913906E-2"/>
    <n v="4.9342105263157892E-3"/>
    <n v="1.4332965821389196E-2"/>
  </r>
  <r>
    <n v="2025"/>
    <s v="19120144558    "/>
    <n v="-1.8325814637483102"/>
    <n v="0.16"/>
    <n v="7183"/>
    <s v="2"/>
    <s v="RES"/>
    <s v="MX"/>
    <s v="11"/>
    <s v="259"/>
    <s v="RN"/>
    <x v="5"/>
    <s v="VG"/>
    <n v="20"/>
    <n v="20"/>
    <n v="20"/>
    <n v="2004"/>
    <n v="2004"/>
    <n v="2154"/>
    <m/>
    <m/>
    <m/>
    <m/>
    <n v="0"/>
    <n v="2154"/>
    <n v="2500"/>
    <s v="S"/>
    <n v="1"/>
    <n v="730"/>
    <m/>
    <m/>
    <m/>
    <m/>
    <m/>
    <n v="471548"/>
    <n v="433824"/>
    <n v="0"/>
    <n v="0"/>
    <n v="60800"/>
    <n v="363400"/>
    <n v="424200"/>
    <n v="132535.48800000001"/>
    <n v="88356.992000000013"/>
    <n v="-24051.387388882686"/>
    <n v="32917.849192000001"/>
    <n v="50438.379078999998"/>
    <n v="-2174.8220000000001"/>
    <n v="134431.95852000001"/>
    <n v="0"/>
    <n v="0"/>
    <n v="25769.752630000003"/>
    <n v="0"/>
    <n v="373900"/>
    <n v="64300"/>
    <n v="438200"/>
    <n v="3.3003300330033E-2"/>
    <n v="0.99970000000000003"/>
    <n v="1.0019"/>
    <n v="1.0007999999999999"/>
    <n v="1.0008999999999999"/>
    <n v="1.0138"/>
    <n v="0.94971499999999998"/>
    <n v="0.9662910273015537"/>
    <n v="369500"/>
    <n v="0"/>
    <n v="369500"/>
    <n v="61100"/>
    <n v="430600"/>
    <n v="1.6785910842047332E-2"/>
    <n v="4.9342105263157892E-3"/>
    <n v="1.5087223008015087E-2"/>
  </r>
  <r>
    <n v="2025"/>
    <s v="19120112447    "/>
    <n v="-1.8325814637483102"/>
    <n v="0.16"/>
    <n v="7027"/>
    <s v="2"/>
    <s v="RES"/>
    <s v="MX"/>
    <s v="11"/>
    <s v="259"/>
    <s v="RN"/>
    <x v="5"/>
    <s v="VG"/>
    <n v="10"/>
    <n v="17"/>
    <n v="17"/>
    <n v="2007"/>
    <n v="2007"/>
    <n v="1380"/>
    <m/>
    <m/>
    <m/>
    <m/>
    <n v="0"/>
    <n v="1380"/>
    <n v="1500"/>
    <s v="S"/>
    <n v="1"/>
    <n v="428"/>
    <m/>
    <m/>
    <m/>
    <m/>
    <m/>
    <n v="311578"/>
    <n v="289768"/>
    <n v="0"/>
    <n v="0"/>
    <n v="60800"/>
    <n v="302000"/>
    <n v="362800"/>
    <n v="132535.48800000001"/>
    <n v="88356.992000000013"/>
    <n v="-24051.387388882686"/>
    <n v="32917.849192000001"/>
    <n v="50438.379078999998"/>
    <n v="-1848.5987"/>
    <n v="86126.324399999998"/>
    <n v="0"/>
    <n v="0"/>
    <n v="15108.841268"/>
    <n v="0"/>
    <n v="315300"/>
    <n v="64300"/>
    <n v="379600"/>
    <n v="4.6306504961411248E-2"/>
    <n v="0.99970000000000003"/>
    <n v="1.0019"/>
    <n v="1.0007999999999999"/>
    <n v="0.99519999999999997"/>
    <n v="0.99080000000000001"/>
    <n v="0.94971499999999998"/>
    <n v="0.93899079734443147"/>
    <n v="307200"/>
    <n v="0"/>
    <n v="307200"/>
    <n v="61100"/>
    <n v="368300"/>
    <n v="1.7218543046357615E-2"/>
    <n v="4.9342105263157892E-3"/>
    <n v="1.5159867695700111E-2"/>
  </r>
  <r>
    <n v="2025"/>
    <s v="19120144496    "/>
    <n v="-1.8325814637483102"/>
    <n v="0.16"/>
    <n v="7168"/>
    <s v="2"/>
    <s v="RES"/>
    <s v="MX"/>
    <s v="11"/>
    <s v="259"/>
    <s v="RN"/>
    <x v="5"/>
    <s v="VG"/>
    <n v="20"/>
    <n v="20"/>
    <n v="20"/>
    <n v="2004"/>
    <n v="2004"/>
    <n v="1106"/>
    <m/>
    <m/>
    <m/>
    <m/>
    <n v="0"/>
    <n v="1106"/>
    <n v="1500"/>
    <s v="S"/>
    <m/>
    <n v="426"/>
    <m/>
    <m/>
    <m/>
    <m/>
    <m/>
    <n v="260551"/>
    <n v="239707"/>
    <n v="0"/>
    <n v="0"/>
    <n v="60800"/>
    <n v="287300"/>
    <n v="348100"/>
    <n v="132535.48800000001"/>
    <n v="88356.992000000013"/>
    <n v="-24051.387388882686"/>
    <n v="32917.849192000001"/>
    <n v="50438.379078999998"/>
    <n v="-2174.8220000000001"/>
    <n v="69025.880279999998"/>
    <n v="0"/>
    <n v="0"/>
    <n v="15038.239206"/>
    <n v="0"/>
    <n v="297800"/>
    <n v="64300"/>
    <n v="362100"/>
    <n v="4.0218328066647518E-2"/>
    <n v="0.99970000000000003"/>
    <n v="1.0019"/>
    <n v="1.0007999999999999"/>
    <n v="0.99519999999999997"/>
    <n v="1.0138"/>
    <n v="0.94971499999999998"/>
    <n v="0.96078812106155087"/>
    <n v="292600"/>
    <n v="0"/>
    <n v="292600"/>
    <n v="61100"/>
    <n v="353700"/>
    <n v="1.8447615732683605E-2"/>
    <n v="4.9342105263157892E-3"/>
    <n v="1.6087331226659007E-2"/>
  </r>
  <r>
    <n v="2025"/>
    <s v="19120113603    "/>
    <n v="-1.8325814637483102"/>
    <n v="0.16"/>
    <n v="7077"/>
    <s v="2"/>
    <s v="RES"/>
    <s v="MX"/>
    <s v="11"/>
    <s v="259"/>
    <s v="RN"/>
    <x v="5"/>
    <s v="GD"/>
    <n v="10"/>
    <n v="17"/>
    <n v="17"/>
    <n v="2007"/>
    <n v="2007"/>
    <n v="1732"/>
    <m/>
    <m/>
    <m/>
    <m/>
    <n v="0"/>
    <n v="1732"/>
    <n v="2000"/>
    <s v="S"/>
    <m/>
    <n v="440"/>
    <m/>
    <m/>
    <m/>
    <m/>
    <m/>
    <n v="374138"/>
    <n v="344207"/>
    <n v="0"/>
    <n v="0"/>
    <n v="60800"/>
    <n v="304000"/>
    <n v="364800"/>
    <n v="132535.48800000001"/>
    <n v="88356.992000000013"/>
    <n v="-24051.387388882686"/>
    <n v="32917.849192000001"/>
    <n v="30300.329274"/>
    <n v="-1848.5987"/>
    <n v="108094.77816"/>
    <n v="0"/>
    <n v="0"/>
    <n v="15532.453640000002"/>
    <n v="0"/>
    <n v="317500"/>
    <n v="64300"/>
    <n v="381800"/>
    <n v="4.6600877192982455E-2"/>
    <n v="0.99970000000000003"/>
    <n v="1.0019"/>
    <n v="0.997"/>
    <n v="1.0007999999999999"/>
    <n v="0.99080000000000001"/>
    <n v="0.94971499999999998"/>
    <n v="0.94068913278978916"/>
    <n v="309700"/>
    <n v="0"/>
    <n v="309700"/>
    <n v="61100"/>
    <n v="370800"/>
    <n v="1.8749999999999999E-2"/>
    <n v="4.9342105263157892E-3"/>
    <n v="1.6447368421052631E-2"/>
  </r>
  <r>
    <n v="2025"/>
    <s v="19120112479    "/>
    <n v="-1.8325814637483102"/>
    <n v="0.16"/>
    <n v="7059"/>
    <s v="2"/>
    <s v="RES"/>
    <s v="MX"/>
    <s v="11"/>
    <s v="259"/>
    <s v="CO"/>
    <x v="5"/>
    <s v="VG"/>
    <n v="10"/>
    <n v="17"/>
    <n v="17"/>
    <n v="2007"/>
    <n v="2007"/>
    <n v="1116"/>
    <n v="1116"/>
    <m/>
    <m/>
    <m/>
    <n v="0"/>
    <n v="2232"/>
    <n v="2500"/>
    <s v="S"/>
    <m/>
    <n v="440"/>
    <m/>
    <m/>
    <m/>
    <m/>
    <n v="100"/>
    <n v="441336"/>
    <n v="410442"/>
    <n v="0"/>
    <n v="0"/>
    <n v="60800"/>
    <n v="351800"/>
    <n v="412600"/>
    <n v="132535.48800000001"/>
    <n v="88356.992000000013"/>
    <n v="-24051.387388882686"/>
    <n v="32917.849192000001"/>
    <n v="50438.379078999998"/>
    <n v="-1848.5987"/>
    <n v="69649.984080000009"/>
    <n v="66491.707427999994"/>
    <n v="0"/>
    <n v="15532.453640000002"/>
    <n v="0"/>
    <n v="365700"/>
    <n v="64300"/>
    <n v="430000"/>
    <n v="4.2171594764905479E-2"/>
    <n v="0.99970000000000003"/>
    <n v="1.0019"/>
    <n v="1.0007999999999999"/>
    <n v="1.0008999999999999"/>
    <n v="0.99080000000000001"/>
    <n v="0.94971499999999998"/>
    <n v="0.94436885958806405"/>
    <n v="358300"/>
    <n v="0"/>
    <n v="358300"/>
    <n v="61100"/>
    <n v="419400"/>
    <n v="1.8476407049459919E-2"/>
    <n v="4.9342105263157892E-3"/>
    <n v="1.6480853126514785E-2"/>
  </r>
  <r>
    <n v="2025"/>
    <s v="19120112417    "/>
    <n v="-1.8325814637483102"/>
    <n v="0.16"/>
    <n v="7052"/>
    <s v="2"/>
    <s v="RES"/>
    <s v="MX"/>
    <s v="11"/>
    <s v="259"/>
    <s v="RN"/>
    <x v="5"/>
    <s v="VG"/>
    <n v="10"/>
    <n v="17"/>
    <n v="17"/>
    <n v="2007"/>
    <n v="2007"/>
    <n v="1380"/>
    <m/>
    <m/>
    <m/>
    <m/>
    <n v="0"/>
    <n v="1380"/>
    <n v="1500"/>
    <s v="S"/>
    <m/>
    <n v="428"/>
    <m/>
    <m/>
    <m/>
    <m/>
    <m/>
    <n v="316601"/>
    <n v="294439"/>
    <n v="10156"/>
    <n v="0"/>
    <n v="60800"/>
    <n v="310800"/>
    <n v="371600"/>
    <n v="132535.48800000001"/>
    <n v="88356.992000000013"/>
    <n v="-24051.387388882686"/>
    <n v="32917.849192000001"/>
    <n v="50438.379078999998"/>
    <n v="-1848.5987"/>
    <n v="86126.324399999998"/>
    <n v="0"/>
    <n v="0"/>
    <n v="15108.841268"/>
    <n v="10200"/>
    <n v="315300"/>
    <n v="64300"/>
    <n v="389800"/>
    <n v="4.8977395048439183E-2"/>
    <n v="0.99970000000000003"/>
    <n v="1.0019"/>
    <n v="1.0007999999999999"/>
    <n v="0.99519999999999997"/>
    <n v="0.99080000000000001"/>
    <n v="0.94971499999999998"/>
    <n v="0.93899079734443147"/>
    <n v="307200"/>
    <n v="9600"/>
    <n v="316800"/>
    <n v="61100"/>
    <n v="377900"/>
    <n v="1.9305019305019305E-2"/>
    <n v="4.9342105263157892E-3"/>
    <n v="1.6953713670613563E-2"/>
  </r>
  <r>
    <n v="2025"/>
    <s v="19120144473    "/>
    <n v="-1.8325814637483102"/>
    <n v="0.16"/>
    <n v="7017"/>
    <s v="2"/>
    <s v="RES"/>
    <s v="MX"/>
    <s v="11"/>
    <s v="259"/>
    <s v="RN"/>
    <x v="5"/>
    <s v="GD"/>
    <n v="20"/>
    <n v="20"/>
    <n v="20"/>
    <n v="2004"/>
    <n v="2004"/>
    <n v="1543"/>
    <m/>
    <m/>
    <m/>
    <m/>
    <n v="0"/>
    <n v="1543"/>
    <n v="2000"/>
    <s v="S"/>
    <m/>
    <n v="433"/>
    <m/>
    <m/>
    <m/>
    <m/>
    <m/>
    <n v="336552"/>
    <n v="306262"/>
    <n v="0"/>
    <n v="0"/>
    <n v="60800"/>
    <n v="294200"/>
    <n v="355000"/>
    <n v="132535.48800000001"/>
    <n v="88356.992000000013"/>
    <n v="-24051.387388882686"/>
    <n v="32917.849192000001"/>
    <n v="30300.329274"/>
    <n v="-2174.8220000000001"/>
    <n v="96299.216339999999"/>
    <n v="0"/>
    <n v="0"/>
    <n v="15285.346423000001"/>
    <n v="0"/>
    <n v="305200"/>
    <n v="64300"/>
    <n v="369500"/>
    <n v="4.0845070422535212E-2"/>
    <n v="0.99970000000000003"/>
    <n v="1.0019"/>
    <n v="0.997"/>
    <n v="1.0007999999999999"/>
    <n v="1.0138"/>
    <n v="0.94971499999999998"/>
    <n v="0.96252588092681512"/>
    <n v="300200"/>
    <n v="0"/>
    <n v="300200"/>
    <n v="61100"/>
    <n v="361300"/>
    <n v="2.0394289598912305E-2"/>
    <n v="4.9342105263157892E-3"/>
    <n v="1.7746478873239435E-2"/>
  </r>
  <r>
    <n v="2025"/>
    <s v="19120144466    "/>
    <n v="-1.8325814637483102"/>
    <n v="0.16"/>
    <n v="7000"/>
    <s v="2"/>
    <s v="RES"/>
    <s v="MX"/>
    <s v="11"/>
    <s v="259"/>
    <s v="CO"/>
    <x v="5"/>
    <s v="GD"/>
    <n v="20"/>
    <n v="20"/>
    <n v="20"/>
    <n v="2004"/>
    <n v="2004"/>
    <n v="1116"/>
    <n v="1116"/>
    <m/>
    <m/>
    <m/>
    <n v="0"/>
    <n v="2232"/>
    <n v="2500"/>
    <s v="S"/>
    <n v="1"/>
    <n v="440"/>
    <m/>
    <m/>
    <m/>
    <m/>
    <m/>
    <n v="463055"/>
    <n v="421380"/>
    <n v="0"/>
    <n v="0"/>
    <n v="60800"/>
    <n v="333600"/>
    <n v="394400"/>
    <n v="132535.48800000001"/>
    <n v="88356.992000000013"/>
    <n v="-24051.387388882686"/>
    <n v="32917.849192000001"/>
    <n v="30300.329274"/>
    <n v="-2174.8220000000001"/>
    <n v="69649.984080000009"/>
    <n v="66491.707427999994"/>
    <n v="0"/>
    <n v="15532.453640000002"/>
    <n v="0"/>
    <n v="345300"/>
    <n v="64300"/>
    <n v="409600"/>
    <n v="3.8539553752535496E-2"/>
    <n v="0.99970000000000003"/>
    <n v="1.0019"/>
    <n v="0.997"/>
    <n v="1.0008999999999999"/>
    <n v="1.0138"/>
    <n v="0.94971499999999998"/>
    <n v="0.96262205657438948"/>
    <n v="340300"/>
    <n v="0"/>
    <n v="340300"/>
    <n v="61100"/>
    <n v="401400"/>
    <n v="2.0083932853717026E-2"/>
    <n v="4.9342105263157892E-3"/>
    <n v="1.7748478701825558E-2"/>
  </r>
  <r>
    <n v="2025"/>
    <s v="19120113559    "/>
    <n v="-1.8325814637483102"/>
    <n v="0.16"/>
    <n v="7138"/>
    <s v="2"/>
    <s v="RES"/>
    <s v="MX"/>
    <s v="11"/>
    <s v="259"/>
    <s v="RN"/>
    <x v="5"/>
    <s v="VG"/>
    <n v="10"/>
    <n v="17"/>
    <n v="17"/>
    <n v="2007"/>
    <n v="2007"/>
    <n v="1368"/>
    <m/>
    <m/>
    <m/>
    <m/>
    <n v="0"/>
    <n v="1368"/>
    <n v="1500"/>
    <s v="S"/>
    <n v="1"/>
    <n v="440"/>
    <m/>
    <m/>
    <m/>
    <m/>
    <m/>
    <n v="312919"/>
    <n v="291015"/>
    <n v="0"/>
    <n v="0"/>
    <n v="60800"/>
    <n v="300600"/>
    <n v="361400"/>
    <n v="132535.48800000001"/>
    <n v="88356.992000000013"/>
    <n v="-24051.387388882686"/>
    <n v="32917.849192000001"/>
    <n v="50438.379078999998"/>
    <n v="-1848.5987"/>
    <n v="85377.399839999998"/>
    <n v="0"/>
    <n v="0"/>
    <n v="15532.453640000002"/>
    <n v="0"/>
    <n v="315000"/>
    <n v="64300"/>
    <n v="379300"/>
    <n v="4.9529607083563916E-2"/>
    <n v="0.99970000000000003"/>
    <n v="1.0019"/>
    <n v="1.0007999999999999"/>
    <n v="0.99519999999999997"/>
    <n v="0.99080000000000001"/>
    <n v="0.94971499999999998"/>
    <n v="0.93899079734443147"/>
    <n v="306900"/>
    <n v="0"/>
    <n v="306900"/>
    <n v="61100"/>
    <n v="368000"/>
    <n v="2.0958083832335328E-2"/>
    <n v="4.9342105263157892E-3"/>
    <n v="1.8262313226342003E-2"/>
  </r>
  <r>
    <n v="2025"/>
    <s v="19120113535    "/>
    <n v="-1.8325814637483102"/>
    <n v="0.16"/>
    <n v="7078"/>
    <s v="2"/>
    <s v="RES"/>
    <s v="MX"/>
    <s v="11"/>
    <s v="259"/>
    <s v="CO"/>
    <x v="5"/>
    <s v="VG"/>
    <n v="10"/>
    <n v="18"/>
    <n v="18"/>
    <n v="2006"/>
    <n v="2006"/>
    <n v="1116"/>
    <n v="1116"/>
    <m/>
    <m/>
    <m/>
    <n v="0"/>
    <n v="2232"/>
    <n v="2500"/>
    <s v="S"/>
    <n v="1"/>
    <n v="440"/>
    <m/>
    <m/>
    <m/>
    <m/>
    <m/>
    <n v="447641"/>
    <n v="411830"/>
    <n v="0"/>
    <n v="0"/>
    <n v="60800"/>
    <n v="350900"/>
    <n v="411700"/>
    <n v="132535.48800000001"/>
    <n v="88356.992000000013"/>
    <n v="-24051.387388882686"/>
    <n v="32917.849192000001"/>
    <n v="50438.379078999998"/>
    <n v="-1957.3398"/>
    <n v="69649.984080000009"/>
    <n v="66491.707427999994"/>
    <n v="0"/>
    <n v="15532.453640000002"/>
    <n v="0"/>
    <n v="365600"/>
    <n v="64300"/>
    <n v="429900"/>
    <n v="4.4206946805926649E-2"/>
    <n v="0.99970000000000003"/>
    <n v="1.0019"/>
    <n v="1.0007999999999999"/>
    <n v="1.0008999999999999"/>
    <n v="0.99080000000000001"/>
    <n v="0.94971499999999998"/>
    <n v="0.94436885958806405"/>
    <n v="358200"/>
    <n v="0"/>
    <n v="358200"/>
    <n v="61100"/>
    <n v="419300"/>
    <n v="2.0803647762895412E-2"/>
    <n v="4.9342105263157892E-3"/>
    <n v="1.8460043721156182E-2"/>
  </r>
  <r>
    <n v="2025"/>
    <s v="19120113512    "/>
    <n v="-1.8325814637483102"/>
    <n v="0.16"/>
    <n v="7096"/>
    <s v="2"/>
    <s v="RES"/>
    <s v="MX"/>
    <s v="11"/>
    <s v="259"/>
    <s v="CO"/>
    <x v="5"/>
    <s v="VG"/>
    <n v="10"/>
    <n v="18"/>
    <n v="18"/>
    <n v="2006"/>
    <n v="2006"/>
    <n v="1116"/>
    <n v="1116"/>
    <m/>
    <m/>
    <m/>
    <n v="0"/>
    <n v="2232"/>
    <n v="2500"/>
    <s v="S"/>
    <n v="1"/>
    <n v="440"/>
    <m/>
    <m/>
    <m/>
    <m/>
    <m/>
    <n v="444722"/>
    <n v="409144"/>
    <n v="0"/>
    <n v="0"/>
    <n v="60800"/>
    <n v="350900"/>
    <n v="411700"/>
    <n v="132535.48800000001"/>
    <n v="88356.992000000013"/>
    <n v="-24051.387388882686"/>
    <n v="32917.849192000001"/>
    <n v="50438.379078999998"/>
    <n v="-1957.3398"/>
    <n v="69649.984080000009"/>
    <n v="66491.707427999994"/>
    <n v="0"/>
    <n v="15532.453640000002"/>
    <n v="0"/>
    <n v="365600"/>
    <n v="64300"/>
    <n v="429900"/>
    <n v="4.4206946805926649E-2"/>
    <n v="0.99970000000000003"/>
    <n v="1.0019"/>
    <n v="1.0007999999999999"/>
    <n v="1.0008999999999999"/>
    <n v="0.99080000000000001"/>
    <n v="0.94971499999999998"/>
    <n v="0.94436885958806405"/>
    <n v="358200"/>
    <n v="0"/>
    <n v="358200"/>
    <n v="61100"/>
    <n v="419300"/>
    <n v="2.0803647762895412E-2"/>
    <n v="4.9342105263157892E-3"/>
    <n v="1.8460043721156182E-2"/>
  </r>
  <r>
    <n v="2025"/>
    <s v="19120112451    "/>
    <n v="-1.8325814637483102"/>
    <n v="0.16"/>
    <n v="6995"/>
    <s v="2"/>
    <s v="RES"/>
    <s v="MX"/>
    <s v="11"/>
    <s v="259"/>
    <s v="RN"/>
    <x v="5"/>
    <s v="VG"/>
    <n v="10"/>
    <n v="17"/>
    <n v="17"/>
    <n v="2007"/>
    <n v="2007"/>
    <n v="1380"/>
    <m/>
    <m/>
    <m/>
    <m/>
    <n v="0"/>
    <n v="1380"/>
    <n v="1500"/>
    <s v="S"/>
    <n v="1"/>
    <n v="428"/>
    <m/>
    <m/>
    <m/>
    <m/>
    <m/>
    <n v="311973"/>
    <n v="290135"/>
    <n v="0"/>
    <n v="0"/>
    <n v="60800"/>
    <n v="300700"/>
    <n v="361500"/>
    <n v="132535.48800000001"/>
    <n v="88356.992000000013"/>
    <n v="-24051.387388882686"/>
    <n v="32917.849192000001"/>
    <n v="50438.379078999998"/>
    <n v="-1848.5987"/>
    <n v="86126.324399999998"/>
    <n v="0"/>
    <n v="0"/>
    <n v="15108.841268"/>
    <n v="0"/>
    <n v="315300"/>
    <n v="64300"/>
    <n v="379600"/>
    <n v="5.0069156293222686E-2"/>
    <n v="0.99970000000000003"/>
    <n v="1.0019"/>
    <n v="1.0007999999999999"/>
    <n v="0.99519999999999997"/>
    <n v="0.99080000000000001"/>
    <n v="0.94971499999999998"/>
    <n v="0.93899079734443147"/>
    <n v="307200"/>
    <n v="0"/>
    <n v="307200"/>
    <n v="61100"/>
    <n v="368300"/>
    <n v="2.161622879946791E-2"/>
    <n v="4.9342105263157892E-3"/>
    <n v="1.8810511756569847E-2"/>
  </r>
  <r>
    <n v="2025"/>
    <s v="19120113571    "/>
    <n v="-1.8325814637483102"/>
    <n v="0.16"/>
    <n v="7031"/>
    <s v="2"/>
    <s v="RES"/>
    <s v="MX"/>
    <s v="11"/>
    <s v="259"/>
    <s v="RN"/>
    <x v="5"/>
    <s v="VG"/>
    <n v="10"/>
    <n v="17"/>
    <n v="17"/>
    <n v="2007"/>
    <n v="2007"/>
    <n v="1732"/>
    <m/>
    <m/>
    <m/>
    <m/>
    <n v="0"/>
    <n v="1732"/>
    <n v="2000"/>
    <s v="S"/>
    <m/>
    <n v="680"/>
    <m/>
    <m/>
    <m/>
    <m/>
    <m/>
    <n v="390916"/>
    <n v="363552"/>
    <n v="0"/>
    <n v="0"/>
    <n v="60800"/>
    <n v="331600"/>
    <n v="392400"/>
    <n v="132535.48800000001"/>
    <n v="88356.992000000013"/>
    <n v="-24051.387388882686"/>
    <n v="32917.849192000001"/>
    <n v="50438.379078999998"/>
    <n v="-1848.5987"/>
    <n v="108094.77816"/>
    <n v="0"/>
    <n v="0"/>
    <n v="24004.701080000003"/>
    <n v="0"/>
    <n v="346100"/>
    <n v="64300"/>
    <n v="410400"/>
    <n v="4.5871559633027525E-2"/>
    <n v="0.99970000000000003"/>
    <n v="1.0019"/>
    <n v="1.0007999999999999"/>
    <n v="1.0007999999999999"/>
    <n v="0.99080000000000001"/>
    <n v="0.94971499999999998"/>
    <n v="0.94427450761887755"/>
    <n v="338800"/>
    <n v="0"/>
    <n v="338800"/>
    <n v="61100"/>
    <n v="399900"/>
    <n v="2.1712907117008445E-2"/>
    <n v="4.9342105263157892E-3"/>
    <n v="1.91131498470948E-2"/>
  </r>
  <r>
    <n v="2025"/>
    <s v="19120144442    "/>
    <n v="-1.8325814637483102"/>
    <n v="0.16"/>
    <n v="7002"/>
    <s v="2"/>
    <s v="RES"/>
    <s v="MX"/>
    <s v="11"/>
    <s v="259"/>
    <s v="RN"/>
    <x v="5"/>
    <s v="VG"/>
    <n v="20"/>
    <n v="20"/>
    <n v="20"/>
    <n v="2004"/>
    <n v="2004"/>
    <n v="1380"/>
    <m/>
    <m/>
    <m/>
    <m/>
    <n v="0"/>
    <n v="1380"/>
    <n v="1500"/>
    <s v="S"/>
    <m/>
    <n v="668"/>
    <m/>
    <m/>
    <m/>
    <m/>
    <m/>
    <n v="319006"/>
    <n v="293486"/>
    <n v="0"/>
    <n v="0"/>
    <n v="60800"/>
    <n v="311100"/>
    <n v="371900"/>
    <n v="132535.48800000001"/>
    <n v="88356.992000000013"/>
    <n v="-24051.387388882686"/>
    <n v="32917.849192000001"/>
    <n v="50438.379078999998"/>
    <n v="-2174.8220000000001"/>
    <n v="86126.324399999998"/>
    <n v="0"/>
    <n v="0"/>
    <n v="23581.088708000003"/>
    <n v="0"/>
    <n v="323400"/>
    <n v="64300"/>
    <n v="387700"/>
    <n v="4.2484538854530789E-2"/>
    <n v="0.99970000000000003"/>
    <n v="1.0019"/>
    <n v="1.0007999999999999"/>
    <n v="0.99519999999999997"/>
    <n v="1.0138"/>
    <n v="0.94971499999999998"/>
    <n v="0.96078812106155087"/>
    <n v="318200"/>
    <n v="0"/>
    <n v="318200"/>
    <n v="61100"/>
    <n v="379300"/>
    <n v="2.2822243651558983E-2"/>
    <n v="4.9342105263157892E-3"/>
    <n v="1.9897821995159989E-2"/>
  </r>
  <r>
    <n v="2025"/>
    <s v="19120113563    "/>
    <n v="-1.8325814637483102"/>
    <n v="0.16"/>
    <n v="7149"/>
    <s v="2"/>
    <s v="RES"/>
    <s v="MX"/>
    <s v="11"/>
    <s v="259"/>
    <s v="RN"/>
    <x v="5"/>
    <s v="VG"/>
    <n v="10"/>
    <n v="17"/>
    <n v="17"/>
    <n v="2007"/>
    <n v="2007"/>
    <n v="1672"/>
    <m/>
    <m/>
    <m/>
    <m/>
    <n v="0"/>
    <n v="1672"/>
    <n v="2000"/>
    <s v="S"/>
    <m/>
    <n v="484"/>
    <m/>
    <m/>
    <m/>
    <m/>
    <m/>
    <n v="382645"/>
    <n v="355860"/>
    <n v="0"/>
    <n v="0"/>
    <n v="60800"/>
    <n v="319800"/>
    <n v="380600"/>
    <n v="132535.48800000001"/>
    <n v="88356.992000000013"/>
    <n v="-24051.387388882686"/>
    <n v="32917.849192000001"/>
    <n v="50438.379078999998"/>
    <n v="-1848.5987"/>
    <n v="104350.15536"/>
    <n v="0"/>
    <n v="0"/>
    <n v="17085.699004000002"/>
    <n v="0"/>
    <n v="335500"/>
    <n v="64300"/>
    <n v="399800"/>
    <n v="5.0446663163426171E-2"/>
    <n v="0.99970000000000003"/>
    <n v="1.0019"/>
    <n v="1.0007999999999999"/>
    <n v="1.0007999999999999"/>
    <n v="0.99080000000000001"/>
    <n v="0.94971499999999998"/>
    <n v="0.94427450761887755"/>
    <n v="328100"/>
    <n v="0"/>
    <n v="328100"/>
    <n v="61100"/>
    <n v="389200"/>
    <n v="2.5953721075672294E-2"/>
    <n v="4.9342105263157892E-3"/>
    <n v="2.2595901208617972E-2"/>
  </r>
  <r>
    <n v="2025"/>
    <s v="19120144428    "/>
    <n v="-1.8325814637483102"/>
    <n v="0.16"/>
    <n v="7094"/>
    <s v="2"/>
    <s v="RES"/>
    <s v="MX"/>
    <s v="11"/>
    <s v="259"/>
    <s v="RN"/>
    <x v="5"/>
    <s v="GD"/>
    <n v="20"/>
    <n v="20"/>
    <n v="20"/>
    <n v="2004"/>
    <n v="2004"/>
    <n v="1436"/>
    <m/>
    <m/>
    <m/>
    <m/>
    <n v="0"/>
    <n v="1436"/>
    <n v="1500"/>
    <s v="S"/>
    <m/>
    <n v="400"/>
    <m/>
    <m/>
    <m/>
    <m/>
    <m/>
    <n v="314411"/>
    <n v="286114"/>
    <n v="0"/>
    <n v="0"/>
    <n v="60800"/>
    <n v="284100"/>
    <n v="344900"/>
    <n v="132535.48800000001"/>
    <n v="88356.992000000013"/>
    <n v="-24051.387388882686"/>
    <n v="32917.849192000001"/>
    <n v="30300.329274"/>
    <n v="-2174.8220000000001"/>
    <n v="89621.305680000005"/>
    <n v="0"/>
    <n v="0"/>
    <n v="14120.412400000001"/>
    <n v="0"/>
    <n v="297300"/>
    <n v="64300"/>
    <n v="361600"/>
    <n v="4.8419831835314585E-2"/>
    <n v="0.99970000000000003"/>
    <n v="1.0019"/>
    <n v="0.997"/>
    <n v="0.99519999999999997"/>
    <n v="1.0138"/>
    <n v="0.94971499999999998"/>
    <n v="0.95714004466263625"/>
    <n v="291600"/>
    <n v="0"/>
    <n v="291600"/>
    <n v="61100"/>
    <n v="352700"/>
    <n v="2.6399155227032733E-2"/>
    <n v="4.9342105263157892E-3"/>
    <n v="2.2615250797332561E-2"/>
  </r>
  <r>
    <n v="2025"/>
    <s v="19120112438    "/>
    <n v="-1.8325814637483102"/>
    <n v="0.16"/>
    <n v="7032"/>
    <s v="2"/>
    <s v="RES"/>
    <s v="MX"/>
    <s v="11"/>
    <s v="259"/>
    <s v="RN"/>
    <x v="5"/>
    <s v="VG"/>
    <n v="10"/>
    <n v="17"/>
    <n v="17"/>
    <n v="2007"/>
    <n v="2007"/>
    <n v="1706"/>
    <m/>
    <m/>
    <m/>
    <m/>
    <n v="0"/>
    <n v="1706"/>
    <n v="2000"/>
    <s v="S"/>
    <n v="1"/>
    <n v="466"/>
    <m/>
    <m/>
    <m/>
    <m/>
    <m/>
    <n v="382583"/>
    <n v="355802"/>
    <n v="0"/>
    <n v="0"/>
    <n v="60800"/>
    <n v="321100"/>
    <n v="381900"/>
    <n v="132535.48800000001"/>
    <n v="88356.992000000013"/>
    <n v="-24051.387388882686"/>
    <n v="32917.849192000001"/>
    <n v="50438.379078999998"/>
    <n v="-1848.5987"/>
    <n v="106472.10828"/>
    <n v="0"/>
    <n v="0"/>
    <n v="16450.280446000001"/>
    <n v="0"/>
    <n v="337000"/>
    <n v="64300"/>
    <n v="401300"/>
    <n v="5.0798638387012304E-2"/>
    <n v="0.99970000000000003"/>
    <n v="1.0019"/>
    <n v="1.0007999999999999"/>
    <n v="1.0007999999999999"/>
    <n v="0.99080000000000001"/>
    <n v="0.94971499999999998"/>
    <n v="0.94427450761887755"/>
    <n v="329600"/>
    <n v="0"/>
    <n v="329600"/>
    <n v="61100"/>
    <n v="390700"/>
    <n v="2.6471504204297728E-2"/>
    <n v="4.9342105263157892E-3"/>
    <n v="2.3042681330191151E-2"/>
  </r>
  <r>
    <n v="2025"/>
    <s v="19120144518    "/>
    <n v="-1.8325814637483102"/>
    <n v="0.16"/>
    <n v="7018"/>
    <s v="2"/>
    <s v="RES"/>
    <s v="MX"/>
    <s v="11"/>
    <s v="259"/>
    <s v="CO"/>
    <x v="5"/>
    <s v="VG"/>
    <n v="20"/>
    <n v="20"/>
    <n v="20"/>
    <n v="2004"/>
    <n v="2004"/>
    <n v="1116"/>
    <n v="1116"/>
    <m/>
    <m/>
    <m/>
    <n v="0"/>
    <n v="2232"/>
    <n v="2500"/>
    <s v="S"/>
    <n v="1"/>
    <n v="440"/>
    <m/>
    <m/>
    <m/>
    <m/>
    <m/>
    <n v="448140"/>
    <n v="412289"/>
    <n v="0"/>
    <n v="0"/>
    <n v="60800"/>
    <n v="349100"/>
    <n v="409900"/>
    <n v="132535.48800000001"/>
    <n v="88356.992000000013"/>
    <n v="-24051.387388882686"/>
    <n v="32917.849192000001"/>
    <n v="50438.379078999998"/>
    <n v="-2174.8220000000001"/>
    <n v="69649.984080000009"/>
    <n v="66491.707427999994"/>
    <n v="0"/>
    <n v="15532.453640000002"/>
    <n v="0"/>
    <n v="365400"/>
    <n v="64300"/>
    <n v="429700"/>
    <n v="4.8304464503537446E-2"/>
    <n v="0.99970000000000003"/>
    <n v="1.0019"/>
    <n v="1.0007999999999999"/>
    <n v="1.0008999999999999"/>
    <n v="1.0138"/>
    <n v="0.94971499999999998"/>
    <n v="0.9662910273015537"/>
    <n v="360900"/>
    <n v="0"/>
    <n v="360900"/>
    <n v="61100"/>
    <n v="422000"/>
    <n v="3.3801203093669435E-2"/>
    <n v="4.9342105263157892E-3"/>
    <n v="2.9519394974383995E-2"/>
  </r>
  <r>
    <n v="2025"/>
    <s v="19120144494    "/>
    <n v="-1.8325814637483102"/>
    <n v="0.16"/>
    <n v="7159"/>
    <s v="2"/>
    <s v="RES"/>
    <s v="MX"/>
    <s v="11"/>
    <s v="259"/>
    <s v="RN"/>
    <x v="5"/>
    <s v="VG"/>
    <n v="20"/>
    <n v="20"/>
    <n v="20"/>
    <n v="2004"/>
    <n v="2004"/>
    <n v="1543"/>
    <m/>
    <m/>
    <m/>
    <m/>
    <n v="0"/>
    <n v="1543"/>
    <n v="2000"/>
    <s v="S"/>
    <m/>
    <n v="433"/>
    <m/>
    <m/>
    <m/>
    <m/>
    <m/>
    <n v="341469"/>
    <n v="314151"/>
    <n v="0"/>
    <n v="0"/>
    <n v="60800"/>
    <n v="309800"/>
    <n v="370600"/>
    <n v="132535.48800000001"/>
    <n v="88356.992000000013"/>
    <n v="-24051.387388882686"/>
    <n v="32917.849192000001"/>
    <n v="50438.379078999998"/>
    <n v="-2174.8220000000001"/>
    <n v="96299.216339999999"/>
    <n v="0"/>
    <n v="0"/>
    <n v="15285.346423000001"/>
    <n v="0"/>
    <n v="325300"/>
    <n v="64300"/>
    <n v="389600"/>
    <n v="5.1268213707501349E-2"/>
    <n v="0.99970000000000003"/>
    <n v="1.0019"/>
    <n v="1.0007999999999999"/>
    <n v="1.0007999999999999"/>
    <n v="1.0138"/>
    <n v="0.94971499999999998"/>
    <n v="0.96619448508681682"/>
    <n v="320800"/>
    <n v="0"/>
    <n v="320800"/>
    <n v="61100"/>
    <n v="381900"/>
    <n v="3.5506778566817304E-2"/>
    <n v="4.9342105263157892E-3"/>
    <n v="3.0491095520777119E-2"/>
  </r>
  <r>
    <n v="2025"/>
    <s v="19120144443    "/>
    <n v="-1.8325814637483102"/>
    <n v="0.16"/>
    <n v="7014"/>
    <s v="2"/>
    <s v="RES"/>
    <s v="MX"/>
    <s v="11"/>
    <s v="259"/>
    <s v="RN"/>
    <x v="5"/>
    <s v="VG"/>
    <n v="20"/>
    <n v="20"/>
    <n v="20"/>
    <n v="2004"/>
    <n v="2004"/>
    <n v="1706"/>
    <m/>
    <m/>
    <m/>
    <m/>
    <n v="0"/>
    <n v="1706"/>
    <n v="2000"/>
    <s v="S"/>
    <m/>
    <n v="466"/>
    <m/>
    <m/>
    <m/>
    <m/>
    <m/>
    <n v="386357"/>
    <n v="355448"/>
    <n v="0"/>
    <n v="0"/>
    <n v="60800"/>
    <n v="320100"/>
    <n v="380900"/>
    <n v="132535.48800000001"/>
    <n v="88356.992000000013"/>
    <n v="-24051.387388882686"/>
    <n v="32917.849192000001"/>
    <n v="50438.379078999998"/>
    <n v="-2174.8220000000001"/>
    <n v="106472.10828"/>
    <n v="0"/>
    <n v="0"/>
    <n v="16450.280446000001"/>
    <n v="0"/>
    <n v="336600"/>
    <n v="64300"/>
    <n v="400900"/>
    <n v="5.2507219742714627E-2"/>
    <n v="0.99970000000000003"/>
    <n v="1.0019"/>
    <n v="1.0007999999999999"/>
    <n v="1.0007999999999999"/>
    <n v="1.0138"/>
    <n v="0.94971499999999998"/>
    <n v="0.96619448508681682"/>
    <n v="332200"/>
    <n v="0"/>
    <n v="332200"/>
    <n v="61100"/>
    <n v="393300"/>
    <n v="3.7800687285223365E-2"/>
    <n v="4.9342105263157892E-3"/>
    <n v="3.255447624048307E-2"/>
  </r>
  <r>
    <n v="2025"/>
    <s v="19120144448    "/>
    <n v="-1.8325814637483102"/>
    <n v="0.16"/>
    <n v="6968"/>
    <s v="2"/>
    <s v="RES"/>
    <s v="MX"/>
    <s v="11"/>
    <s v="259"/>
    <s v="CP"/>
    <x v="5"/>
    <s v="AV"/>
    <n v="10"/>
    <n v="19"/>
    <n v="19"/>
    <n v="2005"/>
    <n v="2005"/>
    <n v="2154"/>
    <m/>
    <m/>
    <m/>
    <m/>
    <n v="0"/>
    <n v="2154"/>
    <n v="2500"/>
    <s v="S"/>
    <n v="1"/>
    <n v="730"/>
    <m/>
    <m/>
    <m/>
    <m/>
    <m/>
    <n v="459875"/>
    <n v="413888"/>
    <n v="0"/>
    <n v="0"/>
    <n v="60800"/>
    <n v="320500"/>
    <n v="381300"/>
    <n v="132535.48800000001"/>
    <n v="88356.992000000013"/>
    <n v="-24051.387388882686"/>
    <n v="32917.849192000001"/>
    <n v="17761.121909000001"/>
    <n v="-2066.0808999999999"/>
    <n v="134431.95852000001"/>
    <n v="0"/>
    <n v="0"/>
    <n v="25769.752630000003"/>
    <n v="0"/>
    <n v="341400"/>
    <n v="64300"/>
    <n v="405700"/>
    <n v="6.3991607658012067E-2"/>
    <n v="0.99970000000000003"/>
    <n v="1.0019"/>
    <n v="0.99680000000000002"/>
    <n v="1.0008999999999999"/>
    <n v="0.99080000000000001"/>
    <n v="0.94971499999999998"/>
    <n v="0.94059440371441083"/>
    <n v="333500"/>
    <n v="0"/>
    <n v="333500"/>
    <n v="61100"/>
    <n v="394600"/>
    <n v="4.0561622464898597E-2"/>
    <n v="4.9342105263157892E-3"/>
    <n v="3.4880671387359036E-2"/>
  </r>
  <r>
    <n v="2025"/>
    <s v="19120144474    "/>
    <n v="-1.8325814637483102"/>
    <n v="0.16"/>
    <n v="7015"/>
    <s v="2"/>
    <s v="RES"/>
    <s v="MX"/>
    <s v="11"/>
    <s v="259"/>
    <s v="RN"/>
    <x v="5"/>
    <s v="VG"/>
    <n v="20"/>
    <n v="20"/>
    <n v="20"/>
    <n v="2004"/>
    <n v="2004"/>
    <n v="1436"/>
    <m/>
    <m/>
    <m/>
    <m/>
    <n v="0"/>
    <n v="1436"/>
    <n v="1500"/>
    <s v="S"/>
    <n v="1"/>
    <n v="400"/>
    <m/>
    <m/>
    <m/>
    <m/>
    <m/>
    <n v="318731"/>
    <n v="293233"/>
    <n v="0"/>
    <n v="0"/>
    <n v="60800"/>
    <n v="299800"/>
    <n v="360600"/>
    <n v="132535.48800000001"/>
    <n v="88356.992000000013"/>
    <n v="-24051.387388882686"/>
    <n v="32917.849192000001"/>
    <n v="50438.379078999998"/>
    <n v="-2174.8220000000001"/>
    <n v="89621.305680000005"/>
    <n v="0"/>
    <n v="0"/>
    <n v="14120.412400000001"/>
    <n v="0"/>
    <n v="317500"/>
    <n v="64300"/>
    <n v="381800"/>
    <n v="5.8790904048807546E-2"/>
    <n v="0.99970000000000003"/>
    <n v="1.0019"/>
    <n v="1.0007999999999999"/>
    <n v="0.99519999999999997"/>
    <n v="1.0138"/>
    <n v="0.94971499999999998"/>
    <n v="0.96078812106155087"/>
    <n v="312300"/>
    <n v="0"/>
    <n v="312300"/>
    <n v="61100"/>
    <n v="373400"/>
    <n v="4.1694462975316877E-2"/>
    <n v="4.9342105263157892E-3"/>
    <n v="3.5496394897393237E-2"/>
  </r>
  <r>
    <n v="2025"/>
    <s v="19120113491    "/>
    <n v="-1.8325814637483102"/>
    <n v="0.16"/>
    <n v="7002"/>
    <s v="2"/>
    <s v="RES"/>
    <s v="MX"/>
    <s v="11"/>
    <s v="259"/>
    <s v="RN"/>
    <x v="5"/>
    <s v="VG"/>
    <n v="20"/>
    <n v="20"/>
    <n v="20"/>
    <n v="2004"/>
    <n v="2004"/>
    <n v="1706"/>
    <m/>
    <m/>
    <m/>
    <m/>
    <n v="0"/>
    <n v="1706"/>
    <n v="2000"/>
    <s v="S"/>
    <n v="1"/>
    <n v="466"/>
    <m/>
    <m/>
    <m/>
    <m/>
    <m/>
    <n v="380860"/>
    <n v="350391"/>
    <n v="0"/>
    <n v="0"/>
    <n v="60800"/>
    <n v="318500"/>
    <n v="379300"/>
    <n v="132535.48800000001"/>
    <n v="88356.992000000013"/>
    <n v="-24051.387388882686"/>
    <n v="32917.849192000001"/>
    <n v="50438.379078999998"/>
    <n v="-2174.8220000000001"/>
    <n v="106472.10828"/>
    <n v="0"/>
    <n v="0"/>
    <n v="16450.280446000001"/>
    <n v="0"/>
    <n v="336600"/>
    <n v="64300"/>
    <n v="400900"/>
    <n v="5.6947007645663066E-2"/>
    <n v="0.99970000000000003"/>
    <n v="1.0019"/>
    <n v="1.0007999999999999"/>
    <n v="1.0007999999999999"/>
    <n v="1.0138"/>
    <n v="0.94971499999999998"/>
    <n v="0.96619448508681682"/>
    <n v="332200"/>
    <n v="0"/>
    <n v="332200"/>
    <n v="61100"/>
    <n v="393300"/>
    <n v="4.3014128728414446E-2"/>
    <n v="4.9342105263157892E-3"/>
    <n v="3.6910097548114945E-2"/>
  </r>
  <r>
    <n v="2025"/>
    <s v="19120113579    "/>
    <n v="-1.8325814637483102"/>
    <n v="0.16"/>
    <n v="7036"/>
    <s v="2"/>
    <s v="RES"/>
    <s v="MX"/>
    <s v="11"/>
    <s v="259"/>
    <s v="RN"/>
    <x v="5"/>
    <s v="VG"/>
    <n v="10"/>
    <n v="16"/>
    <n v="16"/>
    <n v="2008"/>
    <n v="2008"/>
    <n v="2126"/>
    <m/>
    <m/>
    <m/>
    <m/>
    <n v="0"/>
    <n v="2126"/>
    <n v="2500"/>
    <s v="S"/>
    <n v="1"/>
    <n v="714"/>
    <m/>
    <m/>
    <m/>
    <m/>
    <m/>
    <n v="454313"/>
    <n v="422511"/>
    <n v="0"/>
    <n v="0"/>
    <n v="60800"/>
    <n v="347600"/>
    <n v="408400"/>
    <n v="132535.48800000001"/>
    <n v="88356.992000000013"/>
    <n v="-24051.387388882686"/>
    <n v="32917.849192000001"/>
    <n v="50438.379078999998"/>
    <n v="-1739.8576"/>
    <n v="132684.46788000001"/>
    <n v="0"/>
    <n v="0"/>
    <n v="25204.936134"/>
    <n v="0"/>
    <n v="372000"/>
    <n v="64300"/>
    <n v="436300"/>
    <n v="6.8315377081292844E-2"/>
    <n v="0.99970000000000003"/>
    <n v="1.0019"/>
    <n v="1.0007999999999999"/>
    <n v="1.0008999999999999"/>
    <n v="0.99080000000000001"/>
    <n v="0.94971499999999998"/>
    <n v="0.94436885958806405"/>
    <n v="364700"/>
    <n v="0"/>
    <n v="364700"/>
    <n v="61100"/>
    <n v="425800"/>
    <n v="4.9194476409666281E-2"/>
    <n v="4.9342105263157892E-3"/>
    <n v="4.2605288932419196E-2"/>
  </r>
  <r>
    <n v="2025"/>
    <s v="19120113519    "/>
    <n v="-1.8325814637483102"/>
    <n v="0.16"/>
    <n v="7082"/>
    <s v="2"/>
    <s v="RES"/>
    <s v="MX"/>
    <s v="11"/>
    <s v="259"/>
    <s v="RN"/>
    <x v="5"/>
    <s v="VG"/>
    <n v="10"/>
    <n v="17"/>
    <n v="17"/>
    <n v="2007"/>
    <n v="2007"/>
    <n v="2154"/>
    <m/>
    <m/>
    <m/>
    <m/>
    <n v="0"/>
    <n v="2154"/>
    <n v="2500"/>
    <s v="S"/>
    <m/>
    <n v="730"/>
    <m/>
    <m/>
    <m/>
    <m/>
    <m/>
    <n v="456334"/>
    <n v="424391"/>
    <n v="0"/>
    <n v="0"/>
    <n v="60800"/>
    <n v="349000"/>
    <n v="409800"/>
    <n v="132535.48800000001"/>
    <n v="88356.992000000013"/>
    <n v="-24051.387388882686"/>
    <n v="32917.849192000001"/>
    <n v="50438.379078999998"/>
    <n v="-1848.5987"/>
    <n v="134431.95852000001"/>
    <n v="0"/>
    <n v="0"/>
    <n v="25769.752630000003"/>
    <n v="0"/>
    <n v="374200"/>
    <n v="64300"/>
    <n v="438500"/>
    <n v="7.003416300634456E-2"/>
    <n v="0.99970000000000003"/>
    <n v="1.0019"/>
    <n v="1.0007999999999999"/>
    <n v="1.0008999999999999"/>
    <n v="0.99080000000000001"/>
    <n v="0.94971499999999998"/>
    <n v="0.94436885958806405"/>
    <n v="366900"/>
    <n v="0"/>
    <n v="366900"/>
    <n v="61100"/>
    <n v="428000"/>
    <n v="5.1289398280802291E-2"/>
    <n v="4.9342105263157892E-3"/>
    <n v="4.4411908247925819E-2"/>
  </r>
  <r>
    <n v="2025"/>
    <s v="19120141415    "/>
    <n v="-1.8325814637483102"/>
    <n v="0.16"/>
    <n v="6951"/>
    <s v="2"/>
    <s v="RES"/>
    <s v="MX"/>
    <s v="11"/>
    <s v="259"/>
    <s v="RN"/>
    <x v="5"/>
    <s v="VG"/>
    <n v="10"/>
    <n v="19"/>
    <n v="19"/>
    <n v="2005"/>
    <n v="2005"/>
    <n v="2154"/>
    <m/>
    <m/>
    <m/>
    <m/>
    <n v="0"/>
    <n v="2154"/>
    <n v="2500"/>
    <s v="S"/>
    <m/>
    <n v="730"/>
    <m/>
    <m/>
    <m/>
    <m/>
    <m/>
    <n v="457093"/>
    <n v="415955"/>
    <n v="0"/>
    <n v="0"/>
    <n v="60800"/>
    <n v="345400"/>
    <n v="406200"/>
    <n v="132535.48800000001"/>
    <n v="88356.992000000013"/>
    <n v="-24051.387388882686"/>
    <n v="32917.849192000001"/>
    <n v="50438.379078999998"/>
    <n v="-2066.0808999999999"/>
    <n v="134431.95852000001"/>
    <n v="0"/>
    <n v="0"/>
    <n v="25769.752630000003"/>
    <n v="0"/>
    <n v="374000"/>
    <n v="64300"/>
    <n v="438300"/>
    <n v="7.9025110782865587E-2"/>
    <n v="0.99970000000000003"/>
    <n v="1.0019"/>
    <n v="1.0007999999999999"/>
    <n v="1.0008999999999999"/>
    <n v="0.99080000000000001"/>
    <n v="0.94971499999999998"/>
    <n v="0.94436885958806405"/>
    <n v="366700"/>
    <n v="0"/>
    <n v="366700"/>
    <n v="61100"/>
    <n v="427800"/>
    <n v="6.1667631731326E-2"/>
    <n v="4.9342105263157892E-3"/>
    <n v="5.3175775480059084E-2"/>
  </r>
  <r>
    <n v="2025"/>
    <s v="19120144554    "/>
    <n v="-1.8325814637483102"/>
    <n v="0.16"/>
    <n v="7159"/>
    <s v="2"/>
    <s v="RES"/>
    <s v="MX"/>
    <s v="11"/>
    <s v="259"/>
    <s v="RN"/>
    <x v="5"/>
    <s v="VG"/>
    <n v="20"/>
    <n v="20"/>
    <n v="20"/>
    <n v="2004"/>
    <n v="2004"/>
    <n v="2154"/>
    <m/>
    <m/>
    <m/>
    <m/>
    <n v="0"/>
    <n v="2154"/>
    <n v="2500"/>
    <s v="S"/>
    <n v="1"/>
    <n v="730"/>
    <m/>
    <m/>
    <m/>
    <m/>
    <m/>
    <n v="479572"/>
    <n v="441206"/>
    <n v="0"/>
    <n v="0"/>
    <n v="60800"/>
    <n v="346300"/>
    <n v="407100"/>
    <n v="132535.48800000001"/>
    <n v="88356.992000000013"/>
    <n v="-24051.387388882686"/>
    <n v="32917.849192000001"/>
    <n v="50438.379078999998"/>
    <n v="-2174.8220000000001"/>
    <n v="134431.95852000001"/>
    <n v="0"/>
    <n v="0"/>
    <n v="25769.752630000003"/>
    <n v="0"/>
    <n v="373900"/>
    <n v="64300"/>
    <n v="438200"/>
    <n v="7.6394006386637195E-2"/>
    <n v="0.99970000000000003"/>
    <n v="1.0019"/>
    <n v="1.0007999999999999"/>
    <n v="1.0008999999999999"/>
    <n v="1.0138"/>
    <n v="0.94971499999999998"/>
    <n v="0.9662910273015537"/>
    <n v="369500"/>
    <n v="0"/>
    <n v="369500"/>
    <n v="61100"/>
    <n v="430600"/>
    <n v="6.6993935893733758E-2"/>
    <n v="4.9342105263157892E-3"/>
    <n v="5.7725374600835176E-2"/>
  </r>
  <r>
    <n v="2025"/>
    <s v="19120113494    "/>
    <n v="-1.8325814637483102"/>
    <n v="0.16"/>
    <n v="7002"/>
    <s v="2"/>
    <s v="RES"/>
    <s v="MX"/>
    <s v="11"/>
    <s v="259"/>
    <s v="CO"/>
    <x v="6"/>
    <s v="VG"/>
    <n v="10"/>
    <n v="18"/>
    <n v="18"/>
    <n v="2006"/>
    <n v="2006"/>
    <n v="1374"/>
    <n v="1332"/>
    <m/>
    <m/>
    <m/>
    <n v="0"/>
    <n v="2706"/>
    <n v="3000"/>
    <s v="B"/>
    <n v="1"/>
    <n v="240"/>
    <n v="502"/>
    <m/>
    <m/>
    <m/>
    <m/>
    <n v="622883"/>
    <n v="585510"/>
    <n v="0"/>
    <n v="0"/>
    <n v="60800"/>
    <n v="446800"/>
    <n v="507600"/>
    <n v="132535.48800000001"/>
    <n v="88356.992000000013"/>
    <n v="-24051.387388882686"/>
    <n v="39366.494398000003"/>
    <n v="50438.379078999998"/>
    <n v="-1957.3398"/>
    <n v="85751.862120000005"/>
    <n v="79361.070156000002"/>
    <n v="0"/>
    <n v="8472.247440000001"/>
    <n v="0"/>
    <n v="394000"/>
    <n v="64300"/>
    <n v="458300"/>
    <n v="-9.7123719464144997E-2"/>
    <n v="0.99970000000000003"/>
    <n v="0.99980000000000002"/>
    <n v="1.0007999999999999"/>
    <n v="1.0099"/>
    <n v="0.99080000000000001"/>
    <n v="0.94971499999999998"/>
    <n v="0.95086332439114651"/>
    <n v="387500"/>
    <n v="0"/>
    <n v="387500"/>
    <n v="61100"/>
    <n v="448600"/>
    <n v="-0.13272157564905998"/>
    <n v="4.9342105263157892E-3"/>
    <n v="-0.11623325453112687"/>
  </r>
  <r>
    <n v="2025"/>
    <s v="19120113505    "/>
    <n v="-1.8325814637483102"/>
    <n v="0.16"/>
    <n v="6813"/>
    <s v="2"/>
    <s v="RES"/>
    <s v="MX"/>
    <s v="11"/>
    <s v="259"/>
    <s v="CO"/>
    <x v="5"/>
    <s v="VG"/>
    <n v="10"/>
    <n v="18"/>
    <n v="18"/>
    <n v="2006"/>
    <n v="2006"/>
    <n v="1158"/>
    <n v="1332"/>
    <m/>
    <m/>
    <m/>
    <n v="0"/>
    <n v="2490"/>
    <n v="2500"/>
    <s v="B"/>
    <n v="1"/>
    <n v="300"/>
    <n v="502"/>
    <m/>
    <m/>
    <m/>
    <m/>
    <n v="512529"/>
    <n v="471527"/>
    <n v="0"/>
    <n v="0"/>
    <n v="60800"/>
    <n v="394300"/>
    <n v="455100"/>
    <n v="132535.48800000001"/>
    <n v="88356.992000000013"/>
    <n v="-24051.387388882686"/>
    <n v="32917.849192000001"/>
    <n v="50438.379078999998"/>
    <n v="-1957.3398"/>
    <n v="72271.22004"/>
    <n v="79361.070156000002"/>
    <n v="0"/>
    <n v="10590.309300000001"/>
    <n v="0"/>
    <n v="376200"/>
    <n v="64300"/>
    <n v="440500"/>
    <n v="-3.2080861349154034E-2"/>
    <n v="0.99970000000000003"/>
    <n v="1.0019"/>
    <n v="1.0007999999999999"/>
    <n v="1.0008999999999999"/>
    <n v="0.99080000000000001"/>
    <n v="0.94971499999999998"/>
    <n v="0.94436885958806405"/>
    <n v="368800"/>
    <n v="0"/>
    <n v="368800"/>
    <n v="61100"/>
    <n v="429900"/>
    <n v="-6.4671569870656864E-2"/>
    <n v="4.9342105263157892E-3"/>
    <n v="-5.5372445616348055E-2"/>
  </r>
  <r>
    <n v="2025"/>
    <s v="19120141419    "/>
    <n v="-1.8325814637483102"/>
    <n v="0.16"/>
    <n v="6960"/>
    <s v="2"/>
    <s v="RES"/>
    <s v="MX"/>
    <s v="11"/>
    <s v="259"/>
    <s v="CO"/>
    <x v="5"/>
    <s v="VG"/>
    <n v="10"/>
    <n v="19"/>
    <n v="19"/>
    <n v="2005"/>
    <n v="2005"/>
    <n v="1116"/>
    <n v="1116"/>
    <m/>
    <m/>
    <m/>
    <n v="0"/>
    <n v="2232"/>
    <n v="2500"/>
    <s v="B"/>
    <m/>
    <n v="704"/>
    <m/>
    <m/>
    <m/>
    <m/>
    <m/>
    <n v="463082"/>
    <n v="421405"/>
    <n v="0"/>
    <n v="0"/>
    <n v="60800"/>
    <n v="380000"/>
    <n v="440800"/>
    <n v="132535.48800000001"/>
    <n v="88356.992000000013"/>
    <n v="-24051.387388882686"/>
    <n v="32917.849192000001"/>
    <n v="50438.379078999998"/>
    <n v="-2066.0808999999999"/>
    <n v="69649.984080000009"/>
    <n v="66491.707427999994"/>
    <n v="0"/>
    <n v="24851.925824000002"/>
    <n v="0"/>
    <n v="374800"/>
    <n v="64300"/>
    <n v="439100"/>
    <n v="-3.8566243194192379E-3"/>
    <n v="0.99970000000000003"/>
    <n v="1.0019"/>
    <n v="1.0007999999999999"/>
    <n v="1.0008999999999999"/>
    <n v="0.99080000000000001"/>
    <n v="0.94971499999999998"/>
    <n v="0.94436885958806405"/>
    <n v="367400"/>
    <n v="0"/>
    <n v="367400"/>
    <n v="61100"/>
    <n v="428500"/>
    <n v="-3.3157894736842108E-2"/>
    <n v="4.9342105263157892E-3"/>
    <n v="-2.7903811252268602E-2"/>
  </r>
  <r>
    <n v="2025"/>
    <s v="19120141513    "/>
    <n v="-1.8325814637483102"/>
    <n v="0.16"/>
    <n v="6999"/>
    <s v="2"/>
    <s v="RES"/>
    <s v="MX"/>
    <s v="11"/>
    <s v="259"/>
    <s v="CO"/>
    <x v="5"/>
    <s v="VG"/>
    <n v="10"/>
    <n v="19"/>
    <n v="19"/>
    <n v="2005"/>
    <n v="2005"/>
    <n v="1158"/>
    <n v="1322"/>
    <m/>
    <m/>
    <m/>
    <n v="0"/>
    <n v="2480"/>
    <n v="2500"/>
    <s v="B"/>
    <n v="1"/>
    <n v="300"/>
    <n v="502"/>
    <m/>
    <m/>
    <m/>
    <m/>
    <n v="503193"/>
    <n v="457906"/>
    <n v="0"/>
    <n v="0"/>
    <n v="60800"/>
    <n v="379700"/>
    <n v="440500"/>
    <n v="132535.48800000001"/>
    <n v="88356.992000000013"/>
    <n v="-24051.387388882686"/>
    <n v="32917.849192000001"/>
    <n v="50438.379078999998"/>
    <n v="-2066.0808999999999"/>
    <n v="72271.22004"/>
    <n v="78765.266325999997"/>
    <n v="0"/>
    <n v="10590.309300000001"/>
    <n v="0"/>
    <n v="375500"/>
    <n v="64300"/>
    <n v="439800"/>
    <n v="-1.5891032917139615E-3"/>
    <n v="0.99970000000000003"/>
    <n v="1.0019"/>
    <n v="1.0007999999999999"/>
    <n v="1.0008999999999999"/>
    <n v="0.99080000000000001"/>
    <n v="0.94971499999999998"/>
    <n v="0.94436885958806405"/>
    <n v="368100"/>
    <n v="0"/>
    <n v="368100"/>
    <n v="61100"/>
    <n v="429200"/>
    <n v="-3.0550434553594942E-2"/>
    <n v="4.9342105263157892E-3"/>
    <n v="-2.5652667423382521E-2"/>
  </r>
  <r>
    <n v="2025"/>
    <s v="19120144434    "/>
    <n v="-1.8325814637483102"/>
    <n v="0.16"/>
    <n v="7001"/>
    <s v="2"/>
    <s v="RES"/>
    <s v="MX"/>
    <s v="11"/>
    <s v="259"/>
    <s v="CO"/>
    <x v="5"/>
    <s v="GD"/>
    <n v="20"/>
    <n v="20"/>
    <n v="20"/>
    <n v="2004"/>
    <n v="2004"/>
    <n v="1158"/>
    <n v="1322"/>
    <m/>
    <m/>
    <m/>
    <n v="0"/>
    <n v="2480"/>
    <n v="2500"/>
    <s v="B"/>
    <n v="1"/>
    <m/>
    <n v="502"/>
    <m/>
    <m/>
    <m/>
    <m/>
    <n v="481791"/>
    <n v="438430"/>
    <n v="0"/>
    <n v="0"/>
    <n v="60800"/>
    <n v="350400"/>
    <n v="411200"/>
    <n v="132535.48800000001"/>
    <n v="88356.992000000013"/>
    <n v="-24051.387388882686"/>
    <n v="32917.849192000001"/>
    <n v="30300.329274"/>
    <n v="-2174.8220000000001"/>
    <n v="72271.22004"/>
    <n v="78765.266325999997"/>
    <n v="0"/>
    <n v="0"/>
    <n v="0"/>
    <n v="344600"/>
    <n v="64300"/>
    <n v="408900"/>
    <n v="-5.5933852140077822E-3"/>
    <n v="0.99970000000000003"/>
    <n v="1.0019"/>
    <n v="0.997"/>
    <n v="1.0008999999999999"/>
    <n v="1.0138"/>
    <n v="0.94971499999999998"/>
    <n v="0.96262205657438948"/>
    <n v="339700"/>
    <n v="0"/>
    <n v="339700"/>
    <n v="61100"/>
    <n v="400800"/>
    <n v="-3.0536529680365295E-2"/>
    <n v="4.9342105263157892E-3"/>
    <n v="-2.5291828793774319E-2"/>
  </r>
  <r>
    <n v="2025"/>
    <s v="19120144532    "/>
    <n v="-1.8325814637483102"/>
    <n v="0.16"/>
    <n v="7010"/>
    <s v="2"/>
    <s v="RES"/>
    <s v="MX"/>
    <s v="11"/>
    <s v="259"/>
    <s v="CO"/>
    <x v="5"/>
    <s v="GD"/>
    <n v="20"/>
    <n v="20"/>
    <n v="20"/>
    <n v="2004"/>
    <n v="2004"/>
    <n v="1158"/>
    <n v="1322"/>
    <m/>
    <m/>
    <m/>
    <n v="0"/>
    <n v="2480"/>
    <n v="2500"/>
    <s v="B"/>
    <n v="1"/>
    <m/>
    <n v="502"/>
    <m/>
    <m/>
    <m/>
    <m/>
    <n v="481791"/>
    <n v="438430"/>
    <n v="0"/>
    <n v="0"/>
    <n v="60800"/>
    <n v="350400"/>
    <n v="411200"/>
    <n v="132535.48800000001"/>
    <n v="88356.992000000013"/>
    <n v="-24051.387388882686"/>
    <n v="32917.849192000001"/>
    <n v="30300.329274"/>
    <n v="-2174.8220000000001"/>
    <n v="72271.22004"/>
    <n v="78765.266325999997"/>
    <n v="0"/>
    <n v="0"/>
    <n v="0"/>
    <n v="344600"/>
    <n v="64300"/>
    <n v="408900"/>
    <n v="-5.5933852140077822E-3"/>
    <n v="0.99970000000000003"/>
    <n v="1.0019"/>
    <n v="0.997"/>
    <n v="1.0008999999999999"/>
    <n v="1.0138"/>
    <n v="0.94971499999999998"/>
    <n v="0.96262205657438948"/>
    <n v="339700"/>
    <n v="0"/>
    <n v="339700"/>
    <n v="61100"/>
    <n v="400800"/>
    <n v="-3.0536529680365295E-2"/>
    <n v="4.9342105263157892E-3"/>
    <n v="-2.5291828793774319E-2"/>
  </r>
  <r>
    <n v="2025"/>
    <s v="19120144556    "/>
    <n v="-1.8325814637483102"/>
    <n v="0.16"/>
    <n v="7161"/>
    <s v="2"/>
    <s v="RES"/>
    <s v="MX"/>
    <s v="11"/>
    <s v="259"/>
    <s v="CO"/>
    <x v="5"/>
    <s v="VG"/>
    <n v="20"/>
    <n v="20"/>
    <n v="20"/>
    <n v="2004"/>
    <n v="2004"/>
    <n v="1158"/>
    <n v="1322"/>
    <m/>
    <m/>
    <m/>
    <n v="0"/>
    <n v="2480"/>
    <n v="2500"/>
    <s v="B"/>
    <n v="1"/>
    <n v="300"/>
    <n v="502"/>
    <m/>
    <m/>
    <m/>
    <m/>
    <n v="540884"/>
    <n v="497613"/>
    <n v="0"/>
    <n v="0"/>
    <n v="60800"/>
    <n v="378800"/>
    <n v="439600"/>
    <n v="132535.48800000001"/>
    <n v="88356.992000000013"/>
    <n v="-24051.387388882686"/>
    <n v="32917.849192000001"/>
    <n v="50438.379078999998"/>
    <n v="-2174.8220000000001"/>
    <n v="72271.22004"/>
    <n v="78765.266325999997"/>
    <n v="0"/>
    <n v="10590.309300000001"/>
    <n v="0"/>
    <n v="375300"/>
    <n v="64300"/>
    <n v="439600"/>
    <n v="0"/>
    <n v="0.99970000000000003"/>
    <n v="1.0019"/>
    <n v="1.0007999999999999"/>
    <n v="1.0008999999999999"/>
    <n v="1.0138"/>
    <n v="0.94971499999999998"/>
    <n v="0.9662910273015537"/>
    <n v="370900"/>
    <n v="0"/>
    <n v="370900"/>
    <n v="61100"/>
    <n v="432000"/>
    <n v="-2.085533262935586E-2"/>
    <n v="4.9342105263157892E-3"/>
    <n v="-1.7288444040036398E-2"/>
  </r>
  <r>
    <n v="2025"/>
    <s v="19120113466    "/>
    <n v="-1.8325814637483102"/>
    <n v="0.16"/>
    <n v="7004"/>
    <s v="2"/>
    <s v="RES"/>
    <s v="MX"/>
    <s v="11"/>
    <s v="259"/>
    <s v="CO"/>
    <x v="5"/>
    <s v="AV"/>
    <n v="10"/>
    <n v="18"/>
    <n v="18"/>
    <n v="2006"/>
    <n v="2006"/>
    <n v="1116"/>
    <n v="1116"/>
    <m/>
    <m/>
    <m/>
    <n v="0"/>
    <n v="2232"/>
    <n v="2500"/>
    <s v="B"/>
    <m/>
    <n v="440"/>
    <m/>
    <m/>
    <m/>
    <m/>
    <m/>
    <n v="452988"/>
    <n v="412219"/>
    <n v="0"/>
    <n v="0"/>
    <n v="60800"/>
    <n v="330200"/>
    <n v="391000"/>
    <n v="132535.48800000001"/>
    <n v="88356.992000000013"/>
    <n v="-24051.387388882686"/>
    <n v="32917.849192000001"/>
    <n v="17761.121909000001"/>
    <n v="-1957.3398"/>
    <n v="69649.984080000009"/>
    <n v="66491.707427999994"/>
    <n v="0"/>
    <n v="15532.453640000002"/>
    <n v="0"/>
    <n v="332900"/>
    <n v="64300"/>
    <n v="397200"/>
    <n v="1.5856777493606138E-2"/>
    <n v="0.99970000000000003"/>
    <n v="1.0019"/>
    <n v="0.99680000000000002"/>
    <n v="1.0008999999999999"/>
    <n v="0.99080000000000001"/>
    <n v="0.94971499999999998"/>
    <n v="0.94059440371441083"/>
    <n v="325100"/>
    <n v="0"/>
    <n v="325100"/>
    <n v="61100"/>
    <n v="386200"/>
    <n v="-1.5445184736523319E-2"/>
    <n v="4.9342105263157892E-3"/>
    <n v="-1.2276214833759591E-2"/>
  </r>
  <r>
    <n v="2025"/>
    <s v="19120141476    "/>
    <n v="-1.8325814637483102"/>
    <n v="0.16"/>
    <n v="6957"/>
    <s v="2"/>
    <s v="RES"/>
    <s v="MX"/>
    <s v="11"/>
    <s v="259"/>
    <s v="RN"/>
    <x v="5"/>
    <s v="GD"/>
    <n v="10"/>
    <n v="19"/>
    <n v="19"/>
    <n v="2005"/>
    <n v="2005"/>
    <n v="1382"/>
    <m/>
    <m/>
    <m/>
    <m/>
    <n v="0"/>
    <n v="1382"/>
    <n v="1500"/>
    <s v="B"/>
    <n v="1"/>
    <n v="666"/>
    <m/>
    <m/>
    <m/>
    <m/>
    <m/>
    <n v="328221"/>
    <n v="298681"/>
    <n v="0"/>
    <n v="0"/>
    <n v="60800"/>
    <n v="296300"/>
    <n v="357100"/>
    <n v="132535.48800000001"/>
    <n v="88356.992000000013"/>
    <n v="-24051.387388882686"/>
    <n v="32917.849192000001"/>
    <n v="30300.329274"/>
    <n v="-2066.0808999999999"/>
    <n v="86251.14516"/>
    <n v="0"/>
    <n v="0"/>
    <n v="23510.486646000001"/>
    <n v="0"/>
    <n v="303400"/>
    <n v="64300"/>
    <n v="367700"/>
    <n v="2.9683562027443294E-2"/>
    <n v="0.99970000000000003"/>
    <n v="1.0019"/>
    <n v="0.997"/>
    <n v="0.99519999999999997"/>
    <n v="0.99080000000000001"/>
    <n v="0.94971499999999998"/>
    <n v="0.9354254845647465"/>
    <n v="294900"/>
    <n v="0"/>
    <n v="294900"/>
    <n v="61100"/>
    <n v="356000"/>
    <n v="-4.7249409382382722E-3"/>
    <n v="4.9342105263157892E-3"/>
    <n v="-3.080369644357323E-3"/>
  </r>
  <r>
    <n v="2025"/>
    <s v="19120113464    "/>
    <n v="-1.8325814637483102"/>
    <n v="0.16"/>
    <n v="7020"/>
    <s v="2"/>
    <s v="RES"/>
    <s v="MX"/>
    <s v="11"/>
    <s v="259"/>
    <s v="CO"/>
    <x v="5"/>
    <s v="GD"/>
    <n v="10"/>
    <n v="18"/>
    <n v="18"/>
    <n v="2006"/>
    <n v="2006"/>
    <n v="1116"/>
    <n v="1116"/>
    <m/>
    <m/>
    <m/>
    <n v="0"/>
    <n v="2232"/>
    <n v="2500"/>
    <s v="B"/>
    <m/>
    <n v="440"/>
    <m/>
    <m/>
    <m/>
    <m/>
    <m/>
    <n v="448191"/>
    <n v="407854"/>
    <n v="0"/>
    <n v="0"/>
    <n v="60800"/>
    <n v="335400"/>
    <n v="396200"/>
    <n v="132535.48800000001"/>
    <n v="88356.992000000013"/>
    <n v="-24051.387388882686"/>
    <n v="32917.849192000001"/>
    <n v="30300.329274"/>
    <n v="-1957.3398"/>
    <n v="69649.984080000009"/>
    <n v="66491.707427999994"/>
    <n v="0"/>
    <n v="15532.453640000002"/>
    <n v="0"/>
    <n v="345500"/>
    <n v="64300"/>
    <n v="409800"/>
    <n v="3.4326097930338216E-2"/>
    <n v="0.99970000000000003"/>
    <n v="1.0019"/>
    <n v="0.997"/>
    <n v="1.0008999999999999"/>
    <n v="0.99080000000000001"/>
    <n v="0.94971499999999998"/>
    <n v="0.94078312650809337"/>
    <n v="337600"/>
    <n v="0"/>
    <n v="337600"/>
    <n v="61100"/>
    <n v="398700"/>
    <n v="6.5593321407274897E-3"/>
    <n v="4.9342105263157892E-3"/>
    <n v="6.3099444724886425E-3"/>
  </r>
  <r>
    <n v="2025"/>
    <s v="19120141465    "/>
    <n v="-1.8325814637483102"/>
    <n v="0.16"/>
    <n v="7025"/>
    <s v="2"/>
    <s v="RES"/>
    <s v="MX"/>
    <s v="11"/>
    <s v="259"/>
    <s v="CO"/>
    <x v="5"/>
    <s v="GD"/>
    <n v="10"/>
    <n v="19"/>
    <n v="19"/>
    <n v="2005"/>
    <n v="2005"/>
    <n v="1116"/>
    <n v="1116"/>
    <m/>
    <m/>
    <m/>
    <n v="0"/>
    <n v="2232"/>
    <n v="2500"/>
    <s v="B"/>
    <m/>
    <n v="440"/>
    <m/>
    <m/>
    <m/>
    <m/>
    <m/>
    <n v="439327"/>
    <n v="399788"/>
    <n v="0"/>
    <n v="0"/>
    <n v="60800"/>
    <n v="334500"/>
    <n v="395300"/>
    <n v="132535.48800000001"/>
    <n v="88356.992000000013"/>
    <n v="-24051.387388882686"/>
    <n v="32917.849192000001"/>
    <n v="30300.329274"/>
    <n v="-2066.0808999999999"/>
    <n v="69649.984080000009"/>
    <n v="66491.707427999994"/>
    <n v="0"/>
    <n v="15532.453640000002"/>
    <n v="0"/>
    <n v="345400"/>
    <n v="64300"/>
    <n v="409700"/>
    <n v="3.6428029344801417E-2"/>
    <n v="0.99970000000000003"/>
    <n v="1.0019"/>
    <n v="0.997"/>
    <n v="1.0008999999999999"/>
    <n v="0.99080000000000001"/>
    <n v="0.94971499999999998"/>
    <n v="0.94078312650809337"/>
    <n v="337500"/>
    <n v="0"/>
    <n v="337500"/>
    <n v="61100"/>
    <n v="398600"/>
    <n v="8.9686098654708519E-3"/>
    <n v="4.9342105263157892E-3"/>
    <n v="8.3480900581836583E-3"/>
  </r>
  <r>
    <n v="2025"/>
    <s v="19120141473    "/>
    <n v="-1.8325814637483102"/>
    <n v="0.16"/>
    <n v="7001"/>
    <s v="2"/>
    <s v="RES"/>
    <s v="MX"/>
    <s v="11"/>
    <s v="259"/>
    <s v="CO"/>
    <x v="5"/>
    <s v="VG"/>
    <n v="10"/>
    <n v="19"/>
    <n v="19"/>
    <n v="2005"/>
    <n v="2005"/>
    <n v="1116"/>
    <n v="1116"/>
    <m/>
    <m/>
    <m/>
    <n v="0"/>
    <n v="2232"/>
    <n v="2500"/>
    <s v="B"/>
    <n v="1"/>
    <n v="440"/>
    <m/>
    <m/>
    <m/>
    <m/>
    <m/>
    <n v="445974"/>
    <n v="405836"/>
    <n v="0"/>
    <n v="0"/>
    <n v="60800"/>
    <n v="350000"/>
    <n v="410800"/>
    <n v="132535.48800000001"/>
    <n v="88356.992000000013"/>
    <n v="-24051.387388882686"/>
    <n v="32917.849192000001"/>
    <n v="50438.379078999998"/>
    <n v="-2066.0808999999999"/>
    <n v="69649.984080000009"/>
    <n v="66491.707427999994"/>
    <n v="0"/>
    <n v="15532.453640000002"/>
    <n v="0"/>
    <n v="365500"/>
    <n v="64300"/>
    <n v="429800"/>
    <n v="4.6251217137293084E-2"/>
    <n v="0.99970000000000003"/>
    <n v="1.0019"/>
    <n v="1.0007999999999999"/>
    <n v="1.0008999999999999"/>
    <n v="0.99080000000000001"/>
    <n v="0.94971499999999998"/>
    <n v="0.94436885958806405"/>
    <n v="358100"/>
    <n v="0"/>
    <n v="358100"/>
    <n v="61100"/>
    <n v="419200"/>
    <n v="2.3142857142857142E-2"/>
    <n v="4.9342105263157892E-3"/>
    <n v="2.0447906523855891E-2"/>
  </r>
  <r>
    <n v="2025"/>
    <s v="19120144435    "/>
    <n v="-1.8325814637483102"/>
    <n v="0.16"/>
    <n v="7001"/>
    <s v="2"/>
    <s v="RES"/>
    <s v="MX"/>
    <s v="11"/>
    <s v="259"/>
    <s v="RN"/>
    <x v="5"/>
    <s v="GD"/>
    <n v="20"/>
    <n v="20"/>
    <n v="20"/>
    <n v="2004"/>
    <n v="2004"/>
    <n v="1436"/>
    <m/>
    <m/>
    <m/>
    <m/>
    <n v="0"/>
    <n v="1436"/>
    <n v="1500"/>
    <s v="B"/>
    <n v="1"/>
    <n v="400"/>
    <m/>
    <m/>
    <m/>
    <m/>
    <m/>
    <n v="320830"/>
    <n v="291955"/>
    <n v="0"/>
    <n v="0"/>
    <n v="60800"/>
    <n v="284100"/>
    <n v="344900"/>
    <n v="132535.48800000001"/>
    <n v="88356.992000000013"/>
    <n v="-24051.387388882686"/>
    <n v="32917.849192000001"/>
    <n v="30300.329274"/>
    <n v="-2174.8220000000001"/>
    <n v="89621.305680000005"/>
    <n v="0"/>
    <n v="0"/>
    <n v="14120.412400000001"/>
    <n v="0"/>
    <n v="297300"/>
    <n v="64300"/>
    <n v="361600"/>
    <n v="4.8419831835314585E-2"/>
    <n v="0.99970000000000003"/>
    <n v="1.0019"/>
    <n v="0.997"/>
    <n v="0.99519999999999997"/>
    <n v="1.0138"/>
    <n v="0.94971499999999998"/>
    <n v="0.95714004466263625"/>
    <n v="291600"/>
    <n v="0"/>
    <n v="291600"/>
    <n v="61100"/>
    <n v="352700"/>
    <n v="2.6399155227032733E-2"/>
    <n v="4.9342105263157892E-3"/>
    <n v="2.2615250797332561E-2"/>
  </r>
  <r>
    <n v="2025"/>
    <s v="19120144557    "/>
    <n v="-1.8325814637483102"/>
    <n v="0.16"/>
    <n v="7172"/>
    <s v="2"/>
    <s v="RES"/>
    <s v="MX"/>
    <s v="11"/>
    <s v="259"/>
    <s v="CO"/>
    <x v="5"/>
    <s v="VG"/>
    <n v="20"/>
    <n v="20"/>
    <n v="20"/>
    <n v="2004"/>
    <n v="2004"/>
    <n v="1116"/>
    <n v="1116"/>
    <m/>
    <m/>
    <m/>
    <n v="0"/>
    <n v="2232"/>
    <n v="2500"/>
    <s v="B"/>
    <m/>
    <n v="704"/>
    <m/>
    <m/>
    <m/>
    <m/>
    <m/>
    <n v="450905"/>
    <n v="414833"/>
    <n v="0"/>
    <n v="0"/>
    <n v="60800"/>
    <n v="360500"/>
    <n v="421300"/>
    <n v="132535.48800000001"/>
    <n v="88356.992000000013"/>
    <n v="-24051.387388882686"/>
    <n v="32917.849192000001"/>
    <n v="50438.379078999998"/>
    <n v="-2174.8220000000001"/>
    <n v="69649.984080000009"/>
    <n v="66491.707427999994"/>
    <n v="0"/>
    <n v="24851.925824000002"/>
    <n v="0"/>
    <n v="374700"/>
    <n v="64300"/>
    <n v="439000"/>
    <n v="4.2012817469736528E-2"/>
    <n v="0.99970000000000003"/>
    <n v="1.0019"/>
    <n v="1.0007999999999999"/>
    <n v="1.0008999999999999"/>
    <n v="1.0138"/>
    <n v="0.94971499999999998"/>
    <n v="0.9662910273015537"/>
    <n v="370200"/>
    <n v="0"/>
    <n v="370200"/>
    <n v="61100"/>
    <n v="431300"/>
    <n v="2.6907073509015257E-2"/>
    <n v="4.9342105263157892E-3"/>
    <n v="2.3736055067647758E-2"/>
  </r>
  <r>
    <n v="2025"/>
    <s v="19120113570    "/>
    <n v="-1.8325814637483102"/>
    <n v="0.16"/>
    <n v="7032"/>
    <s v="2"/>
    <s v="RES"/>
    <s v="MX"/>
    <s v="11"/>
    <s v="259"/>
    <s v="RN"/>
    <x v="5"/>
    <s v="VG"/>
    <n v="10"/>
    <n v="17"/>
    <n v="17"/>
    <n v="2007"/>
    <n v="2007"/>
    <n v="1732"/>
    <m/>
    <m/>
    <m/>
    <m/>
    <n v="0"/>
    <n v="1732"/>
    <n v="2000"/>
    <s v="B"/>
    <m/>
    <n v="440"/>
    <m/>
    <m/>
    <m/>
    <m/>
    <m/>
    <n v="375524"/>
    <n v="349237"/>
    <n v="0"/>
    <n v="0"/>
    <n v="60800"/>
    <n v="321300"/>
    <n v="382100"/>
    <n v="132535.48800000001"/>
    <n v="88356.992000000013"/>
    <n v="-24051.387388882686"/>
    <n v="32917.849192000001"/>
    <n v="50438.379078999998"/>
    <n v="-1848.5987"/>
    <n v="108094.77816"/>
    <n v="0"/>
    <n v="0"/>
    <n v="15532.453640000002"/>
    <n v="0"/>
    <n v="337700"/>
    <n v="64300"/>
    <n v="402000"/>
    <n v="5.2080607170897672E-2"/>
    <n v="0.99970000000000003"/>
    <n v="1.0019"/>
    <n v="1.0007999999999999"/>
    <n v="1.0007999999999999"/>
    <n v="0.99080000000000001"/>
    <n v="0.94971499999999998"/>
    <n v="0.94427450761887755"/>
    <n v="330300"/>
    <n v="0"/>
    <n v="330300"/>
    <n v="61100"/>
    <n v="391400"/>
    <n v="2.8011204481792718E-2"/>
    <n v="4.9342105263157892E-3"/>
    <n v="2.4339178225595393E-2"/>
  </r>
  <r>
    <n v="2025"/>
    <s v="19120144460    "/>
    <n v="-1.8325814637483102"/>
    <n v="0.16"/>
    <n v="7000"/>
    <s v="2"/>
    <s v="RES"/>
    <s v="MX"/>
    <s v="11"/>
    <s v="259"/>
    <s v="RN"/>
    <x v="5"/>
    <s v="VG"/>
    <n v="20"/>
    <n v="20"/>
    <n v="20"/>
    <n v="2004"/>
    <n v="2004"/>
    <n v="1436"/>
    <m/>
    <m/>
    <m/>
    <m/>
    <n v="0"/>
    <n v="1436"/>
    <n v="1500"/>
    <s v="B"/>
    <n v="1"/>
    <n v="640"/>
    <m/>
    <m/>
    <m/>
    <m/>
    <m/>
    <n v="334790"/>
    <n v="308007"/>
    <n v="0"/>
    <n v="0"/>
    <n v="60800"/>
    <n v="310100"/>
    <n v="370900"/>
    <n v="132535.48800000001"/>
    <n v="88356.992000000013"/>
    <n v="-24051.387388882686"/>
    <n v="32917.849192000001"/>
    <n v="50438.379078999998"/>
    <n v="-2174.8220000000001"/>
    <n v="89621.305680000005"/>
    <n v="0"/>
    <n v="0"/>
    <n v="22592.65984"/>
    <n v="0"/>
    <n v="325900"/>
    <n v="64300"/>
    <n v="390200"/>
    <n v="5.2035589107576163E-2"/>
    <n v="0.99970000000000003"/>
    <n v="1.0019"/>
    <n v="1.0007999999999999"/>
    <n v="0.99519999999999997"/>
    <n v="1.0138"/>
    <n v="0.94971499999999998"/>
    <n v="0.96078812106155087"/>
    <n v="320700"/>
    <n v="0"/>
    <n v="320700"/>
    <n v="61100"/>
    <n v="381800"/>
    <n v="3.4182521767171882E-2"/>
    <n v="4.9342105263157892E-3"/>
    <n v="2.9387975195470477E-2"/>
  </r>
  <r>
    <n v="2025"/>
    <s v="19120144433    "/>
    <n v="-1.8325814637483102"/>
    <n v="0.16"/>
    <n v="7001"/>
    <s v="2"/>
    <s v="RES"/>
    <s v="MX"/>
    <s v="11"/>
    <s v="259"/>
    <s v="CO"/>
    <x v="5"/>
    <s v="VG"/>
    <n v="20"/>
    <n v="20"/>
    <n v="20"/>
    <n v="2004"/>
    <n v="2004"/>
    <n v="1116"/>
    <n v="1116"/>
    <m/>
    <m/>
    <m/>
    <n v="0"/>
    <n v="2232"/>
    <n v="2500"/>
    <s v="B"/>
    <m/>
    <n v="440"/>
    <m/>
    <m/>
    <m/>
    <m/>
    <m/>
    <n v="442423"/>
    <n v="407029"/>
    <n v="0"/>
    <n v="0"/>
    <n v="60800"/>
    <n v="349100"/>
    <n v="409900"/>
    <n v="132535.48800000001"/>
    <n v="88356.992000000013"/>
    <n v="-24051.387388882686"/>
    <n v="32917.849192000001"/>
    <n v="50438.379078999998"/>
    <n v="-2174.8220000000001"/>
    <n v="69649.984080000009"/>
    <n v="66491.707427999994"/>
    <n v="0"/>
    <n v="15532.453640000002"/>
    <n v="0"/>
    <n v="365400"/>
    <n v="64300"/>
    <n v="429700"/>
    <n v="4.8304464503537446E-2"/>
    <n v="0.99970000000000003"/>
    <n v="1.0019"/>
    <n v="1.0007999999999999"/>
    <n v="1.0008999999999999"/>
    <n v="1.0138"/>
    <n v="0.94971499999999998"/>
    <n v="0.9662910273015537"/>
    <n v="360900"/>
    <n v="0"/>
    <n v="360900"/>
    <n v="61100"/>
    <n v="422000"/>
    <n v="3.3801203093669435E-2"/>
    <n v="4.9342105263157892E-3"/>
    <n v="2.9519394974383995E-2"/>
  </r>
  <r>
    <n v="2025"/>
    <s v="19120144445    "/>
    <n v="-1.8325814637483102"/>
    <n v="0.16"/>
    <n v="7056"/>
    <s v="2"/>
    <s v="RES"/>
    <s v="MX"/>
    <s v="11"/>
    <s v="259"/>
    <s v="CO"/>
    <x v="5"/>
    <s v="VG"/>
    <n v="20"/>
    <n v="20"/>
    <n v="20"/>
    <n v="2004"/>
    <n v="2004"/>
    <n v="1116"/>
    <n v="1116"/>
    <m/>
    <m/>
    <m/>
    <n v="0"/>
    <n v="2232"/>
    <n v="2500"/>
    <s v="B"/>
    <n v="1"/>
    <n v="440"/>
    <m/>
    <m/>
    <m/>
    <m/>
    <m/>
    <n v="441051"/>
    <n v="405767"/>
    <n v="0"/>
    <n v="0"/>
    <n v="60800"/>
    <n v="349100"/>
    <n v="409900"/>
    <n v="132535.48800000001"/>
    <n v="88356.992000000013"/>
    <n v="-24051.387388882686"/>
    <n v="32917.849192000001"/>
    <n v="50438.379078999998"/>
    <n v="-2174.8220000000001"/>
    <n v="69649.984080000009"/>
    <n v="66491.707427999994"/>
    <n v="0"/>
    <n v="15532.453640000002"/>
    <n v="0"/>
    <n v="365400"/>
    <n v="64300"/>
    <n v="429700"/>
    <n v="4.8304464503537446E-2"/>
    <n v="0.99970000000000003"/>
    <n v="1.0019"/>
    <n v="1.0007999999999999"/>
    <n v="1.0008999999999999"/>
    <n v="1.0138"/>
    <n v="0.94971499999999998"/>
    <n v="0.9662910273015537"/>
    <n v="360900"/>
    <n v="0"/>
    <n v="360900"/>
    <n v="61100"/>
    <n v="422000"/>
    <n v="3.3801203093669435E-2"/>
    <n v="4.9342105263157892E-3"/>
    <n v="2.9519394974383995E-2"/>
  </r>
  <r>
    <n v="2025"/>
    <s v="19120144545    "/>
    <n v="-1.8325814637483102"/>
    <n v="0.16"/>
    <n v="7148"/>
    <s v="2"/>
    <s v="RES"/>
    <s v="MX"/>
    <s v="11"/>
    <s v="259"/>
    <s v="CO"/>
    <x v="5"/>
    <s v="VG"/>
    <n v="20"/>
    <n v="20"/>
    <n v="20"/>
    <n v="2004"/>
    <n v="2004"/>
    <n v="1116"/>
    <n v="1116"/>
    <m/>
    <m/>
    <m/>
    <n v="0"/>
    <n v="2232"/>
    <n v="2500"/>
    <s v="B"/>
    <m/>
    <n v="440"/>
    <m/>
    <m/>
    <m/>
    <m/>
    <m/>
    <n v="444224"/>
    <n v="408686"/>
    <n v="0"/>
    <n v="0"/>
    <n v="60800"/>
    <n v="349100"/>
    <n v="409900"/>
    <n v="132535.48800000001"/>
    <n v="88356.992000000013"/>
    <n v="-24051.387388882686"/>
    <n v="32917.849192000001"/>
    <n v="50438.379078999998"/>
    <n v="-2174.8220000000001"/>
    <n v="69649.984080000009"/>
    <n v="66491.707427999994"/>
    <n v="0"/>
    <n v="15532.453640000002"/>
    <n v="0"/>
    <n v="365400"/>
    <n v="64300"/>
    <n v="429700"/>
    <n v="4.8304464503537446E-2"/>
    <n v="0.99970000000000003"/>
    <n v="1.0019"/>
    <n v="1.0007999999999999"/>
    <n v="1.0008999999999999"/>
    <n v="1.0138"/>
    <n v="0.94971499999999998"/>
    <n v="0.9662910273015537"/>
    <n v="360900"/>
    <n v="0"/>
    <n v="360900"/>
    <n v="61100"/>
    <n v="422000"/>
    <n v="3.3801203093669435E-2"/>
    <n v="4.9342105263157892E-3"/>
    <n v="2.9519394974383995E-2"/>
  </r>
  <r>
    <n v="2025"/>
    <s v="19120144546    "/>
    <n v="-1.8325814637483102"/>
    <n v="0.16"/>
    <n v="7148"/>
    <s v="2"/>
    <s v="RES"/>
    <s v="MX"/>
    <s v="11"/>
    <s v="259"/>
    <s v="CO"/>
    <x v="5"/>
    <s v="VG"/>
    <n v="20"/>
    <n v="20"/>
    <n v="20"/>
    <n v="2004"/>
    <n v="2004"/>
    <n v="1116"/>
    <n v="1116"/>
    <m/>
    <m/>
    <m/>
    <n v="0"/>
    <n v="2232"/>
    <n v="2500"/>
    <s v="B"/>
    <m/>
    <n v="440"/>
    <m/>
    <m/>
    <m/>
    <m/>
    <m/>
    <n v="439327"/>
    <n v="404181"/>
    <n v="6034"/>
    <n v="0"/>
    <n v="60800"/>
    <n v="354200"/>
    <n v="415000"/>
    <n v="132535.48800000001"/>
    <n v="88356.992000000013"/>
    <n v="-24051.387388882686"/>
    <n v="32917.849192000001"/>
    <n v="50438.379078999998"/>
    <n v="-2174.8220000000001"/>
    <n v="69649.984080000009"/>
    <n v="66491.707427999994"/>
    <n v="0"/>
    <n v="15532.453640000002"/>
    <n v="6000"/>
    <n v="365400"/>
    <n v="64300"/>
    <n v="435700"/>
    <n v="4.9879518072289158E-2"/>
    <n v="0.99970000000000003"/>
    <n v="1.0019"/>
    <n v="1.0007999999999999"/>
    <n v="1.0008999999999999"/>
    <n v="1.0138"/>
    <n v="0.94971499999999998"/>
    <n v="0.9662910273015537"/>
    <n v="360900"/>
    <n v="5700"/>
    <n v="366600"/>
    <n v="61100"/>
    <n v="427700"/>
    <n v="3.5008469791078488E-2"/>
    <n v="4.9342105263157892E-3"/>
    <n v="3.0602409638554217E-2"/>
  </r>
  <r>
    <n v="2025"/>
    <s v="19120134457    "/>
    <n v="-1.8325814637483102"/>
    <n v="0.16"/>
    <n v="7101"/>
    <s v="2"/>
    <s v="RES"/>
    <s v="MX"/>
    <s v="11"/>
    <s v="259"/>
    <s v="CP"/>
    <x v="5"/>
    <s v="VG"/>
    <n v="30"/>
    <n v="30"/>
    <n v="30"/>
    <n v="1994"/>
    <n v="1994"/>
    <n v="1937"/>
    <m/>
    <m/>
    <m/>
    <m/>
    <n v="0"/>
    <n v="1937"/>
    <n v="2000"/>
    <s v="B"/>
    <m/>
    <n v="504"/>
    <m/>
    <m/>
    <m/>
    <m/>
    <m/>
    <n v="432619"/>
    <n v="376379"/>
    <n v="0"/>
    <n v="0"/>
    <n v="60800"/>
    <n v="325500"/>
    <n v="386300"/>
    <n v="132535.48800000001"/>
    <n v="88356.992000000013"/>
    <n v="-24051.387388882686"/>
    <n v="32917.849192000001"/>
    <n v="50438.379078999998"/>
    <n v="-3262.2330000000002"/>
    <n v="120888.90606000001"/>
    <n v="0"/>
    <n v="0"/>
    <n v="17791.719624000001"/>
    <n v="0"/>
    <n v="351300"/>
    <n v="64300"/>
    <n v="415600"/>
    <n v="7.5847786694279051E-2"/>
    <n v="0.99970000000000003"/>
    <n v="1.0019"/>
    <n v="1.0007999999999999"/>
    <n v="1.0007999999999999"/>
    <n v="0.95920000000000005"/>
    <n v="0.94971499999999998"/>
    <n v="0.91415836466292633"/>
    <n v="339900"/>
    <n v="0"/>
    <n v="339900"/>
    <n v="61100"/>
    <n v="401000"/>
    <n v="4.423963133640553E-2"/>
    <n v="4.9342105263157892E-3"/>
    <n v="3.8053326430235568E-2"/>
  </r>
  <r>
    <n v="2025"/>
    <s v="19120141467    "/>
    <n v="-1.8325814637483102"/>
    <n v="0.16"/>
    <n v="7015"/>
    <s v="2"/>
    <s v="RES"/>
    <s v="MX"/>
    <s v="11"/>
    <s v="259"/>
    <s v="CP"/>
    <x v="5"/>
    <s v="GD"/>
    <n v="10"/>
    <n v="19"/>
    <n v="19"/>
    <n v="2005"/>
    <n v="2005"/>
    <n v="2154"/>
    <m/>
    <m/>
    <m/>
    <m/>
    <n v="0"/>
    <n v="2154"/>
    <n v="2500"/>
    <s v="B"/>
    <n v="1"/>
    <n v="730"/>
    <m/>
    <m/>
    <m/>
    <m/>
    <m/>
    <n v="457245"/>
    <n v="416093"/>
    <n v="0"/>
    <n v="0"/>
    <n v="60800"/>
    <n v="329900"/>
    <n v="390700"/>
    <n v="132535.48800000001"/>
    <n v="88356.992000000013"/>
    <n v="-24051.387388882686"/>
    <n v="32917.849192000001"/>
    <n v="30300.329274"/>
    <n v="-2066.0808999999999"/>
    <n v="134431.95852000001"/>
    <n v="0"/>
    <n v="0"/>
    <n v="25769.752630000003"/>
    <n v="0"/>
    <n v="353900"/>
    <n v="64300"/>
    <n v="418200"/>
    <n v="7.0386485794727408E-2"/>
    <n v="0.99970000000000003"/>
    <n v="1.0019"/>
    <n v="0.997"/>
    <n v="1.0008999999999999"/>
    <n v="0.99080000000000001"/>
    <n v="0.94971499999999998"/>
    <n v="0.94078312650809337"/>
    <n v="346000"/>
    <n v="0"/>
    <n v="346000"/>
    <n v="61100"/>
    <n v="407100"/>
    <n v="4.8802667474992421E-2"/>
    <n v="4.9342105263157892E-3"/>
    <n v="4.1975940619401075E-2"/>
  </r>
  <r>
    <n v="2025"/>
    <s v="19120112469    "/>
    <n v="-1.8325814637483102"/>
    <n v="0.16"/>
    <n v="7068"/>
    <s v="2"/>
    <s v="RES"/>
    <s v="MX"/>
    <s v="11"/>
    <s v="259"/>
    <s v="RN"/>
    <x v="5"/>
    <s v="VG"/>
    <n v="10"/>
    <n v="17"/>
    <n v="17"/>
    <n v="2007"/>
    <n v="2007"/>
    <n v="2136"/>
    <m/>
    <m/>
    <m/>
    <m/>
    <n v="0"/>
    <n v="2136"/>
    <n v="2500"/>
    <s v="B"/>
    <m/>
    <n v="748"/>
    <m/>
    <m/>
    <m/>
    <m/>
    <m/>
    <n v="442215"/>
    <n v="411260"/>
    <n v="0"/>
    <n v="0"/>
    <n v="60800"/>
    <n v="348900"/>
    <n v="409700"/>
    <n v="132535.48800000001"/>
    <n v="88356.992000000013"/>
    <n v="-24051.387388882686"/>
    <n v="32917.849192000001"/>
    <n v="50438.379078999998"/>
    <n v="-1848.5987"/>
    <n v="133308.57167999999"/>
    <n v="0"/>
    <n v="0"/>
    <n v="26405.171188"/>
    <n v="0"/>
    <n v="373800"/>
    <n v="64300"/>
    <n v="438100"/>
    <n v="6.9319013912618993E-2"/>
    <n v="0.99970000000000003"/>
    <n v="1.0019"/>
    <n v="1.0007999999999999"/>
    <n v="1.0008999999999999"/>
    <n v="0.99080000000000001"/>
    <n v="0.94971499999999998"/>
    <n v="0.94436885958806405"/>
    <n v="366400"/>
    <n v="0"/>
    <n v="366400"/>
    <n v="61100"/>
    <n v="427500"/>
    <n v="5.0157638291774144E-2"/>
    <n v="4.9342105263157892E-3"/>
    <n v="4.3446424212838661E-2"/>
  </r>
  <r>
    <n v="2025"/>
    <s v="19120144456    "/>
    <n v="-1.8325814637483102"/>
    <n v="0.16"/>
    <n v="7002"/>
    <s v="2"/>
    <s v="RES"/>
    <s v="MX"/>
    <s v="11"/>
    <s v="259"/>
    <s v="CP"/>
    <x v="5"/>
    <s v="GD"/>
    <n v="20"/>
    <n v="20"/>
    <n v="20"/>
    <n v="2004"/>
    <n v="2004"/>
    <n v="2154"/>
    <m/>
    <m/>
    <m/>
    <m/>
    <n v="0"/>
    <n v="2154"/>
    <n v="2500"/>
    <s v="B"/>
    <n v="1"/>
    <n v="730"/>
    <m/>
    <m/>
    <m/>
    <m/>
    <m/>
    <n v="465547"/>
    <n v="423648"/>
    <n v="0"/>
    <n v="0"/>
    <n v="60800"/>
    <n v="330800"/>
    <n v="391600"/>
    <n v="132535.48800000001"/>
    <n v="88356.992000000013"/>
    <n v="-24051.387388882686"/>
    <n v="32917.849192000001"/>
    <n v="30300.329274"/>
    <n v="-2174.8220000000001"/>
    <n v="134431.95852000001"/>
    <n v="0"/>
    <n v="0"/>
    <n v="25769.752630000003"/>
    <n v="0"/>
    <n v="353800"/>
    <n v="64300"/>
    <n v="418100"/>
    <n v="6.7671092951991835E-2"/>
    <n v="0.99970000000000003"/>
    <n v="1.0019"/>
    <n v="0.997"/>
    <n v="1.0008999999999999"/>
    <n v="1.0138"/>
    <n v="0.94971499999999998"/>
    <n v="0.96262205657438948"/>
    <n v="348800"/>
    <n v="0"/>
    <n v="348800"/>
    <n v="61100"/>
    <n v="409900"/>
    <n v="5.4413542926239421E-2"/>
    <n v="4.9342105263157892E-3"/>
    <n v="4.6731358529111339E-2"/>
  </r>
  <r>
    <n v="2025"/>
    <s v="20120633411    "/>
    <n v="-1.8325814637483102"/>
    <n v="0.16"/>
    <n v="7181"/>
    <s v="2"/>
    <s v="RES"/>
    <s v="MX"/>
    <s v="11"/>
    <s v="259"/>
    <s v="CP"/>
    <x v="5"/>
    <s v="VG"/>
    <n v="10"/>
    <n v="19"/>
    <n v="19"/>
    <n v="2005"/>
    <n v="2005"/>
    <n v="2154"/>
    <m/>
    <m/>
    <m/>
    <m/>
    <n v="0"/>
    <n v="2154"/>
    <n v="2500"/>
    <s v="B"/>
    <m/>
    <n v="730"/>
    <m/>
    <m/>
    <m/>
    <m/>
    <m/>
    <n v="455642"/>
    <n v="414634"/>
    <n v="0"/>
    <n v="0"/>
    <n v="60800"/>
    <n v="347200"/>
    <n v="408000"/>
    <n v="132535.48800000001"/>
    <n v="88356.992000000013"/>
    <n v="-24051.387388882686"/>
    <n v="32917.849192000001"/>
    <n v="50438.379078999998"/>
    <n v="-2066.0808999999999"/>
    <n v="134431.95852000001"/>
    <n v="0"/>
    <n v="0"/>
    <n v="25769.752630000003"/>
    <n v="0"/>
    <n v="374000"/>
    <n v="64300"/>
    <n v="438300"/>
    <n v="7.4264705882352941E-2"/>
    <n v="0.99970000000000003"/>
    <n v="1.0019"/>
    <n v="1.0007999999999999"/>
    <n v="1.0008999999999999"/>
    <n v="0.99080000000000001"/>
    <n v="0.94971499999999998"/>
    <n v="0.94436885958806405"/>
    <n v="366700"/>
    <n v="0"/>
    <n v="366700"/>
    <n v="61100"/>
    <n v="427800"/>
    <n v="5.6163594470046083E-2"/>
    <n v="4.9342105263157892E-3"/>
    <n v="4.8529411764705883E-2"/>
  </r>
  <r>
    <n v="2025"/>
    <s v="19120141414    "/>
    <n v="-1.8325814637483102"/>
    <n v="0.16"/>
    <n v="6951"/>
    <s v="2"/>
    <s v="RES"/>
    <s v="MX"/>
    <s v="11"/>
    <s v="259"/>
    <s v="RN"/>
    <x v="5"/>
    <s v="VG"/>
    <n v="10"/>
    <n v="19"/>
    <n v="19"/>
    <n v="2005"/>
    <n v="2005"/>
    <n v="2154"/>
    <m/>
    <m/>
    <m/>
    <m/>
    <n v="0"/>
    <n v="2154"/>
    <n v="2500"/>
    <s v="B"/>
    <n v="1"/>
    <n v="730"/>
    <m/>
    <m/>
    <m/>
    <m/>
    <m/>
    <n v="458497"/>
    <n v="417232"/>
    <n v="0"/>
    <n v="0"/>
    <n v="60800"/>
    <n v="345400"/>
    <n v="406200"/>
    <n v="132535.48800000001"/>
    <n v="88356.992000000013"/>
    <n v="-24051.387388882686"/>
    <n v="32917.849192000001"/>
    <n v="50438.379078999998"/>
    <n v="-2066.0808999999999"/>
    <n v="134431.95852000001"/>
    <n v="0"/>
    <n v="0"/>
    <n v="25769.752630000003"/>
    <n v="0"/>
    <n v="374000"/>
    <n v="64300"/>
    <n v="438300"/>
    <n v="7.9025110782865587E-2"/>
    <n v="0.99970000000000003"/>
    <n v="1.0019"/>
    <n v="1.0007999999999999"/>
    <n v="1.0008999999999999"/>
    <n v="0.99080000000000001"/>
    <n v="0.94971499999999998"/>
    <n v="0.94436885958806405"/>
    <n v="366700"/>
    <n v="0"/>
    <n v="366700"/>
    <n v="61100"/>
    <n v="427800"/>
    <n v="6.1667631731326E-2"/>
    <n v="4.9342105263157892E-3"/>
    <n v="5.3175775480059084E-2"/>
  </r>
  <r>
    <n v="2025"/>
    <s v="19120134431    "/>
    <n v="-1.8325814637483102"/>
    <n v="0.16"/>
    <n v="7133"/>
    <s v="2"/>
    <s v="RES"/>
    <s v="MX"/>
    <s v="11"/>
    <s v="259"/>
    <s v="RN"/>
    <x v="4"/>
    <s v="GD"/>
    <n v="80"/>
    <n v="84"/>
    <n v="44"/>
    <n v="1940"/>
    <n v="1980"/>
    <n v="1672"/>
    <m/>
    <m/>
    <m/>
    <m/>
    <n v="0"/>
    <n v="1672"/>
    <n v="2000"/>
    <s v="B"/>
    <m/>
    <n v="625"/>
    <m/>
    <m/>
    <m/>
    <m/>
    <m/>
    <n v="332481"/>
    <n v="262660"/>
    <n v="0"/>
    <n v="0"/>
    <n v="60800"/>
    <n v="283700"/>
    <n v="344500"/>
    <n v="132535.48800000001"/>
    <n v="88356.992000000013"/>
    <n v="-24051.387388882686"/>
    <n v="37154.252388000001"/>
    <n v="30300.329274"/>
    <n v="-4784.6084000000001"/>
    <n v="104350.15536"/>
    <n v="0"/>
    <n v="0"/>
    <n v="22063.144375"/>
    <n v="0"/>
    <n v="321600"/>
    <n v="64300"/>
    <n v="385900"/>
    <n v="0.12017416545718433"/>
    <n v="0.99970000000000003"/>
    <n v="0.99819999999999998"/>
    <n v="0.997"/>
    <n v="1.0007999999999999"/>
    <n v="1"/>
    <n v="0.94971499999999998"/>
    <n v="0.94591762565816873"/>
    <n v="314500"/>
    <n v="0"/>
    <n v="314500"/>
    <n v="61100"/>
    <n v="375600"/>
    <n v="0.10856538597109623"/>
    <n v="4.9342105263157892E-3"/>
    <n v="9.0275761973875185E-2"/>
  </r>
  <r>
    <n v="2025"/>
    <s v="19120113584    "/>
    <n v="-1.8325814637483102"/>
    <n v="0.16"/>
    <n v="7077"/>
    <s v="2"/>
    <s v="RES"/>
    <s v="MX"/>
    <s v="11"/>
    <s v="259"/>
    <s v="CO"/>
    <x v="6"/>
    <s v="VG"/>
    <n v="10"/>
    <n v="16"/>
    <n v="16"/>
    <n v="2008"/>
    <n v="2008"/>
    <n v="1348"/>
    <n v="1274"/>
    <m/>
    <m/>
    <m/>
    <n v="0"/>
    <n v="2622"/>
    <n v="3000"/>
    <s v="N"/>
    <m/>
    <n v="240"/>
    <n v="528"/>
    <m/>
    <m/>
    <m/>
    <m/>
    <n v="610059"/>
    <n v="579556"/>
    <n v="0"/>
    <n v="0"/>
    <n v="60800"/>
    <n v="455800"/>
    <n v="516600"/>
    <n v="132535.48800000001"/>
    <n v="88356.992000000013"/>
    <n v="-24051.387388882686"/>
    <n v="39366.494398000003"/>
    <n v="50438.379078999998"/>
    <n v="-1739.8576"/>
    <n v="84129.192240000004"/>
    <n v="75905.407941999991"/>
    <n v="0"/>
    <n v="8472.247440000001"/>
    <n v="0"/>
    <n v="389100"/>
    <n v="64300"/>
    <n v="453400"/>
    <n v="-0.12233836624080527"/>
    <n v="0.99970000000000003"/>
    <n v="0.99980000000000002"/>
    <n v="1.0007999999999999"/>
    <n v="1.0099"/>
    <n v="0.99080000000000001"/>
    <n v="0.94971499999999998"/>
    <n v="0.95086332439114651"/>
    <n v="382600"/>
    <n v="0"/>
    <n v="382600"/>
    <n v="61100"/>
    <n v="443700"/>
    <n v="-0.16059675296182535"/>
    <n v="4.9342105263157892E-3"/>
    <n v="-0.14111498257839722"/>
  </r>
  <r>
    <n v="2025"/>
    <s v="19120113588    "/>
    <n v="-1.8325814637483102"/>
    <n v="0.16"/>
    <n v="7077"/>
    <s v="2"/>
    <s v="RES"/>
    <s v="MX"/>
    <s v="11"/>
    <s v="259"/>
    <s v="CO"/>
    <x v="5"/>
    <s v="VG"/>
    <n v="10"/>
    <n v="16"/>
    <n v="16"/>
    <n v="2008"/>
    <n v="2008"/>
    <n v="1348"/>
    <n v="1274"/>
    <m/>
    <m/>
    <m/>
    <n v="0"/>
    <n v="2622"/>
    <n v="3000"/>
    <s v="N"/>
    <m/>
    <n v="240"/>
    <n v="528"/>
    <m/>
    <m/>
    <m/>
    <m/>
    <n v="554698"/>
    <n v="515869"/>
    <n v="0"/>
    <n v="0"/>
    <n v="60800"/>
    <n v="440800"/>
    <n v="501600"/>
    <n v="132535.48800000001"/>
    <n v="88356.992000000013"/>
    <n v="-24051.387388882686"/>
    <n v="32917.849192000001"/>
    <n v="50438.379078999998"/>
    <n v="-1739.8576"/>
    <n v="84129.192240000004"/>
    <n v="75905.407941999991"/>
    <n v="0"/>
    <n v="8472.247440000001"/>
    <n v="0"/>
    <n v="382700"/>
    <n v="64300"/>
    <n v="447000"/>
    <n v="-0.10885167464114832"/>
    <n v="0.99970000000000003"/>
    <n v="1.0019"/>
    <n v="1.0007999999999999"/>
    <n v="1.0099"/>
    <n v="0.99080000000000001"/>
    <n v="0.94971499999999998"/>
    <n v="0.95286053681485272"/>
    <n v="376400"/>
    <n v="0"/>
    <n v="376400"/>
    <n v="61100"/>
    <n v="437500"/>
    <n v="-0.14609800362976408"/>
    <n v="4.9342105263157892E-3"/>
    <n v="-0.12779106858054226"/>
  </r>
  <r>
    <n v="2025"/>
    <s v="19120141464    "/>
    <n v="-1.8325814637483102"/>
    <n v="0.16"/>
    <n v="6992"/>
    <s v="2"/>
    <s v="RES"/>
    <s v="MX"/>
    <s v="11"/>
    <s v="259"/>
    <s v="CO"/>
    <x v="5"/>
    <s v="GD"/>
    <n v="10"/>
    <n v="19"/>
    <n v="19"/>
    <n v="2005"/>
    <n v="2005"/>
    <n v="1158"/>
    <n v="1322"/>
    <m/>
    <m/>
    <m/>
    <n v="0"/>
    <n v="2480"/>
    <n v="2500"/>
    <s v="N"/>
    <n v="1"/>
    <m/>
    <n v="502"/>
    <m/>
    <m/>
    <m/>
    <m/>
    <n v="498116"/>
    <n v="453286"/>
    <n v="0"/>
    <n v="0"/>
    <n v="60800"/>
    <n v="390700"/>
    <n v="451500"/>
    <n v="132535.48800000001"/>
    <n v="88356.992000000013"/>
    <n v="-24051.387388882686"/>
    <n v="32917.849192000001"/>
    <n v="30300.329274"/>
    <n v="-2066.0808999999999"/>
    <n v="72271.22004"/>
    <n v="78765.266325999997"/>
    <n v="0"/>
    <n v="0"/>
    <n v="0"/>
    <n v="344700"/>
    <n v="64300"/>
    <n v="409000"/>
    <n v="-9.413067552602436E-2"/>
    <n v="0.99970000000000003"/>
    <n v="1.0019"/>
    <n v="0.997"/>
    <n v="1.0008999999999999"/>
    <n v="0.99080000000000001"/>
    <n v="0.94971499999999998"/>
    <n v="0.94078312650809337"/>
    <n v="336900"/>
    <n v="0"/>
    <n v="336900"/>
    <n v="61100"/>
    <n v="398000"/>
    <n v="-0.13770156130023037"/>
    <n v="4.9342105263157892E-3"/>
    <n v="-0.1184939091915836"/>
  </r>
  <r>
    <n v="2025"/>
    <s v="19120144427    "/>
    <n v="-1.8325814637483102"/>
    <n v="0.16"/>
    <n v="7031"/>
    <s v="2"/>
    <s v="RES"/>
    <s v="MX"/>
    <s v="11"/>
    <s v="259"/>
    <s v="RN"/>
    <x v="4"/>
    <s v="GD"/>
    <n v="20"/>
    <n v="20"/>
    <n v="20"/>
    <n v="2004"/>
    <n v="2004"/>
    <n v="1436"/>
    <m/>
    <m/>
    <m/>
    <m/>
    <n v="0"/>
    <n v="1436"/>
    <n v="1500"/>
    <s v="N"/>
    <m/>
    <n v="400"/>
    <m/>
    <m/>
    <m/>
    <n v="118"/>
    <m/>
    <n v="282546"/>
    <n v="302324"/>
    <n v="0"/>
    <n v="0"/>
    <n v="60800"/>
    <n v="340400"/>
    <n v="401200"/>
    <n v="132535.48800000001"/>
    <n v="88356.992000000013"/>
    <n v="-24051.387388882686"/>
    <n v="37154.252388000001"/>
    <n v="30300.329274"/>
    <n v="-2174.8220000000001"/>
    <n v="89621.305680000005"/>
    <n v="0"/>
    <n v="0"/>
    <n v="14120.412400000001"/>
    <n v="0"/>
    <n v="301600"/>
    <n v="64300"/>
    <n v="365900"/>
    <n v="-8.7986041874376864E-2"/>
    <n v="0.99970000000000003"/>
    <n v="0.99819999999999998"/>
    <n v="0.997"/>
    <n v="0.99519999999999997"/>
    <n v="1.0138"/>
    <n v="0.94971499999999998"/>
    <n v="0.95360534243162343"/>
    <n v="295400"/>
    <n v="0"/>
    <n v="295400"/>
    <n v="61100"/>
    <n v="356500"/>
    <n v="-0.13219741480611047"/>
    <n v="4.9342105263157892E-3"/>
    <n v="-0.11141575274177468"/>
  </r>
  <r>
    <n v="2025"/>
    <s v="20120633503    "/>
    <n v="-1.8325814637483102"/>
    <n v="0.16"/>
    <n v="7070"/>
    <s v="2"/>
    <s v="RES"/>
    <s v="MX"/>
    <s v="11"/>
    <s v="259"/>
    <s v="CP"/>
    <x v="4"/>
    <s v="AV"/>
    <n v="10"/>
    <n v="13"/>
    <n v="13"/>
    <n v="2011"/>
    <n v="2011"/>
    <n v="1176"/>
    <m/>
    <m/>
    <m/>
    <m/>
    <n v="0"/>
    <n v="1176"/>
    <n v="1500"/>
    <s v="N"/>
    <m/>
    <n v="400"/>
    <m/>
    <m/>
    <m/>
    <m/>
    <m/>
    <n v="256270"/>
    <n v="240894"/>
    <n v="0"/>
    <n v="0"/>
    <n v="60800"/>
    <n v="301400"/>
    <n v="362200"/>
    <n v="132535.48800000001"/>
    <n v="88356.992000000013"/>
    <n v="-24051.387388882686"/>
    <n v="37154.252388000001"/>
    <n v="17761.121909000001"/>
    <n v="-1413.6342999999999"/>
    <n v="73394.606880000007"/>
    <n v="0"/>
    <n v="0"/>
    <n v="14120.412400000001"/>
    <n v="0"/>
    <n v="273600"/>
    <n v="64300"/>
    <n v="337900"/>
    <n v="-6.7090005521811158E-2"/>
    <n v="0.99970000000000003"/>
    <n v="0.99819999999999998"/>
    <n v="0.99680000000000002"/>
    <n v="0.99519999999999997"/>
    <n v="0.99080000000000001"/>
    <n v="0.94971499999999998"/>
    <n v="0.93178401878228145"/>
    <n v="264500"/>
    <n v="0"/>
    <n v="264500"/>
    <n v="61100"/>
    <n v="325600"/>
    <n v="-0.12242866622428666"/>
    <n v="4.9342105263157892E-3"/>
    <n v="-0.10104914411927111"/>
  </r>
  <r>
    <n v="2025"/>
    <s v="19120113540    "/>
    <n v="-1.8325814637483102"/>
    <n v="0.16"/>
    <n v="7078"/>
    <s v="2"/>
    <s v="RES"/>
    <s v="MX"/>
    <s v="11"/>
    <s v="259"/>
    <s v="CO"/>
    <x v="5"/>
    <s v="VG"/>
    <n v="10"/>
    <n v="17"/>
    <n v="17"/>
    <n v="2007"/>
    <n v="2007"/>
    <n v="1158"/>
    <n v="1332"/>
    <m/>
    <m/>
    <m/>
    <n v="0"/>
    <n v="2490"/>
    <n v="2500"/>
    <s v="N"/>
    <n v="1"/>
    <m/>
    <n v="502"/>
    <m/>
    <m/>
    <m/>
    <m/>
    <n v="508565"/>
    <n v="472965"/>
    <n v="0"/>
    <n v="0"/>
    <n v="60800"/>
    <n v="404300"/>
    <n v="465100"/>
    <n v="132535.48800000001"/>
    <n v="88356.992000000013"/>
    <n v="-24051.387388882686"/>
    <n v="32917.849192000001"/>
    <n v="50438.379078999998"/>
    <n v="-1848.5987"/>
    <n v="72271.22004"/>
    <n v="79361.070156000002"/>
    <n v="0"/>
    <n v="0"/>
    <n v="0"/>
    <n v="365700"/>
    <n v="64300"/>
    <n v="430000"/>
    <n v="-7.5467641367447866E-2"/>
    <n v="0.99970000000000003"/>
    <n v="1.0019"/>
    <n v="1.0007999999999999"/>
    <n v="1.0008999999999999"/>
    <n v="0.99080000000000001"/>
    <n v="0.94971499999999998"/>
    <n v="0.94436885958806405"/>
    <n v="358300"/>
    <n v="0"/>
    <n v="358300"/>
    <n v="61100"/>
    <n v="419400"/>
    <n v="-0.11377689834281474"/>
    <n v="4.9342105263157892E-3"/>
    <n v="-9.8258439045366588E-2"/>
  </r>
  <r>
    <n v="2025"/>
    <s v="19120112421    "/>
    <n v="-1.8325814637483102"/>
    <n v="0.16"/>
    <n v="6956"/>
    <s v="2"/>
    <s v="RES"/>
    <s v="MX"/>
    <s v="11"/>
    <s v="259"/>
    <s v="CO"/>
    <x v="5"/>
    <s v="GD"/>
    <n v="10"/>
    <n v="17"/>
    <n v="17"/>
    <n v="2007"/>
    <n v="2007"/>
    <n v="909"/>
    <n v="1085"/>
    <m/>
    <m/>
    <m/>
    <n v="0"/>
    <n v="1994"/>
    <n v="2000"/>
    <s v="N"/>
    <m/>
    <m/>
    <n v="420"/>
    <m/>
    <m/>
    <m/>
    <m/>
    <n v="412412"/>
    <n v="379419"/>
    <n v="0"/>
    <n v="0"/>
    <n v="60800"/>
    <n v="347400"/>
    <n v="408200"/>
    <n v="132535.48800000001"/>
    <n v="88356.992000000013"/>
    <n v="-24051.387388882686"/>
    <n v="32917.849192000001"/>
    <n v="30300.329274"/>
    <n v="-1848.5987"/>
    <n v="56731.03542"/>
    <n v="64644.715554999995"/>
    <n v="0"/>
    <n v="0"/>
    <n v="0"/>
    <n v="315300"/>
    <n v="64300"/>
    <n v="379600"/>
    <n v="-7.0063694267515922E-2"/>
    <n v="0.99970000000000003"/>
    <n v="1.0019"/>
    <n v="0.997"/>
    <n v="1.0007999999999999"/>
    <n v="0.99080000000000001"/>
    <n v="0.94971499999999998"/>
    <n v="0.94068913278978916"/>
    <n v="307400"/>
    <n v="0"/>
    <n v="307400"/>
    <n v="61100"/>
    <n v="368500"/>
    <n v="-0.11514104778353483"/>
    <n v="4.9342105263157892E-3"/>
    <n v="-9.7256246937775598E-2"/>
  </r>
  <r>
    <n v="2025"/>
    <s v="19120141521    "/>
    <n v="-1.8325814637483102"/>
    <n v="0.16"/>
    <n v="6998"/>
    <s v="2"/>
    <s v="RES"/>
    <s v="MX"/>
    <s v="11"/>
    <s v="259"/>
    <s v="CO"/>
    <x v="5"/>
    <s v="VG"/>
    <n v="10"/>
    <n v="19"/>
    <n v="19"/>
    <n v="2005"/>
    <n v="2005"/>
    <n v="1116"/>
    <n v="1116"/>
    <m/>
    <m/>
    <m/>
    <n v="0"/>
    <n v="2232"/>
    <n v="2500"/>
    <s v="N"/>
    <m/>
    <n v="440"/>
    <m/>
    <m/>
    <m/>
    <m/>
    <m/>
    <n v="477359"/>
    <n v="434397"/>
    <n v="0"/>
    <n v="0"/>
    <n v="60800"/>
    <n v="401300"/>
    <n v="462100"/>
    <n v="132535.48800000001"/>
    <n v="88356.992000000013"/>
    <n v="-24051.387388882686"/>
    <n v="32917.849192000001"/>
    <n v="50438.379078999998"/>
    <n v="-2066.0808999999999"/>
    <n v="69649.984080000009"/>
    <n v="66491.707427999994"/>
    <n v="0"/>
    <n v="15532.453640000002"/>
    <n v="0"/>
    <n v="365500"/>
    <n v="64300"/>
    <n v="429800"/>
    <n v="-6.9898290413330441E-2"/>
    <n v="0.99970000000000003"/>
    <n v="1.0019"/>
    <n v="1.0007999999999999"/>
    <n v="1.0008999999999999"/>
    <n v="0.99080000000000001"/>
    <n v="0.94971499999999998"/>
    <n v="0.94436885958806405"/>
    <n v="358100"/>
    <n v="0"/>
    <n v="358100"/>
    <n v="61100"/>
    <n v="419200"/>
    <n v="-0.10765013705457264"/>
    <n v="4.9342105263157892E-3"/>
    <n v="-9.2837048257952817E-2"/>
  </r>
  <r>
    <n v="2025"/>
    <s v="19120113573    "/>
    <n v="-1.8325814637483102"/>
    <n v="0.16"/>
    <n v="6967"/>
    <s v="2"/>
    <s v="RES"/>
    <s v="MX"/>
    <s v="11"/>
    <s v="259"/>
    <s v="RN"/>
    <x v="5"/>
    <s v="GD"/>
    <n v="10"/>
    <n v="17"/>
    <n v="17"/>
    <n v="2007"/>
    <n v="2007"/>
    <n v="1368"/>
    <m/>
    <m/>
    <m/>
    <m/>
    <n v="0"/>
    <n v="1368"/>
    <n v="1500"/>
    <s v="N"/>
    <n v="1"/>
    <n v="440"/>
    <m/>
    <m/>
    <m/>
    <m/>
    <m/>
    <n v="335248"/>
    <n v="308428"/>
    <n v="0"/>
    <n v="0"/>
    <n v="60800"/>
    <n v="321300"/>
    <n v="382100"/>
    <n v="132535.48800000001"/>
    <n v="88356.992000000013"/>
    <n v="-24051.387388882686"/>
    <n v="32917.849192000001"/>
    <n v="30300.329274"/>
    <n v="-1848.5987"/>
    <n v="85377.399839999998"/>
    <n v="0"/>
    <n v="0"/>
    <n v="15532.453640000002"/>
    <n v="0"/>
    <n v="294800"/>
    <n v="64300"/>
    <n v="359100"/>
    <n v="-6.019366657942947E-2"/>
    <n v="0.99970000000000003"/>
    <n v="1.0019"/>
    <n v="0.997"/>
    <n v="0.99519999999999997"/>
    <n v="0.99080000000000001"/>
    <n v="0.94971499999999998"/>
    <n v="0.9354254845647465"/>
    <n v="286300"/>
    <n v="0"/>
    <n v="286300"/>
    <n v="61100"/>
    <n v="347400"/>
    <n v="-0.10893246187363835"/>
    <n v="4.9342105263157892E-3"/>
    <n v="-9.081392305679141E-2"/>
  </r>
  <r>
    <n v="2025"/>
    <s v="19120113575    "/>
    <n v="-1.8325814637483102"/>
    <n v="0.16"/>
    <n v="7020"/>
    <s v="2"/>
    <s v="RES"/>
    <s v="MX"/>
    <s v="11"/>
    <s v="259"/>
    <s v="RN"/>
    <x v="4"/>
    <s v="GD"/>
    <n v="10"/>
    <n v="16"/>
    <n v="16"/>
    <n v="2008"/>
    <n v="2008"/>
    <n v="1560"/>
    <m/>
    <m/>
    <m/>
    <m/>
    <n v="0"/>
    <n v="1560"/>
    <n v="2000"/>
    <s v="N"/>
    <m/>
    <n v="400"/>
    <m/>
    <m/>
    <m/>
    <m/>
    <m/>
    <n v="323260"/>
    <n v="297399"/>
    <n v="0"/>
    <n v="0"/>
    <n v="60800"/>
    <n v="336300"/>
    <n v="397100"/>
    <n v="132535.48800000001"/>
    <n v="88356.992000000013"/>
    <n v="-24051.387388882686"/>
    <n v="37154.252388000001"/>
    <n v="30300.329274"/>
    <n v="-1739.8576"/>
    <n v="97360.192800000004"/>
    <n v="0"/>
    <n v="0"/>
    <n v="14120.412400000001"/>
    <n v="0"/>
    <n v="309700"/>
    <n v="64300"/>
    <n v="374000"/>
    <n v="-5.817174515235457E-2"/>
    <n v="0.99970000000000003"/>
    <n v="0.99819999999999998"/>
    <n v="0.997"/>
    <n v="1.0007999999999999"/>
    <n v="0.99080000000000001"/>
    <n v="0.94971499999999998"/>
    <n v="0.93721518350211364"/>
    <n v="301400"/>
    <n v="0"/>
    <n v="301400"/>
    <n v="61100"/>
    <n v="362500"/>
    <n v="-0.10377639012786202"/>
    <n v="4.9342105263157892E-3"/>
    <n v="-8.7131704860236719E-2"/>
  </r>
  <r>
    <n v="2025"/>
    <s v="19120112471    "/>
    <n v="-1.8325814637483102"/>
    <n v="0.16"/>
    <n v="7120"/>
    <s v="2"/>
    <s v="RES"/>
    <s v="MX"/>
    <s v="11"/>
    <s v="259"/>
    <s v="CO"/>
    <x v="5"/>
    <s v="VG"/>
    <n v="10"/>
    <n v="17"/>
    <n v="17"/>
    <n v="2007"/>
    <n v="2007"/>
    <n v="932"/>
    <n v="1092"/>
    <m/>
    <m/>
    <m/>
    <n v="0"/>
    <n v="2024"/>
    <n v="2500"/>
    <s v="N"/>
    <m/>
    <m/>
    <n v="420"/>
    <m/>
    <m/>
    <m/>
    <m/>
    <n v="420857"/>
    <n v="391397"/>
    <n v="0"/>
    <n v="0"/>
    <n v="60800"/>
    <n v="364900"/>
    <n v="425700"/>
    <n v="132535.48800000001"/>
    <n v="88356.992000000013"/>
    <n v="-24051.387388882686"/>
    <n v="32917.849192000001"/>
    <n v="50438.379078999998"/>
    <n v="-1848.5987"/>
    <n v="58166.474160000005"/>
    <n v="65061.778235999998"/>
    <n v="0"/>
    <n v="0"/>
    <n v="0"/>
    <n v="337300"/>
    <n v="64300"/>
    <n v="401600"/>
    <n v="-5.6612638007986847E-2"/>
    <n v="0.99970000000000003"/>
    <n v="1.0019"/>
    <n v="1.0007999999999999"/>
    <n v="1.0008999999999999"/>
    <n v="0.99080000000000001"/>
    <n v="0.94971499999999998"/>
    <n v="0.94436885958806405"/>
    <n v="329900"/>
    <n v="0"/>
    <n v="329900"/>
    <n v="61100"/>
    <n v="391000"/>
    <n v="-9.5916689503973696E-2"/>
    <n v="4.9342105263157892E-3"/>
    <n v="-8.1512802443035007E-2"/>
  </r>
  <r>
    <n v="2025"/>
    <s v="20120633500    "/>
    <n v="-1.8325814637483102"/>
    <n v="0.16"/>
    <n v="7070"/>
    <s v="2"/>
    <s v="RES"/>
    <s v="MX"/>
    <s v="11"/>
    <s v="259"/>
    <s v="CO"/>
    <x v="5"/>
    <s v="GD"/>
    <n v="10"/>
    <n v="12"/>
    <n v="12"/>
    <n v="2012"/>
    <n v="2012"/>
    <n v="1082"/>
    <n v="1106"/>
    <m/>
    <m/>
    <m/>
    <n v="0"/>
    <n v="2188"/>
    <n v="2500"/>
    <s v="N"/>
    <n v="1"/>
    <n v="724"/>
    <m/>
    <m/>
    <m/>
    <m/>
    <m/>
    <n v="462064"/>
    <n v="434340"/>
    <n v="0"/>
    <n v="0"/>
    <n v="60800"/>
    <n v="381300"/>
    <n v="442100"/>
    <n v="132535.48800000001"/>
    <n v="88356.992000000013"/>
    <n v="-24051.387388882686"/>
    <n v="32917.849192000001"/>
    <n v="30300.329274"/>
    <n v="-1304.8932"/>
    <n v="67528.031159999999"/>
    <n v="65895.903598000004"/>
    <n v="0"/>
    <n v="25557.946444000001"/>
    <n v="0"/>
    <n v="353400"/>
    <n v="64300"/>
    <n v="417700"/>
    <n v="-5.5191133227776523E-2"/>
    <n v="0.99970000000000003"/>
    <n v="1.0019"/>
    <n v="0.997"/>
    <n v="1.0008999999999999"/>
    <n v="0.99080000000000001"/>
    <n v="0.94971499999999998"/>
    <n v="0.94078312650809337"/>
    <n v="345600"/>
    <n v="0"/>
    <n v="345600"/>
    <n v="61100"/>
    <n v="406700"/>
    <n v="-9.3627065302911094E-2"/>
    <n v="4.9342105263157892E-3"/>
    <n v="-8.0072381814069213E-2"/>
  </r>
  <r>
    <n v="2025"/>
    <s v="19120113503    "/>
    <n v="-1.8325814637483102"/>
    <n v="0.16"/>
    <n v="6841"/>
    <s v="2"/>
    <s v="RES"/>
    <s v="MX"/>
    <s v="11"/>
    <s v="259"/>
    <s v="CO"/>
    <x v="5"/>
    <s v="VG"/>
    <n v="10"/>
    <n v="18"/>
    <n v="18"/>
    <n v="2006"/>
    <n v="2006"/>
    <n v="1158"/>
    <n v="1332"/>
    <m/>
    <m/>
    <m/>
    <n v="0"/>
    <n v="2490"/>
    <n v="2500"/>
    <s v="N"/>
    <n v="1"/>
    <n v="300"/>
    <n v="502"/>
    <m/>
    <m/>
    <m/>
    <m/>
    <n v="521188"/>
    <n v="479493"/>
    <n v="0"/>
    <n v="0"/>
    <n v="60800"/>
    <n v="405200"/>
    <n v="466000"/>
    <n v="132535.48800000001"/>
    <n v="88356.992000000013"/>
    <n v="-24051.387388882686"/>
    <n v="32917.849192000001"/>
    <n v="50438.379078999998"/>
    <n v="-1957.3398"/>
    <n v="72271.22004"/>
    <n v="79361.070156000002"/>
    <n v="0"/>
    <n v="10590.309300000001"/>
    <n v="0"/>
    <n v="376200"/>
    <n v="64300"/>
    <n v="440500"/>
    <n v="-5.4721030042918457E-2"/>
    <n v="0.99970000000000003"/>
    <n v="1.0019"/>
    <n v="1.0007999999999999"/>
    <n v="1.0008999999999999"/>
    <n v="0.99080000000000001"/>
    <n v="0.94971499999999998"/>
    <n v="0.94436885958806405"/>
    <n v="368800"/>
    <n v="0"/>
    <n v="368800"/>
    <n v="61100"/>
    <n v="429900"/>
    <n v="-8.983218163869694E-2"/>
    <n v="4.9342105263157892E-3"/>
    <n v="-7.7467811158798278E-2"/>
  </r>
  <r>
    <n v="2025"/>
    <s v="19120112429    "/>
    <n v="-1.8325814637483102"/>
    <n v="0.16"/>
    <n v="7063"/>
    <s v="2"/>
    <s v="RES"/>
    <s v="MX"/>
    <s v="11"/>
    <s v="259"/>
    <s v="RN"/>
    <x v="4"/>
    <s v="GD"/>
    <n v="10"/>
    <n v="17"/>
    <n v="17"/>
    <n v="2007"/>
    <n v="2007"/>
    <n v="1690"/>
    <m/>
    <m/>
    <m/>
    <m/>
    <n v="0"/>
    <n v="1690"/>
    <n v="2000"/>
    <s v="N"/>
    <m/>
    <n v="466"/>
    <m/>
    <m/>
    <m/>
    <m/>
    <m/>
    <n v="349143"/>
    <n v="321212"/>
    <n v="0"/>
    <n v="0"/>
    <n v="60800"/>
    <n v="342500"/>
    <n v="403300"/>
    <n v="132535.48800000001"/>
    <n v="88356.992000000013"/>
    <n v="-24051.387388882686"/>
    <n v="37154.252388000001"/>
    <n v="30300.329274"/>
    <n v="-1848.5987"/>
    <n v="105473.54220000001"/>
    <n v="0"/>
    <n v="0"/>
    <n v="16450.280446000001"/>
    <n v="0"/>
    <n v="320100"/>
    <n v="64300"/>
    <n v="384400"/>
    <n v="-4.6863377138606499E-2"/>
    <n v="0.99970000000000003"/>
    <n v="0.99819999999999998"/>
    <n v="0.997"/>
    <n v="1.0007999999999999"/>
    <n v="0.99080000000000001"/>
    <n v="0.94971499999999998"/>
    <n v="0.93721518350211364"/>
    <n v="311700"/>
    <n v="0"/>
    <n v="311700"/>
    <n v="61100"/>
    <n v="372800"/>
    <n v="-8.992700729927007E-2"/>
    <n v="4.9342105263157892E-3"/>
    <n v="-7.5626084800396731E-2"/>
  </r>
  <r>
    <n v="2025"/>
    <s v="19120141423    "/>
    <n v="-1.8325814637483102"/>
    <n v="0.16"/>
    <n v="6960"/>
    <s v="2"/>
    <s v="RES"/>
    <s v="MX"/>
    <s v="11"/>
    <s v="259"/>
    <s v="RN"/>
    <x v="4"/>
    <s v="AV"/>
    <n v="10"/>
    <n v="19"/>
    <n v="19"/>
    <n v="2005"/>
    <n v="2005"/>
    <n v="1436"/>
    <m/>
    <m/>
    <m/>
    <m/>
    <n v="0"/>
    <n v="1436"/>
    <n v="1500"/>
    <s v="N"/>
    <m/>
    <n v="400"/>
    <m/>
    <m/>
    <m/>
    <m/>
    <m/>
    <n v="291532"/>
    <n v="262379"/>
    <n v="0"/>
    <n v="0"/>
    <n v="60800"/>
    <n v="307800"/>
    <n v="368600"/>
    <n v="132535.48800000001"/>
    <n v="88356.992000000013"/>
    <n v="-24051.387388882686"/>
    <n v="37154.252388000001"/>
    <n v="17761.121909000001"/>
    <n v="-2066.0808999999999"/>
    <n v="89621.305680000005"/>
    <n v="0"/>
    <n v="0"/>
    <n v="14120.412400000001"/>
    <n v="0"/>
    <n v="289100"/>
    <n v="64300"/>
    <n v="353400"/>
    <n v="-4.1237113402061855E-2"/>
    <n v="0.99970000000000003"/>
    <n v="0.99819999999999998"/>
    <n v="0.99680000000000002"/>
    <n v="0.99519999999999997"/>
    <n v="0.99080000000000001"/>
    <n v="0.94971499999999998"/>
    <n v="0.93178401878228145"/>
    <n v="280100"/>
    <n v="0"/>
    <n v="280100"/>
    <n v="61100"/>
    <n v="341200"/>
    <n v="-8.9993502274204024E-2"/>
    <n v="4.9342105263157892E-3"/>
    <n v="-7.4335322843190457E-2"/>
  </r>
  <r>
    <n v="2025"/>
    <s v="19120144490    "/>
    <n v="-1.8325814637483102"/>
    <n v="0.16"/>
    <n v="7006"/>
    <s v="2"/>
    <s v="RES"/>
    <s v="MX"/>
    <s v="11"/>
    <s v="259"/>
    <s v="RN"/>
    <x v="4"/>
    <s v="GD"/>
    <n v="20"/>
    <n v="20"/>
    <n v="20"/>
    <n v="2004"/>
    <n v="2004"/>
    <n v="1092"/>
    <m/>
    <m/>
    <m/>
    <m/>
    <n v="0"/>
    <n v="1092"/>
    <n v="1500"/>
    <s v="N"/>
    <m/>
    <n v="440"/>
    <m/>
    <m/>
    <m/>
    <m/>
    <m/>
    <n v="247425"/>
    <n v="225157"/>
    <n v="0"/>
    <n v="0"/>
    <n v="60800"/>
    <n v="301200"/>
    <n v="362000"/>
    <n v="132535.48800000001"/>
    <n v="88356.992000000013"/>
    <n v="-24051.387388882686"/>
    <n v="37154.252388000001"/>
    <n v="30300.329274"/>
    <n v="-2174.8220000000001"/>
    <n v="68152.13496000001"/>
    <n v="0"/>
    <n v="0"/>
    <n v="15532.453640000002"/>
    <n v="0"/>
    <n v="281500"/>
    <n v="64300"/>
    <n v="345800"/>
    <n v="-4.4751381215469614E-2"/>
    <n v="0.99970000000000003"/>
    <n v="0.99819999999999998"/>
    <n v="0.997"/>
    <n v="0.99519999999999997"/>
    <n v="1.0138"/>
    <n v="0.94971499999999998"/>
    <n v="0.95360534243162343"/>
    <n v="275400"/>
    <n v="0"/>
    <n v="275400"/>
    <n v="61100"/>
    <n v="336500"/>
    <n v="-8.565737051792828E-2"/>
    <n v="4.9342105263157892E-3"/>
    <n v="-7.0441988950276244E-2"/>
  </r>
  <r>
    <n v="2025"/>
    <s v="20120633498    "/>
    <n v="-1.8325814637483102"/>
    <n v="0.16"/>
    <n v="7070"/>
    <s v="2"/>
    <s v="RES"/>
    <s v="MX"/>
    <s v="11"/>
    <s v="259"/>
    <s v="CP"/>
    <x v="5"/>
    <s v="VG"/>
    <n v="10"/>
    <n v="12"/>
    <n v="12"/>
    <n v="2012"/>
    <n v="2012"/>
    <n v="1068"/>
    <n v="1488"/>
    <m/>
    <m/>
    <m/>
    <n v="0"/>
    <n v="2556"/>
    <n v="3000"/>
    <s v="N"/>
    <m/>
    <m/>
    <n v="715"/>
    <m/>
    <m/>
    <m/>
    <m/>
    <n v="511206"/>
    <n v="485646"/>
    <n v="0"/>
    <n v="0"/>
    <n v="60800"/>
    <n v="395200"/>
    <n v="456000"/>
    <n v="132535.48800000001"/>
    <n v="88356.992000000013"/>
    <n v="-24051.387388882686"/>
    <n v="32917.849192000001"/>
    <n v="50438.379078999998"/>
    <n v="-1304.8932"/>
    <n v="66654.285839999997"/>
    <n v="88655.609903999997"/>
    <n v="0"/>
    <n v="0"/>
    <n v="0"/>
    <n v="369900"/>
    <n v="64300"/>
    <n v="434200"/>
    <n v="-4.7807017543859652E-2"/>
    <n v="0.99970000000000003"/>
    <n v="1.0019"/>
    <n v="1.0007999999999999"/>
    <n v="1.0099"/>
    <n v="0.99080000000000001"/>
    <n v="0.94971499999999998"/>
    <n v="0.95286053681485272"/>
    <n v="363600"/>
    <n v="0"/>
    <n v="363600"/>
    <n v="61100"/>
    <n v="424700"/>
    <n v="-7.9959514170040491E-2"/>
    <n v="4.9342105263157892E-3"/>
    <n v="-6.8640350877192988E-2"/>
  </r>
  <r>
    <n v="2025"/>
    <s v="19120113593    "/>
    <n v="-1.8325814637483102"/>
    <n v="0.16"/>
    <n v="7078"/>
    <s v="2"/>
    <s v="RES"/>
    <s v="MX"/>
    <s v="11"/>
    <s v="259"/>
    <s v="CO"/>
    <x v="5"/>
    <s v="VG"/>
    <n v="10"/>
    <n v="17"/>
    <n v="17"/>
    <n v="2007"/>
    <n v="2007"/>
    <n v="1352"/>
    <n v="1274"/>
    <m/>
    <m/>
    <m/>
    <n v="0"/>
    <n v="2626"/>
    <n v="3000"/>
    <s v="N"/>
    <m/>
    <n v="240"/>
    <n v="524"/>
    <m/>
    <m/>
    <m/>
    <m/>
    <n v="531911"/>
    <n v="494677"/>
    <n v="0"/>
    <n v="0"/>
    <n v="60800"/>
    <n v="405900"/>
    <n v="466700"/>
    <n v="132535.48800000001"/>
    <n v="88356.992000000013"/>
    <n v="-24051.387388882686"/>
    <n v="32917.849192000001"/>
    <n v="50438.379078999998"/>
    <n v="-1848.5987"/>
    <n v="84378.833760000009"/>
    <n v="75905.407941999991"/>
    <n v="0"/>
    <n v="8472.247440000001"/>
    <n v="0"/>
    <n v="382800"/>
    <n v="64300"/>
    <n v="447100"/>
    <n v="-4.1997000214270407E-2"/>
    <n v="0.99970000000000003"/>
    <n v="1.0019"/>
    <n v="1.0007999999999999"/>
    <n v="1.0099"/>
    <n v="0.99080000000000001"/>
    <n v="0.94971499999999998"/>
    <n v="0.95286053681485272"/>
    <n v="376600"/>
    <n v="0"/>
    <n v="376600"/>
    <n v="61100"/>
    <n v="437700"/>
    <n v="-7.2185267307218526E-2"/>
    <n v="4.9342105263157892E-3"/>
    <n v="-6.2138418684379686E-2"/>
  </r>
  <r>
    <n v="2025"/>
    <s v="19120141453    "/>
    <n v="-1.8325814637483102"/>
    <n v="0.16"/>
    <n v="7163"/>
    <s v="2"/>
    <s v="RES"/>
    <s v="MX"/>
    <s v="11"/>
    <s v="259"/>
    <s v="CO"/>
    <x v="5"/>
    <s v="VG"/>
    <n v="10"/>
    <n v="19"/>
    <n v="19"/>
    <n v="2005"/>
    <n v="2005"/>
    <n v="1116"/>
    <n v="1116"/>
    <m/>
    <m/>
    <m/>
    <n v="0"/>
    <n v="2232"/>
    <n v="2500"/>
    <s v="N"/>
    <m/>
    <n v="440"/>
    <m/>
    <m/>
    <m/>
    <m/>
    <m/>
    <n v="467519"/>
    <n v="425442"/>
    <n v="0"/>
    <n v="0"/>
    <n v="60800"/>
    <n v="385000"/>
    <n v="445800"/>
    <n v="132535.48800000001"/>
    <n v="88356.992000000013"/>
    <n v="-24051.387388882686"/>
    <n v="32917.849192000001"/>
    <n v="50438.379078999998"/>
    <n v="-2066.0808999999999"/>
    <n v="69649.984080000009"/>
    <n v="66491.707427999994"/>
    <n v="0"/>
    <n v="15532.453640000002"/>
    <n v="0"/>
    <n v="365500"/>
    <n v="64300"/>
    <n v="429800"/>
    <n v="-3.5890533871691339E-2"/>
    <n v="0.99970000000000003"/>
    <n v="1.0019"/>
    <n v="1.0007999999999999"/>
    <n v="1.0008999999999999"/>
    <n v="0.99080000000000001"/>
    <n v="0.94971499999999998"/>
    <n v="0.94436885958806405"/>
    <n v="358100"/>
    <n v="0"/>
    <n v="358100"/>
    <n v="61100"/>
    <n v="419200"/>
    <n v="-6.9870129870129874E-2"/>
    <n v="4.9342105263157892E-3"/>
    <n v="-5.9668012561686856E-2"/>
  </r>
  <r>
    <n v="2025"/>
    <s v="19120113456    "/>
    <n v="-1.8325814637483102"/>
    <n v="0.16"/>
    <n v="6805"/>
    <s v="2"/>
    <s v="RES"/>
    <s v="MX"/>
    <s v="11"/>
    <s v="259"/>
    <s v="RN"/>
    <x v="5"/>
    <s v="AV"/>
    <n v="10"/>
    <n v="18"/>
    <n v="18"/>
    <n v="2006"/>
    <n v="2006"/>
    <n v="1092"/>
    <m/>
    <m/>
    <m/>
    <m/>
    <n v="0"/>
    <n v="1092"/>
    <n v="1500"/>
    <s v="N"/>
    <m/>
    <n v="680"/>
    <m/>
    <m/>
    <m/>
    <m/>
    <m/>
    <n v="285594"/>
    <n v="259891"/>
    <n v="0"/>
    <n v="0"/>
    <n v="60800"/>
    <n v="285000"/>
    <n v="345800"/>
    <n v="132535.48800000001"/>
    <n v="88356.992000000013"/>
    <n v="-24051.387388882686"/>
    <n v="32917.849192000001"/>
    <n v="17761.121909000001"/>
    <n v="-1957.3398"/>
    <n v="68152.13496000001"/>
    <n v="0"/>
    <n v="0"/>
    <n v="24004.701080000003"/>
    <n v="0"/>
    <n v="273400"/>
    <n v="64300"/>
    <n v="337700"/>
    <n v="-2.3423944476576055E-2"/>
    <n v="0.99970000000000003"/>
    <n v="1.0019"/>
    <n v="0.99680000000000002"/>
    <n v="0.99519999999999997"/>
    <n v="0.99080000000000001"/>
    <n v="0.94971499999999998"/>
    <n v="0.9352378365237104"/>
    <n v="264800"/>
    <n v="0"/>
    <n v="264800"/>
    <n v="61100"/>
    <n v="325900"/>
    <n v="-7.0877192982456136E-2"/>
    <n v="4.9342105263157892E-3"/>
    <n v="-5.7547715442452282E-2"/>
  </r>
  <r>
    <n v="2025"/>
    <s v="19120131530    "/>
    <n v="-1.8325814637483102"/>
    <n v="0.16"/>
    <n v="7123"/>
    <s v="2"/>
    <s v="RES"/>
    <s v="MX"/>
    <s v="11"/>
    <s v="259"/>
    <s v="BG"/>
    <x v="2"/>
    <s v="FR"/>
    <n v="20"/>
    <n v="25"/>
    <n v="25"/>
    <n v="1999"/>
    <n v="1999"/>
    <n v="1026"/>
    <m/>
    <m/>
    <m/>
    <m/>
    <n v="0"/>
    <n v="1026"/>
    <n v="1500"/>
    <s v="N"/>
    <m/>
    <m/>
    <m/>
    <m/>
    <m/>
    <m/>
    <m/>
    <n v="152229"/>
    <n v="133962"/>
    <n v="0"/>
    <n v="0"/>
    <n v="60800"/>
    <n v="201700"/>
    <n v="262500"/>
    <n v="132535.48800000001"/>
    <n v="88356.992000000013"/>
    <n v="-24051.387388882686"/>
    <n v="-1240.8083630000001"/>
    <n v="0"/>
    <n v="-2718.5275000000001"/>
    <n v="64033.049880000006"/>
    <n v="0"/>
    <n v="0"/>
    <n v="0"/>
    <n v="0"/>
    <n v="192600"/>
    <n v="64300"/>
    <n v="256900"/>
    <n v="-2.1333333333333333E-2"/>
    <n v="0.99970000000000003"/>
    <n v="1.0022"/>
    <n v="1"/>
    <n v="0.99519999999999997"/>
    <n v="1.0138"/>
    <n v="0.94971499999999998"/>
    <n v="0.96030756483533242"/>
    <n v="187300"/>
    <n v="0"/>
    <n v="187300"/>
    <n v="61100"/>
    <n v="248400"/>
    <n v="-7.1393158155676748E-2"/>
    <n v="4.9342105263157892E-3"/>
    <n v="-5.3714285714285714E-2"/>
  </r>
  <r>
    <n v="2025"/>
    <s v="20120633438    "/>
    <n v="-1.8325814637483102"/>
    <n v="0.16"/>
    <n v="7187"/>
    <s v="2"/>
    <s v="RES"/>
    <s v="MX"/>
    <s v="11"/>
    <s v="259"/>
    <s v="CP"/>
    <x v="4"/>
    <s v="AV"/>
    <n v="10"/>
    <n v="13"/>
    <n v="13"/>
    <n v="2011"/>
    <n v="2011"/>
    <n v="1368"/>
    <m/>
    <m/>
    <m/>
    <m/>
    <n v="0"/>
    <n v="1368"/>
    <n v="1500"/>
    <s v="N"/>
    <m/>
    <n v="424"/>
    <m/>
    <m/>
    <m/>
    <m/>
    <m/>
    <n v="276704"/>
    <n v="260102"/>
    <n v="0"/>
    <n v="0"/>
    <n v="60800"/>
    <n v="296600"/>
    <n v="357400"/>
    <n v="132535.48800000001"/>
    <n v="88356.992000000013"/>
    <n v="-24051.387388882686"/>
    <n v="37154.252388000001"/>
    <n v="17761.121909000001"/>
    <n v="-1413.6342999999999"/>
    <n v="85377.399839999998"/>
    <n v="0"/>
    <n v="0"/>
    <n v="14967.637144"/>
    <n v="0"/>
    <n v="286400"/>
    <n v="64300"/>
    <n v="350700"/>
    <n v="-1.8746502518186905E-2"/>
    <n v="0.99970000000000003"/>
    <n v="0.99819999999999998"/>
    <n v="0.99680000000000002"/>
    <n v="0.99519999999999997"/>
    <n v="0.99080000000000001"/>
    <n v="0.94971499999999998"/>
    <n v="0.93178401878228145"/>
    <n v="277300"/>
    <n v="0"/>
    <n v="277300"/>
    <n v="61100"/>
    <n v="338400"/>
    <n v="-6.5070802427511801E-2"/>
    <n v="4.9342105263157892E-3"/>
    <n v="-5.3161723559037491E-2"/>
  </r>
  <r>
    <n v="2025"/>
    <s v="20120633459    "/>
    <n v="-1.8325814637483102"/>
    <n v="0.16"/>
    <n v="7092"/>
    <s v="2"/>
    <s v="RES"/>
    <s v="MX"/>
    <s v="11"/>
    <s v="259"/>
    <s v="CO"/>
    <x v="5"/>
    <s v="GD"/>
    <n v="10"/>
    <n v="14"/>
    <n v="14"/>
    <n v="2010"/>
    <n v="2010"/>
    <n v="1389"/>
    <n v="1322"/>
    <m/>
    <m/>
    <m/>
    <n v="0"/>
    <n v="2711"/>
    <n v="3000"/>
    <s v="N"/>
    <m/>
    <m/>
    <n v="728"/>
    <m/>
    <m/>
    <m/>
    <m/>
    <n v="516642"/>
    <n v="480477"/>
    <n v="0"/>
    <n v="0"/>
    <n v="60800"/>
    <n v="375900"/>
    <n v="436700"/>
    <n v="132535.48800000001"/>
    <n v="88356.992000000013"/>
    <n v="-24051.387388882686"/>
    <n v="32917.849192000001"/>
    <n v="30300.329274"/>
    <n v="-1522.3754000000001"/>
    <n v="86688.017820000008"/>
    <n v="78765.266325999997"/>
    <n v="0"/>
    <n v="0"/>
    <n v="0"/>
    <n v="359700"/>
    <n v="64300"/>
    <n v="424000"/>
    <n v="-2.9081749484772153E-2"/>
    <n v="0.99970000000000003"/>
    <n v="1.0019"/>
    <n v="0.997"/>
    <n v="1.0099"/>
    <n v="0.99080000000000001"/>
    <n v="0.94971499999999998"/>
    <n v="0.94924256115548389"/>
    <n v="353000"/>
    <n v="0"/>
    <n v="353000"/>
    <n v="61100"/>
    <n v="414100"/>
    <n v="-6.0920457568502263E-2"/>
    <n v="4.9342105263157892E-3"/>
    <n v="-5.1751774673689029E-2"/>
  </r>
  <r>
    <n v="2025"/>
    <s v="19120144440    "/>
    <n v="-1.8325814637483102"/>
    <n v="0.16"/>
    <n v="6995"/>
    <s v="2"/>
    <s v="RES"/>
    <s v="MX"/>
    <s v="11"/>
    <s v="259"/>
    <s v="CO"/>
    <x v="5"/>
    <s v="AV"/>
    <n v="20"/>
    <n v="20"/>
    <n v="20"/>
    <n v="2004"/>
    <n v="2004"/>
    <n v="1116"/>
    <n v="1116"/>
    <m/>
    <m/>
    <m/>
    <n v="0"/>
    <n v="2232"/>
    <n v="2500"/>
    <s v="N"/>
    <n v="1"/>
    <n v="440"/>
    <m/>
    <m/>
    <m/>
    <m/>
    <m/>
    <n v="444722"/>
    <n v="404697"/>
    <n v="0"/>
    <n v="0"/>
    <n v="60800"/>
    <n v="349100"/>
    <n v="409900"/>
    <n v="132535.48800000001"/>
    <n v="88356.992000000013"/>
    <n v="-24051.387388882686"/>
    <n v="32917.849192000001"/>
    <n v="17761.121909000001"/>
    <n v="-2174.8220000000001"/>
    <n v="69649.984080000009"/>
    <n v="66491.707427999994"/>
    <n v="0"/>
    <n v="15532.453640000002"/>
    <n v="0"/>
    <n v="332700"/>
    <n v="64300"/>
    <n v="397000"/>
    <n v="-3.1471090509880457E-2"/>
    <n v="0.99970000000000003"/>
    <n v="1.0019"/>
    <n v="0.99680000000000002"/>
    <n v="1.0008999999999999"/>
    <n v="1.0138"/>
    <n v="0.94971499999999998"/>
    <n v="0.9624289528519071"/>
    <n v="327700"/>
    <n v="0"/>
    <n v="327700"/>
    <n v="61100"/>
    <n v="388800"/>
    <n v="-6.1300486966485247E-2"/>
    <n v="4.9342105263157892E-3"/>
    <n v="-5.1475969748719201E-2"/>
  </r>
  <r>
    <n v="2025"/>
    <s v="19120112411    "/>
    <n v="-1.8325814637483102"/>
    <n v="0.16"/>
    <n v="7082"/>
    <s v="2"/>
    <s v="RES"/>
    <s v="MX"/>
    <s v="11"/>
    <s v="259"/>
    <s v="RN"/>
    <x v="4"/>
    <s v="VG"/>
    <n v="10"/>
    <n v="18"/>
    <n v="18"/>
    <n v="2006"/>
    <n v="2006"/>
    <n v="1076"/>
    <m/>
    <m/>
    <m/>
    <m/>
    <n v="0"/>
    <n v="1076"/>
    <n v="1500"/>
    <s v="N"/>
    <m/>
    <n v="440"/>
    <m/>
    <m/>
    <m/>
    <m/>
    <m/>
    <n v="240092"/>
    <n v="220885"/>
    <n v="0"/>
    <n v="0"/>
    <n v="60800"/>
    <n v="311500"/>
    <n v="372300"/>
    <n v="132535.48800000001"/>
    <n v="88356.992000000013"/>
    <n v="-24051.387388882686"/>
    <n v="37154.252388000001"/>
    <n v="50438.379078999998"/>
    <n v="-1957.3398"/>
    <n v="67153.568880000006"/>
    <n v="0"/>
    <n v="0"/>
    <n v="15532.453640000002"/>
    <n v="0"/>
    <n v="300900"/>
    <n v="64300"/>
    <n v="365200"/>
    <n v="-1.9070641955412301E-2"/>
    <n v="0.99970000000000003"/>
    <n v="0.99819999999999998"/>
    <n v="1.0007999999999999"/>
    <n v="0.99519999999999997"/>
    <n v="0.99080000000000001"/>
    <n v="0.94971499999999998"/>
    <n v="0.93552311998124726"/>
    <n v="292300"/>
    <n v="0"/>
    <n v="292300"/>
    <n v="61100"/>
    <n v="353400"/>
    <n v="-6.1637239165329052E-2"/>
    <n v="4.9342105263157892E-3"/>
    <n v="-5.0765511684125707E-2"/>
  </r>
  <r>
    <n v="2025"/>
    <s v="19120113604    "/>
    <n v="-1.8325814637483102"/>
    <n v="0.16"/>
    <n v="7077"/>
    <s v="2"/>
    <s v="RES"/>
    <s v="MX"/>
    <s v="11"/>
    <s v="259"/>
    <s v="RN"/>
    <x v="4"/>
    <s v="GD"/>
    <n v="10"/>
    <n v="16"/>
    <n v="16"/>
    <n v="2008"/>
    <n v="2008"/>
    <n v="1092"/>
    <m/>
    <m/>
    <m/>
    <m/>
    <n v="0"/>
    <n v="1092"/>
    <n v="1500"/>
    <s v="N"/>
    <m/>
    <n v="440"/>
    <m/>
    <m/>
    <m/>
    <m/>
    <m/>
    <n v="237777"/>
    <n v="218755"/>
    <n v="0"/>
    <n v="0"/>
    <n v="60800"/>
    <n v="290500"/>
    <n v="351300"/>
    <n v="132535.48800000001"/>
    <n v="88356.992000000013"/>
    <n v="-24051.387388882686"/>
    <n v="37154.252388000001"/>
    <n v="30300.329274"/>
    <n v="-1739.8576"/>
    <n v="68152.13496000001"/>
    <n v="0"/>
    <n v="0"/>
    <n v="15532.453640000002"/>
    <n v="0"/>
    <n v="281900"/>
    <n v="64300"/>
    <n v="346200"/>
    <n v="-1.4517506404782237E-2"/>
    <n v="0.99970000000000003"/>
    <n v="0.99819999999999998"/>
    <n v="0.997"/>
    <n v="0.99519999999999997"/>
    <n v="0.99080000000000001"/>
    <n v="0.94971499999999998"/>
    <n v="0.93197097384222971"/>
    <n v="272900"/>
    <n v="0"/>
    <n v="272900"/>
    <n v="61100"/>
    <n v="334000"/>
    <n v="-6.0585197934595526E-2"/>
    <n v="4.9342105263157892E-3"/>
    <n v="-4.9245658980927982E-2"/>
  </r>
  <r>
    <n v="2025"/>
    <s v="19120113479    "/>
    <n v="-1.8325814637483102"/>
    <n v="0.16"/>
    <n v="7000"/>
    <s v="2"/>
    <s v="RES"/>
    <s v="MX"/>
    <s v="11"/>
    <s v="259"/>
    <s v="CO"/>
    <x v="5"/>
    <s v="VG"/>
    <n v="10"/>
    <n v="18"/>
    <n v="18"/>
    <n v="2006"/>
    <n v="2006"/>
    <n v="1158"/>
    <n v="1332"/>
    <m/>
    <m/>
    <m/>
    <n v="0"/>
    <n v="2490"/>
    <n v="2500"/>
    <s v="N"/>
    <n v="1"/>
    <m/>
    <n v="802"/>
    <m/>
    <m/>
    <m/>
    <m/>
    <n v="515498"/>
    <n v="474258"/>
    <n v="0"/>
    <n v="0"/>
    <n v="60800"/>
    <n v="379900"/>
    <n v="440700"/>
    <n v="132535.48800000001"/>
    <n v="88356.992000000013"/>
    <n v="-24051.387388882686"/>
    <n v="32917.849192000001"/>
    <n v="50438.379078999998"/>
    <n v="-1957.3398"/>
    <n v="72271.22004"/>
    <n v="79361.070156000002"/>
    <n v="0"/>
    <n v="0"/>
    <n v="0"/>
    <n v="365600"/>
    <n v="64300"/>
    <n v="429900"/>
    <n v="-2.4506466984343091E-2"/>
    <n v="0.99970000000000003"/>
    <n v="1.0019"/>
    <n v="1.0007999999999999"/>
    <n v="1.0008999999999999"/>
    <n v="0.99080000000000001"/>
    <n v="0.94971499999999998"/>
    <n v="0.94436885958806405"/>
    <n v="358200"/>
    <n v="0"/>
    <n v="358200"/>
    <n v="61100"/>
    <n v="419300"/>
    <n v="-5.7120294814424849E-2"/>
    <n v="4.9342105263157892E-3"/>
    <n v="-4.8559110506013158E-2"/>
  </r>
  <r>
    <n v="2025"/>
    <s v="19120113568    "/>
    <n v="-1.8325814637483102"/>
    <n v="0.16"/>
    <n v="7033"/>
    <s v="2"/>
    <s v="RES"/>
    <s v="MX"/>
    <s v="11"/>
    <s v="259"/>
    <s v="RN"/>
    <x v="4"/>
    <s v="GD"/>
    <n v="10"/>
    <n v="17"/>
    <n v="17"/>
    <n v="2007"/>
    <n v="2007"/>
    <n v="1352"/>
    <m/>
    <m/>
    <m/>
    <m/>
    <n v="0"/>
    <n v="1352"/>
    <n v="1500"/>
    <s v="N"/>
    <m/>
    <n v="440"/>
    <m/>
    <m/>
    <m/>
    <m/>
    <m/>
    <n v="272131"/>
    <n v="253082"/>
    <n v="0"/>
    <n v="0"/>
    <n v="60800"/>
    <n v="306800"/>
    <n v="367600"/>
    <n v="132535.48800000001"/>
    <n v="88356.992000000013"/>
    <n v="-24051.387388882686"/>
    <n v="37154.252388000001"/>
    <n v="30300.329274"/>
    <n v="-1848.5987"/>
    <n v="84378.833760000009"/>
    <n v="0"/>
    <n v="0"/>
    <n v="15532.453640000002"/>
    <n v="0"/>
    <n v="298100"/>
    <n v="64300"/>
    <n v="362400"/>
    <n v="-1.4145810663764961E-2"/>
    <n v="0.99970000000000003"/>
    <n v="0.99819999999999998"/>
    <n v="0.997"/>
    <n v="0.99519999999999997"/>
    <n v="0.99080000000000001"/>
    <n v="0.94971499999999998"/>
    <n v="0.93197097384222971"/>
    <n v="289000"/>
    <n v="0"/>
    <n v="289000"/>
    <n v="61100"/>
    <n v="350100"/>
    <n v="-5.8018252933507174E-2"/>
    <n v="4.9342105263157892E-3"/>
    <n v="-4.7606093579978234E-2"/>
  </r>
  <r>
    <n v="2025"/>
    <s v="20120633462    "/>
    <n v="-1.8325814637483102"/>
    <n v="0.16"/>
    <n v="7096"/>
    <s v="2"/>
    <s v="RES"/>
    <s v="MX"/>
    <s v="11"/>
    <s v="259"/>
    <s v="CO"/>
    <x v="5"/>
    <s v="GD"/>
    <n v="10"/>
    <n v="14"/>
    <n v="14"/>
    <n v="2010"/>
    <n v="2010"/>
    <n v="1116"/>
    <n v="1116"/>
    <m/>
    <m/>
    <m/>
    <n v="0"/>
    <n v="2232"/>
    <n v="2500"/>
    <s v="N"/>
    <m/>
    <n v="440"/>
    <m/>
    <m/>
    <m/>
    <m/>
    <m/>
    <n v="453271"/>
    <n v="421542"/>
    <n v="0"/>
    <n v="0"/>
    <n v="60800"/>
    <n v="357400"/>
    <n v="418200"/>
    <n v="132535.48800000001"/>
    <n v="88356.992000000013"/>
    <n v="-24051.387388882686"/>
    <n v="32917.849192000001"/>
    <n v="30300.329274"/>
    <n v="-1522.3754000000001"/>
    <n v="69649.984080000009"/>
    <n v="66491.707427999994"/>
    <n v="0"/>
    <n v="15532.453640000002"/>
    <n v="0"/>
    <n v="345900"/>
    <n v="64300"/>
    <n v="410200"/>
    <n v="-1.9129603060736491E-2"/>
    <n v="0.99970000000000003"/>
    <n v="1.0019"/>
    <n v="0.997"/>
    <n v="1.0008999999999999"/>
    <n v="0.99080000000000001"/>
    <n v="0.94971499999999998"/>
    <n v="0.94078312650809337"/>
    <n v="338100"/>
    <n v="0"/>
    <n v="338100"/>
    <n v="61100"/>
    <n v="399200"/>
    <n v="-5.4001119194180193E-2"/>
    <n v="4.9342105263157892E-3"/>
    <n v="-4.5432807269249163E-2"/>
  </r>
  <r>
    <n v="2025"/>
    <s v="19120141463    "/>
    <n v="-1.8325814637483102"/>
    <n v="0.16"/>
    <n v="6992"/>
    <s v="2"/>
    <s v="RES"/>
    <s v="MX"/>
    <s v="11"/>
    <s v="259"/>
    <s v="CO"/>
    <x v="5"/>
    <s v="AV"/>
    <n v="10"/>
    <n v="19"/>
    <n v="19"/>
    <n v="2005"/>
    <n v="2005"/>
    <n v="1158"/>
    <n v="1322"/>
    <m/>
    <m/>
    <m/>
    <n v="0"/>
    <n v="2480"/>
    <n v="2500"/>
    <s v="N"/>
    <n v="1"/>
    <n v="300"/>
    <n v="502"/>
    <m/>
    <m/>
    <m/>
    <m/>
    <n v="511058"/>
    <n v="459952"/>
    <n v="0"/>
    <n v="0"/>
    <n v="60800"/>
    <n v="352500"/>
    <n v="413300"/>
    <n v="132535.48800000001"/>
    <n v="88356.992000000013"/>
    <n v="-24051.387388882686"/>
    <n v="32917.849192000001"/>
    <n v="17761.121909000001"/>
    <n v="-2066.0808999999999"/>
    <n v="72271.22004"/>
    <n v="78765.266325999997"/>
    <n v="0"/>
    <n v="10590.309300000001"/>
    <n v="0"/>
    <n v="342800"/>
    <n v="64300"/>
    <n v="407100"/>
    <n v="-1.5001209774981853E-2"/>
    <n v="0.99970000000000003"/>
    <n v="1.0019"/>
    <n v="0.99680000000000002"/>
    <n v="1.0008999999999999"/>
    <n v="0.99080000000000001"/>
    <n v="0.94971499999999998"/>
    <n v="0.94059440371441083"/>
    <n v="334900"/>
    <n v="0"/>
    <n v="334900"/>
    <n v="61100"/>
    <n v="396000"/>
    <n v="-4.9929078014184398E-2"/>
    <n v="4.9342105263157892E-3"/>
    <n v="-4.1858214372126785E-2"/>
  </r>
  <r>
    <n v="2025"/>
    <s v="19120112472    "/>
    <n v="-1.8325814637483102"/>
    <n v="0.16"/>
    <n v="6894"/>
    <s v="2"/>
    <s v="RES"/>
    <s v="MX"/>
    <s v="11"/>
    <s v="259"/>
    <s v="RN"/>
    <x v="0"/>
    <s v="GD"/>
    <n v="10"/>
    <n v="17"/>
    <n v="17"/>
    <n v="2007"/>
    <n v="2007"/>
    <n v="1080"/>
    <m/>
    <m/>
    <m/>
    <m/>
    <n v="0"/>
    <n v="1080"/>
    <n v="1500"/>
    <s v="N"/>
    <m/>
    <n v="440"/>
    <m/>
    <m/>
    <m/>
    <m/>
    <m/>
    <n v="208487"/>
    <n v="191808"/>
    <n v="0"/>
    <n v="0"/>
    <n v="60800"/>
    <n v="272200"/>
    <n v="333000"/>
    <n v="132535.48800000001"/>
    <n v="88356.992000000013"/>
    <n v="-24051.387388882686"/>
    <n v="24371.765965999999"/>
    <n v="30300.329274"/>
    <n v="-1848.5987"/>
    <n v="67403.210400000011"/>
    <n v="0"/>
    <n v="0"/>
    <n v="15532.453640000002"/>
    <n v="0"/>
    <n v="268300"/>
    <n v="64300"/>
    <n v="332600"/>
    <n v="-1.2012012012012011E-3"/>
    <n v="0.99970000000000003"/>
    <n v="0.99199999999999999"/>
    <n v="0.997"/>
    <n v="0.99519999999999997"/>
    <n v="0.99080000000000001"/>
    <n v="0.94971499999999998"/>
    <n v="0.92618233425314744"/>
    <n v="258500"/>
    <n v="0"/>
    <n v="258500"/>
    <n v="61100"/>
    <n v="319600"/>
    <n v="-5.0330639235855991E-2"/>
    <n v="4.9342105263157892E-3"/>
    <n v="-4.0240240240240241E-2"/>
  </r>
  <r>
    <n v="2025"/>
    <s v="20120633418    "/>
    <n v="-1.8325814637483102"/>
    <n v="0.16"/>
    <n v="7181"/>
    <s v="2"/>
    <s v="RES"/>
    <s v="MX"/>
    <s v="11"/>
    <s v="259"/>
    <s v="CO"/>
    <x v="5"/>
    <s v="VG"/>
    <n v="10"/>
    <n v="14"/>
    <n v="14"/>
    <n v="2010"/>
    <n v="2010"/>
    <n v="1389"/>
    <n v="1322"/>
    <m/>
    <m/>
    <m/>
    <n v="0"/>
    <n v="2711"/>
    <n v="3000"/>
    <s v="N"/>
    <n v="1"/>
    <m/>
    <n v="728"/>
    <m/>
    <m/>
    <m/>
    <m/>
    <n v="542639"/>
    <n v="510081"/>
    <n v="0"/>
    <n v="0"/>
    <n v="60800"/>
    <n v="391300"/>
    <n v="452100"/>
    <n v="132535.48800000001"/>
    <n v="88356.992000000013"/>
    <n v="-24051.387388882686"/>
    <n v="32917.849192000001"/>
    <n v="50438.379078999998"/>
    <n v="-1522.3754000000001"/>
    <n v="86688.017820000008"/>
    <n v="78765.266325999997"/>
    <n v="0"/>
    <n v="0"/>
    <n v="0"/>
    <n v="379800"/>
    <n v="64300"/>
    <n v="444100"/>
    <n v="-1.7695200176952003E-2"/>
    <n v="0.99970000000000003"/>
    <n v="1.0019"/>
    <n v="1.0007999999999999"/>
    <n v="1.0099"/>
    <n v="0.99080000000000001"/>
    <n v="0.94971499999999998"/>
    <n v="0.95286053681485272"/>
    <n v="373600"/>
    <n v="0"/>
    <n v="373600"/>
    <n v="61100"/>
    <n v="434700"/>
    <n v="-4.5233835931510348E-2"/>
    <n v="4.9342105263157892E-3"/>
    <n v="-3.8487060384870604E-2"/>
  </r>
  <r>
    <n v="2025"/>
    <s v="20120633416    "/>
    <n v="-1.8325814637483102"/>
    <n v="0.16"/>
    <n v="7181"/>
    <s v="2"/>
    <s v="RES"/>
    <s v="MX"/>
    <s v="11"/>
    <s v="259"/>
    <s v="CO"/>
    <x v="5"/>
    <s v="VG"/>
    <n v="10"/>
    <n v="15"/>
    <n v="15"/>
    <n v="2009"/>
    <n v="2009"/>
    <n v="1389"/>
    <n v="1322"/>
    <m/>
    <m/>
    <m/>
    <n v="0"/>
    <n v="2711"/>
    <n v="3000"/>
    <s v="N"/>
    <m/>
    <m/>
    <n v="728"/>
    <m/>
    <m/>
    <m/>
    <m/>
    <n v="516338"/>
    <n v="485358"/>
    <n v="0"/>
    <n v="0"/>
    <n v="60800"/>
    <n v="390400"/>
    <n v="451200"/>
    <n v="132535.48800000001"/>
    <n v="88356.992000000013"/>
    <n v="-24051.387388882686"/>
    <n v="32917.849192000001"/>
    <n v="50438.379078999998"/>
    <n v="-1631.1165000000001"/>
    <n v="86688.017820000008"/>
    <n v="78765.266325999997"/>
    <n v="0"/>
    <n v="0"/>
    <n v="0"/>
    <n v="379700"/>
    <n v="64300"/>
    <n v="444000"/>
    <n v="-1.5957446808510637E-2"/>
    <n v="0.99970000000000003"/>
    <n v="1.0019"/>
    <n v="1.0007999999999999"/>
    <n v="1.0099"/>
    <n v="0.99080000000000001"/>
    <n v="0.94971499999999998"/>
    <n v="0.95286053681485272"/>
    <n v="373500"/>
    <n v="0"/>
    <n v="373500"/>
    <n v="61100"/>
    <n v="434600"/>
    <n v="-4.3288934426229511E-2"/>
    <n v="4.9342105263157892E-3"/>
    <n v="-3.6790780141843969E-2"/>
  </r>
  <r>
    <n v="2025"/>
    <s v="19120112476    "/>
    <n v="-1.8325814637483102"/>
    <n v="0.16"/>
    <n v="7027"/>
    <s v="2"/>
    <s v="RES"/>
    <s v="MX"/>
    <s v="11"/>
    <s v="259"/>
    <s v="CO"/>
    <x v="5"/>
    <s v="GD"/>
    <n v="10"/>
    <n v="17"/>
    <n v="17"/>
    <n v="2007"/>
    <n v="2007"/>
    <n v="909"/>
    <n v="1085"/>
    <m/>
    <m/>
    <m/>
    <n v="0"/>
    <n v="1994"/>
    <n v="2000"/>
    <s v="N"/>
    <m/>
    <m/>
    <n v="420"/>
    <m/>
    <m/>
    <m/>
    <m/>
    <n v="400495"/>
    <n v="368455"/>
    <n v="0"/>
    <n v="0"/>
    <n v="60800"/>
    <n v="321600"/>
    <n v="382400"/>
    <n v="132535.48800000001"/>
    <n v="88356.992000000013"/>
    <n v="-24051.387388882686"/>
    <n v="32917.849192000001"/>
    <n v="30300.329274"/>
    <n v="-1848.5987"/>
    <n v="56731.03542"/>
    <n v="64644.715554999995"/>
    <n v="0"/>
    <n v="0"/>
    <n v="0"/>
    <n v="315300"/>
    <n v="64300"/>
    <n v="379600"/>
    <n v="-7.3221757322175732E-3"/>
    <n v="0.99970000000000003"/>
    <n v="1.0019"/>
    <n v="0.997"/>
    <n v="1.0007999999999999"/>
    <n v="0.99080000000000001"/>
    <n v="0.94971499999999998"/>
    <n v="0.94068913278978916"/>
    <n v="307400"/>
    <n v="0"/>
    <n v="307400"/>
    <n v="61100"/>
    <n v="368500"/>
    <n v="-4.4154228855721393E-2"/>
    <n v="4.9342105263157892E-3"/>
    <n v="-3.634937238493724E-2"/>
  </r>
  <r>
    <n v="2025"/>
    <s v="19120141519    "/>
    <n v="-1.8325814637483102"/>
    <n v="0.16"/>
    <n v="6998"/>
    <s v="2"/>
    <s v="RES"/>
    <s v="MX"/>
    <s v="11"/>
    <s v="259"/>
    <s v="RN"/>
    <x v="4"/>
    <s v="VG"/>
    <n v="10"/>
    <n v="19"/>
    <n v="19"/>
    <n v="2005"/>
    <n v="2005"/>
    <n v="1436"/>
    <m/>
    <m/>
    <m/>
    <m/>
    <n v="0"/>
    <n v="1436"/>
    <n v="1500"/>
    <s v="N"/>
    <m/>
    <n v="400"/>
    <m/>
    <m/>
    <m/>
    <m/>
    <m/>
    <n v="294415"/>
    <n v="267918"/>
    <n v="0"/>
    <n v="0"/>
    <n v="60800"/>
    <n v="327600"/>
    <n v="388400"/>
    <n v="132535.48800000001"/>
    <n v="88356.992000000013"/>
    <n v="-24051.387388882686"/>
    <n v="37154.252388000001"/>
    <n v="50438.379078999998"/>
    <n v="-2066.0808999999999"/>
    <n v="89621.305680000005"/>
    <n v="0"/>
    <n v="0"/>
    <n v="14120.412400000001"/>
    <n v="0"/>
    <n v="321800"/>
    <n v="64300"/>
    <n v="386100"/>
    <n v="-5.9217301750772401E-3"/>
    <n v="0.99970000000000003"/>
    <n v="0.99819999999999998"/>
    <n v="1.0007999999999999"/>
    <n v="0.99519999999999997"/>
    <n v="0.99080000000000001"/>
    <n v="0.94971499999999998"/>
    <n v="0.93552311998124726"/>
    <n v="313300"/>
    <n v="0"/>
    <n v="313300"/>
    <n v="61100"/>
    <n v="374400"/>
    <n v="-4.3650793650793648E-2"/>
    <n v="4.9342105263157892E-3"/>
    <n v="-3.604531410916581E-2"/>
  </r>
  <r>
    <n v="2025"/>
    <s v="19120113492    "/>
    <n v="-1.8325814637483102"/>
    <n v="0.16"/>
    <n v="7002"/>
    <s v="2"/>
    <s v="RES"/>
    <s v="MX"/>
    <s v="11"/>
    <s v="259"/>
    <s v="CO"/>
    <x v="5"/>
    <s v="GD"/>
    <n v="10"/>
    <n v="18"/>
    <n v="18"/>
    <n v="2006"/>
    <n v="2006"/>
    <n v="1158"/>
    <n v="1332"/>
    <m/>
    <m/>
    <m/>
    <n v="0"/>
    <n v="2490"/>
    <n v="2500"/>
    <s v="N"/>
    <n v="1"/>
    <m/>
    <n v="502"/>
    <m/>
    <m/>
    <m/>
    <m/>
    <n v="485288"/>
    <n v="441612"/>
    <n v="0"/>
    <n v="0"/>
    <n v="60800"/>
    <n v="352700"/>
    <n v="413500"/>
    <n v="132535.48800000001"/>
    <n v="88356.992000000013"/>
    <n v="-24051.387388882686"/>
    <n v="32917.849192000001"/>
    <n v="30300.329274"/>
    <n v="-1957.3398"/>
    <n v="72271.22004"/>
    <n v="79361.070156000002"/>
    <n v="0"/>
    <n v="0"/>
    <n v="0"/>
    <n v="345400"/>
    <n v="64300"/>
    <n v="409700"/>
    <n v="-9.1898428053204355E-3"/>
    <n v="0.99970000000000003"/>
    <n v="1.0019"/>
    <n v="0.997"/>
    <n v="1.0008999999999999"/>
    <n v="0.99080000000000001"/>
    <n v="0.94971499999999998"/>
    <n v="0.94078312650809337"/>
    <n v="337600"/>
    <n v="0"/>
    <n v="337600"/>
    <n v="61100"/>
    <n v="398700"/>
    <n v="-4.2812588602211508E-2"/>
    <n v="4.9342105263157892E-3"/>
    <n v="-3.5792019347037483E-2"/>
  </r>
  <r>
    <n v="2025"/>
    <s v="19120141457    "/>
    <n v="-1.8325814637483102"/>
    <n v="0.16"/>
    <n v="6978"/>
    <s v="2"/>
    <s v="RES"/>
    <s v="MX"/>
    <s v="11"/>
    <s v="259"/>
    <s v="CO"/>
    <x v="5"/>
    <s v="GD"/>
    <n v="10"/>
    <n v="19"/>
    <n v="19"/>
    <n v="2005"/>
    <n v="2005"/>
    <n v="1158"/>
    <n v="1322"/>
    <m/>
    <m/>
    <m/>
    <n v="0"/>
    <n v="2480"/>
    <n v="2500"/>
    <s v="N"/>
    <n v="1"/>
    <m/>
    <n v="502"/>
    <m/>
    <m/>
    <m/>
    <m/>
    <n v="494310"/>
    <n v="449822"/>
    <n v="0"/>
    <n v="0"/>
    <n v="60800"/>
    <n v="351300"/>
    <n v="412100"/>
    <n v="132535.48800000001"/>
    <n v="88356.992000000013"/>
    <n v="-24051.387388882686"/>
    <n v="32917.849192000001"/>
    <n v="30300.329274"/>
    <n v="-2066.0808999999999"/>
    <n v="72271.22004"/>
    <n v="78765.266325999997"/>
    <n v="0"/>
    <n v="0"/>
    <n v="0"/>
    <n v="344700"/>
    <n v="64300"/>
    <n v="409000"/>
    <n v="-7.522446008250425E-3"/>
    <n v="0.99970000000000003"/>
    <n v="1.0019"/>
    <n v="0.997"/>
    <n v="1.0008999999999999"/>
    <n v="0.99080000000000001"/>
    <n v="0.94971499999999998"/>
    <n v="0.94078312650809337"/>
    <n v="336900"/>
    <n v="0"/>
    <n v="336900"/>
    <n v="61100"/>
    <n v="398000"/>
    <n v="-4.0990606319385142E-2"/>
    <n v="4.9342105263157892E-3"/>
    <n v="-3.4214996360106768E-2"/>
  </r>
  <r>
    <n v="2025"/>
    <s v="19120141458    "/>
    <n v="-1.8325814637483102"/>
    <n v="0.16"/>
    <n v="6992"/>
    <s v="2"/>
    <s v="RES"/>
    <s v="MX"/>
    <s v="11"/>
    <s v="259"/>
    <s v="CO"/>
    <x v="5"/>
    <s v="GD"/>
    <n v="10"/>
    <n v="19"/>
    <n v="19"/>
    <n v="2005"/>
    <n v="2005"/>
    <n v="1158"/>
    <n v="1322"/>
    <m/>
    <m/>
    <m/>
    <n v="0"/>
    <n v="2480"/>
    <n v="2500"/>
    <s v="N"/>
    <n v="1"/>
    <m/>
    <n v="502"/>
    <m/>
    <m/>
    <m/>
    <m/>
    <n v="484460"/>
    <n v="440859"/>
    <n v="0"/>
    <n v="0"/>
    <n v="60800"/>
    <n v="351300"/>
    <n v="412100"/>
    <n v="132535.48800000001"/>
    <n v="88356.992000000013"/>
    <n v="-24051.387388882686"/>
    <n v="32917.849192000001"/>
    <n v="30300.329274"/>
    <n v="-2066.0808999999999"/>
    <n v="72271.22004"/>
    <n v="78765.266325999997"/>
    <n v="0"/>
    <n v="0"/>
    <n v="0"/>
    <n v="344700"/>
    <n v="64300"/>
    <n v="409000"/>
    <n v="-7.522446008250425E-3"/>
    <n v="0.99970000000000003"/>
    <n v="1.0019"/>
    <n v="0.997"/>
    <n v="1.0008999999999999"/>
    <n v="0.99080000000000001"/>
    <n v="0.94971499999999998"/>
    <n v="0.94078312650809337"/>
    <n v="336900"/>
    <n v="0"/>
    <n v="336900"/>
    <n v="61100"/>
    <n v="398000"/>
    <n v="-4.0990606319385142E-2"/>
    <n v="4.9342105263157892E-3"/>
    <n v="-3.4214996360106768E-2"/>
  </r>
  <r>
    <n v="2025"/>
    <s v="19120141459    "/>
    <n v="-1.8325814637483102"/>
    <n v="0.16"/>
    <n v="6992"/>
    <s v="2"/>
    <s v="RES"/>
    <s v="MX"/>
    <s v="11"/>
    <s v="259"/>
    <s v="CO"/>
    <x v="5"/>
    <s v="GD"/>
    <n v="10"/>
    <n v="19"/>
    <n v="19"/>
    <n v="2005"/>
    <n v="2005"/>
    <n v="1158"/>
    <n v="1322"/>
    <m/>
    <m/>
    <m/>
    <n v="0"/>
    <n v="2480"/>
    <n v="2500"/>
    <s v="N"/>
    <m/>
    <m/>
    <n v="502"/>
    <m/>
    <m/>
    <m/>
    <m/>
    <n v="476396"/>
    <n v="433520"/>
    <n v="0"/>
    <n v="0"/>
    <n v="60800"/>
    <n v="351300"/>
    <n v="412100"/>
    <n v="132535.48800000001"/>
    <n v="88356.992000000013"/>
    <n v="-24051.387388882686"/>
    <n v="32917.849192000001"/>
    <n v="30300.329274"/>
    <n v="-2066.0808999999999"/>
    <n v="72271.22004"/>
    <n v="78765.266325999997"/>
    <n v="0"/>
    <n v="0"/>
    <n v="0"/>
    <n v="344700"/>
    <n v="64300"/>
    <n v="409000"/>
    <n v="-7.522446008250425E-3"/>
    <n v="0.99970000000000003"/>
    <n v="1.0019"/>
    <n v="0.997"/>
    <n v="1.0008999999999999"/>
    <n v="0.99080000000000001"/>
    <n v="0.94971499999999998"/>
    <n v="0.94078312650809337"/>
    <n v="336900"/>
    <n v="0"/>
    <n v="336900"/>
    <n v="61100"/>
    <n v="398000"/>
    <n v="-4.0990606319385142E-2"/>
    <n v="4.9342105263157892E-3"/>
    <n v="-3.4214996360106768E-2"/>
  </r>
  <r>
    <n v="2025"/>
    <s v="19120141413    "/>
    <n v="-1.8325814637483102"/>
    <n v="0.16"/>
    <m/>
    <s v="2"/>
    <s v="RES"/>
    <s v="MX"/>
    <s v="11"/>
    <s v="259"/>
    <s v="CO"/>
    <x v="5"/>
    <s v="GD"/>
    <n v="10"/>
    <n v="19"/>
    <n v="19"/>
    <n v="2005"/>
    <n v="2005"/>
    <n v="1158"/>
    <n v="1322"/>
    <m/>
    <m/>
    <m/>
    <n v="0"/>
    <n v="2480"/>
    <n v="2500"/>
    <s v="N"/>
    <n v="1"/>
    <m/>
    <n v="502"/>
    <m/>
    <m/>
    <m/>
    <m/>
    <n v="494990"/>
    <n v="450441"/>
    <n v="0"/>
    <n v="0"/>
    <n v="60800"/>
    <n v="351300"/>
    <n v="412100"/>
    <n v="132535.48800000001"/>
    <n v="88356.992000000013"/>
    <n v="-24051.387388882686"/>
    <n v="32917.849192000001"/>
    <n v="30300.329274"/>
    <n v="-2066.0808999999999"/>
    <n v="72271.22004"/>
    <n v="78765.266325999997"/>
    <n v="0"/>
    <n v="0"/>
    <n v="0"/>
    <n v="344700"/>
    <n v="64300"/>
    <n v="409000"/>
    <n v="-7.522446008250425E-3"/>
    <n v="0.99970000000000003"/>
    <n v="1.0019"/>
    <n v="0.997"/>
    <n v="1.0008999999999999"/>
    <n v="0.99080000000000001"/>
    <n v="0.94971499999999998"/>
    <n v="0.94078312650809337"/>
    <n v="336900"/>
    <n v="0"/>
    <n v="336900"/>
    <n v="61100"/>
    <n v="398000"/>
    <n v="-4.0990606319385142E-2"/>
    <n v="4.9342105263157892E-3"/>
    <n v="-3.4214996360106768E-2"/>
  </r>
  <r>
    <n v="2025"/>
    <s v="19120112410    "/>
    <n v="-1.8325814637483102"/>
    <n v="0.16"/>
    <n v="7089"/>
    <s v="2"/>
    <s v="RES"/>
    <s v="MX"/>
    <s v="11"/>
    <s v="259"/>
    <s v="RN"/>
    <x v="5"/>
    <s v="GD"/>
    <n v="10"/>
    <n v="18"/>
    <n v="18"/>
    <n v="2006"/>
    <n v="2006"/>
    <n v="2154"/>
    <m/>
    <m/>
    <m/>
    <m/>
    <n v="0"/>
    <n v="2154"/>
    <n v="2500"/>
    <s v="N"/>
    <m/>
    <n v="730"/>
    <m/>
    <m/>
    <m/>
    <m/>
    <m/>
    <n v="475212"/>
    <n v="432443"/>
    <n v="0"/>
    <n v="0"/>
    <n v="60800"/>
    <n v="360700"/>
    <n v="421500"/>
    <n v="132535.48800000001"/>
    <n v="88356.992000000013"/>
    <n v="-24051.387388882686"/>
    <n v="32917.849192000001"/>
    <n v="30300.329274"/>
    <n v="-1957.3398"/>
    <n v="134431.95852000001"/>
    <n v="0"/>
    <n v="0"/>
    <n v="25769.752630000003"/>
    <n v="0"/>
    <n v="354000"/>
    <n v="64300"/>
    <n v="418300"/>
    <n v="-7.5919335705812571E-3"/>
    <n v="0.99970000000000003"/>
    <n v="1.0019"/>
    <n v="0.997"/>
    <n v="1.0008999999999999"/>
    <n v="0.99080000000000001"/>
    <n v="0.94971499999999998"/>
    <n v="0.94078312650809337"/>
    <n v="346100"/>
    <n v="0"/>
    <n v="346100"/>
    <n v="61100"/>
    <n v="407200"/>
    <n v="-4.0476850568339343E-2"/>
    <n v="4.9342105263157892E-3"/>
    <n v="-3.3926453143534992E-2"/>
  </r>
  <r>
    <n v="2025"/>
    <s v="19120113480    "/>
    <n v="-1.8325814637483102"/>
    <n v="0.16"/>
    <n v="7000"/>
    <s v="2"/>
    <s v="RES"/>
    <s v="MX"/>
    <s v="11"/>
    <s v="259"/>
    <s v="CO"/>
    <x v="5"/>
    <s v="VG"/>
    <n v="10"/>
    <n v="18"/>
    <n v="18"/>
    <n v="2006"/>
    <n v="2006"/>
    <n v="1374"/>
    <n v="1332"/>
    <m/>
    <m/>
    <m/>
    <n v="0"/>
    <n v="2706"/>
    <n v="3000"/>
    <s v="N"/>
    <m/>
    <m/>
    <n v="742"/>
    <m/>
    <m/>
    <m/>
    <m/>
    <n v="516191"/>
    <n v="474896"/>
    <n v="0"/>
    <n v="0"/>
    <n v="60800"/>
    <n v="388100"/>
    <n v="448900"/>
    <n v="132535.48800000001"/>
    <n v="88356.992000000013"/>
    <n v="-24051.387388882686"/>
    <n v="32917.849192000001"/>
    <n v="50438.379078999998"/>
    <n v="-1957.3398"/>
    <n v="85751.862120000005"/>
    <n v="79361.070156000002"/>
    <n v="0"/>
    <n v="0"/>
    <n v="0"/>
    <n v="379000"/>
    <n v="64300"/>
    <n v="443300"/>
    <n v="-1.247493873914012E-2"/>
    <n v="0.99970000000000003"/>
    <n v="1.0019"/>
    <n v="1.0007999999999999"/>
    <n v="1.0099"/>
    <n v="0.99080000000000001"/>
    <n v="0.94971499999999998"/>
    <n v="0.95286053681485272"/>
    <n v="372800"/>
    <n v="0"/>
    <n v="372800"/>
    <n v="61100"/>
    <n v="433900"/>
    <n v="-3.9422829167740273E-2"/>
    <n v="4.9342105263157892E-3"/>
    <n v="-3.3415014479839605E-2"/>
  </r>
  <r>
    <n v="2025"/>
    <s v="20120634467    "/>
    <n v="-1.8325814637483102"/>
    <n v="0.16"/>
    <n v="7010"/>
    <s v="2"/>
    <s v="RES"/>
    <s v="MX"/>
    <s v="11"/>
    <s v="259"/>
    <s v="CP"/>
    <x v="4"/>
    <s v="VG"/>
    <n v="0"/>
    <n v="9"/>
    <n v="9"/>
    <n v="2015"/>
    <n v="2015"/>
    <n v="1126"/>
    <n v="1126"/>
    <m/>
    <m/>
    <m/>
    <n v="0"/>
    <n v="2252"/>
    <n v="2500"/>
    <s v="N"/>
    <m/>
    <n v="680"/>
    <m/>
    <m/>
    <m/>
    <m/>
    <m/>
    <n v="406048"/>
    <n v="389806"/>
    <n v="0"/>
    <n v="0"/>
    <n v="60800"/>
    <n v="389300"/>
    <n v="450100"/>
    <n v="132535.48800000001"/>
    <n v="88356.992000000013"/>
    <n v="-24051.387388882686"/>
    <n v="37154.252388000001"/>
    <n v="50438.379078999998"/>
    <n v="-978.66989999999998"/>
    <n v="70274.087880000006"/>
    <n v="67087.511257999999"/>
    <n v="0"/>
    <n v="24004.701080000003"/>
    <n v="0"/>
    <n v="380500"/>
    <n v="64300"/>
    <n v="444800"/>
    <n v="-1.1775161075316596E-2"/>
    <n v="0.99970000000000003"/>
    <n v="0.99819999999999998"/>
    <n v="1.0007999999999999"/>
    <n v="1.0008999999999999"/>
    <n v="1.0022"/>
    <n v="0.94971499999999998"/>
    <n v="0.95170696410692857"/>
    <n v="374100"/>
    <n v="0"/>
    <n v="374100"/>
    <n v="61100"/>
    <n v="435200"/>
    <n v="-3.904443873619317E-2"/>
    <n v="4.9342105263157892E-3"/>
    <n v="-3.3103754721173072E-2"/>
  </r>
  <r>
    <n v="2025"/>
    <s v="20120633469    "/>
    <n v="-1.8325814637483102"/>
    <n v="0.16"/>
    <n v="6835"/>
    <s v="2"/>
    <s v="RES"/>
    <s v="MX"/>
    <s v="11"/>
    <s v="259"/>
    <s v="CP"/>
    <x v="4"/>
    <s v="GD"/>
    <n v="10"/>
    <n v="14"/>
    <n v="14"/>
    <n v="2010"/>
    <n v="2010"/>
    <n v="1540"/>
    <m/>
    <m/>
    <m/>
    <m/>
    <n v="0"/>
    <n v="1540"/>
    <n v="2000"/>
    <s v="N"/>
    <m/>
    <n v="420"/>
    <m/>
    <m/>
    <m/>
    <m/>
    <m/>
    <n v="305088"/>
    <n v="283732"/>
    <n v="0"/>
    <n v="0"/>
    <n v="60800"/>
    <n v="313700"/>
    <n v="374500"/>
    <n v="132535.48800000001"/>
    <n v="88356.992000000013"/>
    <n v="-24051.387388882686"/>
    <n v="37154.252388000001"/>
    <n v="30300.329274"/>
    <n v="-1522.3754000000001"/>
    <n v="96111.98520000001"/>
    <n v="0"/>
    <n v="0"/>
    <n v="14826.43302"/>
    <n v="0"/>
    <n v="309400"/>
    <n v="64300"/>
    <n v="373700"/>
    <n v="-2.1361815754339119E-3"/>
    <n v="0.99970000000000003"/>
    <n v="0.99819999999999998"/>
    <n v="0.997"/>
    <n v="1.0007999999999999"/>
    <n v="0.99080000000000001"/>
    <n v="0.94971499999999998"/>
    <n v="0.93721518350211364"/>
    <n v="301100"/>
    <n v="0"/>
    <n v="301100"/>
    <n v="61100"/>
    <n v="362200"/>
    <n v="-4.0165763468281795E-2"/>
    <n v="4.9342105263157892E-3"/>
    <n v="-3.2843791722296393E-2"/>
  </r>
  <r>
    <n v="2025"/>
    <s v="20120633460    "/>
    <n v="-1.8325814637483102"/>
    <n v="0.16"/>
    <n v="7093"/>
    <s v="2"/>
    <s v="RES"/>
    <s v="MX"/>
    <s v="11"/>
    <s v="259"/>
    <s v="CP"/>
    <x v="4"/>
    <s v="GD"/>
    <n v="10"/>
    <n v="14"/>
    <n v="14"/>
    <n v="2010"/>
    <n v="2010"/>
    <n v="1540"/>
    <m/>
    <m/>
    <m/>
    <m/>
    <n v="0"/>
    <n v="1540"/>
    <n v="2000"/>
    <s v="N"/>
    <m/>
    <n v="420"/>
    <m/>
    <m/>
    <m/>
    <m/>
    <m/>
    <n v="305088"/>
    <n v="283732"/>
    <n v="0"/>
    <n v="0"/>
    <n v="60800"/>
    <n v="313700"/>
    <n v="374500"/>
    <n v="132535.48800000001"/>
    <n v="88356.992000000013"/>
    <n v="-24051.387388882686"/>
    <n v="37154.252388000001"/>
    <n v="30300.329274"/>
    <n v="-1522.3754000000001"/>
    <n v="96111.98520000001"/>
    <n v="0"/>
    <n v="0"/>
    <n v="14826.43302"/>
    <n v="0"/>
    <n v="309400"/>
    <n v="64300"/>
    <n v="373700"/>
    <n v="-2.1361815754339119E-3"/>
    <n v="0.99970000000000003"/>
    <n v="0.99819999999999998"/>
    <n v="0.997"/>
    <n v="1.0007999999999999"/>
    <n v="0.99080000000000001"/>
    <n v="0.94971499999999998"/>
    <n v="0.93721518350211364"/>
    <n v="301100"/>
    <n v="0"/>
    <n v="301100"/>
    <n v="61100"/>
    <n v="362200"/>
    <n v="-4.0165763468281795E-2"/>
    <n v="4.9342105263157892E-3"/>
    <n v="-3.2843791722296393E-2"/>
  </r>
  <r>
    <n v="2025"/>
    <s v="19120113498    "/>
    <n v="-1.8325814637483102"/>
    <n v="0.16"/>
    <n v="7061"/>
    <s v="2"/>
    <s v="RES"/>
    <s v="MX"/>
    <s v="11"/>
    <s v="259"/>
    <s v="RN"/>
    <x v="4"/>
    <s v="VG"/>
    <n v="10"/>
    <n v="18"/>
    <n v="18"/>
    <n v="2006"/>
    <n v="2006"/>
    <n v="1380"/>
    <m/>
    <m/>
    <m/>
    <m/>
    <n v="0"/>
    <n v="1380"/>
    <n v="1500"/>
    <s v="N"/>
    <m/>
    <n v="428"/>
    <m/>
    <m/>
    <m/>
    <m/>
    <m/>
    <n v="284968"/>
    <n v="262171"/>
    <n v="0"/>
    <n v="0"/>
    <n v="60800"/>
    <n v="323700"/>
    <n v="384500"/>
    <n v="132535.48800000001"/>
    <n v="88356.992000000013"/>
    <n v="-24051.387388882686"/>
    <n v="37154.252388000001"/>
    <n v="50438.379078999998"/>
    <n v="-1957.3398"/>
    <n v="86126.324399999998"/>
    <n v="0"/>
    <n v="0"/>
    <n v="15108.841268"/>
    <n v="0"/>
    <n v="319400"/>
    <n v="64300"/>
    <n v="383700"/>
    <n v="-2.0806241872561768E-3"/>
    <n v="0.99970000000000003"/>
    <n v="0.99819999999999998"/>
    <n v="1.0007999999999999"/>
    <n v="0.99519999999999997"/>
    <n v="0.99080000000000001"/>
    <n v="0.94971499999999998"/>
    <n v="0.93552311998124726"/>
    <n v="310900"/>
    <n v="0"/>
    <n v="310900"/>
    <n v="61100"/>
    <n v="372000"/>
    <n v="-3.9542786530738339E-2"/>
    <n v="4.9342105263157892E-3"/>
    <n v="-3.2509752925877766E-2"/>
  </r>
  <r>
    <n v="2025"/>
    <s v="20120633465    "/>
    <n v="-1.8325814637483102"/>
    <n v="0.16"/>
    <n v="7099"/>
    <s v="2"/>
    <s v="RES"/>
    <s v="MX"/>
    <s v="11"/>
    <s v="259"/>
    <s v="CP"/>
    <x v="4"/>
    <s v="GD"/>
    <n v="10"/>
    <n v="15"/>
    <n v="15"/>
    <n v="2009"/>
    <n v="2009"/>
    <n v="1540"/>
    <m/>
    <m/>
    <m/>
    <m/>
    <n v="0"/>
    <n v="1540"/>
    <n v="2000"/>
    <s v="N"/>
    <m/>
    <n v="420"/>
    <m/>
    <m/>
    <m/>
    <m/>
    <m/>
    <n v="305088"/>
    <n v="283732"/>
    <n v="0"/>
    <n v="0"/>
    <n v="60800"/>
    <n v="312800"/>
    <n v="373600"/>
    <n v="132535.48800000001"/>
    <n v="88356.992000000013"/>
    <n v="-24051.387388882686"/>
    <n v="37154.252388000001"/>
    <n v="30300.329274"/>
    <n v="-1631.1165000000001"/>
    <n v="96111.98520000001"/>
    <n v="0"/>
    <n v="0"/>
    <n v="14826.43302"/>
    <n v="0"/>
    <n v="309300"/>
    <n v="64300"/>
    <n v="373600"/>
    <n v="0"/>
    <n v="0.99970000000000003"/>
    <n v="0.99819999999999998"/>
    <n v="0.997"/>
    <n v="1.0007999999999999"/>
    <n v="0.99080000000000001"/>
    <n v="0.94971499999999998"/>
    <n v="0.93721518350211364"/>
    <n v="301000"/>
    <n v="0"/>
    <n v="301000"/>
    <n v="61100"/>
    <n v="362100"/>
    <n v="-3.7723785166240406E-2"/>
    <n v="4.9342105263157892E-3"/>
    <n v="-3.0781584582441113E-2"/>
  </r>
  <r>
    <n v="2025"/>
    <s v="20120633442    "/>
    <n v="-1.8325814637483102"/>
    <n v="0.16"/>
    <n v="7100"/>
    <s v="2"/>
    <s v="RES"/>
    <s v="MX"/>
    <s v="11"/>
    <s v="259"/>
    <s v="RN"/>
    <x v="4"/>
    <s v="GD"/>
    <n v="10"/>
    <n v="15"/>
    <n v="15"/>
    <n v="2009"/>
    <n v="2009"/>
    <n v="1540"/>
    <m/>
    <m/>
    <m/>
    <m/>
    <n v="0"/>
    <n v="1540"/>
    <n v="2000"/>
    <s v="N"/>
    <m/>
    <n v="420"/>
    <m/>
    <m/>
    <m/>
    <m/>
    <m/>
    <n v="305088"/>
    <n v="283732"/>
    <n v="0"/>
    <n v="0"/>
    <n v="60800"/>
    <n v="312800"/>
    <n v="373600"/>
    <n v="132535.48800000001"/>
    <n v="88356.992000000013"/>
    <n v="-24051.387388882686"/>
    <n v="37154.252388000001"/>
    <n v="30300.329274"/>
    <n v="-1631.1165000000001"/>
    <n v="96111.98520000001"/>
    <n v="0"/>
    <n v="0"/>
    <n v="14826.43302"/>
    <n v="0"/>
    <n v="309300"/>
    <n v="64300"/>
    <n v="373600"/>
    <n v="0"/>
    <n v="0.99970000000000003"/>
    <n v="0.99819999999999998"/>
    <n v="0.997"/>
    <n v="1.0007999999999999"/>
    <n v="0.99080000000000001"/>
    <n v="0.94971499999999998"/>
    <n v="0.93721518350211364"/>
    <n v="301000"/>
    <n v="0"/>
    <n v="301000"/>
    <n v="61100"/>
    <n v="362100"/>
    <n v="-3.7723785166240406E-2"/>
    <n v="4.9342105263157892E-3"/>
    <n v="-3.0781584582441113E-2"/>
  </r>
  <r>
    <n v="2025"/>
    <s v="19120112435    "/>
    <n v="-1.8325814637483102"/>
    <n v="0.16"/>
    <n v="6989"/>
    <s v="2"/>
    <s v="RES"/>
    <s v="MX"/>
    <s v="11"/>
    <s v="259"/>
    <s v="CO"/>
    <x v="5"/>
    <s v="GD"/>
    <n v="10"/>
    <n v="17"/>
    <n v="17"/>
    <n v="2007"/>
    <n v="2007"/>
    <n v="1374"/>
    <n v="1344"/>
    <m/>
    <m/>
    <m/>
    <n v="0"/>
    <n v="2718"/>
    <n v="3000"/>
    <s v="N"/>
    <m/>
    <n v="240"/>
    <n v="502"/>
    <m/>
    <m/>
    <m/>
    <m/>
    <n v="550286"/>
    <n v="506263"/>
    <n v="0"/>
    <n v="0"/>
    <n v="60800"/>
    <n v="375200"/>
    <n v="436000"/>
    <n v="132535.48800000001"/>
    <n v="88356.992000000013"/>
    <n v="-24051.387388882686"/>
    <n v="32917.849192000001"/>
    <n v="30300.329274"/>
    <n v="-1848.5987"/>
    <n v="85751.862120000005"/>
    <n v="80076.034751999992"/>
    <n v="0"/>
    <n v="8472.247440000001"/>
    <n v="0"/>
    <n v="368200"/>
    <n v="64300"/>
    <n v="432500"/>
    <n v="-8.027522935779817E-3"/>
    <n v="0.99970000000000003"/>
    <n v="1.0019"/>
    <n v="0.997"/>
    <n v="1.0099"/>
    <n v="0.99080000000000001"/>
    <n v="0.94971499999999998"/>
    <n v="0.94924256115548389"/>
    <n v="361500"/>
    <n v="0"/>
    <n v="361500"/>
    <n v="61100"/>
    <n v="422600"/>
    <n v="-3.6513859275053302E-2"/>
    <n v="4.9342105263157892E-3"/>
    <n v="-3.0733944954128442E-2"/>
  </r>
  <r>
    <n v="2025"/>
    <s v="19120144426    "/>
    <n v="-1.8325814637483102"/>
    <n v="0.16"/>
    <n v="7000"/>
    <s v="2"/>
    <s v="RES"/>
    <s v="MX"/>
    <s v="11"/>
    <s v="259"/>
    <s v="CO"/>
    <x v="5"/>
    <s v="GD"/>
    <n v="20"/>
    <n v="20"/>
    <n v="20"/>
    <n v="2004"/>
    <n v="2004"/>
    <n v="1158"/>
    <n v="1322"/>
    <m/>
    <m/>
    <m/>
    <n v="0"/>
    <n v="2480"/>
    <n v="2500"/>
    <s v="N"/>
    <n v="1"/>
    <n v="300"/>
    <n v="502"/>
    <m/>
    <m/>
    <m/>
    <m/>
    <n v="511705"/>
    <n v="465652"/>
    <n v="0"/>
    <n v="0"/>
    <n v="60800"/>
    <n v="363300"/>
    <n v="424100"/>
    <n v="132535.48800000001"/>
    <n v="88356.992000000013"/>
    <n v="-24051.387388882686"/>
    <n v="32917.849192000001"/>
    <n v="30300.329274"/>
    <n v="-2174.8220000000001"/>
    <n v="72271.22004"/>
    <n v="78765.266325999997"/>
    <n v="0"/>
    <n v="10590.309300000001"/>
    <n v="0"/>
    <n v="355200"/>
    <n v="64300"/>
    <n v="419500"/>
    <n v="-1.0846498467342609E-2"/>
    <n v="0.99970000000000003"/>
    <n v="1.0019"/>
    <n v="0.997"/>
    <n v="1.0008999999999999"/>
    <n v="1.0138"/>
    <n v="0.94971499999999998"/>
    <n v="0.96262205657438948"/>
    <n v="350300"/>
    <n v="0"/>
    <n v="350300"/>
    <n v="61100"/>
    <n v="411400"/>
    <n v="-3.5783099366914393E-2"/>
    <n v="4.9342105263157892E-3"/>
    <n v="-2.9945767507663288E-2"/>
  </r>
  <r>
    <n v="2025"/>
    <s v="19120141548    "/>
    <n v="-1.8325814637483102"/>
    <n v="0.16"/>
    <n v="7164"/>
    <s v="2"/>
    <s v="RES"/>
    <s v="MX"/>
    <s v="11"/>
    <s v="259"/>
    <s v="CO"/>
    <x v="5"/>
    <s v="GD"/>
    <n v="20"/>
    <n v="20"/>
    <n v="20"/>
    <n v="2004"/>
    <n v="2004"/>
    <n v="1158"/>
    <n v="1322"/>
    <m/>
    <m/>
    <m/>
    <n v="0"/>
    <n v="2480"/>
    <n v="2500"/>
    <s v="N"/>
    <n v="1"/>
    <n v="300"/>
    <n v="502"/>
    <m/>
    <m/>
    <m/>
    <m/>
    <n v="513077"/>
    <n v="466900"/>
    <n v="0"/>
    <n v="0"/>
    <n v="60800"/>
    <n v="363300"/>
    <n v="424100"/>
    <n v="132535.48800000001"/>
    <n v="88356.992000000013"/>
    <n v="-24051.387388882686"/>
    <n v="32917.849192000001"/>
    <n v="30300.329274"/>
    <n v="-2174.8220000000001"/>
    <n v="72271.22004"/>
    <n v="78765.266325999997"/>
    <n v="0"/>
    <n v="10590.309300000001"/>
    <n v="0"/>
    <n v="355200"/>
    <n v="64300"/>
    <n v="419500"/>
    <n v="-1.0846498467342609E-2"/>
    <n v="0.99970000000000003"/>
    <n v="1.0019"/>
    <n v="0.997"/>
    <n v="1.0008999999999999"/>
    <n v="1.0138"/>
    <n v="0.94971499999999998"/>
    <n v="0.96262205657438948"/>
    <n v="350300"/>
    <n v="0"/>
    <n v="350300"/>
    <n v="61100"/>
    <n v="411400"/>
    <n v="-3.5783099366914393E-2"/>
    <n v="4.9342105263157892E-3"/>
    <n v="-2.9945767507663288E-2"/>
  </r>
  <r>
    <n v="2025"/>
    <s v="20120634408    "/>
    <n v="-1.8325814637483102"/>
    <n v="0.16"/>
    <n v="7001"/>
    <s v="2"/>
    <s v="RES"/>
    <s v="MX"/>
    <s v="11"/>
    <s v="259"/>
    <s v="CP"/>
    <x v="4"/>
    <s v="VG"/>
    <n v="0"/>
    <n v="9"/>
    <n v="9"/>
    <n v="2015"/>
    <n v="2015"/>
    <n v="1126"/>
    <n v="1126"/>
    <m/>
    <m/>
    <m/>
    <n v="0"/>
    <n v="2252"/>
    <n v="2500"/>
    <s v="N"/>
    <m/>
    <n v="440"/>
    <m/>
    <m/>
    <m/>
    <m/>
    <m/>
    <n v="397114"/>
    <n v="381229"/>
    <n v="0"/>
    <n v="0"/>
    <n v="60800"/>
    <n v="378900"/>
    <n v="439700"/>
    <n v="132535.48800000001"/>
    <n v="88356.992000000013"/>
    <n v="-24051.387388882686"/>
    <n v="37154.252388000001"/>
    <n v="50438.379078999998"/>
    <n v="-978.66989999999998"/>
    <n v="70274.087880000006"/>
    <n v="67087.511257999999"/>
    <n v="0"/>
    <n v="15532.453640000002"/>
    <n v="0"/>
    <n v="372000"/>
    <n v="64300"/>
    <n v="436300"/>
    <n v="-7.7325449169888564E-3"/>
    <n v="0.99970000000000003"/>
    <n v="0.99819999999999998"/>
    <n v="1.0007999999999999"/>
    <n v="1.0008999999999999"/>
    <n v="1.0022"/>
    <n v="0.94971499999999998"/>
    <n v="0.95170696410692857"/>
    <n v="365600"/>
    <n v="0"/>
    <n v="365600"/>
    <n v="61100"/>
    <n v="426700"/>
    <n v="-3.5101609923462652E-2"/>
    <n v="4.9342105263157892E-3"/>
    <n v="-2.9565612917898568E-2"/>
  </r>
  <r>
    <n v="2025"/>
    <s v="19120113566    "/>
    <n v="-1.8325814637483102"/>
    <n v="0.16"/>
    <n v="7033"/>
    <s v="2"/>
    <s v="RES"/>
    <s v="MX"/>
    <s v="11"/>
    <s v="259"/>
    <s v="CO"/>
    <x v="5"/>
    <s v="VG"/>
    <n v="10"/>
    <n v="16"/>
    <n v="16"/>
    <n v="2008"/>
    <n v="2008"/>
    <n v="1132"/>
    <n v="1252"/>
    <m/>
    <m/>
    <m/>
    <n v="0"/>
    <n v="2384"/>
    <n v="2500"/>
    <s v="N"/>
    <n v="1"/>
    <m/>
    <n v="528"/>
    <m/>
    <m/>
    <m/>
    <m/>
    <n v="468709"/>
    <n v="435899"/>
    <n v="0"/>
    <n v="0"/>
    <n v="60800"/>
    <n v="364700"/>
    <n v="425500"/>
    <n v="132535.48800000001"/>
    <n v="88356.992000000013"/>
    <n v="-24051.387388882686"/>
    <n v="32917.849192000001"/>
    <n v="50438.379078999998"/>
    <n v="-1739.8576"/>
    <n v="70648.550159999999"/>
    <n v="74594.639515999996"/>
    <n v="0"/>
    <n v="0"/>
    <n v="0"/>
    <n v="359400"/>
    <n v="64300"/>
    <n v="423700"/>
    <n v="-4.2303172737955348E-3"/>
    <n v="0.99970000000000003"/>
    <n v="1.0019"/>
    <n v="1.0007999999999999"/>
    <n v="1.0008999999999999"/>
    <n v="0.99080000000000001"/>
    <n v="0.94971499999999998"/>
    <n v="0.94436885958806405"/>
    <n v="352000"/>
    <n v="0"/>
    <n v="352000"/>
    <n v="61100"/>
    <n v="413100"/>
    <n v="-3.4823142308746918E-2"/>
    <n v="4.9342105263157892E-3"/>
    <n v="-2.9142185663924795E-2"/>
  </r>
  <r>
    <n v="2025"/>
    <s v="19120113458    "/>
    <n v="-1.8325814637483102"/>
    <n v="0.16"/>
    <n v="7028"/>
    <s v="2"/>
    <s v="RES"/>
    <s v="MX"/>
    <s v="11"/>
    <s v="259"/>
    <s v="CO"/>
    <x v="5"/>
    <s v="GD"/>
    <n v="10"/>
    <n v="18"/>
    <n v="18"/>
    <n v="2006"/>
    <n v="2006"/>
    <n v="1374"/>
    <n v="1332"/>
    <m/>
    <m/>
    <m/>
    <n v="0"/>
    <n v="2706"/>
    <n v="3000"/>
    <s v="N"/>
    <m/>
    <n v="240"/>
    <n v="502"/>
    <m/>
    <m/>
    <m/>
    <m/>
    <n v="536435"/>
    <n v="488156"/>
    <n v="0"/>
    <n v="0"/>
    <n v="60800"/>
    <n v="373600"/>
    <n v="434400"/>
    <n v="132535.48800000001"/>
    <n v="88356.992000000013"/>
    <n v="-24051.387388882686"/>
    <n v="32917.849192000001"/>
    <n v="30300.329274"/>
    <n v="-1957.3398"/>
    <n v="85751.862120000005"/>
    <n v="79361.070156000002"/>
    <n v="0"/>
    <n v="8472.247440000001"/>
    <n v="0"/>
    <n v="367400"/>
    <n v="64300"/>
    <n v="431700"/>
    <n v="-6.2154696132596682E-3"/>
    <n v="0.99970000000000003"/>
    <n v="1.0019"/>
    <n v="0.997"/>
    <n v="1.0099"/>
    <n v="0.99080000000000001"/>
    <n v="0.94971499999999998"/>
    <n v="0.94924256115548389"/>
    <n v="360700"/>
    <n v="0"/>
    <n v="360700"/>
    <n v="61100"/>
    <n v="421800"/>
    <n v="-3.4528907922912203E-2"/>
    <n v="4.9342105263157892E-3"/>
    <n v="-2.9005524861878452E-2"/>
  </r>
  <r>
    <n v="2025"/>
    <s v="20120634403    "/>
    <n v="-1.8325814637483102"/>
    <n v="0.16"/>
    <n v="7138"/>
    <s v="2"/>
    <s v="RES"/>
    <s v="MX"/>
    <s v="11"/>
    <s v="259"/>
    <s v="CP"/>
    <x v="4"/>
    <s v="VG"/>
    <n v="0"/>
    <n v="9"/>
    <n v="9"/>
    <n v="2015"/>
    <n v="2015"/>
    <n v="1126"/>
    <n v="1126"/>
    <m/>
    <m/>
    <m/>
    <n v="0"/>
    <n v="2252"/>
    <n v="2500"/>
    <s v="N"/>
    <m/>
    <n v="680"/>
    <m/>
    <m/>
    <m/>
    <m/>
    <m/>
    <n v="405060"/>
    <n v="388858"/>
    <n v="0"/>
    <n v="0"/>
    <n v="60800"/>
    <n v="387400"/>
    <n v="448200"/>
    <n v="132535.48800000001"/>
    <n v="88356.992000000013"/>
    <n v="-24051.387388882686"/>
    <n v="37154.252388000001"/>
    <n v="50438.379078999998"/>
    <n v="-978.66989999999998"/>
    <n v="70274.087880000006"/>
    <n v="67087.511257999999"/>
    <n v="0"/>
    <n v="24004.701080000003"/>
    <n v="0"/>
    <n v="380500"/>
    <n v="64300"/>
    <n v="444800"/>
    <n v="-7.5858991521642128E-3"/>
    <n v="0.99970000000000003"/>
    <n v="0.99819999999999998"/>
    <n v="1.0007999999999999"/>
    <n v="1.0008999999999999"/>
    <n v="1.0022"/>
    <n v="0.94971499999999998"/>
    <n v="0.95170696410692857"/>
    <n v="374100"/>
    <n v="0"/>
    <n v="374100"/>
    <n v="61100"/>
    <n v="435200"/>
    <n v="-3.4331440371708828E-2"/>
    <n v="4.9342105263157892E-3"/>
    <n v="-2.9004908522980811E-2"/>
  </r>
  <r>
    <n v="2025"/>
    <s v="19120112441    "/>
    <n v="-1.8325814637483102"/>
    <n v="0.16"/>
    <n v="7032"/>
    <s v="2"/>
    <s v="RES"/>
    <s v="MX"/>
    <s v="11"/>
    <s v="259"/>
    <s v="CO"/>
    <x v="5"/>
    <s v="VG"/>
    <n v="10"/>
    <n v="17"/>
    <n v="17"/>
    <n v="2007"/>
    <n v="2007"/>
    <n v="1116"/>
    <n v="1116"/>
    <m/>
    <m/>
    <m/>
    <n v="0"/>
    <n v="2232"/>
    <n v="2500"/>
    <s v="N"/>
    <m/>
    <n v="440"/>
    <m/>
    <m/>
    <m/>
    <m/>
    <m/>
    <n v="456063"/>
    <n v="424139"/>
    <n v="0"/>
    <n v="0"/>
    <n v="60800"/>
    <n v="370200"/>
    <n v="431000"/>
    <n v="132535.48800000001"/>
    <n v="88356.992000000013"/>
    <n v="-24051.387388882686"/>
    <n v="32917.849192000001"/>
    <n v="50438.379078999998"/>
    <n v="-1848.5987"/>
    <n v="69649.984080000009"/>
    <n v="66491.707427999994"/>
    <n v="0"/>
    <n v="15532.453640000002"/>
    <n v="0"/>
    <n v="365700"/>
    <n v="64300"/>
    <n v="430000"/>
    <n v="-2.3201856148491878E-3"/>
    <n v="0.99970000000000003"/>
    <n v="1.0019"/>
    <n v="1.0007999999999999"/>
    <n v="1.0008999999999999"/>
    <n v="0.99080000000000001"/>
    <n v="0.94971499999999998"/>
    <n v="0.94436885958806405"/>
    <n v="358300"/>
    <n v="0"/>
    <n v="358300"/>
    <n v="61100"/>
    <n v="419400"/>
    <n v="-3.2144786601836846E-2"/>
    <n v="4.9342105263157892E-3"/>
    <n v="-2.6914153132250582E-2"/>
  </r>
  <r>
    <n v="2025"/>
    <s v="20120633463    "/>
    <n v="-1.8325814637483102"/>
    <n v="0.16"/>
    <n v="7097"/>
    <s v="2"/>
    <s v="RES"/>
    <s v="MX"/>
    <s v="11"/>
    <s v="259"/>
    <s v="CP"/>
    <x v="4"/>
    <s v="VG"/>
    <n v="10"/>
    <n v="13"/>
    <n v="13"/>
    <n v="2011"/>
    <n v="2011"/>
    <n v="1126"/>
    <n v="1260"/>
    <m/>
    <m/>
    <m/>
    <n v="0"/>
    <n v="2386"/>
    <n v="2500"/>
    <s v="N"/>
    <n v="1"/>
    <n v="714"/>
    <m/>
    <m/>
    <m/>
    <m/>
    <m/>
    <n v="432008"/>
    <n v="410408"/>
    <n v="0"/>
    <n v="0"/>
    <n v="60800"/>
    <n v="393500"/>
    <n v="454300"/>
    <n v="132535.48800000001"/>
    <n v="88356.992000000013"/>
    <n v="-24051.387388882686"/>
    <n v="37154.252388000001"/>
    <n v="50438.379078999998"/>
    <n v="-1413.6342999999999"/>
    <n v="70274.087880000006"/>
    <n v="75071.282579999999"/>
    <n v="0"/>
    <n v="25204.936134"/>
    <n v="0"/>
    <n v="389300"/>
    <n v="64300"/>
    <n v="453600"/>
    <n v="-1.5408320493066256E-3"/>
    <n v="0.99970000000000003"/>
    <n v="0.99819999999999998"/>
    <n v="1.0007999999999999"/>
    <n v="1.0008999999999999"/>
    <n v="0.99080000000000001"/>
    <n v="0.94971499999999998"/>
    <n v="0.94088132113065737"/>
    <n v="381400"/>
    <n v="0"/>
    <n v="381400"/>
    <n v="61100"/>
    <n v="442500"/>
    <n v="-3.0749682337992378E-2"/>
    <n v="4.9342105263157892E-3"/>
    <n v="-2.5974025974025976E-2"/>
  </r>
  <r>
    <n v="2025"/>
    <s v="19120144470    "/>
    <n v="-1.8325814637483102"/>
    <n v="0.16"/>
    <n v="7032"/>
    <s v="2"/>
    <s v="RES"/>
    <s v="MX"/>
    <s v="11"/>
    <s v="259"/>
    <s v="CO"/>
    <x v="5"/>
    <s v="GD"/>
    <n v="20"/>
    <n v="20"/>
    <n v="20"/>
    <n v="2004"/>
    <n v="2004"/>
    <n v="1158"/>
    <n v="1322"/>
    <m/>
    <m/>
    <m/>
    <n v="0"/>
    <n v="2480"/>
    <n v="2500"/>
    <s v="N"/>
    <n v="1"/>
    <m/>
    <n v="502"/>
    <m/>
    <m/>
    <m/>
    <m/>
    <n v="481791"/>
    <n v="438430"/>
    <n v="0"/>
    <n v="0"/>
    <n v="60800"/>
    <n v="350400"/>
    <n v="411200"/>
    <n v="132535.48800000001"/>
    <n v="88356.992000000013"/>
    <n v="-24051.387388882686"/>
    <n v="32917.849192000001"/>
    <n v="30300.329274"/>
    <n v="-2174.8220000000001"/>
    <n v="72271.22004"/>
    <n v="78765.266325999997"/>
    <n v="0"/>
    <n v="0"/>
    <n v="0"/>
    <n v="344600"/>
    <n v="64300"/>
    <n v="408900"/>
    <n v="-5.5933852140077822E-3"/>
    <n v="0.99970000000000003"/>
    <n v="1.0019"/>
    <n v="0.997"/>
    <n v="1.0008999999999999"/>
    <n v="1.0138"/>
    <n v="0.94971499999999998"/>
    <n v="0.96262205657438948"/>
    <n v="339700"/>
    <n v="0"/>
    <n v="339700"/>
    <n v="61100"/>
    <n v="400800"/>
    <n v="-3.0536529680365295E-2"/>
    <n v="4.9342105263157892E-3"/>
    <n v="-2.5291828793774319E-2"/>
  </r>
  <r>
    <n v="2025"/>
    <s v="19120144555    "/>
    <n v="-1.8325814637483102"/>
    <n v="0.16"/>
    <n v="7150"/>
    <s v="2"/>
    <s v="RES"/>
    <s v="MX"/>
    <s v="11"/>
    <s v="259"/>
    <s v="CO"/>
    <x v="5"/>
    <s v="GD"/>
    <n v="20"/>
    <n v="20"/>
    <n v="20"/>
    <n v="2004"/>
    <n v="2004"/>
    <n v="1158"/>
    <n v="1322"/>
    <m/>
    <m/>
    <m/>
    <n v="0"/>
    <n v="2480"/>
    <n v="2500"/>
    <s v="N"/>
    <m/>
    <m/>
    <n v="502"/>
    <m/>
    <m/>
    <m/>
    <m/>
    <n v="476396"/>
    <n v="433520"/>
    <n v="0"/>
    <n v="0"/>
    <n v="60800"/>
    <n v="350400"/>
    <n v="411200"/>
    <n v="132535.48800000001"/>
    <n v="88356.992000000013"/>
    <n v="-24051.387388882686"/>
    <n v="32917.849192000001"/>
    <n v="30300.329274"/>
    <n v="-2174.8220000000001"/>
    <n v="72271.22004"/>
    <n v="78765.266325999997"/>
    <n v="0"/>
    <n v="0"/>
    <n v="0"/>
    <n v="344600"/>
    <n v="64300"/>
    <n v="408900"/>
    <n v="-5.5933852140077822E-3"/>
    <n v="0.99970000000000003"/>
    <n v="1.0019"/>
    <n v="0.997"/>
    <n v="1.0008999999999999"/>
    <n v="1.0138"/>
    <n v="0.94971499999999998"/>
    <n v="0.96262205657438948"/>
    <n v="339700"/>
    <n v="0"/>
    <n v="339700"/>
    <n v="61100"/>
    <n v="400800"/>
    <n v="-3.0536529680365295E-2"/>
    <n v="4.9342105263157892E-3"/>
    <n v="-2.5291828793774319E-2"/>
  </r>
  <r>
    <n v="2025"/>
    <s v="20120633426    "/>
    <n v="-1.8325814637483102"/>
    <n v="0.16"/>
    <n v="7007"/>
    <s v="2"/>
    <s v="RES"/>
    <s v="MX"/>
    <s v="11"/>
    <s v="259"/>
    <s v="RN"/>
    <x v="4"/>
    <s v="GD"/>
    <n v="10"/>
    <n v="14"/>
    <n v="14"/>
    <n v="2010"/>
    <n v="2010"/>
    <n v="1124"/>
    <m/>
    <m/>
    <m/>
    <m/>
    <n v="0"/>
    <n v="1124"/>
    <n v="1500"/>
    <s v="N"/>
    <m/>
    <n v="452"/>
    <m/>
    <m/>
    <m/>
    <m/>
    <m/>
    <n v="238780"/>
    <n v="222065"/>
    <n v="0"/>
    <n v="0"/>
    <n v="60800"/>
    <n v="284500"/>
    <n v="345300"/>
    <n v="132535.48800000001"/>
    <n v="88356.992000000013"/>
    <n v="-24051.387388882686"/>
    <n v="37154.252388000001"/>
    <n v="30300.329274"/>
    <n v="-1522.3754000000001"/>
    <n v="70149.267120000004"/>
    <n v="0"/>
    <n v="0"/>
    <n v="15956.066012000001"/>
    <n v="0"/>
    <n v="284600"/>
    <n v="64300"/>
    <n v="348900"/>
    <n v="1.0425716768027803E-2"/>
    <n v="0.99970000000000003"/>
    <n v="0.99819999999999998"/>
    <n v="0.997"/>
    <n v="0.99519999999999997"/>
    <n v="0.99080000000000001"/>
    <n v="0.94971499999999998"/>
    <n v="0.93197097384222971"/>
    <n v="275600"/>
    <n v="0"/>
    <n v="275600"/>
    <n v="61100"/>
    <n v="336700"/>
    <n v="-3.1282952548330405E-2"/>
    <n v="4.9342105263157892E-3"/>
    <n v="-2.4905878945844194E-2"/>
  </r>
  <r>
    <n v="2025"/>
    <s v="19120141418    "/>
    <n v="-1.8325814637483102"/>
    <n v="0.16"/>
    <n v="6954"/>
    <s v="2"/>
    <s v="RES"/>
    <s v="MX"/>
    <s v="11"/>
    <s v="259"/>
    <s v="RN"/>
    <x v="4"/>
    <s v="VG"/>
    <n v="10"/>
    <n v="19"/>
    <n v="19"/>
    <n v="2005"/>
    <n v="2005"/>
    <n v="1380"/>
    <m/>
    <m/>
    <m/>
    <m/>
    <n v="0"/>
    <n v="1380"/>
    <n v="1500"/>
    <s v="N"/>
    <m/>
    <n v="428"/>
    <m/>
    <m/>
    <m/>
    <m/>
    <m/>
    <n v="283625"/>
    <n v="258099"/>
    <n v="0"/>
    <n v="0"/>
    <n v="60800"/>
    <n v="320500"/>
    <n v="381300"/>
    <n v="132535.48800000001"/>
    <n v="88356.992000000013"/>
    <n v="-24051.387388882686"/>
    <n v="37154.252388000001"/>
    <n v="50438.379078999998"/>
    <n v="-2066.0808999999999"/>
    <n v="86126.324399999998"/>
    <n v="0"/>
    <n v="0"/>
    <n v="15108.841268"/>
    <n v="0"/>
    <n v="319300"/>
    <n v="64300"/>
    <n v="383600"/>
    <n v="6.031995803829006E-3"/>
    <n v="0.99970000000000003"/>
    <n v="0.99819999999999998"/>
    <n v="1.0007999999999999"/>
    <n v="0.99519999999999997"/>
    <n v="0.99080000000000001"/>
    <n v="0.94971499999999998"/>
    <n v="0.93552311998124726"/>
    <n v="310800"/>
    <n v="0"/>
    <n v="310800"/>
    <n v="61100"/>
    <n v="371900"/>
    <n v="-3.0265210608424336E-2"/>
    <n v="4.9342105263157892E-3"/>
    <n v="-2.4652504589562026E-2"/>
  </r>
  <r>
    <n v="2025"/>
    <s v="20120633420    "/>
    <n v="-1.8325814637483102"/>
    <n v="0.16"/>
    <n v="7001"/>
    <s v="2"/>
    <s v="RES"/>
    <s v="MX"/>
    <s v="11"/>
    <s v="259"/>
    <s v="RN"/>
    <x v="4"/>
    <s v="GD"/>
    <n v="10"/>
    <n v="14"/>
    <n v="14"/>
    <n v="2010"/>
    <n v="2010"/>
    <n v="1140"/>
    <m/>
    <m/>
    <m/>
    <m/>
    <n v="0"/>
    <n v="1140"/>
    <n v="1500"/>
    <s v="N"/>
    <m/>
    <n v="436"/>
    <m/>
    <m/>
    <m/>
    <m/>
    <m/>
    <n v="240495"/>
    <n v="223660"/>
    <n v="0"/>
    <n v="0"/>
    <n v="60800"/>
    <n v="284600"/>
    <n v="345400"/>
    <n v="132535.48800000001"/>
    <n v="88356.992000000013"/>
    <n v="-24051.387388882686"/>
    <n v="37154.252388000001"/>
    <n v="30300.329274"/>
    <n v="-1522.3754000000001"/>
    <n v="71147.833200000008"/>
    <n v="0"/>
    <n v="0"/>
    <n v="15391.249516000002"/>
    <n v="0"/>
    <n v="285000"/>
    <n v="64300"/>
    <n v="349300"/>
    <n v="1.129125651418645E-2"/>
    <n v="0.99970000000000003"/>
    <n v="0.99819999999999998"/>
    <n v="0.997"/>
    <n v="0.99519999999999997"/>
    <n v="0.99080000000000001"/>
    <n v="0.94971499999999998"/>
    <n v="0.93197097384222971"/>
    <n v="276000"/>
    <n v="0"/>
    <n v="276000"/>
    <n v="61100"/>
    <n v="337100"/>
    <n v="-3.0217849613492623E-2"/>
    <n v="4.9342105263157892E-3"/>
    <n v="-2.4030110017371164E-2"/>
  </r>
  <r>
    <n v="2025"/>
    <s v="19120141525    "/>
    <n v="-1.8325814637483102"/>
    <n v="0.16"/>
    <n v="6972"/>
    <s v="2"/>
    <s v="RES"/>
    <s v="MX"/>
    <s v="11"/>
    <s v="259"/>
    <s v="CO"/>
    <x v="5"/>
    <s v="GD"/>
    <n v="10"/>
    <n v="19"/>
    <n v="19"/>
    <n v="2005"/>
    <n v="2005"/>
    <n v="1116"/>
    <n v="1116"/>
    <m/>
    <m/>
    <m/>
    <n v="0"/>
    <n v="2232"/>
    <n v="2500"/>
    <s v="N"/>
    <m/>
    <n v="440"/>
    <m/>
    <m/>
    <m/>
    <m/>
    <m/>
    <n v="447600"/>
    <n v="407316"/>
    <n v="0"/>
    <n v="0"/>
    <n v="60800"/>
    <n v="347400"/>
    <n v="408200"/>
    <n v="132535.48800000001"/>
    <n v="88356.992000000013"/>
    <n v="-24051.387388882686"/>
    <n v="32917.849192000001"/>
    <n v="30300.329274"/>
    <n v="-2066.0808999999999"/>
    <n v="69649.984080000009"/>
    <n v="66491.707427999994"/>
    <n v="0"/>
    <n v="15532.453640000002"/>
    <n v="0"/>
    <n v="345400"/>
    <n v="64300"/>
    <n v="409700"/>
    <n v="3.6746692797648213E-3"/>
    <n v="0.99970000000000003"/>
    <n v="1.0019"/>
    <n v="0.997"/>
    <n v="1.0008999999999999"/>
    <n v="0.99080000000000001"/>
    <n v="0.94971499999999998"/>
    <n v="0.94078312650809337"/>
    <n v="337500"/>
    <n v="0"/>
    <n v="337500"/>
    <n v="61100"/>
    <n v="398600"/>
    <n v="-2.8497409326424871E-2"/>
    <n v="4.9342105263157892E-3"/>
    <n v="-2.3517883390494855E-2"/>
  </r>
  <r>
    <n v="2025"/>
    <s v="19120113605    "/>
    <n v="-1.8325814637483102"/>
    <n v="0.16"/>
    <n v="7077"/>
    <s v="2"/>
    <s v="RES"/>
    <s v="MX"/>
    <s v="11"/>
    <s v="259"/>
    <s v="CO"/>
    <x v="5"/>
    <s v="VG"/>
    <n v="10"/>
    <n v="17"/>
    <n v="17"/>
    <n v="2007"/>
    <n v="2007"/>
    <n v="1348"/>
    <n v="1252"/>
    <m/>
    <m/>
    <m/>
    <n v="0"/>
    <n v="2600"/>
    <n v="3000"/>
    <s v="N"/>
    <m/>
    <n v="240"/>
    <n v="528"/>
    <m/>
    <m/>
    <m/>
    <m/>
    <n v="519237"/>
    <n v="482890"/>
    <n v="0"/>
    <n v="0"/>
    <n v="60800"/>
    <n v="385400"/>
    <n v="446200"/>
    <n v="132535.48800000001"/>
    <n v="88356.992000000013"/>
    <n v="-24051.387388882686"/>
    <n v="32917.849192000001"/>
    <n v="50438.379078999998"/>
    <n v="-1848.5987"/>
    <n v="84129.192240000004"/>
    <n v="74594.639515999996"/>
    <n v="0"/>
    <n v="8472.247440000001"/>
    <n v="0"/>
    <n v="381200"/>
    <n v="64300"/>
    <n v="445500"/>
    <n v="-1.5688032272523531E-3"/>
    <n v="0.99970000000000003"/>
    <n v="1.0019"/>
    <n v="1.0007999999999999"/>
    <n v="1.0099"/>
    <n v="0.99080000000000001"/>
    <n v="0.94971499999999998"/>
    <n v="0.95286053681485272"/>
    <n v="375000"/>
    <n v="0"/>
    <n v="375000"/>
    <n v="61100"/>
    <n v="436100"/>
    <n v="-2.6984950700570835E-2"/>
    <n v="4.9342105263157892E-3"/>
    <n v="-2.2635589421783953E-2"/>
  </r>
  <r>
    <n v="2025"/>
    <s v="19120113523    "/>
    <n v="-1.8325814637483102"/>
    <n v="0.16"/>
    <n v="7074"/>
    <s v="2"/>
    <s v="RES"/>
    <s v="MX"/>
    <s v="11"/>
    <s v="259"/>
    <s v="CO"/>
    <x v="5"/>
    <s v="VG"/>
    <n v="10"/>
    <n v="18"/>
    <n v="18"/>
    <n v="2006"/>
    <n v="2006"/>
    <n v="1158"/>
    <n v="1332"/>
    <m/>
    <m/>
    <m/>
    <n v="0"/>
    <n v="2490"/>
    <n v="2500"/>
    <s v="N"/>
    <m/>
    <m/>
    <n v="502"/>
    <m/>
    <m/>
    <m/>
    <m/>
    <n v="477884"/>
    <n v="439653"/>
    <n v="0"/>
    <n v="0"/>
    <n v="60800"/>
    <n v="368200"/>
    <n v="429000"/>
    <n v="132535.48800000001"/>
    <n v="88356.992000000013"/>
    <n v="-24051.387388882686"/>
    <n v="32917.849192000001"/>
    <n v="50438.379078999998"/>
    <n v="-1957.3398"/>
    <n v="72271.22004"/>
    <n v="79361.070156000002"/>
    <n v="0"/>
    <n v="0"/>
    <n v="0"/>
    <n v="365600"/>
    <n v="64300"/>
    <n v="429900"/>
    <n v="2.0979020979020979E-3"/>
    <n v="0.99970000000000003"/>
    <n v="1.0019"/>
    <n v="1.0007999999999999"/>
    <n v="1.0008999999999999"/>
    <n v="0.99080000000000001"/>
    <n v="0.94971499999999998"/>
    <n v="0.94436885958806405"/>
    <n v="358200"/>
    <n v="0"/>
    <n v="358200"/>
    <n v="61100"/>
    <n v="419300"/>
    <n v="-2.7159152634437807E-2"/>
    <n v="4.9342105263157892E-3"/>
    <n v="-2.2610722610722611E-2"/>
  </r>
  <r>
    <n v="2025"/>
    <s v="20120633450    "/>
    <n v="-1.8325814637483102"/>
    <n v="0.16"/>
    <n v="7100"/>
    <s v="2"/>
    <s v="RES"/>
    <s v="MX"/>
    <s v="11"/>
    <s v="259"/>
    <s v="RN"/>
    <x v="4"/>
    <s v="GD"/>
    <n v="10"/>
    <n v="15"/>
    <n v="15"/>
    <n v="2009"/>
    <n v="2009"/>
    <n v="1132"/>
    <m/>
    <m/>
    <m/>
    <m/>
    <n v="0"/>
    <n v="1132"/>
    <n v="1500"/>
    <s v="N"/>
    <m/>
    <n v="444"/>
    <m/>
    <m/>
    <m/>
    <m/>
    <m/>
    <n v="241364"/>
    <n v="224469"/>
    <n v="0"/>
    <n v="0"/>
    <n v="60800"/>
    <n v="283700"/>
    <n v="344500"/>
    <n v="132535.48800000001"/>
    <n v="88356.992000000013"/>
    <n v="-24051.387388882686"/>
    <n v="37154.252388000001"/>
    <n v="30300.329274"/>
    <n v="-1631.1165000000001"/>
    <n v="70648.550159999999"/>
    <n v="0"/>
    <n v="0"/>
    <n v="15673.657764000001"/>
    <n v="0"/>
    <n v="284700"/>
    <n v="64300"/>
    <n v="349000"/>
    <n v="1.3062409288824383E-2"/>
    <n v="0.99970000000000003"/>
    <n v="0.99819999999999998"/>
    <n v="0.997"/>
    <n v="0.99519999999999997"/>
    <n v="0.99080000000000001"/>
    <n v="0.94971499999999998"/>
    <n v="0.93197097384222971"/>
    <n v="275700"/>
    <n v="0"/>
    <n v="275700"/>
    <n v="61100"/>
    <n v="336800"/>
    <n v="-2.8198801550934086E-2"/>
    <n v="4.9342105263157892E-3"/>
    <n v="-2.235123367198839E-2"/>
  </r>
  <r>
    <n v="2025"/>
    <s v="20120633452    "/>
    <n v="-1.8325814637483102"/>
    <n v="0.16"/>
    <n v="7100"/>
    <s v="2"/>
    <s v="RES"/>
    <s v="MX"/>
    <s v="11"/>
    <s v="259"/>
    <s v="CO"/>
    <x v="4"/>
    <s v="GD"/>
    <n v="10"/>
    <n v="15"/>
    <n v="15"/>
    <n v="2009"/>
    <n v="2009"/>
    <n v="1132"/>
    <m/>
    <m/>
    <m/>
    <m/>
    <n v="0"/>
    <n v="1132"/>
    <n v="1500"/>
    <s v="N"/>
    <m/>
    <n v="444"/>
    <m/>
    <m/>
    <m/>
    <m/>
    <m/>
    <n v="239323"/>
    <n v="222570"/>
    <n v="0"/>
    <n v="0"/>
    <n v="60800"/>
    <n v="283700"/>
    <n v="344500"/>
    <n v="132535.48800000001"/>
    <n v="88356.992000000013"/>
    <n v="-24051.387388882686"/>
    <n v="37154.252388000001"/>
    <n v="30300.329274"/>
    <n v="-1631.1165000000001"/>
    <n v="70648.550159999999"/>
    <n v="0"/>
    <n v="0"/>
    <n v="15673.657764000001"/>
    <n v="0"/>
    <n v="284700"/>
    <n v="64300"/>
    <n v="349000"/>
    <n v="1.3062409288824383E-2"/>
    <n v="0.99970000000000003"/>
    <n v="0.99819999999999998"/>
    <n v="0.997"/>
    <n v="0.99519999999999997"/>
    <n v="0.99080000000000001"/>
    <n v="0.94971499999999998"/>
    <n v="0.93197097384222971"/>
    <n v="275700"/>
    <n v="0"/>
    <n v="275700"/>
    <n v="61100"/>
    <n v="336800"/>
    <n v="-2.8198801550934086E-2"/>
    <n v="4.9342105263157892E-3"/>
    <n v="-2.235123367198839E-2"/>
  </r>
  <r>
    <n v="2025"/>
    <s v="19120112431    "/>
    <n v="-1.8325814637483102"/>
    <n v="0.16"/>
    <n v="6989"/>
    <s v="2"/>
    <s v="RES"/>
    <s v="MX"/>
    <s v="11"/>
    <s v="259"/>
    <s v="CO"/>
    <x v="5"/>
    <s v="VG"/>
    <n v="10"/>
    <n v="17"/>
    <n v="17"/>
    <n v="2007"/>
    <n v="2007"/>
    <n v="932"/>
    <n v="1102"/>
    <m/>
    <m/>
    <m/>
    <n v="0"/>
    <n v="2034"/>
    <n v="2500"/>
    <s v="N"/>
    <n v="1"/>
    <m/>
    <n v="420"/>
    <m/>
    <m/>
    <m/>
    <m/>
    <n v="401183"/>
    <n v="373100"/>
    <n v="0"/>
    <n v="0"/>
    <n v="60800"/>
    <n v="339700"/>
    <n v="400500"/>
    <n v="132535.48800000001"/>
    <n v="88356.992000000013"/>
    <n v="-24051.387388882686"/>
    <n v="32917.849192000001"/>
    <n v="50438.379078999998"/>
    <n v="-1848.5987"/>
    <n v="58166.474160000005"/>
    <n v="65657.582066000003"/>
    <n v="0"/>
    <n v="0"/>
    <n v="0"/>
    <n v="337900"/>
    <n v="64300"/>
    <n v="402200"/>
    <n v="4.2446941323345819E-3"/>
    <n v="0.99970000000000003"/>
    <n v="1.0019"/>
    <n v="1.0007999999999999"/>
    <n v="1.0008999999999999"/>
    <n v="0.99080000000000001"/>
    <n v="0.94971499999999998"/>
    <n v="0.94436885958806405"/>
    <n v="330500"/>
    <n v="0"/>
    <n v="330500"/>
    <n v="61100"/>
    <n v="391600"/>
    <n v="-2.7082720047100384E-2"/>
    <n v="4.9342105263157892E-3"/>
    <n v="-2.2222222222222223E-2"/>
  </r>
  <r>
    <n v="2025"/>
    <s v="20120633421    "/>
    <n v="-1.8325814637483102"/>
    <n v="0.16"/>
    <n v="7022"/>
    <s v="2"/>
    <s v="RES"/>
    <s v="MX"/>
    <s v="11"/>
    <s v="259"/>
    <s v="RN"/>
    <x v="4"/>
    <s v="GD"/>
    <n v="10"/>
    <n v="15"/>
    <n v="15"/>
    <n v="2009"/>
    <n v="2009"/>
    <n v="1133"/>
    <m/>
    <m/>
    <m/>
    <m/>
    <n v="0"/>
    <n v="1133"/>
    <n v="1500"/>
    <s v="N"/>
    <n v="1"/>
    <n v="425"/>
    <m/>
    <m/>
    <m/>
    <m/>
    <m/>
    <n v="242379"/>
    <n v="225412"/>
    <n v="0"/>
    <n v="0"/>
    <n v="60800"/>
    <n v="282900"/>
    <n v="343700"/>
    <n v="132535.48800000001"/>
    <n v="88356.992000000013"/>
    <n v="-24051.387388882686"/>
    <n v="37154.252388000001"/>
    <n v="30300.329274"/>
    <n v="-1631.1165000000001"/>
    <n v="70710.96054"/>
    <n v="0"/>
    <n v="0"/>
    <n v="15002.938175000001"/>
    <n v="0"/>
    <n v="284100"/>
    <n v="64300"/>
    <n v="348400"/>
    <n v="1.3674716322374164E-2"/>
    <n v="0.99970000000000003"/>
    <n v="0.99819999999999998"/>
    <n v="0.997"/>
    <n v="0.99519999999999997"/>
    <n v="0.99080000000000001"/>
    <n v="0.94971499999999998"/>
    <n v="0.93197097384222971"/>
    <n v="275100"/>
    <n v="0"/>
    <n v="275100"/>
    <n v="61100"/>
    <n v="336200"/>
    <n v="-2.7571580063626724E-2"/>
    <n v="4.9342105263157892E-3"/>
    <n v="-2.1821355833575792E-2"/>
  </r>
  <r>
    <n v="2025"/>
    <s v="20120633424    "/>
    <n v="-1.8325814637483102"/>
    <n v="0.16"/>
    <n v="7001"/>
    <s v="2"/>
    <s v="RES"/>
    <s v="MX"/>
    <s v="11"/>
    <s v="259"/>
    <s v="RN"/>
    <x v="4"/>
    <s v="GD"/>
    <n v="10"/>
    <n v="14"/>
    <n v="14"/>
    <n v="2010"/>
    <n v="2010"/>
    <n v="1176"/>
    <m/>
    <m/>
    <m/>
    <m/>
    <n v="0"/>
    <n v="1176"/>
    <n v="1500"/>
    <s v="N"/>
    <m/>
    <n v="400"/>
    <m/>
    <m/>
    <m/>
    <m/>
    <m/>
    <n v="244217"/>
    <n v="227122"/>
    <n v="0"/>
    <n v="0"/>
    <n v="60800"/>
    <n v="284800"/>
    <n v="345600"/>
    <n v="132535.48800000001"/>
    <n v="88356.992000000013"/>
    <n v="-24051.387388882686"/>
    <n v="37154.252388000001"/>
    <n v="30300.329274"/>
    <n v="-1522.3754000000001"/>
    <n v="73394.606880000007"/>
    <n v="0"/>
    <n v="0"/>
    <n v="14120.412400000001"/>
    <n v="0"/>
    <n v="286000"/>
    <n v="64300"/>
    <n v="350300"/>
    <n v="1.3599537037037037E-2"/>
    <n v="0.99970000000000003"/>
    <n v="0.99819999999999998"/>
    <n v="0.997"/>
    <n v="0.99519999999999997"/>
    <n v="0.99080000000000001"/>
    <n v="0.94971499999999998"/>
    <n v="0.93197097384222971"/>
    <n v="277000"/>
    <n v="0"/>
    <n v="277000"/>
    <n v="61100"/>
    <n v="338100"/>
    <n v="-2.7387640449438203E-2"/>
    <n v="4.9342105263157892E-3"/>
    <n v="-2.1701388888888888E-2"/>
  </r>
  <r>
    <n v="2025"/>
    <s v="19120113597    "/>
    <n v="-1.8325814637483102"/>
    <n v="0.16"/>
    <n v="7078"/>
    <s v="2"/>
    <s v="RES"/>
    <s v="MX"/>
    <s v="11"/>
    <s v="259"/>
    <s v="CO"/>
    <x v="5"/>
    <s v="VG"/>
    <n v="10"/>
    <n v="17"/>
    <n v="17"/>
    <n v="2007"/>
    <n v="2007"/>
    <n v="1353"/>
    <n v="1274"/>
    <m/>
    <m/>
    <m/>
    <n v="0"/>
    <n v="2627"/>
    <n v="3000"/>
    <s v="N"/>
    <m/>
    <n v="240"/>
    <n v="524"/>
    <m/>
    <m/>
    <m/>
    <m/>
    <n v="539282"/>
    <n v="501532"/>
    <n v="0"/>
    <n v="0"/>
    <n v="60800"/>
    <n v="386600"/>
    <n v="447400"/>
    <n v="132535.48800000001"/>
    <n v="88356.992000000013"/>
    <n v="-24051.387388882686"/>
    <n v="32917.849192000001"/>
    <n v="50438.379078999998"/>
    <n v="-1848.5987"/>
    <n v="84441.24414000001"/>
    <n v="75905.407941999991"/>
    <n v="0"/>
    <n v="8472.247440000001"/>
    <n v="0"/>
    <n v="382900"/>
    <n v="64300"/>
    <n v="447200"/>
    <n v="-4.4702726866338848E-4"/>
    <n v="0.99970000000000003"/>
    <n v="1.0019"/>
    <n v="1.0007999999999999"/>
    <n v="1.0099"/>
    <n v="0.99080000000000001"/>
    <n v="0.94971499999999998"/>
    <n v="0.95286053681485272"/>
    <n v="376600"/>
    <n v="0"/>
    <n v="376600"/>
    <n v="61100"/>
    <n v="437700"/>
    <n v="-2.5866528711846869E-2"/>
    <n v="4.9342105263157892E-3"/>
    <n v="-2.1680822530174341E-2"/>
  </r>
  <r>
    <n v="2025"/>
    <s v="20120633447    "/>
    <n v="-1.8325814637483102"/>
    <n v="0.16"/>
    <n v="7100"/>
    <s v="2"/>
    <s v="RES"/>
    <s v="MX"/>
    <s v="11"/>
    <s v="259"/>
    <s v="RN"/>
    <x v="4"/>
    <s v="GD"/>
    <n v="10"/>
    <n v="15"/>
    <n v="15"/>
    <n v="2009"/>
    <n v="2009"/>
    <n v="1152"/>
    <m/>
    <m/>
    <m/>
    <m/>
    <n v="0"/>
    <n v="1152"/>
    <n v="1500"/>
    <s v="N"/>
    <m/>
    <n v="440"/>
    <m/>
    <m/>
    <m/>
    <m/>
    <m/>
    <n v="242038"/>
    <n v="225095"/>
    <n v="0"/>
    <n v="0"/>
    <n v="60800"/>
    <n v="284500"/>
    <n v="345300"/>
    <n v="132535.48800000001"/>
    <n v="88356.992000000013"/>
    <n v="-24051.387388882686"/>
    <n v="37154.252388000001"/>
    <n v="30300.329274"/>
    <n v="-1631.1165000000001"/>
    <n v="71896.757760000008"/>
    <n v="0"/>
    <n v="0"/>
    <n v="15532.453640000002"/>
    <n v="0"/>
    <n v="285800"/>
    <n v="64300"/>
    <n v="350100"/>
    <n v="1.3900955690703735E-2"/>
    <n v="0.99970000000000003"/>
    <n v="0.99819999999999998"/>
    <n v="0.997"/>
    <n v="0.99519999999999997"/>
    <n v="0.99080000000000001"/>
    <n v="0.94971499999999998"/>
    <n v="0.93197097384222971"/>
    <n v="276800"/>
    <n v="0"/>
    <n v="276800"/>
    <n v="61100"/>
    <n v="337900"/>
    <n v="-2.7065026362038665E-2"/>
    <n v="4.9342105263157892E-3"/>
    <n v="-2.143064002316826E-2"/>
  </r>
  <r>
    <n v="2025"/>
    <s v="20120634404    "/>
    <n v="-1.8325814637483102"/>
    <n v="0.16"/>
    <n v="7004"/>
    <s v="2"/>
    <s v="RES"/>
    <s v="MX"/>
    <s v="11"/>
    <s v="259"/>
    <s v="CP"/>
    <x v="4"/>
    <s v="GD"/>
    <n v="0"/>
    <n v="9"/>
    <n v="9"/>
    <n v="2015"/>
    <n v="2015"/>
    <n v="1388"/>
    <m/>
    <m/>
    <m/>
    <m/>
    <n v="0"/>
    <n v="1388"/>
    <n v="1500"/>
    <s v="N"/>
    <n v="1"/>
    <n v="404"/>
    <m/>
    <m/>
    <m/>
    <m/>
    <m/>
    <n v="281180"/>
    <n v="267121"/>
    <n v="0"/>
    <n v="0"/>
    <n v="60800"/>
    <n v="300300"/>
    <n v="361100"/>
    <n v="132535.48800000001"/>
    <n v="88356.992000000013"/>
    <n v="-24051.387388882686"/>
    <n v="37154.252388000001"/>
    <n v="30300.329274"/>
    <n v="-978.66989999999998"/>
    <n v="86625.607440000007"/>
    <n v="0"/>
    <n v="0"/>
    <n v="14261.616524000001"/>
    <n v="0"/>
    <n v="299900"/>
    <n v="64300"/>
    <n v="364200"/>
    <n v="8.5848795347549158E-3"/>
    <n v="0.99970000000000003"/>
    <n v="0.99819999999999998"/>
    <n v="0.997"/>
    <n v="0.99519999999999997"/>
    <n v="1.0022"/>
    <n v="0.94971499999999998"/>
    <n v="0.94269409566479867"/>
    <n v="292300"/>
    <n v="0"/>
    <n v="292300"/>
    <n v="61100"/>
    <n v="353400"/>
    <n v="-2.664002664002664E-2"/>
    <n v="4.9342105263157892E-3"/>
    <n v="-2.1323733037939628E-2"/>
  </r>
  <r>
    <n v="2025"/>
    <s v="19120144464    "/>
    <n v="-1.8325814637483102"/>
    <n v="0.16"/>
    <n v="7000"/>
    <s v="2"/>
    <s v="RES"/>
    <s v="MX"/>
    <s v="11"/>
    <s v="259"/>
    <s v="CO"/>
    <x v="5"/>
    <s v="VG"/>
    <n v="20"/>
    <n v="20"/>
    <n v="20"/>
    <n v="2004"/>
    <n v="2004"/>
    <n v="1158"/>
    <n v="1322"/>
    <m/>
    <m/>
    <m/>
    <n v="0"/>
    <n v="2480"/>
    <n v="2500"/>
    <s v="N"/>
    <n v="1"/>
    <n v="300"/>
    <n v="546"/>
    <m/>
    <m/>
    <m/>
    <m/>
    <n v="511129"/>
    <n v="470239"/>
    <n v="0"/>
    <n v="0"/>
    <n v="60800"/>
    <n v="380500"/>
    <n v="441300"/>
    <n v="132535.48800000001"/>
    <n v="88356.992000000013"/>
    <n v="-24051.387388882686"/>
    <n v="32917.849192000001"/>
    <n v="50438.379078999998"/>
    <n v="-2174.8220000000001"/>
    <n v="72271.22004"/>
    <n v="78765.266325999997"/>
    <n v="0"/>
    <n v="10590.309300000001"/>
    <n v="0"/>
    <n v="375300"/>
    <n v="64300"/>
    <n v="439600"/>
    <n v="-3.8522547020167688E-3"/>
    <n v="0.99970000000000003"/>
    <n v="1.0019"/>
    <n v="1.0007999999999999"/>
    <n v="1.0008999999999999"/>
    <n v="1.0138"/>
    <n v="0.94971499999999998"/>
    <n v="0.9662910273015537"/>
    <n v="370900"/>
    <n v="0"/>
    <n v="370900"/>
    <n v="61100"/>
    <n v="432000"/>
    <n v="-2.5229960578186595E-2"/>
    <n v="4.9342105263157892E-3"/>
    <n v="-2.1074099252209381E-2"/>
  </r>
  <r>
    <n v="2025"/>
    <s v="19120141532    "/>
    <n v="-1.8325814637483102"/>
    <n v="0.16"/>
    <n v="6902"/>
    <s v="2"/>
    <s v="RES"/>
    <s v="MX"/>
    <s v="11"/>
    <s v="259"/>
    <s v="CO"/>
    <x v="5"/>
    <s v="VG"/>
    <n v="10"/>
    <n v="19"/>
    <n v="19"/>
    <n v="2005"/>
    <n v="2005"/>
    <n v="1116"/>
    <n v="1116"/>
    <m/>
    <m/>
    <m/>
    <n v="0"/>
    <n v="2232"/>
    <n v="2500"/>
    <s v="N"/>
    <m/>
    <n v="716"/>
    <m/>
    <m/>
    <m/>
    <m/>
    <m/>
    <n v="468968"/>
    <n v="426761"/>
    <n v="0"/>
    <n v="0"/>
    <n v="60800"/>
    <n v="377300"/>
    <n v="438100"/>
    <n v="132535.48800000001"/>
    <n v="88356.992000000013"/>
    <n v="-24051.387388882686"/>
    <n v="32917.849192000001"/>
    <n v="50438.379078999998"/>
    <n v="-2066.0808999999999"/>
    <n v="69649.984080000009"/>
    <n v="66491.707427999994"/>
    <n v="0"/>
    <n v="25275.538196000001"/>
    <n v="0"/>
    <n v="375200"/>
    <n v="64300"/>
    <n v="439500"/>
    <n v="3.195617438940881E-3"/>
    <n v="0.99970000000000003"/>
    <n v="1.0019"/>
    <n v="1.0007999999999999"/>
    <n v="1.0008999999999999"/>
    <n v="0.99080000000000001"/>
    <n v="0.94971499999999998"/>
    <n v="0.94436885958806405"/>
    <n v="367900"/>
    <n v="0"/>
    <n v="367900"/>
    <n v="61100"/>
    <n v="429000"/>
    <n v="-2.4913861648555528E-2"/>
    <n v="4.9342105263157892E-3"/>
    <n v="-2.0771513353115726E-2"/>
  </r>
  <r>
    <n v="2025"/>
    <s v="19120112448    "/>
    <n v="-1.8325814637483102"/>
    <n v="0.16"/>
    <n v="6943"/>
    <s v="2"/>
    <s v="RES"/>
    <s v="MX"/>
    <s v="11"/>
    <s v="259"/>
    <s v="CO"/>
    <x v="5"/>
    <s v="VG"/>
    <n v="10"/>
    <n v="17"/>
    <n v="17"/>
    <n v="2007"/>
    <n v="2007"/>
    <n v="1374"/>
    <n v="1328"/>
    <m/>
    <m/>
    <m/>
    <n v="0"/>
    <n v="2702"/>
    <n v="3000"/>
    <s v="N"/>
    <m/>
    <n v="240"/>
    <n v="502"/>
    <m/>
    <m/>
    <m/>
    <m/>
    <n v="531672"/>
    <n v="494455"/>
    <n v="0"/>
    <n v="0"/>
    <n v="60800"/>
    <n v="389800"/>
    <n v="450600"/>
    <n v="132535.48800000001"/>
    <n v="88356.992000000013"/>
    <n v="-24051.387388882686"/>
    <n v="32917.849192000001"/>
    <n v="50438.379078999998"/>
    <n v="-1848.5987"/>
    <n v="85751.862120000005"/>
    <n v="79122.748624"/>
    <n v="0"/>
    <n v="8472.247440000001"/>
    <n v="0"/>
    <n v="387400"/>
    <n v="64300"/>
    <n v="451700"/>
    <n v="2.4411895250776743E-3"/>
    <n v="0.99970000000000003"/>
    <n v="1.0019"/>
    <n v="1.0007999999999999"/>
    <n v="1.0099"/>
    <n v="0.99080000000000001"/>
    <n v="0.94971499999999998"/>
    <n v="0.95286053681485272"/>
    <n v="381100"/>
    <n v="0"/>
    <n v="381100"/>
    <n v="61100"/>
    <n v="442200"/>
    <n v="-2.2319138019497177E-2"/>
    <n v="4.9342105263157892E-3"/>
    <n v="-1.8641810918774968E-2"/>
  </r>
  <r>
    <n v="2025"/>
    <s v="19120144465    "/>
    <n v="-1.8325814637483102"/>
    <n v="0.16"/>
    <n v="7000"/>
    <s v="2"/>
    <s v="RES"/>
    <s v="MX"/>
    <s v="11"/>
    <s v="259"/>
    <s v="CO"/>
    <x v="5"/>
    <s v="VG"/>
    <n v="20"/>
    <n v="20"/>
    <n v="20"/>
    <n v="2004"/>
    <n v="2004"/>
    <n v="1158"/>
    <n v="1322"/>
    <m/>
    <m/>
    <m/>
    <n v="0"/>
    <n v="2480"/>
    <n v="2500"/>
    <s v="N"/>
    <m/>
    <n v="300"/>
    <n v="502"/>
    <m/>
    <m/>
    <m/>
    <m/>
    <n v="497798"/>
    <n v="457974"/>
    <n v="0"/>
    <n v="0"/>
    <n v="60800"/>
    <n v="378800"/>
    <n v="439600"/>
    <n v="132535.48800000001"/>
    <n v="88356.992000000013"/>
    <n v="-24051.387388882686"/>
    <n v="32917.849192000001"/>
    <n v="50438.379078999998"/>
    <n v="-2174.8220000000001"/>
    <n v="72271.22004"/>
    <n v="78765.266325999997"/>
    <n v="0"/>
    <n v="10590.309300000001"/>
    <n v="0"/>
    <n v="375300"/>
    <n v="64300"/>
    <n v="439600"/>
    <n v="0"/>
    <n v="0.99970000000000003"/>
    <n v="1.0019"/>
    <n v="1.0007999999999999"/>
    <n v="1.0008999999999999"/>
    <n v="1.0138"/>
    <n v="0.94971499999999998"/>
    <n v="0.9662910273015537"/>
    <n v="370900"/>
    <n v="0"/>
    <n v="370900"/>
    <n v="61100"/>
    <n v="432000"/>
    <n v="-2.085533262935586E-2"/>
    <n v="4.9342105263157892E-3"/>
    <n v="-1.7288444040036398E-2"/>
  </r>
  <r>
    <n v="2025"/>
    <s v="19120144471    "/>
    <n v="-1.8325814637483102"/>
    <n v="0.16"/>
    <n v="7021"/>
    <s v="2"/>
    <s v="RES"/>
    <s v="MX"/>
    <s v="11"/>
    <s v="259"/>
    <s v="CO"/>
    <x v="5"/>
    <s v="VG"/>
    <n v="20"/>
    <n v="20"/>
    <n v="20"/>
    <n v="2004"/>
    <n v="2004"/>
    <n v="1158"/>
    <n v="1322"/>
    <m/>
    <m/>
    <m/>
    <n v="0"/>
    <n v="2480"/>
    <n v="2500"/>
    <s v="N"/>
    <n v="1"/>
    <n v="300"/>
    <n v="502"/>
    <m/>
    <m/>
    <m/>
    <m/>
    <n v="517689"/>
    <n v="476274"/>
    <n v="0"/>
    <n v="0"/>
    <n v="60800"/>
    <n v="378800"/>
    <n v="439600"/>
    <n v="132535.48800000001"/>
    <n v="88356.992000000013"/>
    <n v="-24051.387388882686"/>
    <n v="32917.849192000001"/>
    <n v="50438.379078999998"/>
    <n v="-2174.8220000000001"/>
    <n v="72271.22004"/>
    <n v="78765.266325999997"/>
    <n v="0"/>
    <n v="10590.309300000001"/>
    <n v="0"/>
    <n v="375300"/>
    <n v="64300"/>
    <n v="439600"/>
    <n v="0"/>
    <n v="0.99970000000000003"/>
    <n v="1.0019"/>
    <n v="1.0007999999999999"/>
    <n v="1.0008999999999999"/>
    <n v="1.0138"/>
    <n v="0.94971499999999998"/>
    <n v="0.9662910273015537"/>
    <n v="370900"/>
    <n v="0"/>
    <n v="370900"/>
    <n v="61100"/>
    <n v="432000"/>
    <n v="-2.085533262935586E-2"/>
    <n v="4.9342105263157892E-3"/>
    <n v="-1.7288444040036398E-2"/>
  </r>
  <r>
    <n v="2025"/>
    <s v="19120144508    "/>
    <n v="-1.8325814637483102"/>
    <n v="0.16"/>
    <n v="7122"/>
    <s v="2"/>
    <s v="RES"/>
    <s v="MX"/>
    <s v="11"/>
    <s v="259"/>
    <s v="CO"/>
    <x v="5"/>
    <s v="VG"/>
    <n v="20"/>
    <n v="20"/>
    <n v="20"/>
    <n v="2004"/>
    <n v="2004"/>
    <n v="1158"/>
    <n v="1322"/>
    <m/>
    <m/>
    <m/>
    <n v="0"/>
    <n v="2480"/>
    <n v="2500"/>
    <s v="N"/>
    <n v="1"/>
    <n v="300"/>
    <n v="502"/>
    <m/>
    <m/>
    <m/>
    <m/>
    <n v="503193"/>
    <n v="462938"/>
    <n v="0"/>
    <n v="0"/>
    <n v="60800"/>
    <n v="378800"/>
    <n v="439600"/>
    <n v="132535.48800000001"/>
    <n v="88356.992000000013"/>
    <n v="-24051.387388882686"/>
    <n v="32917.849192000001"/>
    <n v="50438.379078999998"/>
    <n v="-2174.8220000000001"/>
    <n v="72271.22004"/>
    <n v="78765.266325999997"/>
    <n v="0"/>
    <n v="10590.309300000001"/>
    <n v="0"/>
    <n v="375300"/>
    <n v="64300"/>
    <n v="439600"/>
    <n v="0"/>
    <n v="0.99970000000000003"/>
    <n v="1.0019"/>
    <n v="1.0007999999999999"/>
    <n v="1.0008999999999999"/>
    <n v="1.0138"/>
    <n v="0.94971499999999998"/>
    <n v="0.9662910273015537"/>
    <n v="370900"/>
    <n v="0"/>
    <n v="370900"/>
    <n v="61100"/>
    <n v="432000"/>
    <n v="-2.085533262935586E-2"/>
    <n v="4.9342105263157892E-3"/>
    <n v="-1.7288444040036398E-2"/>
  </r>
  <r>
    <n v="2025"/>
    <s v="19120144495    "/>
    <n v="-1.8325814637483102"/>
    <n v="0.16"/>
    <n v="7159"/>
    <s v="2"/>
    <s v="RES"/>
    <s v="MX"/>
    <s v="11"/>
    <s v="259"/>
    <s v="CO"/>
    <x v="5"/>
    <s v="VG"/>
    <n v="20"/>
    <n v="20"/>
    <n v="20"/>
    <n v="2004"/>
    <n v="2004"/>
    <n v="1158"/>
    <n v="1322"/>
    <m/>
    <m/>
    <m/>
    <n v="0"/>
    <n v="2480"/>
    <n v="2500"/>
    <s v="N"/>
    <m/>
    <n v="300"/>
    <n v="502"/>
    <m/>
    <m/>
    <m/>
    <m/>
    <n v="497798"/>
    <n v="457974"/>
    <n v="0"/>
    <n v="0"/>
    <n v="60800"/>
    <n v="378800"/>
    <n v="439600"/>
    <n v="132535.48800000001"/>
    <n v="88356.992000000013"/>
    <n v="-24051.387388882686"/>
    <n v="32917.849192000001"/>
    <n v="50438.379078999998"/>
    <n v="-2174.8220000000001"/>
    <n v="72271.22004"/>
    <n v="78765.266325999997"/>
    <n v="0"/>
    <n v="10590.309300000001"/>
    <n v="0"/>
    <n v="375300"/>
    <n v="64300"/>
    <n v="439600"/>
    <n v="0"/>
    <n v="0.99970000000000003"/>
    <n v="1.0019"/>
    <n v="1.0007999999999999"/>
    <n v="1.0008999999999999"/>
    <n v="1.0138"/>
    <n v="0.94971499999999998"/>
    <n v="0.9662910273015537"/>
    <n v="370900"/>
    <n v="0"/>
    <n v="370900"/>
    <n v="61100"/>
    <n v="432000"/>
    <n v="-2.085533262935586E-2"/>
    <n v="4.9342105263157892E-3"/>
    <n v="-1.7288444040036398E-2"/>
  </r>
  <r>
    <n v="2025"/>
    <s v="20120633456    "/>
    <n v="-1.8325814637483102"/>
    <n v="0.16"/>
    <n v="7100"/>
    <s v="2"/>
    <s v="RES"/>
    <s v="MX"/>
    <s v="11"/>
    <s v="259"/>
    <s v="CP"/>
    <x v="4"/>
    <s v="VG"/>
    <n v="10"/>
    <n v="15"/>
    <n v="15"/>
    <n v="2009"/>
    <n v="2009"/>
    <n v="1540"/>
    <m/>
    <m/>
    <m/>
    <m/>
    <n v="0"/>
    <n v="1540"/>
    <n v="2000"/>
    <s v="N"/>
    <n v="1"/>
    <n v="420"/>
    <m/>
    <m/>
    <m/>
    <m/>
    <m/>
    <n v="311762"/>
    <n v="293056"/>
    <n v="0"/>
    <n v="0"/>
    <n v="60800"/>
    <n v="328400"/>
    <n v="389200"/>
    <n v="132535.48800000001"/>
    <n v="88356.992000000013"/>
    <n v="-24051.387388882686"/>
    <n v="37154.252388000001"/>
    <n v="50438.379078999998"/>
    <n v="-1631.1165000000001"/>
    <n v="96111.98520000001"/>
    <n v="0"/>
    <n v="0"/>
    <n v="14826.43302"/>
    <n v="0"/>
    <n v="329400"/>
    <n v="64300"/>
    <n v="393700"/>
    <n v="1.1562178828365879E-2"/>
    <n v="0.99970000000000003"/>
    <n v="0.99819999999999998"/>
    <n v="1.0007999999999999"/>
    <n v="1.0007999999999999"/>
    <n v="0.99080000000000001"/>
    <n v="0.94971499999999998"/>
    <n v="0.9407873176017203"/>
    <n v="321600"/>
    <n v="0"/>
    <n v="321600"/>
    <n v="61100"/>
    <n v="382700"/>
    <n v="-2.0706455542021926E-2"/>
    <n v="4.9342105263157892E-3"/>
    <n v="-1.670092497430627E-2"/>
  </r>
  <r>
    <n v="2025"/>
    <s v="19120113465    "/>
    <n v="-1.8325814637483102"/>
    <n v="0.16"/>
    <n v="7015"/>
    <s v="2"/>
    <s v="RES"/>
    <s v="MX"/>
    <s v="11"/>
    <s v="259"/>
    <s v="CO"/>
    <x v="5"/>
    <s v="VG"/>
    <n v="10"/>
    <n v="18"/>
    <n v="18"/>
    <n v="2006"/>
    <n v="2006"/>
    <n v="1374"/>
    <n v="1332"/>
    <m/>
    <m/>
    <m/>
    <n v="0"/>
    <n v="2706"/>
    <n v="3000"/>
    <s v="N"/>
    <m/>
    <n v="240"/>
    <n v="502"/>
    <m/>
    <m/>
    <m/>
    <m/>
    <n v="536435"/>
    <n v="493520"/>
    <n v="0"/>
    <n v="0"/>
    <n v="60800"/>
    <n v="389100"/>
    <n v="449900"/>
    <n v="132535.48800000001"/>
    <n v="88356.992000000013"/>
    <n v="-24051.387388882686"/>
    <n v="32917.849192000001"/>
    <n v="50438.379078999998"/>
    <n v="-1957.3398"/>
    <n v="85751.862120000005"/>
    <n v="79361.070156000002"/>
    <n v="0"/>
    <n v="8472.247440000001"/>
    <n v="0"/>
    <n v="387500"/>
    <n v="64300"/>
    <n v="451800"/>
    <n v="4.2231607023783067E-3"/>
    <n v="0.99970000000000003"/>
    <n v="1.0019"/>
    <n v="1.0007999999999999"/>
    <n v="1.0099"/>
    <n v="0.99080000000000001"/>
    <n v="0.94971499999999998"/>
    <n v="0.95286053681485272"/>
    <n v="381300"/>
    <n v="0"/>
    <n v="381300"/>
    <n v="61100"/>
    <n v="442400"/>
    <n v="-2.0046260601387818E-2"/>
    <n v="4.9342105263157892E-3"/>
    <n v="-1.6670371193598578E-2"/>
  </r>
  <r>
    <n v="2025"/>
    <s v="19120141443    "/>
    <n v="-1.8325814637483102"/>
    <n v="0.16"/>
    <n v="6794"/>
    <s v="2"/>
    <s v="RES"/>
    <s v="MX"/>
    <s v="11"/>
    <s v="259"/>
    <s v="RN"/>
    <x v="4"/>
    <s v="GD"/>
    <n v="10"/>
    <n v="19"/>
    <n v="19"/>
    <n v="2005"/>
    <n v="2005"/>
    <n v="1092"/>
    <m/>
    <m/>
    <m/>
    <m/>
    <n v="0"/>
    <n v="1092"/>
    <n v="1500"/>
    <s v="N"/>
    <m/>
    <n v="680"/>
    <m/>
    <m/>
    <m/>
    <m/>
    <m/>
    <n v="240560"/>
    <n v="218910"/>
    <n v="0"/>
    <n v="0"/>
    <n v="60800"/>
    <n v="287100"/>
    <n v="347900"/>
    <n v="132535.48800000001"/>
    <n v="88356.992000000013"/>
    <n v="-24051.387388882686"/>
    <n v="37154.252388000001"/>
    <n v="30300.329274"/>
    <n v="-2066.0808999999999"/>
    <n v="68152.13496000001"/>
    <n v="0"/>
    <n v="0"/>
    <n v="24004.701080000003"/>
    <n v="0"/>
    <n v="290100"/>
    <n v="64300"/>
    <n v="354400"/>
    <n v="1.8683529749928141E-2"/>
    <n v="0.99970000000000003"/>
    <n v="0.99819999999999998"/>
    <n v="0.997"/>
    <n v="0.99519999999999997"/>
    <n v="0.99080000000000001"/>
    <n v="0.94971499999999998"/>
    <n v="0.93197097384222971"/>
    <n v="281100"/>
    <n v="0"/>
    <n v="281100"/>
    <n v="61100"/>
    <n v="342200"/>
    <n v="-2.0898641588296761E-2"/>
    <n v="4.9342105263157892E-3"/>
    <n v="-1.638401839609083E-2"/>
  </r>
  <r>
    <n v="2025"/>
    <s v="19120113586    "/>
    <n v="-1.8325814637483102"/>
    <n v="0.16"/>
    <n v="7077"/>
    <s v="2"/>
    <s v="RES"/>
    <s v="MX"/>
    <s v="11"/>
    <s v="259"/>
    <s v="RN"/>
    <x v="4"/>
    <s v="GD"/>
    <n v="10"/>
    <n v="17"/>
    <n v="17"/>
    <n v="2007"/>
    <n v="2007"/>
    <n v="1092"/>
    <m/>
    <m/>
    <m/>
    <m/>
    <n v="0"/>
    <n v="1092"/>
    <n v="1500"/>
    <s v="N"/>
    <m/>
    <n v="440"/>
    <m/>
    <m/>
    <m/>
    <m/>
    <m/>
    <n v="232141"/>
    <n v="213570"/>
    <n v="0"/>
    <n v="0"/>
    <n v="60800"/>
    <n v="278500"/>
    <n v="339300"/>
    <n v="132535.48800000001"/>
    <n v="88356.992000000013"/>
    <n v="-24051.387388882686"/>
    <n v="37154.252388000001"/>
    <n v="30300.329274"/>
    <n v="-1848.5987"/>
    <n v="68152.13496000001"/>
    <n v="0"/>
    <n v="0"/>
    <n v="15532.453640000002"/>
    <n v="0"/>
    <n v="281800"/>
    <n v="64300"/>
    <n v="346100"/>
    <n v="2.0041261420571766E-2"/>
    <n v="0.99970000000000003"/>
    <n v="0.99819999999999998"/>
    <n v="0.997"/>
    <n v="0.99519999999999997"/>
    <n v="0.99080000000000001"/>
    <n v="0.94971499999999998"/>
    <n v="0.93197097384222971"/>
    <n v="272800"/>
    <n v="0"/>
    <n v="272800"/>
    <n v="61100"/>
    <n v="333900"/>
    <n v="-2.0466786355475764E-2"/>
    <n v="4.9342105263157892E-3"/>
    <n v="-1.5915119363395226E-2"/>
  </r>
  <r>
    <n v="2025"/>
    <s v="20120633457    "/>
    <n v="-1.8325814637483102"/>
    <n v="0.16"/>
    <n v="7164"/>
    <s v="2"/>
    <s v="RES"/>
    <s v="MX"/>
    <s v="11"/>
    <s v="259"/>
    <s v="CP"/>
    <x v="4"/>
    <s v="GD"/>
    <n v="10"/>
    <n v="14"/>
    <n v="14"/>
    <n v="2010"/>
    <n v="2010"/>
    <n v="1364"/>
    <m/>
    <m/>
    <m/>
    <m/>
    <n v="0"/>
    <n v="1364"/>
    <n v="1500"/>
    <s v="N"/>
    <m/>
    <n v="428"/>
    <m/>
    <m/>
    <m/>
    <m/>
    <m/>
    <n v="282476"/>
    <n v="262703"/>
    <n v="0"/>
    <n v="0"/>
    <n v="60800"/>
    <n v="295300"/>
    <n v="356100"/>
    <n v="132535.48800000001"/>
    <n v="88356.992000000013"/>
    <n v="-24051.387388882686"/>
    <n v="37154.252388000001"/>
    <n v="30300.329274"/>
    <n v="-1522.3754000000001"/>
    <n v="85127.758320000008"/>
    <n v="0"/>
    <n v="0"/>
    <n v="15108.841268"/>
    <n v="0"/>
    <n v="298700"/>
    <n v="64300"/>
    <n v="363000"/>
    <n v="1.9376579612468407E-2"/>
    <n v="0.99970000000000003"/>
    <n v="0.99819999999999998"/>
    <n v="0.997"/>
    <n v="0.99519999999999997"/>
    <n v="0.99080000000000001"/>
    <n v="0.94971499999999998"/>
    <n v="0.93197097384222971"/>
    <n v="289700"/>
    <n v="0"/>
    <n v="289700"/>
    <n v="61100"/>
    <n v="350800"/>
    <n v="-1.8963765662038605E-2"/>
    <n v="4.9342105263157892E-3"/>
    <n v="-1.4883459702330806E-2"/>
  </r>
  <r>
    <n v="2025"/>
    <s v="19120112440    "/>
    <n v="-1.8325814637483102"/>
    <n v="0.16"/>
    <n v="7032"/>
    <s v="2"/>
    <s v="RES"/>
    <s v="MX"/>
    <s v="11"/>
    <s v="259"/>
    <s v="RN"/>
    <x v="5"/>
    <s v="GD"/>
    <n v="10"/>
    <n v="17"/>
    <n v="17"/>
    <n v="2007"/>
    <n v="2007"/>
    <n v="1092"/>
    <m/>
    <m/>
    <m/>
    <m/>
    <n v="0"/>
    <n v="1092"/>
    <n v="1500"/>
    <s v="N"/>
    <m/>
    <n v="440"/>
    <m/>
    <m/>
    <m/>
    <m/>
    <m/>
    <n v="262878"/>
    <n v="241848"/>
    <n v="0"/>
    <n v="0"/>
    <n v="60800"/>
    <n v="274200"/>
    <n v="335000"/>
    <n v="132535.48800000001"/>
    <n v="88356.992000000013"/>
    <n v="-24051.387388882686"/>
    <n v="32917.849192000001"/>
    <n v="30300.329274"/>
    <n v="-1848.5987"/>
    <n v="68152.13496000001"/>
    <n v="0"/>
    <n v="0"/>
    <n v="15532.453640000002"/>
    <n v="0"/>
    <n v="277600"/>
    <n v="64300"/>
    <n v="341900"/>
    <n v="2.0597014925373136E-2"/>
    <n v="0.99970000000000003"/>
    <n v="1.0019"/>
    <n v="0.997"/>
    <n v="0.99519999999999997"/>
    <n v="0.99080000000000001"/>
    <n v="0.94971499999999998"/>
    <n v="0.9354254845647465"/>
    <n v="269000"/>
    <n v="0"/>
    <n v="269000"/>
    <n v="61100"/>
    <n v="330100"/>
    <n v="-1.8964259664478483E-2"/>
    <n v="4.9342105263157892E-3"/>
    <n v="-1.4626865671641792E-2"/>
  </r>
  <r>
    <n v="2025"/>
    <s v="20120634421    "/>
    <n v="-1.8325814637483102"/>
    <n v="0.16"/>
    <n v="7139"/>
    <s v="2"/>
    <s v="RES"/>
    <s v="MX"/>
    <s v="11"/>
    <s v="259"/>
    <s v="CP"/>
    <x v="5"/>
    <s v="VG"/>
    <n v="10"/>
    <n v="11"/>
    <n v="11"/>
    <n v="2013"/>
    <n v="2013"/>
    <n v="1799"/>
    <m/>
    <m/>
    <m/>
    <m/>
    <n v="0"/>
    <n v="1799"/>
    <n v="2000"/>
    <s v="N"/>
    <n v="1"/>
    <n v="681"/>
    <m/>
    <m/>
    <m/>
    <m/>
    <m/>
    <n v="410569"/>
    <n v="390041"/>
    <n v="0"/>
    <n v="0"/>
    <n v="60800"/>
    <n v="349600"/>
    <n v="410400"/>
    <n v="132535.48800000001"/>
    <n v="88356.992000000013"/>
    <n v="-24051.387388882686"/>
    <n v="32917.849192000001"/>
    <n v="50438.379078999998"/>
    <n v="-1196.1521"/>
    <n v="112276.27362000001"/>
    <n v="0"/>
    <n v="0"/>
    <n v="24040.002111000002"/>
    <n v="0"/>
    <n v="351000"/>
    <n v="64300"/>
    <n v="415300"/>
    <n v="1.1939571150097465E-2"/>
    <n v="0.99970000000000003"/>
    <n v="1.0019"/>
    <n v="1.0007999999999999"/>
    <n v="1.0007999999999999"/>
    <n v="0.99080000000000001"/>
    <n v="0.94971499999999998"/>
    <n v="0.94427450761887755"/>
    <n v="343600"/>
    <n v="0"/>
    <n v="343600"/>
    <n v="61100"/>
    <n v="404700"/>
    <n v="-1.7162471395881007E-2"/>
    <n v="4.9342105263157892E-3"/>
    <n v="-1.3888888888888888E-2"/>
  </r>
  <r>
    <n v="2025"/>
    <s v="19120113452    "/>
    <n v="-1.8325814637483102"/>
    <n v="0.16"/>
    <n v="6805"/>
    <s v="2"/>
    <s v="RES"/>
    <s v="MX"/>
    <s v="11"/>
    <s v="259"/>
    <s v="RN"/>
    <x v="4"/>
    <s v="GD"/>
    <n v="10"/>
    <n v="18"/>
    <n v="18"/>
    <n v="2006"/>
    <n v="2006"/>
    <n v="1092"/>
    <m/>
    <m/>
    <m/>
    <m/>
    <n v="0"/>
    <n v="1092"/>
    <n v="1500"/>
    <s v="N"/>
    <m/>
    <n v="440"/>
    <m/>
    <m/>
    <m/>
    <m/>
    <m/>
    <n v="231626"/>
    <n v="210780"/>
    <n v="0"/>
    <n v="0"/>
    <n v="60800"/>
    <n v="277600"/>
    <n v="338400"/>
    <n v="132535.48800000001"/>
    <n v="88356.992000000013"/>
    <n v="-24051.387388882686"/>
    <n v="37154.252388000001"/>
    <n v="30300.329274"/>
    <n v="-1957.3398"/>
    <n v="68152.13496000001"/>
    <n v="0"/>
    <n v="0"/>
    <n v="15532.453640000002"/>
    <n v="0"/>
    <n v="281700"/>
    <n v="64300"/>
    <n v="346000"/>
    <n v="2.2458628841607566E-2"/>
    <n v="0.99970000000000003"/>
    <n v="0.99819999999999998"/>
    <n v="0.997"/>
    <n v="0.99519999999999997"/>
    <n v="0.99080000000000001"/>
    <n v="0.94971499999999998"/>
    <n v="0.93197097384222971"/>
    <n v="272700"/>
    <n v="0"/>
    <n v="272700"/>
    <n v="61100"/>
    <n v="333800"/>
    <n v="-1.7651296829971182E-2"/>
    <n v="4.9342105263157892E-3"/>
    <n v="-1.3593380614657211E-2"/>
  </r>
  <r>
    <n v="2025"/>
    <s v="19120113453    "/>
    <n v="-1.8325814637483102"/>
    <n v="0.16"/>
    <n v="6805"/>
    <s v="2"/>
    <s v="RES"/>
    <s v="MX"/>
    <s v="11"/>
    <s v="259"/>
    <s v="RN"/>
    <x v="4"/>
    <s v="GD"/>
    <n v="10"/>
    <n v="18"/>
    <n v="18"/>
    <n v="2006"/>
    <n v="2006"/>
    <n v="1092"/>
    <m/>
    <m/>
    <m/>
    <m/>
    <n v="0"/>
    <n v="1092"/>
    <n v="1500"/>
    <s v="N"/>
    <m/>
    <n v="440"/>
    <m/>
    <m/>
    <m/>
    <m/>
    <m/>
    <n v="232884"/>
    <n v="211924"/>
    <n v="0"/>
    <n v="0"/>
    <n v="60800"/>
    <n v="277600"/>
    <n v="338400"/>
    <n v="132535.48800000001"/>
    <n v="88356.992000000013"/>
    <n v="-24051.387388882686"/>
    <n v="37154.252388000001"/>
    <n v="30300.329274"/>
    <n v="-1957.3398"/>
    <n v="68152.13496000001"/>
    <n v="0"/>
    <n v="0"/>
    <n v="15532.453640000002"/>
    <n v="0"/>
    <n v="281700"/>
    <n v="64300"/>
    <n v="346000"/>
    <n v="2.2458628841607566E-2"/>
    <n v="0.99970000000000003"/>
    <n v="0.99819999999999998"/>
    <n v="0.997"/>
    <n v="0.99519999999999997"/>
    <n v="0.99080000000000001"/>
    <n v="0.94971499999999998"/>
    <n v="0.93197097384222971"/>
    <n v="272700"/>
    <n v="0"/>
    <n v="272700"/>
    <n v="61100"/>
    <n v="333800"/>
    <n v="-1.7651296829971182E-2"/>
    <n v="4.9342105263157892E-3"/>
    <n v="-1.3593380614657211E-2"/>
  </r>
  <r>
    <n v="2025"/>
    <s v="19120113600    "/>
    <n v="-1.8325814637483102"/>
    <n v="0.16"/>
    <n v="7063"/>
    <s v="2"/>
    <s v="RES"/>
    <s v="MX"/>
    <s v="11"/>
    <s v="259"/>
    <s v="CO"/>
    <x v="4"/>
    <s v="GD"/>
    <n v="10"/>
    <n v="16"/>
    <n v="16"/>
    <n v="2008"/>
    <n v="2008"/>
    <n v="1040"/>
    <n v="1040"/>
    <m/>
    <m/>
    <m/>
    <n v="0"/>
    <n v="2080"/>
    <n v="2500"/>
    <s v="N"/>
    <m/>
    <n v="420"/>
    <m/>
    <m/>
    <m/>
    <m/>
    <m/>
    <n v="376462"/>
    <n v="346345"/>
    <n v="0"/>
    <n v="0"/>
    <n v="60800"/>
    <n v="337300"/>
    <n v="398100"/>
    <n v="132535.48800000001"/>
    <n v="88356.992000000013"/>
    <n v="-24051.387388882686"/>
    <n v="37154.252388000001"/>
    <n v="30300.329274"/>
    <n v="-1739.8576"/>
    <n v="64906.7952"/>
    <n v="61963.598319999997"/>
    <n v="0"/>
    <n v="14826.43302"/>
    <n v="0"/>
    <n v="339900"/>
    <n v="64300"/>
    <n v="404200"/>
    <n v="1.5322783220296407E-2"/>
    <n v="0.99970000000000003"/>
    <n v="0.99819999999999998"/>
    <n v="0.997"/>
    <n v="1.0008999999999999"/>
    <n v="0.99080000000000001"/>
    <n v="0.94971499999999998"/>
    <n v="0.93730883010318289"/>
    <n v="331600"/>
    <n v="0"/>
    <n v="331600"/>
    <n v="61100"/>
    <n v="392700"/>
    <n v="-1.6898903053661429E-2"/>
    <n v="4.9342105263157892E-3"/>
    <n v="-1.3564431047475508E-2"/>
  </r>
  <r>
    <n v="2025"/>
    <s v="20120633468    "/>
    <n v="-1.8325814637483102"/>
    <n v="0.16"/>
    <n v="6889"/>
    <s v="2"/>
    <s v="RES"/>
    <s v="MX"/>
    <s v="11"/>
    <s v="259"/>
    <s v="RN"/>
    <x v="4"/>
    <s v="VG"/>
    <n v="10"/>
    <n v="15"/>
    <n v="15"/>
    <n v="2009"/>
    <n v="2009"/>
    <n v="1556"/>
    <m/>
    <m/>
    <m/>
    <m/>
    <n v="0"/>
    <n v="1556"/>
    <n v="2000"/>
    <s v="N"/>
    <n v="1"/>
    <n v="420"/>
    <m/>
    <m/>
    <m/>
    <m/>
    <m/>
    <n v="310370"/>
    <n v="291748"/>
    <n v="0"/>
    <n v="0"/>
    <n v="60800"/>
    <n v="327900"/>
    <n v="388700"/>
    <n v="132535.48800000001"/>
    <n v="88356.992000000013"/>
    <n v="-24051.387388882686"/>
    <n v="37154.252388000001"/>
    <n v="50438.379078999998"/>
    <n v="-1631.1165000000001"/>
    <n v="97110.55128"/>
    <n v="0"/>
    <n v="0"/>
    <n v="14826.43302"/>
    <n v="0"/>
    <n v="330400"/>
    <n v="64300"/>
    <n v="394700"/>
    <n v="1.5436068947774634E-2"/>
    <n v="0.99970000000000003"/>
    <n v="0.99819999999999998"/>
    <n v="1.0007999999999999"/>
    <n v="1.0007999999999999"/>
    <n v="0.99080000000000001"/>
    <n v="0.94971499999999998"/>
    <n v="0.9407873176017203"/>
    <n v="322600"/>
    <n v="0"/>
    <n v="322600"/>
    <n v="61100"/>
    <n v="383700"/>
    <n v="-1.6163464470875268E-2"/>
    <n v="4.9342105263157892E-3"/>
    <n v="-1.2863390789812194E-2"/>
  </r>
  <r>
    <n v="2025"/>
    <s v="19120113576    "/>
    <n v="-1.8325814637483102"/>
    <n v="0.16"/>
    <n v="7073"/>
    <s v="2"/>
    <s v="RES"/>
    <s v="MX"/>
    <s v="11"/>
    <s v="259"/>
    <s v="RN"/>
    <x v="4"/>
    <s v="GD"/>
    <n v="10"/>
    <n v="16"/>
    <n v="16"/>
    <n v="2008"/>
    <n v="2008"/>
    <n v="1116"/>
    <m/>
    <m/>
    <m/>
    <m/>
    <n v="0"/>
    <n v="1116"/>
    <n v="1500"/>
    <s v="N"/>
    <m/>
    <n v="400"/>
    <m/>
    <m/>
    <m/>
    <m/>
    <m/>
    <n v="233230"/>
    <n v="214572"/>
    <n v="0"/>
    <n v="0"/>
    <n v="60800"/>
    <n v="277600"/>
    <n v="338400"/>
    <n v="132535.48800000001"/>
    <n v="88356.992000000013"/>
    <n v="-24051.387388882686"/>
    <n v="37154.252388000001"/>
    <n v="30300.329274"/>
    <n v="-1739.8576"/>
    <n v="69649.984080000009"/>
    <n v="0"/>
    <n v="0"/>
    <n v="14120.412400000001"/>
    <n v="0"/>
    <n v="282000"/>
    <n v="64300"/>
    <n v="346300"/>
    <n v="2.3345153664302599E-2"/>
    <n v="0.99970000000000003"/>
    <n v="0.99819999999999998"/>
    <n v="0.997"/>
    <n v="0.99519999999999997"/>
    <n v="0.99080000000000001"/>
    <n v="0.94971499999999998"/>
    <n v="0.93197097384222971"/>
    <n v="273000"/>
    <n v="0"/>
    <n v="273000"/>
    <n v="61100"/>
    <n v="334100"/>
    <n v="-1.6570605187319884E-2"/>
    <n v="4.9342105263157892E-3"/>
    <n v="-1.2706855791962174E-2"/>
  </r>
  <r>
    <n v="2025"/>
    <s v="19120144453    "/>
    <n v="-1.8325814637483102"/>
    <n v="0.16"/>
    <n v="7001"/>
    <s v="2"/>
    <s v="RES"/>
    <s v="MX"/>
    <s v="11"/>
    <s v="259"/>
    <s v="CO"/>
    <x v="5"/>
    <s v="GD"/>
    <n v="20"/>
    <n v="20"/>
    <n v="20"/>
    <n v="2004"/>
    <n v="2004"/>
    <n v="1458"/>
    <n v="1322"/>
    <m/>
    <m/>
    <m/>
    <n v="0"/>
    <n v="2780"/>
    <n v="3000"/>
    <s v="N"/>
    <m/>
    <m/>
    <n v="502"/>
    <m/>
    <m/>
    <m/>
    <m/>
    <n v="520366"/>
    <n v="473533"/>
    <n v="0"/>
    <n v="0"/>
    <n v="60800"/>
    <n v="365100"/>
    <n v="425900"/>
    <n v="132535.48800000001"/>
    <n v="88356.992000000013"/>
    <n v="-24051.387388882686"/>
    <n v="32917.849192000001"/>
    <n v="30300.329274"/>
    <n v="-2174.8220000000001"/>
    <n v="90994.334040000002"/>
    <n v="78765.266325999997"/>
    <n v="0"/>
    <n v="0"/>
    <n v="0"/>
    <n v="363300"/>
    <n v="64300"/>
    <n v="427600"/>
    <n v="3.9915473115754874E-3"/>
    <n v="0.99970000000000003"/>
    <n v="1.0019"/>
    <n v="0.997"/>
    <n v="1.0099"/>
    <n v="1.0138"/>
    <n v="0.94971499999999998"/>
    <n v="0.97127786485610568"/>
    <n v="359500"/>
    <n v="0"/>
    <n v="359500"/>
    <n v="61100"/>
    <n v="420600"/>
    <n v="-1.5338263489454943E-2"/>
    <n v="4.9342105263157892E-3"/>
    <n v="-1.2444235736088284E-2"/>
  </r>
  <r>
    <n v="2025"/>
    <s v="19120144449    "/>
    <n v="-1.8325814637483102"/>
    <n v="0.16"/>
    <n v="6952"/>
    <s v="2"/>
    <s v="RES"/>
    <s v="MX"/>
    <s v="11"/>
    <s v="259"/>
    <s v="CO"/>
    <x v="5"/>
    <s v="VG"/>
    <n v="20"/>
    <n v="20"/>
    <n v="20"/>
    <n v="2004"/>
    <n v="2004"/>
    <n v="1158"/>
    <n v="1322"/>
    <m/>
    <m/>
    <m/>
    <n v="0"/>
    <n v="2480"/>
    <n v="2500"/>
    <s v="N"/>
    <m/>
    <m/>
    <n v="502"/>
    <m/>
    <m/>
    <m/>
    <m/>
    <n v="483458"/>
    <n v="444781"/>
    <n v="0"/>
    <n v="0"/>
    <n v="60800"/>
    <n v="365900"/>
    <n v="426700"/>
    <n v="132535.48800000001"/>
    <n v="88356.992000000013"/>
    <n v="-24051.387388882686"/>
    <n v="32917.849192000001"/>
    <n v="50438.379078999998"/>
    <n v="-2174.8220000000001"/>
    <n v="72271.22004"/>
    <n v="78765.266325999997"/>
    <n v="0"/>
    <n v="0"/>
    <n v="0"/>
    <n v="364800"/>
    <n v="64300"/>
    <n v="429100"/>
    <n v="5.6245605812045938E-3"/>
    <n v="0.99970000000000003"/>
    <n v="1.0019"/>
    <n v="1.0007999999999999"/>
    <n v="1.0008999999999999"/>
    <n v="1.0138"/>
    <n v="0.94971499999999998"/>
    <n v="0.9662910273015537"/>
    <n v="360300"/>
    <n v="0"/>
    <n v="360300"/>
    <n v="61100"/>
    <n v="421400"/>
    <n v="-1.5304728067778082E-2"/>
    <n v="4.9342105263157892E-3"/>
    <n v="-1.242090461682681E-2"/>
  </r>
  <r>
    <n v="2025"/>
    <s v="19120144480    "/>
    <n v="-1.8325814637483102"/>
    <n v="0.16"/>
    <n v="7005"/>
    <s v="2"/>
    <s v="RES"/>
    <s v="MX"/>
    <s v="11"/>
    <s v="259"/>
    <s v="CO"/>
    <x v="5"/>
    <s v="VG"/>
    <n v="20"/>
    <n v="20"/>
    <n v="20"/>
    <n v="2004"/>
    <n v="2004"/>
    <n v="1158"/>
    <n v="1322"/>
    <m/>
    <m/>
    <m/>
    <n v="0"/>
    <n v="2480"/>
    <n v="2500"/>
    <s v="N"/>
    <m/>
    <m/>
    <n v="502"/>
    <m/>
    <m/>
    <m/>
    <m/>
    <n v="476396"/>
    <n v="438284"/>
    <n v="0"/>
    <n v="0"/>
    <n v="60800"/>
    <n v="365900"/>
    <n v="426700"/>
    <n v="132535.48800000001"/>
    <n v="88356.992000000013"/>
    <n v="-24051.387388882686"/>
    <n v="32917.849192000001"/>
    <n v="50438.379078999998"/>
    <n v="-2174.8220000000001"/>
    <n v="72271.22004"/>
    <n v="78765.266325999997"/>
    <n v="0"/>
    <n v="0"/>
    <n v="0"/>
    <n v="364800"/>
    <n v="64300"/>
    <n v="429100"/>
    <n v="5.6245605812045938E-3"/>
    <n v="0.99970000000000003"/>
    <n v="1.0019"/>
    <n v="1.0007999999999999"/>
    <n v="1.0008999999999999"/>
    <n v="1.0138"/>
    <n v="0.94971499999999998"/>
    <n v="0.9662910273015537"/>
    <n v="360300"/>
    <n v="0"/>
    <n v="360300"/>
    <n v="61100"/>
    <n v="421400"/>
    <n v="-1.5304728067778082E-2"/>
    <n v="4.9342105263157892E-3"/>
    <n v="-1.242090461682681E-2"/>
  </r>
  <r>
    <n v="2025"/>
    <s v="19120141517    "/>
    <n v="-1.8325814637483102"/>
    <n v="0.16"/>
    <n v="6998"/>
    <s v="2"/>
    <s v="RES"/>
    <s v="MX"/>
    <s v="11"/>
    <s v="259"/>
    <s v="RN"/>
    <x v="4"/>
    <s v="GD"/>
    <n v="10"/>
    <n v="19"/>
    <n v="19"/>
    <n v="2005"/>
    <n v="2005"/>
    <n v="1076"/>
    <m/>
    <m/>
    <m/>
    <m/>
    <n v="0"/>
    <n v="1076"/>
    <n v="1500"/>
    <s v="N"/>
    <m/>
    <n v="440"/>
    <m/>
    <m/>
    <m/>
    <m/>
    <m/>
    <n v="229055"/>
    <n v="208440"/>
    <n v="0"/>
    <n v="0"/>
    <n v="60800"/>
    <n v="275800"/>
    <n v="336600"/>
    <n v="132535.48800000001"/>
    <n v="88356.992000000013"/>
    <n v="-24051.387388882686"/>
    <n v="37154.252388000001"/>
    <n v="30300.329274"/>
    <n v="-2066.0808999999999"/>
    <n v="67153.568880000006"/>
    <n v="0"/>
    <n v="0"/>
    <n v="15532.453640000002"/>
    <n v="0"/>
    <n v="280600"/>
    <n v="64300"/>
    <n v="344900"/>
    <n v="2.4658348187759953E-2"/>
    <n v="0.99970000000000003"/>
    <n v="0.99819999999999998"/>
    <n v="0.997"/>
    <n v="0.99519999999999997"/>
    <n v="0.99080000000000001"/>
    <n v="0.94971499999999998"/>
    <n v="0.93197097384222971"/>
    <n v="271600"/>
    <n v="0"/>
    <n v="271600"/>
    <n v="61100"/>
    <n v="332700"/>
    <n v="-1.5228426395939087E-2"/>
    <n v="4.9342105263157892E-3"/>
    <n v="-1.1586452762923352E-2"/>
  </r>
  <r>
    <n v="2025"/>
    <s v="19120141474    "/>
    <n v="-1.8325814637483102"/>
    <n v="0.16"/>
    <n v="7013"/>
    <s v="2"/>
    <s v="RES"/>
    <s v="MX"/>
    <s v="11"/>
    <s v="259"/>
    <s v="RN"/>
    <x v="4"/>
    <s v="GD"/>
    <n v="10"/>
    <n v="19"/>
    <n v="19"/>
    <n v="2005"/>
    <n v="2005"/>
    <n v="1092"/>
    <m/>
    <m/>
    <m/>
    <m/>
    <n v="0"/>
    <n v="1092"/>
    <n v="1500"/>
    <s v="N"/>
    <m/>
    <n v="440"/>
    <m/>
    <m/>
    <m/>
    <m/>
    <m/>
    <n v="231626"/>
    <n v="210780"/>
    <n v="0"/>
    <n v="0"/>
    <n v="60800"/>
    <n v="276700"/>
    <n v="337500"/>
    <n v="132535.48800000001"/>
    <n v="88356.992000000013"/>
    <n v="-24051.387388882686"/>
    <n v="37154.252388000001"/>
    <n v="30300.329274"/>
    <n v="-2066.0808999999999"/>
    <n v="68152.13496000001"/>
    <n v="0"/>
    <n v="0"/>
    <n v="15532.453640000002"/>
    <n v="0"/>
    <n v="281600"/>
    <n v="64300"/>
    <n v="345900"/>
    <n v="2.4888888888888887E-2"/>
    <n v="0.99970000000000003"/>
    <n v="0.99819999999999998"/>
    <n v="0.997"/>
    <n v="0.99519999999999997"/>
    <n v="0.99080000000000001"/>
    <n v="0.94971499999999998"/>
    <n v="0.93197097384222971"/>
    <n v="272600"/>
    <n v="0"/>
    <n v="272600"/>
    <n v="61100"/>
    <n v="333700"/>
    <n v="-1.4817491868449585E-2"/>
    <n v="4.9342105263157892E-3"/>
    <n v="-1.1259259259259259E-2"/>
  </r>
  <r>
    <n v="2025"/>
    <s v="20120633410    "/>
    <n v="-1.8325814637483102"/>
    <n v="0.16"/>
    <n v="7181"/>
    <s v="2"/>
    <s v="RES"/>
    <s v="MX"/>
    <s v="11"/>
    <s v="259"/>
    <s v="CP"/>
    <x v="4"/>
    <s v="GD"/>
    <n v="10"/>
    <n v="14"/>
    <n v="14"/>
    <n v="2010"/>
    <n v="2010"/>
    <n v="1380"/>
    <m/>
    <m/>
    <m/>
    <m/>
    <n v="0"/>
    <n v="1380"/>
    <n v="1500"/>
    <s v="N"/>
    <m/>
    <n v="426"/>
    <m/>
    <m/>
    <m/>
    <m/>
    <m/>
    <n v="276068"/>
    <n v="256743"/>
    <n v="0"/>
    <n v="0"/>
    <n v="60800"/>
    <n v="294900"/>
    <n v="355700"/>
    <n v="132535.48800000001"/>
    <n v="88356.992000000013"/>
    <n v="-24051.387388882686"/>
    <n v="37154.252388000001"/>
    <n v="30300.329274"/>
    <n v="-1522.3754000000001"/>
    <n v="86126.324399999998"/>
    <n v="0"/>
    <n v="0"/>
    <n v="15038.239206"/>
    <n v="0"/>
    <n v="299600"/>
    <n v="64300"/>
    <n v="363900"/>
    <n v="2.3053134664042733E-2"/>
    <n v="0.99970000000000003"/>
    <n v="0.99819999999999998"/>
    <n v="0.997"/>
    <n v="0.99519999999999997"/>
    <n v="0.99080000000000001"/>
    <n v="0.94971499999999998"/>
    <n v="0.93197097384222971"/>
    <n v="290600"/>
    <n v="0"/>
    <n v="290600"/>
    <n v="61100"/>
    <n v="351700"/>
    <n v="-1.4581213970837573E-2"/>
    <n v="4.9342105263157892E-3"/>
    <n v="-1.1245431543435479E-2"/>
  </r>
  <r>
    <n v="2025"/>
    <s v="20120634402    "/>
    <n v="-1.8325814637483102"/>
    <n v="0.16"/>
    <n v="7004"/>
    <s v="2"/>
    <s v="RES"/>
    <s v="MX"/>
    <s v="11"/>
    <s v="259"/>
    <s v="CP"/>
    <x v="5"/>
    <s v="VG"/>
    <n v="10"/>
    <n v="10"/>
    <n v="10"/>
    <n v="2014"/>
    <n v="2014"/>
    <n v="1185"/>
    <n v="1322"/>
    <m/>
    <m/>
    <m/>
    <n v="0"/>
    <n v="2507"/>
    <n v="3000"/>
    <s v="N"/>
    <n v="1"/>
    <m/>
    <n v="488"/>
    <m/>
    <m/>
    <m/>
    <m/>
    <n v="490566"/>
    <n v="466038"/>
    <n v="0"/>
    <n v="0"/>
    <n v="60800"/>
    <n v="365800"/>
    <n v="426600"/>
    <n v="132535.48800000001"/>
    <n v="88356.992000000013"/>
    <n v="-24051.387388882686"/>
    <n v="32917.849192000001"/>
    <n v="50438.379078999998"/>
    <n v="-1087.4110000000001"/>
    <n v="73956.300300000003"/>
    <n v="78765.266325999997"/>
    <n v="0"/>
    <n v="0"/>
    <n v="0"/>
    <n v="367500"/>
    <n v="64300"/>
    <n v="431800"/>
    <n v="1.2189404594467886E-2"/>
    <n v="0.99970000000000003"/>
    <n v="1.0019"/>
    <n v="1.0007999999999999"/>
    <n v="1.0099"/>
    <n v="0.99080000000000001"/>
    <n v="0.94971499999999998"/>
    <n v="0.95286053681485272"/>
    <n v="361300"/>
    <n v="0"/>
    <n v="361300"/>
    <n v="61100"/>
    <n v="422400"/>
    <n v="-1.2301804264625479E-2"/>
    <n v="4.9342105263157892E-3"/>
    <n v="-9.8452883263009851E-3"/>
  </r>
  <r>
    <n v="2025"/>
    <s v="20120633497    "/>
    <n v="-1.8325814637483102"/>
    <n v="0.16"/>
    <n v="7070"/>
    <s v="2"/>
    <s v="RES"/>
    <s v="MX"/>
    <s v="11"/>
    <s v="259"/>
    <s v="RN"/>
    <x v="4"/>
    <s v="VG"/>
    <n v="10"/>
    <n v="12"/>
    <n v="12"/>
    <n v="2012"/>
    <n v="2012"/>
    <n v="1370"/>
    <m/>
    <m/>
    <m/>
    <m/>
    <n v="0"/>
    <n v="1370"/>
    <n v="1500"/>
    <s v="N"/>
    <m/>
    <n v="662"/>
    <m/>
    <m/>
    <m/>
    <m/>
    <m/>
    <n v="287637"/>
    <n v="273255"/>
    <n v="0"/>
    <n v="0"/>
    <n v="60800"/>
    <n v="323000"/>
    <n v="383800"/>
    <n v="132535.48800000001"/>
    <n v="88356.992000000013"/>
    <n v="-24051.387388882686"/>
    <n v="37154.252388000001"/>
    <n v="50438.379078999998"/>
    <n v="-1304.8932"/>
    <n v="85502.220600000001"/>
    <n v="0"/>
    <n v="0"/>
    <n v="23369.282522000001"/>
    <n v="0"/>
    <n v="327700"/>
    <n v="64300"/>
    <n v="392000"/>
    <n v="2.1365294424179261E-2"/>
    <n v="0.99970000000000003"/>
    <n v="0.99819999999999998"/>
    <n v="1.0007999999999999"/>
    <n v="0.99519999999999997"/>
    <n v="0.99080000000000001"/>
    <n v="0.94971499999999998"/>
    <n v="0.93552311998124726"/>
    <n v="319100"/>
    <n v="0"/>
    <n v="319100"/>
    <n v="61100"/>
    <n v="380200"/>
    <n v="-1.2074303405572756E-2"/>
    <n v="4.9342105263157892E-3"/>
    <n v="-9.3798853569567481E-3"/>
  </r>
  <r>
    <n v="2025"/>
    <s v="20120634455    "/>
    <n v="-1.8325814637483102"/>
    <n v="0.16"/>
    <n v="7124"/>
    <s v="2"/>
    <s v="RES"/>
    <s v="MX"/>
    <s v="11"/>
    <s v="259"/>
    <s v="CP"/>
    <x v="4"/>
    <s v="VG"/>
    <n v="0"/>
    <n v="9"/>
    <n v="9"/>
    <n v="2015"/>
    <n v="2015"/>
    <n v="1126"/>
    <n v="1126"/>
    <m/>
    <m/>
    <m/>
    <n v="0"/>
    <n v="2252"/>
    <n v="2500"/>
    <s v="N"/>
    <m/>
    <n v="680"/>
    <m/>
    <m/>
    <m/>
    <m/>
    <m/>
    <n v="401170"/>
    <n v="385123"/>
    <n v="0"/>
    <n v="0"/>
    <n v="60800"/>
    <n v="378500"/>
    <n v="439300"/>
    <n v="132535.48800000001"/>
    <n v="88356.992000000013"/>
    <n v="-24051.387388882686"/>
    <n v="37154.252388000001"/>
    <n v="50438.379078999998"/>
    <n v="-978.66989999999998"/>
    <n v="70274.087880000006"/>
    <n v="67087.511257999999"/>
    <n v="0"/>
    <n v="24004.701080000003"/>
    <n v="0"/>
    <n v="380500"/>
    <n v="64300"/>
    <n v="444800"/>
    <n v="1.2519918051445481E-2"/>
    <n v="0.99970000000000003"/>
    <n v="0.99819999999999998"/>
    <n v="1.0007999999999999"/>
    <n v="1.0008999999999999"/>
    <n v="1.0022"/>
    <n v="0.94971499999999998"/>
    <n v="0.95170696410692857"/>
    <n v="374100"/>
    <n v="0"/>
    <n v="374100"/>
    <n v="61100"/>
    <n v="435200"/>
    <n v="-1.1624834874504624E-2"/>
    <n v="4.9342105263157892E-3"/>
    <n v="-9.3330298201684501E-3"/>
  </r>
  <r>
    <n v="2025"/>
    <s v="20120633423    "/>
    <n v="-1.8325814637483102"/>
    <n v="0.16"/>
    <n v="7063"/>
    <s v="2"/>
    <s v="RES"/>
    <s v="MX"/>
    <s v="11"/>
    <s v="259"/>
    <s v="RN"/>
    <x v="4"/>
    <s v="VG"/>
    <n v="10"/>
    <n v="15"/>
    <n v="15"/>
    <n v="2009"/>
    <n v="2009"/>
    <n v="1540"/>
    <m/>
    <m/>
    <m/>
    <m/>
    <n v="0"/>
    <n v="1540"/>
    <n v="2000"/>
    <s v="N"/>
    <n v="1"/>
    <n v="610"/>
    <m/>
    <m/>
    <m/>
    <m/>
    <m/>
    <n v="315982"/>
    <n v="297023"/>
    <n v="0"/>
    <n v="0"/>
    <n v="60800"/>
    <n v="332000"/>
    <n v="392800"/>
    <n v="132535.48800000001"/>
    <n v="88356.992000000013"/>
    <n v="-24051.387388882686"/>
    <n v="37154.252388000001"/>
    <n v="50438.379078999998"/>
    <n v="-1631.1165000000001"/>
    <n v="96111.98520000001"/>
    <n v="0"/>
    <n v="0"/>
    <n v="21533.628909999999"/>
    <n v="0"/>
    <n v="336100"/>
    <n v="64300"/>
    <n v="400400"/>
    <n v="1.9348268839103868E-2"/>
    <n v="0.99970000000000003"/>
    <n v="0.99819999999999998"/>
    <n v="1.0007999999999999"/>
    <n v="1.0007999999999999"/>
    <n v="0.99080000000000001"/>
    <n v="0.94971499999999998"/>
    <n v="0.9407873176017203"/>
    <n v="328300"/>
    <n v="0"/>
    <n v="328300"/>
    <n v="61100"/>
    <n v="389400"/>
    <n v="-1.1144578313253013E-2"/>
    <n v="4.9342105263157892E-3"/>
    <n v="-8.6558044806517315E-3"/>
  </r>
  <r>
    <n v="2025"/>
    <s v="20120633415    "/>
    <n v="-1.8325814637483102"/>
    <n v="0.16"/>
    <n v="7181"/>
    <s v="2"/>
    <s v="RES"/>
    <s v="MX"/>
    <s v="11"/>
    <s v="259"/>
    <s v="RN"/>
    <x v="4"/>
    <s v="VG"/>
    <n v="10"/>
    <n v="15"/>
    <n v="15"/>
    <n v="2009"/>
    <n v="2009"/>
    <n v="1133"/>
    <m/>
    <m/>
    <m/>
    <m/>
    <n v="0"/>
    <n v="1133"/>
    <n v="1500"/>
    <s v="N"/>
    <m/>
    <n v="432"/>
    <m/>
    <m/>
    <m/>
    <m/>
    <m/>
    <n v="239135"/>
    <n v="224787"/>
    <n v="0"/>
    <n v="0"/>
    <n v="60800"/>
    <n v="299300"/>
    <n v="360100"/>
    <n v="132535.48800000001"/>
    <n v="88356.992000000013"/>
    <n v="-24051.387388882686"/>
    <n v="37154.252388000001"/>
    <n v="50438.379078999998"/>
    <n v="-1631.1165000000001"/>
    <n v="70710.96054"/>
    <n v="0"/>
    <n v="0"/>
    <n v="15250.045392"/>
    <n v="0"/>
    <n v="304500"/>
    <n v="64300"/>
    <n v="368800"/>
    <n v="2.4159955567897805E-2"/>
    <n v="0.99970000000000003"/>
    <n v="0.99819999999999998"/>
    <n v="1.0007999999999999"/>
    <n v="0.99519999999999997"/>
    <n v="0.99080000000000001"/>
    <n v="0.94971499999999998"/>
    <n v="0.93552311998124726"/>
    <n v="295900"/>
    <n v="0"/>
    <n v="295900"/>
    <n v="61100"/>
    <n v="357000"/>
    <n v="-1.1359839625793518E-2"/>
    <n v="4.9342105263157892E-3"/>
    <n v="-8.60871980005554E-3"/>
  </r>
  <r>
    <n v="2025"/>
    <s v="19120113601    "/>
    <n v="-1.8325814637483102"/>
    <n v="0.16"/>
    <n v="7077"/>
    <s v="2"/>
    <s v="RES"/>
    <s v="MX"/>
    <s v="11"/>
    <s v="259"/>
    <s v="RN"/>
    <x v="4"/>
    <s v="VG"/>
    <n v="10"/>
    <n v="16"/>
    <n v="16"/>
    <n v="2008"/>
    <n v="2008"/>
    <n v="1092"/>
    <m/>
    <m/>
    <m/>
    <m/>
    <n v="0"/>
    <n v="1092"/>
    <n v="1500"/>
    <s v="N"/>
    <m/>
    <n v="680"/>
    <m/>
    <m/>
    <m/>
    <m/>
    <m/>
    <n v="242656"/>
    <n v="225670"/>
    <n v="0"/>
    <n v="0"/>
    <n v="60800"/>
    <n v="305400"/>
    <n v="366200"/>
    <n v="132535.48800000001"/>
    <n v="88356.992000000013"/>
    <n v="-24051.387388882686"/>
    <n v="37154.252388000001"/>
    <n v="50438.379078999998"/>
    <n v="-1739.8576"/>
    <n v="68152.13496000001"/>
    <n v="0"/>
    <n v="0"/>
    <n v="24004.701080000003"/>
    <n v="0"/>
    <n v="310500"/>
    <n v="64300"/>
    <n v="374800"/>
    <n v="2.3484434735117424E-2"/>
    <n v="0.99970000000000003"/>
    <n v="0.99819999999999998"/>
    <n v="1.0007999999999999"/>
    <n v="0.99519999999999997"/>
    <n v="0.99080000000000001"/>
    <n v="0.94971499999999998"/>
    <n v="0.93552311998124726"/>
    <n v="302000"/>
    <n v="0"/>
    <n v="302000"/>
    <n v="61100"/>
    <n v="363100"/>
    <n v="-1.1132940406024885E-2"/>
    <n v="4.9342105263157892E-3"/>
    <n v="-8.4653194975423274E-3"/>
  </r>
  <r>
    <n v="2025"/>
    <s v="19120141449    "/>
    <n v="-1.8325814637483102"/>
    <n v="0.16"/>
    <n v="7154"/>
    <s v="2"/>
    <s v="RES"/>
    <s v="MX"/>
    <s v="11"/>
    <s v="259"/>
    <s v="CO"/>
    <x v="4"/>
    <s v="GD"/>
    <n v="10"/>
    <n v="19"/>
    <n v="19"/>
    <n v="2005"/>
    <n v="2005"/>
    <n v="1040"/>
    <n v="1040"/>
    <m/>
    <m/>
    <m/>
    <n v="0"/>
    <n v="2080"/>
    <n v="2500"/>
    <s v="N"/>
    <m/>
    <n v="440"/>
    <m/>
    <m/>
    <m/>
    <m/>
    <m/>
    <n v="371761"/>
    <n v="338303"/>
    <n v="0"/>
    <n v="0"/>
    <n v="60800"/>
    <n v="335600"/>
    <n v="396400"/>
    <n v="132535.48800000001"/>
    <n v="88356.992000000013"/>
    <n v="-24051.387388882686"/>
    <n v="37154.252388000001"/>
    <n v="30300.329274"/>
    <n v="-2066.0808999999999"/>
    <n v="64906.7952"/>
    <n v="61963.598319999997"/>
    <n v="0"/>
    <n v="15532.453640000002"/>
    <n v="0"/>
    <n v="340300"/>
    <n v="64300"/>
    <n v="404600"/>
    <n v="2.0686175580221997E-2"/>
    <n v="0.99970000000000003"/>
    <n v="0.99819999999999998"/>
    <n v="0.997"/>
    <n v="1.0008999999999999"/>
    <n v="0.99080000000000001"/>
    <n v="0.94971499999999998"/>
    <n v="0.93730883010318289"/>
    <n v="332000"/>
    <n v="0"/>
    <n v="332000"/>
    <n v="61100"/>
    <n v="393100"/>
    <n v="-1.0727056019070322E-2"/>
    <n v="4.9342105263157892E-3"/>
    <n v="-8.324924318869829E-3"/>
  </r>
  <r>
    <n v="2025"/>
    <s v="19120112446    "/>
    <n v="-1.8325814637483102"/>
    <n v="0.16"/>
    <n v="6995"/>
    <s v="2"/>
    <s v="RES"/>
    <s v="MX"/>
    <s v="11"/>
    <s v="259"/>
    <s v="RN"/>
    <x v="4"/>
    <s v="AV"/>
    <n v="10"/>
    <n v="17"/>
    <n v="17"/>
    <n v="2007"/>
    <n v="2007"/>
    <n v="1352"/>
    <m/>
    <m/>
    <m/>
    <m/>
    <n v="0"/>
    <n v="1352"/>
    <n v="1500"/>
    <s v="N"/>
    <m/>
    <n v="440"/>
    <m/>
    <m/>
    <m/>
    <m/>
    <m/>
    <n v="272131"/>
    <n v="250361"/>
    <n v="0"/>
    <n v="0"/>
    <n v="60800"/>
    <n v="279600"/>
    <n v="340400"/>
    <n v="132535.48800000001"/>
    <n v="88356.992000000013"/>
    <n v="-24051.387388882686"/>
    <n v="37154.252388000001"/>
    <n v="17761.121909000001"/>
    <n v="-1848.5987"/>
    <n v="84378.833760000009"/>
    <n v="0"/>
    <n v="0"/>
    <n v="15532.453640000002"/>
    <n v="0"/>
    <n v="285500"/>
    <n v="64300"/>
    <n v="349800"/>
    <n v="2.7614571092831962E-2"/>
    <n v="0.99970000000000003"/>
    <n v="0.99819999999999998"/>
    <n v="0.99680000000000002"/>
    <n v="0.99519999999999997"/>
    <n v="0.99080000000000001"/>
    <n v="0.94971499999999998"/>
    <n v="0.93178401878228145"/>
    <n v="276500"/>
    <n v="0"/>
    <n v="276500"/>
    <n v="61100"/>
    <n v="337600"/>
    <n v="-1.1087267525035766E-2"/>
    <n v="4.9342105263157892E-3"/>
    <n v="-8.2256169212690956E-3"/>
  </r>
  <r>
    <n v="2025"/>
    <s v="20120633499    "/>
    <n v="-1.8325814637483102"/>
    <n v="0.16"/>
    <n v="7070"/>
    <s v="2"/>
    <s v="RES"/>
    <s v="MX"/>
    <s v="11"/>
    <s v="259"/>
    <s v="CP"/>
    <x v="5"/>
    <s v="VG"/>
    <n v="10"/>
    <n v="12"/>
    <n v="12"/>
    <n v="2012"/>
    <n v="2012"/>
    <n v="1082"/>
    <n v="1106"/>
    <m/>
    <m/>
    <m/>
    <n v="0"/>
    <n v="2188"/>
    <n v="2500"/>
    <s v="N"/>
    <m/>
    <n v="484"/>
    <m/>
    <m/>
    <m/>
    <m/>
    <m/>
    <n v="435856"/>
    <n v="414063"/>
    <n v="0"/>
    <n v="0"/>
    <n v="60800"/>
    <n v="360900"/>
    <n v="421700"/>
    <n v="132535.48800000001"/>
    <n v="88356.992000000013"/>
    <n v="-24051.387388882686"/>
    <n v="32917.849192000001"/>
    <n v="50438.379078999998"/>
    <n v="-1304.8932"/>
    <n v="67528.031159999999"/>
    <n v="65895.903598000004"/>
    <n v="0"/>
    <n v="17085.699004000002"/>
    <n v="0"/>
    <n v="365100"/>
    <n v="64300"/>
    <n v="429400"/>
    <n v="1.8259426132321555E-2"/>
    <n v="0.99970000000000003"/>
    <n v="1.0019"/>
    <n v="1.0007999999999999"/>
    <n v="1.0008999999999999"/>
    <n v="0.99080000000000001"/>
    <n v="0.94971499999999998"/>
    <n v="0.94436885958806405"/>
    <n v="357700"/>
    <n v="0"/>
    <n v="357700"/>
    <n v="61100"/>
    <n v="418800"/>
    <n v="-8.8667220836796904E-3"/>
    <n v="4.9342105263157892E-3"/>
    <n v="-6.8769267251600668E-3"/>
  </r>
  <r>
    <n v="2025"/>
    <s v="20120634471    "/>
    <n v="-1.8325814637483102"/>
    <n v="0.16"/>
    <n v="7010"/>
    <s v="2"/>
    <s v="RES"/>
    <s v="MX"/>
    <s v="11"/>
    <s v="259"/>
    <s v="CP"/>
    <x v="4"/>
    <s v="VG"/>
    <n v="0"/>
    <n v="9"/>
    <n v="9"/>
    <n v="2015"/>
    <n v="2015"/>
    <n v="1388"/>
    <m/>
    <m/>
    <m/>
    <m/>
    <n v="0"/>
    <n v="1388"/>
    <n v="1500"/>
    <s v="N"/>
    <m/>
    <n v="404"/>
    <m/>
    <m/>
    <m/>
    <m/>
    <m/>
    <n v="277149"/>
    <n v="266063"/>
    <n v="0"/>
    <n v="0"/>
    <n v="60800"/>
    <n v="315500"/>
    <n v="376300"/>
    <n v="132535.48800000001"/>
    <n v="88356.992000000013"/>
    <n v="-24051.387388882686"/>
    <n v="37154.252388000001"/>
    <n v="50438.379078999998"/>
    <n v="-978.66989999999998"/>
    <n v="86625.607440000007"/>
    <n v="0"/>
    <n v="0"/>
    <n v="14261.616524000001"/>
    <n v="0"/>
    <n v="320000"/>
    <n v="64300"/>
    <n v="384300"/>
    <n v="2.1259633271326069E-2"/>
    <n v="0.99970000000000003"/>
    <n v="0.99819999999999998"/>
    <n v="1.0007999999999999"/>
    <n v="0.99519999999999997"/>
    <n v="1.0022"/>
    <n v="0.94971499999999998"/>
    <n v="0.94628711227816509"/>
    <n v="312900"/>
    <n v="0"/>
    <n v="312900"/>
    <n v="61100"/>
    <n v="374000"/>
    <n v="-8.2408874801901746E-3"/>
    <n v="4.9342105263157892E-3"/>
    <n v="-6.112144565506245E-3"/>
  </r>
  <r>
    <n v="2025"/>
    <s v="20120634466    "/>
    <n v="-1.8325814637483102"/>
    <n v="0.16"/>
    <n v="7010"/>
    <s v="2"/>
    <s v="RES"/>
    <s v="MX"/>
    <s v="11"/>
    <s v="259"/>
    <s v="CP"/>
    <x v="4"/>
    <s v="VG"/>
    <n v="0"/>
    <n v="9"/>
    <n v="9"/>
    <n v="2015"/>
    <n v="2015"/>
    <n v="1388"/>
    <m/>
    <m/>
    <m/>
    <m/>
    <n v="0"/>
    <n v="1388"/>
    <n v="1500"/>
    <s v="N"/>
    <m/>
    <n v="404"/>
    <m/>
    <m/>
    <m/>
    <m/>
    <m/>
    <n v="277149"/>
    <n v="266063"/>
    <n v="0"/>
    <n v="0"/>
    <n v="60800"/>
    <n v="315500"/>
    <n v="376300"/>
    <n v="132535.48800000001"/>
    <n v="88356.992000000013"/>
    <n v="-24051.387388882686"/>
    <n v="37154.252388000001"/>
    <n v="50438.379078999998"/>
    <n v="-978.66989999999998"/>
    <n v="86625.607440000007"/>
    <n v="0"/>
    <n v="0"/>
    <n v="14261.616524000001"/>
    <n v="0"/>
    <n v="320000"/>
    <n v="64300"/>
    <n v="384300"/>
    <n v="2.1259633271326069E-2"/>
    <n v="0.99970000000000003"/>
    <n v="0.99819999999999998"/>
    <n v="1.0007999999999999"/>
    <n v="0.99519999999999997"/>
    <n v="1.0022"/>
    <n v="0.94971499999999998"/>
    <n v="0.94628711227816509"/>
    <n v="312900"/>
    <n v="0"/>
    <n v="312900"/>
    <n v="61100"/>
    <n v="374000"/>
    <n v="-8.2408874801901746E-3"/>
    <n v="4.9342105263157892E-3"/>
    <n v="-6.112144565506245E-3"/>
  </r>
  <r>
    <n v="2025"/>
    <s v="20120634468    "/>
    <n v="-1.8325814637483102"/>
    <n v="0.16"/>
    <n v="7011"/>
    <s v="2"/>
    <s v="RES"/>
    <s v="MX"/>
    <s v="11"/>
    <s v="259"/>
    <s v="CP"/>
    <x v="4"/>
    <s v="VG"/>
    <n v="0"/>
    <n v="9"/>
    <n v="9"/>
    <n v="2015"/>
    <n v="2015"/>
    <n v="1388"/>
    <m/>
    <m/>
    <m/>
    <m/>
    <n v="0"/>
    <n v="1388"/>
    <n v="1500"/>
    <s v="N"/>
    <m/>
    <n v="404"/>
    <m/>
    <m/>
    <m/>
    <m/>
    <m/>
    <n v="277149"/>
    <n v="266063"/>
    <n v="0"/>
    <n v="0"/>
    <n v="60800"/>
    <n v="315500"/>
    <n v="376300"/>
    <n v="132535.48800000001"/>
    <n v="88356.992000000013"/>
    <n v="-24051.387388882686"/>
    <n v="37154.252388000001"/>
    <n v="50438.379078999998"/>
    <n v="-978.66989999999998"/>
    <n v="86625.607440000007"/>
    <n v="0"/>
    <n v="0"/>
    <n v="14261.616524000001"/>
    <n v="0"/>
    <n v="320000"/>
    <n v="64300"/>
    <n v="384300"/>
    <n v="2.1259633271326069E-2"/>
    <n v="0.99970000000000003"/>
    <n v="0.99819999999999998"/>
    <n v="1.0007999999999999"/>
    <n v="0.99519999999999997"/>
    <n v="1.0022"/>
    <n v="0.94971499999999998"/>
    <n v="0.94628711227816509"/>
    <n v="312900"/>
    <n v="0"/>
    <n v="312900"/>
    <n v="61100"/>
    <n v="374000"/>
    <n v="-8.2408874801901746E-3"/>
    <n v="4.9342105263157892E-3"/>
    <n v="-6.112144565506245E-3"/>
  </r>
  <r>
    <n v="2025"/>
    <s v="20120634476    "/>
    <n v="-1.8325814637483102"/>
    <n v="0.16"/>
    <n v="7057"/>
    <s v="2"/>
    <s v="RES"/>
    <s v="MX"/>
    <s v="11"/>
    <s v="259"/>
    <s v="CP"/>
    <x v="4"/>
    <s v="VG"/>
    <n v="0"/>
    <n v="9"/>
    <n v="9"/>
    <n v="2015"/>
    <n v="2015"/>
    <n v="1388"/>
    <m/>
    <m/>
    <m/>
    <m/>
    <n v="0"/>
    <n v="1388"/>
    <n v="1500"/>
    <s v="N"/>
    <m/>
    <n v="404"/>
    <m/>
    <m/>
    <m/>
    <m/>
    <m/>
    <n v="276869"/>
    <n v="265794"/>
    <n v="0"/>
    <n v="0"/>
    <n v="60800"/>
    <n v="315500"/>
    <n v="376300"/>
    <n v="132535.48800000001"/>
    <n v="88356.992000000013"/>
    <n v="-24051.387388882686"/>
    <n v="37154.252388000001"/>
    <n v="50438.379078999998"/>
    <n v="-978.66989999999998"/>
    <n v="86625.607440000007"/>
    <n v="0"/>
    <n v="0"/>
    <n v="14261.616524000001"/>
    <n v="0"/>
    <n v="320000"/>
    <n v="64300"/>
    <n v="384300"/>
    <n v="2.1259633271326069E-2"/>
    <n v="0.99970000000000003"/>
    <n v="0.99819999999999998"/>
    <n v="1.0007999999999999"/>
    <n v="0.99519999999999997"/>
    <n v="1.0022"/>
    <n v="0.94971499999999998"/>
    <n v="0.94628711227816509"/>
    <n v="312900"/>
    <n v="0"/>
    <n v="312900"/>
    <n v="61100"/>
    <n v="374000"/>
    <n v="-8.2408874801901746E-3"/>
    <n v="4.9342105263157892E-3"/>
    <n v="-6.112144565506245E-3"/>
  </r>
  <r>
    <n v="2025"/>
    <s v="20120634419    "/>
    <n v="-1.8325814637483102"/>
    <n v="0.16"/>
    <n v="7140"/>
    <s v="2"/>
    <s v="RES"/>
    <s v="MX"/>
    <s v="11"/>
    <s v="259"/>
    <s v="CP"/>
    <x v="5"/>
    <s v="VG"/>
    <n v="10"/>
    <n v="11"/>
    <n v="11"/>
    <n v="2013"/>
    <n v="2013"/>
    <n v="1826"/>
    <m/>
    <m/>
    <m/>
    <m/>
    <n v="0"/>
    <n v="1826"/>
    <n v="2000"/>
    <s v="N"/>
    <n v="1"/>
    <n v="666"/>
    <m/>
    <m/>
    <m/>
    <m/>
    <m/>
    <n v="408453"/>
    <n v="388030"/>
    <n v="0"/>
    <n v="0"/>
    <n v="60800"/>
    <n v="347400"/>
    <n v="408200"/>
    <n v="132535.48800000001"/>
    <n v="88356.992000000013"/>
    <n v="-24051.387388882686"/>
    <n v="32917.849192000001"/>
    <n v="50438.379078999998"/>
    <n v="-1196.1521"/>
    <n v="113961.35388000001"/>
    <n v="0"/>
    <n v="0"/>
    <n v="23510.486646000001"/>
    <n v="0"/>
    <n v="352200"/>
    <n v="64300"/>
    <n v="416500"/>
    <n v="2.0333170014698677E-2"/>
    <n v="0.99970000000000003"/>
    <n v="1.0019"/>
    <n v="1.0007999999999999"/>
    <n v="1.0007999999999999"/>
    <n v="0.99080000000000001"/>
    <n v="0.94971499999999998"/>
    <n v="0.94427450761887755"/>
    <n v="344800"/>
    <n v="0"/>
    <n v="344800"/>
    <n v="61100"/>
    <n v="405900"/>
    <n v="-7.4841681059297643E-3"/>
    <n v="4.9342105263157892E-3"/>
    <n v="-5.6344928956393921E-3"/>
  </r>
  <r>
    <n v="2025"/>
    <s v="20120633428    "/>
    <n v="-1.8325814637483102"/>
    <n v="0.16"/>
    <n v="7070"/>
    <s v="2"/>
    <s v="RES"/>
    <s v="MX"/>
    <s v="11"/>
    <s v="259"/>
    <s v="CP"/>
    <x v="4"/>
    <s v="VG"/>
    <n v="10"/>
    <n v="15"/>
    <n v="15"/>
    <n v="2009"/>
    <n v="2009"/>
    <n v="1176"/>
    <m/>
    <m/>
    <m/>
    <m/>
    <n v="0"/>
    <n v="1176"/>
    <n v="1500"/>
    <s v="N"/>
    <m/>
    <n v="400"/>
    <m/>
    <m/>
    <m/>
    <m/>
    <m/>
    <n v="243937"/>
    <n v="229301"/>
    <n v="0"/>
    <n v="0"/>
    <n v="60800"/>
    <n v="299600"/>
    <n v="360400"/>
    <n v="132535.48800000001"/>
    <n v="88356.992000000013"/>
    <n v="-24051.387388882686"/>
    <n v="37154.252388000001"/>
    <n v="50438.379078999998"/>
    <n v="-1631.1165000000001"/>
    <n v="73394.606880000007"/>
    <n v="0"/>
    <n v="0"/>
    <n v="14120.412400000001"/>
    <n v="0"/>
    <n v="306000"/>
    <n v="64300"/>
    <n v="370300"/>
    <n v="2.746947835738069E-2"/>
    <n v="0.99970000000000003"/>
    <n v="0.99819999999999998"/>
    <n v="1.0007999999999999"/>
    <n v="0.99519999999999997"/>
    <n v="0.99080000000000001"/>
    <n v="0.94971499999999998"/>
    <n v="0.93552311998124726"/>
    <n v="297500"/>
    <n v="0"/>
    <n v="297500"/>
    <n v="61100"/>
    <n v="358600"/>
    <n v="-7.0093457943925233E-3"/>
    <n v="4.9342105263157892E-3"/>
    <n v="-4.9944506104328528E-3"/>
  </r>
  <r>
    <n v="2025"/>
    <s v="20120633414    "/>
    <n v="-1.8325814637483102"/>
    <n v="0.16"/>
    <n v="7181"/>
    <s v="2"/>
    <s v="RES"/>
    <s v="MX"/>
    <s v="11"/>
    <s v="259"/>
    <s v="RN"/>
    <x v="4"/>
    <s v="VG"/>
    <n v="10"/>
    <n v="15"/>
    <n v="15"/>
    <n v="2009"/>
    <n v="2009"/>
    <n v="1176"/>
    <m/>
    <m/>
    <m/>
    <m/>
    <n v="0"/>
    <n v="1176"/>
    <n v="1500"/>
    <s v="N"/>
    <m/>
    <n v="400"/>
    <m/>
    <m/>
    <m/>
    <m/>
    <m/>
    <n v="254148"/>
    <n v="238899"/>
    <n v="0"/>
    <n v="0"/>
    <n v="60800"/>
    <n v="299600"/>
    <n v="360400"/>
    <n v="132535.48800000001"/>
    <n v="88356.992000000013"/>
    <n v="-24051.387388882686"/>
    <n v="37154.252388000001"/>
    <n v="50438.379078999998"/>
    <n v="-1631.1165000000001"/>
    <n v="73394.606880000007"/>
    <n v="0"/>
    <n v="0"/>
    <n v="14120.412400000001"/>
    <n v="0"/>
    <n v="306000"/>
    <n v="64300"/>
    <n v="370300"/>
    <n v="2.746947835738069E-2"/>
    <n v="0.99970000000000003"/>
    <n v="0.99819999999999998"/>
    <n v="1.0007999999999999"/>
    <n v="0.99519999999999997"/>
    <n v="0.99080000000000001"/>
    <n v="0.94971499999999998"/>
    <n v="0.93552311998124726"/>
    <n v="297500"/>
    <n v="0"/>
    <n v="297500"/>
    <n v="61100"/>
    <n v="358600"/>
    <n v="-7.0093457943925233E-3"/>
    <n v="4.9342105263157892E-3"/>
    <n v="-4.9944506104328528E-3"/>
  </r>
  <r>
    <n v="2025"/>
    <s v="20120633445    "/>
    <n v="-1.8325814637483102"/>
    <n v="0.16"/>
    <n v="7100"/>
    <s v="2"/>
    <s v="RES"/>
    <s v="MX"/>
    <s v="11"/>
    <s v="259"/>
    <s v="CO"/>
    <x v="4"/>
    <s v="VG"/>
    <n v="10"/>
    <n v="13"/>
    <n v="13"/>
    <n v="2011"/>
    <n v="2011"/>
    <n v="1364"/>
    <m/>
    <m/>
    <m/>
    <m/>
    <n v="0"/>
    <n v="1364"/>
    <n v="1500"/>
    <s v="N"/>
    <m/>
    <n v="428"/>
    <m/>
    <m/>
    <m/>
    <m/>
    <m/>
    <n v="274796"/>
    <n v="261056"/>
    <n v="0"/>
    <n v="0"/>
    <n v="60800"/>
    <n v="312200"/>
    <n v="373000"/>
    <n v="132535.48800000001"/>
    <n v="88356.992000000013"/>
    <n v="-24051.387388882686"/>
    <n v="37154.252388000001"/>
    <n v="50438.379078999998"/>
    <n v="-1413.6342999999999"/>
    <n v="85127.758320000008"/>
    <n v="0"/>
    <n v="0"/>
    <n v="15108.841268"/>
    <n v="0"/>
    <n v="319000"/>
    <n v="64300"/>
    <n v="383300"/>
    <n v="2.7613941018766755E-2"/>
    <n v="0.99970000000000003"/>
    <n v="0.99819999999999998"/>
    <n v="1.0007999999999999"/>
    <n v="0.99519999999999997"/>
    <n v="0.99080000000000001"/>
    <n v="0.94971499999999998"/>
    <n v="0.93552311998124726"/>
    <n v="310400"/>
    <n v="0"/>
    <n v="310400"/>
    <n v="61100"/>
    <n v="371500"/>
    <n v="-5.7655349135169766E-3"/>
    <n v="4.9342105263157892E-3"/>
    <n v="-4.0214477211796247E-3"/>
  </r>
  <r>
    <n v="2025"/>
    <s v="19120144491    "/>
    <n v="-1.8325814637483102"/>
    <n v="0.16"/>
    <n v="7004"/>
    <s v="2"/>
    <s v="RES"/>
    <s v="MX"/>
    <s v="11"/>
    <s v="259"/>
    <s v="RN"/>
    <x v="4"/>
    <s v="AV"/>
    <n v="20"/>
    <n v="20"/>
    <n v="20"/>
    <n v="2004"/>
    <n v="2004"/>
    <n v="1076"/>
    <m/>
    <m/>
    <m/>
    <m/>
    <n v="0"/>
    <n v="1076"/>
    <n v="1500"/>
    <s v="N"/>
    <m/>
    <n v="440"/>
    <m/>
    <m/>
    <m/>
    <m/>
    <m/>
    <n v="234271"/>
    <n v="213187"/>
    <n v="0"/>
    <n v="0"/>
    <n v="60800"/>
    <n v="263400"/>
    <n v="324200"/>
    <n v="132535.48800000001"/>
    <n v="88356.992000000013"/>
    <n v="-24051.387388882686"/>
    <n v="37154.252388000001"/>
    <n v="17761.121909000001"/>
    <n v="-2174.8220000000001"/>
    <n v="67153.568880000006"/>
    <n v="0"/>
    <n v="0"/>
    <n v="15532.453640000002"/>
    <n v="0"/>
    <n v="268000"/>
    <n v="64300"/>
    <n v="332300"/>
    <n v="2.4984577421344849E-2"/>
    <n v="0.99970000000000003"/>
    <n v="0.99819999999999998"/>
    <n v="0.99680000000000002"/>
    <n v="0.99519999999999997"/>
    <n v="1.0138"/>
    <n v="0.94971499999999998"/>
    <n v="0.95341404747827707"/>
    <n v="261800"/>
    <n v="0"/>
    <n v="261800"/>
    <n v="61100"/>
    <n v="322900"/>
    <n v="-6.0744115413819289E-3"/>
    <n v="4.9342105263157892E-3"/>
    <n v="-4.0098704503392967E-3"/>
  </r>
  <r>
    <n v="2025"/>
    <s v="19120141422    "/>
    <n v="-1.8325814637483102"/>
    <n v="0.16"/>
    <n v="6960"/>
    <s v="2"/>
    <s v="RES"/>
    <s v="MX"/>
    <s v="11"/>
    <s v="259"/>
    <s v="RN"/>
    <x v="4"/>
    <s v="GD"/>
    <n v="10"/>
    <n v="19"/>
    <n v="19"/>
    <n v="2005"/>
    <n v="2005"/>
    <n v="1364"/>
    <m/>
    <m/>
    <m/>
    <m/>
    <n v="0"/>
    <n v="1364"/>
    <n v="1500"/>
    <s v="N"/>
    <m/>
    <n v="428"/>
    <m/>
    <m/>
    <m/>
    <m/>
    <m/>
    <n v="273939"/>
    <n v="249284"/>
    <n v="0"/>
    <n v="0"/>
    <n v="60800"/>
    <n v="290800"/>
    <n v="351600"/>
    <n v="132535.48800000001"/>
    <n v="88356.992000000013"/>
    <n v="-24051.387388882686"/>
    <n v="37154.252388000001"/>
    <n v="30300.329274"/>
    <n v="-2066.0808999999999"/>
    <n v="85127.758320000008"/>
    <n v="0"/>
    <n v="0"/>
    <n v="15108.841268"/>
    <n v="0"/>
    <n v="298200"/>
    <n v="64300"/>
    <n v="362500"/>
    <n v="3.1001137656427757E-2"/>
    <n v="0.99970000000000003"/>
    <n v="0.99819999999999998"/>
    <n v="0.997"/>
    <n v="0.99519999999999997"/>
    <n v="0.99080000000000001"/>
    <n v="0.94971499999999998"/>
    <n v="0.93197097384222971"/>
    <n v="289100"/>
    <n v="0"/>
    <n v="289100"/>
    <n v="61100"/>
    <n v="350200"/>
    <n v="-5.8459422283356263E-3"/>
    <n v="4.9342105263157892E-3"/>
    <n v="-3.9817974971558586E-3"/>
  </r>
  <r>
    <n v="2025"/>
    <s v="19120113422    "/>
    <n v="-1.8325814637483102"/>
    <n v="0.16"/>
    <n v="7001"/>
    <s v="2"/>
    <s v="RES"/>
    <s v="MX"/>
    <s v="11"/>
    <s v="259"/>
    <s v="RN"/>
    <x v="4"/>
    <s v="GD"/>
    <n v="10"/>
    <n v="17"/>
    <n v="17"/>
    <n v="2007"/>
    <n v="2007"/>
    <n v="1380"/>
    <m/>
    <m/>
    <m/>
    <m/>
    <n v="0"/>
    <n v="1380"/>
    <n v="1500"/>
    <s v="N"/>
    <m/>
    <n v="428"/>
    <m/>
    <m/>
    <m/>
    <m/>
    <m/>
    <n v="275531"/>
    <n v="253489"/>
    <n v="0"/>
    <n v="0"/>
    <n v="60800"/>
    <n v="292100"/>
    <n v="352900"/>
    <n v="132535.48800000001"/>
    <n v="88356.992000000013"/>
    <n v="-24051.387388882686"/>
    <n v="37154.252388000001"/>
    <n v="30300.329274"/>
    <n v="-1848.5987"/>
    <n v="86126.324399999998"/>
    <n v="0"/>
    <n v="0"/>
    <n v="15108.841268"/>
    <n v="0"/>
    <n v="299400"/>
    <n v="64300"/>
    <n v="363700"/>
    <n v="3.0603570416548598E-2"/>
    <n v="0.99970000000000003"/>
    <n v="0.99819999999999998"/>
    <n v="0.997"/>
    <n v="0.99519999999999997"/>
    <n v="0.99080000000000001"/>
    <n v="0.94971499999999998"/>
    <n v="0.93197097384222971"/>
    <n v="290400"/>
    <n v="0"/>
    <n v="290400"/>
    <n v="61100"/>
    <n v="351500"/>
    <n v="-5.8199246833276277E-3"/>
    <n v="4.9342105263157892E-3"/>
    <n v="-3.9671294984414849E-3"/>
  </r>
  <r>
    <n v="2025"/>
    <s v="20120634420    "/>
    <n v="-1.8325814637483102"/>
    <n v="0.16"/>
    <n v="7139"/>
    <s v="2"/>
    <s v="RES"/>
    <s v="MX"/>
    <s v="11"/>
    <s v="259"/>
    <s v="CP"/>
    <x v="4"/>
    <s v="VG"/>
    <n v="0"/>
    <n v="9"/>
    <n v="9"/>
    <n v="2015"/>
    <n v="2015"/>
    <n v="1388"/>
    <m/>
    <m/>
    <m/>
    <m/>
    <n v="0"/>
    <n v="1388"/>
    <n v="1500"/>
    <s v="N"/>
    <m/>
    <n v="404"/>
    <m/>
    <m/>
    <m/>
    <m/>
    <m/>
    <n v="276487"/>
    <n v="265428"/>
    <n v="0"/>
    <n v="0"/>
    <n v="60800"/>
    <n v="314600"/>
    <n v="375400"/>
    <n v="132535.48800000001"/>
    <n v="88356.992000000013"/>
    <n v="-24051.387388882686"/>
    <n v="37154.252388000001"/>
    <n v="50438.379078999998"/>
    <n v="-978.66989999999998"/>
    <n v="86625.607440000007"/>
    <n v="0"/>
    <n v="0"/>
    <n v="14261.616524000001"/>
    <n v="0"/>
    <n v="320000"/>
    <n v="64300"/>
    <n v="384300"/>
    <n v="2.3708044752264252E-2"/>
    <n v="0.99970000000000003"/>
    <n v="0.99819999999999998"/>
    <n v="1.0007999999999999"/>
    <n v="0.99519999999999997"/>
    <n v="1.0022"/>
    <n v="0.94971499999999998"/>
    <n v="0.94628711227816509"/>
    <n v="312900"/>
    <n v="0"/>
    <n v="312900"/>
    <n v="61100"/>
    <n v="374000"/>
    <n v="-5.4036872218690404E-3"/>
    <n v="4.9342105263157892E-3"/>
    <n v="-3.7293553542887587E-3"/>
  </r>
  <r>
    <n v="2025"/>
    <s v="20120633425    "/>
    <n v="-1.8325814637483102"/>
    <n v="0.16"/>
    <n v="7001"/>
    <s v="2"/>
    <s v="RES"/>
    <s v="MX"/>
    <s v="11"/>
    <s v="259"/>
    <s v="RN"/>
    <x v="4"/>
    <s v="GD"/>
    <n v="10"/>
    <n v="15"/>
    <n v="15"/>
    <n v="2009"/>
    <n v="2009"/>
    <n v="1420"/>
    <m/>
    <m/>
    <m/>
    <m/>
    <n v="0"/>
    <n v="1420"/>
    <n v="1500"/>
    <s v="N"/>
    <n v="1"/>
    <n v="400"/>
    <m/>
    <m/>
    <m/>
    <m/>
    <m/>
    <n v="287431"/>
    <n v="267311"/>
    <n v="0"/>
    <n v="0"/>
    <n v="60800"/>
    <n v="293700"/>
    <n v="354500"/>
    <n v="132535.48800000001"/>
    <n v="88356.992000000013"/>
    <n v="-24051.387388882686"/>
    <n v="37154.252388000001"/>
    <n v="30300.329274"/>
    <n v="-1631.1165000000001"/>
    <n v="88622.739600000001"/>
    <n v="0"/>
    <n v="0"/>
    <n v="14120.412400000001"/>
    <n v="0"/>
    <n v="301100"/>
    <n v="64300"/>
    <n v="365400"/>
    <n v="3.07475317348378E-2"/>
    <n v="0.99970000000000003"/>
    <n v="0.99819999999999998"/>
    <n v="0.997"/>
    <n v="0.99519999999999997"/>
    <n v="0.99080000000000001"/>
    <n v="0.94971499999999998"/>
    <n v="0.93197097384222971"/>
    <n v="292100"/>
    <n v="0"/>
    <n v="292100"/>
    <n v="61100"/>
    <n v="353200"/>
    <n v="-5.4477357848144361E-3"/>
    <n v="4.9342105263157892E-3"/>
    <n v="-3.6671368124118475E-3"/>
  </r>
  <r>
    <n v="2025"/>
    <s v="20120633502    "/>
    <n v="-1.8325814637483102"/>
    <n v="0.16"/>
    <n v="7070"/>
    <s v="2"/>
    <s v="RES"/>
    <s v="MX"/>
    <s v="11"/>
    <s v="259"/>
    <s v="RN"/>
    <x v="4"/>
    <s v="VG"/>
    <n v="10"/>
    <n v="12"/>
    <n v="12"/>
    <n v="2012"/>
    <n v="2012"/>
    <n v="1390"/>
    <m/>
    <m/>
    <m/>
    <m/>
    <n v="0"/>
    <n v="1390"/>
    <n v="1500"/>
    <s v="N"/>
    <m/>
    <n v="402"/>
    <m/>
    <m/>
    <m/>
    <m/>
    <m/>
    <n v="277365"/>
    <n v="263497"/>
    <n v="0"/>
    <n v="0"/>
    <n v="60800"/>
    <n v="312800"/>
    <n v="373600"/>
    <n v="132535.48800000001"/>
    <n v="88356.992000000013"/>
    <n v="-24051.387388882686"/>
    <n v="37154.252388000001"/>
    <n v="50438.379078999998"/>
    <n v="-1304.8932"/>
    <n v="86750.428200000009"/>
    <n v="0"/>
    <n v="0"/>
    <n v="14191.014462000001"/>
    <n v="0"/>
    <n v="319800"/>
    <n v="64300"/>
    <n v="384100"/>
    <n v="2.8104925053533191E-2"/>
    <n v="0.99970000000000003"/>
    <n v="0.99819999999999998"/>
    <n v="1.0007999999999999"/>
    <n v="0.99519999999999997"/>
    <n v="0.99080000000000001"/>
    <n v="0.94971499999999998"/>
    <n v="0.93552311998124726"/>
    <n v="311200"/>
    <n v="0"/>
    <n v="311200"/>
    <n v="61100"/>
    <n v="372300"/>
    <n v="-5.1150895140664966E-3"/>
    <n v="4.9342105263157892E-3"/>
    <n v="-3.4796573875802996E-3"/>
  </r>
  <r>
    <n v="2025"/>
    <s v="20120634405    "/>
    <n v="-1.8325814637483102"/>
    <n v="0.16"/>
    <n v="7066"/>
    <s v="2"/>
    <s v="RES"/>
    <s v="MX"/>
    <s v="11"/>
    <s v="259"/>
    <s v="CP"/>
    <x v="5"/>
    <s v="VG"/>
    <n v="10"/>
    <n v="11"/>
    <n v="11"/>
    <n v="2013"/>
    <n v="2013"/>
    <n v="1126"/>
    <n v="1126"/>
    <m/>
    <m/>
    <m/>
    <n v="0"/>
    <n v="2252"/>
    <n v="2500"/>
    <s v="N"/>
    <n v="1"/>
    <n v="680"/>
    <m/>
    <m/>
    <m/>
    <m/>
    <m/>
    <n v="462143"/>
    <n v="439036"/>
    <n v="0"/>
    <n v="0"/>
    <n v="60800"/>
    <n v="370500"/>
    <n v="431300"/>
    <n v="132535.48800000001"/>
    <n v="88356.992000000013"/>
    <n v="-24051.387388882686"/>
    <n v="32917.849192000001"/>
    <n v="50438.379078999998"/>
    <n v="-1196.1521"/>
    <n v="70274.087880000006"/>
    <n v="67087.511257999999"/>
    <n v="0"/>
    <n v="24004.701080000003"/>
    <n v="0"/>
    <n v="376100"/>
    <n v="64300"/>
    <n v="440400"/>
    <n v="2.1099003014143289E-2"/>
    <n v="0.99970000000000003"/>
    <n v="1.0019"/>
    <n v="1.0007999999999999"/>
    <n v="1.0008999999999999"/>
    <n v="0.99080000000000001"/>
    <n v="0.94971499999999998"/>
    <n v="0.94436885958806405"/>
    <n v="368700"/>
    <n v="0"/>
    <n v="368700"/>
    <n v="61100"/>
    <n v="429800"/>
    <n v="-4.8582995951417006E-3"/>
    <n v="4.9342105263157892E-3"/>
    <n v="-3.4778576396939484E-3"/>
  </r>
  <r>
    <n v="2025"/>
    <s v="19120113564    "/>
    <n v="-1.8325814637483102"/>
    <n v="0.16"/>
    <n v="7033"/>
    <s v="2"/>
    <s v="RES"/>
    <s v="MX"/>
    <s v="11"/>
    <s v="259"/>
    <s v="RN"/>
    <x v="4"/>
    <s v="GD"/>
    <n v="10"/>
    <n v="16"/>
    <n v="16"/>
    <n v="2008"/>
    <n v="2008"/>
    <n v="1368"/>
    <m/>
    <m/>
    <m/>
    <m/>
    <n v="0"/>
    <n v="1368"/>
    <n v="1500"/>
    <s v="N"/>
    <n v="1"/>
    <n v="440"/>
    <m/>
    <m/>
    <m/>
    <m/>
    <m/>
    <n v="281186"/>
    <n v="258691"/>
    <n v="0"/>
    <n v="0"/>
    <n v="60800"/>
    <n v="291600"/>
    <n v="352400"/>
    <n v="132535.48800000001"/>
    <n v="88356.992000000013"/>
    <n v="-24051.387388882686"/>
    <n v="37154.252388000001"/>
    <n v="30300.329274"/>
    <n v="-1739.8576"/>
    <n v="85377.399839999998"/>
    <n v="0"/>
    <n v="0"/>
    <n v="15532.453640000002"/>
    <n v="0"/>
    <n v="299200"/>
    <n v="64300"/>
    <n v="363500"/>
    <n v="3.1498297389330306E-2"/>
    <n v="0.99970000000000003"/>
    <n v="0.99819999999999998"/>
    <n v="0.997"/>
    <n v="0.99519999999999997"/>
    <n v="0.99080000000000001"/>
    <n v="0.94971499999999998"/>
    <n v="0.93197097384222971"/>
    <n v="290100"/>
    <n v="0"/>
    <n v="290100"/>
    <n v="61100"/>
    <n v="351200"/>
    <n v="-5.1440329218106996E-3"/>
    <n v="4.9342105263157892E-3"/>
    <n v="-3.4052213393870601E-3"/>
  </r>
  <r>
    <n v="2025"/>
    <s v="19120113500    "/>
    <n v="-1.8325814637483102"/>
    <n v="0.16"/>
    <n v="7117"/>
    <s v="2"/>
    <s v="RES"/>
    <s v="MX"/>
    <s v="11"/>
    <s v="259"/>
    <s v="CO"/>
    <x v="4"/>
    <s v="GD"/>
    <n v="10"/>
    <n v="18"/>
    <n v="18"/>
    <n v="2006"/>
    <n v="2006"/>
    <n v="1040"/>
    <n v="1040"/>
    <m/>
    <m/>
    <m/>
    <n v="0"/>
    <n v="2080"/>
    <n v="2500"/>
    <s v="N"/>
    <m/>
    <n v="400"/>
    <m/>
    <m/>
    <m/>
    <m/>
    <m/>
    <n v="365369"/>
    <n v="332486"/>
    <n v="0"/>
    <n v="0"/>
    <n v="60800"/>
    <n v="332300"/>
    <n v="393100"/>
    <n v="132535.48800000001"/>
    <n v="88356.992000000013"/>
    <n v="-24051.387388882686"/>
    <n v="37154.252388000001"/>
    <n v="30300.329274"/>
    <n v="-1957.3398"/>
    <n v="64906.7952"/>
    <n v="61963.598319999997"/>
    <n v="0"/>
    <n v="14120.412400000001"/>
    <n v="0"/>
    <n v="339000"/>
    <n v="64300"/>
    <n v="403300"/>
    <n v="2.5947596031544135E-2"/>
    <n v="0.99970000000000003"/>
    <n v="0.99819999999999998"/>
    <n v="0.997"/>
    <n v="1.0008999999999999"/>
    <n v="0.99080000000000001"/>
    <n v="0.94971499999999998"/>
    <n v="0.93730883010318289"/>
    <n v="330700"/>
    <n v="0"/>
    <n v="330700"/>
    <n v="61100"/>
    <n v="391800"/>
    <n v="-4.8149262714414689E-3"/>
    <n v="4.9342105263157892E-3"/>
    <n v="-3.307046553039939E-3"/>
  </r>
  <r>
    <n v="2025"/>
    <s v="20120634418    "/>
    <n v="-1.8325814637483102"/>
    <n v="0.16"/>
    <n v="7139"/>
    <s v="2"/>
    <s v="RES"/>
    <s v="MX"/>
    <s v="11"/>
    <s v="259"/>
    <s v="CP"/>
    <x v="4"/>
    <s v="VG"/>
    <n v="10"/>
    <n v="11"/>
    <n v="11"/>
    <n v="2013"/>
    <n v="2013"/>
    <n v="1388"/>
    <m/>
    <m/>
    <m/>
    <m/>
    <n v="0"/>
    <n v="1388"/>
    <n v="1500"/>
    <s v="N"/>
    <m/>
    <n v="404"/>
    <m/>
    <m/>
    <m/>
    <m/>
    <m/>
    <n v="276487"/>
    <n v="262663"/>
    <n v="0"/>
    <n v="0"/>
    <n v="60800"/>
    <n v="312800"/>
    <n v="373600"/>
    <n v="132535.48800000001"/>
    <n v="88356.992000000013"/>
    <n v="-24051.387388882686"/>
    <n v="37154.252388000001"/>
    <n v="50438.379078999998"/>
    <n v="-1196.1521"/>
    <n v="86625.607440000007"/>
    <n v="0"/>
    <n v="0"/>
    <n v="14261.616524000001"/>
    <n v="0"/>
    <n v="319800"/>
    <n v="64300"/>
    <n v="384100"/>
    <n v="2.8104925053533191E-2"/>
    <n v="0.99970000000000003"/>
    <n v="0.99819999999999998"/>
    <n v="1.0007999999999999"/>
    <n v="0.99519999999999997"/>
    <n v="0.99080000000000001"/>
    <n v="0.94971499999999998"/>
    <n v="0.93552311998124726"/>
    <n v="311300"/>
    <n v="0"/>
    <n v="311300"/>
    <n v="61100"/>
    <n v="372400"/>
    <n v="-4.7953964194373403E-3"/>
    <n v="4.9342105263157892E-3"/>
    <n v="-3.2119914346895075E-3"/>
  </r>
  <r>
    <n v="2025"/>
    <s v="19120141469    "/>
    <n v="-1.8325814637483102"/>
    <n v="0.16"/>
    <n v="7013"/>
    <s v="2"/>
    <s v="RES"/>
    <s v="MX"/>
    <s v="11"/>
    <s v="259"/>
    <s v="RN"/>
    <x v="4"/>
    <s v="AV"/>
    <n v="10"/>
    <n v="19"/>
    <n v="19"/>
    <n v="2005"/>
    <n v="2005"/>
    <n v="1288"/>
    <m/>
    <m/>
    <m/>
    <m/>
    <n v="0"/>
    <n v="1288"/>
    <n v="1500"/>
    <s v="N"/>
    <n v="1"/>
    <n v="302"/>
    <m/>
    <m/>
    <m/>
    <m/>
    <m/>
    <n v="266140"/>
    <n v="239526"/>
    <n v="0"/>
    <n v="0"/>
    <n v="60800"/>
    <n v="268700"/>
    <n v="329500"/>
    <n v="132535.48800000001"/>
    <n v="88356.992000000013"/>
    <n v="-24051.387388882686"/>
    <n v="37154.252388000001"/>
    <n v="17761.121909000001"/>
    <n v="-2066.0808999999999"/>
    <n v="80384.569440000007"/>
    <n v="0"/>
    <n v="0"/>
    <n v="10660.911362000001"/>
    <n v="0"/>
    <n v="276400"/>
    <n v="64300"/>
    <n v="340700"/>
    <n v="3.3990895295902886E-2"/>
    <n v="0.99970000000000003"/>
    <n v="0.99819999999999998"/>
    <n v="0.99680000000000002"/>
    <n v="0.99519999999999997"/>
    <n v="0.99080000000000001"/>
    <n v="0.94971499999999998"/>
    <n v="0.93178401878228145"/>
    <n v="267400"/>
    <n v="0"/>
    <n v="267400"/>
    <n v="61100"/>
    <n v="328500"/>
    <n v="-4.8381094157052473E-3"/>
    <n v="4.9342105263157892E-3"/>
    <n v="-3.0349013657056147E-3"/>
  </r>
  <r>
    <n v="2025"/>
    <s v="19120141417    "/>
    <n v="-1.8325814637483102"/>
    <n v="0.16"/>
    <n v="6942"/>
    <s v="2"/>
    <s v="RES"/>
    <s v="MX"/>
    <s v="11"/>
    <s v="259"/>
    <s v="RN"/>
    <x v="4"/>
    <s v="AV"/>
    <n v="10"/>
    <n v="19"/>
    <n v="19"/>
    <n v="2005"/>
    <n v="2005"/>
    <n v="1380"/>
    <m/>
    <m/>
    <m/>
    <m/>
    <n v="0"/>
    <n v="1380"/>
    <n v="1500"/>
    <s v="N"/>
    <m/>
    <n v="428"/>
    <m/>
    <m/>
    <m/>
    <m/>
    <m/>
    <n v="275531"/>
    <n v="247978"/>
    <n v="0"/>
    <n v="0"/>
    <n v="60800"/>
    <n v="278800"/>
    <n v="339600"/>
    <n v="132535.48800000001"/>
    <n v="88356.992000000013"/>
    <n v="-24051.387388882686"/>
    <n v="37154.252388000001"/>
    <n v="17761.121909000001"/>
    <n v="-2066.0808999999999"/>
    <n v="86126.324399999998"/>
    <n v="0"/>
    <n v="0"/>
    <n v="15108.841268"/>
    <n v="0"/>
    <n v="286600"/>
    <n v="64300"/>
    <n v="350900"/>
    <n v="3.3274440518256773E-2"/>
    <n v="0.99970000000000003"/>
    <n v="0.99819999999999998"/>
    <n v="0.99680000000000002"/>
    <n v="0.99519999999999997"/>
    <n v="0.99080000000000001"/>
    <n v="0.94971499999999998"/>
    <n v="0.93178401878228145"/>
    <n v="277600"/>
    <n v="0"/>
    <n v="277600"/>
    <n v="61100"/>
    <n v="338700"/>
    <n v="-4.30416068866571E-3"/>
    <n v="4.9342105263157892E-3"/>
    <n v="-2.6501766784452299E-3"/>
  </r>
  <r>
    <n v="2025"/>
    <s v="20120633504    "/>
    <n v="-1.8325814637483102"/>
    <n v="0.16"/>
    <n v="7030"/>
    <s v="2"/>
    <s v="RES"/>
    <s v="MX"/>
    <s v="11"/>
    <s v="259"/>
    <s v="CP"/>
    <x v="5"/>
    <s v="VG"/>
    <n v="10"/>
    <n v="13"/>
    <n v="13"/>
    <n v="2011"/>
    <n v="2011"/>
    <n v="1111"/>
    <n v="1126"/>
    <m/>
    <m/>
    <m/>
    <n v="0"/>
    <n v="2237"/>
    <n v="2500"/>
    <s v="N"/>
    <m/>
    <n v="455"/>
    <m/>
    <m/>
    <m/>
    <m/>
    <m/>
    <n v="448615"/>
    <n v="426184"/>
    <n v="0"/>
    <n v="0"/>
    <n v="60800"/>
    <n v="360600"/>
    <n v="421400"/>
    <n v="132535.48800000001"/>
    <n v="88356.992000000013"/>
    <n v="-24051.387388882686"/>
    <n v="32917.849192000001"/>
    <n v="50438.379078999998"/>
    <n v="-1413.6342999999999"/>
    <n v="69337.932180000003"/>
    <n v="67087.511257999999"/>
    <n v="0"/>
    <n v="16061.969105"/>
    <n v="0"/>
    <n v="367000"/>
    <n v="64300"/>
    <n v="431300"/>
    <n v="2.3493118177503561E-2"/>
    <n v="0.99970000000000003"/>
    <n v="1.0019"/>
    <n v="1.0007999999999999"/>
    <n v="1.0008999999999999"/>
    <n v="0.99080000000000001"/>
    <n v="0.94971499999999998"/>
    <n v="0.94436885958806405"/>
    <n v="359600"/>
    <n v="0"/>
    <n v="359600"/>
    <n v="61100"/>
    <n v="420700"/>
    <n v="-2.7731558513588465E-3"/>
    <n v="4.9342105263157892E-3"/>
    <n v="-1.6611295681063123E-3"/>
  </r>
  <r>
    <n v="2025"/>
    <s v="19120112445    "/>
    <n v="-1.8325814637483102"/>
    <n v="0.16"/>
    <n v="6949"/>
    <s v="2"/>
    <s v="RES"/>
    <s v="MX"/>
    <s v="11"/>
    <s v="259"/>
    <s v="RN"/>
    <x v="4"/>
    <s v="VG"/>
    <n v="10"/>
    <n v="17"/>
    <n v="17"/>
    <n v="2007"/>
    <n v="2007"/>
    <n v="1092"/>
    <m/>
    <m/>
    <m/>
    <m/>
    <n v="0"/>
    <n v="1092"/>
    <n v="1500"/>
    <s v="N"/>
    <m/>
    <n v="440"/>
    <m/>
    <m/>
    <m/>
    <m/>
    <m/>
    <n v="233342"/>
    <n v="217008"/>
    <n v="0"/>
    <n v="0"/>
    <n v="60800"/>
    <n v="294200"/>
    <n v="355000"/>
    <n v="132535.48800000001"/>
    <n v="88356.992000000013"/>
    <n v="-24051.387388882686"/>
    <n v="37154.252388000001"/>
    <n v="50438.379078999998"/>
    <n v="-1848.5987"/>
    <n v="68152.13496000001"/>
    <n v="0"/>
    <n v="0"/>
    <n v="15532.453640000002"/>
    <n v="0"/>
    <n v="302000"/>
    <n v="64300"/>
    <n v="366300"/>
    <n v="3.1830985915492958E-2"/>
    <n v="0.99970000000000003"/>
    <n v="0.99819999999999998"/>
    <n v="1.0007999999999999"/>
    <n v="0.99519999999999997"/>
    <n v="0.99080000000000001"/>
    <n v="0.94971499999999998"/>
    <n v="0.93552311998124726"/>
    <n v="293400"/>
    <n v="0"/>
    <n v="293400"/>
    <n v="61100"/>
    <n v="354500"/>
    <n v="-2.7192386131883071E-3"/>
    <n v="4.9342105263157892E-3"/>
    <n v="-1.4084507042253522E-3"/>
  </r>
  <r>
    <n v="2025"/>
    <s v="19120112442    "/>
    <n v="-1.8325814637483102"/>
    <n v="0.16"/>
    <n v="7032"/>
    <s v="2"/>
    <s v="RES"/>
    <s v="MX"/>
    <s v="11"/>
    <s v="259"/>
    <s v="RN"/>
    <x v="4"/>
    <s v="VG"/>
    <n v="10"/>
    <n v="17"/>
    <n v="17"/>
    <n v="2007"/>
    <n v="2007"/>
    <n v="1092"/>
    <m/>
    <m/>
    <m/>
    <m/>
    <n v="0"/>
    <n v="1092"/>
    <n v="1500"/>
    <s v="N"/>
    <m/>
    <n v="440"/>
    <m/>
    <m/>
    <m/>
    <m/>
    <m/>
    <n v="232141"/>
    <n v="215891"/>
    <n v="0"/>
    <n v="0"/>
    <n v="60800"/>
    <n v="294200"/>
    <n v="355000"/>
    <n v="132535.48800000001"/>
    <n v="88356.992000000013"/>
    <n v="-24051.387388882686"/>
    <n v="37154.252388000001"/>
    <n v="50438.379078999998"/>
    <n v="-1848.5987"/>
    <n v="68152.13496000001"/>
    <n v="0"/>
    <n v="0"/>
    <n v="15532.453640000002"/>
    <n v="0"/>
    <n v="302000"/>
    <n v="64300"/>
    <n v="366300"/>
    <n v="3.1830985915492958E-2"/>
    <n v="0.99970000000000003"/>
    <n v="0.99819999999999998"/>
    <n v="1.0007999999999999"/>
    <n v="0.99519999999999997"/>
    <n v="0.99080000000000001"/>
    <n v="0.94971499999999998"/>
    <n v="0.93552311998124726"/>
    <n v="293400"/>
    <n v="0"/>
    <n v="293400"/>
    <n v="61100"/>
    <n v="354500"/>
    <n v="-2.7192386131883071E-3"/>
    <n v="4.9342105263157892E-3"/>
    <n v="-1.4084507042253522E-3"/>
  </r>
  <r>
    <n v="2025"/>
    <s v="19120112467    "/>
    <n v="-1.8325814637483102"/>
    <n v="0.16"/>
    <n v="7085"/>
    <s v="2"/>
    <s v="RES"/>
    <s v="MX"/>
    <s v="11"/>
    <s v="259"/>
    <s v="RN"/>
    <x v="4"/>
    <s v="VG"/>
    <n v="10"/>
    <n v="17"/>
    <n v="17"/>
    <n v="2007"/>
    <n v="2007"/>
    <n v="1092"/>
    <m/>
    <m/>
    <m/>
    <m/>
    <n v="0"/>
    <n v="1092"/>
    <n v="1500"/>
    <s v="N"/>
    <m/>
    <n v="440"/>
    <m/>
    <m/>
    <m/>
    <m/>
    <m/>
    <n v="232141"/>
    <n v="215891"/>
    <n v="0"/>
    <n v="0"/>
    <n v="60800"/>
    <n v="294200"/>
    <n v="355000"/>
    <n v="132535.48800000001"/>
    <n v="88356.992000000013"/>
    <n v="-24051.387388882686"/>
    <n v="37154.252388000001"/>
    <n v="50438.379078999998"/>
    <n v="-1848.5987"/>
    <n v="68152.13496000001"/>
    <n v="0"/>
    <n v="0"/>
    <n v="15532.453640000002"/>
    <n v="0"/>
    <n v="302000"/>
    <n v="64300"/>
    <n v="366300"/>
    <n v="3.1830985915492958E-2"/>
    <n v="0.99970000000000003"/>
    <n v="0.99819999999999998"/>
    <n v="1.0007999999999999"/>
    <n v="0.99519999999999997"/>
    <n v="0.99080000000000001"/>
    <n v="0.94971499999999998"/>
    <n v="0.93552311998124726"/>
    <n v="293400"/>
    <n v="0"/>
    <n v="293400"/>
    <n v="61100"/>
    <n v="354500"/>
    <n v="-2.7192386131883071E-3"/>
    <n v="4.9342105263157892E-3"/>
    <n v="-1.4084507042253522E-3"/>
  </r>
  <r>
    <n v="2025"/>
    <s v="19120113561    "/>
    <n v="-1.8325814637483102"/>
    <n v="0.16"/>
    <n v="7020"/>
    <s v="2"/>
    <s v="RES"/>
    <s v="MX"/>
    <s v="11"/>
    <s v="259"/>
    <s v="RN"/>
    <x v="4"/>
    <s v="GD"/>
    <n v="10"/>
    <n v="17"/>
    <n v="17"/>
    <n v="2007"/>
    <n v="2007"/>
    <n v="1368"/>
    <m/>
    <m/>
    <m/>
    <m/>
    <n v="0"/>
    <n v="1368"/>
    <n v="1500"/>
    <s v="N"/>
    <m/>
    <n v="440"/>
    <m/>
    <m/>
    <m/>
    <m/>
    <m/>
    <n v="273342"/>
    <n v="251475"/>
    <n v="0"/>
    <n v="0"/>
    <n v="60800"/>
    <n v="290700"/>
    <n v="351500"/>
    <n v="132535.48800000001"/>
    <n v="88356.992000000013"/>
    <n v="-24051.387388882686"/>
    <n v="37154.252388000001"/>
    <n v="30300.329274"/>
    <n v="-1848.5987"/>
    <n v="85377.399839999998"/>
    <n v="0"/>
    <n v="0"/>
    <n v="15532.453640000002"/>
    <n v="0"/>
    <n v="299100"/>
    <n v="64300"/>
    <n v="363400"/>
    <n v="3.3854907539118066E-2"/>
    <n v="0.99970000000000003"/>
    <n v="0.99819999999999998"/>
    <n v="0.997"/>
    <n v="0.99519999999999997"/>
    <n v="0.99080000000000001"/>
    <n v="0.94971499999999998"/>
    <n v="0.93197097384222971"/>
    <n v="290000"/>
    <n v="0"/>
    <n v="290000"/>
    <n v="61100"/>
    <n v="351100"/>
    <n v="-2.4079807361541109E-3"/>
    <n v="4.9342105263157892E-3"/>
    <n v="-1.1379800853485065E-3"/>
  </r>
  <r>
    <n v="2025"/>
    <s v="19120113590    "/>
    <n v="-1.8325814637483102"/>
    <n v="0.16"/>
    <n v="7017"/>
    <s v="2"/>
    <s v="RES"/>
    <s v="MX"/>
    <s v="11"/>
    <s v="259"/>
    <s v="RN"/>
    <x v="4"/>
    <s v="VG"/>
    <n v="10"/>
    <n v="16"/>
    <n v="16"/>
    <n v="2008"/>
    <n v="2008"/>
    <n v="1132"/>
    <m/>
    <m/>
    <m/>
    <m/>
    <n v="0"/>
    <n v="1132"/>
    <n v="1500"/>
    <s v="N"/>
    <m/>
    <n v="400"/>
    <m/>
    <m/>
    <m/>
    <m/>
    <m/>
    <n v="236613"/>
    <n v="220050"/>
    <n v="0"/>
    <n v="0"/>
    <n v="60800"/>
    <n v="295300"/>
    <n v="356100"/>
    <n v="132535.48800000001"/>
    <n v="88356.992000000013"/>
    <n v="-24051.387388882686"/>
    <n v="37154.252388000001"/>
    <n v="50438.379078999998"/>
    <n v="-1739.8576"/>
    <n v="70648.550159999999"/>
    <n v="0"/>
    <n v="0"/>
    <n v="14120.412400000001"/>
    <n v="0"/>
    <n v="303200"/>
    <n v="64300"/>
    <n v="367500"/>
    <n v="3.201347935973041E-2"/>
    <n v="0.99970000000000003"/>
    <n v="0.99819999999999998"/>
    <n v="1.0007999999999999"/>
    <n v="0.99519999999999997"/>
    <n v="0.99080000000000001"/>
    <n v="0.94971499999999998"/>
    <n v="0.93552311998124726"/>
    <n v="294600"/>
    <n v="0"/>
    <n v="294600"/>
    <n v="61100"/>
    <n v="355700"/>
    <n v="-2.3704707077548256E-3"/>
    <n v="4.9342105263157892E-3"/>
    <n v="-1.1232799775344005E-3"/>
  </r>
  <r>
    <n v="2025"/>
    <s v="20120634472    "/>
    <n v="-1.8325814637483102"/>
    <n v="0.16"/>
    <n v="7010"/>
    <s v="2"/>
    <s v="RES"/>
    <s v="MX"/>
    <s v="11"/>
    <s v="259"/>
    <s v="CP"/>
    <x v="4"/>
    <s v="VG"/>
    <n v="0"/>
    <n v="9"/>
    <n v="9"/>
    <n v="2015"/>
    <n v="2015"/>
    <n v="1600"/>
    <m/>
    <m/>
    <m/>
    <m/>
    <n v="0"/>
    <n v="1600"/>
    <n v="2000"/>
    <s v="N"/>
    <m/>
    <n v="440"/>
    <m/>
    <m/>
    <m/>
    <m/>
    <m/>
    <n v="313621"/>
    <n v="301076"/>
    <n v="0"/>
    <n v="0"/>
    <n v="60800"/>
    <n v="328800"/>
    <n v="389600"/>
    <n v="132535.48800000001"/>
    <n v="88356.992000000013"/>
    <n v="-24051.387388882686"/>
    <n v="37154.252388000001"/>
    <n v="50438.379078999998"/>
    <n v="-978.66989999999998"/>
    <n v="99856.608000000007"/>
    <n v="0"/>
    <n v="0"/>
    <n v="15532.453640000002"/>
    <n v="0"/>
    <n v="334500"/>
    <n v="64300"/>
    <n v="398800"/>
    <n v="2.3613963039014373E-2"/>
    <n v="0.99970000000000003"/>
    <n v="0.99819999999999998"/>
    <n v="1.0007999999999999"/>
    <n v="1.0007999999999999"/>
    <n v="1.0022"/>
    <n v="0.94971499999999998"/>
    <n v="0.95161187898712574"/>
    <n v="328100"/>
    <n v="0"/>
    <n v="328100"/>
    <n v="61100"/>
    <n v="389200"/>
    <n v="-2.1289537712895377E-3"/>
    <n v="4.9342105263157892E-3"/>
    <n v="-1.026694045174538E-3"/>
  </r>
  <r>
    <n v="2025"/>
    <s v="19120112478    "/>
    <n v="-1.8325814637483102"/>
    <n v="0.16"/>
    <n v="6976"/>
    <s v="2"/>
    <s v="RES"/>
    <s v="MX"/>
    <s v="11"/>
    <s v="259"/>
    <s v="CO"/>
    <x v="5"/>
    <s v="GD"/>
    <n v="10"/>
    <n v="17"/>
    <n v="17"/>
    <n v="2007"/>
    <n v="2007"/>
    <n v="1116"/>
    <n v="1116"/>
    <m/>
    <m/>
    <m/>
    <n v="0"/>
    <n v="2232"/>
    <n v="2500"/>
    <s v="N"/>
    <m/>
    <n v="716"/>
    <m/>
    <m/>
    <m/>
    <m/>
    <m/>
    <n v="451974"/>
    <n v="415816"/>
    <n v="0"/>
    <n v="0"/>
    <n v="60800"/>
    <n v="348200"/>
    <n v="409000"/>
    <n v="132535.48800000001"/>
    <n v="88356.992000000013"/>
    <n v="-24051.387388882686"/>
    <n v="32917.849192000001"/>
    <n v="30300.329274"/>
    <n v="-1848.5987"/>
    <n v="69649.984080000009"/>
    <n v="66491.707427999994"/>
    <n v="0"/>
    <n v="25275.538196000001"/>
    <n v="0"/>
    <n v="355300"/>
    <n v="64300"/>
    <n v="419600"/>
    <n v="2.591687041564792E-2"/>
    <n v="0.99970000000000003"/>
    <n v="1.0019"/>
    <n v="0.997"/>
    <n v="1.0008999999999999"/>
    <n v="0.99080000000000001"/>
    <n v="0.94971499999999998"/>
    <n v="0.94078312650809337"/>
    <n v="347500"/>
    <n v="0"/>
    <n v="347500"/>
    <n v="61100"/>
    <n v="408600"/>
    <n v="-2.0103388856978748E-3"/>
    <n v="4.9342105263157892E-3"/>
    <n v="-9.7799511002444979E-4"/>
  </r>
  <r>
    <n v="2025"/>
    <s v="19120113591    "/>
    <n v="-1.8325814637483102"/>
    <n v="0.16"/>
    <n v="7053"/>
    <s v="2"/>
    <s v="RES"/>
    <s v="MX"/>
    <s v="11"/>
    <s v="259"/>
    <s v="RN"/>
    <x v="5"/>
    <s v="GD"/>
    <n v="10"/>
    <n v="16"/>
    <n v="16"/>
    <n v="2008"/>
    <n v="2008"/>
    <n v="1380"/>
    <m/>
    <m/>
    <m/>
    <m/>
    <n v="0"/>
    <n v="1380"/>
    <n v="1500"/>
    <s v="N"/>
    <m/>
    <n v="428"/>
    <m/>
    <m/>
    <m/>
    <m/>
    <m/>
    <n v="319191"/>
    <n v="293656"/>
    <n v="0"/>
    <n v="0"/>
    <n v="60800"/>
    <n v="287300"/>
    <n v="348100"/>
    <n v="132535.48800000001"/>
    <n v="88356.992000000013"/>
    <n v="-24051.387388882686"/>
    <n v="32917.849192000001"/>
    <n v="30300.329274"/>
    <n v="-1739.8576"/>
    <n v="86126.324399999998"/>
    <n v="0"/>
    <n v="0"/>
    <n v="15108.841268"/>
    <n v="0"/>
    <n v="295200"/>
    <n v="64300"/>
    <n v="359500"/>
    <n v="3.2749209997127264E-2"/>
    <n v="0.99970000000000003"/>
    <n v="1.0019"/>
    <n v="0.997"/>
    <n v="0.99519999999999997"/>
    <n v="0.99080000000000001"/>
    <n v="0.94971499999999998"/>
    <n v="0.9354254845647465"/>
    <n v="286700"/>
    <n v="0"/>
    <n v="286700"/>
    <n v="61100"/>
    <n v="347800"/>
    <n v="-2.0884093282283328E-3"/>
    <n v="4.9342105263157892E-3"/>
    <n v="-8.6182131571387532E-4"/>
  </r>
  <r>
    <n v="2025"/>
    <s v="19120144501    "/>
    <n v="-1.8325814637483102"/>
    <n v="0.16"/>
    <n v="7016"/>
    <s v="2"/>
    <s v="RES"/>
    <s v="MX"/>
    <s v="11"/>
    <s v="259"/>
    <s v="RN"/>
    <x v="4"/>
    <s v="GD"/>
    <n v="20"/>
    <n v="20"/>
    <n v="20"/>
    <n v="2004"/>
    <n v="2004"/>
    <n v="1076"/>
    <m/>
    <m/>
    <m/>
    <m/>
    <n v="0"/>
    <n v="1076"/>
    <n v="1500"/>
    <s v="N"/>
    <m/>
    <n v="440"/>
    <m/>
    <m/>
    <m/>
    <m/>
    <m/>
    <n v="229055"/>
    <n v="208440"/>
    <n v="0"/>
    <n v="0"/>
    <n v="60800"/>
    <n v="274900"/>
    <n v="335700"/>
    <n v="132535.48800000001"/>
    <n v="88356.992000000013"/>
    <n v="-24051.387388882686"/>
    <n v="37154.252388000001"/>
    <n v="30300.329274"/>
    <n v="-2174.8220000000001"/>
    <n v="67153.568880000006"/>
    <n v="0"/>
    <n v="0"/>
    <n v="15532.453640000002"/>
    <n v="0"/>
    <n v="280500"/>
    <n v="64300"/>
    <n v="344800"/>
    <n v="2.7107536490914508E-2"/>
    <n v="0.99970000000000003"/>
    <n v="0.99819999999999998"/>
    <n v="0.997"/>
    <n v="0.99519999999999997"/>
    <n v="1.0138"/>
    <n v="0.94971499999999998"/>
    <n v="0.95360534243162343"/>
    <n v="274400"/>
    <n v="0"/>
    <n v="274400"/>
    <n v="61100"/>
    <n v="335500"/>
    <n v="-1.8188432157148053E-3"/>
    <n v="4.9342105263157892E-3"/>
    <n v="-5.9577003276735179E-4"/>
  </r>
  <r>
    <n v="2025"/>
    <s v="20120634481    "/>
    <n v="-1.8325814637483102"/>
    <n v="0.16"/>
    <n v="7057"/>
    <s v="2"/>
    <s v="RES"/>
    <s v="MX"/>
    <s v="11"/>
    <s v="259"/>
    <s v="CP"/>
    <x v="4"/>
    <s v="VG"/>
    <n v="0"/>
    <n v="8"/>
    <n v="8"/>
    <n v="2016"/>
    <n v="2016"/>
    <n v="1620"/>
    <m/>
    <m/>
    <m/>
    <m/>
    <n v="0"/>
    <n v="1620"/>
    <n v="2000"/>
    <s v="N"/>
    <m/>
    <n v="420"/>
    <m/>
    <m/>
    <m/>
    <m/>
    <m/>
    <n v="318341"/>
    <n v="305607"/>
    <n v="0"/>
    <n v="0"/>
    <n v="60800"/>
    <n v="329300"/>
    <n v="390100"/>
    <n v="132535.48800000001"/>
    <n v="88356.992000000013"/>
    <n v="-24051.387388882686"/>
    <n v="37154.252388000001"/>
    <n v="50438.379078999998"/>
    <n v="-869.92880000000002"/>
    <n v="101104.8156"/>
    <n v="0"/>
    <n v="0"/>
    <n v="14826.43302"/>
    <n v="0"/>
    <n v="335200"/>
    <n v="64300"/>
    <n v="399500"/>
    <n v="2.4096385542168676E-2"/>
    <n v="0.99970000000000003"/>
    <n v="0.99819999999999998"/>
    <n v="1.0007999999999999"/>
    <n v="1.0007999999999999"/>
    <n v="1.0022"/>
    <n v="0.94971499999999998"/>
    <n v="0.95161187898712574"/>
    <n v="328800"/>
    <n v="0"/>
    <n v="328800"/>
    <n v="61100"/>
    <n v="389900"/>
    <n v="-1.5183723048891589E-3"/>
    <n v="4.9342105263157892E-3"/>
    <n v="-5.126890540886952E-4"/>
  </r>
  <r>
    <n v="2025"/>
    <s v="19120144447    "/>
    <n v="-1.8325814637483102"/>
    <n v="0.16"/>
    <n v="6985"/>
    <s v="2"/>
    <s v="RES"/>
    <s v="MX"/>
    <s v="11"/>
    <s v="259"/>
    <s v="RN"/>
    <x v="4"/>
    <s v="GD"/>
    <n v="20"/>
    <n v="20"/>
    <n v="20"/>
    <n v="2004"/>
    <n v="2004"/>
    <n v="1092"/>
    <m/>
    <m/>
    <m/>
    <m/>
    <n v="0"/>
    <n v="1092"/>
    <n v="1500"/>
    <s v="N"/>
    <m/>
    <n v="440"/>
    <m/>
    <m/>
    <m/>
    <m/>
    <m/>
    <n v="231626"/>
    <n v="210780"/>
    <n v="0"/>
    <n v="0"/>
    <n v="60800"/>
    <n v="275800"/>
    <n v="336600"/>
    <n v="132535.48800000001"/>
    <n v="88356.992000000013"/>
    <n v="-24051.387388882686"/>
    <n v="37154.252388000001"/>
    <n v="30300.329274"/>
    <n v="-2174.8220000000001"/>
    <n v="68152.13496000001"/>
    <n v="0"/>
    <n v="0"/>
    <n v="15532.453640000002"/>
    <n v="0"/>
    <n v="281500"/>
    <n v="64300"/>
    <n v="345800"/>
    <n v="2.7332144979203804E-2"/>
    <n v="0.99970000000000003"/>
    <n v="0.99819999999999998"/>
    <n v="0.997"/>
    <n v="0.99519999999999997"/>
    <n v="1.0138"/>
    <n v="0.94971499999999998"/>
    <n v="0.95360534243162343"/>
    <n v="275400"/>
    <n v="0"/>
    <n v="275400"/>
    <n v="61100"/>
    <n v="336500"/>
    <n v="-1.4503263234227702E-3"/>
    <n v="4.9342105263157892E-3"/>
    <n v="-2.9708853238265005E-4"/>
  </r>
  <r>
    <n v="2025"/>
    <s v="19120144533    "/>
    <n v="-1.8325814637483102"/>
    <n v="0.16"/>
    <n v="7010"/>
    <s v="2"/>
    <s v="RES"/>
    <s v="MX"/>
    <s v="11"/>
    <s v="259"/>
    <s v="RN"/>
    <x v="4"/>
    <s v="GD"/>
    <n v="20"/>
    <n v="20"/>
    <n v="20"/>
    <n v="2004"/>
    <n v="2004"/>
    <n v="1092"/>
    <m/>
    <m/>
    <m/>
    <m/>
    <n v="0"/>
    <n v="1092"/>
    <n v="1500"/>
    <s v="N"/>
    <m/>
    <n v="440"/>
    <m/>
    <m/>
    <m/>
    <m/>
    <m/>
    <n v="231626"/>
    <n v="210780"/>
    <n v="0"/>
    <n v="0"/>
    <n v="60800"/>
    <n v="275800"/>
    <n v="336600"/>
    <n v="132535.48800000001"/>
    <n v="88356.992000000013"/>
    <n v="-24051.387388882686"/>
    <n v="37154.252388000001"/>
    <n v="30300.329274"/>
    <n v="-2174.8220000000001"/>
    <n v="68152.13496000001"/>
    <n v="0"/>
    <n v="0"/>
    <n v="15532.453640000002"/>
    <n v="0"/>
    <n v="281500"/>
    <n v="64300"/>
    <n v="345800"/>
    <n v="2.7332144979203804E-2"/>
    <n v="0.99970000000000003"/>
    <n v="0.99819999999999998"/>
    <n v="0.997"/>
    <n v="0.99519999999999997"/>
    <n v="1.0138"/>
    <n v="0.94971499999999998"/>
    <n v="0.95360534243162343"/>
    <n v="275400"/>
    <n v="0"/>
    <n v="275400"/>
    <n v="61100"/>
    <n v="336500"/>
    <n v="-1.4503263234227702E-3"/>
    <n v="4.9342105263157892E-3"/>
    <n v="-2.9708853238265005E-4"/>
  </r>
  <r>
    <n v="2025"/>
    <s v="19120113421    "/>
    <n v="-1.8325814637483102"/>
    <n v="0.16"/>
    <n v="7002"/>
    <s v="2"/>
    <s v="RES"/>
    <s v="MX"/>
    <s v="11"/>
    <s v="259"/>
    <s v="RN"/>
    <x v="4"/>
    <s v="GD"/>
    <n v="10"/>
    <n v="17"/>
    <n v="17"/>
    <n v="2007"/>
    <n v="2007"/>
    <n v="1380"/>
    <m/>
    <m/>
    <m/>
    <m/>
    <n v="0"/>
    <n v="1380"/>
    <n v="1500"/>
    <s v="N"/>
    <m/>
    <n v="428"/>
    <m/>
    <m/>
    <m/>
    <m/>
    <n v="100"/>
    <n v="274549"/>
    <n v="252585"/>
    <n v="0"/>
    <n v="0"/>
    <n v="60800"/>
    <n v="290700"/>
    <n v="351500"/>
    <n v="132535.48800000001"/>
    <n v="88356.992000000013"/>
    <n v="-24051.387388882686"/>
    <n v="37154.252388000001"/>
    <n v="30300.329274"/>
    <n v="-1848.5987"/>
    <n v="86126.324399999998"/>
    <n v="0"/>
    <n v="0"/>
    <n v="15108.841268"/>
    <n v="0"/>
    <n v="299400"/>
    <n v="64300"/>
    <n v="363700"/>
    <n v="3.4708392603129447E-2"/>
    <n v="0.99970000000000003"/>
    <n v="0.99819999999999998"/>
    <n v="0.997"/>
    <n v="0.99519999999999997"/>
    <n v="0.99080000000000001"/>
    <n v="0.94971499999999998"/>
    <n v="0.93197097384222971"/>
    <n v="290400"/>
    <n v="0"/>
    <n v="290400"/>
    <n v="61100"/>
    <n v="351500"/>
    <n v="-1.0319917440660474E-3"/>
    <n v="4.9342105263157892E-3"/>
    <n v="0"/>
  </r>
  <r>
    <n v="2025"/>
    <s v="20120633451    "/>
    <n v="-1.8325814637483102"/>
    <n v="0.16"/>
    <n v="7100"/>
    <s v="2"/>
    <s v="RES"/>
    <s v="MX"/>
    <s v="11"/>
    <s v="259"/>
    <s v="CO"/>
    <x v="5"/>
    <s v="GD"/>
    <n v="10"/>
    <n v="15"/>
    <n v="15"/>
    <n v="2009"/>
    <n v="2009"/>
    <n v="1116"/>
    <n v="1116"/>
    <m/>
    <m/>
    <m/>
    <n v="0"/>
    <n v="2232"/>
    <n v="2500"/>
    <s v="N"/>
    <m/>
    <n v="440"/>
    <m/>
    <m/>
    <m/>
    <m/>
    <m/>
    <n v="435656"/>
    <n v="405160"/>
    <n v="0"/>
    <n v="0"/>
    <n v="60800"/>
    <n v="338100"/>
    <n v="398900"/>
    <n v="132535.48800000001"/>
    <n v="88356.992000000013"/>
    <n v="-24051.387388882686"/>
    <n v="32917.849192000001"/>
    <n v="30300.329274"/>
    <n v="-1631.1165000000001"/>
    <n v="69649.984080000009"/>
    <n v="66491.707427999994"/>
    <n v="0"/>
    <n v="15532.453640000002"/>
    <n v="0"/>
    <n v="345800"/>
    <n v="64300"/>
    <n v="410100"/>
    <n v="2.8077212333918276E-2"/>
    <n v="0.99970000000000003"/>
    <n v="1.0019"/>
    <n v="0.997"/>
    <n v="1.0008999999999999"/>
    <n v="0.99080000000000001"/>
    <n v="0.94971499999999998"/>
    <n v="0.94078312650809337"/>
    <n v="337900"/>
    <n v="0"/>
    <n v="337900"/>
    <n v="61100"/>
    <n v="399000"/>
    <n v="-5.9154096421177161E-4"/>
    <n v="4.9342105263157892E-3"/>
    <n v="2.5068939583855601E-4"/>
  </r>
  <r>
    <n v="2025"/>
    <s v="20120633453    "/>
    <n v="-1.8325814637483102"/>
    <n v="0.16"/>
    <n v="7100"/>
    <s v="2"/>
    <s v="RES"/>
    <s v="MX"/>
    <s v="11"/>
    <s v="259"/>
    <s v="CO"/>
    <x v="5"/>
    <s v="GD"/>
    <n v="10"/>
    <n v="15"/>
    <n v="15"/>
    <n v="2009"/>
    <n v="2009"/>
    <n v="1116"/>
    <n v="1116"/>
    <m/>
    <m/>
    <m/>
    <n v="0"/>
    <n v="2232"/>
    <n v="2500"/>
    <s v="N"/>
    <n v="1"/>
    <n v="440"/>
    <m/>
    <m/>
    <m/>
    <m/>
    <m/>
    <n v="441611"/>
    <n v="410698"/>
    <n v="0"/>
    <n v="0"/>
    <n v="60800"/>
    <n v="338100"/>
    <n v="398900"/>
    <n v="132535.48800000001"/>
    <n v="88356.992000000013"/>
    <n v="-24051.387388882686"/>
    <n v="32917.849192000001"/>
    <n v="30300.329274"/>
    <n v="-1631.1165000000001"/>
    <n v="69649.984080000009"/>
    <n v="66491.707427999994"/>
    <n v="0"/>
    <n v="15532.453640000002"/>
    <n v="0"/>
    <n v="345800"/>
    <n v="64300"/>
    <n v="410100"/>
    <n v="2.8077212333918276E-2"/>
    <n v="0.99970000000000003"/>
    <n v="1.0019"/>
    <n v="0.997"/>
    <n v="1.0008999999999999"/>
    <n v="0.99080000000000001"/>
    <n v="0.94971499999999998"/>
    <n v="0.94078312650809337"/>
    <n v="337900"/>
    <n v="0"/>
    <n v="337900"/>
    <n v="61100"/>
    <n v="399000"/>
    <n v="-5.9154096421177161E-4"/>
    <n v="4.9342105263157892E-3"/>
    <n v="2.5068939583855601E-4"/>
  </r>
  <r>
    <n v="2025"/>
    <s v="20120634473    "/>
    <n v="-1.8325814637483102"/>
    <n v="0.16"/>
    <n v="7011"/>
    <s v="2"/>
    <s v="RES"/>
    <s v="MX"/>
    <s v="11"/>
    <s v="259"/>
    <s v="CP"/>
    <x v="4"/>
    <s v="VG"/>
    <n v="0"/>
    <n v="9"/>
    <n v="9"/>
    <n v="2015"/>
    <n v="2015"/>
    <n v="1600"/>
    <m/>
    <m/>
    <m/>
    <m/>
    <n v="0"/>
    <n v="1600"/>
    <n v="2000"/>
    <s v="N"/>
    <m/>
    <n v="440"/>
    <m/>
    <m/>
    <m/>
    <m/>
    <m/>
    <n v="316273"/>
    <n v="303622"/>
    <n v="0"/>
    <n v="0"/>
    <n v="60800"/>
    <n v="328300"/>
    <n v="389100"/>
    <n v="132535.48800000001"/>
    <n v="88356.992000000013"/>
    <n v="-24051.387388882686"/>
    <n v="37154.252388000001"/>
    <n v="50438.379078999998"/>
    <n v="-978.66989999999998"/>
    <n v="99856.608000000007"/>
    <n v="0"/>
    <n v="0"/>
    <n v="15532.453640000002"/>
    <n v="0"/>
    <n v="334500"/>
    <n v="64300"/>
    <n v="398800"/>
    <n v="2.4929324081213056E-2"/>
    <n v="0.99970000000000003"/>
    <n v="0.99819999999999998"/>
    <n v="1.0007999999999999"/>
    <n v="1.0007999999999999"/>
    <n v="1.0022"/>
    <n v="0.94971499999999998"/>
    <n v="0.95161187898712574"/>
    <n v="328100"/>
    <n v="0"/>
    <n v="328100"/>
    <n v="61100"/>
    <n v="389200"/>
    <n v="-6.0919890344197382E-4"/>
    <n v="4.9342105263157892E-3"/>
    <n v="2.5700334104343357E-4"/>
  </r>
  <r>
    <n v="2025"/>
    <s v="20120634483    "/>
    <n v="-1.8325814637483102"/>
    <n v="0.16"/>
    <n v="7058"/>
    <s v="2"/>
    <s v="RES"/>
    <s v="MX"/>
    <s v="11"/>
    <s v="259"/>
    <s v="CO"/>
    <x v="4"/>
    <s v="VG"/>
    <n v="0"/>
    <n v="9"/>
    <n v="9"/>
    <n v="2015"/>
    <n v="2015"/>
    <n v="1600"/>
    <m/>
    <m/>
    <m/>
    <m/>
    <n v="0"/>
    <n v="1600"/>
    <n v="2000"/>
    <s v="N"/>
    <m/>
    <n v="440"/>
    <m/>
    <m/>
    <m/>
    <m/>
    <m/>
    <n v="317346"/>
    <n v="304652"/>
    <n v="0"/>
    <n v="0"/>
    <n v="60800"/>
    <n v="328300"/>
    <n v="389100"/>
    <n v="132535.48800000001"/>
    <n v="88356.992000000013"/>
    <n v="-24051.387388882686"/>
    <n v="37154.252388000001"/>
    <n v="50438.379078999998"/>
    <n v="-978.66989999999998"/>
    <n v="99856.608000000007"/>
    <n v="0"/>
    <n v="0"/>
    <n v="15532.453640000002"/>
    <n v="0"/>
    <n v="334500"/>
    <n v="64300"/>
    <n v="398800"/>
    <n v="2.4929324081213056E-2"/>
    <n v="0.99970000000000003"/>
    <n v="0.99819999999999998"/>
    <n v="1.0007999999999999"/>
    <n v="1.0007999999999999"/>
    <n v="1.0022"/>
    <n v="0.94971499999999998"/>
    <n v="0.95161187898712574"/>
    <n v="328100"/>
    <n v="0"/>
    <n v="328100"/>
    <n v="61100"/>
    <n v="389200"/>
    <n v="-6.0919890344197382E-4"/>
    <n v="4.9342105263157892E-3"/>
    <n v="2.5700334104343357E-4"/>
  </r>
  <r>
    <n v="2025"/>
    <s v="20120634478    "/>
    <n v="-1.8325814637483102"/>
    <n v="0.16"/>
    <n v="7058"/>
    <s v="2"/>
    <s v="RES"/>
    <s v="MX"/>
    <s v="11"/>
    <s v="259"/>
    <s v="CP"/>
    <x v="4"/>
    <s v="VG"/>
    <n v="0"/>
    <n v="9"/>
    <n v="9"/>
    <n v="2015"/>
    <n v="2015"/>
    <n v="1600"/>
    <m/>
    <m/>
    <m/>
    <m/>
    <n v="0"/>
    <n v="1600"/>
    <n v="2000"/>
    <s v="N"/>
    <m/>
    <n v="440"/>
    <m/>
    <m/>
    <m/>
    <m/>
    <m/>
    <n v="313009"/>
    <n v="300489"/>
    <n v="0"/>
    <n v="0"/>
    <n v="60800"/>
    <n v="328300"/>
    <n v="389100"/>
    <n v="132535.48800000001"/>
    <n v="88356.992000000013"/>
    <n v="-24051.387388882686"/>
    <n v="37154.252388000001"/>
    <n v="50438.379078999998"/>
    <n v="-978.66989999999998"/>
    <n v="99856.608000000007"/>
    <n v="0"/>
    <n v="0"/>
    <n v="15532.453640000002"/>
    <n v="0"/>
    <n v="334500"/>
    <n v="64300"/>
    <n v="398800"/>
    <n v="2.4929324081213056E-2"/>
    <n v="0.99970000000000003"/>
    <n v="0.99819999999999998"/>
    <n v="1.0007999999999999"/>
    <n v="1.0007999999999999"/>
    <n v="1.0022"/>
    <n v="0.94971499999999998"/>
    <n v="0.95161187898712574"/>
    <n v="328100"/>
    <n v="0"/>
    <n v="328100"/>
    <n v="61100"/>
    <n v="389200"/>
    <n v="-6.0919890344197382E-4"/>
    <n v="4.9342105263157892E-3"/>
    <n v="2.5700334104343357E-4"/>
  </r>
  <r>
    <n v="2025"/>
    <s v="19120141538    "/>
    <n v="-1.8325814637483102"/>
    <n v="0.16"/>
    <n v="7150"/>
    <s v="2"/>
    <s v="RES"/>
    <s v="MX"/>
    <s v="11"/>
    <s v="259"/>
    <s v="RN"/>
    <x v="4"/>
    <s v="GD"/>
    <n v="10"/>
    <n v="19"/>
    <n v="19"/>
    <n v="2005"/>
    <n v="2005"/>
    <n v="1380"/>
    <m/>
    <m/>
    <m/>
    <m/>
    <n v="0"/>
    <n v="1380"/>
    <n v="1500"/>
    <s v="N"/>
    <m/>
    <n v="428"/>
    <m/>
    <m/>
    <m/>
    <m/>
    <m/>
    <n v="275531"/>
    <n v="250733"/>
    <n v="0"/>
    <n v="0"/>
    <n v="60800"/>
    <n v="290300"/>
    <n v="351100"/>
    <n v="132535.48800000001"/>
    <n v="88356.992000000013"/>
    <n v="-24051.387388882686"/>
    <n v="37154.252388000001"/>
    <n v="30300.329274"/>
    <n v="-2066.0808999999999"/>
    <n v="86126.324399999998"/>
    <n v="0"/>
    <n v="0"/>
    <n v="15108.841268"/>
    <n v="0"/>
    <n v="299200"/>
    <n v="64300"/>
    <n v="363500"/>
    <n v="3.5317573340928513E-2"/>
    <n v="0.99970000000000003"/>
    <n v="0.99819999999999998"/>
    <n v="0.997"/>
    <n v="0.99519999999999997"/>
    <n v="0.99080000000000001"/>
    <n v="0.94971499999999998"/>
    <n v="0.93197097384222971"/>
    <n v="290100"/>
    <n v="0"/>
    <n v="290100"/>
    <n v="61100"/>
    <n v="351200"/>
    <n v="-6.889424733034792E-4"/>
    <n v="4.9342105263157892E-3"/>
    <n v="2.8481913984619768E-4"/>
  </r>
  <r>
    <n v="2025"/>
    <s v="19120141479    "/>
    <n v="-1.8325814637483102"/>
    <n v="0.16"/>
    <n v="6977"/>
    <s v="2"/>
    <s v="RES"/>
    <s v="MX"/>
    <s v="11"/>
    <s v="259"/>
    <s v="RN"/>
    <x v="4"/>
    <s v="GD"/>
    <n v="10"/>
    <n v="19"/>
    <n v="19"/>
    <n v="2005"/>
    <n v="2005"/>
    <n v="1288"/>
    <m/>
    <m/>
    <m/>
    <m/>
    <n v="0"/>
    <n v="1288"/>
    <n v="1500"/>
    <s v="N"/>
    <m/>
    <n v="302"/>
    <m/>
    <m/>
    <m/>
    <m/>
    <m/>
    <n v="256721"/>
    <n v="233616"/>
    <n v="0"/>
    <n v="0"/>
    <n v="60800"/>
    <n v="280200"/>
    <n v="341000"/>
    <n v="132535.48800000001"/>
    <n v="88356.992000000013"/>
    <n v="-24051.387388882686"/>
    <n v="37154.252388000001"/>
    <n v="30300.329274"/>
    <n v="-2066.0808999999999"/>
    <n v="80384.569440000007"/>
    <n v="0"/>
    <n v="0"/>
    <n v="10660.911362000001"/>
    <n v="0"/>
    <n v="289000"/>
    <n v="64300"/>
    <n v="353300"/>
    <n v="3.6070381231671556E-2"/>
    <n v="0.99970000000000003"/>
    <n v="0.99819999999999998"/>
    <n v="0.997"/>
    <n v="0.99519999999999997"/>
    <n v="0.99080000000000001"/>
    <n v="0.94971499999999998"/>
    <n v="0.93197097384222971"/>
    <n v="280000"/>
    <n v="0"/>
    <n v="280000"/>
    <n v="61100"/>
    <n v="341100"/>
    <n v="-7.1377587437544611E-4"/>
    <n v="4.9342105263157892E-3"/>
    <n v="2.9325513196480938E-4"/>
  </r>
  <r>
    <n v="2025"/>
    <s v="19120144451    "/>
    <n v="-1.8325814637483102"/>
    <n v="0.16"/>
    <n v="6955"/>
    <s v="2"/>
    <s v="RES"/>
    <s v="MX"/>
    <s v="11"/>
    <s v="259"/>
    <s v="RN"/>
    <x v="4"/>
    <s v="GD"/>
    <n v="20"/>
    <n v="20"/>
    <n v="20"/>
    <n v="2004"/>
    <n v="2004"/>
    <n v="1106"/>
    <m/>
    <m/>
    <m/>
    <m/>
    <n v="0"/>
    <n v="1106"/>
    <n v="1500"/>
    <s v="N"/>
    <m/>
    <n v="426"/>
    <m/>
    <m/>
    <m/>
    <m/>
    <m/>
    <n v="235136"/>
    <n v="213974"/>
    <n v="0"/>
    <n v="0"/>
    <n v="60800"/>
    <n v="275900"/>
    <n v="336700"/>
    <n v="132535.48800000001"/>
    <n v="88356.992000000013"/>
    <n v="-24051.387388882686"/>
    <n v="37154.252388000001"/>
    <n v="30300.329274"/>
    <n v="-2174.8220000000001"/>
    <n v="69025.880279999998"/>
    <n v="0"/>
    <n v="0"/>
    <n v="15038.239206"/>
    <n v="0"/>
    <n v="281900"/>
    <n v="64300"/>
    <n v="346200"/>
    <n v="2.8215028215028214E-2"/>
    <n v="0.99970000000000003"/>
    <n v="0.99819999999999998"/>
    <n v="0.997"/>
    <n v="0.99519999999999997"/>
    <n v="1.0138"/>
    <n v="0.94971499999999998"/>
    <n v="0.95360534243162343"/>
    <n v="275700"/>
    <n v="0"/>
    <n v="275700"/>
    <n v="61100"/>
    <n v="336800"/>
    <n v="-7.2490032620514677E-4"/>
    <n v="4.9342105263157892E-3"/>
    <n v="2.9700029700029698E-4"/>
  </r>
  <r>
    <n v="2025"/>
    <s v="19120144452    "/>
    <n v="-1.8325814637483102"/>
    <n v="0.16"/>
    <n v="7000"/>
    <s v="2"/>
    <s v="RES"/>
    <s v="MX"/>
    <s v="11"/>
    <s v="259"/>
    <s v="RN"/>
    <x v="4"/>
    <s v="GD"/>
    <n v="20"/>
    <n v="20"/>
    <n v="20"/>
    <n v="2004"/>
    <n v="2004"/>
    <n v="1106"/>
    <m/>
    <m/>
    <m/>
    <m/>
    <n v="0"/>
    <n v="1106"/>
    <n v="1500"/>
    <s v="N"/>
    <m/>
    <n v="426"/>
    <m/>
    <m/>
    <m/>
    <m/>
    <m/>
    <n v="233209"/>
    <n v="212220"/>
    <n v="0"/>
    <n v="0"/>
    <n v="60800"/>
    <n v="275900"/>
    <n v="336700"/>
    <n v="132535.48800000001"/>
    <n v="88356.992000000013"/>
    <n v="-24051.387388882686"/>
    <n v="37154.252388000001"/>
    <n v="30300.329274"/>
    <n v="-2174.8220000000001"/>
    <n v="69025.880279999998"/>
    <n v="0"/>
    <n v="0"/>
    <n v="15038.239206"/>
    <n v="0"/>
    <n v="281900"/>
    <n v="64300"/>
    <n v="346200"/>
    <n v="2.8215028215028214E-2"/>
    <n v="0.99970000000000003"/>
    <n v="0.99819999999999998"/>
    <n v="0.997"/>
    <n v="0.99519999999999997"/>
    <n v="1.0138"/>
    <n v="0.94971499999999998"/>
    <n v="0.95360534243162343"/>
    <n v="275700"/>
    <n v="0"/>
    <n v="275700"/>
    <n v="61100"/>
    <n v="336800"/>
    <n v="-7.2490032620514677E-4"/>
    <n v="4.9342105263157892E-3"/>
    <n v="2.9700029700029698E-4"/>
  </r>
  <r>
    <n v="2025"/>
    <s v="19120141477    "/>
    <n v="-1.8325814637483102"/>
    <n v="0.16"/>
    <n v="6957"/>
    <s v="2"/>
    <s v="RES"/>
    <s v="MX"/>
    <s v="11"/>
    <s v="259"/>
    <s v="RN"/>
    <x v="4"/>
    <s v="GD"/>
    <n v="10"/>
    <n v="19"/>
    <n v="19"/>
    <n v="2005"/>
    <n v="2005"/>
    <n v="1382"/>
    <m/>
    <m/>
    <m/>
    <m/>
    <n v="0"/>
    <n v="1382"/>
    <n v="1500"/>
    <s v="N"/>
    <m/>
    <n v="426"/>
    <m/>
    <m/>
    <m/>
    <m/>
    <m/>
    <n v="276004"/>
    <n v="251164"/>
    <n v="0"/>
    <n v="0"/>
    <n v="60800"/>
    <n v="290300"/>
    <n v="351100"/>
    <n v="132535.48800000001"/>
    <n v="88356.992000000013"/>
    <n v="-24051.387388882686"/>
    <n v="37154.252388000001"/>
    <n v="30300.329274"/>
    <n v="-2066.0808999999999"/>
    <n v="86251.14516"/>
    <n v="0"/>
    <n v="0"/>
    <n v="15038.239206"/>
    <n v="0"/>
    <n v="299200"/>
    <n v="64300"/>
    <n v="363500"/>
    <n v="3.5317573340928513E-2"/>
    <n v="0.99970000000000003"/>
    <n v="0.99819999999999998"/>
    <n v="0.997"/>
    <n v="0.99519999999999997"/>
    <n v="0.99080000000000001"/>
    <n v="0.94971499999999998"/>
    <n v="0.93197097384222971"/>
    <n v="290200"/>
    <n v="0"/>
    <n v="290200"/>
    <n v="61100"/>
    <n v="351300"/>
    <n v="-3.444712366517396E-4"/>
    <n v="4.9342105263157892E-3"/>
    <n v="5.6963827969239535E-4"/>
  </r>
  <r>
    <n v="2025"/>
    <s v="19120144436    "/>
    <n v="-1.8325814637483102"/>
    <n v="0.16"/>
    <n v="7002"/>
    <s v="2"/>
    <s v="RES"/>
    <s v="MX"/>
    <s v="11"/>
    <s v="259"/>
    <s v="RN"/>
    <x v="4"/>
    <s v="GD"/>
    <n v="20"/>
    <n v="20"/>
    <n v="20"/>
    <n v="2004"/>
    <n v="2004"/>
    <n v="1096"/>
    <m/>
    <m/>
    <m/>
    <m/>
    <n v="0"/>
    <n v="1096"/>
    <n v="1500"/>
    <s v="N"/>
    <n v="1"/>
    <n v="460"/>
    <m/>
    <m/>
    <m/>
    <m/>
    <m/>
    <n v="236195"/>
    <n v="214937"/>
    <n v="0"/>
    <n v="0"/>
    <n v="60800"/>
    <n v="276400"/>
    <n v="337200"/>
    <n v="132535.48800000001"/>
    <n v="88356.992000000013"/>
    <n v="-24051.387388882686"/>
    <n v="37154.252388000001"/>
    <n v="30300.329274"/>
    <n v="-2174.8220000000001"/>
    <n v="68401.77648"/>
    <n v="0"/>
    <n v="0"/>
    <n v="16238.474260000001"/>
    <n v="0"/>
    <n v="282500"/>
    <n v="64300"/>
    <n v="346800"/>
    <n v="2.8469750889679714E-2"/>
    <n v="0.99970000000000003"/>
    <n v="0.99819999999999998"/>
    <n v="0.997"/>
    <n v="0.99519999999999997"/>
    <n v="1.0138"/>
    <n v="0.94971499999999998"/>
    <n v="0.95360534243162343"/>
    <n v="276300"/>
    <n v="0"/>
    <n v="276300"/>
    <n v="61100"/>
    <n v="337400"/>
    <n v="-3.6179450072358897E-4"/>
    <n v="4.9342105263157892E-3"/>
    <n v="5.9311981020166078E-4"/>
  </r>
  <r>
    <n v="2025"/>
    <s v="20120633446    "/>
    <n v="-1.8325814637483102"/>
    <n v="0.16"/>
    <n v="7100"/>
    <s v="2"/>
    <s v="RES"/>
    <s v="MX"/>
    <s v="11"/>
    <s v="259"/>
    <s v="CP"/>
    <x v="5"/>
    <s v="GD"/>
    <n v="10"/>
    <n v="14"/>
    <n v="14"/>
    <n v="2010"/>
    <n v="2010"/>
    <n v="1737"/>
    <m/>
    <m/>
    <m/>
    <m/>
    <n v="0"/>
    <n v="1737"/>
    <n v="2000"/>
    <s v="N"/>
    <m/>
    <n v="435"/>
    <m/>
    <m/>
    <m/>
    <m/>
    <m/>
    <n v="377496"/>
    <n v="351071"/>
    <n v="0"/>
    <n v="0"/>
    <n v="60800"/>
    <n v="310100"/>
    <n v="370900"/>
    <n v="132535.48800000001"/>
    <n v="88356.992000000013"/>
    <n v="-24051.387388882686"/>
    <n v="32917.849192000001"/>
    <n v="30300.329274"/>
    <n v="-1522.3754000000001"/>
    <n v="108406.83006000001"/>
    <n v="0"/>
    <n v="0"/>
    <n v="15355.948485000001"/>
    <n v="0"/>
    <n v="318000"/>
    <n v="64300"/>
    <n v="382300"/>
    <n v="3.0736047452143436E-2"/>
    <n v="0.99970000000000003"/>
    <n v="1.0019"/>
    <n v="0.997"/>
    <n v="1.0007999999999999"/>
    <n v="0.99080000000000001"/>
    <n v="0.94971499999999998"/>
    <n v="0.94068913278978916"/>
    <n v="310100"/>
    <n v="0"/>
    <n v="310100"/>
    <n v="61100"/>
    <n v="371200"/>
    <n v="0"/>
    <n v="4.9342105263157892E-3"/>
    <n v="8.088433540037746E-4"/>
  </r>
  <r>
    <n v="2025"/>
    <s v="19120113538    "/>
    <n v="-1.8325814637483102"/>
    <n v="0.16"/>
    <n v="7078"/>
    <s v="2"/>
    <s v="RES"/>
    <s v="MX"/>
    <s v="11"/>
    <s v="259"/>
    <s v="RN"/>
    <x v="4"/>
    <s v="VG"/>
    <n v="10"/>
    <n v="18"/>
    <n v="18"/>
    <n v="2006"/>
    <n v="2006"/>
    <n v="1092"/>
    <m/>
    <m/>
    <m/>
    <m/>
    <n v="0"/>
    <n v="1092"/>
    <n v="1500"/>
    <s v="N"/>
    <m/>
    <n v="440"/>
    <m/>
    <m/>
    <m/>
    <m/>
    <m/>
    <n v="232775"/>
    <n v="214153"/>
    <n v="0"/>
    <n v="0"/>
    <n v="60800"/>
    <n v="293300"/>
    <n v="354100"/>
    <n v="132535.48800000001"/>
    <n v="88356.992000000013"/>
    <n v="-24051.387388882686"/>
    <n v="37154.252388000001"/>
    <n v="50438.379078999998"/>
    <n v="-1957.3398"/>
    <n v="68152.13496000001"/>
    <n v="0"/>
    <n v="0"/>
    <n v="15532.453640000002"/>
    <n v="0"/>
    <n v="301900"/>
    <n v="64300"/>
    <n v="366200"/>
    <n v="3.4171138096582884E-2"/>
    <n v="0.99970000000000003"/>
    <n v="0.99819999999999998"/>
    <n v="1.0007999999999999"/>
    <n v="0.99519999999999997"/>
    <n v="0.99080000000000001"/>
    <n v="0.94971499999999998"/>
    <n v="0.93552311998124726"/>
    <n v="293300"/>
    <n v="0"/>
    <n v="293300"/>
    <n v="61100"/>
    <n v="354400"/>
    <n v="0"/>
    <n v="4.9342105263157892E-3"/>
    <n v="8.4721829991527822E-4"/>
  </r>
  <r>
    <n v="2025"/>
    <s v="19120112407    "/>
    <n v="-1.8325814637483102"/>
    <n v="0.16"/>
    <n v="6778"/>
    <s v="2"/>
    <s v="RES"/>
    <s v="MX"/>
    <s v="11"/>
    <s v="259"/>
    <s v="CO"/>
    <x v="5"/>
    <s v="GD"/>
    <n v="10"/>
    <n v="18"/>
    <n v="18"/>
    <n v="2006"/>
    <n v="2006"/>
    <n v="1116"/>
    <n v="1116"/>
    <m/>
    <m/>
    <m/>
    <n v="0"/>
    <n v="2232"/>
    <n v="2500"/>
    <s v="N"/>
    <m/>
    <n v="716"/>
    <m/>
    <m/>
    <m/>
    <m/>
    <m/>
    <n v="454315"/>
    <n v="413427"/>
    <n v="0"/>
    <n v="0"/>
    <n v="60800"/>
    <n v="347300"/>
    <n v="408100"/>
    <n v="132535.48800000001"/>
    <n v="88356.992000000013"/>
    <n v="-24051.387388882686"/>
    <n v="32917.849192000001"/>
    <n v="30300.329274"/>
    <n v="-1957.3398"/>
    <n v="69649.984080000009"/>
    <n v="66491.707427999994"/>
    <n v="0"/>
    <n v="25275.538196000001"/>
    <n v="0"/>
    <n v="355200"/>
    <n v="64300"/>
    <n v="419500"/>
    <n v="2.7934329821122275E-2"/>
    <n v="0.99970000000000003"/>
    <n v="1.0019"/>
    <n v="0.997"/>
    <n v="1.0008999999999999"/>
    <n v="0.99080000000000001"/>
    <n v="0.94971499999999998"/>
    <n v="0.94078312650809337"/>
    <n v="347400"/>
    <n v="0"/>
    <n v="347400"/>
    <n v="61100"/>
    <n v="408500"/>
    <n v="2.8793550244745177E-4"/>
    <n v="4.9342105263157892E-3"/>
    <n v="9.8015192354814992E-4"/>
  </r>
  <r>
    <n v="2025"/>
    <s v="19120113501    "/>
    <n v="-1.8325814637483102"/>
    <n v="0.16"/>
    <n v="6866"/>
    <s v="2"/>
    <s v="RES"/>
    <s v="MX"/>
    <s v="11"/>
    <s v="259"/>
    <s v="CO"/>
    <x v="5"/>
    <s v="GD"/>
    <n v="10"/>
    <n v="18"/>
    <n v="18"/>
    <n v="2006"/>
    <n v="2006"/>
    <n v="1116"/>
    <n v="1116"/>
    <m/>
    <m/>
    <m/>
    <n v="0"/>
    <n v="2232"/>
    <n v="2500"/>
    <s v="N"/>
    <n v="1"/>
    <n v="704"/>
    <m/>
    <m/>
    <m/>
    <m/>
    <m/>
    <n v="452629"/>
    <n v="411892"/>
    <n v="0"/>
    <n v="0"/>
    <n v="60800"/>
    <n v="346800"/>
    <n v="407600"/>
    <n v="132535.48800000001"/>
    <n v="88356.992000000013"/>
    <n v="-24051.387388882686"/>
    <n v="32917.849192000001"/>
    <n v="30300.329274"/>
    <n v="-1957.3398"/>
    <n v="69649.984080000009"/>
    <n v="66491.707427999994"/>
    <n v="0"/>
    <n v="24851.925824000002"/>
    <n v="0"/>
    <n v="354800"/>
    <n v="64300"/>
    <n v="419100"/>
    <n v="2.8213935230618253E-2"/>
    <n v="0.99970000000000003"/>
    <n v="1.0019"/>
    <n v="0.997"/>
    <n v="1.0008999999999999"/>
    <n v="0.99080000000000001"/>
    <n v="0.94971499999999998"/>
    <n v="0.94078312650809337"/>
    <n v="346900"/>
    <n v="0"/>
    <n v="346900"/>
    <n v="61100"/>
    <n v="408000"/>
    <n v="2.8835063437139563E-4"/>
    <n v="4.9342105263157892E-3"/>
    <n v="9.813542688910696E-4"/>
  </r>
  <r>
    <n v="2025"/>
    <s v="19120144429    "/>
    <n v="-1.8325814637483102"/>
    <n v="0.16"/>
    <n v="7157"/>
    <s v="2"/>
    <s v="RES"/>
    <s v="MX"/>
    <s v="11"/>
    <s v="259"/>
    <s v="CO"/>
    <x v="4"/>
    <s v="GD"/>
    <n v="20"/>
    <n v="20"/>
    <n v="20"/>
    <n v="2004"/>
    <n v="2004"/>
    <n v="1040"/>
    <n v="1040"/>
    <m/>
    <m/>
    <m/>
    <n v="0"/>
    <n v="2080"/>
    <n v="2500"/>
    <s v="N"/>
    <m/>
    <n v="440"/>
    <m/>
    <m/>
    <m/>
    <m/>
    <m/>
    <n v="371932"/>
    <n v="338458"/>
    <n v="0"/>
    <n v="0"/>
    <n v="60800"/>
    <n v="334700"/>
    <n v="395500"/>
    <n v="132535.48800000001"/>
    <n v="88356.992000000013"/>
    <n v="-24051.387388882686"/>
    <n v="37154.252388000001"/>
    <n v="30300.329274"/>
    <n v="-2174.8220000000001"/>
    <n v="64906.7952"/>
    <n v="61963.598319999997"/>
    <n v="0"/>
    <n v="15532.453640000002"/>
    <n v="0"/>
    <n v="340200"/>
    <n v="64300"/>
    <n v="404500"/>
    <n v="2.2756005056890013E-2"/>
    <n v="0.99970000000000003"/>
    <n v="0.99819999999999998"/>
    <n v="0.997"/>
    <n v="1.0008999999999999"/>
    <n v="1.0138"/>
    <n v="0.94971499999999998"/>
    <n v="0.95906710936476258"/>
    <n v="334800"/>
    <n v="0"/>
    <n v="334800"/>
    <n v="61100"/>
    <n v="395900"/>
    <n v="2.9877502240812666E-4"/>
    <n v="4.9342105263157892E-3"/>
    <n v="1.011378002528445E-3"/>
  </r>
  <r>
    <n v="2025"/>
    <s v="19120112427    "/>
    <n v="-1.8325814637483102"/>
    <n v="0.16"/>
    <n v="6940"/>
    <s v="2"/>
    <s v="RES"/>
    <s v="MX"/>
    <s v="11"/>
    <s v="259"/>
    <s v="CO"/>
    <x v="5"/>
    <s v="VG"/>
    <n v="10"/>
    <n v="17"/>
    <n v="17"/>
    <n v="2007"/>
    <n v="2007"/>
    <n v="1040"/>
    <n v="1040"/>
    <m/>
    <m/>
    <m/>
    <n v="0"/>
    <n v="2080"/>
    <n v="2500"/>
    <s v="N"/>
    <m/>
    <n v="440"/>
    <m/>
    <m/>
    <m/>
    <m/>
    <m/>
    <n v="423813"/>
    <n v="394146"/>
    <n v="0"/>
    <n v="0"/>
    <n v="60800"/>
    <n v="348800"/>
    <n v="409600"/>
    <n v="132535.48800000001"/>
    <n v="88356.992000000013"/>
    <n v="-24051.387388882686"/>
    <n v="32917.849192000001"/>
    <n v="50438.379078999998"/>
    <n v="-1848.5987"/>
    <n v="64906.7952"/>
    <n v="61963.598319999997"/>
    <n v="0"/>
    <n v="15532.453640000002"/>
    <n v="0"/>
    <n v="356400"/>
    <n v="64300"/>
    <n v="420700"/>
    <n v="2.7099609375E-2"/>
    <n v="0.99970000000000003"/>
    <n v="1.0019"/>
    <n v="1.0007999999999999"/>
    <n v="1.0008999999999999"/>
    <n v="0.99080000000000001"/>
    <n v="0.94971499999999998"/>
    <n v="0.94436885958806405"/>
    <n v="349100"/>
    <n v="0"/>
    <n v="349100"/>
    <n v="61100"/>
    <n v="410200"/>
    <n v="8.600917431192661E-4"/>
    <n v="4.9342105263157892E-3"/>
    <n v="1.46484375E-3"/>
  </r>
  <r>
    <n v="2025"/>
    <s v="19120141430    "/>
    <n v="-1.8325814637483102"/>
    <n v="0.16"/>
    <n v="7133"/>
    <s v="2"/>
    <s v="RES"/>
    <s v="MX"/>
    <s v="11"/>
    <s v="259"/>
    <s v="RN"/>
    <x v="4"/>
    <s v="GD"/>
    <n v="10"/>
    <n v="19"/>
    <n v="19"/>
    <n v="2005"/>
    <n v="2005"/>
    <n v="1308"/>
    <m/>
    <m/>
    <m/>
    <m/>
    <n v="0"/>
    <n v="1308"/>
    <n v="1500"/>
    <s v="N"/>
    <n v="1"/>
    <n v="282"/>
    <m/>
    <m/>
    <m/>
    <m/>
    <m/>
    <n v="264881"/>
    <n v="241042"/>
    <n v="0"/>
    <n v="0"/>
    <n v="60800"/>
    <n v="280300"/>
    <n v="341100"/>
    <n v="132535.48800000001"/>
    <n v="88356.992000000013"/>
    <n v="-24051.387388882686"/>
    <n v="37154.252388000001"/>
    <n v="30300.329274"/>
    <n v="-2066.0808999999999"/>
    <n v="81632.777040000001"/>
    <n v="0"/>
    <n v="0"/>
    <n v="9954.8907420000014"/>
    <n v="0"/>
    <n v="289500"/>
    <n v="64300"/>
    <n v="353800"/>
    <n v="3.723248314277338E-2"/>
    <n v="0.99970000000000003"/>
    <n v="0.99819999999999998"/>
    <n v="0.997"/>
    <n v="0.99519999999999997"/>
    <n v="0.99080000000000001"/>
    <n v="0.94971499999999998"/>
    <n v="0.93197097384222971"/>
    <n v="280500"/>
    <n v="0"/>
    <n v="280500"/>
    <n v="61100"/>
    <n v="341600"/>
    <n v="7.1352122725651087E-4"/>
    <n v="4.9342105263157892E-3"/>
    <n v="1.4658457930225739E-3"/>
  </r>
  <r>
    <n v="2025"/>
    <s v="19120113497    "/>
    <n v="-1.8325814637483102"/>
    <n v="0.16"/>
    <n v="7004"/>
    <s v="2"/>
    <s v="RES"/>
    <s v="MX"/>
    <s v="11"/>
    <s v="259"/>
    <s v="RN"/>
    <x v="4"/>
    <s v="VG"/>
    <n v="10"/>
    <n v="18"/>
    <n v="18"/>
    <n v="2006"/>
    <n v="2006"/>
    <n v="1420"/>
    <m/>
    <m/>
    <m/>
    <m/>
    <n v="0"/>
    <n v="1420"/>
    <n v="1500"/>
    <s v="N"/>
    <m/>
    <n v="400"/>
    <m/>
    <m/>
    <m/>
    <m/>
    <m/>
    <n v="292551"/>
    <n v="269147"/>
    <n v="0"/>
    <n v="0"/>
    <n v="60800"/>
    <n v="312100"/>
    <n v="372900"/>
    <n v="132535.48800000001"/>
    <n v="88356.992000000013"/>
    <n v="-24051.387388882686"/>
    <n v="37154.252388000001"/>
    <n v="50438.379078999998"/>
    <n v="-1957.3398"/>
    <n v="88622.739600000001"/>
    <n v="0"/>
    <n v="0"/>
    <n v="14120.412400000001"/>
    <n v="0"/>
    <n v="320900"/>
    <n v="64300"/>
    <n v="385200"/>
    <n v="3.2984714400643607E-2"/>
    <n v="0.99970000000000003"/>
    <n v="0.99819999999999998"/>
    <n v="1.0007999999999999"/>
    <n v="0.99519999999999997"/>
    <n v="0.99080000000000001"/>
    <n v="0.94971499999999998"/>
    <n v="0.93552311998124726"/>
    <n v="312400"/>
    <n v="0"/>
    <n v="312400"/>
    <n v="61100"/>
    <n v="373500"/>
    <n v="9.6123037487984622E-4"/>
    <n v="4.9342105263157892E-3"/>
    <n v="1.6090104585679806E-3"/>
  </r>
  <r>
    <n v="2025"/>
    <s v="19120141462    "/>
    <n v="-1.8325814637483102"/>
    <n v="0.16"/>
    <n v="6992"/>
    <s v="2"/>
    <s v="RES"/>
    <s v="MX"/>
    <s v="11"/>
    <s v="259"/>
    <s v="RN"/>
    <x v="4"/>
    <s v="AV"/>
    <n v="10"/>
    <n v="19"/>
    <n v="19"/>
    <n v="2005"/>
    <n v="2005"/>
    <n v="1690"/>
    <m/>
    <m/>
    <m/>
    <m/>
    <n v="0"/>
    <n v="1690"/>
    <n v="2000"/>
    <s v="N"/>
    <m/>
    <n v="466"/>
    <m/>
    <m/>
    <m/>
    <m/>
    <m/>
    <n v="330383"/>
    <n v="297345"/>
    <n v="0"/>
    <n v="0"/>
    <n v="60800"/>
    <n v="298700"/>
    <n v="359500"/>
    <n v="132535.48800000001"/>
    <n v="88356.992000000013"/>
    <n v="-24051.387388882686"/>
    <n v="37154.252388000001"/>
    <n v="17761.121909000001"/>
    <n v="-2066.0808999999999"/>
    <n v="105473.54220000001"/>
    <n v="0"/>
    <n v="0"/>
    <n v="16450.280446000001"/>
    <n v="0"/>
    <n v="307300"/>
    <n v="64300"/>
    <n v="371600"/>
    <n v="3.3657858136300414E-2"/>
    <n v="0.99970000000000003"/>
    <n v="0.99819999999999998"/>
    <n v="0.99680000000000002"/>
    <n v="1.0007999999999999"/>
    <n v="0.99080000000000001"/>
    <n v="0.94971499999999998"/>
    <n v="0.93702717644423961"/>
    <n v="299000"/>
    <n v="0"/>
    <n v="299000"/>
    <n v="61100"/>
    <n v="360100"/>
    <n v="1.004352192835621E-3"/>
    <n v="4.9342105263157892E-3"/>
    <n v="1.6689847009735744E-3"/>
  </r>
  <r>
    <n v="2025"/>
    <s v="19120141478    "/>
    <n v="-1.8325814637483102"/>
    <n v="0.16"/>
    <n v="6955"/>
    <s v="2"/>
    <s v="RES"/>
    <s v="MX"/>
    <s v="11"/>
    <s v="259"/>
    <s v="CO"/>
    <x v="4"/>
    <s v="VG"/>
    <n v="10"/>
    <n v="19"/>
    <n v="19"/>
    <n v="2005"/>
    <n v="2005"/>
    <n v="1040"/>
    <n v="1040"/>
    <m/>
    <m/>
    <m/>
    <n v="0"/>
    <n v="2080"/>
    <n v="2500"/>
    <s v="N"/>
    <m/>
    <n v="440"/>
    <m/>
    <m/>
    <m/>
    <m/>
    <m/>
    <n v="372981"/>
    <n v="339413"/>
    <n v="0"/>
    <n v="0"/>
    <n v="60800"/>
    <n v="352200"/>
    <n v="413000"/>
    <n v="132535.48800000001"/>
    <n v="88356.992000000013"/>
    <n v="-24051.387388882686"/>
    <n v="37154.252388000001"/>
    <n v="50438.379078999998"/>
    <n v="-2066.0808999999999"/>
    <n v="64906.7952"/>
    <n v="61963.598319999997"/>
    <n v="0"/>
    <n v="15532.453640000002"/>
    <n v="0"/>
    <n v="360500"/>
    <n v="64300"/>
    <n v="424800"/>
    <n v="2.8571428571428571E-2"/>
    <n v="0.99970000000000003"/>
    <n v="0.99819999999999998"/>
    <n v="1.0007999999999999"/>
    <n v="1.0008999999999999"/>
    <n v="0.99080000000000001"/>
    <n v="0.94971499999999998"/>
    <n v="0.94088132113065737"/>
    <n v="352600"/>
    <n v="0"/>
    <n v="352600"/>
    <n v="61100"/>
    <n v="413700"/>
    <n v="1.1357183418512209E-3"/>
    <n v="4.9342105263157892E-3"/>
    <n v="1.6949152542372881E-3"/>
  </r>
  <r>
    <n v="2025"/>
    <s v="19120141515    "/>
    <n v="-1.8325814637483102"/>
    <n v="0.16"/>
    <n v="6974"/>
    <s v="2"/>
    <s v="RES"/>
    <s v="MX"/>
    <s v="11"/>
    <s v="259"/>
    <s v="RN"/>
    <x v="5"/>
    <s v="GD"/>
    <n v="10"/>
    <n v="19"/>
    <n v="19"/>
    <n v="2005"/>
    <n v="2005"/>
    <n v="1380"/>
    <m/>
    <m/>
    <m/>
    <m/>
    <n v="0"/>
    <n v="1380"/>
    <n v="1500"/>
    <s v="N"/>
    <m/>
    <n v="428"/>
    <m/>
    <m/>
    <m/>
    <m/>
    <m/>
    <n v="311063"/>
    <n v="283067"/>
    <n v="0"/>
    <n v="0"/>
    <n v="60800"/>
    <n v="286000"/>
    <n v="346800"/>
    <n v="132535.48800000001"/>
    <n v="88356.992000000013"/>
    <n v="-24051.387388882686"/>
    <n v="32917.849192000001"/>
    <n v="30300.329274"/>
    <n v="-2066.0808999999999"/>
    <n v="86126.324399999998"/>
    <n v="0"/>
    <n v="0"/>
    <n v="15108.841268"/>
    <n v="0"/>
    <n v="294900"/>
    <n v="64300"/>
    <n v="359200"/>
    <n v="3.5755478662053058E-2"/>
    <n v="0.99970000000000003"/>
    <n v="1.0019"/>
    <n v="0.997"/>
    <n v="0.99519999999999997"/>
    <n v="0.99080000000000001"/>
    <n v="0.94971499999999998"/>
    <n v="0.9354254845647465"/>
    <n v="286400"/>
    <n v="0"/>
    <n v="286400"/>
    <n v="61100"/>
    <n v="347500"/>
    <n v="1.3986013986013986E-3"/>
    <n v="4.9342105263157892E-3"/>
    <n v="2.0184544405997692E-3"/>
  </r>
  <r>
    <n v="2025"/>
    <s v="19120113515    "/>
    <n v="-1.8325814637483102"/>
    <n v="0.16"/>
    <n v="7085"/>
    <s v="2"/>
    <s v="RES"/>
    <s v="MX"/>
    <s v="11"/>
    <s v="259"/>
    <s v="RN"/>
    <x v="4"/>
    <s v="GD"/>
    <n v="10"/>
    <n v="18"/>
    <n v="18"/>
    <n v="2006"/>
    <n v="2006"/>
    <n v="1380"/>
    <m/>
    <m/>
    <m/>
    <m/>
    <n v="0"/>
    <n v="1380"/>
    <n v="1500"/>
    <s v="N"/>
    <m/>
    <n v="428"/>
    <m/>
    <m/>
    <m/>
    <m/>
    <m/>
    <n v="275698"/>
    <n v="250885"/>
    <n v="0"/>
    <n v="0"/>
    <n v="60800"/>
    <n v="289800"/>
    <n v="350600"/>
    <n v="132535.48800000001"/>
    <n v="88356.992000000013"/>
    <n v="-24051.387388882686"/>
    <n v="37154.252388000001"/>
    <n v="30300.329274"/>
    <n v="-1957.3398"/>
    <n v="86126.324399999998"/>
    <n v="0"/>
    <n v="0"/>
    <n v="15108.841268"/>
    <n v="0"/>
    <n v="299300"/>
    <n v="64300"/>
    <n v="363600"/>
    <n v="3.7079292641186534E-2"/>
    <n v="0.99970000000000003"/>
    <n v="0.99819999999999998"/>
    <n v="0.997"/>
    <n v="0.99519999999999997"/>
    <n v="0.99080000000000001"/>
    <n v="0.94971499999999998"/>
    <n v="0.93197097384222971"/>
    <n v="290300"/>
    <n v="0"/>
    <n v="290300"/>
    <n v="61100"/>
    <n v="351400"/>
    <n v="1.725327812284334E-3"/>
    <n v="4.9342105263157892E-3"/>
    <n v="2.2818026240730175E-3"/>
  </r>
  <r>
    <n v="2025"/>
    <s v="19120113476    "/>
    <n v="-1.8325814637483102"/>
    <n v="0.16"/>
    <n v="7018"/>
    <s v="2"/>
    <s v="RES"/>
    <s v="MX"/>
    <s v="11"/>
    <s v="259"/>
    <s v="CO"/>
    <x v="4"/>
    <s v="VG"/>
    <n v="10"/>
    <n v="18"/>
    <n v="18"/>
    <n v="2006"/>
    <n v="2006"/>
    <n v="1040"/>
    <n v="1040"/>
    <m/>
    <m/>
    <m/>
    <n v="0"/>
    <n v="2080"/>
    <n v="2500"/>
    <s v="N"/>
    <m/>
    <n v="440"/>
    <m/>
    <m/>
    <m/>
    <m/>
    <m/>
    <n v="370173"/>
    <n v="340559"/>
    <n v="0"/>
    <n v="0"/>
    <n v="60800"/>
    <n v="352000"/>
    <n v="412800"/>
    <n v="132535.48800000001"/>
    <n v="88356.992000000013"/>
    <n v="-24051.387388882686"/>
    <n v="37154.252388000001"/>
    <n v="50438.379078999998"/>
    <n v="-1957.3398"/>
    <n v="64906.7952"/>
    <n v="61963.598319999997"/>
    <n v="0"/>
    <n v="15532.453640000002"/>
    <n v="0"/>
    <n v="360600"/>
    <n v="64300"/>
    <n v="424900"/>
    <n v="2.9312015503875969E-2"/>
    <n v="0.99970000000000003"/>
    <n v="0.99819999999999998"/>
    <n v="1.0007999999999999"/>
    <n v="1.0008999999999999"/>
    <n v="0.99080000000000001"/>
    <n v="0.94971499999999998"/>
    <n v="0.94088132113065737"/>
    <n v="352700"/>
    <n v="0"/>
    <n v="352700"/>
    <n v="61100"/>
    <n v="413800"/>
    <n v="1.9886363636363634E-3"/>
    <n v="4.9342105263157892E-3"/>
    <n v="2.4224806201550387E-3"/>
  </r>
  <r>
    <n v="2025"/>
    <s v="19120141411    "/>
    <n v="-1.8325814637483102"/>
    <n v="0.16"/>
    <n v="6956"/>
    <s v="2"/>
    <s v="RES"/>
    <s v="MX"/>
    <s v="11"/>
    <s v="259"/>
    <s v="RN"/>
    <x v="4"/>
    <s v="AV"/>
    <n v="10"/>
    <n v="19"/>
    <n v="19"/>
    <n v="2005"/>
    <n v="2005"/>
    <n v="1543"/>
    <m/>
    <m/>
    <m/>
    <m/>
    <n v="0"/>
    <n v="1543"/>
    <n v="2000"/>
    <s v="N"/>
    <m/>
    <n v="433"/>
    <m/>
    <m/>
    <m/>
    <m/>
    <m/>
    <n v="300372"/>
    <n v="270335"/>
    <n v="0"/>
    <n v="0"/>
    <n v="60800"/>
    <n v="287900"/>
    <n v="348700"/>
    <n v="132535.48800000001"/>
    <n v="88356.992000000013"/>
    <n v="-24051.387388882686"/>
    <n v="37154.252388000001"/>
    <n v="17761.121909000001"/>
    <n v="-2066.0808999999999"/>
    <n v="96299.216339999999"/>
    <n v="0"/>
    <n v="0"/>
    <n v="15285.346423000001"/>
    <n v="0"/>
    <n v="297000"/>
    <n v="64300"/>
    <n v="361300"/>
    <n v="3.613421279036421E-2"/>
    <n v="0.99970000000000003"/>
    <n v="0.99819999999999998"/>
    <n v="0.99680000000000002"/>
    <n v="1.0007999999999999"/>
    <n v="0.99080000000000001"/>
    <n v="0.94971499999999998"/>
    <n v="0.93702717644423961"/>
    <n v="288600"/>
    <n v="0"/>
    <n v="288600"/>
    <n v="61100"/>
    <n v="349700"/>
    <n v="2.4313997915943034E-3"/>
    <n v="4.9342105263157892E-3"/>
    <n v="2.8677946659019216E-3"/>
  </r>
  <r>
    <n v="2025"/>
    <s v="19120144459    "/>
    <n v="-1.8325814637483102"/>
    <n v="0.16"/>
    <n v="7000"/>
    <s v="2"/>
    <s v="RES"/>
    <s v="MX"/>
    <s v="11"/>
    <s v="259"/>
    <s v="RN"/>
    <x v="4"/>
    <s v="VG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80846"/>
    <n v="258378"/>
    <n v="0"/>
    <n v="0"/>
    <n v="60800"/>
    <n v="312700"/>
    <n v="373500"/>
    <n v="132535.48800000001"/>
    <n v="88356.992000000013"/>
    <n v="-24051.387388882686"/>
    <n v="37154.252388000001"/>
    <n v="50438.379078999998"/>
    <n v="-2174.8220000000001"/>
    <n v="86126.324399999998"/>
    <n v="0"/>
    <n v="0"/>
    <n v="15108.841268"/>
    <n v="0"/>
    <n v="319200"/>
    <n v="64300"/>
    <n v="383500"/>
    <n v="2.677376171352075E-2"/>
    <n v="0.99970000000000003"/>
    <n v="0.99819999999999998"/>
    <n v="1.0007999999999999"/>
    <n v="0.99519999999999997"/>
    <n v="1.0138"/>
    <n v="0.94971499999999998"/>
    <n v="0.95723994654520439"/>
    <n v="313500"/>
    <n v="0"/>
    <n v="313500"/>
    <n v="61100"/>
    <n v="374600"/>
    <n v="2.5583626479053407E-3"/>
    <n v="4.9342105263157892E-3"/>
    <n v="2.9451137884872825E-3"/>
  </r>
  <r>
    <n v="2025"/>
    <s v="19120141534    "/>
    <n v="-1.8325814637483102"/>
    <n v="0.16"/>
    <n v="6902"/>
    <s v="2"/>
    <s v="RES"/>
    <s v="MX"/>
    <s v="11"/>
    <s v="259"/>
    <s v="CO"/>
    <x v="5"/>
    <s v="GD"/>
    <n v="10"/>
    <n v="19"/>
    <n v="19"/>
    <n v="2005"/>
    <n v="2005"/>
    <n v="1116"/>
    <n v="1116"/>
    <m/>
    <m/>
    <m/>
    <n v="0"/>
    <n v="2232"/>
    <n v="2500"/>
    <s v="N"/>
    <m/>
    <n v="716"/>
    <m/>
    <m/>
    <m/>
    <m/>
    <m/>
    <n v="451414"/>
    <n v="410787"/>
    <n v="0"/>
    <n v="0"/>
    <n v="60800"/>
    <n v="346400"/>
    <n v="407200"/>
    <n v="132535.48800000001"/>
    <n v="88356.992000000013"/>
    <n v="-24051.387388882686"/>
    <n v="32917.849192000001"/>
    <n v="30300.329274"/>
    <n v="-2066.0808999999999"/>
    <n v="69649.984080000009"/>
    <n v="66491.707427999994"/>
    <n v="0"/>
    <n v="25275.538196000001"/>
    <n v="0"/>
    <n v="355100"/>
    <n v="64300"/>
    <n v="419400"/>
    <n v="2.9960707269155205E-2"/>
    <n v="0.99970000000000003"/>
    <n v="1.0019"/>
    <n v="0.997"/>
    <n v="1.0008999999999999"/>
    <n v="0.99080000000000001"/>
    <n v="0.94971499999999998"/>
    <n v="0.94078312650809337"/>
    <n v="347300"/>
    <n v="0"/>
    <n v="347300"/>
    <n v="61100"/>
    <n v="408400"/>
    <n v="2.5981524249422631E-3"/>
    <n v="4.9342105263157892E-3"/>
    <n v="2.9469548133595285E-3"/>
  </r>
  <r>
    <n v="2025"/>
    <s v="20120633444    "/>
    <n v="-1.8325814637483102"/>
    <n v="0.16"/>
    <n v="7100"/>
    <s v="2"/>
    <s v="RES"/>
    <s v="MX"/>
    <s v="11"/>
    <s v="259"/>
    <s v="CP"/>
    <x v="5"/>
    <s v="GD"/>
    <n v="10"/>
    <n v="15"/>
    <n v="15"/>
    <n v="2009"/>
    <n v="2009"/>
    <n v="1737"/>
    <m/>
    <m/>
    <m/>
    <m/>
    <n v="0"/>
    <n v="1737"/>
    <n v="2000"/>
    <s v="N"/>
    <n v="1"/>
    <n v="435"/>
    <m/>
    <m/>
    <m/>
    <m/>
    <m/>
    <n v="381816"/>
    <n v="355089"/>
    <n v="0"/>
    <n v="0"/>
    <n v="60800"/>
    <n v="309200"/>
    <n v="370000"/>
    <n v="132535.48800000001"/>
    <n v="88356.992000000013"/>
    <n v="-24051.387388882686"/>
    <n v="32917.849192000001"/>
    <n v="30300.329274"/>
    <n v="-1631.1165000000001"/>
    <n v="108406.83006000001"/>
    <n v="0"/>
    <n v="0"/>
    <n v="15355.948485000001"/>
    <n v="0"/>
    <n v="317900"/>
    <n v="64300"/>
    <n v="382200"/>
    <n v="3.2972972972972976E-2"/>
    <n v="0.99970000000000003"/>
    <n v="1.0019"/>
    <n v="0.997"/>
    <n v="1.0007999999999999"/>
    <n v="0.99080000000000001"/>
    <n v="0.94971499999999998"/>
    <n v="0.94068913278978916"/>
    <n v="310000"/>
    <n v="0"/>
    <n v="310000"/>
    <n v="61100"/>
    <n v="371100"/>
    <n v="2.5873221216041399E-3"/>
    <n v="4.9342105263157892E-3"/>
    <n v="2.972972972972973E-3"/>
  </r>
  <r>
    <n v="2025"/>
    <s v="19120141475    "/>
    <n v="-1.8325814637483102"/>
    <n v="0.16"/>
    <n v="6945"/>
    <s v="2"/>
    <s v="RES"/>
    <s v="MX"/>
    <s v="11"/>
    <s v="259"/>
    <s v="CO"/>
    <x v="4"/>
    <s v="VG"/>
    <n v="10"/>
    <n v="19"/>
    <n v="19"/>
    <n v="2005"/>
    <n v="2005"/>
    <n v="1092"/>
    <m/>
    <m/>
    <m/>
    <m/>
    <n v="0"/>
    <n v="1092"/>
    <n v="1500"/>
    <s v="N"/>
    <n v="1"/>
    <n v="440"/>
    <m/>
    <m/>
    <m/>
    <m/>
    <m/>
    <n v="235315"/>
    <n v="214137"/>
    <n v="0"/>
    <n v="0"/>
    <n v="60800"/>
    <n v="292400"/>
    <n v="353200"/>
    <n v="132535.48800000001"/>
    <n v="88356.992000000013"/>
    <n v="-24051.387388882686"/>
    <n v="37154.252388000001"/>
    <n v="50438.379078999998"/>
    <n v="-2066.0808999999999"/>
    <n v="68152.13496000001"/>
    <n v="0"/>
    <n v="0"/>
    <n v="15532.453640000002"/>
    <n v="0"/>
    <n v="301700"/>
    <n v="64300"/>
    <n v="366000"/>
    <n v="3.6240090600226503E-2"/>
    <n v="0.99970000000000003"/>
    <n v="0.99819999999999998"/>
    <n v="1.0007999999999999"/>
    <n v="0.99519999999999997"/>
    <n v="0.99080000000000001"/>
    <n v="0.94971499999999998"/>
    <n v="0.93552311998124726"/>
    <n v="293200"/>
    <n v="0"/>
    <n v="293200"/>
    <n v="61100"/>
    <n v="354300"/>
    <n v="2.7359781121751026E-3"/>
    <n v="4.9342105263157892E-3"/>
    <n v="3.114382785956965E-3"/>
  </r>
  <r>
    <n v="2025"/>
    <s v="19120141424    "/>
    <n v="-1.8325814637483102"/>
    <n v="0.16"/>
    <n v="6972"/>
    <s v="2"/>
    <s v="RES"/>
    <s v="MX"/>
    <s v="11"/>
    <s v="259"/>
    <s v="RN"/>
    <x v="4"/>
    <s v="VG"/>
    <n v="10"/>
    <n v="19"/>
    <n v="19"/>
    <n v="2005"/>
    <n v="2005"/>
    <n v="1092"/>
    <m/>
    <m/>
    <m/>
    <m/>
    <n v="0"/>
    <n v="1092"/>
    <n v="1500"/>
    <s v="N"/>
    <m/>
    <n v="440"/>
    <m/>
    <m/>
    <m/>
    <m/>
    <m/>
    <n v="240679"/>
    <n v="219018"/>
    <n v="0"/>
    <n v="0"/>
    <n v="60800"/>
    <n v="292400"/>
    <n v="353200"/>
    <n v="132535.48800000001"/>
    <n v="88356.992000000013"/>
    <n v="-24051.387388882686"/>
    <n v="37154.252388000001"/>
    <n v="50438.379078999998"/>
    <n v="-2066.0808999999999"/>
    <n v="68152.13496000001"/>
    <n v="0"/>
    <n v="0"/>
    <n v="15532.453640000002"/>
    <n v="0"/>
    <n v="301700"/>
    <n v="64300"/>
    <n v="366000"/>
    <n v="3.6240090600226503E-2"/>
    <n v="0.99970000000000003"/>
    <n v="0.99819999999999998"/>
    <n v="1.0007999999999999"/>
    <n v="0.99519999999999997"/>
    <n v="0.99080000000000001"/>
    <n v="0.94971499999999998"/>
    <n v="0.93552311998124726"/>
    <n v="293200"/>
    <n v="0"/>
    <n v="293200"/>
    <n v="61100"/>
    <n v="354300"/>
    <n v="2.7359781121751026E-3"/>
    <n v="4.9342105263157892E-3"/>
    <n v="3.114382785956965E-3"/>
  </r>
  <r>
    <n v="2025"/>
    <s v="20120633440    "/>
    <n v="-1.8325814637483102"/>
    <n v="0.16"/>
    <n v="7146"/>
    <s v="2"/>
    <s v="RES"/>
    <s v="MX"/>
    <s v="11"/>
    <s v="259"/>
    <s v="CP"/>
    <x v="4"/>
    <s v="VG"/>
    <n v="10"/>
    <n v="14"/>
    <n v="14"/>
    <n v="2010"/>
    <n v="2010"/>
    <n v="1380"/>
    <m/>
    <m/>
    <m/>
    <m/>
    <n v="0"/>
    <n v="1380"/>
    <n v="1500"/>
    <s v="N"/>
    <m/>
    <n v="428"/>
    <m/>
    <m/>
    <m/>
    <m/>
    <m/>
    <n v="276046"/>
    <n v="259483"/>
    <n v="0"/>
    <n v="0"/>
    <n v="60800"/>
    <n v="310400"/>
    <n v="371200"/>
    <n v="132535.48800000001"/>
    <n v="88356.992000000013"/>
    <n v="-24051.387388882686"/>
    <n v="37154.252388000001"/>
    <n v="50438.379078999998"/>
    <n v="-1522.3754000000001"/>
    <n v="86126.324399999998"/>
    <n v="0"/>
    <n v="0"/>
    <n v="15108.841268"/>
    <n v="0"/>
    <n v="319800"/>
    <n v="64300"/>
    <n v="384100"/>
    <n v="3.4752155172413791E-2"/>
    <n v="0.99970000000000003"/>
    <n v="0.99819999999999998"/>
    <n v="1.0007999999999999"/>
    <n v="0.99519999999999997"/>
    <n v="0.99080000000000001"/>
    <n v="0.94971499999999998"/>
    <n v="0.93552311998124726"/>
    <n v="311300"/>
    <n v="0"/>
    <n v="311300"/>
    <n v="61100"/>
    <n v="372400"/>
    <n v="2.8994845360824743E-3"/>
    <n v="4.9342105263157892E-3"/>
    <n v="3.2327586206896551E-3"/>
  </r>
  <r>
    <n v="2025"/>
    <s v="20120633412    "/>
    <n v="-1.8325814637483102"/>
    <n v="0.16"/>
    <n v="7181"/>
    <s v="2"/>
    <s v="RES"/>
    <s v="MX"/>
    <s v="11"/>
    <s v="259"/>
    <s v="CP"/>
    <x v="4"/>
    <s v="VG"/>
    <n v="10"/>
    <n v="14"/>
    <n v="14"/>
    <n v="2010"/>
    <n v="2010"/>
    <n v="1380"/>
    <m/>
    <m/>
    <m/>
    <m/>
    <n v="0"/>
    <n v="1380"/>
    <n v="1500"/>
    <s v="N"/>
    <m/>
    <n v="428"/>
    <m/>
    <m/>
    <m/>
    <m/>
    <m/>
    <n v="276046"/>
    <n v="259483"/>
    <n v="0"/>
    <n v="0"/>
    <n v="60800"/>
    <n v="310400"/>
    <n v="371200"/>
    <n v="132535.48800000001"/>
    <n v="88356.992000000013"/>
    <n v="-24051.387388882686"/>
    <n v="37154.252388000001"/>
    <n v="50438.379078999998"/>
    <n v="-1522.3754000000001"/>
    <n v="86126.324399999998"/>
    <n v="0"/>
    <n v="0"/>
    <n v="15108.841268"/>
    <n v="0"/>
    <n v="319800"/>
    <n v="64300"/>
    <n v="384100"/>
    <n v="3.4752155172413791E-2"/>
    <n v="0.99970000000000003"/>
    <n v="0.99819999999999998"/>
    <n v="1.0007999999999999"/>
    <n v="0.99519999999999997"/>
    <n v="0.99080000000000001"/>
    <n v="0.94971499999999998"/>
    <n v="0.93552311998124726"/>
    <n v="311300"/>
    <n v="0"/>
    <n v="311300"/>
    <n v="61100"/>
    <n v="372400"/>
    <n v="2.8994845360824743E-3"/>
    <n v="4.9342105263157892E-3"/>
    <n v="3.2327586206896551E-3"/>
  </r>
  <r>
    <n v="2025"/>
    <s v="19120113587    "/>
    <n v="-1.8325814637483102"/>
    <n v="0.16"/>
    <n v="7077"/>
    <s v="2"/>
    <s v="RES"/>
    <s v="MX"/>
    <s v="11"/>
    <s v="259"/>
    <s v="RN"/>
    <x v="4"/>
    <s v="GD"/>
    <n v="10"/>
    <n v="16"/>
    <n v="16"/>
    <n v="2008"/>
    <n v="2008"/>
    <n v="1436"/>
    <m/>
    <m/>
    <m/>
    <m/>
    <n v="0"/>
    <n v="1436"/>
    <n v="1500"/>
    <s v="N"/>
    <m/>
    <n v="400"/>
    <m/>
    <m/>
    <m/>
    <m/>
    <m/>
    <n v="281452"/>
    <n v="258936"/>
    <n v="0"/>
    <n v="0"/>
    <n v="60800"/>
    <n v="292100"/>
    <n v="352900"/>
    <n v="132535.48800000001"/>
    <n v="88356.992000000013"/>
    <n v="-24051.387388882686"/>
    <n v="37154.252388000001"/>
    <n v="30300.329274"/>
    <n v="-1739.8576"/>
    <n v="89621.305680000005"/>
    <n v="0"/>
    <n v="0"/>
    <n v="14120.412400000001"/>
    <n v="0"/>
    <n v="302000"/>
    <n v="64300"/>
    <n v="366300"/>
    <n v="3.7971096627939925E-2"/>
    <n v="0.99970000000000003"/>
    <n v="0.99819999999999998"/>
    <n v="0.997"/>
    <n v="0.99519999999999997"/>
    <n v="0.99080000000000001"/>
    <n v="0.94971499999999998"/>
    <n v="0.93197097384222971"/>
    <n v="293000"/>
    <n v="0"/>
    <n v="293000"/>
    <n v="61100"/>
    <n v="354100"/>
    <n v="3.0811365970558027E-3"/>
    <n v="4.9342105263157892E-3"/>
    <n v="3.4003967129498441E-3"/>
  </r>
  <r>
    <n v="2025"/>
    <s v="19120113517    "/>
    <n v="-1.8325814637483102"/>
    <n v="0.16"/>
    <n v="7106"/>
    <s v="2"/>
    <s v="RES"/>
    <s v="MX"/>
    <s v="11"/>
    <s v="259"/>
    <s v="RN"/>
    <x v="5"/>
    <s v="GD"/>
    <n v="10"/>
    <n v="18"/>
    <n v="18"/>
    <n v="2006"/>
    <n v="2006"/>
    <n v="1382"/>
    <m/>
    <m/>
    <m/>
    <m/>
    <n v="0"/>
    <n v="1382"/>
    <n v="1500"/>
    <s v="N"/>
    <m/>
    <n v="426"/>
    <m/>
    <m/>
    <m/>
    <m/>
    <m/>
    <n v="324528"/>
    <n v="295320"/>
    <n v="0"/>
    <n v="0"/>
    <n v="60800"/>
    <n v="285500"/>
    <n v="346300"/>
    <n v="132535.48800000001"/>
    <n v="88356.992000000013"/>
    <n v="-24051.387388882686"/>
    <n v="32917.849192000001"/>
    <n v="30300.329274"/>
    <n v="-1957.3398"/>
    <n v="86251.14516"/>
    <n v="0"/>
    <n v="0"/>
    <n v="15038.239206"/>
    <n v="0"/>
    <n v="295100"/>
    <n v="64300"/>
    <n v="359400"/>
    <n v="3.782847242275484E-2"/>
    <n v="0.99970000000000003"/>
    <n v="1.0019"/>
    <n v="0.997"/>
    <n v="0.99519999999999997"/>
    <n v="0.99080000000000001"/>
    <n v="0.94971499999999998"/>
    <n v="0.9354254845647465"/>
    <n v="286500"/>
    <n v="0"/>
    <n v="286500"/>
    <n v="61100"/>
    <n v="347600"/>
    <n v="3.5026269702276708E-3"/>
    <n v="4.9342105263157892E-3"/>
    <n v="3.7539705457695638E-3"/>
  </r>
  <r>
    <n v="2025"/>
    <s v="19120112436    "/>
    <n v="-1.8325814637483102"/>
    <n v="0.16"/>
    <n v="6900"/>
    <s v="2"/>
    <s v="RES"/>
    <s v="MX"/>
    <s v="11"/>
    <s v="259"/>
    <s v="RN"/>
    <x v="4"/>
    <s v="GD"/>
    <n v="10"/>
    <n v="17"/>
    <n v="17"/>
    <n v="2007"/>
    <n v="2007"/>
    <n v="1380"/>
    <m/>
    <m/>
    <m/>
    <m/>
    <n v="0"/>
    <n v="1380"/>
    <n v="1500"/>
    <s v="N"/>
    <m/>
    <n v="428"/>
    <m/>
    <m/>
    <m/>
    <m/>
    <m/>
    <n v="274002"/>
    <n v="252082"/>
    <n v="0"/>
    <n v="0"/>
    <n v="60800"/>
    <n v="289300"/>
    <n v="350100"/>
    <n v="132535.48800000001"/>
    <n v="88356.992000000013"/>
    <n v="-24051.387388882686"/>
    <n v="37154.252388000001"/>
    <n v="30300.329274"/>
    <n v="-1848.5987"/>
    <n v="86126.324399999998"/>
    <n v="0"/>
    <n v="0"/>
    <n v="15108.841268"/>
    <n v="0"/>
    <n v="299400"/>
    <n v="64300"/>
    <n v="363700"/>
    <n v="3.8846043987432161E-2"/>
    <n v="0.99970000000000003"/>
    <n v="0.99819999999999998"/>
    <n v="0.997"/>
    <n v="0.99519999999999997"/>
    <n v="0.99080000000000001"/>
    <n v="0.94971499999999998"/>
    <n v="0.93197097384222971"/>
    <n v="290400"/>
    <n v="0"/>
    <n v="290400"/>
    <n v="61100"/>
    <n v="351500"/>
    <n v="3.8022813688212928E-3"/>
    <n v="4.9342105263157892E-3"/>
    <n v="3.9988574692944876E-3"/>
  </r>
  <r>
    <n v="2025"/>
    <s v="19120112425    "/>
    <n v="-1.8325814637483102"/>
    <n v="0.16"/>
    <n v="6924"/>
    <s v="2"/>
    <s v="RES"/>
    <s v="MX"/>
    <s v="11"/>
    <s v="259"/>
    <s v="RN"/>
    <x v="4"/>
    <s v="GD"/>
    <n v="10"/>
    <n v="17"/>
    <n v="17"/>
    <n v="2007"/>
    <n v="2007"/>
    <n v="1380"/>
    <m/>
    <m/>
    <m/>
    <m/>
    <n v="0"/>
    <n v="1380"/>
    <n v="1500"/>
    <s v="N"/>
    <m/>
    <n v="428"/>
    <m/>
    <m/>
    <m/>
    <m/>
    <m/>
    <n v="273628"/>
    <n v="251738"/>
    <n v="0"/>
    <n v="0"/>
    <n v="60800"/>
    <n v="289300"/>
    <n v="350100"/>
    <n v="132535.48800000001"/>
    <n v="88356.992000000013"/>
    <n v="-24051.387388882686"/>
    <n v="37154.252388000001"/>
    <n v="30300.329274"/>
    <n v="-1848.5987"/>
    <n v="86126.324399999998"/>
    <n v="0"/>
    <n v="0"/>
    <n v="15108.841268"/>
    <n v="0"/>
    <n v="299400"/>
    <n v="64300"/>
    <n v="363700"/>
    <n v="3.8846043987432161E-2"/>
    <n v="0.99970000000000003"/>
    <n v="0.99819999999999998"/>
    <n v="0.997"/>
    <n v="0.99519999999999997"/>
    <n v="0.99080000000000001"/>
    <n v="0.94971499999999998"/>
    <n v="0.93197097384222971"/>
    <n v="290400"/>
    <n v="0"/>
    <n v="290400"/>
    <n v="61100"/>
    <n v="351500"/>
    <n v="3.8022813688212928E-3"/>
    <n v="4.9342105263157892E-3"/>
    <n v="3.9988574692944876E-3"/>
  </r>
  <r>
    <n v="2025"/>
    <s v="19120113490    "/>
    <n v="-1.8325814637483102"/>
    <n v="0.16"/>
    <n v="7002"/>
    <s v="2"/>
    <s v="RES"/>
    <s v="MX"/>
    <s v="11"/>
    <s v="259"/>
    <s v="CO"/>
    <x v="5"/>
    <s v="GD"/>
    <n v="10"/>
    <n v="17"/>
    <n v="17"/>
    <n v="2007"/>
    <n v="2007"/>
    <n v="1116"/>
    <n v="1116"/>
    <m/>
    <m/>
    <m/>
    <n v="0"/>
    <n v="2232"/>
    <n v="2500"/>
    <s v="N"/>
    <m/>
    <n v="440"/>
    <m/>
    <m/>
    <m/>
    <m/>
    <n v="100"/>
    <n v="447839"/>
    <n v="412012"/>
    <n v="0"/>
    <n v="0"/>
    <n v="60800"/>
    <n v="336300"/>
    <n v="397100"/>
    <n v="132535.48800000001"/>
    <n v="88356.992000000013"/>
    <n v="-24051.387388882686"/>
    <n v="32917.849192000001"/>
    <n v="30300.329274"/>
    <n v="-1848.5987"/>
    <n v="69649.984080000009"/>
    <n v="66491.707427999994"/>
    <n v="0"/>
    <n v="15532.453640000002"/>
    <n v="0"/>
    <n v="345600"/>
    <n v="64300"/>
    <n v="409900"/>
    <n v="3.2233694283555776E-2"/>
    <n v="0.99970000000000003"/>
    <n v="1.0019"/>
    <n v="0.997"/>
    <n v="1.0008999999999999"/>
    <n v="0.99080000000000001"/>
    <n v="0.94971499999999998"/>
    <n v="0.94078312650809337"/>
    <n v="337700"/>
    <n v="0"/>
    <n v="337700"/>
    <n v="61100"/>
    <n v="398800"/>
    <n v="4.1629497472494793E-3"/>
    <n v="4.9342105263157892E-3"/>
    <n v="4.2810375220347519E-3"/>
  </r>
  <r>
    <n v="2025"/>
    <s v="19120112461    "/>
    <n v="-1.8325814637483102"/>
    <n v="0.16"/>
    <n v="7016"/>
    <s v="2"/>
    <s v="RES"/>
    <s v="MX"/>
    <s v="11"/>
    <s v="259"/>
    <s v="CO"/>
    <x v="5"/>
    <s v="GD"/>
    <n v="10"/>
    <n v="17"/>
    <n v="17"/>
    <n v="2007"/>
    <n v="2007"/>
    <n v="1116"/>
    <n v="1116"/>
    <m/>
    <m/>
    <m/>
    <n v="0"/>
    <n v="2232"/>
    <n v="2500"/>
    <s v="N"/>
    <m/>
    <n v="440"/>
    <m/>
    <m/>
    <m/>
    <m/>
    <m/>
    <n v="439327"/>
    <n v="404181"/>
    <n v="0"/>
    <n v="0"/>
    <n v="60800"/>
    <n v="336300"/>
    <n v="397100"/>
    <n v="132535.48800000001"/>
    <n v="88356.992000000013"/>
    <n v="-24051.387388882686"/>
    <n v="32917.849192000001"/>
    <n v="30300.329274"/>
    <n v="-1848.5987"/>
    <n v="69649.984080000009"/>
    <n v="66491.707427999994"/>
    <n v="0"/>
    <n v="15532.453640000002"/>
    <n v="0"/>
    <n v="345600"/>
    <n v="64300"/>
    <n v="409900"/>
    <n v="3.2233694283555776E-2"/>
    <n v="0.99970000000000003"/>
    <n v="1.0019"/>
    <n v="0.997"/>
    <n v="1.0008999999999999"/>
    <n v="0.99080000000000001"/>
    <n v="0.94971499999999998"/>
    <n v="0.94078312650809337"/>
    <n v="337700"/>
    <n v="0"/>
    <n v="337700"/>
    <n v="61100"/>
    <n v="398800"/>
    <n v="4.1629497472494793E-3"/>
    <n v="4.9342105263157892E-3"/>
    <n v="4.2810375220347519E-3"/>
  </r>
  <r>
    <n v="2025"/>
    <s v="19120112413    "/>
    <n v="-1.8325814637483102"/>
    <n v="0.16"/>
    <n v="7041"/>
    <s v="2"/>
    <s v="RES"/>
    <s v="MX"/>
    <s v="11"/>
    <s v="259"/>
    <s v="CO"/>
    <x v="5"/>
    <s v="GD"/>
    <n v="10"/>
    <n v="17"/>
    <n v="17"/>
    <n v="2007"/>
    <n v="2007"/>
    <n v="1116"/>
    <n v="1116"/>
    <m/>
    <m/>
    <m/>
    <n v="0"/>
    <n v="2232"/>
    <n v="2500"/>
    <s v="N"/>
    <m/>
    <n v="440"/>
    <m/>
    <m/>
    <m/>
    <m/>
    <m/>
    <n v="441971"/>
    <n v="406613"/>
    <n v="0"/>
    <n v="0"/>
    <n v="60800"/>
    <n v="336300"/>
    <n v="397100"/>
    <n v="132535.48800000001"/>
    <n v="88356.992000000013"/>
    <n v="-24051.387388882686"/>
    <n v="32917.849192000001"/>
    <n v="30300.329274"/>
    <n v="-1848.5987"/>
    <n v="69649.984080000009"/>
    <n v="66491.707427999994"/>
    <n v="0"/>
    <n v="15532.453640000002"/>
    <n v="0"/>
    <n v="345600"/>
    <n v="64300"/>
    <n v="409900"/>
    <n v="3.2233694283555776E-2"/>
    <n v="0.99970000000000003"/>
    <n v="1.0019"/>
    <n v="0.997"/>
    <n v="1.0008999999999999"/>
    <n v="0.99080000000000001"/>
    <n v="0.94971499999999998"/>
    <n v="0.94078312650809337"/>
    <n v="337700"/>
    <n v="0"/>
    <n v="337700"/>
    <n v="61100"/>
    <n v="398800"/>
    <n v="4.1629497472494793E-3"/>
    <n v="4.9342105263157892E-3"/>
    <n v="4.2810375220347519E-3"/>
  </r>
  <r>
    <n v="2025"/>
    <s v="19120112424    "/>
    <n v="-1.8325814637483102"/>
    <n v="0.16"/>
    <m/>
    <s v="2"/>
    <s v="RES"/>
    <s v="MX"/>
    <s v="11"/>
    <s v="259"/>
    <s v="CO"/>
    <x v="5"/>
    <s v="GD"/>
    <n v="10"/>
    <n v="17"/>
    <n v="17"/>
    <n v="2007"/>
    <n v="2007"/>
    <n v="1116"/>
    <n v="1116"/>
    <m/>
    <m/>
    <m/>
    <n v="0"/>
    <n v="2232"/>
    <n v="2500"/>
    <s v="N"/>
    <m/>
    <n v="440"/>
    <m/>
    <m/>
    <m/>
    <m/>
    <m/>
    <n v="439837"/>
    <n v="404650"/>
    <n v="0"/>
    <n v="0"/>
    <n v="60800"/>
    <n v="336300"/>
    <n v="397100"/>
    <n v="132535.48800000001"/>
    <n v="88356.992000000013"/>
    <n v="-24051.387388882686"/>
    <n v="32917.849192000001"/>
    <n v="30300.329274"/>
    <n v="-1848.5987"/>
    <n v="69649.984080000009"/>
    <n v="66491.707427999994"/>
    <n v="0"/>
    <n v="15532.453640000002"/>
    <n v="0"/>
    <n v="345600"/>
    <n v="64300"/>
    <n v="409900"/>
    <n v="3.2233694283555776E-2"/>
    <n v="0.99970000000000003"/>
    <n v="1.0019"/>
    <n v="0.997"/>
    <n v="1.0008999999999999"/>
    <n v="0.99080000000000001"/>
    <n v="0.94971499999999998"/>
    <n v="0.94078312650809337"/>
    <n v="337700"/>
    <n v="0"/>
    <n v="337700"/>
    <n v="61100"/>
    <n v="398800"/>
    <n v="4.1629497472494793E-3"/>
    <n v="4.9342105263157892E-3"/>
    <n v="4.2810375220347519E-3"/>
  </r>
  <r>
    <n v="2025"/>
    <s v="19120141412    "/>
    <n v="-1.8325814637483102"/>
    <n v="0.16"/>
    <n v="6951"/>
    <s v="2"/>
    <s v="RES"/>
    <s v="MX"/>
    <s v="11"/>
    <s v="259"/>
    <s v="RN"/>
    <x v="5"/>
    <s v="GD"/>
    <n v="10"/>
    <n v="19"/>
    <n v="19"/>
    <n v="2005"/>
    <n v="2005"/>
    <n v="1706"/>
    <m/>
    <m/>
    <m/>
    <m/>
    <n v="0"/>
    <n v="1706"/>
    <n v="2000"/>
    <s v="N"/>
    <n v="1"/>
    <n v="706"/>
    <m/>
    <m/>
    <m/>
    <m/>
    <m/>
    <n v="404229"/>
    <n v="367848"/>
    <n v="0"/>
    <n v="0"/>
    <n v="60800"/>
    <n v="315800"/>
    <n v="376600"/>
    <n v="132535.48800000001"/>
    <n v="88356.992000000013"/>
    <n v="-24051.387388882686"/>
    <n v="32917.849192000001"/>
    <n v="30300.329274"/>
    <n v="-2066.0808999999999"/>
    <n v="106472.10828"/>
    <n v="0"/>
    <n v="0"/>
    <n v="24922.527886"/>
    <n v="0"/>
    <n v="325100"/>
    <n v="64300"/>
    <n v="389400"/>
    <n v="3.3988316516197555E-2"/>
    <n v="0.99970000000000003"/>
    <n v="1.0019"/>
    <n v="0.997"/>
    <n v="1.0007999999999999"/>
    <n v="0.99080000000000001"/>
    <n v="0.94971499999999998"/>
    <n v="0.94068913278978916"/>
    <n v="317200"/>
    <n v="0"/>
    <n v="317200"/>
    <n v="61100"/>
    <n v="378300"/>
    <n v="4.4331855604813177E-3"/>
    <n v="4.9342105263157892E-3"/>
    <n v="4.5140732873074881E-3"/>
  </r>
  <r>
    <n v="2025"/>
    <s v="19120141546    "/>
    <n v="-1.8325814637483102"/>
    <n v="0.16"/>
    <n v="7089"/>
    <s v="2"/>
    <s v="RES"/>
    <s v="MX"/>
    <s v="11"/>
    <s v="259"/>
    <s v="RN"/>
    <x v="4"/>
    <s v="VG"/>
    <n v="10"/>
    <n v="19"/>
    <n v="19"/>
    <n v="2005"/>
    <n v="2005"/>
    <n v="1096"/>
    <m/>
    <m/>
    <m/>
    <m/>
    <n v="0"/>
    <n v="1096"/>
    <n v="1500"/>
    <s v="N"/>
    <m/>
    <n v="440"/>
    <m/>
    <m/>
    <m/>
    <m/>
    <m/>
    <n v="232749"/>
    <n v="211802"/>
    <n v="0"/>
    <n v="0"/>
    <n v="60800"/>
    <n v="292100"/>
    <n v="352900"/>
    <n v="132535.48800000001"/>
    <n v="88356.992000000013"/>
    <n v="-24051.387388882686"/>
    <n v="37154.252388000001"/>
    <n v="50438.379078999998"/>
    <n v="-2066.0808999999999"/>
    <n v="68401.77648"/>
    <n v="0"/>
    <n v="0"/>
    <n v="15532.453640000002"/>
    <n v="0"/>
    <n v="302000"/>
    <n v="64300"/>
    <n v="366300"/>
    <n v="3.7971096627939925E-2"/>
    <n v="0.99970000000000003"/>
    <n v="0.99819999999999998"/>
    <n v="1.0007999999999999"/>
    <n v="0.99519999999999997"/>
    <n v="0.99080000000000001"/>
    <n v="0.94971499999999998"/>
    <n v="0.93552311998124726"/>
    <n v="293500"/>
    <n v="0"/>
    <n v="293500"/>
    <n v="61100"/>
    <n v="354600"/>
    <n v="4.7928791509756936E-3"/>
    <n v="4.9342105263157892E-3"/>
    <n v="4.8172286766789462E-3"/>
  </r>
  <r>
    <n v="2025"/>
    <s v="20120633441    "/>
    <n v="-1.8325814637483102"/>
    <n v="0.16"/>
    <n v="7100"/>
    <s v="2"/>
    <s v="RES"/>
    <s v="MX"/>
    <s v="11"/>
    <s v="259"/>
    <s v="RN"/>
    <x v="5"/>
    <s v="GD"/>
    <n v="10"/>
    <n v="16"/>
    <n v="16"/>
    <n v="2008"/>
    <n v="2008"/>
    <n v="1728"/>
    <m/>
    <m/>
    <m/>
    <m/>
    <n v="0"/>
    <n v="1728"/>
    <n v="2000"/>
    <s v="N"/>
    <m/>
    <n v="444"/>
    <m/>
    <m/>
    <m/>
    <m/>
    <m/>
    <n v="387178"/>
    <n v="356204"/>
    <n v="0"/>
    <n v="0"/>
    <n v="60800"/>
    <n v="308200"/>
    <n v="369000"/>
    <n v="132535.48800000001"/>
    <n v="88356.992000000013"/>
    <n v="-24051.387388882686"/>
    <n v="32917.849192000001"/>
    <n v="30300.329274"/>
    <n v="-1739.8576"/>
    <n v="107845.13664000001"/>
    <n v="0"/>
    <n v="0"/>
    <n v="15673.657764000001"/>
    <n v="0"/>
    <n v="317500"/>
    <n v="64300"/>
    <n v="381800"/>
    <n v="3.4688346883468835E-2"/>
    <n v="0.99970000000000003"/>
    <n v="1.0019"/>
    <n v="0.997"/>
    <n v="1.0007999999999999"/>
    <n v="0.99080000000000001"/>
    <n v="0.94971499999999998"/>
    <n v="0.94068913278978916"/>
    <n v="309700"/>
    <n v="0"/>
    <n v="309700"/>
    <n v="61100"/>
    <n v="370800"/>
    <n v="4.8669695003244647E-3"/>
    <n v="4.9342105263157892E-3"/>
    <n v="4.8780487804878049E-3"/>
  </r>
  <r>
    <n v="2025"/>
    <s v="19120113520    "/>
    <n v="-1.8325814637483102"/>
    <n v="0.16"/>
    <n v="7082"/>
    <s v="2"/>
    <s v="RES"/>
    <s v="MX"/>
    <s v="11"/>
    <s v="259"/>
    <s v="RN"/>
    <x v="4"/>
    <s v="GD"/>
    <n v="10"/>
    <n v="17"/>
    <n v="17"/>
    <n v="2007"/>
    <n v="2007"/>
    <n v="1543"/>
    <m/>
    <m/>
    <m/>
    <m/>
    <n v="0"/>
    <n v="1543"/>
    <n v="2000"/>
    <s v="N"/>
    <m/>
    <n v="433"/>
    <m/>
    <m/>
    <m/>
    <m/>
    <m/>
    <n v="299543"/>
    <n v="275580"/>
    <n v="0"/>
    <n v="0"/>
    <n v="60800"/>
    <n v="299700"/>
    <n v="360500"/>
    <n v="132535.48800000001"/>
    <n v="88356.992000000013"/>
    <n v="-24051.387388882686"/>
    <n v="37154.252388000001"/>
    <n v="30300.329274"/>
    <n v="-1848.5987"/>
    <n v="96299.216339999999"/>
    <n v="0"/>
    <n v="0"/>
    <n v="15285.346423000001"/>
    <n v="0"/>
    <n v="309700"/>
    <n v="64300"/>
    <n v="374000"/>
    <n v="3.7447988904299581E-2"/>
    <n v="0.99970000000000003"/>
    <n v="0.99819999999999998"/>
    <n v="0.997"/>
    <n v="1.0007999999999999"/>
    <n v="0.99080000000000001"/>
    <n v="0.94971499999999998"/>
    <n v="0.93721518350211364"/>
    <n v="301400"/>
    <n v="0"/>
    <n v="301400"/>
    <n v="61100"/>
    <n v="362500"/>
    <n v="5.6723390056723387E-3"/>
    <n v="4.9342105263157892E-3"/>
    <n v="5.5478502080443829E-3"/>
  </r>
  <r>
    <n v="2025"/>
    <s v="19120141535    "/>
    <n v="-1.8325814637483102"/>
    <n v="0.16"/>
    <n v="6769"/>
    <s v="2"/>
    <s v="RES"/>
    <s v="MX"/>
    <s v="11"/>
    <s v="259"/>
    <s v="RN"/>
    <x v="4"/>
    <s v="GD"/>
    <n v="10"/>
    <n v="19"/>
    <n v="19"/>
    <n v="2005"/>
    <n v="2005"/>
    <n v="1543"/>
    <m/>
    <m/>
    <m/>
    <m/>
    <n v="0"/>
    <n v="1543"/>
    <n v="2000"/>
    <s v="N"/>
    <m/>
    <n v="433"/>
    <m/>
    <m/>
    <m/>
    <m/>
    <m/>
    <n v="300372"/>
    <n v="273339"/>
    <n v="0"/>
    <n v="0"/>
    <n v="60800"/>
    <n v="299400"/>
    <n v="360200"/>
    <n v="132535.48800000001"/>
    <n v="88356.992000000013"/>
    <n v="-24051.387388882686"/>
    <n v="37154.252388000001"/>
    <n v="30300.329274"/>
    <n v="-2066.0808999999999"/>
    <n v="96299.216339999999"/>
    <n v="0"/>
    <n v="0"/>
    <n v="15285.346423000001"/>
    <n v="0"/>
    <n v="309500"/>
    <n v="64300"/>
    <n v="373800"/>
    <n v="3.7756801776790673E-2"/>
    <n v="0.99970000000000003"/>
    <n v="0.99819999999999998"/>
    <n v="0.997"/>
    <n v="1.0007999999999999"/>
    <n v="0.99080000000000001"/>
    <n v="0.94971499999999998"/>
    <n v="0.93721518350211364"/>
    <n v="301200"/>
    <n v="0"/>
    <n v="301200"/>
    <n v="61100"/>
    <n v="362300"/>
    <n v="6.0120240480961923E-3"/>
    <n v="4.9342105263157892E-3"/>
    <n v="5.830094392004442E-3"/>
  </r>
  <r>
    <n v="2025"/>
    <s v="20120633404    "/>
    <n v="-1.8325814637483102"/>
    <n v="0.16"/>
    <n v="7095"/>
    <s v="2"/>
    <s v="RES"/>
    <s v="MX"/>
    <s v="11"/>
    <s v="259"/>
    <s v="CP"/>
    <x v="5"/>
    <s v="VG"/>
    <n v="10"/>
    <n v="16"/>
    <n v="16"/>
    <n v="2008"/>
    <n v="2008"/>
    <n v="1116"/>
    <n v="1116"/>
    <m/>
    <m/>
    <m/>
    <n v="0"/>
    <n v="2232"/>
    <n v="2500"/>
    <s v="N"/>
    <m/>
    <n v="716"/>
    <m/>
    <m/>
    <m/>
    <m/>
    <m/>
    <n v="453102"/>
    <n v="421385"/>
    <n v="0"/>
    <n v="0"/>
    <n v="60800"/>
    <n v="366000"/>
    <n v="426800"/>
    <n v="132535.48800000001"/>
    <n v="88356.992000000013"/>
    <n v="-24051.387388882686"/>
    <n v="32917.849192000001"/>
    <n v="50438.379078999998"/>
    <n v="-1739.8576"/>
    <n v="69649.984080000009"/>
    <n v="66491.707427999994"/>
    <n v="0"/>
    <n v="25275.538196000001"/>
    <n v="0"/>
    <n v="375600"/>
    <n v="64300"/>
    <n v="439900"/>
    <n v="3.069353327085286E-2"/>
    <n v="0.99970000000000003"/>
    <n v="1.0019"/>
    <n v="1.0007999999999999"/>
    <n v="1.0008999999999999"/>
    <n v="0.99080000000000001"/>
    <n v="0.94971499999999998"/>
    <n v="0.94436885958806405"/>
    <n v="368200"/>
    <n v="0"/>
    <n v="368200"/>
    <n v="61100"/>
    <n v="429300"/>
    <n v="6.0109289617486343E-3"/>
    <n v="4.9342105263157892E-3"/>
    <n v="5.857544517338332E-3"/>
  </r>
  <r>
    <n v="2025"/>
    <s v="19120141471    "/>
    <n v="-1.8325814637483102"/>
    <n v="0.16"/>
    <n v="7003"/>
    <s v="2"/>
    <s v="RES"/>
    <s v="MX"/>
    <s v="11"/>
    <s v="259"/>
    <s v="CO"/>
    <x v="5"/>
    <s v="VG"/>
    <n v="10"/>
    <n v="19"/>
    <n v="19"/>
    <n v="2005"/>
    <n v="2005"/>
    <n v="1040"/>
    <n v="1040"/>
    <m/>
    <m/>
    <m/>
    <n v="0"/>
    <n v="2080"/>
    <n v="2500"/>
    <s v="N"/>
    <m/>
    <n v="440"/>
    <m/>
    <m/>
    <m/>
    <m/>
    <m/>
    <n v="424343"/>
    <n v="386152"/>
    <n v="0"/>
    <n v="0"/>
    <n v="60800"/>
    <n v="346800"/>
    <n v="407600"/>
    <n v="132535.48800000001"/>
    <n v="88356.992000000013"/>
    <n v="-24051.387388882686"/>
    <n v="32917.849192000001"/>
    <n v="50438.379078999998"/>
    <n v="-2066.0808999999999"/>
    <n v="64906.7952"/>
    <n v="61963.598319999997"/>
    <n v="0"/>
    <n v="15532.453640000002"/>
    <n v="0"/>
    <n v="356200"/>
    <n v="64300"/>
    <n v="420500"/>
    <n v="3.1648675171736994E-2"/>
    <n v="0.99970000000000003"/>
    <n v="1.0019"/>
    <n v="1.0007999999999999"/>
    <n v="1.0008999999999999"/>
    <n v="0.99080000000000001"/>
    <n v="0.94971499999999998"/>
    <n v="0.94436885958806405"/>
    <n v="348900"/>
    <n v="0"/>
    <n v="348900"/>
    <n v="61100"/>
    <n v="410000"/>
    <n v="6.0553633217993079E-3"/>
    <n v="4.9342105263157892E-3"/>
    <n v="5.8881256133464181E-3"/>
  </r>
  <r>
    <n v="2025"/>
    <s v="19120113589    "/>
    <n v="-1.8325814637483102"/>
    <n v="0.16"/>
    <n v="7077"/>
    <s v="2"/>
    <s v="RES"/>
    <s v="MX"/>
    <s v="11"/>
    <s v="259"/>
    <s v="RN"/>
    <x v="4"/>
    <s v="GD"/>
    <n v="10"/>
    <n v="17"/>
    <n v="17"/>
    <n v="2007"/>
    <n v="2007"/>
    <n v="1716"/>
    <m/>
    <m/>
    <m/>
    <m/>
    <n v="0"/>
    <n v="1716"/>
    <n v="2000"/>
    <s v="N"/>
    <n v="1"/>
    <n v="440"/>
    <m/>
    <m/>
    <m/>
    <m/>
    <m/>
    <n v="336341"/>
    <n v="309434"/>
    <n v="0"/>
    <n v="0"/>
    <n v="60800"/>
    <n v="310500"/>
    <n v="371300"/>
    <n v="132535.48800000001"/>
    <n v="88356.992000000013"/>
    <n v="-24051.387388882686"/>
    <n v="37154.252388000001"/>
    <n v="30300.329274"/>
    <n v="-1848.5987"/>
    <n v="107096.21208000001"/>
    <n v="0"/>
    <n v="0"/>
    <n v="15532.453640000002"/>
    <n v="0"/>
    <n v="320800"/>
    <n v="64300"/>
    <n v="385100"/>
    <n v="3.7166711553999462E-2"/>
    <n v="0.99970000000000003"/>
    <n v="0.99819999999999998"/>
    <n v="0.997"/>
    <n v="1.0007999999999999"/>
    <n v="0.99080000000000001"/>
    <n v="0.94971499999999998"/>
    <n v="0.93721518350211364"/>
    <n v="312400"/>
    <n v="0"/>
    <n v="312400"/>
    <n v="61100"/>
    <n v="373500"/>
    <n v="6.1191626409017709E-3"/>
    <n v="4.9342105263157892E-3"/>
    <n v="5.9251279288984647E-3"/>
  </r>
  <r>
    <n v="2025"/>
    <s v="19120113477    "/>
    <n v="-1.8325814637483102"/>
    <n v="0.16"/>
    <n v="7000"/>
    <s v="2"/>
    <s v="RES"/>
    <s v="MX"/>
    <s v="11"/>
    <s v="259"/>
    <s v="RN"/>
    <x v="4"/>
    <s v="GD"/>
    <n v="10"/>
    <n v="18"/>
    <n v="18"/>
    <n v="2006"/>
    <n v="2006"/>
    <n v="1380"/>
    <m/>
    <m/>
    <m/>
    <m/>
    <n v="0"/>
    <n v="1380"/>
    <n v="1500"/>
    <s v="N"/>
    <m/>
    <n v="428"/>
    <m/>
    <m/>
    <m/>
    <m/>
    <m/>
    <n v="273487"/>
    <n v="248873"/>
    <n v="0"/>
    <n v="0"/>
    <n v="60800"/>
    <n v="288500"/>
    <n v="349300"/>
    <n v="132535.48800000001"/>
    <n v="88356.992000000013"/>
    <n v="-24051.387388882686"/>
    <n v="37154.252388000001"/>
    <n v="30300.329274"/>
    <n v="-1957.3398"/>
    <n v="86126.324399999998"/>
    <n v="0"/>
    <n v="0"/>
    <n v="15108.841268"/>
    <n v="0"/>
    <n v="299300"/>
    <n v="64300"/>
    <n v="363600"/>
    <n v="4.0939020898940741E-2"/>
    <n v="0.99970000000000003"/>
    <n v="0.99819999999999998"/>
    <n v="0.997"/>
    <n v="0.99519999999999997"/>
    <n v="0.99080000000000001"/>
    <n v="0.94971499999999998"/>
    <n v="0.93197097384222971"/>
    <n v="290300"/>
    <n v="0"/>
    <n v="290300"/>
    <n v="61100"/>
    <n v="351400"/>
    <n v="6.2391681109185441E-3"/>
    <n v="4.9342105263157892E-3"/>
    <n v="6.0120240480961923E-3"/>
  </r>
  <r>
    <n v="2025"/>
    <s v="19120144569    "/>
    <n v="-1.8325814637483102"/>
    <n v="0.16"/>
    <n v="7173"/>
    <s v="2"/>
    <s v="RES"/>
    <s v="MX"/>
    <s v="11"/>
    <s v="259"/>
    <s v="RN"/>
    <x v="4"/>
    <s v="GD"/>
    <n v="20"/>
    <n v="20"/>
    <n v="20"/>
    <n v="2004"/>
    <n v="2004"/>
    <n v="1364"/>
    <m/>
    <m/>
    <m/>
    <m/>
    <n v="0"/>
    <n v="1364"/>
    <n v="1500"/>
    <s v="N"/>
    <m/>
    <n v="428"/>
    <m/>
    <m/>
    <m/>
    <m/>
    <m/>
    <n v="285073"/>
    <n v="259416"/>
    <n v="0"/>
    <n v="0"/>
    <n v="60800"/>
    <n v="289900"/>
    <n v="350700"/>
    <n v="132535.48800000001"/>
    <n v="88356.992000000013"/>
    <n v="-24051.387388882686"/>
    <n v="37154.252388000001"/>
    <n v="30300.329274"/>
    <n v="-2174.8220000000001"/>
    <n v="85127.758320000008"/>
    <n v="0"/>
    <n v="0"/>
    <n v="15108.841268"/>
    <n v="0"/>
    <n v="298100"/>
    <n v="64300"/>
    <n v="362400"/>
    <n v="3.3361847733105215E-2"/>
    <n v="0.99970000000000003"/>
    <n v="0.99819999999999998"/>
    <n v="0.997"/>
    <n v="0.99519999999999997"/>
    <n v="1.0138"/>
    <n v="0.94971499999999998"/>
    <n v="0.95360534243162343"/>
    <n v="291900"/>
    <n v="0"/>
    <n v="291900"/>
    <n v="61100"/>
    <n v="353000"/>
    <n v="6.8989306657468094E-3"/>
    <n v="4.9342105263157892E-3"/>
    <n v="6.5583119475335046E-3"/>
  </r>
  <r>
    <n v="2025"/>
    <s v="19120113608    "/>
    <n v="-1.8325814637483102"/>
    <n v="0.16"/>
    <n v="7052"/>
    <s v="2"/>
    <s v="RES"/>
    <s v="MX"/>
    <s v="11"/>
    <s v="259"/>
    <s v="RN"/>
    <x v="4"/>
    <s v="VG"/>
    <n v="10"/>
    <n v="16"/>
    <n v="16"/>
    <n v="2008"/>
    <n v="2008"/>
    <n v="1364"/>
    <m/>
    <m/>
    <m/>
    <m/>
    <n v="0"/>
    <n v="1364"/>
    <n v="1500"/>
    <s v="N"/>
    <m/>
    <n v="428"/>
    <m/>
    <m/>
    <m/>
    <m/>
    <m/>
    <n v="276107"/>
    <n v="256780"/>
    <n v="0"/>
    <n v="0"/>
    <n v="60800"/>
    <n v="307700"/>
    <n v="368500"/>
    <n v="132535.48800000001"/>
    <n v="88356.992000000013"/>
    <n v="-24051.387388882686"/>
    <n v="37154.252388000001"/>
    <n v="50438.379078999998"/>
    <n v="-1739.8576"/>
    <n v="85127.758320000008"/>
    <n v="0"/>
    <n v="0"/>
    <n v="15108.841268"/>
    <n v="0"/>
    <n v="318600"/>
    <n v="64300"/>
    <n v="382900"/>
    <n v="3.9077340569877883E-2"/>
    <n v="0.99970000000000003"/>
    <n v="0.99819999999999998"/>
    <n v="1.0007999999999999"/>
    <n v="0.99519999999999997"/>
    <n v="0.99080000000000001"/>
    <n v="0.94971499999999998"/>
    <n v="0.93552311998124726"/>
    <n v="310100"/>
    <n v="0"/>
    <n v="310100"/>
    <n v="61100"/>
    <n v="371200"/>
    <n v="7.7998050048748782E-3"/>
    <n v="4.9342105263157892E-3"/>
    <n v="7.3270013568521031E-3"/>
  </r>
  <r>
    <n v="2025"/>
    <s v="19120113598    "/>
    <n v="-1.8325814637483102"/>
    <n v="0.16"/>
    <n v="7078"/>
    <s v="2"/>
    <s v="RES"/>
    <s v="MX"/>
    <s v="11"/>
    <s v="259"/>
    <s v="TD"/>
    <x v="4"/>
    <s v="VG"/>
    <n v="10"/>
    <n v="16"/>
    <n v="16"/>
    <n v="2008"/>
    <n v="2008"/>
    <n v="1628"/>
    <m/>
    <m/>
    <m/>
    <m/>
    <n v="0"/>
    <n v="1628"/>
    <n v="2000"/>
    <s v="N"/>
    <n v="1"/>
    <n v="528"/>
    <m/>
    <m/>
    <m/>
    <m/>
    <m/>
    <n v="332363"/>
    <n v="309098"/>
    <n v="0"/>
    <n v="0"/>
    <n v="60800"/>
    <n v="328200"/>
    <n v="389000"/>
    <n v="132535.48800000001"/>
    <n v="88356.992000000013"/>
    <n v="-24051.387388882686"/>
    <n v="37154.252388000001"/>
    <n v="50438.379078999998"/>
    <n v="-1739.8576"/>
    <n v="101604.09864000001"/>
    <n v="0"/>
    <n v="0"/>
    <n v="18638.944368"/>
    <n v="0"/>
    <n v="338600"/>
    <n v="64300"/>
    <n v="402900"/>
    <n v="3.5732647814910028E-2"/>
    <n v="0.99970000000000003"/>
    <n v="0.99819999999999998"/>
    <n v="1.0007999999999999"/>
    <n v="1.0007999999999999"/>
    <n v="0.99080000000000001"/>
    <n v="0.94971499999999998"/>
    <n v="0.9407873176017203"/>
    <n v="330800"/>
    <n v="0"/>
    <n v="330800"/>
    <n v="61100"/>
    <n v="391900"/>
    <n v="7.9219987812309562E-3"/>
    <n v="4.9342105263157892E-3"/>
    <n v="7.4550128534704371E-3"/>
  </r>
  <r>
    <n v="2025"/>
    <s v="19120112426    "/>
    <n v="-1.8325814637483102"/>
    <n v="0.16"/>
    <n v="6924"/>
    <s v="2"/>
    <s v="RES"/>
    <s v="MX"/>
    <s v="11"/>
    <s v="259"/>
    <s v="RN"/>
    <x v="4"/>
    <s v="VG"/>
    <n v="10"/>
    <n v="17"/>
    <n v="17"/>
    <n v="2007"/>
    <n v="2007"/>
    <n v="1364"/>
    <m/>
    <m/>
    <m/>
    <m/>
    <n v="0"/>
    <n v="1364"/>
    <n v="1500"/>
    <s v="N"/>
    <n v="1"/>
    <n v="668"/>
    <m/>
    <m/>
    <m/>
    <m/>
    <m/>
    <n v="284787"/>
    <n v="264852"/>
    <n v="0"/>
    <n v="0"/>
    <n v="60800"/>
    <n v="315800"/>
    <n v="376600"/>
    <n v="132535.48800000001"/>
    <n v="88356.992000000013"/>
    <n v="-24051.387388882686"/>
    <n v="37154.252388000001"/>
    <n v="50438.379078999998"/>
    <n v="-1848.5987"/>
    <n v="85127.758320000008"/>
    <n v="0"/>
    <n v="0"/>
    <n v="23581.088708000003"/>
    <n v="0"/>
    <n v="327000"/>
    <n v="64300"/>
    <n v="391300"/>
    <n v="3.9033457249070633E-2"/>
    <n v="0.99970000000000003"/>
    <n v="0.99819999999999998"/>
    <n v="1.0007999999999999"/>
    <n v="0.99519999999999997"/>
    <n v="0.99080000000000001"/>
    <n v="0.94971499999999998"/>
    <n v="0.93552311998124726"/>
    <n v="318400"/>
    <n v="0"/>
    <n v="318400"/>
    <n v="61100"/>
    <n v="379500"/>
    <n v="8.2330588980367315E-3"/>
    <n v="4.9342105263157892E-3"/>
    <n v="7.700477960701009E-3"/>
  </r>
  <r>
    <n v="2025"/>
    <s v="19120113462    "/>
    <n v="-1.8325814637483102"/>
    <n v="0.16"/>
    <n v="6998"/>
    <s v="2"/>
    <s v="RES"/>
    <s v="MX"/>
    <s v="11"/>
    <s v="259"/>
    <s v="RN"/>
    <x v="4"/>
    <s v="GD"/>
    <n v="10"/>
    <n v="18"/>
    <n v="18"/>
    <n v="2006"/>
    <n v="2006"/>
    <n v="1436"/>
    <m/>
    <m/>
    <m/>
    <m/>
    <n v="0"/>
    <n v="1436"/>
    <n v="1500"/>
    <s v="N"/>
    <m/>
    <n v="400"/>
    <m/>
    <m/>
    <m/>
    <m/>
    <m/>
    <n v="280937"/>
    <n v="255653"/>
    <n v="0"/>
    <n v="0"/>
    <n v="60800"/>
    <n v="290300"/>
    <n v="351100"/>
    <n v="132535.48800000001"/>
    <n v="88356.992000000013"/>
    <n v="-24051.387388882686"/>
    <n v="37154.252388000001"/>
    <n v="30300.329274"/>
    <n v="-1957.3398"/>
    <n v="89621.305680000005"/>
    <n v="0"/>
    <n v="0"/>
    <n v="14120.412400000001"/>
    <n v="0"/>
    <n v="301800"/>
    <n v="64300"/>
    <n v="366100"/>
    <n v="4.2722870976929651E-2"/>
    <n v="0.99970000000000003"/>
    <n v="0.99819999999999998"/>
    <n v="0.997"/>
    <n v="0.99519999999999997"/>
    <n v="0.99080000000000001"/>
    <n v="0.94971499999999998"/>
    <n v="0.93197097384222971"/>
    <n v="292800"/>
    <n v="0"/>
    <n v="292800"/>
    <n v="61100"/>
    <n v="353900"/>
    <n v="8.6117809162934902E-3"/>
    <n v="4.9342105263157892E-3"/>
    <n v="7.9749359156935339E-3"/>
  </r>
  <r>
    <n v="2025"/>
    <s v="19120141523    "/>
    <n v="-1.8325814637483102"/>
    <n v="0.16"/>
    <n v="6984"/>
    <s v="2"/>
    <s v="RES"/>
    <s v="MX"/>
    <s v="11"/>
    <s v="259"/>
    <s v="CO"/>
    <x v="5"/>
    <s v="GD"/>
    <n v="10"/>
    <n v="19"/>
    <n v="19"/>
    <n v="2005"/>
    <n v="2005"/>
    <n v="1116"/>
    <n v="1116"/>
    <m/>
    <m/>
    <m/>
    <n v="0"/>
    <n v="2232"/>
    <n v="2500"/>
    <s v="N"/>
    <n v="1"/>
    <n v="440"/>
    <m/>
    <m/>
    <m/>
    <m/>
    <m/>
    <n v="449389"/>
    <n v="408944"/>
    <n v="0"/>
    <n v="0"/>
    <n v="60800"/>
    <n v="334500"/>
    <n v="395300"/>
    <n v="132535.48800000001"/>
    <n v="88356.992000000013"/>
    <n v="-24051.387388882686"/>
    <n v="32917.849192000001"/>
    <n v="30300.329274"/>
    <n v="-2066.0808999999999"/>
    <n v="69649.984080000009"/>
    <n v="66491.707427999994"/>
    <n v="0"/>
    <n v="15532.453640000002"/>
    <n v="0"/>
    <n v="345400"/>
    <n v="64300"/>
    <n v="409700"/>
    <n v="3.6428029344801417E-2"/>
    <n v="0.99970000000000003"/>
    <n v="1.0019"/>
    <n v="0.997"/>
    <n v="1.0008999999999999"/>
    <n v="0.99080000000000001"/>
    <n v="0.94971499999999998"/>
    <n v="0.94078312650809337"/>
    <n v="337500"/>
    <n v="0"/>
    <n v="337500"/>
    <n v="61100"/>
    <n v="398600"/>
    <n v="8.9686098654708519E-3"/>
    <n v="4.9342105263157892E-3"/>
    <n v="8.3480900581836583E-3"/>
  </r>
  <r>
    <n v="2025"/>
    <s v="19120141520    "/>
    <n v="-1.8325814637483102"/>
    <n v="0.16"/>
    <n v="6998"/>
    <s v="2"/>
    <s v="RES"/>
    <s v="MX"/>
    <s v="11"/>
    <s v="259"/>
    <s v="CO"/>
    <x v="5"/>
    <s v="GD"/>
    <n v="10"/>
    <n v="19"/>
    <n v="19"/>
    <n v="2005"/>
    <n v="2005"/>
    <n v="1116"/>
    <n v="1116"/>
    <m/>
    <m/>
    <m/>
    <n v="0"/>
    <n v="2232"/>
    <n v="2500"/>
    <s v="N"/>
    <m/>
    <n v="440"/>
    <m/>
    <m/>
    <m/>
    <m/>
    <m/>
    <n v="439327"/>
    <n v="399788"/>
    <n v="0"/>
    <n v="0"/>
    <n v="60800"/>
    <n v="334500"/>
    <n v="395300"/>
    <n v="132535.48800000001"/>
    <n v="88356.992000000013"/>
    <n v="-24051.387388882686"/>
    <n v="32917.849192000001"/>
    <n v="30300.329274"/>
    <n v="-2066.0808999999999"/>
    <n v="69649.984080000009"/>
    <n v="66491.707427999994"/>
    <n v="0"/>
    <n v="15532.453640000002"/>
    <n v="0"/>
    <n v="345400"/>
    <n v="64300"/>
    <n v="409700"/>
    <n v="3.6428029344801417E-2"/>
    <n v="0.99970000000000003"/>
    <n v="1.0019"/>
    <n v="0.997"/>
    <n v="1.0008999999999999"/>
    <n v="0.99080000000000001"/>
    <n v="0.94971499999999998"/>
    <n v="0.94078312650809337"/>
    <n v="337500"/>
    <n v="0"/>
    <n v="337500"/>
    <n v="61100"/>
    <n v="398600"/>
    <n v="8.9686098654708519E-3"/>
    <n v="4.9342105263157892E-3"/>
    <n v="8.3480900581836583E-3"/>
  </r>
  <r>
    <n v="2025"/>
    <s v="19120141540    "/>
    <n v="-1.8325814637483102"/>
    <n v="0.16"/>
    <n v="7172"/>
    <s v="2"/>
    <s v="RES"/>
    <s v="MX"/>
    <s v="11"/>
    <s v="259"/>
    <s v="CO"/>
    <x v="5"/>
    <s v="GD"/>
    <n v="10"/>
    <n v="19"/>
    <n v="19"/>
    <n v="2005"/>
    <n v="2005"/>
    <n v="1116"/>
    <n v="1116"/>
    <m/>
    <m/>
    <m/>
    <n v="0"/>
    <n v="2232"/>
    <n v="2500"/>
    <s v="N"/>
    <n v="1"/>
    <n v="440"/>
    <m/>
    <m/>
    <m/>
    <m/>
    <m/>
    <n v="444722"/>
    <n v="404697"/>
    <n v="0"/>
    <n v="0"/>
    <n v="60800"/>
    <n v="334500"/>
    <n v="395300"/>
    <n v="132535.48800000001"/>
    <n v="88356.992000000013"/>
    <n v="-24051.387388882686"/>
    <n v="32917.849192000001"/>
    <n v="30300.329274"/>
    <n v="-2066.0808999999999"/>
    <n v="69649.984080000009"/>
    <n v="66491.707427999994"/>
    <n v="0"/>
    <n v="15532.453640000002"/>
    <n v="0"/>
    <n v="345400"/>
    <n v="64300"/>
    <n v="409700"/>
    <n v="3.6428029344801417E-2"/>
    <n v="0.99970000000000003"/>
    <n v="1.0019"/>
    <n v="0.997"/>
    <n v="1.0008999999999999"/>
    <n v="0.99080000000000001"/>
    <n v="0.94971499999999998"/>
    <n v="0.94078312650809337"/>
    <n v="337500"/>
    <n v="0"/>
    <n v="337500"/>
    <n v="61100"/>
    <n v="398600"/>
    <n v="8.9686098654708519E-3"/>
    <n v="4.9342105263157892E-3"/>
    <n v="8.3480900581836583E-3"/>
  </r>
  <r>
    <n v="2025"/>
    <s v="19120112443    "/>
    <n v="-1.8325814637483102"/>
    <n v="0.16"/>
    <n v="7032"/>
    <s v="2"/>
    <s v="RES"/>
    <s v="MX"/>
    <s v="11"/>
    <s v="259"/>
    <s v="RN"/>
    <x v="4"/>
    <s v="VG"/>
    <n v="10"/>
    <n v="17"/>
    <n v="17"/>
    <n v="2007"/>
    <n v="2007"/>
    <n v="1352"/>
    <m/>
    <m/>
    <m/>
    <m/>
    <n v="0"/>
    <n v="1352"/>
    <n v="1500"/>
    <s v="N"/>
    <m/>
    <n v="440"/>
    <m/>
    <m/>
    <m/>
    <m/>
    <m/>
    <n v="274757"/>
    <n v="255524"/>
    <n v="0"/>
    <n v="0"/>
    <n v="60800"/>
    <n v="306800"/>
    <n v="367600"/>
    <n v="132535.48800000001"/>
    <n v="88356.992000000013"/>
    <n v="-24051.387388882686"/>
    <n v="37154.252388000001"/>
    <n v="50438.379078999998"/>
    <n v="-1848.5987"/>
    <n v="84378.833760000009"/>
    <n v="0"/>
    <n v="0"/>
    <n v="15532.453640000002"/>
    <n v="0"/>
    <n v="318200"/>
    <n v="64300"/>
    <n v="382500"/>
    <n v="4.0533188248095757E-2"/>
    <n v="0.99970000000000003"/>
    <n v="0.99819999999999998"/>
    <n v="1.0007999999999999"/>
    <n v="0.99519999999999997"/>
    <n v="0.99080000000000001"/>
    <n v="0.94971499999999998"/>
    <n v="0.93552311998124726"/>
    <n v="309600"/>
    <n v="0"/>
    <n v="309600"/>
    <n v="61100"/>
    <n v="370700"/>
    <n v="9.126466753585397E-3"/>
    <n v="4.9342105263157892E-3"/>
    <n v="8.433079434167573E-3"/>
  </r>
  <r>
    <n v="2025"/>
    <s v="19120113541    "/>
    <n v="-1.8325814637483102"/>
    <n v="0.16"/>
    <n v="7055"/>
    <s v="2"/>
    <s v="RES"/>
    <s v="MX"/>
    <s v="11"/>
    <s v="259"/>
    <s v="RN"/>
    <x v="5"/>
    <s v="VG"/>
    <n v="10"/>
    <n v="18"/>
    <n v="18"/>
    <n v="2006"/>
    <n v="2006"/>
    <n v="1302"/>
    <m/>
    <m/>
    <m/>
    <m/>
    <n v="0"/>
    <n v="1302"/>
    <n v="1500"/>
    <s v="N"/>
    <m/>
    <n v="440"/>
    <m/>
    <m/>
    <m/>
    <m/>
    <m/>
    <n v="306694"/>
    <n v="282158"/>
    <n v="0"/>
    <n v="0"/>
    <n v="60800"/>
    <n v="299700"/>
    <n v="360500"/>
    <n v="132535.48800000001"/>
    <n v="88356.992000000013"/>
    <n v="-24051.387388882686"/>
    <n v="32917.849192000001"/>
    <n v="50438.379078999998"/>
    <n v="-1957.3398"/>
    <n v="81258.314760000008"/>
    <n v="0"/>
    <n v="0"/>
    <n v="15532.453640000002"/>
    <n v="0"/>
    <n v="310700"/>
    <n v="64300"/>
    <n v="375000"/>
    <n v="4.0221914008321778E-2"/>
    <n v="0.99970000000000003"/>
    <n v="1.0019"/>
    <n v="1.0007999999999999"/>
    <n v="0.99519999999999997"/>
    <n v="0.99080000000000001"/>
    <n v="0.94971499999999998"/>
    <n v="0.93899079734443147"/>
    <n v="302600"/>
    <n v="0"/>
    <n v="302600"/>
    <n v="61100"/>
    <n v="363700"/>
    <n v="9.6763430096763435E-3"/>
    <n v="4.9342105263157892E-3"/>
    <n v="8.8765603328710124E-3"/>
  </r>
  <r>
    <n v="2025"/>
    <s v="19120112430    "/>
    <n v="-1.8325814637483102"/>
    <n v="0.16"/>
    <n v="6997"/>
    <s v="2"/>
    <s v="RES"/>
    <s v="MX"/>
    <s v="11"/>
    <s v="259"/>
    <s v="RN"/>
    <x v="4"/>
    <s v="VG"/>
    <n v="10"/>
    <n v="17"/>
    <n v="17"/>
    <n v="2007"/>
    <n v="2007"/>
    <n v="1380"/>
    <m/>
    <m/>
    <m/>
    <m/>
    <n v="0"/>
    <n v="1380"/>
    <n v="1500"/>
    <s v="N"/>
    <m/>
    <n v="428"/>
    <m/>
    <m/>
    <m/>
    <m/>
    <m/>
    <n v="277799"/>
    <n v="258353"/>
    <n v="0"/>
    <n v="0"/>
    <n v="60800"/>
    <n v="307800"/>
    <n v="368600"/>
    <n v="132535.48800000001"/>
    <n v="88356.992000000013"/>
    <n v="-24051.387388882686"/>
    <n v="37154.252388000001"/>
    <n v="50438.379078999998"/>
    <n v="-1848.5987"/>
    <n v="86126.324399999998"/>
    <n v="0"/>
    <n v="0"/>
    <n v="15108.841268"/>
    <n v="0"/>
    <n v="319500"/>
    <n v="64300"/>
    <n v="383800"/>
    <n v="4.1237113402061855E-2"/>
    <n v="0.99970000000000003"/>
    <n v="0.99819999999999998"/>
    <n v="1.0007999999999999"/>
    <n v="0.99519999999999997"/>
    <n v="0.99080000000000001"/>
    <n v="0.94971499999999998"/>
    <n v="0.93552311998124726"/>
    <n v="311000"/>
    <n v="0"/>
    <n v="311000"/>
    <n v="61100"/>
    <n v="372100"/>
    <n v="1.0396361273554255E-2"/>
    <n v="4.9342105263157892E-3"/>
    <n v="9.4953879544221378E-3"/>
  </r>
  <r>
    <n v="2025"/>
    <s v="19120141518    "/>
    <n v="-1.8325814637483102"/>
    <n v="0.16"/>
    <n v="6998"/>
    <s v="2"/>
    <s v="RES"/>
    <s v="MX"/>
    <s v="11"/>
    <s v="259"/>
    <s v="RN"/>
    <x v="4"/>
    <s v="GD"/>
    <n v="10"/>
    <n v="19"/>
    <n v="19"/>
    <n v="2005"/>
    <n v="2005"/>
    <n v="1436"/>
    <m/>
    <m/>
    <m/>
    <m/>
    <n v="0"/>
    <n v="1436"/>
    <n v="1500"/>
    <s v="N"/>
    <m/>
    <n v="400"/>
    <m/>
    <m/>
    <m/>
    <m/>
    <m/>
    <n v="280937"/>
    <n v="255653"/>
    <n v="0"/>
    <n v="0"/>
    <n v="60800"/>
    <n v="289400"/>
    <n v="350200"/>
    <n v="132535.48800000001"/>
    <n v="88356.992000000013"/>
    <n v="-24051.387388882686"/>
    <n v="37154.252388000001"/>
    <n v="30300.329274"/>
    <n v="-2066.0808999999999"/>
    <n v="89621.305680000005"/>
    <n v="0"/>
    <n v="0"/>
    <n v="14120.412400000001"/>
    <n v="0"/>
    <n v="301700"/>
    <n v="64300"/>
    <n v="366000"/>
    <n v="4.5117075956596232E-2"/>
    <n v="0.99970000000000003"/>
    <n v="0.99819999999999998"/>
    <n v="0.997"/>
    <n v="0.99519999999999997"/>
    <n v="0.99080000000000001"/>
    <n v="0.94971499999999998"/>
    <n v="0.93197097384222971"/>
    <n v="292600"/>
    <n v="0"/>
    <n v="292600"/>
    <n v="61100"/>
    <n v="353700"/>
    <n v="1.10573600552868E-2"/>
    <n v="4.9342105263157892E-3"/>
    <n v="9.9942889777270127E-3"/>
  </r>
  <r>
    <n v="2025"/>
    <s v="19120141510    "/>
    <n v="-1.8325814637483102"/>
    <n v="0.16"/>
    <n v="7017"/>
    <s v="2"/>
    <s v="RES"/>
    <s v="MX"/>
    <s v="11"/>
    <s v="259"/>
    <s v="RN"/>
    <x v="4"/>
    <s v="GD"/>
    <n v="10"/>
    <n v="19"/>
    <n v="19"/>
    <n v="2005"/>
    <n v="2005"/>
    <n v="1436"/>
    <m/>
    <m/>
    <m/>
    <m/>
    <n v="0"/>
    <n v="1436"/>
    <n v="1500"/>
    <s v="N"/>
    <m/>
    <n v="400"/>
    <m/>
    <m/>
    <m/>
    <m/>
    <m/>
    <n v="293244"/>
    <n v="266852"/>
    <n v="0"/>
    <n v="0"/>
    <n v="60800"/>
    <n v="289400"/>
    <n v="350200"/>
    <n v="132535.48800000001"/>
    <n v="88356.992000000013"/>
    <n v="-24051.387388882686"/>
    <n v="37154.252388000001"/>
    <n v="30300.329274"/>
    <n v="-2066.0808999999999"/>
    <n v="89621.305680000005"/>
    <n v="0"/>
    <n v="0"/>
    <n v="14120.412400000001"/>
    <n v="0"/>
    <n v="301700"/>
    <n v="64300"/>
    <n v="366000"/>
    <n v="4.5117075956596232E-2"/>
    <n v="0.99970000000000003"/>
    <n v="0.99819999999999998"/>
    <n v="0.997"/>
    <n v="0.99519999999999997"/>
    <n v="0.99080000000000001"/>
    <n v="0.94971499999999998"/>
    <n v="0.93197097384222971"/>
    <n v="292600"/>
    <n v="0"/>
    <n v="292600"/>
    <n v="61100"/>
    <n v="353700"/>
    <n v="1.10573600552868E-2"/>
    <n v="4.9342105263157892E-3"/>
    <n v="9.9942889777270127E-3"/>
  </r>
  <r>
    <n v="2025"/>
    <s v="19120141522    "/>
    <n v="-1.8325814637483102"/>
    <n v="0.16"/>
    <n v="6954"/>
    <s v="2"/>
    <s v="RES"/>
    <s v="MX"/>
    <s v="11"/>
    <s v="259"/>
    <s v="RN"/>
    <x v="4"/>
    <s v="VG"/>
    <n v="10"/>
    <n v="19"/>
    <n v="19"/>
    <n v="2005"/>
    <n v="2005"/>
    <n v="1364"/>
    <m/>
    <m/>
    <m/>
    <m/>
    <n v="0"/>
    <n v="1364"/>
    <n v="1500"/>
    <s v="N"/>
    <m/>
    <n v="428"/>
    <m/>
    <m/>
    <m/>
    <m/>
    <m/>
    <n v="277080"/>
    <n v="252143"/>
    <n v="0"/>
    <n v="0"/>
    <n v="60800"/>
    <n v="306400"/>
    <n v="367200"/>
    <n v="132535.48800000001"/>
    <n v="88356.992000000013"/>
    <n v="-24051.387388882686"/>
    <n v="37154.252388000001"/>
    <n v="50438.379078999998"/>
    <n v="-2066.0808999999999"/>
    <n v="85127.758320000008"/>
    <n v="0"/>
    <n v="0"/>
    <n v="15108.841268"/>
    <n v="0"/>
    <n v="318300"/>
    <n v="64300"/>
    <n v="382600"/>
    <n v="4.1938997821350764E-2"/>
    <n v="0.99970000000000003"/>
    <n v="0.99819999999999998"/>
    <n v="1.0007999999999999"/>
    <n v="0.99519999999999997"/>
    <n v="0.99080000000000001"/>
    <n v="0.94971499999999998"/>
    <n v="0.93552311998124726"/>
    <n v="309800"/>
    <n v="0"/>
    <n v="309800"/>
    <n v="61100"/>
    <n v="370900"/>
    <n v="1.1096605744125326E-2"/>
    <n v="4.9342105263157892E-3"/>
    <n v="1.0076252723311547E-2"/>
  </r>
  <r>
    <n v="2025"/>
    <s v="20120633501    "/>
    <n v="-1.8325814637483102"/>
    <n v="0.16"/>
    <n v="7070"/>
    <s v="2"/>
    <s v="RES"/>
    <s v="MX"/>
    <s v="11"/>
    <s v="259"/>
    <s v="RN"/>
    <x v="5"/>
    <s v="VG"/>
    <n v="10"/>
    <n v="12"/>
    <n v="12"/>
    <n v="2012"/>
    <n v="2012"/>
    <n v="1712"/>
    <m/>
    <m/>
    <m/>
    <m/>
    <n v="0"/>
    <n v="1712"/>
    <n v="2000"/>
    <s v="N"/>
    <m/>
    <n v="418"/>
    <m/>
    <m/>
    <m/>
    <m/>
    <m/>
    <n v="373969"/>
    <n v="355271"/>
    <n v="0"/>
    <n v="0"/>
    <n v="60800"/>
    <n v="325100"/>
    <n v="385900"/>
    <n v="132535.48800000001"/>
    <n v="88356.992000000013"/>
    <n v="-24051.387388882686"/>
    <n v="32917.849192000001"/>
    <n v="50438.379078999998"/>
    <n v="-1304.8932"/>
    <n v="106846.57056000001"/>
    <n v="0"/>
    <n v="0"/>
    <n v="14755.830958"/>
    <n v="0"/>
    <n v="336200"/>
    <n v="64300"/>
    <n v="400500"/>
    <n v="3.7833635656905937E-2"/>
    <n v="0.99970000000000003"/>
    <n v="1.0019"/>
    <n v="1.0007999999999999"/>
    <n v="1.0007999999999999"/>
    <n v="0.99080000000000001"/>
    <n v="0.94971499999999998"/>
    <n v="0.94427450761887755"/>
    <n v="328800"/>
    <n v="0"/>
    <n v="328800"/>
    <n v="61100"/>
    <n v="389900"/>
    <n v="1.1381113503537373E-2"/>
    <n v="4.9342105263157892E-3"/>
    <n v="1.0365379632029024E-2"/>
  </r>
  <r>
    <n v="2025"/>
    <s v="19120113524    "/>
    <n v="-1.8325814637483102"/>
    <n v="0.16"/>
    <n v="7082"/>
    <s v="2"/>
    <s v="RES"/>
    <s v="MX"/>
    <s v="11"/>
    <s v="259"/>
    <s v="RN"/>
    <x v="5"/>
    <s v="GD"/>
    <n v="10"/>
    <n v="17"/>
    <n v="17"/>
    <n v="2007"/>
    <n v="2007"/>
    <n v="1706"/>
    <m/>
    <m/>
    <m/>
    <m/>
    <n v="0"/>
    <n v="1706"/>
    <n v="2000"/>
    <s v="N"/>
    <m/>
    <n v="466"/>
    <m/>
    <m/>
    <m/>
    <m/>
    <m/>
    <n v="375800"/>
    <n v="345736"/>
    <n v="0"/>
    <n v="0"/>
    <n v="60800"/>
    <n v="305500"/>
    <n v="366300"/>
    <n v="132535.48800000001"/>
    <n v="88356.992000000013"/>
    <n v="-24051.387388882686"/>
    <n v="32917.849192000001"/>
    <n v="30300.329274"/>
    <n v="-1848.5987"/>
    <n v="106472.10828"/>
    <n v="0"/>
    <n v="0"/>
    <n v="16450.280446000001"/>
    <n v="0"/>
    <n v="316800"/>
    <n v="64300"/>
    <n v="381100"/>
    <n v="4.0404040404040407E-2"/>
    <n v="0.99970000000000003"/>
    <n v="1.0019"/>
    <n v="0.997"/>
    <n v="1.0007999999999999"/>
    <n v="0.99080000000000001"/>
    <n v="0.94971499999999998"/>
    <n v="0.94068913278978916"/>
    <n v="309000"/>
    <n v="0"/>
    <n v="309000"/>
    <n v="61100"/>
    <n v="370100"/>
    <n v="1.1456628477905073E-2"/>
    <n v="4.9342105263157892E-3"/>
    <n v="1.0374010374010374E-2"/>
  </r>
  <r>
    <n v="2025"/>
    <s v="19120113581    "/>
    <n v="-1.8325814637483102"/>
    <n v="0.16"/>
    <n v="7015"/>
    <s v="2"/>
    <s v="RES"/>
    <s v="MX"/>
    <s v="11"/>
    <s v="259"/>
    <s v="CP"/>
    <x v="4"/>
    <s v="VG"/>
    <n v="10"/>
    <n v="16"/>
    <n v="16"/>
    <n v="2008"/>
    <n v="2008"/>
    <n v="1368"/>
    <m/>
    <m/>
    <m/>
    <m/>
    <n v="0"/>
    <n v="1368"/>
    <n v="1500"/>
    <s v="N"/>
    <m/>
    <n v="440"/>
    <m/>
    <m/>
    <m/>
    <m/>
    <m/>
    <n v="273716"/>
    <n v="254556"/>
    <n v="0"/>
    <n v="0"/>
    <n v="60800"/>
    <n v="307200"/>
    <n v="368000"/>
    <n v="132535.48800000001"/>
    <n v="88356.992000000013"/>
    <n v="-24051.387388882686"/>
    <n v="37154.252388000001"/>
    <n v="50438.379078999998"/>
    <n v="-1739.8576"/>
    <n v="85377.399839999998"/>
    <n v="0"/>
    <n v="0"/>
    <n v="15532.453640000002"/>
    <n v="0"/>
    <n v="319300"/>
    <n v="64300"/>
    <n v="383600"/>
    <n v="4.2391304347826085E-2"/>
    <n v="0.99970000000000003"/>
    <n v="0.99819999999999998"/>
    <n v="1.0007999999999999"/>
    <n v="0.99519999999999997"/>
    <n v="0.99080000000000001"/>
    <n v="0.94971499999999998"/>
    <n v="0.93552311998124726"/>
    <n v="310800"/>
    <n v="0"/>
    <n v="310800"/>
    <n v="61100"/>
    <n v="371900"/>
    <n v="1.171875E-2"/>
    <n v="4.9342105263157892E-3"/>
    <n v="1.0597826086956521E-2"/>
  </r>
  <r>
    <n v="2025"/>
    <s v="20120633470    "/>
    <n v="-1.8325814637483102"/>
    <n v="0.16"/>
    <n v="6781"/>
    <s v="2"/>
    <s v="RES"/>
    <s v="MX"/>
    <s v="11"/>
    <s v="259"/>
    <s v="CO"/>
    <x v="5"/>
    <s v="VG"/>
    <n v="10"/>
    <n v="14"/>
    <n v="14"/>
    <n v="2010"/>
    <n v="2010"/>
    <n v="1116"/>
    <n v="1116"/>
    <m/>
    <m/>
    <m/>
    <n v="0"/>
    <n v="2232"/>
    <n v="2500"/>
    <s v="N"/>
    <m/>
    <n v="440"/>
    <m/>
    <m/>
    <m/>
    <m/>
    <m/>
    <n v="439887"/>
    <n v="413494"/>
    <n v="0"/>
    <n v="0"/>
    <n v="60800"/>
    <n v="354500"/>
    <n v="415300"/>
    <n v="132535.48800000001"/>
    <n v="88356.992000000013"/>
    <n v="-24051.387388882686"/>
    <n v="32917.849192000001"/>
    <n v="50438.379078999998"/>
    <n v="-1522.3754000000001"/>
    <n v="69649.984080000009"/>
    <n v="66491.707427999994"/>
    <n v="0"/>
    <n v="15532.453640000002"/>
    <n v="0"/>
    <n v="366000"/>
    <n v="64300"/>
    <n v="430300"/>
    <n v="3.6118468576932336E-2"/>
    <n v="0.99970000000000003"/>
    <n v="1.0019"/>
    <n v="1.0007999999999999"/>
    <n v="1.0008999999999999"/>
    <n v="0.99080000000000001"/>
    <n v="0.94971499999999998"/>
    <n v="0.94436885958806405"/>
    <n v="358700"/>
    <n v="0"/>
    <n v="358700"/>
    <n v="61100"/>
    <n v="419800"/>
    <n v="1.1847672778561354E-2"/>
    <n v="4.9342105263157892E-3"/>
    <n v="1.0835540573079701E-2"/>
  </r>
  <r>
    <n v="2025"/>
    <s v="19120144467    "/>
    <n v="-1.8325814637483102"/>
    <n v="0.16"/>
    <n v="7000"/>
    <s v="2"/>
    <s v="RES"/>
    <s v="MX"/>
    <s v="11"/>
    <s v="259"/>
    <s v="RN"/>
    <x v="4"/>
    <s v="GD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84755"/>
    <n v="259127"/>
    <n v="0"/>
    <n v="0"/>
    <n v="60800"/>
    <n v="289400"/>
    <n v="350200"/>
    <n v="132535.48800000001"/>
    <n v="88356.992000000013"/>
    <n v="-24051.387388882686"/>
    <n v="37154.252388000001"/>
    <n v="30300.329274"/>
    <n v="-2174.8220000000001"/>
    <n v="86126.324399999998"/>
    <n v="0"/>
    <n v="0"/>
    <n v="15108.841268"/>
    <n v="0"/>
    <n v="299100"/>
    <n v="64300"/>
    <n v="363400"/>
    <n v="3.7692747001713309E-2"/>
    <n v="0.99970000000000003"/>
    <n v="0.99819999999999998"/>
    <n v="0.997"/>
    <n v="0.99519999999999997"/>
    <n v="1.0138"/>
    <n v="0.94971499999999998"/>
    <n v="0.95360534243162343"/>
    <n v="292900"/>
    <n v="0"/>
    <n v="292900"/>
    <n v="61100"/>
    <n v="354000"/>
    <n v="1.2093987560469938E-2"/>
    <n v="4.9342105263157892E-3"/>
    <n v="1.0850942318675044E-2"/>
  </r>
  <r>
    <n v="2025"/>
    <s v="19120144457    "/>
    <n v="-1.8325814637483102"/>
    <n v="0.16"/>
    <n v="7001"/>
    <s v="2"/>
    <s v="RES"/>
    <s v="MX"/>
    <s v="11"/>
    <s v="259"/>
    <s v="RN"/>
    <x v="4"/>
    <s v="GD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81889"/>
    <n v="256519"/>
    <n v="0"/>
    <n v="0"/>
    <n v="60800"/>
    <n v="289400"/>
    <n v="350200"/>
    <n v="132535.48800000001"/>
    <n v="88356.992000000013"/>
    <n v="-24051.387388882686"/>
    <n v="37154.252388000001"/>
    <n v="30300.329274"/>
    <n v="-2174.8220000000001"/>
    <n v="86126.324399999998"/>
    <n v="0"/>
    <n v="0"/>
    <n v="15108.841268"/>
    <n v="0"/>
    <n v="299100"/>
    <n v="64300"/>
    <n v="363400"/>
    <n v="3.7692747001713309E-2"/>
    <n v="0.99970000000000003"/>
    <n v="0.99819999999999998"/>
    <n v="0.997"/>
    <n v="0.99519999999999997"/>
    <n v="1.0138"/>
    <n v="0.94971499999999998"/>
    <n v="0.95360534243162343"/>
    <n v="292900"/>
    <n v="0"/>
    <n v="292900"/>
    <n v="61100"/>
    <n v="354000"/>
    <n v="1.2093987560469938E-2"/>
    <n v="4.9342105263157892E-3"/>
    <n v="1.0850942318675044E-2"/>
  </r>
  <r>
    <n v="2025"/>
    <s v="19120144477    "/>
    <n v="-1.8325814637483102"/>
    <n v="0.16"/>
    <n v="7010"/>
    <s v="2"/>
    <s v="RES"/>
    <s v="MX"/>
    <s v="11"/>
    <s v="259"/>
    <s v="RN"/>
    <x v="4"/>
    <s v="GD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75531"/>
    <n v="250733"/>
    <n v="0"/>
    <n v="0"/>
    <n v="60800"/>
    <n v="289400"/>
    <n v="350200"/>
    <n v="132535.48800000001"/>
    <n v="88356.992000000013"/>
    <n v="-24051.387388882686"/>
    <n v="37154.252388000001"/>
    <n v="30300.329274"/>
    <n v="-2174.8220000000001"/>
    <n v="86126.324399999998"/>
    <n v="0"/>
    <n v="0"/>
    <n v="15108.841268"/>
    <n v="0"/>
    <n v="299100"/>
    <n v="64300"/>
    <n v="363400"/>
    <n v="3.7692747001713309E-2"/>
    <n v="0.99970000000000003"/>
    <n v="0.99819999999999998"/>
    <n v="0.997"/>
    <n v="0.99519999999999997"/>
    <n v="1.0138"/>
    <n v="0.94971499999999998"/>
    <n v="0.95360534243162343"/>
    <n v="292900"/>
    <n v="0"/>
    <n v="292900"/>
    <n v="61100"/>
    <n v="354000"/>
    <n v="1.2093987560469938E-2"/>
    <n v="4.9342105263157892E-3"/>
    <n v="1.0850942318675044E-2"/>
  </r>
  <r>
    <n v="2025"/>
    <s v="19120144536    "/>
    <n v="-1.8325814637483102"/>
    <n v="0.16"/>
    <n v="7011"/>
    <s v="2"/>
    <s v="RES"/>
    <s v="MX"/>
    <s v="11"/>
    <s v="259"/>
    <s v="RN"/>
    <x v="4"/>
    <s v="GD"/>
    <n v="20"/>
    <n v="20"/>
    <n v="20"/>
    <n v="2004"/>
    <n v="2004"/>
    <n v="1380"/>
    <m/>
    <m/>
    <m/>
    <m/>
    <n v="0"/>
    <n v="1380"/>
    <n v="1500"/>
    <s v="N"/>
    <n v="1"/>
    <n v="428"/>
    <m/>
    <m/>
    <m/>
    <m/>
    <m/>
    <n v="279220"/>
    <n v="254090"/>
    <n v="0"/>
    <n v="0"/>
    <n v="60800"/>
    <n v="289400"/>
    <n v="350200"/>
    <n v="132535.48800000001"/>
    <n v="88356.992000000013"/>
    <n v="-24051.387388882686"/>
    <n v="37154.252388000001"/>
    <n v="30300.329274"/>
    <n v="-2174.8220000000001"/>
    <n v="86126.324399999998"/>
    <n v="0"/>
    <n v="0"/>
    <n v="15108.841268"/>
    <n v="0"/>
    <n v="299100"/>
    <n v="64300"/>
    <n v="363400"/>
    <n v="3.7692747001713309E-2"/>
    <n v="0.99970000000000003"/>
    <n v="0.99819999999999998"/>
    <n v="0.997"/>
    <n v="0.99519999999999997"/>
    <n v="1.0138"/>
    <n v="0.94971499999999998"/>
    <n v="0.95360534243162343"/>
    <n v="292900"/>
    <n v="0"/>
    <n v="292900"/>
    <n v="61100"/>
    <n v="354000"/>
    <n v="1.2093987560469938E-2"/>
    <n v="4.9342105263157892E-3"/>
    <n v="1.0850942318675044E-2"/>
  </r>
  <r>
    <n v="2025"/>
    <s v="19120144476    "/>
    <n v="-1.8325814637483102"/>
    <n v="0.16"/>
    <n v="7012"/>
    <s v="2"/>
    <s v="RES"/>
    <s v="MX"/>
    <s v="11"/>
    <s v="259"/>
    <s v="RN"/>
    <x v="4"/>
    <s v="GD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75531"/>
    <n v="250733"/>
    <n v="0"/>
    <n v="0"/>
    <n v="60800"/>
    <n v="289400"/>
    <n v="350200"/>
    <n v="132535.48800000001"/>
    <n v="88356.992000000013"/>
    <n v="-24051.387388882686"/>
    <n v="37154.252388000001"/>
    <n v="30300.329274"/>
    <n v="-2174.8220000000001"/>
    <n v="86126.324399999998"/>
    <n v="0"/>
    <n v="0"/>
    <n v="15108.841268"/>
    <n v="0"/>
    <n v="299100"/>
    <n v="64300"/>
    <n v="363400"/>
    <n v="3.7692747001713309E-2"/>
    <n v="0.99970000000000003"/>
    <n v="0.99819999999999998"/>
    <n v="0.997"/>
    <n v="0.99519999999999997"/>
    <n v="1.0138"/>
    <n v="0.94971499999999998"/>
    <n v="0.95360534243162343"/>
    <n v="292900"/>
    <n v="0"/>
    <n v="292900"/>
    <n v="61100"/>
    <n v="354000"/>
    <n v="1.2093987560469938E-2"/>
    <n v="4.9342105263157892E-3"/>
    <n v="1.0850942318675044E-2"/>
  </r>
  <r>
    <n v="2025"/>
    <s v="19120144520    "/>
    <n v="-1.8325814637483102"/>
    <n v="0.16"/>
    <n v="7013"/>
    <s v="2"/>
    <s v="RES"/>
    <s v="MX"/>
    <s v="11"/>
    <s v="259"/>
    <s v="RN"/>
    <x v="4"/>
    <s v="GD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79827"/>
    <n v="254643"/>
    <n v="0"/>
    <n v="0"/>
    <n v="60800"/>
    <n v="289400"/>
    <n v="350200"/>
    <n v="132535.48800000001"/>
    <n v="88356.992000000013"/>
    <n v="-24051.387388882686"/>
    <n v="37154.252388000001"/>
    <n v="30300.329274"/>
    <n v="-2174.8220000000001"/>
    <n v="86126.324399999998"/>
    <n v="0"/>
    <n v="0"/>
    <n v="15108.841268"/>
    <n v="0"/>
    <n v="299100"/>
    <n v="64300"/>
    <n v="363400"/>
    <n v="3.7692747001713309E-2"/>
    <n v="0.99970000000000003"/>
    <n v="0.99819999999999998"/>
    <n v="0.997"/>
    <n v="0.99519999999999997"/>
    <n v="1.0138"/>
    <n v="0.94971499999999998"/>
    <n v="0.95360534243162343"/>
    <n v="292900"/>
    <n v="0"/>
    <n v="292900"/>
    <n v="61100"/>
    <n v="354000"/>
    <n v="1.2093987560469938E-2"/>
    <n v="4.9342105263157892E-3"/>
    <n v="1.0850942318675044E-2"/>
  </r>
  <r>
    <n v="2025"/>
    <s v="19120144486    "/>
    <n v="-1.8325814637483102"/>
    <n v="0.16"/>
    <n v="7013"/>
    <s v="2"/>
    <s v="RES"/>
    <s v="MX"/>
    <s v="11"/>
    <s v="259"/>
    <s v="RN"/>
    <x v="4"/>
    <s v="GD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75531"/>
    <n v="250733"/>
    <n v="0"/>
    <n v="0"/>
    <n v="60800"/>
    <n v="289400"/>
    <n v="350200"/>
    <n v="132535.48800000001"/>
    <n v="88356.992000000013"/>
    <n v="-24051.387388882686"/>
    <n v="37154.252388000001"/>
    <n v="30300.329274"/>
    <n v="-2174.8220000000001"/>
    <n v="86126.324399999998"/>
    <n v="0"/>
    <n v="0"/>
    <n v="15108.841268"/>
    <n v="0"/>
    <n v="299100"/>
    <n v="64300"/>
    <n v="363400"/>
    <n v="3.7692747001713309E-2"/>
    <n v="0.99970000000000003"/>
    <n v="0.99819999999999998"/>
    <n v="0.997"/>
    <n v="0.99519999999999997"/>
    <n v="1.0138"/>
    <n v="0.94971499999999998"/>
    <n v="0.95360534243162343"/>
    <n v="292900"/>
    <n v="0"/>
    <n v="292900"/>
    <n v="61100"/>
    <n v="354000"/>
    <n v="1.2093987560469938E-2"/>
    <n v="4.9342105263157892E-3"/>
    <n v="1.0850942318675044E-2"/>
  </r>
  <r>
    <n v="2025"/>
    <s v="19120144500    "/>
    <n v="-1.8325814637483102"/>
    <n v="0.16"/>
    <n v="7017"/>
    <s v="2"/>
    <s v="RES"/>
    <s v="MX"/>
    <s v="11"/>
    <s v="259"/>
    <s v="RN"/>
    <x v="4"/>
    <s v="GD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75531"/>
    <n v="250733"/>
    <n v="0"/>
    <n v="0"/>
    <n v="60800"/>
    <n v="289400"/>
    <n v="350200"/>
    <n v="132535.48800000001"/>
    <n v="88356.992000000013"/>
    <n v="-24051.387388882686"/>
    <n v="37154.252388000001"/>
    <n v="30300.329274"/>
    <n v="-2174.8220000000001"/>
    <n v="86126.324399999998"/>
    <n v="0"/>
    <n v="0"/>
    <n v="15108.841268"/>
    <n v="0"/>
    <n v="299100"/>
    <n v="64300"/>
    <n v="363400"/>
    <n v="3.7692747001713309E-2"/>
    <n v="0.99970000000000003"/>
    <n v="0.99819999999999998"/>
    <n v="0.997"/>
    <n v="0.99519999999999997"/>
    <n v="1.0138"/>
    <n v="0.94971499999999998"/>
    <n v="0.95360534243162343"/>
    <n v="292900"/>
    <n v="0"/>
    <n v="292900"/>
    <n v="61100"/>
    <n v="354000"/>
    <n v="1.2093987560469938E-2"/>
    <n v="4.9342105263157892E-3"/>
    <n v="1.0850942318675044E-2"/>
  </r>
  <r>
    <n v="2025"/>
    <s v="19120144535    "/>
    <n v="-1.8325814637483102"/>
    <n v="0.16"/>
    <n v="7045"/>
    <s v="2"/>
    <s v="RES"/>
    <s v="MX"/>
    <s v="11"/>
    <s v="259"/>
    <s v="RN"/>
    <x v="4"/>
    <s v="GD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75531"/>
    <n v="250733"/>
    <n v="0"/>
    <n v="0"/>
    <n v="60800"/>
    <n v="289400"/>
    <n v="350200"/>
    <n v="132535.48800000001"/>
    <n v="88356.992000000013"/>
    <n v="-24051.387388882686"/>
    <n v="37154.252388000001"/>
    <n v="30300.329274"/>
    <n v="-2174.8220000000001"/>
    <n v="86126.324399999998"/>
    <n v="0"/>
    <n v="0"/>
    <n v="15108.841268"/>
    <n v="0"/>
    <n v="299100"/>
    <n v="64300"/>
    <n v="363400"/>
    <n v="3.7692747001713309E-2"/>
    <n v="0.99970000000000003"/>
    <n v="0.99819999999999998"/>
    <n v="0.997"/>
    <n v="0.99519999999999997"/>
    <n v="1.0138"/>
    <n v="0.94971499999999998"/>
    <n v="0.95360534243162343"/>
    <n v="292900"/>
    <n v="0"/>
    <n v="292900"/>
    <n v="61100"/>
    <n v="354000"/>
    <n v="1.2093987560469938E-2"/>
    <n v="4.9342105263157892E-3"/>
    <n v="1.0850942318675044E-2"/>
  </r>
  <r>
    <n v="2025"/>
    <s v="19120144547    "/>
    <n v="-1.8325814637483102"/>
    <n v="0.16"/>
    <n v="7134"/>
    <s v="2"/>
    <s v="RES"/>
    <s v="MX"/>
    <s v="11"/>
    <s v="259"/>
    <s v="RN"/>
    <x v="4"/>
    <s v="GD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75531"/>
    <n v="250733"/>
    <n v="0"/>
    <n v="0"/>
    <n v="60800"/>
    <n v="289400"/>
    <n v="350200"/>
    <n v="132535.48800000001"/>
    <n v="88356.992000000013"/>
    <n v="-24051.387388882686"/>
    <n v="37154.252388000001"/>
    <n v="30300.329274"/>
    <n v="-2174.8220000000001"/>
    <n v="86126.324399999998"/>
    <n v="0"/>
    <n v="0"/>
    <n v="15108.841268"/>
    <n v="0"/>
    <n v="299100"/>
    <n v="64300"/>
    <n v="363400"/>
    <n v="3.7692747001713309E-2"/>
    <n v="0.99970000000000003"/>
    <n v="0.99819999999999998"/>
    <n v="0.997"/>
    <n v="0.99519999999999997"/>
    <n v="1.0138"/>
    <n v="0.94971499999999998"/>
    <n v="0.95360534243162343"/>
    <n v="292900"/>
    <n v="0"/>
    <n v="292900"/>
    <n v="61100"/>
    <n v="354000"/>
    <n v="1.2093987560469938E-2"/>
    <n v="4.9342105263157892E-3"/>
    <n v="1.0850942318675044E-2"/>
  </r>
  <r>
    <n v="2025"/>
    <s v="19120144544    "/>
    <n v="-1.8325814637483102"/>
    <n v="0.16"/>
    <n v="7148"/>
    <s v="2"/>
    <s v="RES"/>
    <s v="MX"/>
    <s v="11"/>
    <s v="259"/>
    <s v="RN"/>
    <x v="4"/>
    <s v="GD"/>
    <n v="20"/>
    <n v="20"/>
    <n v="20"/>
    <n v="2004"/>
    <n v="2004"/>
    <n v="1380"/>
    <m/>
    <m/>
    <m/>
    <m/>
    <n v="0"/>
    <n v="1380"/>
    <n v="1500"/>
    <s v="N"/>
    <n v="1"/>
    <n v="428"/>
    <m/>
    <m/>
    <m/>
    <m/>
    <m/>
    <n v="281927"/>
    <n v="256554"/>
    <n v="0"/>
    <n v="0"/>
    <n v="60800"/>
    <n v="289400"/>
    <n v="350200"/>
    <n v="132535.48800000001"/>
    <n v="88356.992000000013"/>
    <n v="-24051.387388882686"/>
    <n v="37154.252388000001"/>
    <n v="30300.329274"/>
    <n v="-2174.8220000000001"/>
    <n v="86126.324399999998"/>
    <n v="0"/>
    <n v="0"/>
    <n v="15108.841268"/>
    <n v="0"/>
    <n v="299100"/>
    <n v="64300"/>
    <n v="363400"/>
    <n v="3.7692747001713309E-2"/>
    <n v="0.99970000000000003"/>
    <n v="0.99819999999999998"/>
    <n v="0.997"/>
    <n v="0.99519999999999997"/>
    <n v="1.0138"/>
    <n v="0.94971499999999998"/>
    <n v="0.95360534243162343"/>
    <n v="292900"/>
    <n v="0"/>
    <n v="292900"/>
    <n v="61100"/>
    <n v="354000"/>
    <n v="1.2093987560469938E-2"/>
    <n v="4.9342105263157892E-3"/>
    <n v="1.0850942318675044E-2"/>
  </r>
  <r>
    <n v="2025"/>
    <s v="19120113483    "/>
    <n v="-1.8325814637483102"/>
    <n v="0.16"/>
    <n v="7000"/>
    <s v="2"/>
    <s v="RES"/>
    <s v="MX"/>
    <s v="11"/>
    <s v="259"/>
    <s v="RN"/>
    <x v="4"/>
    <s v="VG"/>
    <n v="10"/>
    <n v="18"/>
    <n v="18"/>
    <n v="2006"/>
    <n v="2006"/>
    <n v="1380"/>
    <m/>
    <m/>
    <m/>
    <m/>
    <n v="0"/>
    <n v="1380"/>
    <n v="1500"/>
    <s v="N"/>
    <m/>
    <n v="428"/>
    <m/>
    <m/>
    <m/>
    <m/>
    <m/>
    <n v="275531"/>
    <n v="253489"/>
    <n v="0"/>
    <n v="0"/>
    <n v="60800"/>
    <n v="306900"/>
    <n v="367700"/>
    <n v="132535.48800000001"/>
    <n v="88356.992000000013"/>
    <n v="-24051.387388882686"/>
    <n v="37154.252388000001"/>
    <n v="50438.379078999998"/>
    <n v="-1957.3398"/>
    <n v="86126.324399999998"/>
    <n v="0"/>
    <n v="0"/>
    <n v="15108.841268"/>
    <n v="0"/>
    <n v="319400"/>
    <n v="64300"/>
    <n v="383700"/>
    <n v="4.3513734022300792E-2"/>
    <n v="0.99970000000000003"/>
    <n v="0.99819999999999998"/>
    <n v="1.0007999999999999"/>
    <n v="0.99519999999999997"/>
    <n v="0.99080000000000001"/>
    <n v="0.94971499999999998"/>
    <n v="0.93552311998124726"/>
    <n v="310900"/>
    <n v="0"/>
    <n v="310900"/>
    <n v="61100"/>
    <n v="372000"/>
    <n v="1.3033561420658195E-2"/>
    <n v="4.9342105263157892E-3"/>
    <n v="1.1694316018493337E-2"/>
  </r>
  <r>
    <n v="2025"/>
    <s v="19120141512    "/>
    <n v="-1.8325814637483102"/>
    <n v="0.16"/>
    <n v="6999"/>
    <s v="2"/>
    <s v="RES"/>
    <s v="MX"/>
    <s v="11"/>
    <s v="259"/>
    <s v="RN"/>
    <x v="4"/>
    <s v="VG"/>
    <n v="10"/>
    <n v="19"/>
    <n v="19"/>
    <n v="2005"/>
    <n v="2005"/>
    <n v="1690"/>
    <m/>
    <m/>
    <m/>
    <m/>
    <n v="0"/>
    <n v="1690"/>
    <n v="2000"/>
    <s v="N"/>
    <m/>
    <n v="706"/>
    <m/>
    <m/>
    <m/>
    <m/>
    <m/>
    <n v="339250"/>
    <n v="308718"/>
    <n v="0"/>
    <n v="0"/>
    <n v="60800"/>
    <n v="336200"/>
    <n v="397000"/>
    <n v="132535.48800000001"/>
    <n v="88356.992000000013"/>
    <n v="-24051.387388882686"/>
    <n v="37154.252388000001"/>
    <n v="50438.379078999998"/>
    <n v="-2066.0808999999999"/>
    <n v="105473.54220000001"/>
    <n v="0"/>
    <n v="0"/>
    <n v="24922.527886"/>
    <n v="0"/>
    <n v="348500"/>
    <n v="64300"/>
    <n v="412800"/>
    <n v="3.9798488664987405E-2"/>
    <n v="0.99970000000000003"/>
    <n v="0.99819999999999998"/>
    <n v="1.0007999999999999"/>
    <n v="1.0007999999999999"/>
    <n v="0.99080000000000001"/>
    <n v="0.94971499999999998"/>
    <n v="0.9407873176017203"/>
    <n v="340600"/>
    <n v="0"/>
    <n v="340600"/>
    <n v="61100"/>
    <n v="401700"/>
    <n v="1.3087447947650209E-2"/>
    <n v="4.9342105263157892E-3"/>
    <n v="1.1838790931989925E-2"/>
  </r>
  <r>
    <n v="2025"/>
    <s v="19120113454    "/>
    <n v="-1.8325814637483102"/>
    <n v="0.16"/>
    <n v="6805"/>
    <s v="2"/>
    <s v="RES"/>
    <s v="MX"/>
    <s v="11"/>
    <s v="259"/>
    <s v="RN"/>
    <x v="4"/>
    <s v="GD"/>
    <n v="10"/>
    <n v="18"/>
    <n v="18"/>
    <n v="2006"/>
    <n v="2006"/>
    <n v="1543"/>
    <m/>
    <m/>
    <m/>
    <m/>
    <n v="0"/>
    <n v="1543"/>
    <n v="2000"/>
    <s v="N"/>
    <m/>
    <n v="433"/>
    <m/>
    <m/>
    <m/>
    <m/>
    <m/>
    <n v="298175"/>
    <n v="271339"/>
    <n v="0"/>
    <n v="0"/>
    <n v="60800"/>
    <n v="297300"/>
    <n v="358100"/>
    <n v="132535.48800000001"/>
    <n v="88356.992000000013"/>
    <n v="-24051.387388882686"/>
    <n v="37154.252388000001"/>
    <n v="30300.329274"/>
    <n v="-1957.3398"/>
    <n v="96299.216339999999"/>
    <n v="0"/>
    <n v="0"/>
    <n v="15285.346423000001"/>
    <n v="0"/>
    <n v="309600"/>
    <n v="64300"/>
    <n v="373900"/>
    <n v="4.4121753700083775E-2"/>
    <n v="0.99970000000000003"/>
    <n v="0.99819999999999998"/>
    <n v="0.997"/>
    <n v="1.0007999999999999"/>
    <n v="0.99080000000000001"/>
    <n v="0.94971499999999998"/>
    <n v="0.93721518350211364"/>
    <n v="301300"/>
    <n v="0"/>
    <n v="301300"/>
    <n v="61100"/>
    <n v="362400"/>
    <n v="1.3454423141607804E-2"/>
    <n v="4.9342105263157892E-3"/>
    <n v="1.2007819044959508E-2"/>
  </r>
  <r>
    <n v="2025"/>
    <s v="20120633413    "/>
    <n v="-1.8325814637483102"/>
    <n v="0.16"/>
    <n v="7181"/>
    <s v="2"/>
    <s v="RES"/>
    <s v="MX"/>
    <s v="11"/>
    <s v="259"/>
    <s v="RN"/>
    <x v="4"/>
    <s v="VG"/>
    <n v="10"/>
    <n v="14"/>
    <n v="14"/>
    <n v="2010"/>
    <n v="2010"/>
    <n v="1737"/>
    <m/>
    <m/>
    <m/>
    <m/>
    <n v="0"/>
    <n v="1737"/>
    <n v="2000"/>
    <s v="N"/>
    <m/>
    <n v="435"/>
    <m/>
    <m/>
    <m/>
    <m/>
    <m/>
    <n v="332450"/>
    <n v="312503"/>
    <n v="0"/>
    <n v="0"/>
    <n v="60800"/>
    <n v="330000"/>
    <n v="390800"/>
    <n v="132535.48800000001"/>
    <n v="88356.992000000013"/>
    <n v="-24051.387388882686"/>
    <n v="37154.252388000001"/>
    <n v="50438.379078999998"/>
    <n v="-1522.3754000000001"/>
    <n v="108406.83006000001"/>
    <n v="0"/>
    <n v="0"/>
    <n v="15355.948485000001"/>
    <n v="0"/>
    <n v="342400"/>
    <n v="64300"/>
    <n v="406700"/>
    <n v="4.0685772773797341E-2"/>
    <n v="0.99970000000000003"/>
    <n v="0.99819999999999998"/>
    <n v="1.0007999999999999"/>
    <n v="1.0007999999999999"/>
    <n v="0.99080000000000001"/>
    <n v="0.94971499999999998"/>
    <n v="0.9407873176017203"/>
    <n v="334500"/>
    <n v="0"/>
    <n v="334500"/>
    <n v="61100"/>
    <n v="395600"/>
    <n v="1.3636363636363636E-2"/>
    <n v="4.9342105263157892E-3"/>
    <n v="1.2282497441146366E-2"/>
  </r>
  <r>
    <n v="2025"/>
    <s v="19120113536    "/>
    <n v="-1.8325814637483102"/>
    <n v="0.16"/>
    <n v="7078"/>
    <s v="2"/>
    <s v="RES"/>
    <s v="MX"/>
    <s v="11"/>
    <s v="259"/>
    <s v="CO"/>
    <x v="5"/>
    <s v="VG"/>
    <n v="10"/>
    <n v="18"/>
    <n v="18"/>
    <n v="2006"/>
    <n v="2006"/>
    <n v="1116"/>
    <n v="1116"/>
    <m/>
    <m/>
    <m/>
    <n v="0"/>
    <n v="2232"/>
    <n v="2500"/>
    <s v="N"/>
    <m/>
    <n v="736"/>
    <m/>
    <m/>
    <m/>
    <m/>
    <m/>
    <n v="452252"/>
    <n v="416072"/>
    <n v="0"/>
    <n v="0"/>
    <n v="60800"/>
    <n v="363700"/>
    <n v="424500"/>
    <n v="132535.48800000001"/>
    <n v="88356.992000000013"/>
    <n v="-24051.387388882686"/>
    <n v="32917.849192000001"/>
    <n v="50438.379078999998"/>
    <n v="-1957.3398"/>
    <n v="69649.984080000009"/>
    <n v="66491.707427999994"/>
    <n v="0"/>
    <n v="25981.558816000001"/>
    <n v="0"/>
    <n v="376100"/>
    <n v="64300"/>
    <n v="440400"/>
    <n v="3.7455830388692581E-2"/>
    <n v="0.99970000000000003"/>
    <n v="1.0019"/>
    <n v="1.0007999999999999"/>
    <n v="1.0008999999999999"/>
    <n v="0.99080000000000001"/>
    <n v="0.94971499999999998"/>
    <n v="0.94436885958806405"/>
    <n v="368700"/>
    <n v="0"/>
    <n v="368700"/>
    <n v="61100"/>
    <n v="429800"/>
    <n v="1.3747594171020072E-2"/>
    <n v="4.9342105263157892E-3"/>
    <n v="1.2485276796230859E-2"/>
  </r>
  <r>
    <n v="2025"/>
    <s v="19120112468    "/>
    <n v="-1.8325814637483102"/>
    <n v="0.16"/>
    <n v="6939"/>
    <s v="2"/>
    <s v="RES"/>
    <s v="MX"/>
    <s v="11"/>
    <s v="259"/>
    <s v="RN"/>
    <x v="4"/>
    <s v="VG"/>
    <n v="10"/>
    <n v="17"/>
    <n v="17"/>
    <n v="2007"/>
    <n v="2007"/>
    <n v="1368"/>
    <m/>
    <m/>
    <m/>
    <m/>
    <n v="0"/>
    <n v="1368"/>
    <n v="1500"/>
    <s v="N"/>
    <m/>
    <n v="440"/>
    <m/>
    <m/>
    <m/>
    <m/>
    <m/>
    <n v="278732"/>
    <n v="259221"/>
    <n v="0"/>
    <n v="0"/>
    <n v="60800"/>
    <n v="306300"/>
    <n v="367100"/>
    <n v="132535.48800000001"/>
    <n v="88356.992000000013"/>
    <n v="-24051.387388882686"/>
    <n v="37154.252388000001"/>
    <n v="50438.379078999998"/>
    <n v="-1848.5987"/>
    <n v="85377.399839999998"/>
    <n v="0"/>
    <n v="0"/>
    <n v="15532.453640000002"/>
    <n v="0"/>
    <n v="319200"/>
    <n v="64300"/>
    <n v="383500"/>
    <n v="4.4674475619722147E-2"/>
    <n v="0.99970000000000003"/>
    <n v="0.99819999999999998"/>
    <n v="1.0007999999999999"/>
    <n v="0.99519999999999997"/>
    <n v="0.99080000000000001"/>
    <n v="0.94971499999999998"/>
    <n v="0.93552311998124726"/>
    <n v="310600"/>
    <n v="0"/>
    <n v="310600"/>
    <n v="61100"/>
    <n v="371700"/>
    <n v="1.4038524322559582E-2"/>
    <n v="4.9342105263157892E-3"/>
    <n v="1.2530645600653773E-2"/>
  </r>
  <r>
    <n v="2025"/>
    <s v="19120113599    "/>
    <n v="-1.8325814637483102"/>
    <n v="0.16"/>
    <n v="7044"/>
    <s v="2"/>
    <s v="RES"/>
    <s v="MX"/>
    <s v="11"/>
    <s v="259"/>
    <s v="RN"/>
    <x v="4"/>
    <s v="VG"/>
    <n v="10"/>
    <n v="17"/>
    <n v="17"/>
    <n v="2007"/>
    <n v="2007"/>
    <n v="1368"/>
    <m/>
    <m/>
    <m/>
    <m/>
    <n v="0"/>
    <n v="1368"/>
    <n v="1500"/>
    <s v="N"/>
    <m/>
    <n v="440"/>
    <m/>
    <m/>
    <m/>
    <m/>
    <m/>
    <n v="273716"/>
    <n v="254556"/>
    <n v="0"/>
    <n v="0"/>
    <n v="60800"/>
    <n v="306300"/>
    <n v="367100"/>
    <n v="132535.48800000001"/>
    <n v="88356.992000000013"/>
    <n v="-24051.387388882686"/>
    <n v="37154.252388000001"/>
    <n v="50438.379078999998"/>
    <n v="-1848.5987"/>
    <n v="85377.399839999998"/>
    <n v="0"/>
    <n v="0"/>
    <n v="15532.453640000002"/>
    <n v="0"/>
    <n v="319200"/>
    <n v="64300"/>
    <n v="383500"/>
    <n v="4.4674475619722147E-2"/>
    <n v="0.99970000000000003"/>
    <n v="0.99819999999999998"/>
    <n v="1.0007999999999999"/>
    <n v="0.99519999999999997"/>
    <n v="0.99080000000000001"/>
    <n v="0.94971499999999998"/>
    <n v="0.93552311998124726"/>
    <n v="310600"/>
    <n v="0"/>
    <n v="310600"/>
    <n v="61100"/>
    <n v="371700"/>
    <n v="1.4038524322559582E-2"/>
    <n v="4.9342105263157892E-3"/>
    <n v="1.2530645600653773E-2"/>
  </r>
  <r>
    <n v="2025"/>
    <s v="19120113521    "/>
    <n v="-1.8325814637483102"/>
    <n v="0.16"/>
    <n v="7119"/>
    <s v="2"/>
    <s v="RES"/>
    <s v="MX"/>
    <s v="11"/>
    <s v="259"/>
    <s v="CO"/>
    <x v="5"/>
    <s v="VG"/>
    <n v="10"/>
    <n v="18"/>
    <n v="18"/>
    <n v="2006"/>
    <n v="2006"/>
    <n v="1116"/>
    <n v="1116"/>
    <m/>
    <m/>
    <m/>
    <n v="0"/>
    <n v="2232"/>
    <n v="2500"/>
    <s v="N"/>
    <m/>
    <n v="716"/>
    <m/>
    <m/>
    <m/>
    <m/>
    <m/>
    <n v="454582"/>
    <n v="418215"/>
    <n v="0"/>
    <n v="0"/>
    <n v="60800"/>
    <n v="362800"/>
    <n v="423600"/>
    <n v="132535.48800000001"/>
    <n v="88356.992000000013"/>
    <n v="-24051.387388882686"/>
    <n v="32917.849192000001"/>
    <n v="50438.379078999998"/>
    <n v="-1957.3398"/>
    <n v="69649.984080000009"/>
    <n v="66491.707427999994"/>
    <n v="0"/>
    <n v="25275.538196000001"/>
    <n v="0"/>
    <n v="375400"/>
    <n v="64300"/>
    <n v="439700"/>
    <n v="3.8007554296506138E-2"/>
    <n v="0.99970000000000003"/>
    <n v="1.0019"/>
    <n v="1.0007999999999999"/>
    <n v="1.0008999999999999"/>
    <n v="0.99080000000000001"/>
    <n v="0.94971499999999998"/>
    <n v="0.94436885958806405"/>
    <n v="368000"/>
    <n v="0"/>
    <n v="368000"/>
    <n v="61100"/>
    <n v="429100"/>
    <n v="1.4332965821389196E-2"/>
    <n v="4.9342105263157892E-3"/>
    <n v="1.2983947119924457E-2"/>
  </r>
  <r>
    <n v="2025"/>
    <s v="19120113592    "/>
    <n v="-1.8325814637483102"/>
    <n v="0.16"/>
    <n v="7078"/>
    <s v="2"/>
    <s v="RES"/>
    <s v="MX"/>
    <s v="11"/>
    <s v="259"/>
    <s v="RN"/>
    <x v="4"/>
    <s v="VG"/>
    <n v="10"/>
    <n v="17"/>
    <n v="17"/>
    <n v="2007"/>
    <n v="2007"/>
    <n v="1380"/>
    <m/>
    <m/>
    <m/>
    <m/>
    <n v="0"/>
    <n v="1380"/>
    <n v="1500"/>
    <s v="N"/>
    <m/>
    <n v="428"/>
    <m/>
    <m/>
    <m/>
    <m/>
    <m/>
    <n v="275920"/>
    <n v="256606"/>
    <n v="0"/>
    <n v="0"/>
    <n v="60800"/>
    <n v="306400"/>
    <n v="367200"/>
    <n v="132535.48800000001"/>
    <n v="88356.992000000013"/>
    <n v="-24051.387388882686"/>
    <n v="37154.252388000001"/>
    <n v="50438.379078999998"/>
    <n v="-1848.5987"/>
    <n v="86126.324399999998"/>
    <n v="0"/>
    <n v="0"/>
    <n v="15108.841268"/>
    <n v="0"/>
    <n v="319500"/>
    <n v="64300"/>
    <n v="383800"/>
    <n v="4.520697167755991E-2"/>
    <n v="0.99970000000000003"/>
    <n v="0.99819999999999998"/>
    <n v="1.0007999999999999"/>
    <n v="0.99519999999999997"/>
    <n v="0.99080000000000001"/>
    <n v="0.94971499999999998"/>
    <n v="0.93552311998124726"/>
    <n v="311000"/>
    <n v="0"/>
    <n v="311000"/>
    <n v="61100"/>
    <n v="372100"/>
    <n v="1.5013054830287207E-2"/>
    <n v="4.9342105263157892E-3"/>
    <n v="1.3344226579520698E-2"/>
  </r>
  <r>
    <n v="2025"/>
    <s v="19120144534    "/>
    <n v="-1.8325814637483102"/>
    <n v="0.16"/>
    <n v="7090"/>
    <s v="2"/>
    <s v="RES"/>
    <s v="MX"/>
    <s v="11"/>
    <s v="259"/>
    <s v="CO"/>
    <x v="4"/>
    <s v="VG"/>
    <n v="20"/>
    <n v="20"/>
    <n v="20"/>
    <n v="2004"/>
    <n v="2004"/>
    <n v="1076"/>
    <m/>
    <m/>
    <m/>
    <m/>
    <n v="0"/>
    <n v="1076"/>
    <n v="1500"/>
    <s v="N"/>
    <m/>
    <n v="440"/>
    <m/>
    <m/>
    <m/>
    <m/>
    <m/>
    <n v="229055"/>
    <n v="210731"/>
    <n v="0"/>
    <n v="0"/>
    <n v="60800"/>
    <n v="290600"/>
    <n v="351400"/>
    <n v="132535.48800000001"/>
    <n v="88356.992000000013"/>
    <n v="-24051.387388882686"/>
    <n v="37154.252388000001"/>
    <n v="50438.379078999998"/>
    <n v="-2174.8220000000001"/>
    <n v="67153.568880000006"/>
    <n v="0"/>
    <n v="0"/>
    <n v="15532.453640000002"/>
    <n v="0"/>
    <n v="300600"/>
    <n v="64300"/>
    <n v="364900"/>
    <n v="3.8417757541263517E-2"/>
    <n v="0.99970000000000003"/>
    <n v="0.99819999999999998"/>
    <n v="1.0007999999999999"/>
    <n v="0.99519999999999997"/>
    <n v="1.0138"/>
    <n v="0.94971499999999998"/>
    <n v="0.95723994654520439"/>
    <n v="295000"/>
    <n v="0"/>
    <n v="295000"/>
    <n v="61100"/>
    <n v="356100"/>
    <n v="1.5141087405368204E-2"/>
    <n v="4.9342105263157892E-3"/>
    <n v="1.3375071143995446E-2"/>
  </r>
  <r>
    <n v="2025"/>
    <s v="19120144420    "/>
    <n v="-1.8325814637483102"/>
    <n v="0.16"/>
    <n v="7133"/>
    <s v="2"/>
    <s v="RES"/>
    <s v="MX"/>
    <s v="11"/>
    <s v="259"/>
    <s v="RN"/>
    <x v="4"/>
    <s v="VG"/>
    <n v="20"/>
    <n v="20"/>
    <n v="20"/>
    <n v="2004"/>
    <n v="2004"/>
    <n v="1076"/>
    <m/>
    <m/>
    <m/>
    <m/>
    <n v="0"/>
    <n v="1076"/>
    <n v="1500"/>
    <s v="N"/>
    <m/>
    <n v="440"/>
    <m/>
    <m/>
    <m/>
    <m/>
    <m/>
    <n v="227830"/>
    <n v="209604"/>
    <n v="0"/>
    <n v="0"/>
    <n v="60800"/>
    <n v="290600"/>
    <n v="351400"/>
    <n v="132535.48800000001"/>
    <n v="88356.992000000013"/>
    <n v="-24051.387388882686"/>
    <n v="37154.252388000001"/>
    <n v="50438.379078999998"/>
    <n v="-2174.8220000000001"/>
    <n v="67153.568880000006"/>
    <n v="0"/>
    <n v="0"/>
    <n v="15532.453640000002"/>
    <n v="0"/>
    <n v="300600"/>
    <n v="64300"/>
    <n v="364900"/>
    <n v="3.8417757541263517E-2"/>
    <n v="0.99970000000000003"/>
    <n v="0.99819999999999998"/>
    <n v="1.0007999999999999"/>
    <n v="0.99519999999999997"/>
    <n v="1.0138"/>
    <n v="0.94971499999999998"/>
    <n v="0.95723994654520439"/>
    <n v="295000"/>
    <n v="0"/>
    <n v="295000"/>
    <n v="61100"/>
    <n v="356100"/>
    <n v="1.5141087405368204E-2"/>
    <n v="4.9342105263157892E-3"/>
    <n v="1.3375071143995446E-2"/>
  </r>
  <r>
    <n v="2025"/>
    <s v="19120144469    "/>
    <n v="-1.8325814637483102"/>
    <n v="0.16"/>
    <n v="7000"/>
    <s v="2"/>
    <s v="RES"/>
    <s v="MX"/>
    <s v="11"/>
    <s v="259"/>
    <s v="RN"/>
    <x v="4"/>
    <s v="VG"/>
    <n v="20"/>
    <n v="20"/>
    <n v="20"/>
    <n v="2004"/>
    <n v="2004"/>
    <n v="1092"/>
    <m/>
    <m/>
    <m/>
    <m/>
    <n v="0"/>
    <n v="1092"/>
    <n v="1500"/>
    <s v="N"/>
    <n v="1"/>
    <n v="440"/>
    <m/>
    <m/>
    <m/>
    <m/>
    <m/>
    <n v="234090"/>
    <n v="215363"/>
    <n v="0"/>
    <n v="0"/>
    <n v="60800"/>
    <n v="291500"/>
    <n v="352300"/>
    <n v="132535.48800000001"/>
    <n v="88356.992000000013"/>
    <n v="-24051.387388882686"/>
    <n v="37154.252388000001"/>
    <n v="50438.379078999998"/>
    <n v="-2174.8220000000001"/>
    <n v="68152.13496000001"/>
    <n v="0"/>
    <n v="0"/>
    <n v="15532.453640000002"/>
    <n v="0"/>
    <n v="301600"/>
    <n v="64300"/>
    <n v="365900"/>
    <n v="3.8603462957706502E-2"/>
    <n v="0.99970000000000003"/>
    <n v="0.99819999999999998"/>
    <n v="1.0007999999999999"/>
    <n v="0.99519999999999997"/>
    <n v="1.0138"/>
    <n v="0.94971499999999998"/>
    <n v="0.95723994654520439"/>
    <n v="296000"/>
    <n v="0"/>
    <n v="296000"/>
    <n v="61100"/>
    <n v="357100"/>
    <n v="1.5437392795883362E-2"/>
    <n v="4.9342105263157892E-3"/>
    <n v="1.3624751632131706E-2"/>
  </r>
  <r>
    <n v="2025"/>
    <s v="19120144461    "/>
    <n v="-1.8325814637483102"/>
    <n v="0.16"/>
    <n v="7000"/>
    <s v="2"/>
    <s v="RES"/>
    <s v="MX"/>
    <s v="11"/>
    <s v="259"/>
    <s v="RN"/>
    <x v="4"/>
    <s v="VG"/>
    <n v="20"/>
    <n v="20"/>
    <n v="20"/>
    <n v="2004"/>
    <n v="2004"/>
    <n v="1092"/>
    <m/>
    <m/>
    <m/>
    <m/>
    <n v="0"/>
    <n v="1092"/>
    <n v="1500"/>
    <s v="N"/>
    <m/>
    <n v="440"/>
    <m/>
    <m/>
    <m/>
    <m/>
    <m/>
    <n v="234333"/>
    <n v="215586"/>
    <n v="0"/>
    <n v="0"/>
    <n v="60800"/>
    <n v="291500"/>
    <n v="352300"/>
    <n v="132535.48800000001"/>
    <n v="88356.992000000013"/>
    <n v="-24051.387388882686"/>
    <n v="37154.252388000001"/>
    <n v="50438.379078999998"/>
    <n v="-2174.8220000000001"/>
    <n v="68152.13496000001"/>
    <n v="0"/>
    <n v="0"/>
    <n v="15532.453640000002"/>
    <n v="0"/>
    <n v="301600"/>
    <n v="64300"/>
    <n v="365900"/>
    <n v="3.8603462957706502E-2"/>
    <n v="0.99970000000000003"/>
    <n v="0.99819999999999998"/>
    <n v="1.0007999999999999"/>
    <n v="0.99519999999999997"/>
    <n v="1.0138"/>
    <n v="0.94971499999999998"/>
    <n v="0.95723994654520439"/>
    <n v="296000"/>
    <n v="0"/>
    <n v="296000"/>
    <n v="61100"/>
    <n v="357100"/>
    <n v="1.5437392795883362E-2"/>
    <n v="4.9342105263157892E-3"/>
    <n v="1.3624751632131706E-2"/>
  </r>
  <r>
    <n v="2025"/>
    <s v="19120141416    "/>
    <n v="-1.8325814637483102"/>
    <n v="0.16"/>
    <n v="6951"/>
    <s v="2"/>
    <s v="RES"/>
    <s v="MX"/>
    <s v="11"/>
    <s v="259"/>
    <s v="RN"/>
    <x v="4"/>
    <s v="VG"/>
    <n v="10"/>
    <n v="19"/>
    <n v="19"/>
    <n v="2005"/>
    <n v="2005"/>
    <n v="1380"/>
    <m/>
    <m/>
    <m/>
    <m/>
    <n v="0"/>
    <n v="1380"/>
    <n v="1500"/>
    <s v="N"/>
    <m/>
    <n v="428"/>
    <m/>
    <m/>
    <m/>
    <m/>
    <m/>
    <n v="275531"/>
    <n v="250733"/>
    <n v="0"/>
    <n v="0"/>
    <n v="60800"/>
    <n v="306000"/>
    <n v="366800"/>
    <n v="132535.48800000001"/>
    <n v="88356.992000000013"/>
    <n v="-24051.387388882686"/>
    <n v="37154.252388000001"/>
    <n v="50438.379078999998"/>
    <n v="-2066.0808999999999"/>
    <n v="86126.324399999998"/>
    <n v="0"/>
    <n v="0"/>
    <n v="15108.841268"/>
    <n v="0"/>
    <n v="319300"/>
    <n v="64300"/>
    <n v="383600"/>
    <n v="4.5801526717557252E-2"/>
    <n v="0.99970000000000003"/>
    <n v="0.99819999999999998"/>
    <n v="1.0007999999999999"/>
    <n v="0.99519999999999997"/>
    <n v="0.99080000000000001"/>
    <n v="0.94971499999999998"/>
    <n v="0.93552311998124726"/>
    <n v="310800"/>
    <n v="0"/>
    <n v="310800"/>
    <n v="61100"/>
    <n v="371900"/>
    <n v="1.5686274509803921E-2"/>
    <n v="4.9342105263157892E-3"/>
    <n v="1.3904034896401308E-2"/>
  </r>
  <r>
    <n v="2025"/>
    <s v="19120144570    "/>
    <n v="-1.8325814637483102"/>
    <n v="0.16"/>
    <n v="7175"/>
    <s v="2"/>
    <s v="RES"/>
    <s v="MX"/>
    <s v="11"/>
    <s v="259"/>
    <s v="RN"/>
    <x v="4"/>
    <s v="GD"/>
    <n v="20"/>
    <n v="20"/>
    <n v="20"/>
    <n v="2004"/>
    <n v="2004"/>
    <n v="1690"/>
    <m/>
    <m/>
    <m/>
    <m/>
    <n v="0"/>
    <n v="1690"/>
    <n v="2000"/>
    <s v="N"/>
    <m/>
    <n v="466"/>
    <m/>
    <m/>
    <m/>
    <m/>
    <m/>
    <n v="334072"/>
    <n v="304006"/>
    <n v="0"/>
    <n v="0"/>
    <n v="60800"/>
    <n v="309300"/>
    <n v="370100"/>
    <n v="132535.48800000001"/>
    <n v="88356.992000000013"/>
    <n v="-24051.387388882686"/>
    <n v="37154.252388000001"/>
    <n v="30300.329274"/>
    <n v="-2174.8220000000001"/>
    <n v="105473.54220000001"/>
    <n v="0"/>
    <n v="0"/>
    <n v="16450.280446000001"/>
    <n v="0"/>
    <n v="319700"/>
    <n v="64300"/>
    <n v="384000"/>
    <n v="3.7557416914347476E-2"/>
    <n v="0.99970000000000003"/>
    <n v="0.99819999999999998"/>
    <n v="0.997"/>
    <n v="1.0007999999999999"/>
    <n v="1.0138"/>
    <n v="0.94971499999999998"/>
    <n v="0.95897128889225147"/>
    <n v="314300"/>
    <n v="0"/>
    <n v="314300"/>
    <n v="61100"/>
    <n v="375400"/>
    <n v="1.6165535079211122E-2"/>
    <n v="4.9342105263157892E-3"/>
    <n v="1.43204539313699E-2"/>
  </r>
  <r>
    <n v="2025"/>
    <s v="20120633455    "/>
    <n v="-1.8325814637483102"/>
    <n v="0.16"/>
    <n v="7100"/>
    <s v="2"/>
    <s v="RES"/>
    <s v="MX"/>
    <s v="11"/>
    <s v="259"/>
    <s v="CO"/>
    <x v="4"/>
    <s v="VG"/>
    <n v="10"/>
    <n v="15"/>
    <n v="15"/>
    <n v="2009"/>
    <n v="2009"/>
    <n v="1737"/>
    <m/>
    <m/>
    <m/>
    <m/>
    <n v="0"/>
    <n v="1737"/>
    <n v="2000"/>
    <s v="N"/>
    <m/>
    <n v="435"/>
    <m/>
    <m/>
    <m/>
    <m/>
    <m/>
    <n v="332450"/>
    <n v="312503"/>
    <n v="0"/>
    <n v="0"/>
    <n v="60800"/>
    <n v="329100"/>
    <n v="389900"/>
    <n v="132535.48800000001"/>
    <n v="88356.992000000013"/>
    <n v="-24051.387388882686"/>
    <n v="37154.252388000001"/>
    <n v="50438.379078999998"/>
    <n v="-1631.1165000000001"/>
    <n v="108406.83006000001"/>
    <n v="0"/>
    <n v="0"/>
    <n v="15355.948485000001"/>
    <n v="0"/>
    <n v="342300"/>
    <n v="64300"/>
    <n v="406600"/>
    <n v="4.2831495255193641E-2"/>
    <n v="0.99970000000000003"/>
    <n v="0.99819999999999998"/>
    <n v="1.0007999999999999"/>
    <n v="1.0007999999999999"/>
    <n v="0.99080000000000001"/>
    <n v="0.94971499999999998"/>
    <n v="0.9407873176017203"/>
    <n v="334400"/>
    <n v="0"/>
    <n v="334400"/>
    <n v="61100"/>
    <n v="395500"/>
    <n v="1.6104527499240351E-2"/>
    <n v="4.9342105263157892E-3"/>
    <n v="1.4362657091561939E-2"/>
  </r>
  <r>
    <n v="2025"/>
    <s v="19120141420    "/>
    <n v="-1.8325814637483102"/>
    <n v="0.16"/>
    <n v="6960"/>
    <s v="2"/>
    <s v="RES"/>
    <s v="MX"/>
    <s v="11"/>
    <s v="259"/>
    <s v="RN"/>
    <x v="4"/>
    <s v="VG"/>
    <n v="10"/>
    <n v="19"/>
    <n v="19"/>
    <n v="2005"/>
    <n v="2005"/>
    <n v="1527"/>
    <m/>
    <m/>
    <m/>
    <m/>
    <n v="0"/>
    <n v="1527"/>
    <n v="2000"/>
    <s v="N"/>
    <m/>
    <n v="433"/>
    <m/>
    <m/>
    <m/>
    <m/>
    <m/>
    <n v="300871"/>
    <n v="273793"/>
    <n v="0"/>
    <n v="0"/>
    <n v="60800"/>
    <n v="315500"/>
    <n v="376300"/>
    <n v="132535.48800000001"/>
    <n v="88356.992000000013"/>
    <n v="-24051.387388882686"/>
    <n v="37154.252388000001"/>
    <n v="50438.379078999998"/>
    <n v="-2066.0808999999999"/>
    <n v="95300.650260000009"/>
    <n v="0"/>
    <n v="0"/>
    <n v="15285.346423000001"/>
    <n v="0"/>
    <n v="328600"/>
    <n v="64300"/>
    <n v="392900"/>
    <n v="4.4113739038001594E-2"/>
    <n v="0.99970000000000003"/>
    <n v="0.99819999999999998"/>
    <n v="1.0007999999999999"/>
    <n v="1.0007999999999999"/>
    <n v="0.99080000000000001"/>
    <n v="0.94971499999999998"/>
    <n v="0.9407873176017203"/>
    <n v="320800"/>
    <n v="0"/>
    <n v="320800"/>
    <n v="61100"/>
    <n v="381900"/>
    <n v="1.6798732171156894E-2"/>
    <n v="4.9342105263157892E-3"/>
    <n v="1.4881743289928249E-2"/>
  </r>
  <r>
    <n v="2025"/>
    <s v="19120113572    "/>
    <n v="-1.8325814637483102"/>
    <n v="0.16"/>
    <n v="7010"/>
    <s v="2"/>
    <s v="RES"/>
    <s v="MX"/>
    <s v="11"/>
    <s v="259"/>
    <s v="RN"/>
    <x v="4"/>
    <s v="VG"/>
    <n v="10"/>
    <n v="16"/>
    <n v="16"/>
    <n v="2008"/>
    <n v="2008"/>
    <n v="1380"/>
    <m/>
    <m/>
    <m/>
    <m/>
    <n v="0"/>
    <n v="1380"/>
    <n v="1500"/>
    <s v="N"/>
    <n v="1"/>
    <n v="428"/>
    <m/>
    <m/>
    <m/>
    <m/>
    <m/>
    <n v="277691"/>
    <n v="258253"/>
    <n v="0"/>
    <n v="0"/>
    <n v="60800"/>
    <n v="305900"/>
    <n v="366700"/>
    <n v="132535.48800000001"/>
    <n v="88356.992000000013"/>
    <n v="-24051.387388882686"/>
    <n v="37154.252388000001"/>
    <n v="50438.379078999998"/>
    <n v="-1739.8576"/>
    <n v="86126.324399999998"/>
    <n v="0"/>
    <n v="0"/>
    <n v="15108.841268"/>
    <n v="0"/>
    <n v="319600"/>
    <n v="64300"/>
    <n v="383900"/>
    <n v="4.690482683392419E-2"/>
    <n v="0.99970000000000003"/>
    <n v="0.99819999999999998"/>
    <n v="1.0007999999999999"/>
    <n v="0.99519999999999997"/>
    <n v="0.99080000000000001"/>
    <n v="0.94971499999999998"/>
    <n v="0.93552311998124726"/>
    <n v="311100"/>
    <n v="0"/>
    <n v="311100"/>
    <n v="61100"/>
    <n v="372200"/>
    <n v="1.6999019287348805E-2"/>
    <n v="4.9342105263157892E-3"/>
    <n v="1.4998636487592037E-2"/>
  </r>
  <r>
    <n v="2025"/>
    <s v="19120113488    "/>
    <n v="-1.8325814637483102"/>
    <n v="0.16"/>
    <n v="7075"/>
    <s v="2"/>
    <s v="RES"/>
    <s v="MX"/>
    <s v="11"/>
    <s v="259"/>
    <s v="RN"/>
    <x v="4"/>
    <s v="VG"/>
    <n v="10"/>
    <n v="17"/>
    <n v="17"/>
    <n v="2007"/>
    <n v="2007"/>
    <n v="1540"/>
    <m/>
    <m/>
    <m/>
    <m/>
    <n v="0"/>
    <n v="1540"/>
    <n v="2000"/>
    <s v="N"/>
    <m/>
    <n v="420"/>
    <m/>
    <m/>
    <m/>
    <m/>
    <m/>
    <n v="310202"/>
    <n v="288488"/>
    <n v="0"/>
    <n v="0"/>
    <n v="60800"/>
    <n v="315900"/>
    <n v="376700"/>
    <n v="132535.48800000001"/>
    <n v="88356.992000000013"/>
    <n v="-24051.387388882686"/>
    <n v="37154.252388000001"/>
    <n v="50438.379078999998"/>
    <n v="-1848.5987"/>
    <n v="96111.98520000001"/>
    <n v="0"/>
    <n v="0"/>
    <n v="14826.43302"/>
    <n v="0"/>
    <n v="329200"/>
    <n v="64300"/>
    <n v="393500"/>
    <n v="4.4597823201486593E-2"/>
    <n v="0.99970000000000003"/>
    <n v="0.99819999999999998"/>
    <n v="1.0007999999999999"/>
    <n v="1.0007999999999999"/>
    <n v="0.99080000000000001"/>
    <n v="0.94971499999999998"/>
    <n v="0.9407873176017203"/>
    <n v="321400"/>
    <n v="0"/>
    <n v="321400"/>
    <n v="61100"/>
    <n v="382500"/>
    <n v="1.741057296612852E-2"/>
    <n v="4.9342105263157892E-3"/>
    <n v="1.5396867533846562E-2"/>
  </r>
  <r>
    <n v="2025"/>
    <s v="19120113504    "/>
    <n v="-1.8325814637483102"/>
    <n v="0.16"/>
    <n v="6827"/>
    <s v="2"/>
    <s v="RES"/>
    <s v="MX"/>
    <s v="11"/>
    <s v="259"/>
    <s v="RN"/>
    <x v="4"/>
    <s v="VG"/>
    <n v="10"/>
    <n v="18"/>
    <n v="18"/>
    <n v="2006"/>
    <n v="2006"/>
    <n v="1380"/>
    <m/>
    <m/>
    <m/>
    <m/>
    <n v="0"/>
    <n v="1380"/>
    <n v="1500"/>
    <s v="N"/>
    <m/>
    <n v="428"/>
    <m/>
    <m/>
    <m/>
    <m/>
    <m/>
    <n v="275546"/>
    <n v="253502"/>
    <n v="0"/>
    <n v="0"/>
    <n v="60800"/>
    <n v="305500"/>
    <n v="366300"/>
    <n v="132535.48800000001"/>
    <n v="88356.992000000013"/>
    <n v="-24051.387388882686"/>
    <n v="37154.252388000001"/>
    <n v="50438.379078999998"/>
    <n v="-1957.3398"/>
    <n v="86126.324399999998"/>
    <n v="0"/>
    <n v="0"/>
    <n v="15108.841268"/>
    <n v="0"/>
    <n v="319400"/>
    <n v="64300"/>
    <n v="383700"/>
    <n v="4.7502047502047499E-2"/>
    <n v="0.99970000000000003"/>
    <n v="0.99819999999999998"/>
    <n v="1.0007999999999999"/>
    <n v="0.99519999999999997"/>
    <n v="0.99080000000000001"/>
    <n v="0.94971499999999998"/>
    <n v="0.93552311998124726"/>
    <n v="310900"/>
    <n v="0"/>
    <n v="310900"/>
    <n v="61100"/>
    <n v="372000"/>
    <n v="1.7675941080196399E-2"/>
    <n v="4.9342105263157892E-3"/>
    <n v="1.5561015561015561E-2"/>
  </r>
  <r>
    <n v="2025"/>
    <s v="19120113518    "/>
    <n v="-1.8325814637483102"/>
    <n v="0.16"/>
    <n v="7057"/>
    <s v="2"/>
    <s v="RES"/>
    <s v="MX"/>
    <s v="11"/>
    <s v="259"/>
    <s v="RN"/>
    <x v="4"/>
    <s v="VG"/>
    <n v="10"/>
    <n v="18"/>
    <n v="18"/>
    <n v="2006"/>
    <n v="2006"/>
    <n v="1380"/>
    <m/>
    <m/>
    <m/>
    <m/>
    <n v="0"/>
    <n v="1380"/>
    <n v="1500"/>
    <s v="N"/>
    <m/>
    <n v="428"/>
    <m/>
    <m/>
    <m/>
    <m/>
    <m/>
    <n v="274549"/>
    <n v="252585"/>
    <n v="0"/>
    <n v="0"/>
    <n v="60800"/>
    <n v="305500"/>
    <n v="366300"/>
    <n v="132535.48800000001"/>
    <n v="88356.992000000013"/>
    <n v="-24051.387388882686"/>
    <n v="37154.252388000001"/>
    <n v="50438.379078999998"/>
    <n v="-1957.3398"/>
    <n v="86126.324399999998"/>
    <n v="0"/>
    <n v="0"/>
    <n v="15108.841268"/>
    <n v="0"/>
    <n v="319400"/>
    <n v="64300"/>
    <n v="383700"/>
    <n v="4.7502047502047499E-2"/>
    <n v="0.99970000000000003"/>
    <n v="0.99819999999999998"/>
    <n v="1.0007999999999999"/>
    <n v="0.99519999999999997"/>
    <n v="0.99080000000000001"/>
    <n v="0.94971499999999998"/>
    <n v="0.93552311998124726"/>
    <n v="310900"/>
    <n v="0"/>
    <n v="310900"/>
    <n v="61100"/>
    <n v="372000"/>
    <n v="1.7675941080196399E-2"/>
    <n v="4.9342105263157892E-3"/>
    <n v="1.5561015561015561E-2"/>
  </r>
  <r>
    <n v="2025"/>
    <s v="19120144455    "/>
    <n v="-1.8325814637483102"/>
    <n v="0.16"/>
    <n v="7001"/>
    <s v="2"/>
    <s v="RES"/>
    <s v="MX"/>
    <s v="11"/>
    <s v="259"/>
    <s v="RN"/>
    <x v="4"/>
    <s v="VG"/>
    <n v="20"/>
    <n v="20"/>
    <n v="20"/>
    <n v="2004"/>
    <n v="2004"/>
    <n v="1096"/>
    <m/>
    <m/>
    <m/>
    <m/>
    <n v="0"/>
    <n v="1096"/>
    <n v="1500"/>
    <s v="N"/>
    <m/>
    <n v="460"/>
    <m/>
    <m/>
    <m/>
    <m/>
    <m/>
    <n v="235313"/>
    <n v="216488"/>
    <n v="0"/>
    <n v="0"/>
    <n v="60800"/>
    <n v="291700"/>
    <n v="352500"/>
    <n v="132535.48800000001"/>
    <n v="88356.992000000013"/>
    <n v="-24051.387388882686"/>
    <n v="37154.252388000001"/>
    <n v="50438.379078999998"/>
    <n v="-2174.8220000000001"/>
    <n v="68401.77648"/>
    <n v="0"/>
    <n v="0"/>
    <n v="16238.474260000001"/>
    <n v="0"/>
    <n v="302600"/>
    <n v="64300"/>
    <n v="366900"/>
    <n v="4.0851063829787232E-2"/>
    <n v="0.99970000000000003"/>
    <n v="0.99819999999999998"/>
    <n v="1.0007999999999999"/>
    <n v="0.99519999999999997"/>
    <n v="1.0138"/>
    <n v="0.94971499999999998"/>
    <n v="0.95723994654520439"/>
    <n v="296900"/>
    <n v="0"/>
    <n v="296900"/>
    <n v="61100"/>
    <n v="358000"/>
    <n v="1.7826534110387385E-2"/>
    <n v="4.9342105263157892E-3"/>
    <n v="1.5602836879432624E-2"/>
  </r>
  <r>
    <n v="2025"/>
    <s v="20120634477    "/>
    <n v="-1.8325814637483102"/>
    <n v="0.16"/>
    <n v="7058"/>
    <s v="2"/>
    <s v="RES"/>
    <s v="MX"/>
    <s v="11"/>
    <s v="259"/>
    <s v="CP"/>
    <x v="5"/>
    <s v="VG"/>
    <n v="0"/>
    <n v="9"/>
    <n v="9"/>
    <n v="2015"/>
    <n v="2015"/>
    <n v="1593"/>
    <n v="1252"/>
    <m/>
    <m/>
    <m/>
    <n v="0"/>
    <n v="2845"/>
    <n v="3000"/>
    <s v="N"/>
    <m/>
    <n v="706"/>
    <m/>
    <m/>
    <m/>
    <m/>
    <m/>
    <n v="559794"/>
    <n v="537402"/>
    <n v="0"/>
    <n v="0"/>
    <n v="60800"/>
    <n v="402100"/>
    <n v="462900"/>
    <n v="132535.48800000001"/>
    <n v="88356.992000000013"/>
    <n v="-24051.387388882686"/>
    <n v="32917.849192000001"/>
    <n v="50438.379078999998"/>
    <n v="-978.66989999999998"/>
    <n v="99419.735339999999"/>
    <n v="74594.639515999996"/>
    <n v="0"/>
    <n v="24922.527886"/>
    <n v="0"/>
    <n v="413800"/>
    <n v="64300"/>
    <n v="478100"/>
    <n v="3.2836465759343271E-2"/>
    <n v="0.99970000000000003"/>
    <n v="1.0019"/>
    <n v="1.0007999999999999"/>
    <n v="1.0099"/>
    <n v="1.0022"/>
    <n v="0.94971499999999998"/>
    <n v="0.96382401089608938"/>
    <n v="409100"/>
    <n v="0"/>
    <n v="409100"/>
    <n v="61100"/>
    <n v="470200"/>
    <n v="1.7408604824670479E-2"/>
    <n v="4.9342105263157892E-3"/>
    <n v="1.5770144739684598E-2"/>
  </r>
  <r>
    <n v="2025"/>
    <s v="19120112414    "/>
    <n v="-1.8325814637483102"/>
    <n v="0.16"/>
    <n v="7000"/>
    <s v="2"/>
    <s v="RES"/>
    <s v="MX"/>
    <s v="11"/>
    <s v="259"/>
    <s v="RN"/>
    <x v="4"/>
    <s v="VG"/>
    <n v="10"/>
    <n v="18"/>
    <n v="18"/>
    <n v="2006"/>
    <n v="2006"/>
    <n v="1732"/>
    <m/>
    <m/>
    <m/>
    <m/>
    <n v="0"/>
    <n v="1732"/>
    <n v="2000"/>
    <s v="N"/>
    <m/>
    <n v="468"/>
    <m/>
    <m/>
    <m/>
    <m/>
    <m/>
    <n v="330466"/>
    <n v="304029"/>
    <n v="0"/>
    <n v="0"/>
    <n v="60800"/>
    <n v="328900"/>
    <n v="389700"/>
    <n v="132535.48800000001"/>
    <n v="88356.992000000013"/>
    <n v="-24051.387388882686"/>
    <n v="37154.252388000001"/>
    <n v="50438.379078999998"/>
    <n v="-1957.3398"/>
    <n v="108094.77816"/>
    <n v="0"/>
    <n v="0"/>
    <n v="16520.882508000002"/>
    <n v="0"/>
    <n v="342800"/>
    <n v="64300"/>
    <n v="407100"/>
    <n v="4.4649730561970746E-2"/>
    <n v="0.99970000000000003"/>
    <n v="0.99819999999999998"/>
    <n v="1.0007999999999999"/>
    <n v="1.0007999999999999"/>
    <n v="0.99080000000000001"/>
    <n v="0.94971499999999998"/>
    <n v="0.9407873176017203"/>
    <n v="334900"/>
    <n v="0"/>
    <n v="334900"/>
    <n v="61100"/>
    <n v="396000"/>
    <n v="1.8242626938279112E-2"/>
    <n v="4.9342105263157892E-3"/>
    <n v="1.6166281755196306E-2"/>
  </r>
  <r>
    <n v="2025"/>
    <s v="19120112475    "/>
    <n v="-1.8325814637483102"/>
    <n v="0.16"/>
    <n v="6801"/>
    <s v="2"/>
    <s v="RES"/>
    <s v="MX"/>
    <s v="11"/>
    <s v="259"/>
    <s v="CO"/>
    <x v="5"/>
    <s v="VG"/>
    <n v="10"/>
    <n v="17"/>
    <n v="17"/>
    <n v="2007"/>
    <n v="2007"/>
    <n v="1116"/>
    <n v="1116"/>
    <m/>
    <m/>
    <m/>
    <n v="0"/>
    <n v="2232"/>
    <n v="2500"/>
    <s v="N"/>
    <m/>
    <n v="440"/>
    <m/>
    <m/>
    <m/>
    <m/>
    <m/>
    <n v="445667"/>
    <n v="414470"/>
    <n v="0"/>
    <n v="0"/>
    <n v="60800"/>
    <n v="351800"/>
    <n v="412600"/>
    <n v="132535.48800000001"/>
    <n v="88356.992000000013"/>
    <n v="-24051.387388882686"/>
    <n v="32917.849192000001"/>
    <n v="50438.379078999998"/>
    <n v="-1848.5987"/>
    <n v="69649.984080000009"/>
    <n v="66491.707427999994"/>
    <n v="0"/>
    <n v="15532.453640000002"/>
    <n v="0"/>
    <n v="365700"/>
    <n v="64300"/>
    <n v="430000"/>
    <n v="4.2171594764905479E-2"/>
    <n v="0.99970000000000003"/>
    <n v="1.0019"/>
    <n v="1.0007999999999999"/>
    <n v="1.0008999999999999"/>
    <n v="0.99080000000000001"/>
    <n v="0.94971499999999998"/>
    <n v="0.94436885958806405"/>
    <n v="358300"/>
    <n v="0"/>
    <n v="358300"/>
    <n v="61100"/>
    <n v="419400"/>
    <n v="1.8476407049459919E-2"/>
    <n v="4.9342105263157892E-3"/>
    <n v="1.6480853126514785E-2"/>
  </r>
  <r>
    <n v="2025"/>
    <s v="19120113574    "/>
    <n v="-1.8325814637483102"/>
    <n v="0.16"/>
    <n v="7023"/>
    <s v="2"/>
    <s v="RES"/>
    <s v="MX"/>
    <s v="11"/>
    <s v="259"/>
    <s v="RN"/>
    <x v="4"/>
    <s v="VG"/>
    <n v="10"/>
    <n v="16"/>
    <n v="16"/>
    <n v="2008"/>
    <n v="2008"/>
    <n v="1436"/>
    <m/>
    <m/>
    <m/>
    <m/>
    <n v="0"/>
    <n v="1436"/>
    <n v="1500"/>
    <s v="N"/>
    <m/>
    <n v="400"/>
    <m/>
    <m/>
    <m/>
    <m/>
    <m/>
    <n v="283159"/>
    <n v="263338"/>
    <n v="0"/>
    <n v="0"/>
    <n v="60800"/>
    <n v="307700"/>
    <n v="368500"/>
    <n v="132535.48800000001"/>
    <n v="88356.992000000013"/>
    <n v="-24051.387388882686"/>
    <n v="37154.252388000001"/>
    <n v="50438.379078999998"/>
    <n v="-1739.8576"/>
    <n v="89621.305680000005"/>
    <n v="0"/>
    <n v="0"/>
    <n v="14120.412400000001"/>
    <n v="0"/>
    <n v="322100"/>
    <n v="64300"/>
    <n v="386400"/>
    <n v="4.85753052917232E-2"/>
    <n v="0.99970000000000003"/>
    <n v="0.99819999999999998"/>
    <n v="1.0007999999999999"/>
    <n v="0.99519999999999997"/>
    <n v="0.99080000000000001"/>
    <n v="0.94971499999999998"/>
    <n v="0.93552311998124726"/>
    <n v="313600"/>
    <n v="0"/>
    <n v="313600"/>
    <n v="61100"/>
    <n v="374700"/>
    <n v="1.9174520636984077E-2"/>
    <n v="4.9342105263157892E-3"/>
    <n v="1.682496607869742E-2"/>
  </r>
  <r>
    <n v="2025"/>
    <s v="19120113567    "/>
    <n v="-1.8325814637483102"/>
    <n v="0.16"/>
    <n v="7033"/>
    <s v="2"/>
    <s v="RES"/>
    <s v="MX"/>
    <s v="11"/>
    <s v="259"/>
    <s v="RN"/>
    <x v="4"/>
    <s v="VG"/>
    <n v="10"/>
    <n v="16"/>
    <n v="16"/>
    <n v="2008"/>
    <n v="2008"/>
    <n v="1436"/>
    <m/>
    <m/>
    <m/>
    <m/>
    <n v="0"/>
    <n v="1436"/>
    <n v="1500"/>
    <s v="N"/>
    <n v="1"/>
    <n v="400"/>
    <m/>
    <m/>
    <m/>
    <m/>
    <m/>
    <n v="285141"/>
    <n v="265181"/>
    <n v="0"/>
    <n v="0"/>
    <n v="60800"/>
    <n v="307700"/>
    <n v="368500"/>
    <n v="132535.48800000001"/>
    <n v="88356.992000000013"/>
    <n v="-24051.387388882686"/>
    <n v="37154.252388000001"/>
    <n v="50438.379078999998"/>
    <n v="-1739.8576"/>
    <n v="89621.305680000005"/>
    <n v="0"/>
    <n v="0"/>
    <n v="14120.412400000001"/>
    <n v="0"/>
    <n v="322100"/>
    <n v="64300"/>
    <n v="386400"/>
    <n v="4.85753052917232E-2"/>
    <n v="0.99970000000000003"/>
    <n v="0.99819999999999998"/>
    <n v="1.0007999999999999"/>
    <n v="0.99519999999999997"/>
    <n v="0.99080000000000001"/>
    <n v="0.94971499999999998"/>
    <n v="0.93552311998124726"/>
    <n v="313600"/>
    <n v="0"/>
    <n v="313600"/>
    <n v="61100"/>
    <n v="374700"/>
    <n v="1.9174520636984077E-2"/>
    <n v="4.9342105263157892E-3"/>
    <n v="1.682496607869742E-2"/>
  </r>
  <r>
    <n v="2025"/>
    <s v="19120141533    "/>
    <n v="-1.8325814637483102"/>
    <n v="0.16"/>
    <n v="6902"/>
    <s v="2"/>
    <s v="RES"/>
    <s v="MX"/>
    <s v="11"/>
    <s v="259"/>
    <s v="RN"/>
    <x v="4"/>
    <s v="VG"/>
    <n v="10"/>
    <n v="19"/>
    <n v="19"/>
    <n v="2005"/>
    <n v="2005"/>
    <n v="1364"/>
    <m/>
    <m/>
    <m/>
    <m/>
    <n v="0"/>
    <n v="1364"/>
    <n v="1500"/>
    <s v="N"/>
    <m/>
    <n v="428"/>
    <m/>
    <m/>
    <m/>
    <m/>
    <m/>
    <n v="280047"/>
    <n v="254843"/>
    <n v="0"/>
    <n v="0"/>
    <n v="60800"/>
    <n v="303700"/>
    <n v="364500"/>
    <n v="132535.48800000001"/>
    <n v="88356.992000000013"/>
    <n v="-24051.387388882686"/>
    <n v="37154.252388000001"/>
    <n v="50438.379078999998"/>
    <n v="-2066.0808999999999"/>
    <n v="85127.758320000008"/>
    <n v="0"/>
    <n v="0"/>
    <n v="15108.841268"/>
    <n v="0"/>
    <n v="318300"/>
    <n v="64300"/>
    <n v="382600"/>
    <n v="4.9657064471879286E-2"/>
    <n v="0.99970000000000003"/>
    <n v="0.99819999999999998"/>
    <n v="1.0007999999999999"/>
    <n v="0.99519999999999997"/>
    <n v="0.99080000000000001"/>
    <n v="0.94971499999999998"/>
    <n v="0.93552311998124726"/>
    <n v="309800"/>
    <n v="0"/>
    <n v="309800"/>
    <n v="61100"/>
    <n v="370900"/>
    <n v="2.0085610800131708E-2"/>
    <n v="4.9342105263157892E-3"/>
    <n v="1.7558299039780522E-2"/>
  </r>
  <r>
    <n v="2025"/>
    <s v="19120144454    "/>
    <n v="-1.8325814637483102"/>
    <n v="0.16"/>
    <n v="7001"/>
    <s v="2"/>
    <s v="RES"/>
    <s v="MX"/>
    <s v="11"/>
    <s v="259"/>
    <s v="CO"/>
    <x v="5"/>
    <s v="GD"/>
    <n v="20"/>
    <n v="20"/>
    <n v="20"/>
    <n v="2004"/>
    <n v="2004"/>
    <n v="1116"/>
    <n v="1116"/>
    <m/>
    <m/>
    <m/>
    <n v="0"/>
    <n v="2232"/>
    <n v="2500"/>
    <s v="N"/>
    <m/>
    <n v="440"/>
    <m/>
    <m/>
    <m/>
    <m/>
    <m/>
    <n v="453810"/>
    <n v="412967"/>
    <n v="0"/>
    <n v="0"/>
    <n v="60800"/>
    <n v="333600"/>
    <n v="394400"/>
    <n v="132535.48800000001"/>
    <n v="88356.992000000013"/>
    <n v="-24051.387388882686"/>
    <n v="32917.849192000001"/>
    <n v="30300.329274"/>
    <n v="-2174.8220000000001"/>
    <n v="69649.984080000009"/>
    <n v="66491.707427999994"/>
    <n v="0"/>
    <n v="15532.453640000002"/>
    <n v="0"/>
    <n v="345300"/>
    <n v="64300"/>
    <n v="409600"/>
    <n v="3.8539553752535496E-2"/>
    <n v="0.99970000000000003"/>
    <n v="1.0019"/>
    <n v="0.997"/>
    <n v="1.0008999999999999"/>
    <n v="1.0138"/>
    <n v="0.94971499999999998"/>
    <n v="0.96262205657438948"/>
    <n v="340300"/>
    <n v="0"/>
    <n v="340300"/>
    <n v="61100"/>
    <n v="401400"/>
    <n v="2.0083932853717026E-2"/>
    <n v="4.9342105263157892E-3"/>
    <n v="1.7748478701825558E-2"/>
  </r>
  <r>
    <n v="2025"/>
    <s v="19120144492    "/>
    <n v="-1.8325814637483102"/>
    <n v="0.16"/>
    <n v="7003"/>
    <s v="2"/>
    <s v="RES"/>
    <s v="MX"/>
    <s v="11"/>
    <s v="259"/>
    <s v="CO"/>
    <x v="5"/>
    <s v="GD"/>
    <n v="20"/>
    <n v="20"/>
    <n v="20"/>
    <n v="2004"/>
    <n v="2004"/>
    <n v="1116"/>
    <n v="1116"/>
    <m/>
    <m/>
    <m/>
    <n v="0"/>
    <n v="2232"/>
    <n v="2500"/>
    <s v="N"/>
    <m/>
    <n v="440"/>
    <m/>
    <m/>
    <m/>
    <m/>
    <m/>
    <n v="449476"/>
    <n v="409023"/>
    <n v="0"/>
    <n v="0"/>
    <n v="60800"/>
    <n v="333600"/>
    <n v="394400"/>
    <n v="132535.48800000001"/>
    <n v="88356.992000000013"/>
    <n v="-24051.387388882686"/>
    <n v="32917.849192000001"/>
    <n v="30300.329274"/>
    <n v="-2174.8220000000001"/>
    <n v="69649.984080000009"/>
    <n v="66491.707427999994"/>
    <n v="0"/>
    <n v="15532.453640000002"/>
    <n v="0"/>
    <n v="345300"/>
    <n v="64300"/>
    <n v="409600"/>
    <n v="3.8539553752535496E-2"/>
    <n v="0.99970000000000003"/>
    <n v="1.0019"/>
    <n v="0.997"/>
    <n v="1.0008999999999999"/>
    <n v="1.0138"/>
    <n v="0.94971499999999998"/>
    <n v="0.96262205657438948"/>
    <n v="340300"/>
    <n v="0"/>
    <n v="340300"/>
    <n v="61100"/>
    <n v="401400"/>
    <n v="2.0083932853717026E-2"/>
    <n v="4.9342105263157892E-3"/>
    <n v="1.7748478701825558E-2"/>
  </r>
  <r>
    <n v="2025"/>
    <s v="19120144421    "/>
    <n v="-1.8325814637483102"/>
    <n v="0.16"/>
    <n v="7148"/>
    <s v="2"/>
    <s v="RES"/>
    <s v="MX"/>
    <s v="11"/>
    <s v="259"/>
    <s v="CO"/>
    <x v="5"/>
    <s v="GD"/>
    <n v="20"/>
    <n v="20"/>
    <n v="20"/>
    <n v="2004"/>
    <n v="2004"/>
    <n v="1116"/>
    <n v="1116"/>
    <m/>
    <m/>
    <m/>
    <n v="0"/>
    <n v="2232"/>
    <n v="2500"/>
    <s v="N"/>
    <m/>
    <n v="440"/>
    <m/>
    <m/>
    <m/>
    <m/>
    <m/>
    <n v="439963"/>
    <n v="400366"/>
    <n v="0"/>
    <n v="0"/>
    <n v="60800"/>
    <n v="333600"/>
    <n v="394400"/>
    <n v="132535.48800000001"/>
    <n v="88356.992000000013"/>
    <n v="-24051.387388882686"/>
    <n v="32917.849192000001"/>
    <n v="30300.329274"/>
    <n v="-2174.8220000000001"/>
    <n v="69649.984080000009"/>
    <n v="66491.707427999994"/>
    <n v="0"/>
    <n v="15532.453640000002"/>
    <n v="0"/>
    <n v="345300"/>
    <n v="64300"/>
    <n v="409600"/>
    <n v="3.8539553752535496E-2"/>
    <n v="0.99970000000000003"/>
    <n v="1.0019"/>
    <n v="0.997"/>
    <n v="1.0008999999999999"/>
    <n v="1.0138"/>
    <n v="0.94971499999999998"/>
    <n v="0.96262205657438948"/>
    <n v="340300"/>
    <n v="0"/>
    <n v="340300"/>
    <n v="61100"/>
    <n v="401400"/>
    <n v="2.0083932853717026E-2"/>
    <n v="4.9342105263157892E-3"/>
    <n v="1.7748478701825558E-2"/>
  </r>
  <r>
    <n v="2025"/>
    <s v="20120633417    "/>
    <n v="-1.8325814637483102"/>
    <n v="0.16"/>
    <n v="7181"/>
    <s v="2"/>
    <s v="RES"/>
    <s v="MX"/>
    <s v="11"/>
    <s v="259"/>
    <s v="RN"/>
    <x v="5"/>
    <s v="VG"/>
    <n v="10"/>
    <n v="15"/>
    <n v="15"/>
    <n v="2009"/>
    <n v="2009"/>
    <n v="2136"/>
    <m/>
    <m/>
    <m/>
    <m/>
    <n v="0"/>
    <n v="2136"/>
    <n v="2500"/>
    <s v="N"/>
    <m/>
    <n v="724"/>
    <m/>
    <m/>
    <m/>
    <m/>
    <m/>
    <n v="460004"/>
    <n v="432404"/>
    <n v="0"/>
    <n v="0"/>
    <n v="60800"/>
    <n v="358600"/>
    <n v="419400"/>
    <n v="132535.48800000001"/>
    <n v="88356.992000000013"/>
    <n v="-24051.387388882686"/>
    <n v="32917.849192000001"/>
    <n v="50438.379078999998"/>
    <n v="-1631.1165000000001"/>
    <n v="133308.57167999999"/>
    <n v="0"/>
    <n v="0"/>
    <n v="25557.946444000001"/>
    <n v="0"/>
    <n v="373100"/>
    <n v="64300"/>
    <n v="437400"/>
    <n v="4.2918454935622317E-2"/>
    <n v="0.99970000000000003"/>
    <n v="1.0019"/>
    <n v="1.0007999999999999"/>
    <n v="1.0008999999999999"/>
    <n v="0.99080000000000001"/>
    <n v="0.94971499999999998"/>
    <n v="0.94436885958806405"/>
    <n v="365800"/>
    <n v="0"/>
    <n v="365800"/>
    <n v="61100"/>
    <n v="426900"/>
    <n v="2.0078081427774678E-2"/>
    <n v="4.9342105263157892E-3"/>
    <n v="1.7882689556509301E-2"/>
  </r>
  <r>
    <n v="2025"/>
    <s v="19120113496    "/>
    <n v="-1.8325814637483102"/>
    <n v="0.16"/>
    <n v="7002"/>
    <s v="2"/>
    <s v="RES"/>
    <s v="MX"/>
    <s v="11"/>
    <s v="259"/>
    <s v="CO"/>
    <x v="5"/>
    <s v="VG"/>
    <n v="10"/>
    <n v="18"/>
    <n v="18"/>
    <n v="2006"/>
    <n v="2006"/>
    <n v="1116"/>
    <n v="1116"/>
    <m/>
    <m/>
    <m/>
    <n v="0"/>
    <n v="2232"/>
    <n v="2500"/>
    <s v="N"/>
    <m/>
    <n v="440"/>
    <m/>
    <m/>
    <m/>
    <m/>
    <m/>
    <n v="439327"/>
    <n v="404181"/>
    <n v="0"/>
    <n v="0"/>
    <n v="60800"/>
    <n v="350900"/>
    <n v="411700"/>
    <n v="132535.48800000001"/>
    <n v="88356.992000000013"/>
    <n v="-24051.387388882686"/>
    <n v="32917.849192000001"/>
    <n v="50438.379078999998"/>
    <n v="-1957.3398"/>
    <n v="69649.984080000009"/>
    <n v="66491.707427999994"/>
    <n v="0"/>
    <n v="15532.453640000002"/>
    <n v="0"/>
    <n v="365600"/>
    <n v="64300"/>
    <n v="429900"/>
    <n v="4.4206946805926649E-2"/>
    <n v="0.99970000000000003"/>
    <n v="1.0019"/>
    <n v="1.0007999999999999"/>
    <n v="1.0008999999999999"/>
    <n v="0.99080000000000001"/>
    <n v="0.94971499999999998"/>
    <n v="0.94436885958806405"/>
    <n v="358200"/>
    <n v="0"/>
    <n v="358200"/>
    <n v="61100"/>
    <n v="419300"/>
    <n v="2.0803647762895412E-2"/>
    <n v="4.9342105263157892E-3"/>
    <n v="1.8460043721156182E-2"/>
  </r>
  <r>
    <n v="2025"/>
    <s v="19120113522    "/>
    <n v="-1.8325814637483102"/>
    <n v="0.16"/>
    <n v="7053"/>
    <s v="2"/>
    <s v="RES"/>
    <s v="MX"/>
    <s v="11"/>
    <s v="259"/>
    <s v="CO"/>
    <x v="5"/>
    <s v="VG"/>
    <n v="10"/>
    <n v="18"/>
    <n v="18"/>
    <n v="2006"/>
    <n v="2006"/>
    <n v="1116"/>
    <n v="1116"/>
    <m/>
    <m/>
    <m/>
    <n v="0"/>
    <n v="2232"/>
    <n v="2500"/>
    <s v="N"/>
    <n v="1"/>
    <n v="440"/>
    <m/>
    <m/>
    <m/>
    <m/>
    <m/>
    <n v="451113"/>
    <n v="415024"/>
    <n v="0"/>
    <n v="0"/>
    <n v="60800"/>
    <n v="350900"/>
    <n v="411700"/>
    <n v="132535.48800000001"/>
    <n v="88356.992000000013"/>
    <n v="-24051.387388882686"/>
    <n v="32917.849192000001"/>
    <n v="50438.379078999998"/>
    <n v="-1957.3398"/>
    <n v="69649.984080000009"/>
    <n v="66491.707427999994"/>
    <n v="0"/>
    <n v="15532.453640000002"/>
    <n v="0"/>
    <n v="365600"/>
    <n v="64300"/>
    <n v="429900"/>
    <n v="4.4206946805926649E-2"/>
    <n v="0.99970000000000003"/>
    <n v="1.0019"/>
    <n v="1.0007999999999999"/>
    <n v="1.0008999999999999"/>
    <n v="0.99080000000000001"/>
    <n v="0.94971499999999998"/>
    <n v="0.94436885958806405"/>
    <n v="358200"/>
    <n v="0"/>
    <n v="358200"/>
    <n v="61100"/>
    <n v="419300"/>
    <n v="2.0803647762895412E-2"/>
    <n v="4.9342105263157892E-3"/>
    <n v="1.8460043721156182E-2"/>
  </r>
  <r>
    <n v="2025"/>
    <s v="19120113539    "/>
    <n v="-1.8325814637483102"/>
    <n v="0.16"/>
    <n v="7078"/>
    <s v="2"/>
    <s v="RES"/>
    <s v="MX"/>
    <s v="11"/>
    <s v="259"/>
    <s v="CO"/>
    <x v="5"/>
    <s v="VG"/>
    <n v="10"/>
    <n v="18"/>
    <n v="18"/>
    <n v="2006"/>
    <n v="2006"/>
    <n v="1116"/>
    <n v="1116"/>
    <m/>
    <m/>
    <m/>
    <n v="0"/>
    <n v="2232"/>
    <n v="2500"/>
    <s v="N"/>
    <m/>
    <n v="440"/>
    <m/>
    <m/>
    <m/>
    <m/>
    <m/>
    <n v="440579"/>
    <n v="405333"/>
    <n v="0"/>
    <n v="0"/>
    <n v="60800"/>
    <n v="350900"/>
    <n v="411700"/>
    <n v="132535.48800000001"/>
    <n v="88356.992000000013"/>
    <n v="-24051.387388882686"/>
    <n v="32917.849192000001"/>
    <n v="50438.379078999998"/>
    <n v="-1957.3398"/>
    <n v="69649.984080000009"/>
    <n v="66491.707427999994"/>
    <n v="0"/>
    <n v="15532.453640000002"/>
    <n v="0"/>
    <n v="365600"/>
    <n v="64300"/>
    <n v="429900"/>
    <n v="4.4206946805926649E-2"/>
    <n v="0.99970000000000003"/>
    <n v="1.0019"/>
    <n v="1.0007999999999999"/>
    <n v="1.0008999999999999"/>
    <n v="0.99080000000000001"/>
    <n v="0.94971499999999998"/>
    <n v="0.94436885958806405"/>
    <n v="358200"/>
    <n v="0"/>
    <n v="358200"/>
    <n v="61100"/>
    <n v="419300"/>
    <n v="2.0803647762895412E-2"/>
    <n v="4.9342105263157892E-3"/>
    <n v="1.8460043721156182E-2"/>
  </r>
  <r>
    <n v="2025"/>
    <s v="19120144462    "/>
    <n v="-1.8325814637483102"/>
    <n v="0.16"/>
    <n v="7000"/>
    <s v="2"/>
    <s v="RES"/>
    <s v="MX"/>
    <s v="11"/>
    <s v="259"/>
    <s v="RN"/>
    <x v="4"/>
    <s v="GD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73487"/>
    <n v="248873"/>
    <n v="0"/>
    <n v="0"/>
    <n v="60800"/>
    <n v="286700"/>
    <n v="347500"/>
    <n v="132535.48800000001"/>
    <n v="88356.992000000013"/>
    <n v="-24051.387388882686"/>
    <n v="37154.252388000001"/>
    <n v="30300.329274"/>
    <n v="-2174.8220000000001"/>
    <n v="86126.324399999998"/>
    <n v="0"/>
    <n v="0"/>
    <n v="15108.841268"/>
    <n v="0"/>
    <n v="299100"/>
    <n v="64300"/>
    <n v="363400"/>
    <n v="4.5755395683453236E-2"/>
    <n v="0.99970000000000003"/>
    <n v="0.99819999999999998"/>
    <n v="0.997"/>
    <n v="0.99519999999999997"/>
    <n v="1.0138"/>
    <n v="0.94971499999999998"/>
    <n v="0.95360534243162343"/>
    <n v="292900"/>
    <n v="0"/>
    <n v="292900"/>
    <n v="61100"/>
    <n v="354000"/>
    <n v="2.1625392396232995E-2"/>
    <n v="4.9342105263157892E-3"/>
    <n v="1.870503597122302E-2"/>
  </r>
  <r>
    <n v="2025"/>
    <s v="19120144475    "/>
    <n v="-1.8325814637483102"/>
    <n v="0.16"/>
    <n v="7014"/>
    <s v="2"/>
    <s v="RES"/>
    <s v="MX"/>
    <s v="11"/>
    <s v="259"/>
    <s v="RN"/>
    <x v="4"/>
    <s v="GD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73487"/>
    <n v="248873"/>
    <n v="0"/>
    <n v="0"/>
    <n v="60800"/>
    <n v="286700"/>
    <n v="347500"/>
    <n v="132535.48800000001"/>
    <n v="88356.992000000013"/>
    <n v="-24051.387388882686"/>
    <n v="37154.252388000001"/>
    <n v="30300.329274"/>
    <n v="-2174.8220000000001"/>
    <n v="86126.324399999998"/>
    <n v="0"/>
    <n v="0"/>
    <n v="15108.841268"/>
    <n v="0"/>
    <n v="299100"/>
    <n v="64300"/>
    <n v="363400"/>
    <n v="4.5755395683453236E-2"/>
    <n v="0.99970000000000003"/>
    <n v="0.99819999999999998"/>
    <n v="0.997"/>
    <n v="0.99519999999999997"/>
    <n v="1.0138"/>
    <n v="0.94971499999999998"/>
    <n v="0.95360534243162343"/>
    <n v="292900"/>
    <n v="0"/>
    <n v="292900"/>
    <n v="61100"/>
    <n v="354000"/>
    <n v="2.1625392396232995E-2"/>
    <n v="4.9342105263157892E-3"/>
    <n v="1.870503597122302E-2"/>
  </r>
  <r>
    <n v="2025"/>
    <s v="19120113596    "/>
    <n v="-1.8325814637483102"/>
    <n v="0.16"/>
    <n v="7078"/>
    <s v="2"/>
    <s v="RES"/>
    <s v="MX"/>
    <s v="11"/>
    <s v="259"/>
    <s v="RN"/>
    <x v="4"/>
    <s v="VG"/>
    <n v="10"/>
    <n v="17"/>
    <n v="17"/>
    <n v="2007"/>
    <n v="2007"/>
    <n v="1436"/>
    <m/>
    <m/>
    <m/>
    <m/>
    <n v="0"/>
    <n v="1436"/>
    <n v="1500"/>
    <s v="N"/>
    <m/>
    <n v="400"/>
    <m/>
    <m/>
    <m/>
    <m/>
    <m/>
    <n v="283986"/>
    <n v="264107"/>
    <n v="0"/>
    <n v="0"/>
    <n v="60800"/>
    <n v="306800"/>
    <n v="367600"/>
    <n v="132535.48800000001"/>
    <n v="88356.992000000013"/>
    <n v="-24051.387388882686"/>
    <n v="37154.252388000001"/>
    <n v="50438.379078999998"/>
    <n v="-1848.5987"/>
    <n v="89621.305680000005"/>
    <n v="0"/>
    <n v="0"/>
    <n v="14120.412400000001"/>
    <n v="0"/>
    <n v="322000"/>
    <n v="64300"/>
    <n v="386300"/>
    <n v="5.0870511425462457E-2"/>
    <n v="0.99970000000000003"/>
    <n v="0.99819999999999998"/>
    <n v="1.0007999999999999"/>
    <n v="0.99519999999999997"/>
    <n v="0.99080000000000001"/>
    <n v="0.94971499999999998"/>
    <n v="0.93552311998124726"/>
    <n v="313500"/>
    <n v="0"/>
    <n v="313500"/>
    <n v="61100"/>
    <n v="374600"/>
    <n v="2.1838331160365057E-2"/>
    <n v="4.9342105263157892E-3"/>
    <n v="1.9042437431991296E-2"/>
  </r>
  <r>
    <n v="2025"/>
    <s v="19120113602    "/>
    <n v="-1.8325814637483102"/>
    <n v="0.16"/>
    <n v="7077"/>
    <s v="2"/>
    <s v="RES"/>
    <s v="MX"/>
    <s v="11"/>
    <s v="259"/>
    <s v="RN"/>
    <x v="5"/>
    <s v="VG"/>
    <n v="10"/>
    <n v="17"/>
    <n v="17"/>
    <n v="2007"/>
    <n v="2007"/>
    <n v="1732"/>
    <m/>
    <m/>
    <m/>
    <m/>
    <n v="0"/>
    <n v="1732"/>
    <n v="2000"/>
    <s v="N"/>
    <m/>
    <n v="440"/>
    <m/>
    <m/>
    <m/>
    <m/>
    <m/>
    <n v="376918"/>
    <n v="350534"/>
    <n v="0"/>
    <n v="0"/>
    <n v="60800"/>
    <n v="323000"/>
    <n v="383800"/>
    <n v="132535.48800000001"/>
    <n v="88356.992000000013"/>
    <n v="-24051.387388882686"/>
    <n v="32917.849192000001"/>
    <n v="50438.379078999998"/>
    <n v="-1848.5987"/>
    <n v="108094.77816"/>
    <n v="0"/>
    <n v="0"/>
    <n v="15532.453640000002"/>
    <n v="0"/>
    <n v="337700"/>
    <n v="64300"/>
    <n v="402000"/>
    <n v="4.7420531526836895E-2"/>
    <n v="0.99970000000000003"/>
    <n v="1.0019"/>
    <n v="1.0007999999999999"/>
    <n v="1.0007999999999999"/>
    <n v="0.99080000000000001"/>
    <n v="0.94971499999999998"/>
    <n v="0.94427450761887755"/>
    <n v="330300"/>
    <n v="0"/>
    <n v="330300"/>
    <n v="61100"/>
    <n v="391400"/>
    <n v="2.260061919504644E-2"/>
    <n v="4.9342105263157892E-3"/>
    <n v="1.9801980198019802E-2"/>
  </r>
  <r>
    <n v="2025"/>
    <s v="19120144468    "/>
    <n v="-1.8325814637483102"/>
    <n v="0.16"/>
    <n v="7000"/>
    <s v="2"/>
    <s v="RES"/>
    <s v="MX"/>
    <s v="11"/>
    <s v="259"/>
    <s v="RN"/>
    <x v="5"/>
    <s v="GD"/>
    <n v="20"/>
    <n v="20"/>
    <n v="20"/>
    <n v="2004"/>
    <n v="2004"/>
    <n v="1706"/>
    <m/>
    <m/>
    <m/>
    <m/>
    <n v="0"/>
    <n v="1706"/>
    <n v="2000"/>
    <s v="N"/>
    <m/>
    <n v="466"/>
    <m/>
    <m/>
    <m/>
    <m/>
    <m/>
    <n v="374997"/>
    <n v="341247"/>
    <n v="0"/>
    <n v="0"/>
    <n v="60800"/>
    <n v="304500"/>
    <n v="365300"/>
    <n v="132535.48800000001"/>
    <n v="88356.992000000013"/>
    <n v="-24051.387388882686"/>
    <n v="32917.849192000001"/>
    <n v="30300.329274"/>
    <n v="-2174.8220000000001"/>
    <n v="106472.10828"/>
    <n v="0"/>
    <n v="0"/>
    <n v="16450.280446000001"/>
    <n v="0"/>
    <n v="316500"/>
    <n v="64300"/>
    <n v="380800"/>
    <n v="4.2430878729811113E-2"/>
    <n v="0.99970000000000003"/>
    <n v="1.0019"/>
    <n v="0.997"/>
    <n v="1.0007999999999999"/>
    <n v="1.0138"/>
    <n v="0.94971499999999998"/>
    <n v="0.96252588092681512"/>
    <n v="311500"/>
    <n v="0"/>
    <n v="311500"/>
    <n v="61100"/>
    <n v="372600"/>
    <n v="2.2988505747126436E-2"/>
    <n v="4.9342105263157892E-3"/>
    <n v="1.9983575143717493E-2"/>
  </r>
  <r>
    <n v="2025"/>
    <s v="19120144432    "/>
    <n v="-1.8325814637483102"/>
    <n v="0.16"/>
    <n v="7001"/>
    <s v="2"/>
    <s v="RES"/>
    <s v="MX"/>
    <s v="11"/>
    <s v="259"/>
    <s v="RN"/>
    <x v="5"/>
    <s v="GD"/>
    <n v="20"/>
    <n v="20"/>
    <n v="20"/>
    <n v="2004"/>
    <n v="2004"/>
    <n v="1706"/>
    <m/>
    <m/>
    <m/>
    <m/>
    <n v="0"/>
    <n v="1706"/>
    <n v="2000"/>
    <s v="N"/>
    <n v="1"/>
    <n v="466"/>
    <m/>
    <m/>
    <m/>
    <m/>
    <m/>
    <n v="377587"/>
    <n v="343604"/>
    <n v="0"/>
    <n v="0"/>
    <n v="60800"/>
    <n v="304500"/>
    <n v="365300"/>
    <n v="132535.48800000001"/>
    <n v="88356.992000000013"/>
    <n v="-24051.387388882686"/>
    <n v="32917.849192000001"/>
    <n v="30300.329274"/>
    <n v="-2174.8220000000001"/>
    <n v="106472.10828"/>
    <n v="0"/>
    <n v="0"/>
    <n v="16450.280446000001"/>
    <n v="0"/>
    <n v="316500"/>
    <n v="64300"/>
    <n v="380800"/>
    <n v="4.2430878729811113E-2"/>
    <n v="0.99970000000000003"/>
    <n v="1.0019"/>
    <n v="0.997"/>
    <n v="1.0007999999999999"/>
    <n v="1.0138"/>
    <n v="0.94971499999999998"/>
    <n v="0.96252588092681512"/>
    <n v="311500"/>
    <n v="0"/>
    <n v="311500"/>
    <n v="61100"/>
    <n v="372600"/>
    <n v="2.2988505747126436E-2"/>
    <n v="4.9342105263157892E-3"/>
    <n v="1.9983575143717493E-2"/>
  </r>
  <r>
    <n v="2025"/>
    <s v="19120144510    "/>
    <n v="-1.8325814637483102"/>
    <n v="0.16"/>
    <n v="7121"/>
    <s v="2"/>
    <s v="RES"/>
    <s v="MX"/>
    <s v="11"/>
    <s v="259"/>
    <s v="RN"/>
    <x v="5"/>
    <s v="GD"/>
    <n v="20"/>
    <n v="20"/>
    <n v="20"/>
    <n v="2004"/>
    <n v="2004"/>
    <n v="1706"/>
    <m/>
    <m/>
    <m/>
    <m/>
    <n v="0"/>
    <n v="1706"/>
    <n v="2000"/>
    <s v="N"/>
    <m/>
    <n v="466"/>
    <m/>
    <m/>
    <m/>
    <m/>
    <m/>
    <n v="374519"/>
    <n v="340812"/>
    <n v="0"/>
    <n v="0"/>
    <n v="60800"/>
    <n v="304500"/>
    <n v="365300"/>
    <n v="132535.48800000001"/>
    <n v="88356.992000000013"/>
    <n v="-24051.387388882686"/>
    <n v="32917.849192000001"/>
    <n v="30300.329274"/>
    <n v="-2174.8220000000001"/>
    <n v="106472.10828"/>
    <n v="0"/>
    <n v="0"/>
    <n v="16450.280446000001"/>
    <n v="0"/>
    <n v="316500"/>
    <n v="64300"/>
    <n v="380800"/>
    <n v="4.2430878729811113E-2"/>
    <n v="0.99970000000000003"/>
    <n v="1.0019"/>
    <n v="0.997"/>
    <n v="1.0007999999999999"/>
    <n v="1.0138"/>
    <n v="0.94971499999999998"/>
    <n v="0.96252588092681512"/>
    <n v="311500"/>
    <n v="0"/>
    <n v="311500"/>
    <n v="61100"/>
    <n v="372600"/>
    <n v="2.2988505747126436E-2"/>
    <n v="4.9342105263157892E-3"/>
    <n v="1.9983575143717493E-2"/>
  </r>
  <r>
    <n v="2025"/>
    <s v="19120141421    "/>
    <n v="-1.8325814637483102"/>
    <n v="0.16"/>
    <n v="6960"/>
    <s v="2"/>
    <s v="RES"/>
    <s v="MX"/>
    <s v="11"/>
    <s v="259"/>
    <s v="CO"/>
    <x v="5"/>
    <s v="VG"/>
    <n v="10"/>
    <n v="19"/>
    <n v="19"/>
    <n v="2005"/>
    <n v="2005"/>
    <n v="1116"/>
    <n v="1116"/>
    <m/>
    <m/>
    <m/>
    <n v="0"/>
    <n v="2232"/>
    <n v="2500"/>
    <s v="N"/>
    <m/>
    <n v="440"/>
    <m/>
    <m/>
    <m/>
    <m/>
    <m/>
    <n v="440579"/>
    <n v="400927"/>
    <n v="0"/>
    <n v="0"/>
    <n v="60800"/>
    <n v="350000"/>
    <n v="410800"/>
    <n v="132535.48800000001"/>
    <n v="88356.992000000013"/>
    <n v="-24051.387388882686"/>
    <n v="32917.849192000001"/>
    <n v="50438.379078999998"/>
    <n v="-2066.0808999999999"/>
    <n v="69649.984080000009"/>
    <n v="66491.707427999994"/>
    <n v="0"/>
    <n v="15532.453640000002"/>
    <n v="0"/>
    <n v="365500"/>
    <n v="64300"/>
    <n v="429800"/>
    <n v="4.6251217137293084E-2"/>
    <n v="0.99970000000000003"/>
    <n v="1.0019"/>
    <n v="1.0007999999999999"/>
    <n v="1.0008999999999999"/>
    <n v="0.99080000000000001"/>
    <n v="0.94971499999999998"/>
    <n v="0.94436885958806405"/>
    <n v="358100"/>
    <n v="0"/>
    <n v="358100"/>
    <n v="61100"/>
    <n v="419200"/>
    <n v="2.3142857142857142E-2"/>
    <n v="4.9342105263157892E-3"/>
    <n v="2.0447906523855891E-2"/>
  </r>
  <r>
    <n v="2025"/>
    <s v="19120113481    "/>
    <n v="-1.8325814637483102"/>
    <n v="0.16"/>
    <n v="6968"/>
    <s v="2"/>
    <s v="RES"/>
    <s v="MX"/>
    <s v="11"/>
    <s v="259"/>
    <s v="CO"/>
    <x v="5"/>
    <s v="VG"/>
    <n v="10"/>
    <n v="19"/>
    <n v="19"/>
    <n v="2005"/>
    <n v="2005"/>
    <n v="1116"/>
    <n v="1116"/>
    <m/>
    <m/>
    <m/>
    <n v="0"/>
    <n v="2232"/>
    <n v="2500"/>
    <s v="N"/>
    <n v="1"/>
    <n v="440"/>
    <m/>
    <m/>
    <m/>
    <m/>
    <m/>
    <n v="457241"/>
    <n v="416089"/>
    <n v="0"/>
    <n v="0"/>
    <n v="60800"/>
    <n v="350000"/>
    <n v="410800"/>
    <n v="132535.48800000001"/>
    <n v="88356.992000000013"/>
    <n v="-24051.387388882686"/>
    <n v="32917.849192000001"/>
    <n v="50438.379078999998"/>
    <n v="-2066.0808999999999"/>
    <n v="69649.984080000009"/>
    <n v="66491.707427999994"/>
    <n v="0"/>
    <n v="15532.453640000002"/>
    <n v="0"/>
    <n v="365500"/>
    <n v="64300"/>
    <n v="429800"/>
    <n v="4.6251217137293084E-2"/>
    <n v="0.99970000000000003"/>
    <n v="1.0019"/>
    <n v="1.0007999999999999"/>
    <n v="1.0008999999999999"/>
    <n v="0.99080000000000001"/>
    <n v="0.94971499999999998"/>
    <n v="0.94436885958806405"/>
    <n v="358100"/>
    <n v="0"/>
    <n v="358100"/>
    <n v="61100"/>
    <n v="419200"/>
    <n v="2.3142857142857142E-2"/>
    <n v="4.9342105263157892E-3"/>
    <n v="2.0447906523855891E-2"/>
  </r>
  <r>
    <n v="2025"/>
    <s v="19120141472    "/>
    <n v="-1.8325814637483102"/>
    <n v="0.16"/>
    <n v="7002"/>
    <s v="2"/>
    <s v="RES"/>
    <s v="MX"/>
    <s v="11"/>
    <s v="259"/>
    <s v="CO"/>
    <x v="5"/>
    <s v="VG"/>
    <n v="10"/>
    <n v="19"/>
    <n v="19"/>
    <n v="2005"/>
    <n v="2005"/>
    <n v="1116"/>
    <n v="1116"/>
    <m/>
    <m/>
    <m/>
    <n v="0"/>
    <n v="2232"/>
    <n v="2500"/>
    <s v="N"/>
    <n v="1"/>
    <n v="440"/>
    <m/>
    <m/>
    <m/>
    <m/>
    <m/>
    <n v="460145"/>
    <n v="418732"/>
    <n v="0"/>
    <n v="0"/>
    <n v="60800"/>
    <n v="350000"/>
    <n v="410800"/>
    <n v="132535.48800000001"/>
    <n v="88356.992000000013"/>
    <n v="-24051.387388882686"/>
    <n v="32917.849192000001"/>
    <n v="50438.379078999998"/>
    <n v="-2066.0808999999999"/>
    <n v="69649.984080000009"/>
    <n v="66491.707427999994"/>
    <n v="0"/>
    <n v="15532.453640000002"/>
    <n v="0"/>
    <n v="365500"/>
    <n v="64300"/>
    <n v="429800"/>
    <n v="4.6251217137293084E-2"/>
    <n v="0.99970000000000003"/>
    <n v="1.0019"/>
    <n v="1.0007999999999999"/>
    <n v="1.0008999999999999"/>
    <n v="0.99080000000000001"/>
    <n v="0.94971499999999998"/>
    <n v="0.94436885958806405"/>
    <n v="358100"/>
    <n v="0"/>
    <n v="358100"/>
    <n v="61100"/>
    <n v="419200"/>
    <n v="2.3142857142857142E-2"/>
    <n v="4.9342105263157892E-3"/>
    <n v="2.0447906523855891E-2"/>
  </r>
  <r>
    <n v="2025"/>
    <s v="19120113485    "/>
    <n v="-1.8325814637483102"/>
    <n v="0.16"/>
    <n v="7000"/>
    <s v="2"/>
    <s v="RES"/>
    <s v="MX"/>
    <s v="11"/>
    <s v="259"/>
    <s v="RN"/>
    <x v="4"/>
    <s v="VG"/>
    <n v="10"/>
    <n v="18"/>
    <n v="18"/>
    <n v="2006"/>
    <n v="2006"/>
    <n v="1420"/>
    <m/>
    <m/>
    <m/>
    <m/>
    <n v="0"/>
    <n v="1420"/>
    <n v="1500"/>
    <s v="N"/>
    <m/>
    <n v="400"/>
    <m/>
    <m/>
    <m/>
    <m/>
    <m/>
    <n v="287529"/>
    <n v="264527"/>
    <n v="0"/>
    <n v="0"/>
    <n v="60800"/>
    <n v="305200"/>
    <n v="366000"/>
    <n v="132535.48800000001"/>
    <n v="88356.992000000013"/>
    <n v="-24051.387388882686"/>
    <n v="37154.252388000001"/>
    <n v="50438.379078999998"/>
    <n v="-1957.3398"/>
    <n v="88622.739600000001"/>
    <n v="0"/>
    <n v="0"/>
    <n v="14120.412400000001"/>
    <n v="0"/>
    <n v="320900"/>
    <n v="64300"/>
    <n v="385200"/>
    <n v="5.2459016393442623E-2"/>
    <n v="0.99970000000000003"/>
    <n v="0.99819999999999998"/>
    <n v="1.0007999999999999"/>
    <n v="0.99519999999999997"/>
    <n v="0.99080000000000001"/>
    <n v="0.94971499999999998"/>
    <n v="0.93552311998124726"/>
    <n v="312400"/>
    <n v="0"/>
    <n v="312400"/>
    <n v="61100"/>
    <n v="373500"/>
    <n v="2.3591087811271297E-2"/>
    <n v="4.9342105263157892E-3"/>
    <n v="2.0491803278688523E-2"/>
  </r>
  <r>
    <n v="2025"/>
    <s v="19120113511    "/>
    <n v="-1.8325814637483102"/>
    <n v="0.16"/>
    <n v="7096"/>
    <s v="2"/>
    <s v="RES"/>
    <s v="MX"/>
    <s v="11"/>
    <s v="259"/>
    <s v="CP"/>
    <x v="4"/>
    <s v="GD"/>
    <n v="10"/>
    <n v="18"/>
    <n v="18"/>
    <n v="2006"/>
    <n v="2006"/>
    <n v="1420"/>
    <m/>
    <m/>
    <m/>
    <m/>
    <n v="0"/>
    <n v="1420"/>
    <n v="1500"/>
    <s v="N"/>
    <m/>
    <n v="400"/>
    <m/>
    <m/>
    <m/>
    <m/>
    <m/>
    <n v="274378"/>
    <n v="249684"/>
    <n v="0"/>
    <n v="0"/>
    <n v="60800"/>
    <n v="284900"/>
    <n v="345700"/>
    <n v="132535.48800000001"/>
    <n v="88356.992000000013"/>
    <n v="-24051.387388882686"/>
    <n v="37154.252388000001"/>
    <n v="30300.329274"/>
    <n v="-1957.3398"/>
    <n v="88622.739600000001"/>
    <n v="0"/>
    <n v="0"/>
    <n v="14120.412400000001"/>
    <n v="0"/>
    <n v="300800"/>
    <n v="64300"/>
    <n v="365100"/>
    <n v="5.6118021405843217E-2"/>
    <n v="0.99970000000000003"/>
    <n v="0.99819999999999998"/>
    <n v="0.997"/>
    <n v="0.99519999999999997"/>
    <n v="0.99080000000000001"/>
    <n v="0.94971499999999998"/>
    <n v="0.93197097384222971"/>
    <n v="291800"/>
    <n v="0"/>
    <n v="291800"/>
    <n v="61100"/>
    <n v="352900"/>
    <n v="2.4219024219024218E-2"/>
    <n v="4.9342105263157892E-3"/>
    <n v="2.0827306913508821E-2"/>
  </r>
  <r>
    <n v="2025"/>
    <s v="19120113607    "/>
    <n v="-1.8325814637483102"/>
    <n v="0.16"/>
    <n v="7077"/>
    <s v="2"/>
    <s v="RES"/>
    <s v="MX"/>
    <s v="11"/>
    <s v="259"/>
    <s v="RN"/>
    <x v="5"/>
    <s v="VG"/>
    <n v="10"/>
    <n v="16"/>
    <n v="16"/>
    <n v="2008"/>
    <n v="2008"/>
    <n v="1732"/>
    <m/>
    <m/>
    <m/>
    <m/>
    <n v="0"/>
    <n v="1732"/>
    <n v="2000"/>
    <s v="N"/>
    <m/>
    <n v="440"/>
    <m/>
    <m/>
    <m/>
    <m/>
    <m/>
    <n v="375524"/>
    <n v="349237"/>
    <n v="0"/>
    <n v="0"/>
    <n v="60800"/>
    <n v="322200"/>
    <n v="383000"/>
    <n v="132535.48800000001"/>
    <n v="88356.992000000013"/>
    <n v="-24051.387388882686"/>
    <n v="32917.849192000001"/>
    <n v="50438.379078999998"/>
    <n v="-1739.8576"/>
    <n v="108094.77816"/>
    <n v="0"/>
    <n v="0"/>
    <n v="15532.453640000002"/>
    <n v="0"/>
    <n v="337800"/>
    <n v="64300"/>
    <n v="402100"/>
    <n v="4.9869451697127934E-2"/>
    <n v="0.99970000000000003"/>
    <n v="1.0019"/>
    <n v="1.0007999999999999"/>
    <n v="1.0007999999999999"/>
    <n v="0.99080000000000001"/>
    <n v="0.94971499999999998"/>
    <n v="0.94427450761887755"/>
    <n v="330400"/>
    <n v="0"/>
    <n v="330400"/>
    <n v="61100"/>
    <n v="391500"/>
    <n v="2.5450031036623216E-2"/>
    <n v="4.9342105263157892E-3"/>
    <n v="2.2193211488250653E-2"/>
  </r>
  <r>
    <n v="2025"/>
    <s v="19120131521    "/>
    <n v="-1.8325814637483102"/>
    <n v="0.16"/>
    <n v="7060"/>
    <s v="2"/>
    <s v="RES"/>
    <s v="MX"/>
    <s v="11"/>
    <s v="259"/>
    <s v="RN"/>
    <x v="5"/>
    <s v="AV"/>
    <n v="30"/>
    <n v="30"/>
    <n v="30"/>
    <n v="1994"/>
    <n v="1994"/>
    <n v="1380"/>
    <m/>
    <m/>
    <m/>
    <m/>
    <n v="0"/>
    <n v="1380"/>
    <n v="1500"/>
    <s v="N"/>
    <m/>
    <n v="380"/>
    <m/>
    <m/>
    <m/>
    <m/>
    <m/>
    <n v="311052"/>
    <n v="264394"/>
    <n v="0"/>
    <n v="0"/>
    <n v="60800"/>
    <n v="260100"/>
    <n v="320900"/>
    <n v="132535.48800000001"/>
    <n v="88356.992000000013"/>
    <n v="-24051.387388882686"/>
    <n v="32917.849192000001"/>
    <n v="17761.121909000001"/>
    <n v="-3262.2330000000002"/>
    <n v="86126.324399999998"/>
    <n v="0"/>
    <n v="0"/>
    <n v="13414.39178"/>
    <n v="0"/>
    <n v="279500"/>
    <n v="64300"/>
    <n v="343800"/>
    <n v="7.1361794951698351E-2"/>
    <n v="0.99970000000000003"/>
    <n v="1.0019"/>
    <n v="0.99680000000000002"/>
    <n v="0.99519999999999997"/>
    <n v="0.95920000000000005"/>
    <n v="0.94971499999999998"/>
    <n v="0.90540990390951048"/>
    <n v="267000"/>
    <n v="0"/>
    <n v="267000"/>
    <n v="61100"/>
    <n v="328100"/>
    <n v="2.6528258362168398E-2"/>
    <n v="4.9342105263157892E-3"/>
    <n v="2.2436896229354939E-2"/>
  </r>
  <r>
    <n v="2025"/>
    <s v="19120113457    "/>
    <n v="-1.8325814637483102"/>
    <n v="0.16"/>
    <n v="6805"/>
    <s v="2"/>
    <s v="RES"/>
    <s v="MX"/>
    <s v="11"/>
    <s v="259"/>
    <s v="RN"/>
    <x v="5"/>
    <s v="AV"/>
    <n v="20"/>
    <n v="20"/>
    <n v="20"/>
    <n v="2004"/>
    <n v="2004"/>
    <n v="1706"/>
    <m/>
    <m/>
    <m/>
    <m/>
    <n v="0"/>
    <n v="1706"/>
    <n v="2000"/>
    <s v="N"/>
    <m/>
    <n v="466"/>
    <m/>
    <m/>
    <m/>
    <m/>
    <m/>
    <n v="371873"/>
    <n v="338404"/>
    <n v="0"/>
    <n v="0"/>
    <n v="60800"/>
    <n v="291300"/>
    <n v="352100"/>
    <n v="132535.48800000001"/>
    <n v="88356.992000000013"/>
    <n v="-24051.387388882686"/>
    <n v="32917.849192000001"/>
    <n v="17761.121909000001"/>
    <n v="-2174.8220000000001"/>
    <n v="106472.10828"/>
    <n v="0"/>
    <n v="0"/>
    <n v="16450.280446000001"/>
    <n v="0"/>
    <n v="304000"/>
    <n v="64300"/>
    <n v="368300"/>
    <n v="4.6009656347628512E-2"/>
    <n v="0.99970000000000003"/>
    <n v="1.0019"/>
    <n v="0.99680000000000002"/>
    <n v="1.0007999999999999"/>
    <n v="1.0138"/>
    <n v="0.94971499999999998"/>
    <n v="0.96233279649734105"/>
    <n v="299000"/>
    <n v="0"/>
    <n v="299000"/>
    <n v="61100"/>
    <n v="360100"/>
    <n v="2.6433230346721594E-2"/>
    <n v="4.9342105263157892E-3"/>
    <n v="2.2720817949446179E-2"/>
  </r>
  <r>
    <n v="2025"/>
    <s v="19120141549    "/>
    <n v="-1.8325814637483102"/>
    <n v="0.16"/>
    <n v="7154"/>
    <s v="2"/>
    <s v="RES"/>
    <s v="MX"/>
    <s v="11"/>
    <s v="259"/>
    <s v="RN"/>
    <x v="5"/>
    <s v="VG"/>
    <n v="10"/>
    <n v="19"/>
    <n v="19"/>
    <n v="2005"/>
    <n v="2005"/>
    <n v="1706"/>
    <m/>
    <m/>
    <m/>
    <m/>
    <n v="0"/>
    <n v="1706"/>
    <n v="2000"/>
    <s v="N"/>
    <m/>
    <n v="466"/>
    <m/>
    <m/>
    <m/>
    <m/>
    <m/>
    <n v="373267"/>
    <n v="339673"/>
    <n v="0"/>
    <n v="0"/>
    <n v="60800"/>
    <n v="321000"/>
    <n v="381800"/>
    <n v="132535.48800000001"/>
    <n v="88356.992000000013"/>
    <n v="-24051.387388882686"/>
    <n v="32917.849192000001"/>
    <n v="50438.379078999998"/>
    <n v="-2066.0808999999999"/>
    <n v="106472.10828"/>
    <n v="0"/>
    <n v="0"/>
    <n v="16450.280446000001"/>
    <n v="0"/>
    <n v="336700"/>
    <n v="64300"/>
    <n v="401000"/>
    <n v="5.0288108957569411E-2"/>
    <n v="0.99970000000000003"/>
    <n v="1.0019"/>
    <n v="1.0007999999999999"/>
    <n v="1.0007999999999999"/>
    <n v="0.99080000000000001"/>
    <n v="0.94971499999999998"/>
    <n v="0.94427450761887755"/>
    <n v="329400"/>
    <n v="0"/>
    <n v="329400"/>
    <n v="61100"/>
    <n v="390500"/>
    <n v="2.6168224299065422E-2"/>
    <n v="4.9342105263157892E-3"/>
    <n v="2.2786799371398637E-2"/>
  </r>
  <r>
    <n v="2025"/>
    <s v="19120144472    "/>
    <n v="-1.8325814637483102"/>
    <n v="0.16"/>
    <n v="7019"/>
    <s v="2"/>
    <s v="RES"/>
    <s v="MX"/>
    <s v="11"/>
    <s v="259"/>
    <s v="RN"/>
    <x v="5"/>
    <s v="GD"/>
    <n v="20"/>
    <n v="20"/>
    <n v="20"/>
    <n v="2004"/>
    <n v="2004"/>
    <n v="1706"/>
    <m/>
    <m/>
    <m/>
    <m/>
    <n v="0"/>
    <n v="1706"/>
    <n v="2000"/>
    <s v="N"/>
    <m/>
    <n v="706"/>
    <m/>
    <m/>
    <m/>
    <m/>
    <m/>
    <n v="388351"/>
    <n v="353399"/>
    <n v="0"/>
    <n v="0"/>
    <n v="60800"/>
    <n v="311500"/>
    <n v="372300"/>
    <n v="132535.48800000001"/>
    <n v="88356.992000000013"/>
    <n v="-24051.387388882686"/>
    <n v="32917.849192000001"/>
    <n v="30300.329274"/>
    <n v="-2174.8220000000001"/>
    <n v="106472.10828"/>
    <n v="0"/>
    <n v="0"/>
    <n v="24922.527886"/>
    <n v="0"/>
    <n v="325000"/>
    <n v="64300"/>
    <n v="389300"/>
    <n v="4.5662100456621002E-2"/>
    <n v="0.99970000000000003"/>
    <n v="1.0019"/>
    <n v="0.997"/>
    <n v="1.0007999999999999"/>
    <n v="1.0138"/>
    <n v="0.94971499999999998"/>
    <n v="0.96252588092681512"/>
    <n v="320000"/>
    <n v="0"/>
    <n v="320000"/>
    <n v="61100"/>
    <n v="381100"/>
    <n v="2.7287319422150885E-2"/>
    <n v="4.9342105263157892E-3"/>
    <n v="2.3636852001074401E-2"/>
  </r>
  <r>
    <n v="2025"/>
    <s v="19120144511    "/>
    <n v="-1.8325814637483102"/>
    <n v="0.16"/>
    <n v="7017"/>
    <s v="2"/>
    <s v="RES"/>
    <s v="MX"/>
    <s v="11"/>
    <s v="259"/>
    <s v="CO"/>
    <x v="5"/>
    <s v="VG"/>
    <n v="20"/>
    <n v="20"/>
    <n v="20"/>
    <n v="2004"/>
    <n v="2004"/>
    <n v="1116"/>
    <n v="1116"/>
    <m/>
    <m/>
    <m/>
    <n v="0"/>
    <n v="2232"/>
    <n v="2500"/>
    <s v="N"/>
    <m/>
    <n v="704"/>
    <m/>
    <m/>
    <m/>
    <m/>
    <m/>
    <n v="450905"/>
    <n v="414833"/>
    <n v="0"/>
    <n v="0"/>
    <n v="60800"/>
    <n v="360500"/>
    <n v="421300"/>
    <n v="132535.48800000001"/>
    <n v="88356.992000000013"/>
    <n v="-24051.387388882686"/>
    <n v="32917.849192000001"/>
    <n v="50438.379078999998"/>
    <n v="-2174.8220000000001"/>
    <n v="69649.984080000009"/>
    <n v="66491.707427999994"/>
    <n v="0"/>
    <n v="24851.925824000002"/>
    <n v="0"/>
    <n v="374700"/>
    <n v="64300"/>
    <n v="439000"/>
    <n v="4.2012817469736528E-2"/>
    <n v="0.99970000000000003"/>
    <n v="1.0019"/>
    <n v="1.0007999999999999"/>
    <n v="1.0008999999999999"/>
    <n v="1.0138"/>
    <n v="0.94971499999999998"/>
    <n v="0.9662910273015537"/>
    <n v="370200"/>
    <n v="0"/>
    <n v="370200"/>
    <n v="61100"/>
    <n v="431300"/>
    <n v="2.6907073509015257E-2"/>
    <n v="4.9342105263157892E-3"/>
    <n v="2.3736055067647758E-2"/>
  </r>
  <r>
    <n v="2025"/>
    <s v="19120144478    "/>
    <n v="-1.8325814637483102"/>
    <n v="0.16"/>
    <n v="7009"/>
    <s v="2"/>
    <s v="RES"/>
    <s v="MX"/>
    <s v="11"/>
    <s v="259"/>
    <s v="RN"/>
    <x v="4"/>
    <s v="VG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75531"/>
    <n v="253489"/>
    <n v="0"/>
    <n v="0"/>
    <n v="60800"/>
    <n v="305100"/>
    <n v="365900"/>
    <n v="132535.48800000001"/>
    <n v="88356.992000000013"/>
    <n v="-24051.387388882686"/>
    <n v="37154.252388000001"/>
    <n v="50438.379078999998"/>
    <n v="-2174.8220000000001"/>
    <n v="86126.324399999998"/>
    <n v="0"/>
    <n v="0"/>
    <n v="15108.841268"/>
    <n v="0"/>
    <n v="319200"/>
    <n v="64300"/>
    <n v="383500"/>
    <n v="4.8100573927302541E-2"/>
    <n v="0.99970000000000003"/>
    <n v="0.99819999999999998"/>
    <n v="1.0007999999999999"/>
    <n v="0.99519999999999997"/>
    <n v="1.0138"/>
    <n v="0.94971499999999998"/>
    <n v="0.95723994654520439"/>
    <n v="313500"/>
    <n v="0"/>
    <n v="313500"/>
    <n v="61100"/>
    <n v="374600"/>
    <n v="2.7531956735496559E-2"/>
    <n v="4.9342105263157892E-3"/>
    <n v="2.3776988248155235E-2"/>
  </r>
  <r>
    <n v="2025"/>
    <s v="19120144488    "/>
    <n v="-1.8325814637483102"/>
    <n v="0.16"/>
    <n v="7010"/>
    <s v="2"/>
    <s v="RES"/>
    <s v="MX"/>
    <s v="11"/>
    <s v="259"/>
    <s v="RN"/>
    <x v="4"/>
    <s v="VG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75531"/>
    <n v="253489"/>
    <n v="0"/>
    <n v="0"/>
    <n v="60800"/>
    <n v="305100"/>
    <n v="365900"/>
    <n v="132535.48800000001"/>
    <n v="88356.992000000013"/>
    <n v="-24051.387388882686"/>
    <n v="37154.252388000001"/>
    <n v="50438.379078999998"/>
    <n v="-2174.8220000000001"/>
    <n v="86126.324399999998"/>
    <n v="0"/>
    <n v="0"/>
    <n v="15108.841268"/>
    <n v="0"/>
    <n v="319200"/>
    <n v="64300"/>
    <n v="383500"/>
    <n v="4.8100573927302541E-2"/>
    <n v="0.99970000000000003"/>
    <n v="0.99819999999999998"/>
    <n v="1.0007999999999999"/>
    <n v="0.99519999999999997"/>
    <n v="1.0138"/>
    <n v="0.94971499999999998"/>
    <n v="0.95723994654520439"/>
    <n v="313500"/>
    <n v="0"/>
    <n v="313500"/>
    <n v="61100"/>
    <n v="374600"/>
    <n v="2.7531956735496559E-2"/>
    <n v="4.9342105263157892E-3"/>
    <n v="2.3776988248155235E-2"/>
  </r>
  <r>
    <n v="2025"/>
    <s v="19120144487    "/>
    <n v="-1.8325814637483102"/>
    <n v="0.16"/>
    <n v="7011"/>
    <s v="2"/>
    <s v="RES"/>
    <s v="MX"/>
    <s v="11"/>
    <s v="259"/>
    <s v="RN"/>
    <x v="4"/>
    <s v="VG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75531"/>
    <n v="253489"/>
    <n v="0"/>
    <n v="0"/>
    <n v="60800"/>
    <n v="305100"/>
    <n v="365900"/>
    <n v="132535.48800000001"/>
    <n v="88356.992000000013"/>
    <n v="-24051.387388882686"/>
    <n v="37154.252388000001"/>
    <n v="50438.379078999998"/>
    <n v="-2174.8220000000001"/>
    <n v="86126.324399999998"/>
    <n v="0"/>
    <n v="0"/>
    <n v="15108.841268"/>
    <n v="0"/>
    <n v="319200"/>
    <n v="64300"/>
    <n v="383500"/>
    <n v="4.8100573927302541E-2"/>
    <n v="0.99970000000000003"/>
    <n v="0.99819999999999998"/>
    <n v="1.0007999999999999"/>
    <n v="0.99519999999999997"/>
    <n v="1.0138"/>
    <n v="0.94971499999999998"/>
    <n v="0.95723994654520439"/>
    <n v="313500"/>
    <n v="0"/>
    <n v="313500"/>
    <n v="61100"/>
    <n v="374600"/>
    <n v="2.7531956735496559E-2"/>
    <n v="4.9342105263157892E-3"/>
    <n v="2.3776988248155235E-2"/>
  </r>
  <r>
    <n v="2025"/>
    <s v="19120144512    "/>
    <n v="-1.8325814637483102"/>
    <n v="0.16"/>
    <n v="7013"/>
    <s v="2"/>
    <s v="RES"/>
    <s v="MX"/>
    <s v="11"/>
    <s v="259"/>
    <s v="RN"/>
    <x v="4"/>
    <s v="VG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75531"/>
    <n v="253489"/>
    <n v="0"/>
    <n v="0"/>
    <n v="60800"/>
    <n v="305100"/>
    <n v="365900"/>
    <n v="132535.48800000001"/>
    <n v="88356.992000000013"/>
    <n v="-24051.387388882686"/>
    <n v="37154.252388000001"/>
    <n v="50438.379078999998"/>
    <n v="-2174.8220000000001"/>
    <n v="86126.324399999998"/>
    <n v="0"/>
    <n v="0"/>
    <n v="15108.841268"/>
    <n v="0"/>
    <n v="319200"/>
    <n v="64300"/>
    <n v="383500"/>
    <n v="4.8100573927302541E-2"/>
    <n v="0.99970000000000003"/>
    <n v="0.99819999999999998"/>
    <n v="1.0007999999999999"/>
    <n v="0.99519999999999997"/>
    <n v="1.0138"/>
    <n v="0.94971499999999998"/>
    <n v="0.95723994654520439"/>
    <n v="313500"/>
    <n v="0"/>
    <n v="313500"/>
    <n v="61100"/>
    <n v="374600"/>
    <n v="2.7531956735496559E-2"/>
    <n v="4.9342105263157892E-3"/>
    <n v="2.3776988248155235E-2"/>
  </r>
  <r>
    <n v="2025"/>
    <s v="19120144513    "/>
    <n v="-1.8325814637483102"/>
    <n v="0.16"/>
    <n v="7013"/>
    <s v="2"/>
    <s v="RES"/>
    <s v="MX"/>
    <s v="11"/>
    <s v="259"/>
    <s v="RN"/>
    <x v="4"/>
    <s v="VG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75531"/>
    <n v="253489"/>
    <n v="0"/>
    <n v="0"/>
    <n v="60800"/>
    <n v="305100"/>
    <n v="365900"/>
    <n v="132535.48800000001"/>
    <n v="88356.992000000013"/>
    <n v="-24051.387388882686"/>
    <n v="37154.252388000001"/>
    <n v="50438.379078999998"/>
    <n v="-2174.8220000000001"/>
    <n v="86126.324399999998"/>
    <n v="0"/>
    <n v="0"/>
    <n v="15108.841268"/>
    <n v="0"/>
    <n v="319200"/>
    <n v="64300"/>
    <n v="383500"/>
    <n v="4.8100573927302541E-2"/>
    <n v="0.99970000000000003"/>
    <n v="0.99819999999999998"/>
    <n v="1.0007999999999999"/>
    <n v="0.99519999999999997"/>
    <n v="1.0138"/>
    <n v="0.94971499999999998"/>
    <n v="0.95723994654520439"/>
    <n v="313500"/>
    <n v="0"/>
    <n v="313500"/>
    <n v="61100"/>
    <n v="374600"/>
    <n v="2.7531956735496559E-2"/>
    <n v="4.9342105263157892E-3"/>
    <n v="2.3776988248155235E-2"/>
  </r>
  <r>
    <n v="2025"/>
    <s v="19120144515    "/>
    <n v="-1.8325814637483102"/>
    <n v="0.16"/>
    <n v="7014"/>
    <s v="2"/>
    <s v="RES"/>
    <s v="MX"/>
    <s v="11"/>
    <s v="259"/>
    <s v="RN"/>
    <x v="4"/>
    <s v="VG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75531"/>
    <n v="253489"/>
    <n v="0"/>
    <n v="0"/>
    <n v="60800"/>
    <n v="305100"/>
    <n v="365900"/>
    <n v="132535.48800000001"/>
    <n v="88356.992000000013"/>
    <n v="-24051.387388882686"/>
    <n v="37154.252388000001"/>
    <n v="50438.379078999998"/>
    <n v="-2174.8220000000001"/>
    <n v="86126.324399999998"/>
    <n v="0"/>
    <n v="0"/>
    <n v="15108.841268"/>
    <n v="0"/>
    <n v="319200"/>
    <n v="64300"/>
    <n v="383500"/>
    <n v="4.8100573927302541E-2"/>
    <n v="0.99970000000000003"/>
    <n v="0.99819999999999998"/>
    <n v="1.0007999999999999"/>
    <n v="0.99519999999999997"/>
    <n v="1.0138"/>
    <n v="0.94971499999999998"/>
    <n v="0.95723994654520439"/>
    <n v="313500"/>
    <n v="0"/>
    <n v="313500"/>
    <n v="61100"/>
    <n v="374600"/>
    <n v="2.7531956735496559E-2"/>
    <n v="4.9342105263157892E-3"/>
    <n v="2.3776988248155235E-2"/>
  </r>
  <r>
    <n v="2025"/>
    <s v="19120144485    "/>
    <n v="-1.8325814637483102"/>
    <n v="0.16"/>
    <n v="7015"/>
    <s v="2"/>
    <s v="RES"/>
    <s v="MX"/>
    <s v="11"/>
    <s v="259"/>
    <s v="RN"/>
    <x v="4"/>
    <s v="VG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75531"/>
    <n v="253489"/>
    <n v="0"/>
    <n v="0"/>
    <n v="60800"/>
    <n v="305100"/>
    <n v="365900"/>
    <n v="132535.48800000001"/>
    <n v="88356.992000000013"/>
    <n v="-24051.387388882686"/>
    <n v="37154.252388000001"/>
    <n v="50438.379078999998"/>
    <n v="-2174.8220000000001"/>
    <n v="86126.324399999998"/>
    <n v="0"/>
    <n v="0"/>
    <n v="15108.841268"/>
    <n v="0"/>
    <n v="319200"/>
    <n v="64300"/>
    <n v="383500"/>
    <n v="4.8100573927302541E-2"/>
    <n v="0.99970000000000003"/>
    <n v="0.99819999999999998"/>
    <n v="1.0007999999999999"/>
    <n v="0.99519999999999997"/>
    <n v="1.0138"/>
    <n v="0.94971499999999998"/>
    <n v="0.95723994654520439"/>
    <n v="313500"/>
    <n v="0"/>
    <n v="313500"/>
    <n v="61100"/>
    <n v="374600"/>
    <n v="2.7531956735496559E-2"/>
    <n v="4.9342105263157892E-3"/>
    <n v="2.3776988248155235E-2"/>
  </r>
  <r>
    <n v="2025"/>
    <s v="19120144422    "/>
    <n v="-1.8325814637483102"/>
    <n v="0.16"/>
    <n v="7075"/>
    <s v="2"/>
    <s v="RES"/>
    <s v="MX"/>
    <s v="11"/>
    <s v="259"/>
    <s v="RN"/>
    <x v="4"/>
    <s v="VG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85708"/>
    <n v="262851"/>
    <n v="0"/>
    <n v="0"/>
    <n v="60800"/>
    <n v="305100"/>
    <n v="365900"/>
    <n v="132535.48800000001"/>
    <n v="88356.992000000013"/>
    <n v="-24051.387388882686"/>
    <n v="37154.252388000001"/>
    <n v="50438.379078999998"/>
    <n v="-2174.8220000000001"/>
    <n v="86126.324399999998"/>
    <n v="0"/>
    <n v="0"/>
    <n v="15108.841268"/>
    <n v="0"/>
    <n v="319200"/>
    <n v="64300"/>
    <n v="383500"/>
    <n v="4.8100573927302541E-2"/>
    <n v="0.99970000000000003"/>
    <n v="0.99819999999999998"/>
    <n v="1.0007999999999999"/>
    <n v="0.99519999999999997"/>
    <n v="1.0138"/>
    <n v="0.94971499999999998"/>
    <n v="0.95723994654520439"/>
    <n v="313500"/>
    <n v="0"/>
    <n v="313500"/>
    <n v="61100"/>
    <n v="374600"/>
    <n v="2.7531956735496559E-2"/>
    <n v="4.9342105263157892E-3"/>
    <n v="2.3776988248155235E-2"/>
  </r>
  <r>
    <n v="2025"/>
    <s v="19120144548    "/>
    <n v="-1.8325814637483102"/>
    <n v="0.16"/>
    <n v="7123"/>
    <s v="2"/>
    <s v="RES"/>
    <s v="MX"/>
    <s v="11"/>
    <s v="259"/>
    <s v="RN"/>
    <x v="4"/>
    <s v="VG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75531"/>
    <n v="253489"/>
    <n v="0"/>
    <n v="0"/>
    <n v="60800"/>
    <n v="305100"/>
    <n v="365900"/>
    <n v="132535.48800000001"/>
    <n v="88356.992000000013"/>
    <n v="-24051.387388882686"/>
    <n v="37154.252388000001"/>
    <n v="50438.379078999998"/>
    <n v="-2174.8220000000001"/>
    <n v="86126.324399999998"/>
    <n v="0"/>
    <n v="0"/>
    <n v="15108.841268"/>
    <n v="0"/>
    <n v="319200"/>
    <n v="64300"/>
    <n v="383500"/>
    <n v="4.8100573927302541E-2"/>
    <n v="0.99970000000000003"/>
    <n v="0.99819999999999998"/>
    <n v="1.0007999999999999"/>
    <n v="0.99519999999999997"/>
    <n v="1.0138"/>
    <n v="0.94971499999999998"/>
    <n v="0.95723994654520439"/>
    <n v="313500"/>
    <n v="0"/>
    <n v="313500"/>
    <n v="61100"/>
    <n v="374600"/>
    <n v="2.7531956735496559E-2"/>
    <n v="4.9342105263157892E-3"/>
    <n v="2.3776988248155235E-2"/>
  </r>
  <r>
    <n v="2025"/>
    <s v="19120144549    "/>
    <n v="-1.8325814637483102"/>
    <n v="0.16"/>
    <n v="7134"/>
    <s v="2"/>
    <s v="RES"/>
    <s v="MX"/>
    <s v="11"/>
    <s v="259"/>
    <s v="CO"/>
    <x v="4"/>
    <s v="VG"/>
    <n v="20"/>
    <n v="20"/>
    <n v="20"/>
    <n v="2004"/>
    <n v="2004"/>
    <n v="1040"/>
    <n v="1040"/>
    <m/>
    <m/>
    <m/>
    <n v="0"/>
    <n v="2080"/>
    <n v="2500"/>
    <s v="N"/>
    <n v="1"/>
    <n v="440"/>
    <m/>
    <m/>
    <m/>
    <m/>
    <m/>
    <n v="371690"/>
    <n v="341955"/>
    <n v="0"/>
    <n v="0"/>
    <n v="60800"/>
    <n v="346000"/>
    <n v="406800"/>
    <n v="132535.48800000001"/>
    <n v="88356.992000000013"/>
    <n v="-24051.387388882686"/>
    <n v="37154.252388000001"/>
    <n v="50438.379078999998"/>
    <n v="-2174.8220000000001"/>
    <n v="64906.7952"/>
    <n v="61963.598319999997"/>
    <n v="0"/>
    <n v="15532.453640000002"/>
    <n v="0"/>
    <n v="360400"/>
    <n v="64300"/>
    <n v="424700"/>
    <n v="4.4001966568338248E-2"/>
    <n v="0.99970000000000003"/>
    <n v="0.99819999999999998"/>
    <n v="1.0007999999999999"/>
    <n v="1.0008999999999999"/>
    <n v="1.0138"/>
    <n v="0.94971499999999998"/>
    <n v="0.962722530644187"/>
    <n v="355400"/>
    <n v="0"/>
    <n v="355400"/>
    <n v="61100"/>
    <n v="416500"/>
    <n v="2.7167630057803469E-2"/>
    <n v="4.9342105263157892E-3"/>
    <n v="2.384464110127827E-2"/>
  </r>
  <r>
    <n v="2025"/>
    <s v="19120113569    "/>
    <n v="-1.8325814637483102"/>
    <n v="0.16"/>
    <n v="7032"/>
    <s v="2"/>
    <s v="RES"/>
    <s v="MX"/>
    <s v="11"/>
    <s v="259"/>
    <s v="RN"/>
    <x v="5"/>
    <s v="VG"/>
    <n v="10"/>
    <n v="17"/>
    <n v="17"/>
    <n v="2007"/>
    <n v="2007"/>
    <n v="1732"/>
    <m/>
    <m/>
    <m/>
    <m/>
    <n v="0"/>
    <n v="1732"/>
    <n v="2000"/>
    <s v="N"/>
    <m/>
    <n v="440"/>
    <m/>
    <m/>
    <m/>
    <m/>
    <m/>
    <n v="379145"/>
    <n v="352605"/>
    <n v="0"/>
    <n v="0"/>
    <n v="60800"/>
    <n v="321300"/>
    <n v="382100"/>
    <n v="132535.48800000001"/>
    <n v="88356.992000000013"/>
    <n v="-24051.387388882686"/>
    <n v="32917.849192000001"/>
    <n v="50438.379078999998"/>
    <n v="-1848.5987"/>
    <n v="108094.77816"/>
    <n v="0"/>
    <n v="0"/>
    <n v="15532.453640000002"/>
    <n v="0"/>
    <n v="337700"/>
    <n v="64300"/>
    <n v="402000"/>
    <n v="5.2080607170897672E-2"/>
    <n v="0.99970000000000003"/>
    <n v="1.0019"/>
    <n v="1.0007999999999999"/>
    <n v="1.0007999999999999"/>
    <n v="0.99080000000000001"/>
    <n v="0.94971499999999998"/>
    <n v="0.94427450761887755"/>
    <n v="330300"/>
    <n v="0"/>
    <n v="330300"/>
    <n v="61100"/>
    <n v="391400"/>
    <n v="2.8011204481792718E-2"/>
    <n v="4.9342105263157892E-3"/>
    <n v="2.4339178225595393E-2"/>
  </r>
  <r>
    <n v="2025"/>
    <s v="19120113595    "/>
    <n v="-1.8325814637483102"/>
    <n v="0.16"/>
    <n v="7078"/>
    <s v="2"/>
    <s v="RES"/>
    <s v="MX"/>
    <s v="11"/>
    <s v="259"/>
    <s v="RN"/>
    <x v="5"/>
    <s v="VG"/>
    <n v="10"/>
    <n v="17"/>
    <n v="17"/>
    <n v="2007"/>
    <n v="2007"/>
    <n v="1732"/>
    <m/>
    <m/>
    <m/>
    <m/>
    <n v="0"/>
    <n v="1732"/>
    <n v="2000"/>
    <s v="N"/>
    <m/>
    <n v="440"/>
    <m/>
    <m/>
    <m/>
    <m/>
    <m/>
    <n v="378588"/>
    <n v="352087"/>
    <n v="0"/>
    <n v="0"/>
    <n v="60800"/>
    <n v="321300"/>
    <n v="382100"/>
    <n v="132535.48800000001"/>
    <n v="88356.992000000013"/>
    <n v="-24051.387388882686"/>
    <n v="32917.849192000001"/>
    <n v="50438.379078999998"/>
    <n v="-1848.5987"/>
    <n v="108094.77816"/>
    <n v="0"/>
    <n v="0"/>
    <n v="15532.453640000002"/>
    <n v="0"/>
    <n v="337700"/>
    <n v="64300"/>
    <n v="402000"/>
    <n v="5.2080607170897672E-2"/>
    <n v="0.99970000000000003"/>
    <n v="1.0019"/>
    <n v="1.0007999999999999"/>
    <n v="1.0007999999999999"/>
    <n v="0.99080000000000001"/>
    <n v="0.94971499999999998"/>
    <n v="0.94427450761887755"/>
    <n v="330300"/>
    <n v="0"/>
    <n v="330300"/>
    <n v="61100"/>
    <n v="391400"/>
    <n v="2.8011204481792718E-2"/>
    <n v="4.9342105263157892E-3"/>
    <n v="2.4339178225595393E-2"/>
  </r>
  <r>
    <n v="2025"/>
    <s v="19120131522    "/>
    <n v="-1.8325814637483102"/>
    <n v="0.16"/>
    <n v="7038"/>
    <s v="2"/>
    <s v="RES"/>
    <s v="MX"/>
    <s v="11"/>
    <s v="259"/>
    <s v="RN"/>
    <x v="5"/>
    <s v="GD"/>
    <n v="30"/>
    <n v="30"/>
    <n v="30"/>
    <n v="1994"/>
    <n v="1994"/>
    <n v="1380"/>
    <m/>
    <m/>
    <m/>
    <m/>
    <n v="0"/>
    <n v="1380"/>
    <n v="1500"/>
    <s v="N"/>
    <m/>
    <n v="380"/>
    <m/>
    <m/>
    <m/>
    <m/>
    <m/>
    <n v="334162"/>
    <n v="287379"/>
    <n v="0"/>
    <n v="0"/>
    <n v="60800"/>
    <n v="271600"/>
    <n v="332400"/>
    <n v="132535.48800000001"/>
    <n v="88356.992000000013"/>
    <n v="-24051.387388882686"/>
    <n v="32917.849192000001"/>
    <n v="30300.329274"/>
    <n v="-3262.2330000000002"/>
    <n v="86126.324399999998"/>
    <n v="0"/>
    <n v="0"/>
    <n v="13414.39178"/>
    <n v="0"/>
    <n v="292000"/>
    <n v="64300"/>
    <n v="356300"/>
    <n v="7.1901323706377862E-2"/>
    <n v="0.99970000000000003"/>
    <n v="1.0019"/>
    <n v="0.997"/>
    <n v="0.99519999999999997"/>
    <n v="0.95920000000000005"/>
    <n v="0.94971499999999998"/>
    <n v="0.90559156721286316"/>
    <n v="279500"/>
    <n v="0"/>
    <n v="279500"/>
    <n v="61100"/>
    <n v="340600"/>
    <n v="2.9086892488954345E-2"/>
    <n v="4.9342105263157892E-3"/>
    <n v="2.4669073405535501E-2"/>
  </r>
  <r>
    <n v="2025"/>
    <s v="19120144571    "/>
    <n v="-1.8325814637483102"/>
    <n v="0.16"/>
    <n v="7187"/>
    <s v="2"/>
    <s v="RES"/>
    <s v="MX"/>
    <s v="11"/>
    <s v="259"/>
    <s v="CP"/>
    <x v="5"/>
    <s v="VG"/>
    <n v="20"/>
    <n v="20"/>
    <n v="20"/>
    <n v="2004"/>
    <n v="2004"/>
    <n v="1040"/>
    <n v="1040"/>
    <m/>
    <m/>
    <m/>
    <n v="0"/>
    <n v="2080"/>
    <n v="2500"/>
    <s v="N"/>
    <m/>
    <n v="440"/>
    <m/>
    <m/>
    <m/>
    <m/>
    <m/>
    <n v="420849"/>
    <n v="387181"/>
    <n v="0"/>
    <n v="0"/>
    <n v="60800"/>
    <n v="341600"/>
    <n v="402400"/>
    <n v="132535.48800000001"/>
    <n v="88356.992000000013"/>
    <n v="-24051.387388882686"/>
    <n v="32917.849192000001"/>
    <n v="50438.379078999998"/>
    <n v="-2174.8220000000001"/>
    <n v="64906.7952"/>
    <n v="61963.598319999997"/>
    <n v="0"/>
    <n v="15532.453640000002"/>
    <n v="0"/>
    <n v="356100"/>
    <n v="64300"/>
    <n v="420400"/>
    <n v="4.4731610337972169E-2"/>
    <n v="0.99970000000000003"/>
    <n v="1.0019"/>
    <n v="1.0007999999999999"/>
    <n v="1.0008999999999999"/>
    <n v="1.0138"/>
    <n v="0.94971499999999998"/>
    <n v="0.9662910273015537"/>
    <n v="351700"/>
    <n v="0"/>
    <n v="351700"/>
    <n v="61100"/>
    <n v="412800"/>
    <n v="2.9566744730679159E-2"/>
    <n v="4.9342105263157892E-3"/>
    <n v="2.584493041749503E-2"/>
  </r>
  <r>
    <n v="2025"/>
    <s v="19120144481    "/>
    <n v="-1.8325814637483102"/>
    <n v="0.16"/>
    <n v="7002"/>
    <s v="2"/>
    <s v="RES"/>
    <s v="MX"/>
    <s v="11"/>
    <s v="259"/>
    <s v="RN"/>
    <x v="5"/>
    <s v="VG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326649"/>
    <n v="300517"/>
    <n v="0"/>
    <n v="0"/>
    <n v="60800"/>
    <n v="300700"/>
    <n v="361500"/>
    <n v="132535.48800000001"/>
    <n v="88356.992000000013"/>
    <n v="-24051.387388882686"/>
    <n v="32917.849192000001"/>
    <n v="50438.379078999998"/>
    <n v="-2174.8220000000001"/>
    <n v="86126.324399999998"/>
    <n v="0"/>
    <n v="0"/>
    <n v="15108.841268"/>
    <n v="0"/>
    <n v="315000"/>
    <n v="64300"/>
    <n v="379300"/>
    <n v="4.9239280774550483E-2"/>
    <n v="0.99970000000000003"/>
    <n v="1.0019"/>
    <n v="1.0007999999999999"/>
    <n v="0.99519999999999997"/>
    <n v="1.0138"/>
    <n v="0.94971499999999998"/>
    <n v="0.96078812106155087"/>
    <n v="309800"/>
    <n v="0"/>
    <n v="309800"/>
    <n v="61100"/>
    <n v="370900"/>
    <n v="3.026272031925507E-2"/>
    <n v="4.9342105263157892E-3"/>
    <n v="2.6002766251728909E-2"/>
  </r>
  <r>
    <n v="2025"/>
    <s v="19120144517    "/>
    <n v="-1.8325814637483102"/>
    <n v="0.16"/>
    <n v="7014"/>
    <s v="2"/>
    <s v="RES"/>
    <s v="MX"/>
    <s v="11"/>
    <s v="259"/>
    <s v="RN"/>
    <x v="5"/>
    <s v="VG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331119"/>
    <n v="304629"/>
    <n v="0"/>
    <n v="0"/>
    <n v="60800"/>
    <n v="300700"/>
    <n v="361500"/>
    <n v="132535.48800000001"/>
    <n v="88356.992000000013"/>
    <n v="-24051.387388882686"/>
    <n v="32917.849192000001"/>
    <n v="50438.379078999998"/>
    <n v="-2174.8220000000001"/>
    <n v="86126.324399999998"/>
    <n v="0"/>
    <n v="0"/>
    <n v="15108.841268"/>
    <n v="0"/>
    <n v="315000"/>
    <n v="64300"/>
    <n v="379300"/>
    <n v="4.9239280774550483E-2"/>
    <n v="0.99970000000000003"/>
    <n v="1.0019"/>
    <n v="1.0007999999999999"/>
    <n v="0.99519999999999997"/>
    <n v="1.0138"/>
    <n v="0.94971499999999998"/>
    <n v="0.96078812106155087"/>
    <n v="309800"/>
    <n v="0"/>
    <n v="309800"/>
    <n v="61100"/>
    <n v="370900"/>
    <n v="3.026272031925507E-2"/>
    <n v="4.9342105263157892E-3"/>
    <n v="2.6002766251728909E-2"/>
  </r>
  <r>
    <n v="2025"/>
    <s v="20120634406    "/>
    <n v="-1.8325814637483102"/>
    <n v="0.16"/>
    <n v="7004"/>
    <s v="2"/>
    <s v="RES"/>
    <s v="MX"/>
    <s v="11"/>
    <s v="259"/>
    <s v="CP"/>
    <x v="5"/>
    <s v="VG"/>
    <n v="10"/>
    <n v="11"/>
    <n v="11"/>
    <n v="2013"/>
    <n v="2013"/>
    <n v="1973"/>
    <m/>
    <m/>
    <m/>
    <m/>
    <n v="0"/>
    <n v="1973"/>
    <n v="2000"/>
    <s v="N"/>
    <m/>
    <n v="429"/>
    <m/>
    <m/>
    <m/>
    <m/>
    <m/>
    <n v="415343"/>
    <n v="394576"/>
    <n v="0"/>
    <n v="0"/>
    <n v="60800"/>
    <n v="335500"/>
    <n v="396300"/>
    <n v="132535.48800000001"/>
    <n v="88356.992000000013"/>
    <n v="-24051.387388882686"/>
    <n v="32917.849192000001"/>
    <n v="50438.379078999998"/>
    <n v="-1196.1521"/>
    <n v="123135.67974000001"/>
    <n v="0"/>
    <n v="0"/>
    <n v="15144.142299000001"/>
    <n v="0"/>
    <n v="353000"/>
    <n v="64300"/>
    <n v="417300"/>
    <n v="5.299015897047691E-2"/>
    <n v="0.99970000000000003"/>
    <n v="1.0019"/>
    <n v="1.0007999999999999"/>
    <n v="1.0007999999999999"/>
    <n v="0.99080000000000001"/>
    <n v="0.94971499999999998"/>
    <n v="0.94427450761887755"/>
    <n v="345600"/>
    <n v="0"/>
    <n v="345600"/>
    <n v="61100"/>
    <n v="406700"/>
    <n v="3.0104321907600595E-2"/>
    <n v="4.9342105263157892E-3"/>
    <n v="2.6242745394902851E-2"/>
  </r>
  <r>
    <n v="2025"/>
    <s v="19120144458    "/>
    <n v="-1.8325814637483102"/>
    <n v="0.16"/>
    <n v="7000"/>
    <s v="2"/>
    <s v="RES"/>
    <s v="MX"/>
    <s v="11"/>
    <s v="259"/>
    <s v="RN"/>
    <x v="4"/>
    <s v="VG"/>
    <n v="20"/>
    <n v="20"/>
    <n v="20"/>
    <n v="2004"/>
    <n v="2004"/>
    <n v="1690"/>
    <m/>
    <m/>
    <m/>
    <m/>
    <n v="0"/>
    <n v="1690"/>
    <n v="2000"/>
    <s v="N"/>
    <m/>
    <n v="466"/>
    <m/>
    <m/>
    <m/>
    <m/>
    <m/>
    <n v="330383"/>
    <n v="303952"/>
    <n v="0"/>
    <n v="0"/>
    <n v="60800"/>
    <n v="324900"/>
    <n v="385700"/>
    <n v="132535.48800000001"/>
    <n v="88356.992000000013"/>
    <n v="-24051.387388882686"/>
    <n v="37154.252388000001"/>
    <n v="50438.379078999998"/>
    <n v="-2174.8220000000001"/>
    <n v="105473.54220000001"/>
    <n v="0"/>
    <n v="0"/>
    <n v="16450.280446000001"/>
    <n v="0"/>
    <n v="339900"/>
    <n v="64300"/>
    <n v="404200"/>
    <n v="4.7964739434793881E-2"/>
    <n v="0.99970000000000003"/>
    <n v="0.99819999999999998"/>
    <n v="1.0007999999999999"/>
    <n v="1.0007999999999999"/>
    <n v="1.0138"/>
    <n v="0.94971499999999998"/>
    <n v="0.96262634495823995"/>
    <n v="334900"/>
    <n v="0"/>
    <n v="334900"/>
    <n v="61100"/>
    <n v="396000"/>
    <n v="3.0778701138811943E-2"/>
    <n v="4.9342105263157892E-3"/>
    <n v="2.6704692766398756E-2"/>
  </r>
  <r>
    <n v="2025"/>
    <s v="19120144514    "/>
    <n v="-1.8325814637483102"/>
    <n v="0.16"/>
    <n v="7013"/>
    <s v="2"/>
    <s v="RES"/>
    <s v="MX"/>
    <s v="11"/>
    <s v="259"/>
    <s v="RN"/>
    <x v="4"/>
    <s v="VG"/>
    <n v="20"/>
    <n v="20"/>
    <n v="20"/>
    <n v="2004"/>
    <n v="2004"/>
    <n v="1690"/>
    <m/>
    <m/>
    <m/>
    <m/>
    <n v="0"/>
    <n v="1690"/>
    <n v="2000"/>
    <s v="N"/>
    <m/>
    <n v="466"/>
    <m/>
    <m/>
    <m/>
    <m/>
    <m/>
    <n v="334214"/>
    <n v="307477"/>
    <n v="0"/>
    <n v="0"/>
    <n v="60800"/>
    <n v="324900"/>
    <n v="385700"/>
    <n v="132535.48800000001"/>
    <n v="88356.992000000013"/>
    <n v="-24051.387388882686"/>
    <n v="37154.252388000001"/>
    <n v="50438.379078999998"/>
    <n v="-2174.8220000000001"/>
    <n v="105473.54220000001"/>
    <n v="0"/>
    <n v="0"/>
    <n v="16450.280446000001"/>
    <n v="0"/>
    <n v="339900"/>
    <n v="64300"/>
    <n v="404200"/>
    <n v="4.7964739434793881E-2"/>
    <n v="0.99970000000000003"/>
    <n v="0.99819999999999998"/>
    <n v="1.0007999999999999"/>
    <n v="1.0007999999999999"/>
    <n v="1.0138"/>
    <n v="0.94971499999999998"/>
    <n v="0.96262634495823995"/>
    <n v="334900"/>
    <n v="0"/>
    <n v="334900"/>
    <n v="61100"/>
    <n v="396000"/>
    <n v="3.0778701138811943E-2"/>
    <n v="4.9342105263157892E-3"/>
    <n v="2.6704692766398756E-2"/>
  </r>
  <r>
    <n v="2025"/>
    <s v="20120634459    "/>
    <n v="-1.8325814637483102"/>
    <n v="0.16"/>
    <n v="7123"/>
    <s v="2"/>
    <s v="RES"/>
    <s v="MX"/>
    <s v="11"/>
    <s v="259"/>
    <s v="CP"/>
    <x v="5"/>
    <s v="VG"/>
    <n v="0"/>
    <n v="8"/>
    <n v="8"/>
    <n v="2016"/>
    <n v="2016"/>
    <n v="1861"/>
    <m/>
    <m/>
    <m/>
    <m/>
    <n v="0"/>
    <n v="1861"/>
    <n v="2000"/>
    <s v="N"/>
    <n v="1"/>
    <n v="431"/>
    <m/>
    <m/>
    <m/>
    <m/>
    <m/>
    <n v="404269"/>
    <n v="388098"/>
    <n v="0"/>
    <n v="0"/>
    <n v="60800"/>
    <n v="329900"/>
    <n v="390700"/>
    <n v="132535.48800000001"/>
    <n v="88356.992000000013"/>
    <n v="-24051.387388882686"/>
    <n v="32917.849192000001"/>
    <n v="50438.379078999998"/>
    <n v="-869.92880000000002"/>
    <n v="116145.71718000001"/>
    <n v="0"/>
    <n v="0"/>
    <n v="15214.744361000001"/>
    <n v="0"/>
    <n v="346400"/>
    <n v="64300"/>
    <n v="410700"/>
    <n v="5.1190171487074485E-2"/>
    <n v="0.99970000000000003"/>
    <n v="1.0019"/>
    <n v="1.0007999999999999"/>
    <n v="1.0007999999999999"/>
    <n v="1.0022"/>
    <n v="0.94971499999999998"/>
    <n v="0.95513919210298648"/>
    <n v="340400"/>
    <n v="0"/>
    <n v="340400"/>
    <n v="61100"/>
    <n v="401500"/>
    <n v="3.182782661412549E-2"/>
    <n v="4.9342105263157892E-3"/>
    <n v="2.7642692603020221E-2"/>
  </r>
  <r>
    <n v="2025"/>
    <s v="20120634401    "/>
    <n v="-1.8325814637483102"/>
    <n v="0.16"/>
    <n v="7318"/>
    <s v="2"/>
    <s v="RES"/>
    <s v="MX"/>
    <s v="11"/>
    <s v="259"/>
    <s v="CP"/>
    <x v="5"/>
    <s v="VG"/>
    <n v="10"/>
    <n v="11"/>
    <n v="11"/>
    <n v="2013"/>
    <n v="2013"/>
    <n v="1980"/>
    <m/>
    <m/>
    <m/>
    <m/>
    <n v="0"/>
    <n v="1980"/>
    <n v="2000"/>
    <s v="N"/>
    <m/>
    <n v="427"/>
    <m/>
    <m/>
    <m/>
    <m/>
    <m/>
    <n v="412059"/>
    <n v="391456"/>
    <n v="0"/>
    <n v="0"/>
    <n v="60800"/>
    <n v="335100"/>
    <n v="395900"/>
    <n v="132535.48800000001"/>
    <n v="88356.992000000013"/>
    <n v="-24051.387388882686"/>
    <n v="32917.849192000001"/>
    <n v="50438.379078999998"/>
    <n v="-1196.1521"/>
    <n v="123572.5524"/>
    <n v="0"/>
    <n v="0"/>
    <n v="15073.540237000001"/>
    <n v="0"/>
    <n v="353300"/>
    <n v="64300"/>
    <n v="417600"/>
    <n v="5.4811821166961351E-2"/>
    <n v="0.99970000000000003"/>
    <n v="1.0019"/>
    <n v="1.0007999999999999"/>
    <n v="1.0007999999999999"/>
    <n v="0.99080000000000001"/>
    <n v="0.94971499999999998"/>
    <n v="0.94427450761887755"/>
    <n v="346000"/>
    <n v="0"/>
    <n v="346000"/>
    <n v="61100"/>
    <n v="407100"/>
    <n v="3.2527603700387944E-2"/>
    <n v="4.9342105263157892E-3"/>
    <n v="2.828997221520586E-2"/>
  </r>
  <r>
    <n v="2025"/>
    <s v="19120113578    "/>
    <n v="-1.8325814637483102"/>
    <n v="0.16"/>
    <n v="7036"/>
    <s v="2"/>
    <s v="RES"/>
    <s v="MX"/>
    <s v="11"/>
    <s v="259"/>
    <s v="CP"/>
    <x v="5"/>
    <s v="GD"/>
    <n v="10"/>
    <n v="16"/>
    <n v="16"/>
    <n v="2008"/>
    <n v="2008"/>
    <n v="2102"/>
    <m/>
    <m/>
    <m/>
    <m/>
    <n v="0"/>
    <n v="2102"/>
    <n v="2500"/>
    <s v="N"/>
    <m/>
    <n v="782"/>
    <m/>
    <m/>
    <m/>
    <m/>
    <m/>
    <n v="449498"/>
    <n v="413538"/>
    <n v="0"/>
    <n v="0"/>
    <n v="60800"/>
    <n v="334100"/>
    <n v="394900"/>
    <n v="132535.48800000001"/>
    <n v="88356.992000000013"/>
    <n v="-24051.387388882686"/>
    <n v="32917.849192000001"/>
    <n v="30300.329274"/>
    <n v="-1739.8576"/>
    <n v="131186.61876000001"/>
    <n v="0"/>
    <n v="0"/>
    <n v="27605.406242000001"/>
    <n v="0"/>
    <n v="352800"/>
    <n v="64300"/>
    <n v="417100"/>
    <n v="5.62167637376551E-2"/>
    <n v="0.99970000000000003"/>
    <n v="1.0019"/>
    <n v="0.997"/>
    <n v="1.0008999999999999"/>
    <n v="0.99080000000000001"/>
    <n v="0.94971499999999998"/>
    <n v="0.94078312650809337"/>
    <n v="345000"/>
    <n v="0"/>
    <n v="345000"/>
    <n v="61100"/>
    <n v="406100"/>
    <n v="3.2624962586052082E-2"/>
    <n v="4.9342105263157892E-3"/>
    <n v="2.8361610534312486E-2"/>
  </r>
  <r>
    <n v="2025"/>
    <s v="19120144503    "/>
    <n v="-1.8325814637483102"/>
    <n v="0.16"/>
    <n v="6754"/>
    <s v="2"/>
    <s v="RES"/>
    <s v="MX"/>
    <s v="11"/>
    <s v="259"/>
    <s v="CO"/>
    <x v="5"/>
    <s v="VG"/>
    <n v="20"/>
    <n v="20"/>
    <n v="20"/>
    <n v="2004"/>
    <n v="2004"/>
    <n v="1116"/>
    <n v="1116"/>
    <m/>
    <m/>
    <m/>
    <n v="0"/>
    <n v="2232"/>
    <n v="2500"/>
    <s v="N"/>
    <n v="1"/>
    <n v="440"/>
    <m/>
    <m/>
    <m/>
    <m/>
    <m/>
    <n v="448140"/>
    <n v="412289"/>
    <n v="0"/>
    <n v="0"/>
    <n v="60800"/>
    <n v="349100"/>
    <n v="409900"/>
    <n v="132535.48800000001"/>
    <n v="88356.992000000013"/>
    <n v="-24051.387388882686"/>
    <n v="32917.849192000001"/>
    <n v="50438.379078999998"/>
    <n v="-2174.8220000000001"/>
    <n v="69649.984080000009"/>
    <n v="66491.707427999994"/>
    <n v="0"/>
    <n v="15532.453640000002"/>
    <n v="0"/>
    <n v="365400"/>
    <n v="64300"/>
    <n v="429700"/>
    <n v="4.8304464503537446E-2"/>
    <n v="0.99970000000000003"/>
    <n v="1.0019"/>
    <n v="1.0007999999999999"/>
    <n v="1.0008999999999999"/>
    <n v="1.0138"/>
    <n v="0.94971499999999998"/>
    <n v="0.9662910273015537"/>
    <n v="360900"/>
    <n v="0"/>
    <n v="360900"/>
    <n v="61100"/>
    <n v="422000"/>
    <n v="3.3801203093669435E-2"/>
    <n v="4.9342105263157892E-3"/>
    <n v="2.9519394974383995E-2"/>
  </r>
  <r>
    <n v="2025"/>
    <s v="19120144463    "/>
    <n v="-1.8325814637483102"/>
    <n v="0.16"/>
    <n v="7000"/>
    <s v="2"/>
    <s v="RES"/>
    <s v="MX"/>
    <s v="11"/>
    <s v="259"/>
    <s v="CO"/>
    <x v="5"/>
    <s v="VG"/>
    <n v="20"/>
    <n v="20"/>
    <n v="20"/>
    <n v="2004"/>
    <n v="2004"/>
    <n v="1116"/>
    <n v="1116"/>
    <m/>
    <m/>
    <m/>
    <n v="0"/>
    <n v="2232"/>
    <n v="2500"/>
    <s v="N"/>
    <m/>
    <n v="440"/>
    <m/>
    <m/>
    <m/>
    <m/>
    <m/>
    <n v="439327"/>
    <n v="404181"/>
    <n v="0"/>
    <n v="0"/>
    <n v="60800"/>
    <n v="349100"/>
    <n v="409900"/>
    <n v="132535.48800000001"/>
    <n v="88356.992000000013"/>
    <n v="-24051.387388882686"/>
    <n v="32917.849192000001"/>
    <n v="50438.379078999998"/>
    <n v="-2174.8220000000001"/>
    <n v="69649.984080000009"/>
    <n v="66491.707427999994"/>
    <n v="0"/>
    <n v="15532.453640000002"/>
    <n v="0"/>
    <n v="365400"/>
    <n v="64300"/>
    <n v="429700"/>
    <n v="4.8304464503537446E-2"/>
    <n v="0.99970000000000003"/>
    <n v="1.0019"/>
    <n v="1.0007999999999999"/>
    <n v="1.0008999999999999"/>
    <n v="1.0138"/>
    <n v="0.94971499999999998"/>
    <n v="0.9662910273015537"/>
    <n v="360900"/>
    <n v="0"/>
    <n v="360900"/>
    <n v="61100"/>
    <n v="422000"/>
    <n v="3.3801203093669435E-2"/>
    <n v="4.9342105263157892E-3"/>
    <n v="2.9519394974383995E-2"/>
  </r>
  <r>
    <n v="2025"/>
    <s v="19120144537    "/>
    <n v="-1.8325814637483102"/>
    <n v="0.16"/>
    <n v="7011"/>
    <s v="2"/>
    <s v="RES"/>
    <s v="MX"/>
    <s v="11"/>
    <s v="259"/>
    <s v="CO"/>
    <x v="5"/>
    <s v="VG"/>
    <n v="20"/>
    <n v="20"/>
    <n v="20"/>
    <n v="2004"/>
    <n v="2004"/>
    <n v="1116"/>
    <n v="1116"/>
    <m/>
    <m/>
    <m/>
    <n v="0"/>
    <n v="2232"/>
    <n v="2500"/>
    <s v="N"/>
    <m/>
    <n v="440"/>
    <m/>
    <m/>
    <m/>
    <m/>
    <m/>
    <n v="439327"/>
    <n v="404181"/>
    <n v="0"/>
    <n v="0"/>
    <n v="60800"/>
    <n v="349100"/>
    <n v="409900"/>
    <n v="132535.48800000001"/>
    <n v="88356.992000000013"/>
    <n v="-24051.387388882686"/>
    <n v="32917.849192000001"/>
    <n v="50438.379078999998"/>
    <n v="-2174.8220000000001"/>
    <n v="69649.984080000009"/>
    <n v="66491.707427999994"/>
    <n v="0"/>
    <n v="15532.453640000002"/>
    <n v="0"/>
    <n v="365400"/>
    <n v="64300"/>
    <n v="429700"/>
    <n v="4.8304464503537446E-2"/>
    <n v="0.99970000000000003"/>
    <n v="1.0019"/>
    <n v="1.0007999999999999"/>
    <n v="1.0008999999999999"/>
    <n v="1.0138"/>
    <n v="0.94971499999999998"/>
    <n v="0.9662910273015537"/>
    <n v="360900"/>
    <n v="0"/>
    <n v="360900"/>
    <n v="61100"/>
    <n v="422000"/>
    <n v="3.3801203093669435E-2"/>
    <n v="4.9342105263157892E-3"/>
    <n v="2.9519394974383995E-2"/>
  </r>
  <r>
    <n v="2025"/>
    <s v="19120144523    "/>
    <n v="-1.8325814637483102"/>
    <n v="0.16"/>
    <n v="7013"/>
    <s v="2"/>
    <s v="RES"/>
    <s v="MX"/>
    <s v="11"/>
    <s v="259"/>
    <s v="CO"/>
    <x v="5"/>
    <s v="VG"/>
    <n v="20"/>
    <n v="20"/>
    <n v="20"/>
    <n v="2004"/>
    <n v="2004"/>
    <n v="1116"/>
    <n v="1116"/>
    <m/>
    <m/>
    <m/>
    <n v="0"/>
    <n v="2232"/>
    <n v="2500"/>
    <s v="N"/>
    <m/>
    <n v="440"/>
    <m/>
    <m/>
    <m/>
    <m/>
    <m/>
    <n v="451846"/>
    <n v="415698"/>
    <n v="0"/>
    <n v="0"/>
    <n v="60800"/>
    <n v="349100"/>
    <n v="409900"/>
    <n v="132535.48800000001"/>
    <n v="88356.992000000013"/>
    <n v="-24051.387388882686"/>
    <n v="32917.849192000001"/>
    <n v="50438.379078999998"/>
    <n v="-2174.8220000000001"/>
    <n v="69649.984080000009"/>
    <n v="66491.707427999994"/>
    <n v="0"/>
    <n v="15532.453640000002"/>
    <n v="0"/>
    <n v="365400"/>
    <n v="64300"/>
    <n v="429700"/>
    <n v="4.8304464503537446E-2"/>
    <n v="0.99970000000000003"/>
    <n v="1.0019"/>
    <n v="1.0007999999999999"/>
    <n v="1.0008999999999999"/>
    <n v="1.0138"/>
    <n v="0.94971499999999998"/>
    <n v="0.9662910273015537"/>
    <n v="360900"/>
    <n v="0"/>
    <n v="360900"/>
    <n v="61100"/>
    <n v="422000"/>
    <n v="3.3801203093669435E-2"/>
    <n v="4.9342105263157892E-3"/>
    <n v="2.9519394974383995E-2"/>
  </r>
  <r>
    <n v="2025"/>
    <s v="19120144525    "/>
    <n v="-1.8325814637483102"/>
    <n v="0.16"/>
    <n v="7014"/>
    <s v="2"/>
    <s v="RES"/>
    <s v="MX"/>
    <s v="11"/>
    <s v="259"/>
    <s v="CO"/>
    <x v="5"/>
    <s v="VG"/>
    <n v="20"/>
    <n v="20"/>
    <n v="20"/>
    <n v="2004"/>
    <n v="2004"/>
    <n v="1116"/>
    <n v="1116"/>
    <m/>
    <m/>
    <m/>
    <n v="0"/>
    <n v="2232"/>
    <n v="2500"/>
    <s v="N"/>
    <m/>
    <n v="440"/>
    <m/>
    <m/>
    <m/>
    <m/>
    <m/>
    <n v="439327"/>
    <n v="404181"/>
    <n v="0"/>
    <n v="0"/>
    <n v="60800"/>
    <n v="349100"/>
    <n v="409900"/>
    <n v="132535.48800000001"/>
    <n v="88356.992000000013"/>
    <n v="-24051.387388882686"/>
    <n v="32917.849192000001"/>
    <n v="50438.379078999998"/>
    <n v="-2174.8220000000001"/>
    <n v="69649.984080000009"/>
    <n v="66491.707427999994"/>
    <n v="0"/>
    <n v="15532.453640000002"/>
    <n v="0"/>
    <n v="365400"/>
    <n v="64300"/>
    <n v="429700"/>
    <n v="4.8304464503537446E-2"/>
    <n v="0.99970000000000003"/>
    <n v="1.0019"/>
    <n v="1.0007999999999999"/>
    <n v="1.0008999999999999"/>
    <n v="1.0138"/>
    <n v="0.94971499999999998"/>
    <n v="0.9662910273015537"/>
    <n v="360900"/>
    <n v="0"/>
    <n v="360900"/>
    <n v="61100"/>
    <n v="422000"/>
    <n v="3.3801203093669435E-2"/>
    <n v="4.9342105263157892E-3"/>
    <n v="2.9519394974383995E-2"/>
  </r>
  <r>
    <n v="2025"/>
    <s v="19120144519    "/>
    <n v="-1.8325814637483102"/>
    <n v="0.16"/>
    <n v="7017"/>
    <s v="2"/>
    <s v="RES"/>
    <s v="MX"/>
    <s v="11"/>
    <s v="259"/>
    <s v="CO"/>
    <x v="5"/>
    <s v="VG"/>
    <n v="20"/>
    <n v="20"/>
    <n v="20"/>
    <n v="2004"/>
    <n v="2004"/>
    <n v="1116"/>
    <n v="1116"/>
    <m/>
    <m/>
    <m/>
    <n v="0"/>
    <n v="2232"/>
    <n v="2500"/>
    <s v="N"/>
    <m/>
    <n v="440"/>
    <m/>
    <m/>
    <m/>
    <m/>
    <m/>
    <n v="452240"/>
    <n v="416061"/>
    <n v="0"/>
    <n v="0"/>
    <n v="60800"/>
    <n v="349100"/>
    <n v="409900"/>
    <n v="132535.48800000001"/>
    <n v="88356.992000000013"/>
    <n v="-24051.387388882686"/>
    <n v="32917.849192000001"/>
    <n v="50438.379078999998"/>
    <n v="-2174.8220000000001"/>
    <n v="69649.984080000009"/>
    <n v="66491.707427999994"/>
    <n v="0"/>
    <n v="15532.453640000002"/>
    <n v="0"/>
    <n v="365400"/>
    <n v="64300"/>
    <n v="429700"/>
    <n v="4.8304464503537446E-2"/>
    <n v="0.99970000000000003"/>
    <n v="1.0019"/>
    <n v="1.0007999999999999"/>
    <n v="1.0008999999999999"/>
    <n v="1.0138"/>
    <n v="0.94971499999999998"/>
    <n v="0.9662910273015537"/>
    <n v="360900"/>
    <n v="0"/>
    <n v="360900"/>
    <n v="61100"/>
    <n v="422000"/>
    <n v="3.3801203093669435E-2"/>
    <n v="4.9342105263157892E-3"/>
    <n v="2.9519394974383995E-2"/>
  </r>
  <r>
    <n v="2025"/>
    <s v="19120144552    "/>
    <n v="-1.8325814637483102"/>
    <n v="0.16"/>
    <n v="7132"/>
    <s v="2"/>
    <s v="RES"/>
    <s v="MX"/>
    <s v="11"/>
    <s v="259"/>
    <s v="CO"/>
    <x v="5"/>
    <s v="VG"/>
    <n v="20"/>
    <n v="20"/>
    <n v="20"/>
    <n v="2004"/>
    <n v="2004"/>
    <n v="1116"/>
    <n v="1116"/>
    <m/>
    <m/>
    <m/>
    <n v="0"/>
    <n v="2232"/>
    <n v="2500"/>
    <s v="N"/>
    <n v="1"/>
    <n v="440"/>
    <m/>
    <m/>
    <m/>
    <m/>
    <m/>
    <n v="464440"/>
    <n v="427285"/>
    <n v="0"/>
    <n v="0"/>
    <n v="60800"/>
    <n v="349100"/>
    <n v="409900"/>
    <n v="132535.48800000001"/>
    <n v="88356.992000000013"/>
    <n v="-24051.387388882686"/>
    <n v="32917.849192000001"/>
    <n v="50438.379078999998"/>
    <n v="-2174.8220000000001"/>
    <n v="69649.984080000009"/>
    <n v="66491.707427999994"/>
    <n v="0"/>
    <n v="15532.453640000002"/>
    <n v="0"/>
    <n v="365400"/>
    <n v="64300"/>
    <n v="429700"/>
    <n v="4.8304464503537446E-2"/>
    <n v="0.99970000000000003"/>
    <n v="1.0019"/>
    <n v="1.0007999999999999"/>
    <n v="1.0008999999999999"/>
    <n v="1.0138"/>
    <n v="0.94971499999999998"/>
    <n v="0.9662910273015537"/>
    <n v="360900"/>
    <n v="0"/>
    <n v="360900"/>
    <n v="61100"/>
    <n v="422000"/>
    <n v="3.3801203093669435E-2"/>
    <n v="4.9342105263157892E-3"/>
    <n v="2.9519394974383995E-2"/>
  </r>
  <r>
    <n v="2025"/>
    <s v="19120144553    "/>
    <n v="-1.8325814637483102"/>
    <n v="0.16"/>
    <n v="7153"/>
    <s v="2"/>
    <s v="RES"/>
    <s v="MX"/>
    <s v="11"/>
    <s v="259"/>
    <s v="CO"/>
    <x v="5"/>
    <s v="VG"/>
    <n v="20"/>
    <n v="20"/>
    <n v="20"/>
    <n v="2004"/>
    <n v="2004"/>
    <n v="1116"/>
    <n v="1116"/>
    <m/>
    <m/>
    <m/>
    <n v="0"/>
    <n v="2232"/>
    <n v="2500"/>
    <s v="N"/>
    <m/>
    <n v="440"/>
    <m/>
    <m/>
    <m/>
    <m/>
    <m/>
    <n v="439327"/>
    <n v="404181"/>
    <n v="0"/>
    <n v="0"/>
    <n v="60800"/>
    <n v="349100"/>
    <n v="409900"/>
    <n v="132535.48800000001"/>
    <n v="88356.992000000013"/>
    <n v="-24051.387388882686"/>
    <n v="32917.849192000001"/>
    <n v="50438.379078999998"/>
    <n v="-2174.8220000000001"/>
    <n v="69649.984080000009"/>
    <n v="66491.707427999994"/>
    <n v="0"/>
    <n v="15532.453640000002"/>
    <n v="0"/>
    <n v="365400"/>
    <n v="64300"/>
    <n v="429700"/>
    <n v="4.8304464503537446E-2"/>
    <n v="0.99970000000000003"/>
    <n v="1.0019"/>
    <n v="1.0007999999999999"/>
    <n v="1.0008999999999999"/>
    <n v="1.0138"/>
    <n v="0.94971499999999998"/>
    <n v="0.9662910273015537"/>
    <n v="360900"/>
    <n v="0"/>
    <n v="360900"/>
    <n v="61100"/>
    <n v="422000"/>
    <n v="3.3801203093669435E-2"/>
    <n v="4.9342105263157892E-3"/>
    <n v="2.9519394974383995E-2"/>
  </r>
  <r>
    <n v="2025"/>
    <s v="19120144509    "/>
    <n v="-1.8325814637483102"/>
    <n v="0.16"/>
    <n v="7122"/>
    <s v="2"/>
    <s v="RES"/>
    <s v="MX"/>
    <s v="11"/>
    <s v="259"/>
    <s v="CO"/>
    <x v="5"/>
    <s v="VG"/>
    <n v="20"/>
    <n v="20"/>
    <n v="20"/>
    <n v="2004"/>
    <n v="2004"/>
    <n v="1116"/>
    <n v="1116"/>
    <m/>
    <m/>
    <m/>
    <n v="0"/>
    <n v="2232"/>
    <n v="2500"/>
    <s v="N"/>
    <m/>
    <n v="440"/>
    <m/>
    <m/>
    <m/>
    <m/>
    <m/>
    <n v="439327"/>
    <n v="404181"/>
    <n v="2649"/>
    <n v="0"/>
    <n v="60800"/>
    <n v="351400"/>
    <n v="412200"/>
    <n v="132535.48800000001"/>
    <n v="88356.992000000013"/>
    <n v="-24051.387388882686"/>
    <n v="32917.849192000001"/>
    <n v="50438.379078999998"/>
    <n v="-2174.8220000000001"/>
    <n v="69649.984080000009"/>
    <n v="66491.707427999994"/>
    <n v="0"/>
    <n v="15532.453640000002"/>
    <n v="2600"/>
    <n v="365400"/>
    <n v="64300"/>
    <n v="432300"/>
    <n v="4.87627365356623E-2"/>
    <n v="0.99970000000000003"/>
    <n v="1.0019"/>
    <n v="1.0007999999999999"/>
    <n v="1.0008999999999999"/>
    <n v="1.0138"/>
    <n v="0.94971499999999998"/>
    <n v="0.9662910273015537"/>
    <n v="360900"/>
    <n v="2500"/>
    <n v="363400"/>
    <n v="61100"/>
    <n v="424500"/>
    <n v="3.414911781445646E-2"/>
    <n v="4.9342105263157892E-3"/>
    <n v="2.9839883551673944E-2"/>
  </r>
  <r>
    <n v="2025"/>
    <s v="20120634407    "/>
    <n v="-1.8325814637483102"/>
    <n v="0.16"/>
    <n v="7004"/>
    <s v="2"/>
    <s v="RES"/>
    <s v="MX"/>
    <s v="11"/>
    <s v="259"/>
    <s v="CP"/>
    <x v="5"/>
    <s v="VG"/>
    <n v="10"/>
    <n v="11"/>
    <n v="11"/>
    <n v="2013"/>
    <n v="2013"/>
    <n v="1728"/>
    <m/>
    <m/>
    <m/>
    <m/>
    <n v="0"/>
    <n v="1728"/>
    <n v="2000"/>
    <s v="N"/>
    <n v="1"/>
    <n v="462"/>
    <m/>
    <m/>
    <m/>
    <m/>
    <m/>
    <n v="373387"/>
    <n v="354718"/>
    <n v="0"/>
    <n v="0"/>
    <n v="60800"/>
    <n v="320200"/>
    <n v="381000"/>
    <n v="132535.48800000001"/>
    <n v="88356.992000000013"/>
    <n v="-24051.387388882686"/>
    <n v="32917.849192000001"/>
    <n v="50438.379078999998"/>
    <n v="-1196.1521"/>
    <n v="107845.13664000001"/>
    <n v="0"/>
    <n v="0"/>
    <n v="16309.076322000001"/>
    <n v="0"/>
    <n v="338800"/>
    <n v="64300"/>
    <n v="403100"/>
    <n v="5.800524934383202E-2"/>
    <n v="0.99970000000000003"/>
    <n v="1.0019"/>
    <n v="1.0007999999999999"/>
    <n v="1.0007999999999999"/>
    <n v="0.99080000000000001"/>
    <n v="0.94971499999999998"/>
    <n v="0.94427450761887755"/>
    <n v="331500"/>
    <n v="0"/>
    <n v="331500"/>
    <n v="61100"/>
    <n v="392600"/>
    <n v="3.5290443472829482E-2"/>
    <n v="4.9342105263157892E-3"/>
    <n v="3.0446194225721784E-2"/>
  </r>
  <r>
    <n v="2025"/>
    <s v="20120634482    "/>
    <n v="-1.8325814637483102"/>
    <n v="0.16"/>
    <n v="7058"/>
    <s v="2"/>
    <s v="RES"/>
    <s v="MX"/>
    <s v="11"/>
    <s v="259"/>
    <s v="CP"/>
    <x v="5"/>
    <s v="VG"/>
    <n v="0"/>
    <n v="9"/>
    <n v="9"/>
    <n v="2015"/>
    <n v="2015"/>
    <n v="1749"/>
    <m/>
    <m/>
    <m/>
    <m/>
    <n v="0"/>
    <n v="1749"/>
    <n v="2000"/>
    <s v="N"/>
    <n v="1"/>
    <n v="441"/>
    <m/>
    <m/>
    <m/>
    <m/>
    <m/>
    <n v="375868"/>
    <n v="360833"/>
    <n v="0"/>
    <n v="0"/>
    <n v="60800"/>
    <n v="322100"/>
    <n v="382900"/>
    <n v="132535.48800000001"/>
    <n v="88356.992000000013"/>
    <n v="-24051.387388882686"/>
    <n v="32917.849192000001"/>
    <n v="50438.379078999998"/>
    <n v="-978.66989999999998"/>
    <n v="109155.75462000001"/>
    <n v="0"/>
    <n v="0"/>
    <n v="15567.754671000001"/>
    <n v="0"/>
    <n v="339600"/>
    <n v="64300"/>
    <n v="403900"/>
    <n v="5.4844606946983544E-2"/>
    <n v="0.99970000000000003"/>
    <n v="1.0019"/>
    <n v="1.0007999999999999"/>
    <n v="1.0007999999999999"/>
    <n v="1.0022"/>
    <n v="0.94971499999999998"/>
    <n v="0.95513919210298648"/>
    <n v="333700"/>
    <n v="0"/>
    <n v="333700"/>
    <n v="61100"/>
    <n v="394800"/>
    <n v="3.6013660353927349E-2"/>
    <n v="4.9342105263157892E-3"/>
    <n v="3.1078610603290677E-2"/>
  </r>
  <r>
    <n v="2025"/>
    <s v="19120144493    "/>
    <n v="-1.8325814637483102"/>
    <n v="0.16"/>
    <n v="7000"/>
    <s v="2"/>
    <s v="RES"/>
    <s v="MX"/>
    <s v="11"/>
    <s v="259"/>
    <s v="RN"/>
    <x v="5"/>
    <s v="VG"/>
    <n v="20"/>
    <n v="20"/>
    <n v="20"/>
    <n v="2004"/>
    <n v="2004"/>
    <n v="1706"/>
    <m/>
    <m/>
    <m/>
    <m/>
    <n v="0"/>
    <n v="1706"/>
    <n v="2000"/>
    <s v="N"/>
    <m/>
    <n v="466"/>
    <m/>
    <m/>
    <m/>
    <m/>
    <m/>
    <n v="373267"/>
    <n v="343406"/>
    <n v="0"/>
    <n v="0"/>
    <n v="60800"/>
    <n v="320100"/>
    <n v="380900"/>
    <n v="132535.48800000001"/>
    <n v="88356.992000000013"/>
    <n v="-24051.387388882686"/>
    <n v="32917.849192000001"/>
    <n v="50438.379078999998"/>
    <n v="-2174.8220000000001"/>
    <n v="106472.10828"/>
    <n v="0"/>
    <n v="0"/>
    <n v="16450.280446000001"/>
    <n v="0"/>
    <n v="336600"/>
    <n v="64300"/>
    <n v="400900"/>
    <n v="5.2507219742714627E-2"/>
    <n v="0.99970000000000003"/>
    <n v="1.0019"/>
    <n v="1.0007999999999999"/>
    <n v="1.0007999999999999"/>
    <n v="1.0138"/>
    <n v="0.94971499999999998"/>
    <n v="0.96619448508681682"/>
    <n v="332200"/>
    <n v="0"/>
    <n v="332200"/>
    <n v="61100"/>
    <n v="393300"/>
    <n v="3.7800687285223365E-2"/>
    <n v="4.9342105263157892E-3"/>
    <n v="3.255447624048307E-2"/>
  </r>
  <r>
    <n v="2025"/>
    <s v="19120144489    "/>
    <n v="-1.8325814637483102"/>
    <n v="0.16"/>
    <n v="7008"/>
    <s v="2"/>
    <s v="RES"/>
    <s v="MX"/>
    <s v="11"/>
    <s v="259"/>
    <s v="RN"/>
    <x v="5"/>
    <s v="VG"/>
    <n v="20"/>
    <n v="20"/>
    <n v="20"/>
    <n v="2004"/>
    <n v="2004"/>
    <n v="1706"/>
    <m/>
    <m/>
    <m/>
    <m/>
    <n v="0"/>
    <n v="1706"/>
    <n v="2000"/>
    <s v="N"/>
    <m/>
    <n v="466"/>
    <m/>
    <m/>
    <m/>
    <m/>
    <m/>
    <n v="374519"/>
    <n v="344557"/>
    <n v="0"/>
    <n v="0"/>
    <n v="60800"/>
    <n v="320100"/>
    <n v="380900"/>
    <n v="132535.48800000001"/>
    <n v="88356.992000000013"/>
    <n v="-24051.387388882686"/>
    <n v="32917.849192000001"/>
    <n v="50438.379078999998"/>
    <n v="-2174.8220000000001"/>
    <n v="106472.10828"/>
    <n v="0"/>
    <n v="0"/>
    <n v="16450.280446000001"/>
    <n v="0"/>
    <n v="336600"/>
    <n v="64300"/>
    <n v="400900"/>
    <n v="5.2507219742714627E-2"/>
    <n v="0.99970000000000003"/>
    <n v="1.0019"/>
    <n v="1.0007999999999999"/>
    <n v="1.0007999999999999"/>
    <n v="1.0138"/>
    <n v="0.94971499999999998"/>
    <n v="0.96619448508681682"/>
    <n v="332200"/>
    <n v="0"/>
    <n v="332200"/>
    <n v="61100"/>
    <n v="393300"/>
    <n v="3.7800687285223365E-2"/>
    <n v="4.9342105263157892E-3"/>
    <n v="3.255447624048307E-2"/>
  </r>
  <r>
    <n v="2025"/>
    <s v="19120144522    "/>
    <n v="-1.8325814637483102"/>
    <n v="0.16"/>
    <n v="7013"/>
    <s v="2"/>
    <s v="RES"/>
    <s v="MX"/>
    <s v="11"/>
    <s v="259"/>
    <s v="CO"/>
    <x v="5"/>
    <s v="VG"/>
    <n v="20"/>
    <n v="20"/>
    <n v="20"/>
    <n v="2004"/>
    <n v="2004"/>
    <n v="1706"/>
    <m/>
    <m/>
    <m/>
    <m/>
    <n v="0"/>
    <n v="1706"/>
    <n v="2000"/>
    <s v="N"/>
    <n v="1"/>
    <n v="466"/>
    <m/>
    <m/>
    <m/>
    <m/>
    <m/>
    <n v="393349"/>
    <n v="361881"/>
    <n v="0"/>
    <n v="0"/>
    <n v="60800"/>
    <n v="320100"/>
    <n v="380900"/>
    <n v="132535.48800000001"/>
    <n v="88356.992000000013"/>
    <n v="-24051.387388882686"/>
    <n v="32917.849192000001"/>
    <n v="50438.379078999998"/>
    <n v="-2174.8220000000001"/>
    <n v="106472.10828"/>
    <n v="0"/>
    <n v="0"/>
    <n v="16450.280446000001"/>
    <n v="0"/>
    <n v="336600"/>
    <n v="64300"/>
    <n v="400900"/>
    <n v="5.2507219742714627E-2"/>
    <n v="0.99970000000000003"/>
    <n v="1.0019"/>
    <n v="1.0007999999999999"/>
    <n v="1.0007999999999999"/>
    <n v="1.0138"/>
    <n v="0.94971499999999998"/>
    <n v="0.96619448508681682"/>
    <n v="332200"/>
    <n v="0"/>
    <n v="332200"/>
    <n v="61100"/>
    <n v="393300"/>
    <n v="3.7800687285223365E-2"/>
    <n v="4.9342105263157892E-3"/>
    <n v="3.255447624048307E-2"/>
  </r>
  <r>
    <n v="2025"/>
    <s v="19120144502    "/>
    <n v="-1.8325814637483102"/>
    <n v="0.16"/>
    <n v="7018"/>
    <s v="2"/>
    <s v="RES"/>
    <s v="MX"/>
    <s v="11"/>
    <s v="259"/>
    <s v="RN"/>
    <x v="5"/>
    <s v="VG"/>
    <n v="20"/>
    <n v="20"/>
    <n v="20"/>
    <n v="2004"/>
    <n v="2004"/>
    <n v="1706"/>
    <m/>
    <m/>
    <m/>
    <m/>
    <n v="0"/>
    <n v="1706"/>
    <n v="2000"/>
    <s v="N"/>
    <m/>
    <n v="466"/>
    <m/>
    <m/>
    <m/>
    <m/>
    <m/>
    <n v="377535"/>
    <n v="347332"/>
    <n v="0"/>
    <n v="0"/>
    <n v="60800"/>
    <n v="320100"/>
    <n v="380900"/>
    <n v="132535.48800000001"/>
    <n v="88356.992000000013"/>
    <n v="-24051.387388882686"/>
    <n v="32917.849192000001"/>
    <n v="50438.379078999998"/>
    <n v="-2174.8220000000001"/>
    <n v="106472.10828"/>
    <n v="0"/>
    <n v="0"/>
    <n v="16450.280446000001"/>
    <n v="0"/>
    <n v="336600"/>
    <n v="64300"/>
    <n v="400900"/>
    <n v="5.2507219742714627E-2"/>
    <n v="0.99970000000000003"/>
    <n v="1.0019"/>
    <n v="1.0007999999999999"/>
    <n v="1.0007999999999999"/>
    <n v="1.0138"/>
    <n v="0.94971499999999998"/>
    <n v="0.96619448508681682"/>
    <n v="332200"/>
    <n v="0"/>
    <n v="332200"/>
    <n v="61100"/>
    <n v="393300"/>
    <n v="3.7800687285223365E-2"/>
    <n v="4.9342105263157892E-3"/>
    <n v="3.255447624048307E-2"/>
  </r>
  <r>
    <n v="2025"/>
    <s v="19120113484    "/>
    <n v="-1.8325814637483102"/>
    <n v="0.16"/>
    <n v="7000"/>
    <s v="2"/>
    <s v="RES"/>
    <s v="MX"/>
    <s v="11"/>
    <s v="259"/>
    <s v="CP"/>
    <x v="4"/>
    <s v="VG"/>
    <n v="10"/>
    <n v="18"/>
    <n v="18"/>
    <n v="2006"/>
    <n v="2006"/>
    <n v="1420"/>
    <m/>
    <m/>
    <m/>
    <m/>
    <n v="0"/>
    <n v="1420"/>
    <n v="1500"/>
    <s v="N"/>
    <m/>
    <n v="400"/>
    <m/>
    <m/>
    <m/>
    <m/>
    <m/>
    <n v="283332"/>
    <n v="260665"/>
    <n v="0"/>
    <n v="0"/>
    <n v="60800"/>
    <n v="300600"/>
    <n v="361400"/>
    <n v="132535.48800000001"/>
    <n v="88356.992000000013"/>
    <n v="-24051.387388882686"/>
    <n v="37154.252388000001"/>
    <n v="50438.379078999998"/>
    <n v="-1957.3398"/>
    <n v="88622.739600000001"/>
    <n v="0"/>
    <n v="0"/>
    <n v="14120.412400000001"/>
    <n v="0"/>
    <n v="320900"/>
    <n v="64300"/>
    <n v="385200"/>
    <n v="6.5855008301051468E-2"/>
    <n v="0.99970000000000003"/>
    <n v="0.99819999999999998"/>
    <n v="1.0007999999999999"/>
    <n v="0.99519999999999997"/>
    <n v="0.99080000000000001"/>
    <n v="0.94971499999999998"/>
    <n v="0.93552311998124726"/>
    <n v="312400"/>
    <n v="0"/>
    <n v="312400"/>
    <n v="61100"/>
    <n v="373500"/>
    <n v="3.9254823685961414E-2"/>
    <n v="4.9342105263157892E-3"/>
    <n v="3.3480907581627008E-2"/>
  </r>
  <r>
    <n v="2025"/>
    <s v="19120113455    "/>
    <n v="-1.8325814637483102"/>
    <n v="0.16"/>
    <n v="6805"/>
    <s v="2"/>
    <s v="RES"/>
    <s v="MX"/>
    <s v="11"/>
    <s v="259"/>
    <s v="RN"/>
    <x v="5"/>
    <s v="AV"/>
    <n v="10"/>
    <n v="18"/>
    <n v="18"/>
    <n v="2006"/>
    <n v="2006"/>
    <n v="2150"/>
    <m/>
    <m/>
    <m/>
    <m/>
    <n v="0"/>
    <n v="2150"/>
    <n v="2500"/>
    <s v="N"/>
    <m/>
    <n v="734"/>
    <m/>
    <m/>
    <m/>
    <m/>
    <m/>
    <n v="443590"/>
    <n v="403667"/>
    <n v="0"/>
    <n v="0"/>
    <n v="60800"/>
    <n v="321000"/>
    <n v="381800"/>
    <n v="132535.48800000001"/>
    <n v="88356.992000000013"/>
    <n v="-24051.387388882686"/>
    <n v="32917.849192000001"/>
    <n v="17761.121909000001"/>
    <n v="-1957.3398"/>
    <n v="134182.31700000001"/>
    <n v="0"/>
    <n v="0"/>
    <n v="25910.956754000003"/>
    <n v="0"/>
    <n v="341400"/>
    <n v="64300"/>
    <n v="405700"/>
    <n v="6.2598218962807747E-2"/>
    <n v="0.99970000000000003"/>
    <n v="1.0019"/>
    <n v="0.99680000000000002"/>
    <n v="1.0008999999999999"/>
    <n v="0.99080000000000001"/>
    <n v="0.94971499999999998"/>
    <n v="0.94059440371441083"/>
    <n v="333500"/>
    <n v="0"/>
    <n v="333500"/>
    <n v="61100"/>
    <n v="394600"/>
    <n v="3.8940809968847349E-2"/>
    <n v="4.9342105263157892E-3"/>
    <n v="3.352540597171294E-2"/>
  </r>
  <r>
    <n v="2025"/>
    <s v="19120113502    "/>
    <n v="-1.8325814637483102"/>
    <n v="0.16"/>
    <n v="6855"/>
    <s v="2"/>
    <s v="RES"/>
    <s v="MX"/>
    <s v="11"/>
    <s v="259"/>
    <s v="CP"/>
    <x v="5"/>
    <s v="GD"/>
    <n v="10"/>
    <n v="18"/>
    <n v="18"/>
    <n v="2006"/>
    <n v="2006"/>
    <n v="2154"/>
    <m/>
    <m/>
    <m/>
    <m/>
    <n v="0"/>
    <n v="2154"/>
    <n v="2500"/>
    <s v="N"/>
    <m/>
    <n v="730"/>
    <m/>
    <m/>
    <m/>
    <m/>
    <m/>
    <n v="472994"/>
    <n v="430425"/>
    <n v="0"/>
    <n v="0"/>
    <n v="60800"/>
    <n v="332600"/>
    <n v="393400"/>
    <n v="132535.48800000001"/>
    <n v="88356.992000000013"/>
    <n v="-24051.387388882686"/>
    <n v="32917.849192000001"/>
    <n v="30300.329274"/>
    <n v="-1957.3398"/>
    <n v="134431.95852000001"/>
    <n v="0"/>
    <n v="0"/>
    <n v="25769.752630000003"/>
    <n v="0"/>
    <n v="354000"/>
    <n v="64300"/>
    <n v="418300"/>
    <n v="6.3294356888662945E-2"/>
    <n v="0.99970000000000003"/>
    <n v="1.0019"/>
    <n v="0.997"/>
    <n v="1.0008999999999999"/>
    <n v="0.99080000000000001"/>
    <n v="0.94971499999999998"/>
    <n v="0.94078312650809337"/>
    <n v="346100"/>
    <n v="0"/>
    <n v="346100"/>
    <n v="61100"/>
    <n v="407200"/>
    <n v="4.0589296452194827E-2"/>
    <n v="4.9342105263157892E-3"/>
    <n v="3.5078800203355361E-2"/>
  </r>
  <r>
    <n v="2025"/>
    <s v="19120113514    "/>
    <n v="-1.8325814637483102"/>
    <n v="0.16"/>
    <n v="7085"/>
    <s v="2"/>
    <s v="RES"/>
    <s v="MX"/>
    <s v="11"/>
    <s v="259"/>
    <s v="RN"/>
    <x v="5"/>
    <s v="GD"/>
    <n v="10"/>
    <n v="18"/>
    <n v="18"/>
    <n v="2006"/>
    <n v="2006"/>
    <n v="2154"/>
    <m/>
    <m/>
    <m/>
    <m/>
    <n v="0"/>
    <n v="2154"/>
    <n v="2500"/>
    <s v="N"/>
    <m/>
    <n v="730"/>
    <m/>
    <m/>
    <m/>
    <m/>
    <m/>
    <n v="463259"/>
    <n v="421566"/>
    <n v="0"/>
    <n v="0"/>
    <n v="60800"/>
    <n v="332600"/>
    <n v="393400"/>
    <n v="132535.48800000001"/>
    <n v="88356.992000000013"/>
    <n v="-24051.387388882686"/>
    <n v="32917.849192000001"/>
    <n v="30300.329274"/>
    <n v="-1957.3398"/>
    <n v="134431.95852000001"/>
    <n v="0"/>
    <n v="0"/>
    <n v="25769.752630000003"/>
    <n v="0"/>
    <n v="354000"/>
    <n v="64300"/>
    <n v="418300"/>
    <n v="6.3294356888662945E-2"/>
    <n v="0.99970000000000003"/>
    <n v="1.0019"/>
    <n v="0.997"/>
    <n v="1.0008999999999999"/>
    <n v="0.99080000000000001"/>
    <n v="0.94971499999999998"/>
    <n v="0.94078312650809337"/>
    <n v="346100"/>
    <n v="0"/>
    <n v="346100"/>
    <n v="61100"/>
    <n v="407200"/>
    <n v="4.0589296452194827E-2"/>
    <n v="4.9342105263157892E-3"/>
    <n v="3.5078800203355361E-2"/>
  </r>
  <r>
    <n v="2025"/>
    <s v="19120131529    "/>
    <n v="-1.8325814637483102"/>
    <n v="0.16"/>
    <n v="7123"/>
    <s v="2"/>
    <s v="RES"/>
    <s v="MX"/>
    <s v="11"/>
    <s v="259"/>
    <s v="RN"/>
    <x v="2"/>
    <s v="AV"/>
    <n v="20"/>
    <n v="27"/>
    <n v="27"/>
    <n v="1997"/>
    <n v="1997"/>
    <n v="962"/>
    <m/>
    <m/>
    <m/>
    <m/>
    <n v="0"/>
    <n v="962"/>
    <n v="1000"/>
    <s v="N"/>
    <m/>
    <m/>
    <m/>
    <m/>
    <m/>
    <m/>
    <m/>
    <n v="148705"/>
    <n v="129373"/>
    <n v="0"/>
    <n v="0"/>
    <n v="60800"/>
    <n v="196600"/>
    <n v="257400"/>
    <n v="132535.48800000001"/>
    <n v="88356.992000000013"/>
    <n v="-24051.387388882686"/>
    <n v="-1240.8083630000001"/>
    <n v="17761.121909000001"/>
    <n v="-2936.0097000000001"/>
    <n v="60038.785560000004"/>
    <n v="0"/>
    <n v="0"/>
    <n v="0"/>
    <n v="0"/>
    <n v="206200"/>
    <n v="64300"/>
    <n v="270500"/>
    <n v="5.0893550893550896E-2"/>
    <n v="0.99970000000000003"/>
    <n v="1.0022"/>
    <n v="0.99680000000000002"/>
    <n v="1"/>
    <n v="1.0138"/>
    <n v="0.94971499999999998"/>
    <n v="0.96185146767268836"/>
    <n v="201100"/>
    <n v="0"/>
    <n v="201100"/>
    <n v="61100"/>
    <n v="262200"/>
    <n v="2.288911495422177E-2"/>
    <n v="4.9342105263157892E-3"/>
    <n v="1.8648018648018648E-2"/>
  </r>
  <r>
    <n v="2025"/>
    <s v="19120131507    "/>
    <n v="-1.8325814637483102"/>
    <n v="0.16"/>
    <n v="6891"/>
    <s v="2"/>
    <s v="RES"/>
    <s v="MX"/>
    <s v="11"/>
    <s v="259"/>
    <s v="RN"/>
    <x v="2"/>
    <s v="AV"/>
    <n v="40"/>
    <n v="44"/>
    <n v="44"/>
    <n v="1980"/>
    <n v="1980"/>
    <n v="980"/>
    <m/>
    <m/>
    <m/>
    <m/>
    <n v="0"/>
    <n v="980"/>
    <n v="1000"/>
    <s v="N"/>
    <m/>
    <n v="260"/>
    <m/>
    <m/>
    <m/>
    <m/>
    <m/>
    <n v="158262"/>
    <n v="123444"/>
    <n v="0"/>
    <n v="0"/>
    <n v="60800"/>
    <n v="197500"/>
    <n v="258300"/>
    <n v="132535.48800000001"/>
    <n v="88356.992000000013"/>
    <n v="-24051.387388882686"/>
    <n v="-1240.8083630000001"/>
    <n v="17761.121909000001"/>
    <n v="-4784.6084000000001"/>
    <n v="61162.172400000003"/>
    <n v="0"/>
    <n v="0"/>
    <n v="9178.2680600000003"/>
    <n v="0"/>
    <n v="214600"/>
    <n v="64300"/>
    <n v="278900"/>
    <n v="7.975222609368951E-2"/>
    <n v="0.99970000000000003"/>
    <n v="1.0022"/>
    <n v="0.99680000000000002"/>
    <n v="1"/>
    <n v="0.95689999999999997"/>
    <n v="0.94971499999999998"/>
    <n v="0.90786710338922405"/>
    <n v="202400"/>
    <n v="0"/>
    <n v="202400"/>
    <n v="61100"/>
    <n v="263500"/>
    <n v="2.4810126582278481E-2"/>
    <n v="4.9342105263157892E-3"/>
    <n v="2.0131629887727449E-2"/>
  </r>
  <r>
    <n v="2025"/>
    <s v="19120113577    "/>
    <n v="-1.8325814637483102"/>
    <n v="0.16"/>
    <n v="7036"/>
    <s v="2"/>
    <s v="RES"/>
    <s v="MX"/>
    <s v="11"/>
    <s v="259"/>
    <s v="CP"/>
    <x v="5"/>
    <s v="VG"/>
    <n v="10"/>
    <n v="16"/>
    <n v="16"/>
    <n v="2008"/>
    <n v="2008"/>
    <n v="2058"/>
    <m/>
    <m/>
    <m/>
    <m/>
    <n v="0"/>
    <n v="2058"/>
    <n v="2500"/>
    <s v="N"/>
    <n v="1"/>
    <n v="782"/>
    <m/>
    <m/>
    <m/>
    <m/>
    <m/>
    <n v="445873"/>
    <n v="414662"/>
    <n v="0"/>
    <n v="0"/>
    <n v="60800"/>
    <n v="347200"/>
    <n v="408000"/>
    <n v="132535.48800000001"/>
    <n v="88356.992000000013"/>
    <n v="-24051.387388882686"/>
    <n v="32917.849192000001"/>
    <n v="50438.379078999998"/>
    <n v="-1739.8576"/>
    <n v="128440.56204"/>
    <n v="0"/>
    <n v="0"/>
    <n v="27605.406242000001"/>
    <n v="0"/>
    <n v="370200"/>
    <n v="64300"/>
    <n v="434500"/>
    <n v="6.4950980392156868E-2"/>
    <n v="0.99970000000000003"/>
    <n v="1.0019"/>
    <n v="1.0007999999999999"/>
    <n v="1.0008999999999999"/>
    <n v="0.99080000000000001"/>
    <n v="0.94971499999999998"/>
    <n v="0.94436885958806405"/>
    <n v="362800"/>
    <n v="0"/>
    <n v="362800"/>
    <n v="61100"/>
    <n v="423900"/>
    <n v="4.4930875576036866E-2"/>
    <n v="4.9342105263157892E-3"/>
    <n v="3.8970588235294118E-2"/>
  </r>
  <r>
    <n v="2025"/>
    <s v="19120112449    "/>
    <n v="-1.8325814637483102"/>
    <n v="0.16"/>
    <n v="7016"/>
    <s v="2"/>
    <s v="RES"/>
    <s v="MX"/>
    <s v="11"/>
    <s v="259"/>
    <s v="RN"/>
    <x v="5"/>
    <s v="VG"/>
    <n v="10"/>
    <n v="17"/>
    <n v="17"/>
    <n v="2007"/>
    <n v="2007"/>
    <n v="1768"/>
    <m/>
    <m/>
    <m/>
    <m/>
    <n v="0"/>
    <n v="1768"/>
    <n v="2000"/>
    <s v="N"/>
    <n v="1"/>
    <m/>
    <m/>
    <m/>
    <m/>
    <m/>
    <m/>
    <n v="353294"/>
    <n v="328563"/>
    <n v="0"/>
    <n v="0"/>
    <n v="60800"/>
    <n v="302600"/>
    <n v="363400"/>
    <n v="132535.48800000001"/>
    <n v="88356.992000000013"/>
    <n v="-24051.387388882686"/>
    <n v="32917.849192000001"/>
    <n v="50438.379078999998"/>
    <n v="-1848.5987"/>
    <n v="110341.55184"/>
    <n v="0"/>
    <n v="0"/>
    <n v="0"/>
    <n v="0"/>
    <n v="324400"/>
    <n v="64300"/>
    <n v="388700"/>
    <n v="6.9620253164556958E-2"/>
    <n v="0.99970000000000003"/>
    <n v="1.0019"/>
    <n v="1.0007999999999999"/>
    <n v="1.0007999999999999"/>
    <n v="0.99080000000000001"/>
    <n v="0.94971499999999998"/>
    <n v="0.94427450761887755"/>
    <n v="317000"/>
    <n v="0"/>
    <n v="317000"/>
    <n v="61100"/>
    <n v="378100"/>
    <n v="4.758757435558493E-2"/>
    <n v="4.9342105263157892E-3"/>
    <n v="4.0451293340671435E-2"/>
  </r>
  <r>
    <n v="2025"/>
    <s v="19120113594    "/>
    <n v="-1.8325814637483102"/>
    <n v="0.16"/>
    <n v="7078"/>
    <s v="2"/>
    <s v="RES"/>
    <s v="MX"/>
    <s v="11"/>
    <s v="259"/>
    <s v="RN"/>
    <x v="4"/>
    <s v="VG"/>
    <n v="10"/>
    <n v="17"/>
    <n v="17"/>
    <n v="2007"/>
    <n v="2007"/>
    <n v="2120"/>
    <m/>
    <m/>
    <m/>
    <m/>
    <n v="0"/>
    <n v="2120"/>
    <n v="2500"/>
    <s v="N"/>
    <m/>
    <n v="748"/>
    <m/>
    <m/>
    <m/>
    <m/>
    <m/>
    <n v="398970"/>
    <n v="371042"/>
    <n v="0"/>
    <n v="0"/>
    <n v="60800"/>
    <n v="352500"/>
    <n v="413300"/>
    <n v="132535.48800000001"/>
    <n v="88356.992000000013"/>
    <n v="-24051.387388882686"/>
    <n v="37154.252388000001"/>
    <n v="50438.379078999998"/>
    <n v="-1848.5987"/>
    <n v="132310.0056"/>
    <n v="0"/>
    <n v="0"/>
    <n v="26405.171188"/>
    <n v="0"/>
    <n v="377000"/>
    <n v="64300"/>
    <n v="441300"/>
    <n v="6.7747398983789009E-2"/>
    <n v="0.99970000000000003"/>
    <n v="0.99819999999999998"/>
    <n v="1.0007999999999999"/>
    <n v="1.0008999999999999"/>
    <n v="0.99080000000000001"/>
    <n v="0.94971499999999998"/>
    <n v="0.94088132113065737"/>
    <n v="369200"/>
    <n v="0"/>
    <n v="369200"/>
    <n v="61100"/>
    <n v="430300"/>
    <n v="4.7375886524822698E-2"/>
    <n v="4.9342105263157892E-3"/>
    <n v="4.1132349383014757E-2"/>
  </r>
  <r>
    <n v="2025"/>
    <s v="19120113565    "/>
    <n v="-1.8325814637483102"/>
    <n v="0.16"/>
    <n v="7033"/>
    <s v="2"/>
    <s v="RES"/>
    <s v="MX"/>
    <s v="11"/>
    <s v="259"/>
    <s v="RN"/>
    <x v="5"/>
    <s v="VG"/>
    <n v="10"/>
    <n v="16"/>
    <n v="16"/>
    <n v="2008"/>
    <n v="2008"/>
    <n v="2136"/>
    <m/>
    <m/>
    <m/>
    <m/>
    <n v="0"/>
    <n v="2136"/>
    <n v="2500"/>
    <s v="N"/>
    <m/>
    <n v="748"/>
    <m/>
    <m/>
    <m/>
    <m/>
    <m/>
    <n v="453430"/>
    <n v="421690"/>
    <n v="0"/>
    <n v="0"/>
    <n v="60800"/>
    <n v="349800"/>
    <n v="410600"/>
    <n v="132535.48800000001"/>
    <n v="88356.992000000013"/>
    <n v="-24051.387388882686"/>
    <n v="32917.849192000001"/>
    <n v="50438.379078999998"/>
    <n v="-1739.8576"/>
    <n v="133308.57167999999"/>
    <n v="0"/>
    <n v="0"/>
    <n v="26405.171188"/>
    <n v="0"/>
    <n v="373900"/>
    <n v="64300"/>
    <n v="438200"/>
    <n v="6.7218704335119339E-2"/>
    <n v="0.99970000000000003"/>
    <n v="1.0019"/>
    <n v="1.0007999999999999"/>
    <n v="1.0008999999999999"/>
    <n v="0.99080000000000001"/>
    <n v="0.94971499999999998"/>
    <n v="0.94436885958806405"/>
    <n v="366500"/>
    <n v="0"/>
    <n v="366500"/>
    <n v="61100"/>
    <n v="427600"/>
    <n v="4.7741566609491137E-2"/>
    <n v="4.9342105263157892E-3"/>
    <n v="4.1402825133950313E-2"/>
  </r>
  <r>
    <n v="2025"/>
    <s v="19120144484    "/>
    <n v="-1.8325814637483102"/>
    <n v="0.16"/>
    <n v="7017"/>
    <s v="2"/>
    <s v="RES"/>
    <s v="MX"/>
    <s v="11"/>
    <s v="259"/>
    <s v="RN"/>
    <x v="5"/>
    <s v="VG"/>
    <n v="20"/>
    <n v="20"/>
    <n v="20"/>
    <n v="2004"/>
    <n v="2004"/>
    <n v="1706"/>
    <m/>
    <m/>
    <m/>
    <m/>
    <n v="0"/>
    <n v="1706"/>
    <n v="2000"/>
    <s v="N"/>
    <n v="1"/>
    <n v="466"/>
    <m/>
    <m/>
    <m/>
    <m/>
    <m/>
    <n v="375962"/>
    <n v="345885"/>
    <n v="0"/>
    <n v="0"/>
    <n v="60800"/>
    <n v="316800"/>
    <n v="377600"/>
    <n v="132535.48800000001"/>
    <n v="88356.992000000013"/>
    <n v="-24051.387388882686"/>
    <n v="32917.849192000001"/>
    <n v="50438.379078999998"/>
    <n v="-2174.8220000000001"/>
    <n v="106472.10828"/>
    <n v="0"/>
    <n v="0"/>
    <n v="16450.280446000001"/>
    <n v="0"/>
    <n v="336600"/>
    <n v="64300"/>
    <n v="400900"/>
    <n v="6.1705508474576273E-2"/>
    <n v="0.99970000000000003"/>
    <n v="1.0019"/>
    <n v="1.0007999999999999"/>
    <n v="1.0007999999999999"/>
    <n v="1.0138"/>
    <n v="0.94971499999999998"/>
    <n v="0.96619448508681682"/>
    <n v="332200"/>
    <n v="0"/>
    <n v="332200"/>
    <n v="61100"/>
    <n v="393300"/>
    <n v="4.8611111111111112E-2"/>
    <n v="4.9342105263157892E-3"/>
    <n v="4.1578389830508475E-2"/>
  </r>
  <r>
    <n v="2025"/>
    <s v="19120113489    "/>
    <n v="-1.8325814637483102"/>
    <n v="0.16"/>
    <n v="7002"/>
    <s v="2"/>
    <s v="RES"/>
    <s v="MX"/>
    <s v="11"/>
    <s v="259"/>
    <s v="RN"/>
    <x v="4"/>
    <s v="VG"/>
    <n v="10"/>
    <n v="18"/>
    <n v="18"/>
    <n v="2006"/>
    <n v="2006"/>
    <n v="2120"/>
    <m/>
    <m/>
    <m/>
    <m/>
    <n v="0"/>
    <n v="2120"/>
    <n v="2500"/>
    <s v="N"/>
    <n v="1"/>
    <n v="748"/>
    <m/>
    <m/>
    <m/>
    <m/>
    <m/>
    <n v="413561"/>
    <n v="380476"/>
    <n v="0"/>
    <n v="0"/>
    <n v="60800"/>
    <n v="351600"/>
    <n v="412400"/>
    <n v="132535.48800000001"/>
    <n v="88356.992000000013"/>
    <n v="-24051.387388882686"/>
    <n v="37154.252388000001"/>
    <n v="50438.379078999998"/>
    <n v="-1957.3398"/>
    <n v="132310.0056"/>
    <n v="0"/>
    <n v="0"/>
    <n v="26405.171188"/>
    <n v="0"/>
    <n v="376900"/>
    <n v="64300"/>
    <n v="441200"/>
    <n v="6.9835111542192047E-2"/>
    <n v="0.99970000000000003"/>
    <n v="0.99819999999999998"/>
    <n v="1.0007999999999999"/>
    <n v="1.0008999999999999"/>
    <n v="0.99080000000000001"/>
    <n v="0.94971499999999998"/>
    <n v="0.94088132113065737"/>
    <n v="369100"/>
    <n v="0"/>
    <n v="369100"/>
    <n v="61100"/>
    <n v="430200"/>
    <n v="4.9772468714448237E-2"/>
    <n v="4.9342105263157892E-3"/>
    <n v="4.3161978661493697E-2"/>
  </r>
  <r>
    <n v="2025"/>
    <s v="19120112432    "/>
    <n v="-1.8325814637483102"/>
    <n v="0.16"/>
    <n v="6989"/>
    <s v="2"/>
    <s v="RES"/>
    <s v="MX"/>
    <s v="11"/>
    <s v="259"/>
    <s v="RN"/>
    <x v="5"/>
    <s v="VG"/>
    <n v="10"/>
    <n v="17"/>
    <n v="17"/>
    <n v="2007"/>
    <n v="2007"/>
    <n v="2136"/>
    <m/>
    <m/>
    <m/>
    <m/>
    <n v="0"/>
    <n v="2136"/>
    <n v="2500"/>
    <s v="N"/>
    <m/>
    <n v="748"/>
    <m/>
    <m/>
    <m/>
    <m/>
    <m/>
    <n v="453228"/>
    <n v="421502"/>
    <n v="0"/>
    <n v="0"/>
    <n v="60800"/>
    <n v="348900"/>
    <n v="409700"/>
    <n v="132535.48800000001"/>
    <n v="88356.992000000013"/>
    <n v="-24051.387388882686"/>
    <n v="32917.849192000001"/>
    <n v="50438.379078999998"/>
    <n v="-1848.5987"/>
    <n v="133308.57167999999"/>
    <n v="0"/>
    <n v="0"/>
    <n v="26405.171188"/>
    <n v="0"/>
    <n v="373800"/>
    <n v="64300"/>
    <n v="438100"/>
    <n v="6.9319013912618993E-2"/>
    <n v="0.99970000000000003"/>
    <n v="1.0019"/>
    <n v="1.0007999999999999"/>
    <n v="1.0008999999999999"/>
    <n v="0.99080000000000001"/>
    <n v="0.94971499999999998"/>
    <n v="0.94436885958806405"/>
    <n v="366400"/>
    <n v="0"/>
    <n v="366400"/>
    <n v="61100"/>
    <n v="427500"/>
    <n v="5.0157638291774144E-2"/>
    <n v="4.9342105263157892E-3"/>
    <n v="4.3446424212838661E-2"/>
  </r>
  <r>
    <n v="2025"/>
    <s v="19120113580    "/>
    <n v="-1.8325814637483102"/>
    <n v="0.16"/>
    <n v="7035"/>
    <s v="2"/>
    <s v="RES"/>
    <s v="MX"/>
    <s v="11"/>
    <s v="259"/>
    <s v="RN"/>
    <x v="5"/>
    <s v="VG"/>
    <n v="10"/>
    <n v="17"/>
    <n v="17"/>
    <n v="2007"/>
    <n v="2007"/>
    <n v="2136"/>
    <m/>
    <m/>
    <m/>
    <m/>
    <n v="0"/>
    <n v="2136"/>
    <n v="2500"/>
    <s v="N"/>
    <m/>
    <n v="748"/>
    <m/>
    <m/>
    <m/>
    <m/>
    <m/>
    <n v="456038"/>
    <n v="424115"/>
    <n v="0"/>
    <n v="0"/>
    <n v="60800"/>
    <n v="348900"/>
    <n v="409700"/>
    <n v="132535.48800000001"/>
    <n v="88356.992000000013"/>
    <n v="-24051.387388882686"/>
    <n v="32917.849192000001"/>
    <n v="50438.379078999998"/>
    <n v="-1848.5987"/>
    <n v="133308.57167999999"/>
    <n v="0"/>
    <n v="0"/>
    <n v="26405.171188"/>
    <n v="0"/>
    <n v="373800"/>
    <n v="64300"/>
    <n v="438100"/>
    <n v="6.9319013912618993E-2"/>
    <n v="0.99970000000000003"/>
    <n v="1.0019"/>
    <n v="1.0007999999999999"/>
    <n v="1.0008999999999999"/>
    <n v="0.99080000000000001"/>
    <n v="0.94971499999999998"/>
    <n v="0.94436885958806405"/>
    <n v="366400"/>
    <n v="0"/>
    <n v="366400"/>
    <n v="61100"/>
    <n v="427500"/>
    <n v="5.0157638291774144E-2"/>
    <n v="4.9342105263157892E-3"/>
    <n v="4.3446424212838661E-2"/>
  </r>
  <r>
    <n v="2025"/>
    <s v="19120113606    "/>
    <n v="-1.8325814637483102"/>
    <n v="0.16"/>
    <n v="7077"/>
    <s v="2"/>
    <s v="RES"/>
    <s v="MX"/>
    <s v="11"/>
    <s v="259"/>
    <s v="RN"/>
    <x v="5"/>
    <s v="VG"/>
    <n v="10"/>
    <n v="17"/>
    <n v="17"/>
    <n v="2007"/>
    <n v="2007"/>
    <n v="2136"/>
    <m/>
    <m/>
    <m/>
    <m/>
    <n v="0"/>
    <n v="2136"/>
    <n v="2500"/>
    <s v="N"/>
    <m/>
    <n v="748"/>
    <m/>
    <m/>
    <m/>
    <m/>
    <m/>
    <n v="457161"/>
    <n v="425160"/>
    <n v="0"/>
    <n v="0"/>
    <n v="60800"/>
    <n v="348900"/>
    <n v="409700"/>
    <n v="132535.48800000001"/>
    <n v="88356.992000000013"/>
    <n v="-24051.387388882686"/>
    <n v="32917.849192000001"/>
    <n v="50438.379078999998"/>
    <n v="-1848.5987"/>
    <n v="133308.57167999999"/>
    <n v="0"/>
    <n v="0"/>
    <n v="26405.171188"/>
    <n v="0"/>
    <n v="373800"/>
    <n v="64300"/>
    <n v="438100"/>
    <n v="6.9319013912618993E-2"/>
    <n v="0.99970000000000003"/>
    <n v="1.0019"/>
    <n v="1.0007999999999999"/>
    <n v="1.0008999999999999"/>
    <n v="0.99080000000000001"/>
    <n v="0.94971499999999998"/>
    <n v="0.94436885958806405"/>
    <n v="366400"/>
    <n v="0"/>
    <n v="366400"/>
    <n v="61100"/>
    <n v="427500"/>
    <n v="5.0157638291774144E-2"/>
    <n v="4.9342105263157892E-3"/>
    <n v="4.3446424212838661E-2"/>
  </r>
  <r>
    <n v="2025"/>
    <s v="19120113583    "/>
    <n v="-1.8325814637483102"/>
    <n v="0.16"/>
    <n v="7077"/>
    <s v="2"/>
    <s v="RES"/>
    <s v="MX"/>
    <s v="11"/>
    <s v="259"/>
    <s v="RN"/>
    <x v="5"/>
    <s v="VG"/>
    <n v="10"/>
    <n v="17"/>
    <n v="17"/>
    <n v="2007"/>
    <n v="2007"/>
    <n v="2136"/>
    <m/>
    <m/>
    <m/>
    <m/>
    <n v="0"/>
    <n v="2136"/>
    <n v="2500"/>
    <s v="N"/>
    <m/>
    <n v="748"/>
    <m/>
    <m/>
    <m/>
    <m/>
    <m/>
    <n v="453430"/>
    <n v="421690"/>
    <n v="0"/>
    <n v="0"/>
    <n v="60800"/>
    <n v="348900"/>
    <n v="409700"/>
    <n v="132535.48800000001"/>
    <n v="88356.992000000013"/>
    <n v="-24051.387388882686"/>
    <n v="32917.849192000001"/>
    <n v="50438.379078999998"/>
    <n v="-1848.5987"/>
    <n v="133308.57167999999"/>
    <n v="0"/>
    <n v="0"/>
    <n v="26405.171188"/>
    <n v="0"/>
    <n v="373800"/>
    <n v="64300"/>
    <n v="438100"/>
    <n v="6.9319013912618993E-2"/>
    <n v="0.99970000000000003"/>
    <n v="1.0019"/>
    <n v="1.0007999999999999"/>
    <n v="1.0008999999999999"/>
    <n v="0.99080000000000001"/>
    <n v="0.94971499999999998"/>
    <n v="0.94436885958806405"/>
    <n v="366400"/>
    <n v="0"/>
    <n v="366400"/>
    <n v="61100"/>
    <n v="427500"/>
    <n v="5.0157638291774144E-2"/>
    <n v="4.9342105263157892E-3"/>
    <n v="4.3446424212838661E-2"/>
  </r>
  <r>
    <n v="2025"/>
    <s v="19120112434    "/>
    <n v="-1.8325814637483102"/>
    <n v="0.16"/>
    <n v="6989"/>
    <s v="2"/>
    <s v="RES"/>
    <s v="MX"/>
    <s v="11"/>
    <s v="259"/>
    <s v="RN"/>
    <x v="5"/>
    <s v="VG"/>
    <n v="10"/>
    <n v="17"/>
    <n v="17"/>
    <n v="2007"/>
    <n v="2007"/>
    <n v="2154"/>
    <m/>
    <m/>
    <m/>
    <m/>
    <n v="0"/>
    <n v="2154"/>
    <n v="2500"/>
    <s v="N"/>
    <m/>
    <n v="730"/>
    <m/>
    <m/>
    <m/>
    <m/>
    <m/>
    <n v="467271"/>
    <n v="434562"/>
    <n v="0"/>
    <n v="0"/>
    <n v="60800"/>
    <n v="349000"/>
    <n v="409800"/>
    <n v="132535.48800000001"/>
    <n v="88356.992000000013"/>
    <n v="-24051.387388882686"/>
    <n v="32917.849192000001"/>
    <n v="50438.379078999998"/>
    <n v="-1848.5987"/>
    <n v="134431.95852000001"/>
    <n v="0"/>
    <n v="0"/>
    <n v="25769.752630000003"/>
    <n v="0"/>
    <n v="374200"/>
    <n v="64300"/>
    <n v="438500"/>
    <n v="7.003416300634456E-2"/>
    <n v="0.99970000000000003"/>
    <n v="1.0019"/>
    <n v="1.0007999999999999"/>
    <n v="1.0008999999999999"/>
    <n v="0.99080000000000001"/>
    <n v="0.94971499999999998"/>
    <n v="0.94436885958806405"/>
    <n v="366900"/>
    <n v="0"/>
    <n v="366900"/>
    <n v="61100"/>
    <n v="428000"/>
    <n v="5.1289398280802291E-2"/>
    <n v="4.9342105263157892E-3"/>
    <n v="4.4411908247925819E-2"/>
  </r>
  <r>
    <n v="2025"/>
    <s v="19120112450    "/>
    <n v="-1.8325814637483102"/>
    <n v="0.16"/>
    <n v="6995"/>
    <s v="2"/>
    <s v="RES"/>
    <s v="MX"/>
    <s v="11"/>
    <s v="259"/>
    <s v="RN"/>
    <x v="5"/>
    <s v="VG"/>
    <n v="10"/>
    <n v="17"/>
    <n v="17"/>
    <n v="2007"/>
    <n v="2007"/>
    <n v="2154"/>
    <m/>
    <m/>
    <m/>
    <m/>
    <n v="0"/>
    <n v="2154"/>
    <n v="2500"/>
    <s v="N"/>
    <m/>
    <n v="730"/>
    <m/>
    <m/>
    <m/>
    <m/>
    <m/>
    <n v="460344"/>
    <n v="428120"/>
    <n v="0"/>
    <n v="0"/>
    <n v="60800"/>
    <n v="349000"/>
    <n v="409800"/>
    <n v="132535.48800000001"/>
    <n v="88356.992000000013"/>
    <n v="-24051.387388882686"/>
    <n v="32917.849192000001"/>
    <n v="50438.379078999998"/>
    <n v="-1848.5987"/>
    <n v="134431.95852000001"/>
    <n v="0"/>
    <n v="0"/>
    <n v="25769.752630000003"/>
    <n v="0"/>
    <n v="374200"/>
    <n v="64300"/>
    <n v="438500"/>
    <n v="7.003416300634456E-2"/>
    <n v="0.99970000000000003"/>
    <n v="1.0019"/>
    <n v="1.0007999999999999"/>
    <n v="1.0008999999999999"/>
    <n v="0.99080000000000001"/>
    <n v="0.94971499999999998"/>
    <n v="0.94436885958806405"/>
    <n v="366900"/>
    <n v="0"/>
    <n v="366900"/>
    <n v="61100"/>
    <n v="428000"/>
    <n v="5.1289398280802291E-2"/>
    <n v="4.9342105263157892E-3"/>
    <n v="4.4411908247925819E-2"/>
  </r>
  <r>
    <n v="2025"/>
    <s v="19120113537    "/>
    <n v="-1.8325814637483102"/>
    <n v="0.16"/>
    <n v="7078"/>
    <s v="2"/>
    <s v="RES"/>
    <s v="MX"/>
    <s v="11"/>
    <s v="259"/>
    <s v="RN"/>
    <x v="5"/>
    <s v="VG"/>
    <n v="10"/>
    <n v="17"/>
    <n v="17"/>
    <n v="2007"/>
    <n v="2007"/>
    <n v="2154"/>
    <m/>
    <m/>
    <m/>
    <m/>
    <n v="0"/>
    <n v="2154"/>
    <n v="2500"/>
    <s v="N"/>
    <m/>
    <n v="730"/>
    <m/>
    <m/>
    <m/>
    <m/>
    <m/>
    <n v="456574"/>
    <n v="424614"/>
    <n v="0"/>
    <n v="0"/>
    <n v="60800"/>
    <n v="349000"/>
    <n v="409800"/>
    <n v="132535.48800000001"/>
    <n v="88356.992000000013"/>
    <n v="-24051.387388882686"/>
    <n v="32917.849192000001"/>
    <n v="50438.379078999998"/>
    <n v="-1848.5987"/>
    <n v="134431.95852000001"/>
    <n v="0"/>
    <n v="0"/>
    <n v="25769.752630000003"/>
    <n v="0"/>
    <n v="374200"/>
    <n v="64300"/>
    <n v="438500"/>
    <n v="7.003416300634456E-2"/>
    <n v="0.99970000000000003"/>
    <n v="1.0019"/>
    <n v="1.0007999999999999"/>
    <n v="1.0008999999999999"/>
    <n v="0.99080000000000001"/>
    <n v="0.94971499999999998"/>
    <n v="0.94436885958806405"/>
    <n v="366900"/>
    <n v="0"/>
    <n v="366900"/>
    <n v="61100"/>
    <n v="428000"/>
    <n v="5.1289398280802291E-2"/>
    <n v="4.9342105263157892E-3"/>
    <n v="4.4411908247925819E-2"/>
  </r>
  <r>
    <n v="2025"/>
    <s v="19120113478    "/>
    <n v="-1.8325814637483102"/>
    <n v="0.16"/>
    <n v="7000"/>
    <s v="2"/>
    <s v="RES"/>
    <s v="MX"/>
    <s v="11"/>
    <s v="259"/>
    <s v="RN"/>
    <x v="5"/>
    <s v="VG"/>
    <n v="10"/>
    <n v="19"/>
    <n v="19"/>
    <n v="2005"/>
    <n v="2005"/>
    <n v="2138"/>
    <m/>
    <m/>
    <m/>
    <m/>
    <n v="0"/>
    <n v="2138"/>
    <n v="2500"/>
    <s v="N"/>
    <m/>
    <n v="730"/>
    <m/>
    <m/>
    <m/>
    <m/>
    <m/>
    <n v="457646"/>
    <n v="416458"/>
    <n v="0"/>
    <n v="0"/>
    <n v="60800"/>
    <n v="346500"/>
    <n v="407300"/>
    <n v="132535.48800000001"/>
    <n v="88356.992000000013"/>
    <n v="-24051.387388882686"/>
    <n v="32917.849192000001"/>
    <n v="50438.379078999998"/>
    <n v="-2066.0808999999999"/>
    <n v="133433.39244"/>
    <n v="0"/>
    <n v="0"/>
    <n v="25769.752630000003"/>
    <n v="0"/>
    <n v="373000"/>
    <n v="64300"/>
    <n v="437300"/>
    <n v="7.3655781978885337E-2"/>
    <n v="0.99970000000000003"/>
    <n v="1.0019"/>
    <n v="1.0007999999999999"/>
    <n v="1.0008999999999999"/>
    <n v="0.99080000000000001"/>
    <n v="0.94971499999999998"/>
    <n v="0.94436885958806405"/>
    <n v="365700"/>
    <n v="0"/>
    <n v="365700"/>
    <n v="61100"/>
    <n v="426800"/>
    <n v="5.5411255411255411E-2"/>
    <n v="4.9342105263157892E-3"/>
    <n v="4.7876258286275473E-2"/>
  </r>
  <r>
    <n v="2025"/>
    <s v="19120144479    "/>
    <n v="-1.8325814637483102"/>
    <n v="0.16"/>
    <n v="7007"/>
    <s v="2"/>
    <s v="RES"/>
    <s v="MX"/>
    <s v="11"/>
    <s v="259"/>
    <s v="CP"/>
    <x v="5"/>
    <s v="VG"/>
    <n v="10"/>
    <n v="19"/>
    <n v="19"/>
    <n v="2005"/>
    <n v="2005"/>
    <n v="2154"/>
    <m/>
    <m/>
    <m/>
    <m/>
    <n v="0"/>
    <n v="2154"/>
    <n v="2500"/>
    <s v="N"/>
    <n v="1"/>
    <n v="730"/>
    <m/>
    <m/>
    <m/>
    <m/>
    <m/>
    <n v="468471"/>
    <n v="426309"/>
    <n v="0"/>
    <n v="0"/>
    <n v="60800"/>
    <n v="347200"/>
    <n v="408000"/>
    <n v="132535.48800000001"/>
    <n v="88356.992000000013"/>
    <n v="-24051.387388882686"/>
    <n v="32917.849192000001"/>
    <n v="50438.379078999998"/>
    <n v="-2066.0808999999999"/>
    <n v="134431.95852000001"/>
    <n v="0"/>
    <n v="0"/>
    <n v="25769.752630000003"/>
    <n v="0"/>
    <n v="374000"/>
    <n v="64300"/>
    <n v="438300"/>
    <n v="7.4264705882352941E-2"/>
    <n v="0.99970000000000003"/>
    <n v="1.0019"/>
    <n v="1.0007999999999999"/>
    <n v="1.0008999999999999"/>
    <n v="0.99080000000000001"/>
    <n v="0.94971499999999998"/>
    <n v="0.94436885958806405"/>
    <n v="366700"/>
    <n v="0"/>
    <n v="366700"/>
    <n v="61100"/>
    <n v="427800"/>
    <n v="5.6163594470046083E-2"/>
    <n v="4.9342105263157892E-3"/>
    <n v="4.8529411764705883E-2"/>
  </r>
  <r>
    <n v="2025"/>
    <s v="19120113482    "/>
    <n v="-1.8325814637483102"/>
    <n v="0.16"/>
    <n v="7031"/>
    <s v="2"/>
    <s v="RES"/>
    <s v="MX"/>
    <s v="11"/>
    <s v="259"/>
    <s v="RN"/>
    <x v="5"/>
    <s v="VG"/>
    <n v="10"/>
    <n v="19"/>
    <n v="19"/>
    <n v="2005"/>
    <n v="2005"/>
    <n v="2154"/>
    <m/>
    <m/>
    <m/>
    <m/>
    <n v="0"/>
    <n v="2154"/>
    <n v="2500"/>
    <s v="N"/>
    <m/>
    <n v="730"/>
    <m/>
    <m/>
    <m/>
    <m/>
    <m/>
    <n v="455082"/>
    <n v="414125"/>
    <n v="0"/>
    <n v="0"/>
    <n v="60800"/>
    <n v="347200"/>
    <n v="408000"/>
    <n v="132535.48800000001"/>
    <n v="88356.992000000013"/>
    <n v="-24051.387388882686"/>
    <n v="32917.849192000001"/>
    <n v="50438.379078999998"/>
    <n v="-2066.0808999999999"/>
    <n v="134431.95852000001"/>
    <n v="0"/>
    <n v="0"/>
    <n v="25769.752630000003"/>
    <n v="0"/>
    <n v="374000"/>
    <n v="64300"/>
    <n v="438300"/>
    <n v="7.4264705882352941E-2"/>
    <n v="0.99970000000000003"/>
    <n v="1.0019"/>
    <n v="1.0007999999999999"/>
    <n v="1.0008999999999999"/>
    <n v="0.99080000000000001"/>
    <n v="0.94971499999999998"/>
    <n v="0.94436885958806405"/>
    <n v="366700"/>
    <n v="0"/>
    <n v="366700"/>
    <n v="61100"/>
    <n v="427800"/>
    <n v="5.6163594470046083E-2"/>
    <n v="4.9342105263157892E-3"/>
    <n v="4.8529411764705883E-2"/>
  </r>
  <r>
    <n v="2025"/>
    <s v="19120131524    "/>
    <n v="-1.8325814637483102"/>
    <n v="0.16"/>
    <n v="6798"/>
    <s v="2"/>
    <s v="RES"/>
    <s v="MX"/>
    <s v="11"/>
    <s v="259"/>
    <s v="RN"/>
    <x v="2"/>
    <s v="VG"/>
    <n v="20"/>
    <n v="27"/>
    <n v="27"/>
    <n v="1997"/>
    <n v="1997"/>
    <n v="1344"/>
    <m/>
    <m/>
    <m/>
    <m/>
    <n v="0"/>
    <n v="1344"/>
    <n v="1500"/>
    <s v="N"/>
    <m/>
    <m/>
    <m/>
    <m/>
    <m/>
    <m/>
    <m/>
    <n v="202756"/>
    <n v="178425"/>
    <n v="0"/>
    <n v="0"/>
    <n v="60800"/>
    <n v="242500"/>
    <n v="303300"/>
    <n v="132535.48800000001"/>
    <n v="88356.992000000013"/>
    <n v="-24051.387388882686"/>
    <n v="-1240.8083630000001"/>
    <n v="50438.379078999998"/>
    <n v="-2936.0097000000001"/>
    <n v="83879.550719999999"/>
    <n v="0"/>
    <n v="0"/>
    <n v="0"/>
    <n v="0"/>
    <n v="262700"/>
    <n v="64300"/>
    <n v="327000"/>
    <n v="7.8140454995054398E-2"/>
    <n v="0.99970000000000003"/>
    <n v="1.0022"/>
    <n v="1.0007999999999999"/>
    <n v="0.99519999999999997"/>
    <n v="1.0138"/>
    <n v="0.94971499999999998"/>
    <n v="0.96107581088720062"/>
    <n v="257500"/>
    <n v="0"/>
    <n v="257500"/>
    <n v="61100"/>
    <n v="318600"/>
    <n v="6.1855670103092786E-2"/>
    <n v="4.9342105263157892E-3"/>
    <n v="5.0445103857566766E-2"/>
  </r>
  <r>
    <n v="2025"/>
    <s v="19120143015    "/>
    <n v="-1.8325814637483102"/>
    <n v="0.16"/>
    <n v="7000"/>
    <s v="2"/>
    <s v="RES"/>
    <s v="MX"/>
    <s v="11"/>
    <s v="259"/>
    <s v="TD"/>
    <x v="2"/>
    <s v="AV"/>
    <n v="90"/>
    <n v="99"/>
    <n v="56"/>
    <n v="1925"/>
    <n v="1968"/>
    <n v="1068"/>
    <m/>
    <m/>
    <m/>
    <m/>
    <n v="0"/>
    <n v="1068"/>
    <n v="1500"/>
    <s v="N"/>
    <m/>
    <m/>
    <m/>
    <m/>
    <m/>
    <m/>
    <m/>
    <n v="166698"/>
    <n v="106687"/>
    <n v="0"/>
    <n v="0"/>
    <n v="60800"/>
    <n v="175800"/>
    <n v="236600"/>
    <n v="132535.48800000001"/>
    <n v="88356.992000000013"/>
    <n v="-24051.387388882686"/>
    <n v="-1240.8083630000001"/>
    <n v="17761.121909000001"/>
    <n v="-6089.5016000000005"/>
    <n v="66654.285839999997"/>
    <n v="0"/>
    <n v="0"/>
    <n v="0"/>
    <n v="0"/>
    <n v="209600"/>
    <n v="64300"/>
    <n v="273900"/>
    <n v="0.15765004226542689"/>
    <n v="0.99970000000000003"/>
    <n v="1.0022"/>
    <n v="0.99680000000000002"/>
    <n v="0.99519999999999997"/>
    <n v="0.99960000000000004"/>
    <n v="0.94971499999999998"/>
    <n v="0.94382687590807679"/>
    <n v="202200"/>
    <n v="0"/>
    <n v="202200"/>
    <n v="61100"/>
    <n v="263300"/>
    <n v="0.15017064846416384"/>
    <n v="4.9342105263157892E-3"/>
    <n v="0.11284868977176669"/>
  </r>
  <r>
    <n v="2025"/>
    <s v="19120131497    "/>
    <n v="-1.8325814637483102"/>
    <n v="0.16"/>
    <n v="6889"/>
    <s v="2"/>
    <s v="RES"/>
    <s v="MX"/>
    <s v="11"/>
    <s v="259"/>
    <s v="BG"/>
    <x v="3"/>
    <s v="AV"/>
    <n v="100"/>
    <n v="109"/>
    <n v="61"/>
    <n v="1915"/>
    <n v="1963"/>
    <n v="810"/>
    <n v="270"/>
    <m/>
    <m/>
    <m/>
    <n v="0"/>
    <n v="1080"/>
    <n v="1500"/>
    <s v="N"/>
    <m/>
    <m/>
    <m/>
    <m/>
    <m/>
    <m/>
    <m/>
    <n v="146657"/>
    <n v="86528"/>
    <n v="0"/>
    <n v="0"/>
    <n v="60800"/>
    <n v="155100"/>
    <n v="215900"/>
    <n v="132535.48800000001"/>
    <n v="88356.992000000013"/>
    <n v="-24051.387388882686"/>
    <n v="-9114.1675108666695"/>
    <n v="17761.121909000001"/>
    <n v="-6633.2071000000005"/>
    <n v="50552.407800000001"/>
    <n v="16086.70341"/>
    <n v="0"/>
    <n v="0"/>
    <n v="0"/>
    <n v="201200"/>
    <n v="64300"/>
    <n v="265500"/>
    <n v="0.22973598888374247"/>
    <n v="0.99970000000000003"/>
    <n v="1"/>
    <n v="0.99680000000000002"/>
    <n v="0.99519999999999997"/>
    <n v="0.98240000000000005"/>
    <n v="0.94971499999999998"/>
    <n v="0.92555034675224579"/>
    <n v="191300"/>
    <n v="0"/>
    <n v="191300"/>
    <n v="61100"/>
    <n v="252400"/>
    <n v="0.23339780786589298"/>
    <n v="4.9342105263157892E-3"/>
    <n v="0.16905974988420566"/>
  </r>
  <r>
    <n v="2025"/>
    <s v="19120142527    "/>
    <n v="-1.8325814637483102"/>
    <n v="0.16"/>
    <n v="7170"/>
    <s v="2"/>
    <s v="RES"/>
    <s v="MX"/>
    <s v="11"/>
    <s v="259"/>
    <s v="CA"/>
    <x v="7"/>
    <s v="FR"/>
    <n v="90"/>
    <n v="94"/>
    <n v="94"/>
    <n v="1930"/>
    <n v="1930"/>
    <n v="944"/>
    <m/>
    <m/>
    <m/>
    <m/>
    <n v="0"/>
    <n v="944"/>
    <n v="1000"/>
    <s v="N"/>
    <m/>
    <m/>
    <m/>
    <m/>
    <m/>
    <m/>
    <m/>
    <n v="117658"/>
    <n v="61182"/>
    <n v="0"/>
    <n v="0"/>
    <n v="60800"/>
    <n v="100000"/>
    <n v="160800"/>
    <n v="132535.48800000001"/>
    <n v="88356.992000000013"/>
    <n v="-24051.387388882686"/>
    <n v="-18031.051255923801"/>
    <n v="0"/>
    <n v="-10221.663399999999"/>
    <n v="58915.398720000005"/>
    <n v="0"/>
    <n v="0"/>
    <n v="0"/>
    <n v="0"/>
    <n v="163200"/>
    <n v="64300"/>
    <n v="227500"/>
    <n v="0.41480099502487561"/>
    <n v="0.99970000000000003"/>
    <n v="1"/>
    <n v="1"/>
    <n v="1"/>
    <n v="0.99960000000000004"/>
    <n v="0.94971499999999998"/>
    <n v="0.94933511400000004"/>
    <n v="156500"/>
    <n v="0"/>
    <n v="156500"/>
    <n v="61100"/>
    <n v="217600"/>
    <n v="0.56499999999999995"/>
    <n v="4.9342105263157892E-3"/>
    <n v="0.35323383084577115"/>
  </r>
  <r>
    <n v="2025"/>
    <s v="19120114451    "/>
    <n v="-1.8263509139976741"/>
    <n v="0.161"/>
    <n v="7001"/>
    <s v="2"/>
    <s v="RES"/>
    <s v="MX"/>
    <s v="11"/>
    <s v="259"/>
    <s v="CO"/>
    <x v="5"/>
    <s v="EX"/>
    <n v="0"/>
    <n v="3"/>
    <n v="3"/>
    <n v="2021"/>
    <n v="2021"/>
    <n v="918"/>
    <n v="1296"/>
    <m/>
    <m/>
    <m/>
    <n v="0"/>
    <n v="2214"/>
    <n v="2500"/>
    <s v="S"/>
    <m/>
    <n v="288"/>
    <n v="480"/>
    <m/>
    <m/>
    <m/>
    <m/>
    <n v="466036"/>
    <n v="452055"/>
    <n v="0"/>
    <n v="0"/>
    <n v="60800"/>
    <n v="381100"/>
    <n v="441900"/>
    <n v="132535.48800000001"/>
    <n v="88356.992000000013"/>
    <n v="-23969.615653948869"/>
    <n v="32917.849192000001"/>
    <n v="47371.278778200001"/>
    <n v="-326.22329999999999"/>
    <n v="57292.728840000003"/>
    <n v="77216.176368"/>
    <n v="0"/>
    <n v="10166.696928000001"/>
    <n v="0"/>
    <n v="357200"/>
    <n v="64400"/>
    <n v="421600"/>
    <n v="-4.5937995021498076E-2"/>
    <n v="0.99970000000000003"/>
    <n v="1.0019"/>
    <n v="1.0012000000000001"/>
    <n v="1.0008999999999999"/>
    <n v="1.0022"/>
    <n v="0.94971499999999998"/>
    <n v="0.95561641809327347"/>
    <n v="351300"/>
    <n v="0"/>
    <n v="351300"/>
    <n v="61100"/>
    <n v="412400"/>
    <n v="-7.8194699553922858E-2"/>
    <n v="4.9342105263157892E-3"/>
    <n v="-6.675718488345779E-2"/>
  </r>
  <r>
    <n v="2025"/>
    <s v="19120114515    "/>
    <n v="-1.8263509139976741"/>
    <n v="0.161"/>
    <n v="7001"/>
    <s v="2"/>
    <s v="RES"/>
    <s v="MX"/>
    <s v="11"/>
    <s v="259"/>
    <s v="CO"/>
    <x v="5"/>
    <s v="EX"/>
    <n v="0"/>
    <n v="2"/>
    <n v="2"/>
    <n v="2022"/>
    <n v="2022"/>
    <n v="898"/>
    <n v="1296"/>
    <m/>
    <m/>
    <m/>
    <n v="0"/>
    <n v="2194"/>
    <n v="2500"/>
    <s v="S"/>
    <m/>
    <m/>
    <n v="480"/>
    <m/>
    <m/>
    <m/>
    <m/>
    <n v="446003"/>
    <n v="437083"/>
    <n v="0"/>
    <n v="0"/>
    <n v="60800"/>
    <n v="368700"/>
    <n v="429500"/>
    <n v="132535.48800000001"/>
    <n v="88356.992000000013"/>
    <n v="-23969.615653948869"/>
    <n v="32917.849192000001"/>
    <n v="47371.278778200001"/>
    <n v="-217.48220000000001"/>
    <n v="56044.521240000002"/>
    <n v="77216.176368"/>
    <n v="0"/>
    <n v="0"/>
    <n v="0"/>
    <n v="345900"/>
    <n v="64400"/>
    <n v="410300"/>
    <n v="-4.4703143189755531E-2"/>
    <n v="0.99970000000000003"/>
    <n v="1.0019"/>
    <n v="1.0012000000000001"/>
    <n v="1.0008999999999999"/>
    <n v="1.0022"/>
    <n v="0.94971499999999998"/>
    <n v="0.95561641809327347"/>
    <n v="340000"/>
    <n v="0"/>
    <n v="340000"/>
    <n v="61100"/>
    <n v="401100"/>
    <n v="-7.7841063195009497E-2"/>
    <n v="4.9342105263157892E-3"/>
    <n v="-6.6123399301513383E-2"/>
  </r>
  <r>
    <n v="2025"/>
    <s v="19120114454    "/>
    <n v="-1.8263509139976741"/>
    <n v="0.161"/>
    <n v="7016"/>
    <s v="2"/>
    <s v="RES"/>
    <s v="MX"/>
    <s v="11"/>
    <s v="259"/>
    <s v="CO"/>
    <x v="5"/>
    <s v="EX"/>
    <n v="0"/>
    <n v="3"/>
    <n v="3"/>
    <n v="2021"/>
    <n v="2021"/>
    <n v="918"/>
    <n v="1296"/>
    <m/>
    <m/>
    <m/>
    <n v="0"/>
    <n v="2214"/>
    <n v="2500"/>
    <s v="S"/>
    <m/>
    <n v="288"/>
    <n v="480"/>
    <m/>
    <m/>
    <m/>
    <m/>
    <n v="466215"/>
    <n v="452229"/>
    <n v="0"/>
    <n v="0"/>
    <n v="60800"/>
    <n v="377800"/>
    <n v="438600"/>
    <n v="132535.48800000001"/>
    <n v="88356.992000000013"/>
    <n v="-23969.615653948869"/>
    <n v="32917.849192000001"/>
    <n v="47371.278778200001"/>
    <n v="-326.22329999999999"/>
    <n v="57292.728840000003"/>
    <n v="77216.176368"/>
    <n v="0"/>
    <n v="10166.696928000001"/>
    <n v="0"/>
    <n v="357200"/>
    <n v="64400"/>
    <n v="421600"/>
    <n v="-3.875968992248062E-2"/>
    <n v="0.99970000000000003"/>
    <n v="1.0019"/>
    <n v="1.0012000000000001"/>
    <n v="1.0008999999999999"/>
    <n v="1.0022"/>
    <n v="0.94971499999999998"/>
    <n v="0.95561641809327347"/>
    <n v="351300"/>
    <n v="0"/>
    <n v="351300"/>
    <n v="61100"/>
    <n v="412400"/>
    <n v="-7.0142932768660668E-2"/>
    <n v="4.9342105263157892E-3"/>
    <n v="-5.9735522115823073E-2"/>
  </r>
  <r>
    <n v="2025"/>
    <s v="19120114465    "/>
    <n v="-1.8263509139976741"/>
    <n v="0.161"/>
    <n v="7004"/>
    <s v="2"/>
    <s v="RES"/>
    <s v="MX"/>
    <s v="11"/>
    <s v="259"/>
    <s v="CO"/>
    <x v="5"/>
    <s v="EX"/>
    <n v="0"/>
    <n v="3"/>
    <n v="3"/>
    <n v="2021"/>
    <n v="2021"/>
    <n v="1316"/>
    <n v="1686"/>
    <m/>
    <m/>
    <m/>
    <n v="0"/>
    <n v="3002"/>
    <n v="3500"/>
    <s v="S"/>
    <m/>
    <m/>
    <n v="460"/>
    <m/>
    <m/>
    <m/>
    <m/>
    <n v="561151"/>
    <n v="544316"/>
    <n v="0"/>
    <n v="0"/>
    <n v="60800"/>
    <n v="411800"/>
    <n v="472600"/>
    <n v="132535.48800000001"/>
    <n v="88356.992000000013"/>
    <n v="-23969.615653948869"/>
    <n v="32917.849192000001"/>
    <n v="47371.278778200001"/>
    <n v="-326.22329999999999"/>
    <n v="82132.06008000001"/>
    <n v="100452.525738"/>
    <n v="0"/>
    <n v="0"/>
    <n v="0"/>
    <n v="395100"/>
    <n v="64400"/>
    <n v="459500"/>
    <n v="-2.7719001269572576E-2"/>
    <n v="0.99970000000000003"/>
    <n v="1.0019"/>
    <n v="1.0012000000000001"/>
    <n v="0.98509999999999998"/>
    <n v="1.0022"/>
    <n v="0.94971499999999998"/>
    <n v="0.94053125533388338"/>
    <n v="387200"/>
    <n v="0"/>
    <n v="387200"/>
    <n v="61100"/>
    <n v="448300"/>
    <n v="-5.9737736765420109E-2"/>
    <n v="4.9342105263157892E-3"/>
    <n v="-5.1417689377909435E-2"/>
  </r>
  <r>
    <n v="2025"/>
    <s v="19120114443    "/>
    <n v="-1.8263509139976741"/>
    <n v="0.161"/>
    <n v="7001"/>
    <s v="2"/>
    <s v="RES"/>
    <s v="MX"/>
    <s v="11"/>
    <s v="259"/>
    <s v="CO"/>
    <x v="5"/>
    <s v="EX"/>
    <n v="0"/>
    <n v="3"/>
    <n v="3"/>
    <n v="2021"/>
    <n v="2021"/>
    <n v="930"/>
    <n v="1296"/>
    <m/>
    <m/>
    <m/>
    <n v="0"/>
    <n v="2226"/>
    <n v="2500"/>
    <s v="S"/>
    <n v="1"/>
    <m/>
    <n v="480"/>
    <m/>
    <m/>
    <m/>
    <m/>
    <n v="445110"/>
    <n v="431757"/>
    <n v="0"/>
    <n v="0"/>
    <n v="60800"/>
    <n v="358300"/>
    <n v="419100"/>
    <n v="132535.48800000001"/>
    <n v="88356.992000000013"/>
    <n v="-23969.615653948869"/>
    <n v="32917.849192000001"/>
    <n v="47371.278778200001"/>
    <n v="-326.22329999999999"/>
    <n v="58041.653400000003"/>
    <n v="77216.176368"/>
    <n v="0"/>
    <n v="0"/>
    <n v="0"/>
    <n v="347800"/>
    <n v="64400"/>
    <n v="412200"/>
    <n v="-1.6463851109520401E-2"/>
    <n v="0.99970000000000003"/>
    <n v="1.0019"/>
    <n v="1.0012000000000001"/>
    <n v="1.0008999999999999"/>
    <n v="1.0022"/>
    <n v="0.94971499999999998"/>
    <n v="0.95561641809327347"/>
    <n v="341900"/>
    <n v="0"/>
    <n v="341900"/>
    <n v="61100"/>
    <n v="403000"/>
    <n v="-4.5771699692994695E-2"/>
    <n v="4.9342105263157892E-3"/>
    <n v="-3.8415652588880939E-2"/>
  </r>
  <r>
    <n v="2025"/>
    <s v="19120114441    "/>
    <n v="-1.8263509139976741"/>
    <n v="0.161"/>
    <n v="7002"/>
    <s v="2"/>
    <s v="RES"/>
    <s v="MX"/>
    <s v="11"/>
    <s v="259"/>
    <s v="CO"/>
    <x v="5"/>
    <s v="EX"/>
    <n v="0"/>
    <n v="3"/>
    <n v="3"/>
    <n v="2021"/>
    <n v="2021"/>
    <n v="930"/>
    <n v="1296"/>
    <m/>
    <m/>
    <m/>
    <n v="0"/>
    <n v="2226"/>
    <n v="2500"/>
    <s v="S"/>
    <n v="1"/>
    <m/>
    <n v="480"/>
    <m/>
    <m/>
    <m/>
    <m/>
    <n v="445110"/>
    <n v="431757"/>
    <n v="0"/>
    <n v="0"/>
    <n v="60800"/>
    <n v="358300"/>
    <n v="419100"/>
    <n v="132535.48800000001"/>
    <n v="88356.992000000013"/>
    <n v="-23969.615653948869"/>
    <n v="32917.849192000001"/>
    <n v="47371.278778200001"/>
    <n v="-326.22329999999999"/>
    <n v="58041.653400000003"/>
    <n v="77216.176368"/>
    <n v="0"/>
    <n v="0"/>
    <n v="0"/>
    <n v="347800"/>
    <n v="64400"/>
    <n v="412200"/>
    <n v="-1.6463851109520401E-2"/>
    <n v="0.99970000000000003"/>
    <n v="1.0019"/>
    <n v="1.0012000000000001"/>
    <n v="1.0008999999999999"/>
    <n v="1.0022"/>
    <n v="0.94971499999999998"/>
    <n v="0.95561641809327347"/>
    <n v="341900"/>
    <n v="0"/>
    <n v="341900"/>
    <n v="61100"/>
    <n v="403000"/>
    <n v="-4.5771699692994695E-2"/>
    <n v="4.9342105263157892E-3"/>
    <n v="-3.8415652588880939E-2"/>
  </r>
  <r>
    <n v="2025"/>
    <s v="19120114530    "/>
    <n v="-1.8263509139976741"/>
    <n v="0.161"/>
    <n v="7001"/>
    <s v="2"/>
    <s v="RES"/>
    <s v="MX"/>
    <s v="11"/>
    <s v="259"/>
    <s v="CO"/>
    <x v="5"/>
    <s v="EX"/>
    <n v="0"/>
    <n v="2"/>
    <n v="2"/>
    <n v="2022"/>
    <n v="2022"/>
    <n v="1316"/>
    <n v="1686"/>
    <m/>
    <m/>
    <m/>
    <n v="0"/>
    <n v="3002"/>
    <n v="3500"/>
    <s v="S"/>
    <m/>
    <m/>
    <n v="540"/>
    <m/>
    <m/>
    <m/>
    <m/>
    <n v="558958"/>
    <n v="547779"/>
    <n v="0"/>
    <n v="0"/>
    <n v="60800"/>
    <n v="404800"/>
    <n v="465600"/>
    <n v="132535.48800000001"/>
    <n v="88356.992000000013"/>
    <n v="-23969.615653948869"/>
    <n v="32917.849192000001"/>
    <n v="47371.278778200001"/>
    <n v="-217.48220000000001"/>
    <n v="82132.06008000001"/>
    <n v="100452.525738"/>
    <n v="0"/>
    <n v="0"/>
    <n v="0"/>
    <n v="395200"/>
    <n v="64400"/>
    <n v="459600"/>
    <n v="-1.2886597938144329E-2"/>
    <n v="0.99970000000000003"/>
    <n v="1.0019"/>
    <n v="1.0012000000000001"/>
    <n v="0.98509999999999998"/>
    <n v="1.0022"/>
    <n v="0.94971499999999998"/>
    <n v="0.94053125533388338"/>
    <n v="387300"/>
    <n v="0"/>
    <n v="387300"/>
    <n v="61100"/>
    <n v="448400"/>
    <n v="-4.3231225296442688E-2"/>
    <n v="4.9342105263157892E-3"/>
    <n v="-3.6941580756013746E-2"/>
  </r>
  <r>
    <n v="2025"/>
    <s v="19120114526    "/>
    <n v="-1.8263509139976741"/>
    <n v="0.161"/>
    <n v="7001"/>
    <s v="2"/>
    <s v="RES"/>
    <s v="MX"/>
    <s v="11"/>
    <s v="259"/>
    <s v="CO"/>
    <x v="5"/>
    <s v="EX"/>
    <n v="0"/>
    <n v="2"/>
    <n v="2"/>
    <n v="2022"/>
    <n v="2022"/>
    <n v="1328"/>
    <n v="1686"/>
    <m/>
    <m/>
    <m/>
    <n v="0"/>
    <n v="3014"/>
    <n v="3500"/>
    <s v="S"/>
    <n v="1"/>
    <m/>
    <n v="540"/>
    <m/>
    <m/>
    <m/>
    <m/>
    <n v="565891"/>
    <n v="554573"/>
    <n v="0"/>
    <n v="0"/>
    <n v="60800"/>
    <n v="405400"/>
    <n v="466200"/>
    <n v="132535.48800000001"/>
    <n v="88356.992000000013"/>
    <n v="-23969.615653948869"/>
    <n v="32917.849192000001"/>
    <n v="47371.278778200001"/>
    <n v="-217.48220000000001"/>
    <n v="82880.98464000001"/>
    <n v="100452.525738"/>
    <n v="0"/>
    <n v="0"/>
    <n v="0"/>
    <n v="395900"/>
    <n v="64400"/>
    <n v="460300"/>
    <n v="-1.2655512655512655E-2"/>
    <n v="0.99970000000000003"/>
    <n v="1.0019"/>
    <n v="1.0012000000000001"/>
    <n v="0.98509999999999998"/>
    <n v="1.0022"/>
    <n v="0.94971499999999998"/>
    <n v="0.94053125533388338"/>
    <n v="388100"/>
    <n v="0"/>
    <n v="388100"/>
    <n v="61100"/>
    <n v="449200"/>
    <n v="-4.2673902318697582E-2"/>
    <n v="4.9342105263157892E-3"/>
    <n v="-3.6465036465036467E-2"/>
  </r>
  <r>
    <n v="2025"/>
    <s v="19120114494    "/>
    <n v="-1.8263509139976741"/>
    <n v="0.161"/>
    <n v="7001"/>
    <s v="2"/>
    <s v="RES"/>
    <s v="MX"/>
    <s v="11"/>
    <s v="259"/>
    <s v="CO"/>
    <x v="4"/>
    <s v="EX"/>
    <n v="0"/>
    <n v="2"/>
    <n v="2"/>
    <n v="2022"/>
    <n v="2022"/>
    <n v="1580"/>
    <m/>
    <m/>
    <m/>
    <m/>
    <n v="0"/>
    <n v="1580"/>
    <n v="2000"/>
    <s v="S"/>
    <m/>
    <n v="400"/>
    <m/>
    <m/>
    <m/>
    <m/>
    <m/>
    <n v="314774"/>
    <n v="308479"/>
    <n v="0"/>
    <n v="0"/>
    <n v="60800"/>
    <n v="335300"/>
    <n v="396100"/>
    <n v="132535.48800000001"/>
    <n v="88356.992000000013"/>
    <n v="-23969.615653948869"/>
    <n v="37154.252388000001"/>
    <n v="47371.278778200001"/>
    <n v="-217.48220000000001"/>
    <n v="98608.400399999999"/>
    <n v="0"/>
    <n v="0"/>
    <n v="14120.412400000001"/>
    <n v="0"/>
    <n v="329600"/>
    <n v="64400"/>
    <n v="394000"/>
    <n v="-5.3016914920474625E-3"/>
    <n v="0.99970000000000003"/>
    <n v="0.99819999999999998"/>
    <n v="1.0012000000000001"/>
    <n v="1.0007999999999999"/>
    <n v="1.0022"/>
    <n v="0.94971499999999998"/>
    <n v="0.95199221946633727"/>
    <n v="323200"/>
    <n v="0"/>
    <n v="323200"/>
    <n v="61100"/>
    <n v="384300"/>
    <n v="-3.6087086191470323E-2"/>
    <n v="4.9342105263157892E-3"/>
    <n v="-2.9790456955314314E-2"/>
  </r>
  <r>
    <n v="2025"/>
    <s v="19120114473    "/>
    <n v="-1.8263509139976741"/>
    <n v="0.161"/>
    <n v="7001"/>
    <s v="2"/>
    <s v="RES"/>
    <s v="MX"/>
    <s v="11"/>
    <s v="259"/>
    <s v="CO"/>
    <x v="4"/>
    <s v="EX"/>
    <n v="0"/>
    <n v="2"/>
    <n v="2"/>
    <n v="2022"/>
    <n v="2022"/>
    <n v="1619"/>
    <m/>
    <m/>
    <m/>
    <m/>
    <n v="0"/>
    <n v="1619"/>
    <n v="2000"/>
    <s v="S"/>
    <n v="1"/>
    <n v="480"/>
    <m/>
    <m/>
    <m/>
    <m/>
    <m/>
    <n v="325345"/>
    <n v="318838"/>
    <n v="0"/>
    <n v="0"/>
    <n v="60800"/>
    <n v="337300"/>
    <n v="398100"/>
    <n v="132535.48800000001"/>
    <n v="88356.992000000013"/>
    <n v="-23969.615653948869"/>
    <n v="37154.252388000001"/>
    <n v="47371.278778200001"/>
    <n v="-217.48220000000001"/>
    <n v="101042.40522"/>
    <n v="0"/>
    <n v="0"/>
    <n v="16944.494880000002"/>
    <n v="0"/>
    <n v="334800"/>
    <n v="64400"/>
    <n v="399200"/>
    <n v="2.7631248430042702E-3"/>
    <n v="0.99970000000000003"/>
    <n v="0.99819999999999998"/>
    <n v="1.0012000000000001"/>
    <n v="1.0007999999999999"/>
    <n v="1.0022"/>
    <n v="0.94971499999999998"/>
    <n v="0.95199221946633727"/>
    <n v="328500"/>
    <n v="0"/>
    <n v="328500"/>
    <n v="61100"/>
    <n v="389600"/>
    <n v="-2.6089534538986065E-2"/>
    <n v="4.9342105263157892E-3"/>
    <n v="-2.1351419241396635E-2"/>
  </r>
  <r>
    <n v="2025"/>
    <s v="19120114495    "/>
    <n v="-1.8263509139976741"/>
    <n v="0.161"/>
    <n v="7001"/>
    <s v="2"/>
    <s v="RES"/>
    <s v="MX"/>
    <s v="11"/>
    <s v="259"/>
    <s v="CO"/>
    <x v="5"/>
    <s v="EX"/>
    <n v="0"/>
    <n v="3"/>
    <n v="3"/>
    <n v="2021"/>
    <n v="2021"/>
    <n v="1830"/>
    <m/>
    <m/>
    <m/>
    <m/>
    <n v="0"/>
    <n v="1830"/>
    <n v="2000"/>
    <s v="S"/>
    <m/>
    <n v="500"/>
    <m/>
    <m/>
    <m/>
    <m/>
    <m/>
    <n v="398433"/>
    <n v="386480"/>
    <n v="0"/>
    <n v="0"/>
    <n v="60800"/>
    <n v="345100"/>
    <n v="405900"/>
    <n v="132535.48800000001"/>
    <n v="88356.992000000013"/>
    <n v="-23969.615653948869"/>
    <n v="32917.849192000001"/>
    <n v="47371.278778200001"/>
    <n v="-326.22329999999999"/>
    <n v="114210.9954"/>
    <n v="0"/>
    <n v="0"/>
    <n v="17650.515500000001"/>
    <n v="0"/>
    <n v="344400"/>
    <n v="64400"/>
    <n v="408800"/>
    <n v="7.1446169007144617E-3"/>
    <n v="0.99970000000000003"/>
    <n v="1.0019"/>
    <n v="1.0012000000000001"/>
    <n v="1.0007999999999999"/>
    <n v="1.0022"/>
    <n v="0.94971499999999998"/>
    <n v="0.95552094237960661"/>
    <n v="338500"/>
    <n v="0"/>
    <n v="338500"/>
    <n v="61100"/>
    <n v="399600"/>
    <n v="-1.9124891335844683E-2"/>
    <n v="4.9342105263157892E-3"/>
    <n v="-1.5521064301552107E-2"/>
  </r>
  <r>
    <n v="2025"/>
    <s v="19120114474    "/>
    <n v="-1.8263509139976741"/>
    <n v="0.161"/>
    <n v="7001"/>
    <s v="2"/>
    <s v="RES"/>
    <s v="MX"/>
    <s v="11"/>
    <s v="259"/>
    <s v="CO"/>
    <x v="4"/>
    <s v="EX"/>
    <n v="0"/>
    <n v="2"/>
    <n v="2"/>
    <n v="2022"/>
    <n v="2022"/>
    <n v="1580"/>
    <m/>
    <m/>
    <m/>
    <m/>
    <n v="0"/>
    <n v="1580"/>
    <n v="2000"/>
    <s v="S"/>
    <m/>
    <n v="616"/>
    <m/>
    <m/>
    <m/>
    <m/>
    <m/>
    <n v="321115"/>
    <n v="314693"/>
    <n v="0"/>
    <n v="0"/>
    <n v="60800"/>
    <n v="335400"/>
    <n v="396200"/>
    <n v="132535.48800000001"/>
    <n v="88356.992000000013"/>
    <n v="-23969.615653948869"/>
    <n v="37154.252388000001"/>
    <n v="47371.278778200001"/>
    <n v="-217.48220000000001"/>
    <n v="98608.400399999999"/>
    <n v="0"/>
    <n v="0"/>
    <n v="21745.435096000001"/>
    <n v="0"/>
    <n v="337200"/>
    <n v="64400"/>
    <n v="401600"/>
    <n v="1.3629480060575468E-2"/>
    <n v="0.99970000000000003"/>
    <n v="0.99819999999999998"/>
    <n v="1.0012000000000001"/>
    <n v="1.0007999999999999"/>
    <n v="1.0022"/>
    <n v="0.94971499999999998"/>
    <n v="0.95199221946633727"/>
    <n v="330800"/>
    <n v="0"/>
    <n v="330800"/>
    <n v="61100"/>
    <n v="391900"/>
    <n v="-1.3714967203339297E-2"/>
    <n v="4.9342105263157892E-3"/>
    <n v="-1.0853104492680465E-2"/>
  </r>
  <r>
    <n v="2025"/>
    <s v="19120114481    "/>
    <n v="-1.8263509139976741"/>
    <n v="0.161"/>
    <n v="7002"/>
    <s v="2"/>
    <s v="RES"/>
    <s v="MX"/>
    <s v="11"/>
    <s v="259"/>
    <s v="CO"/>
    <x v="4"/>
    <s v="EX"/>
    <n v="0"/>
    <n v="3"/>
    <n v="3"/>
    <n v="2021"/>
    <n v="2021"/>
    <n v="1592"/>
    <m/>
    <m/>
    <m/>
    <m/>
    <n v="0"/>
    <n v="1592"/>
    <n v="2000"/>
    <s v="S"/>
    <n v="1"/>
    <n v="400"/>
    <m/>
    <m/>
    <m/>
    <m/>
    <m/>
    <n v="320710"/>
    <n v="311089"/>
    <n v="0"/>
    <n v="0"/>
    <n v="60800"/>
    <n v="328100"/>
    <n v="388900"/>
    <n v="132535.48800000001"/>
    <n v="88356.992000000013"/>
    <n v="-23969.615653948869"/>
    <n v="37154.252388000001"/>
    <n v="47371.278778200001"/>
    <n v="-326.22329999999999"/>
    <n v="99357.324960000013"/>
    <n v="0"/>
    <n v="0"/>
    <n v="14120.412400000001"/>
    <n v="0"/>
    <n v="330200"/>
    <n v="64400"/>
    <n v="394600"/>
    <n v="1.4656724093597326E-2"/>
    <n v="0.99970000000000003"/>
    <n v="0.99819999999999998"/>
    <n v="1.0012000000000001"/>
    <n v="1.0007999999999999"/>
    <n v="1.0022"/>
    <n v="0.94971499999999998"/>
    <n v="0.95199221946633727"/>
    <n v="323800"/>
    <n v="0"/>
    <n v="323800"/>
    <n v="61100"/>
    <n v="384900"/>
    <n v="-1.3105760438890583E-2"/>
    <n v="4.9342105263157892E-3"/>
    <n v="-1.0285420416559526E-2"/>
  </r>
  <r>
    <n v="2025"/>
    <s v="19120114450    "/>
    <n v="-1.8263509139976741"/>
    <n v="0.161"/>
    <n v="7001"/>
    <s v="2"/>
    <s v="RES"/>
    <s v="MX"/>
    <s v="11"/>
    <s v="259"/>
    <s v="CO"/>
    <x v="4"/>
    <s v="EX"/>
    <n v="0"/>
    <n v="3"/>
    <n v="3"/>
    <n v="2021"/>
    <n v="2021"/>
    <n v="1240"/>
    <m/>
    <m/>
    <m/>
    <m/>
    <n v="0"/>
    <n v="1240"/>
    <n v="1500"/>
    <s v="S"/>
    <m/>
    <n v="404"/>
    <m/>
    <m/>
    <m/>
    <m/>
    <m/>
    <n v="253357"/>
    <n v="245756"/>
    <n v="0"/>
    <n v="0"/>
    <n v="60800"/>
    <n v="301200"/>
    <n v="362000"/>
    <n v="132535.48800000001"/>
    <n v="88356.992000000013"/>
    <n v="-23969.615653948869"/>
    <n v="37154.252388000001"/>
    <n v="47371.278778200001"/>
    <n v="-326.22329999999999"/>
    <n v="77388.871200000009"/>
    <n v="0"/>
    <n v="0"/>
    <n v="14261.616524000001"/>
    <n v="0"/>
    <n v="308400"/>
    <n v="64400"/>
    <n v="372800"/>
    <n v="2.9834254143646408E-2"/>
    <n v="0.99970000000000003"/>
    <n v="0.99819999999999998"/>
    <n v="1.0012000000000001"/>
    <n v="0.99519999999999997"/>
    <n v="1.0022"/>
    <n v="0.94971499999999998"/>
    <n v="0.94666532455325636"/>
    <n v="301300"/>
    <n v="0"/>
    <n v="301300"/>
    <n v="61100"/>
    <n v="362400"/>
    <n v="3.3200531208499334E-4"/>
    <n v="4.9342105263157892E-3"/>
    <n v="1.1049723756906078E-3"/>
  </r>
  <r>
    <n v="2025"/>
    <s v="19120114514    "/>
    <n v="-1.8263509139976741"/>
    <n v="0.161"/>
    <n v="7004"/>
    <s v="2"/>
    <s v="RES"/>
    <s v="MX"/>
    <s v="11"/>
    <s v="259"/>
    <s v="CO"/>
    <x v="4"/>
    <s v="EX"/>
    <n v="0"/>
    <n v="2"/>
    <n v="2"/>
    <n v="2022"/>
    <n v="2022"/>
    <n v="1452"/>
    <m/>
    <m/>
    <m/>
    <m/>
    <n v="0"/>
    <n v="1452"/>
    <n v="1500"/>
    <s v="S"/>
    <m/>
    <n v="616"/>
    <m/>
    <m/>
    <m/>
    <m/>
    <m/>
    <n v="293832"/>
    <n v="287955"/>
    <n v="0"/>
    <n v="0"/>
    <n v="60800"/>
    <n v="321800"/>
    <n v="382600"/>
    <n v="132535.48800000001"/>
    <n v="88356.992000000013"/>
    <n v="-23969.615653948869"/>
    <n v="37154.252388000001"/>
    <n v="47371.278778200001"/>
    <n v="-217.48220000000001"/>
    <n v="90619.871760000009"/>
    <n v="0"/>
    <n v="0"/>
    <n v="21745.435096000001"/>
    <n v="0"/>
    <n v="329200"/>
    <n v="64400"/>
    <n v="393600"/>
    <n v="2.8750653423941452E-2"/>
    <n v="0.99970000000000003"/>
    <n v="0.99819999999999998"/>
    <n v="1.0012000000000001"/>
    <n v="0.99519999999999997"/>
    <n v="1.0022"/>
    <n v="0.94971499999999998"/>
    <n v="0.94666532455325636"/>
    <n v="322100"/>
    <n v="0"/>
    <n v="322100"/>
    <n v="61100"/>
    <n v="383200"/>
    <n v="9.3225605966438781E-4"/>
    <n v="4.9342105263157892E-3"/>
    <n v="1.5682174594877157E-3"/>
  </r>
  <r>
    <n v="2025"/>
    <s v="19120114478    "/>
    <n v="-1.8263509139976741"/>
    <n v="0.161"/>
    <n v="7002"/>
    <s v="2"/>
    <s v="RES"/>
    <s v="MX"/>
    <s v="11"/>
    <s v="259"/>
    <s v="CO"/>
    <x v="4"/>
    <s v="EX"/>
    <n v="0"/>
    <n v="2"/>
    <n v="2"/>
    <n v="2022"/>
    <n v="2022"/>
    <n v="1452"/>
    <m/>
    <m/>
    <m/>
    <m/>
    <n v="0"/>
    <n v="1452"/>
    <n v="1500"/>
    <s v="S"/>
    <m/>
    <n v="400"/>
    <m/>
    <m/>
    <m/>
    <m/>
    <m/>
    <n v="285695"/>
    <n v="279981"/>
    <n v="0"/>
    <n v="0"/>
    <n v="60800"/>
    <n v="312500"/>
    <n v="373300"/>
    <n v="132535.48800000001"/>
    <n v="88356.992000000013"/>
    <n v="-23969.615653948869"/>
    <n v="37154.252388000001"/>
    <n v="47371.278778200001"/>
    <n v="-217.48220000000001"/>
    <n v="90619.871760000009"/>
    <n v="0"/>
    <n v="0"/>
    <n v="14120.412400000001"/>
    <n v="0"/>
    <n v="321600"/>
    <n v="64400"/>
    <n v="386000"/>
    <n v="3.4020894722743104E-2"/>
    <n v="0.99970000000000003"/>
    <n v="0.99819999999999998"/>
    <n v="1.0012000000000001"/>
    <n v="0.99519999999999997"/>
    <n v="1.0022"/>
    <n v="0.94971499999999998"/>
    <n v="0.94666532455325636"/>
    <n v="314500"/>
    <n v="0"/>
    <n v="314500"/>
    <n v="61100"/>
    <n v="375600"/>
    <n v="6.4000000000000003E-3"/>
    <n v="4.9342105263157892E-3"/>
    <n v="6.1612643986070185E-3"/>
  </r>
  <r>
    <n v="2025"/>
    <s v="19120114447    "/>
    <n v="-1.8263509139976741"/>
    <n v="0.161"/>
    <n v="7002"/>
    <s v="2"/>
    <s v="RES"/>
    <s v="MX"/>
    <s v="11"/>
    <s v="259"/>
    <s v="CO"/>
    <x v="4"/>
    <s v="EX"/>
    <n v="0"/>
    <n v="3"/>
    <n v="3"/>
    <n v="2021"/>
    <n v="2021"/>
    <n v="1464"/>
    <m/>
    <m/>
    <m/>
    <m/>
    <n v="0"/>
    <n v="1464"/>
    <n v="1500"/>
    <s v="S"/>
    <n v="1"/>
    <n v="400"/>
    <m/>
    <m/>
    <m/>
    <m/>
    <m/>
    <n v="291156"/>
    <n v="282421"/>
    <n v="0"/>
    <n v="0"/>
    <n v="60800"/>
    <n v="312200"/>
    <n v="373000"/>
    <n v="132535.48800000001"/>
    <n v="88356.992000000013"/>
    <n v="-23969.615653948869"/>
    <n v="37154.252388000001"/>
    <n v="47371.278778200001"/>
    <n v="-326.22329999999999"/>
    <n v="91368.796320000009"/>
    <n v="0"/>
    <n v="0"/>
    <n v="14120.412400000001"/>
    <n v="0"/>
    <n v="322200"/>
    <n v="64400"/>
    <n v="386600"/>
    <n v="3.646112600536193E-2"/>
    <n v="0.99970000000000003"/>
    <n v="0.99819999999999998"/>
    <n v="1.0012000000000001"/>
    <n v="0.99519999999999997"/>
    <n v="1.0022"/>
    <n v="0.94971499999999998"/>
    <n v="0.94666532455325636"/>
    <n v="315200"/>
    <n v="0"/>
    <n v="315200"/>
    <n v="61100"/>
    <n v="376300"/>
    <n v="9.6092248558616276E-3"/>
    <n v="4.9342105263157892E-3"/>
    <n v="8.8471849865951746E-3"/>
  </r>
  <r>
    <n v="2025"/>
    <s v="19120114432    "/>
    <n v="-1.8263509139976741"/>
    <n v="0.161"/>
    <n v="7002"/>
    <s v="2"/>
    <s v="RES"/>
    <s v="MX"/>
    <s v="11"/>
    <s v="259"/>
    <s v="CO"/>
    <x v="5"/>
    <s v="EX"/>
    <n v="0"/>
    <n v="3"/>
    <n v="3"/>
    <n v="2021"/>
    <n v="2021"/>
    <n v="930"/>
    <n v="1296"/>
    <m/>
    <m/>
    <m/>
    <n v="0"/>
    <n v="2226"/>
    <n v="2500"/>
    <s v="B"/>
    <n v="1"/>
    <n v="288"/>
    <n v="480"/>
    <m/>
    <m/>
    <m/>
    <m/>
    <n v="470734"/>
    <n v="456612"/>
    <n v="0"/>
    <n v="0"/>
    <n v="60800"/>
    <n v="378400"/>
    <n v="439200"/>
    <n v="132535.48800000001"/>
    <n v="88356.992000000013"/>
    <n v="-23969.615653948869"/>
    <n v="32917.849192000001"/>
    <n v="47371.278778200001"/>
    <n v="-326.22329999999999"/>
    <n v="58041.653400000003"/>
    <n v="77216.176368"/>
    <n v="0"/>
    <n v="10166.696928000001"/>
    <n v="0"/>
    <n v="357900"/>
    <n v="64400"/>
    <n v="422300"/>
    <n v="-3.8479052823315117E-2"/>
    <n v="0.99970000000000003"/>
    <n v="1.0019"/>
    <n v="1.0012000000000001"/>
    <n v="1.0008999999999999"/>
    <n v="1.0022"/>
    <n v="0.94971499999999998"/>
    <n v="0.95561641809327347"/>
    <n v="352000"/>
    <n v="0"/>
    <n v="352000"/>
    <n v="61100"/>
    <n v="413100"/>
    <n v="-6.9767441860465115E-2"/>
    <n v="4.9342105263157892E-3"/>
    <n v="-5.9426229508196718E-2"/>
  </r>
  <r>
    <n v="2025"/>
    <s v="19120114442    "/>
    <n v="-1.8263509139976741"/>
    <n v="0.161"/>
    <n v="7002"/>
    <s v="2"/>
    <s v="RES"/>
    <s v="MX"/>
    <s v="11"/>
    <s v="259"/>
    <s v="CO"/>
    <x v="4"/>
    <s v="EX"/>
    <n v="0"/>
    <n v="3"/>
    <n v="3"/>
    <n v="2021"/>
    <n v="2021"/>
    <n v="1452"/>
    <m/>
    <m/>
    <m/>
    <m/>
    <n v="0"/>
    <n v="1452"/>
    <n v="1500"/>
    <s v="B"/>
    <m/>
    <n v="400"/>
    <m/>
    <m/>
    <m/>
    <m/>
    <m/>
    <n v="285471"/>
    <n v="276907"/>
    <n v="0"/>
    <n v="0"/>
    <n v="60800"/>
    <n v="311600"/>
    <n v="372400"/>
    <n v="132535.48800000001"/>
    <n v="88356.992000000013"/>
    <n v="-23969.615653948869"/>
    <n v="37154.252388000001"/>
    <n v="47371.278778200001"/>
    <n v="-326.22329999999999"/>
    <n v="90619.871760000009"/>
    <n v="0"/>
    <n v="0"/>
    <n v="14120.412400000001"/>
    <n v="0"/>
    <n v="321500"/>
    <n v="64400"/>
    <n v="385900"/>
    <n v="3.6251342642320085E-2"/>
    <n v="0.99970000000000003"/>
    <n v="0.99819999999999998"/>
    <n v="1.0012000000000001"/>
    <n v="0.99519999999999997"/>
    <n v="1.0022"/>
    <n v="0.94971499999999998"/>
    <n v="0.94666532455325636"/>
    <n v="314400"/>
    <n v="0"/>
    <n v="314400"/>
    <n v="61100"/>
    <n v="375500"/>
    <n v="8.9858793324775355E-3"/>
    <n v="4.9342105263157892E-3"/>
    <n v="8.3243823845327598E-3"/>
  </r>
  <r>
    <n v="2025"/>
    <s v="19120114491    "/>
    <n v="-1.8263509139976741"/>
    <n v="0.161"/>
    <n v="7001"/>
    <s v="2"/>
    <s v="RES"/>
    <s v="MX"/>
    <s v="11"/>
    <s v="259"/>
    <s v="CO"/>
    <x v="5"/>
    <s v="EX"/>
    <n v="0"/>
    <n v="3"/>
    <n v="3"/>
    <n v="2021"/>
    <n v="2021"/>
    <n v="1316"/>
    <n v="1686"/>
    <m/>
    <m/>
    <m/>
    <n v="0"/>
    <n v="3002"/>
    <n v="3500"/>
    <s v="N"/>
    <m/>
    <m/>
    <n v="540"/>
    <m/>
    <m/>
    <m/>
    <m/>
    <n v="567256"/>
    <n v="550238"/>
    <n v="0"/>
    <n v="0"/>
    <n v="60800"/>
    <n v="419300"/>
    <n v="480100"/>
    <n v="132535.48800000001"/>
    <n v="88356.992000000013"/>
    <n v="-23969.615653948869"/>
    <n v="32917.849192000001"/>
    <n v="47371.278778200001"/>
    <n v="-326.22329999999999"/>
    <n v="82132.06008000001"/>
    <n v="100452.525738"/>
    <n v="0"/>
    <n v="0"/>
    <n v="0"/>
    <n v="395100"/>
    <n v="64400"/>
    <n v="459500"/>
    <n v="-4.2907727556759007E-2"/>
    <n v="0.99970000000000003"/>
    <n v="1.0019"/>
    <n v="1.0012000000000001"/>
    <n v="0.98509999999999998"/>
    <n v="1.0022"/>
    <n v="0.94971499999999998"/>
    <n v="0.94053125533388338"/>
    <n v="387200"/>
    <n v="0"/>
    <n v="387200"/>
    <n v="61100"/>
    <n v="448300"/>
    <n v="-7.655616503696637E-2"/>
    <n v="4.9342105263157892E-3"/>
    <n v="-6.6236200791501776E-2"/>
  </r>
  <r>
    <n v="2025"/>
    <s v="19120114516    "/>
    <n v="-1.8263509139976741"/>
    <n v="0.161"/>
    <n v="7001"/>
    <s v="2"/>
    <s v="RES"/>
    <s v="MX"/>
    <s v="11"/>
    <s v="259"/>
    <s v="CO"/>
    <x v="5"/>
    <s v="EX"/>
    <n v="0"/>
    <n v="2"/>
    <n v="2"/>
    <n v="2022"/>
    <n v="2022"/>
    <n v="930"/>
    <n v="1296"/>
    <m/>
    <m/>
    <m/>
    <n v="0"/>
    <n v="2226"/>
    <n v="2500"/>
    <s v="N"/>
    <n v="1"/>
    <m/>
    <n v="400"/>
    <m/>
    <m/>
    <m/>
    <m/>
    <n v="448933"/>
    <n v="439954"/>
    <n v="0"/>
    <n v="0"/>
    <n v="60800"/>
    <n v="367100"/>
    <n v="427900"/>
    <n v="132535.48800000001"/>
    <n v="88356.992000000013"/>
    <n v="-23969.615653948869"/>
    <n v="32917.849192000001"/>
    <n v="47371.278778200001"/>
    <n v="-217.48220000000001"/>
    <n v="58041.653400000003"/>
    <n v="77216.176368"/>
    <n v="0"/>
    <n v="0"/>
    <n v="0"/>
    <n v="347900"/>
    <n v="64400"/>
    <n v="412300"/>
    <n v="-3.6457116148632861E-2"/>
    <n v="0.99970000000000003"/>
    <n v="1.0019"/>
    <n v="1.0012000000000001"/>
    <n v="1.0008999999999999"/>
    <n v="1.0022"/>
    <n v="0.94971499999999998"/>
    <n v="0.95561641809327347"/>
    <n v="342000"/>
    <n v="0"/>
    <n v="342000"/>
    <n v="61100"/>
    <n v="403100"/>
    <n v="-6.8373740125306462E-2"/>
    <n v="4.9342105263157892E-3"/>
    <n v="-5.7957466697826594E-2"/>
  </r>
  <r>
    <n v="2025"/>
    <s v="19120114498    "/>
    <n v="-1.8263509139976741"/>
    <n v="0.161"/>
    <n v="7001"/>
    <s v="2"/>
    <s v="RES"/>
    <s v="MX"/>
    <s v="11"/>
    <s v="259"/>
    <s v="CO"/>
    <x v="5"/>
    <s v="EX"/>
    <n v="0"/>
    <n v="2"/>
    <n v="2"/>
    <n v="2022"/>
    <n v="2022"/>
    <n v="930"/>
    <n v="1296"/>
    <m/>
    <m/>
    <m/>
    <n v="0"/>
    <n v="2226"/>
    <n v="2500"/>
    <s v="N"/>
    <n v="1"/>
    <m/>
    <n v="400"/>
    <m/>
    <m/>
    <m/>
    <m/>
    <n v="448933"/>
    <n v="439954"/>
    <n v="0"/>
    <n v="0"/>
    <n v="60800"/>
    <n v="367100"/>
    <n v="427900"/>
    <n v="132535.48800000001"/>
    <n v="88356.992000000013"/>
    <n v="-23969.615653948869"/>
    <n v="32917.849192000001"/>
    <n v="47371.278778200001"/>
    <n v="-217.48220000000001"/>
    <n v="58041.653400000003"/>
    <n v="77216.176368"/>
    <n v="0"/>
    <n v="0"/>
    <n v="0"/>
    <n v="347900"/>
    <n v="64400"/>
    <n v="412300"/>
    <n v="-3.6457116148632861E-2"/>
    <n v="0.99970000000000003"/>
    <n v="1.0019"/>
    <n v="1.0012000000000001"/>
    <n v="1.0008999999999999"/>
    <n v="1.0022"/>
    <n v="0.94971499999999998"/>
    <n v="0.95561641809327347"/>
    <n v="342000"/>
    <n v="0"/>
    <n v="342000"/>
    <n v="61100"/>
    <n v="403100"/>
    <n v="-6.8373740125306462E-2"/>
    <n v="4.9342105263157892E-3"/>
    <n v="-5.7957466697826594E-2"/>
  </r>
  <r>
    <n v="2025"/>
    <s v="19120114505    "/>
    <n v="-1.8263509139976741"/>
    <n v="0.161"/>
    <n v="7026"/>
    <s v="2"/>
    <s v="RES"/>
    <s v="MX"/>
    <s v="11"/>
    <s v="259"/>
    <s v="CO"/>
    <x v="5"/>
    <s v="EX"/>
    <n v="0"/>
    <n v="2"/>
    <n v="2"/>
    <n v="2022"/>
    <n v="2022"/>
    <n v="930"/>
    <n v="1296"/>
    <m/>
    <m/>
    <m/>
    <n v="0"/>
    <n v="2226"/>
    <n v="2500"/>
    <s v="N"/>
    <n v="1"/>
    <m/>
    <n v="400"/>
    <m/>
    <m/>
    <m/>
    <m/>
    <n v="448933"/>
    <n v="439954"/>
    <n v="0"/>
    <n v="0"/>
    <n v="60800"/>
    <n v="367100"/>
    <n v="427900"/>
    <n v="132535.48800000001"/>
    <n v="88356.992000000013"/>
    <n v="-23969.615653948869"/>
    <n v="32917.849192000001"/>
    <n v="47371.278778200001"/>
    <n v="-217.48220000000001"/>
    <n v="58041.653400000003"/>
    <n v="77216.176368"/>
    <n v="0"/>
    <n v="0"/>
    <n v="0"/>
    <n v="347900"/>
    <n v="64400"/>
    <n v="412300"/>
    <n v="-3.6457116148632861E-2"/>
    <n v="0.99970000000000003"/>
    <n v="1.0019"/>
    <n v="1.0012000000000001"/>
    <n v="1.0008999999999999"/>
    <n v="1.0022"/>
    <n v="0.94971499999999998"/>
    <n v="0.95561641809327347"/>
    <n v="342000"/>
    <n v="0"/>
    <n v="342000"/>
    <n v="61100"/>
    <n v="403100"/>
    <n v="-6.8373740125306462E-2"/>
    <n v="4.9342105263157892E-3"/>
    <n v="-5.7957466697826594E-2"/>
  </r>
  <r>
    <n v="2025"/>
    <s v="19120114439    "/>
    <n v="-1.8263509139976741"/>
    <n v="0.161"/>
    <n v="7002"/>
    <s v="2"/>
    <s v="RES"/>
    <s v="MX"/>
    <s v="11"/>
    <s v="259"/>
    <s v="CO"/>
    <x v="5"/>
    <s v="EX"/>
    <n v="0"/>
    <n v="3"/>
    <n v="3"/>
    <n v="2021"/>
    <n v="2021"/>
    <n v="930"/>
    <n v="1296"/>
    <m/>
    <m/>
    <m/>
    <n v="0"/>
    <n v="2226"/>
    <n v="2500"/>
    <s v="N"/>
    <n v="1"/>
    <n v="240"/>
    <n v="400"/>
    <m/>
    <m/>
    <m/>
    <m/>
    <n v="465989"/>
    <n v="452009"/>
    <n v="0"/>
    <n v="0"/>
    <n v="60800"/>
    <n v="370100"/>
    <n v="430900"/>
    <n v="132535.48800000001"/>
    <n v="88356.992000000013"/>
    <n v="-23969.615653948869"/>
    <n v="32917.849192000001"/>
    <n v="47371.278778200001"/>
    <n v="-326.22329999999999"/>
    <n v="58041.653400000003"/>
    <n v="77216.176368"/>
    <n v="0"/>
    <n v="8472.247440000001"/>
    <n v="0"/>
    <n v="356200"/>
    <n v="64400"/>
    <n v="420600"/>
    <n v="-2.3903457878858204E-2"/>
    <n v="0.99970000000000003"/>
    <n v="1.0019"/>
    <n v="1.0012000000000001"/>
    <n v="1.0008999999999999"/>
    <n v="1.0022"/>
    <n v="0.94971499999999998"/>
    <n v="0.95561641809327347"/>
    <n v="350300"/>
    <n v="0"/>
    <n v="350300"/>
    <n v="61100"/>
    <n v="411400"/>
    <n v="-5.3499054309646042E-2"/>
    <n v="4.9342105263157892E-3"/>
    <n v="-4.5254119285216984E-2"/>
  </r>
  <r>
    <n v="2025"/>
    <s v="19120114448    "/>
    <n v="-1.8263509139976741"/>
    <n v="0.161"/>
    <n v="7001"/>
    <s v="2"/>
    <s v="RES"/>
    <s v="MX"/>
    <s v="11"/>
    <s v="259"/>
    <s v="CO"/>
    <x v="5"/>
    <s v="EX"/>
    <n v="0"/>
    <n v="3"/>
    <n v="3"/>
    <n v="2021"/>
    <n v="2021"/>
    <n v="930"/>
    <n v="1296"/>
    <m/>
    <m/>
    <m/>
    <n v="0"/>
    <n v="2226"/>
    <n v="2500"/>
    <s v="N"/>
    <n v="1"/>
    <m/>
    <n v="480"/>
    <m/>
    <m/>
    <m/>
    <m/>
    <n v="445110"/>
    <n v="431757"/>
    <n v="0"/>
    <n v="0"/>
    <n v="60800"/>
    <n v="358300"/>
    <n v="419100"/>
    <n v="132535.48800000001"/>
    <n v="88356.992000000013"/>
    <n v="-23969.615653948869"/>
    <n v="32917.849192000001"/>
    <n v="47371.278778200001"/>
    <n v="-326.22329999999999"/>
    <n v="58041.653400000003"/>
    <n v="77216.176368"/>
    <n v="0"/>
    <n v="0"/>
    <n v="0"/>
    <n v="347800"/>
    <n v="64400"/>
    <n v="412200"/>
    <n v="-1.6463851109520401E-2"/>
    <n v="0.99970000000000003"/>
    <n v="1.0019"/>
    <n v="1.0012000000000001"/>
    <n v="1.0008999999999999"/>
    <n v="1.0022"/>
    <n v="0.94971499999999998"/>
    <n v="0.95561641809327347"/>
    <n v="341900"/>
    <n v="0"/>
    <n v="341900"/>
    <n v="61100"/>
    <n v="403000"/>
    <n v="-4.5771699692994695E-2"/>
    <n v="4.9342105263157892E-3"/>
    <n v="-3.8415652588880939E-2"/>
  </r>
  <r>
    <n v="2025"/>
    <s v="19120114518    "/>
    <n v="-1.8263509139976741"/>
    <n v="0.161"/>
    <n v="7001"/>
    <s v="2"/>
    <s v="RES"/>
    <s v="MX"/>
    <s v="11"/>
    <s v="259"/>
    <s v="CO"/>
    <x v="5"/>
    <s v="EX"/>
    <n v="0"/>
    <n v="2"/>
    <n v="2"/>
    <n v="2022"/>
    <n v="2022"/>
    <n v="918"/>
    <n v="1296"/>
    <m/>
    <m/>
    <m/>
    <n v="0"/>
    <n v="2214"/>
    <n v="2500"/>
    <s v="N"/>
    <m/>
    <n v="240"/>
    <n v="400"/>
    <m/>
    <m/>
    <m/>
    <m/>
    <n v="452990"/>
    <n v="443930"/>
    <n v="0"/>
    <n v="0"/>
    <n v="60800"/>
    <n v="365800"/>
    <n v="426600"/>
    <n v="132535.48800000001"/>
    <n v="88356.992000000013"/>
    <n v="-23969.615653948869"/>
    <n v="32917.849192000001"/>
    <n v="47371.278778200001"/>
    <n v="-217.48220000000001"/>
    <n v="57292.728840000003"/>
    <n v="77216.176368"/>
    <n v="0"/>
    <n v="8472.247440000001"/>
    <n v="0"/>
    <n v="355600"/>
    <n v="64400"/>
    <n v="420000"/>
    <n v="-1.5471167369901548E-2"/>
    <n v="0.99970000000000003"/>
    <n v="1.0019"/>
    <n v="1.0012000000000001"/>
    <n v="1.0008999999999999"/>
    <n v="1.0022"/>
    <n v="0.94971499999999998"/>
    <n v="0.95561641809327347"/>
    <n v="349700"/>
    <n v="0"/>
    <n v="349700"/>
    <n v="61100"/>
    <n v="410800"/>
    <n v="-4.4013121924548933E-2"/>
    <n v="4.9342105263157892E-3"/>
    <n v="-3.7037037037037035E-2"/>
  </r>
  <r>
    <n v="2025"/>
    <s v="19120114479    "/>
    <n v="-1.8263509139976741"/>
    <n v="0.161"/>
    <n v="7027"/>
    <s v="2"/>
    <s v="RES"/>
    <s v="MX"/>
    <s v="11"/>
    <s v="259"/>
    <s v="CO"/>
    <x v="5"/>
    <s v="EX"/>
    <n v="0"/>
    <n v="2"/>
    <n v="2"/>
    <n v="2022"/>
    <n v="2022"/>
    <n v="918"/>
    <n v="1296"/>
    <m/>
    <m/>
    <m/>
    <n v="0"/>
    <n v="2214"/>
    <n v="2500"/>
    <s v="N"/>
    <m/>
    <m/>
    <n v="400"/>
    <m/>
    <m/>
    <m/>
    <m/>
    <n v="434649"/>
    <n v="425956"/>
    <n v="0"/>
    <n v="0"/>
    <n v="60800"/>
    <n v="355500"/>
    <n v="416300"/>
    <n v="132535.48800000001"/>
    <n v="88356.992000000013"/>
    <n v="-23969.615653948869"/>
    <n v="32917.849192000001"/>
    <n v="47371.278778200001"/>
    <n v="-217.48220000000001"/>
    <n v="57292.728840000003"/>
    <n v="77216.176368"/>
    <n v="0"/>
    <n v="0"/>
    <n v="0"/>
    <n v="347100"/>
    <n v="64400"/>
    <n v="411500"/>
    <n v="-1.1530146528945472E-2"/>
    <n v="0.99970000000000003"/>
    <n v="1.0019"/>
    <n v="1.0012000000000001"/>
    <n v="1.0008999999999999"/>
    <n v="1.0022"/>
    <n v="0.94971499999999998"/>
    <n v="0.95561641809327347"/>
    <n v="341200"/>
    <n v="0"/>
    <n v="341200"/>
    <n v="61100"/>
    <n v="402300"/>
    <n v="-4.022503516174402E-2"/>
    <n v="4.9342105263157892E-3"/>
    <n v="-3.362959404275763E-2"/>
  </r>
  <r>
    <n v="2025"/>
    <s v="19120114513    "/>
    <n v="-1.8263509139976741"/>
    <n v="0.161"/>
    <n v="7004"/>
    <s v="2"/>
    <s v="RES"/>
    <s v="MX"/>
    <s v="11"/>
    <s v="259"/>
    <s v="CO"/>
    <x v="5"/>
    <s v="EX"/>
    <n v="0"/>
    <n v="2"/>
    <n v="2"/>
    <n v="2022"/>
    <n v="2022"/>
    <n v="1316"/>
    <n v="1686"/>
    <m/>
    <m/>
    <m/>
    <n v="0"/>
    <n v="3002"/>
    <n v="3500"/>
    <s v="N"/>
    <m/>
    <m/>
    <n v="480"/>
    <m/>
    <m/>
    <m/>
    <m/>
    <n v="559004"/>
    <n v="547824"/>
    <n v="0"/>
    <n v="0"/>
    <n v="60800"/>
    <n v="402500"/>
    <n v="463300"/>
    <n v="132535.48800000001"/>
    <n v="88356.992000000013"/>
    <n v="-23969.615653948869"/>
    <n v="32917.849192000001"/>
    <n v="47371.278778200001"/>
    <n v="-217.48220000000001"/>
    <n v="82132.06008000001"/>
    <n v="100452.525738"/>
    <n v="0"/>
    <n v="0"/>
    <n v="0"/>
    <n v="395200"/>
    <n v="64400"/>
    <n v="459600"/>
    <n v="-7.986186056550831E-3"/>
    <n v="0.99970000000000003"/>
    <n v="1.0019"/>
    <n v="1.0012000000000001"/>
    <n v="0.98509999999999998"/>
    <n v="1.0022"/>
    <n v="0.94971499999999998"/>
    <n v="0.94053125533388338"/>
    <n v="387300"/>
    <n v="0"/>
    <n v="387300"/>
    <n v="61100"/>
    <n v="448400"/>
    <n v="-3.7763975155279503E-2"/>
    <n v="4.9342105263157892E-3"/>
    <n v="-3.2160587092596588E-2"/>
  </r>
  <r>
    <n v="2025"/>
    <s v="19120114519    "/>
    <n v="-1.8263509139976741"/>
    <n v="0.161"/>
    <n v="7001"/>
    <s v="2"/>
    <s v="RES"/>
    <s v="MX"/>
    <s v="11"/>
    <s v="259"/>
    <s v="CO"/>
    <x v="4"/>
    <s v="EX"/>
    <n v="0"/>
    <n v="2"/>
    <n v="2"/>
    <n v="2022"/>
    <n v="2022"/>
    <n v="1452"/>
    <m/>
    <m/>
    <m/>
    <m/>
    <n v="0"/>
    <n v="1452"/>
    <n v="1500"/>
    <s v="N"/>
    <m/>
    <n v="400"/>
    <m/>
    <m/>
    <m/>
    <m/>
    <m/>
    <n v="294927"/>
    <n v="289028"/>
    <n v="0"/>
    <n v="0"/>
    <n v="60800"/>
    <n v="327200"/>
    <n v="388000"/>
    <n v="132535.48800000001"/>
    <n v="88356.992000000013"/>
    <n v="-23969.615653948869"/>
    <n v="37154.252388000001"/>
    <n v="47371.278778200001"/>
    <n v="-217.48220000000001"/>
    <n v="90619.871760000009"/>
    <n v="0"/>
    <n v="0"/>
    <n v="14120.412400000001"/>
    <n v="0"/>
    <n v="321600"/>
    <n v="64400"/>
    <n v="386000"/>
    <n v="-5.1546391752577319E-3"/>
    <n v="0.99970000000000003"/>
    <n v="0.99819999999999998"/>
    <n v="1.0012000000000001"/>
    <n v="0.99519999999999997"/>
    <n v="1.0022"/>
    <n v="0.94971499999999998"/>
    <n v="0.94666532455325636"/>
    <n v="314500"/>
    <n v="0"/>
    <n v="314500"/>
    <n v="61100"/>
    <n v="375600"/>
    <n v="-3.8814180929095353E-2"/>
    <n v="4.9342105263157892E-3"/>
    <n v="-3.1958762886597936E-2"/>
  </r>
  <r>
    <n v="2025"/>
    <s v="19120114444    "/>
    <n v="-1.8263509139976741"/>
    <n v="0.161"/>
    <n v="7002"/>
    <s v="2"/>
    <s v="RES"/>
    <s v="MX"/>
    <s v="11"/>
    <s v="259"/>
    <s v="CO"/>
    <x v="5"/>
    <s v="EX"/>
    <n v="0"/>
    <n v="3"/>
    <n v="3"/>
    <n v="2021"/>
    <n v="2021"/>
    <n v="930"/>
    <n v="1296"/>
    <m/>
    <m/>
    <m/>
    <n v="0"/>
    <n v="2226"/>
    <n v="2500"/>
    <s v="N"/>
    <n v="1"/>
    <m/>
    <n v="400"/>
    <m/>
    <m/>
    <m/>
    <m/>
    <n v="442308"/>
    <n v="429039"/>
    <n v="0"/>
    <n v="0"/>
    <n v="60800"/>
    <n v="355200"/>
    <n v="416000"/>
    <n v="132535.48800000001"/>
    <n v="88356.992000000013"/>
    <n v="-23969.615653948869"/>
    <n v="32917.849192000001"/>
    <n v="47371.278778200001"/>
    <n v="-326.22329999999999"/>
    <n v="58041.653400000003"/>
    <n v="77216.176368"/>
    <n v="0"/>
    <n v="0"/>
    <n v="0"/>
    <n v="347800"/>
    <n v="64400"/>
    <n v="412200"/>
    <n v="-9.1346153846153851E-3"/>
    <n v="0.99970000000000003"/>
    <n v="1.0019"/>
    <n v="1.0012000000000001"/>
    <n v="1.0008999999999999"/>
    <n v="1.0022"/>
    <n v="0.94971499999999998"/>
    <n v="0.95561641809327347"/>
    <n v="341900"/>
    <n v="0"/>
    <n v="341900"/>
    <n v="61100"/>
    <n v="403000"/>
    <n v="-3.7443693693693693E-2"/>
    <n v="4.9342105263157892E-3"/>
    <n v="-3.125E-2"/>
  </r>
  <r>
    <n v="2025"/>
    <s v="19120114496    "/>
    <n v="-1.8263509139976741"/>
    <n v="0.161"/>
    <n v="7001"/>
    <s v="2"/>
    <s v="RES"/>
    <s v="MX"/>
    <s v="11"/>
    <s v="259"/>
    <s v="CO"/>
    <x v="4"/>
    <s v="EX"/>
    <n v="0"/>
    <n v="3"/>
    <n v="3"/>
    <n v="2021"/>
    <n v="2021"/>
    <n v="1580"/>
    <m/>
    <m/>
    <m/>
    <m/>
    <n v="0"/>
    <n v="1580"/>
    <n v="2000"/>
    <s v="N"/>
    <m/>
    <n v="400"/>
    <m/>
    <m/>
    <m/>
    <m/>
    <m/>
    <n v="313869"/>
    <n v="304453"/>
    <n v="0"/>
    <n v="0"/>
    <n v="60800"/>
    <n v="332900"/>
    <n v="393700"/>
    <n v="132535.48800000001"/>
    <n v="88356.992000000013"/>
    <n v="-23969.615653948869"/>
    <n v="37154.252388000001"/>
    <n v="47371.278778200001"/>
    <n v="-326.22329999999999"/>
    <n v="98608.400399999999"/>
    <n v="0"/>
    <n v="0"/>
    <n v="14120.412400000001"/>
    <n v="0"/>
    <n v="329500"/>
    <n v="64400"/>
    <n v="393900"/>
    <n v="5.0800101600203195E-4"/>
    <n v="0.99970000000000003"/>
    <n v="0.99819999999999998"/>
    <n v="1.0012000000000001"/>
    <n v="1.0007999999999999"/>
    <n v="1.0022"/>
    <n v="0.94971499999999998"/>
    <n v="0.95199221946633727"/>
    <n v="323100"/>
    <n v="0"/>
    <n v="323100"/>
    <n v="61100"/>
    <n v="384200"/>
    <n v="-2.9438269750675879E-2"/>
    <n v="4.9342105263157892E-3"/>
    <n v="-2.4130048260096522E-2"/>
  </r>
  <r>
    <n v="2025"/>
    <s v="19120114437    "/>
    <n v="-1.8263509139976741"/>
    <n v="0.161"/>
    <n v="7002"/>
    <s v="2"/>
    <s v="RES"/>
    <s v="MX"/>
    <s v="11"/>
    <s v="259"/>
    <s v="CO"/>
    <x v="4"/>
    <s v="EX"/>
    <n v="0"/>
    <n v="3"/>
    <n v="3"/>
    <n v="2021"/>
    <n v="2021"/>
    <n v="1388"/>
    <m/>
    <m/>
    <m/>
    <m/>
    <n v="0"/>
    <n v="1388"/>
    <n v="1500"/>
    <s v="N"/>
    <m/>
    <n v="400"/>
    <m/>
    <m/>
    <m/>
    <m/>
    <m/>
    <n v="283020"/>
    <n v="274529"/>
    <n v="0"/>
    <n v="0"/>
    <n v="60800"/>
    <n v="319600"/>
    <n v="380400"/>
    <n v="132535.48800000001"/>
    <n v="88356.992000000013"/>
    <n v="-23969.615653948869"/>
    <n v="37154.252388000001"/>
    <n v="47371.278778200001"/>
    <n v="-326.22329999999999"/>
    <n v="86625.607440000007"/>
    <n v="0"/>
    <n v="0"/>
    <n v="14120.412400000001"/>
    <n v="0"/>
    <n v="317500"/>
    <n v="64400"/>
    <n v="381900"/>
    <n v="3.9432176656151417E-3"/>
    <n v="0.99970000000000003"/>
    <n v="0.99819999999999998"/>
    <n v="1.0012000000000001"/>
    <n v="0.99519999999999997"/>
    <n v="1.0022"/>
    <n v="0.94971499999999998"/>
    <n v="0.94666532455325636"/>
    <n v="310400"/>
    <n v="0"/>
    <n v="310400"/>
    <n v="61100"/>
    <n v="371500"/>
    <n v="-2.8785982478097622E-2"/>
    <n v="4.9342105263157892E-3"/>
    <n v="-2.3396424815983176E-2"/>
  </r>
  <r>
    <n v="2025"/>
    <s v="19120114440    "/>
    <n v="-1.8263509139976741"/>
    <n v="0.161"/>
    <n v="7002"/>
    <s v="2"/>
    <s v="RES"/>
    <s v="MX"/>
    <s v="11"/>
    <s v="259"/>
    <s v="CO"/>
    <x v="4"/>
    <s v="EX"/>
    <n v="0"/>
    <n v="3"/>
    <n v="3"/>
    <n v="2021"/>
    <n v="2021"/>
    <n v="1388"/>
    <m/>
    <m/>
    <m/>
    <m/>
    <n v="0"/>
    <n v="1388"/>
    <n v="1500"/>
    <s v="N"/>
    <m/>
    <n v="400"/>
    <m/>
    <m/>
    <m/>
    <m/>
    <m/>
    <n v="283020"/>
    <n v="274529"/>
    <n v="0"/>
    <n v="0"/>
    <n v="60800"/>
    <n v="319600"/>
    <n v="380400"/>
    <n v="132535.48800000001"/>
    <n v="88356.992000000013"/>
    <n v="-23969.615653948869"/>
    <n v="37154.252388000001"/>
    <n v="47371.278778200001"/>
    <n v="-326.22329999999999"/>
    <n v="86625.607440000007"/>
    <n v="0"/>
    <n v="0"/>
    <n v="14120.412400000001"/>
    <n v="0"/>
    <n v="317500"/>
    <n v="64400"/>
    <n v="381900"/>
    <n v="3.9432176656151417E-3"/>
    <n v="0.99970000000000003"/>
    <n v="0.99819999999999998"/>
    <n v="1.0012000000000001"/>
    <n v="0.99519999999999997"/>
    <n v="1.0022"/>
    <n v="0.94971499999999998"/>
    <n v="0.94666532455325636"/>
    <n v="310400"/>
    <n v="0"/>
    <n v="310400"/>
    <n v="61100"/>
    <n v="371500"/>
    <n v="-2.8785982478097622E-2"/>
    <n v="4.9342105263157892E-3"/>
    <n v="-2.3396424815983176E-2"/>
  </r>
  <r>
    <n v="2025"/>
    <s v="19120114503    "/>
    <n v="-1.8263509139976741"/>
    <n v="0.161"/>
    <n v="7002"/>
    <s v="2"/>
    <s v="RES"/>
    <s v="MX"/>
    <s v="11"/>
    <s v="259"/>
    <s v="CO"/>
    <x v="4"/>
    <s v="EX"/>
    <n v="0"/>
    <n v="2"/>
    <n v="2"/>
    <n v="2022"/>
    <n v="2022"/>
    <n v="1452"/>
    <m/>
    <m/>
    <m/>
    <m/>
    <n v="0"/>
    <n v="1452"/>
    <n v="1500"/>
    <s v="N"/>
    <m/>
    <n v="400"/>
    <m/>
    <m/>
    <m/>
    <m/>
    <m/>
    <n v="292579"/>
    <n v="286727"/>
    <n v="0"/>
    <n v="0"/>
    <n v="60800"/>
    <n v="323600"/>
    <n v="384400"/>
    <n v="132535.48800000001"/>
    <n v="88356.992000000013"/>
    <n v="-23969.615653948869"/>
    <n v="37154.252388000001"/>
    <n v="47371.278778200001"/>
    <n v="-217.48220000000001"/>
    <n v="90619.871760000009"/>
    <n v="0"/>
    <n v="0"/>
    <n v="14120.412400000001"/>
    <n v="0"/>
    <n v="321600"/>
    <n v="64400"/>
    <n v="386000"/>
    <n v="4.1623309053069723E-3"/>
    <n v="0.99970000000000003"/>
    <n v="0.99819999999999998"/>
    <n v="1.0012000000000001"/>
    <n v="0.99519999999999997"/>
    <n v="1.0022"/>
    <n v="0.94971499999999998"/>
    <n v="0.94666532455325636"/>
    <n v="314500"/>
    <n v="0"/>
    <n v="314500"/>
    <n v="61100"/>
    <n v="375600"/>
    <n v="-2.8121137206427688E-2"/>
    <n v="4.9342105263157892E-3"/>
    <n v="-2.2892819979188347E-2"/>
  </r>
  <r>
    <n v="2025"/>
    <s v="19120114521    "/>
    <n v="-1.8263509139976741"/>
    <n v="0.161"/>
    <n v="7001"/>
    <s v="2"/>
    <s v="RES"/>
    <s v="MX"/>
    <s v="11"/>
    <s v="259"/>
    <s v="CO"/>
    <x v="4"/>
    <s v="EX"/>
    <n v="0"/>
    <n v="2"/>
    <n v="2"/>
    <n v="2022"/>
    <n v="2022"/>
    <n v="1619"/>
    <m/>
    <m/>
    <m/>
    <m/>
    <n v="0"/>
    <n v="1619"/>
    <n v="2000"/>
    <s v="N"/>
    <m/>
    <n v="480"/>
    <m/>
    <m/>
    <m/>
    <m/>
    <m/>
    <n v="321656"/>
    <n v="315223"/>
    <n v="0"/>
    <n v="0"/>
    <n v="60800"/>
    <n v="337300"/>
    <n v="398100"/>
    <n v="132535.48800000001"/>
    <n v="88356.992000000013"/>
    <n v="-23969.615653948869"/>
    <n v="37154.252388000001"/>
    <n v="47371.278778200001"/>
    <n v="-217.48220000000001"/>
    <n v="101042.40522"/>
    <n v="0"/>
    <n v="0"/>
    <n v="16944.494880000002"/>
    <n v="0"/>
    <n v="334800"/>
    <n v="64400"/>
    <n v="399200"/>
    <n v="2.7631248430042702E-3"/>
    <n v="0.99970000000000003"/>
    <n v="0.99819999999999998"/>
    <n v="1.0012000000000001"/>
    <n v="1.0007999999999999"/>
    <n v="1.0022"/>
    <n v="0.94971499999999998"/>
    <n v="0.95199221946633727"/>
    <n v="328500"/>
    <n v="0"/>
    <n v="328500"/>
    <n v="61100"/>
    <n v="389600"/>
    <n v="-2.6089534538986065E-2"/>
    <n v="4.9342105263157892E-3"/>
    <n v="-2.1351419241396635E-2"/>
  </r>
  <r>
    <n v="2025"/>
    <s v="19120114517    "/>
    <n v="-1.8263509139976741"/>
    <n v="0.161"/>
    <n v="7001"/>
    <s v="2"/>
    <s v="RES"/>
    <s v="MX"/>
    <s v="11"/>
    <s v="259"/>
    <s v="CO"/>
    <x v="4"/>
    <s v="EX"/>
    <n v="0"/>
    <n v="2"/>
    <n v="2"/>
    <n v="2022"/>
    <n v="2022"/>
    <n v="1619"/>
    <m/>
    <m/>
    <m/>
    <m/>
    <n v="0"/>
    <n v="1619"/>
    <n v="2000"/>
    <s v="N"/>
    <m/>
    <n v="480"/>
    <m/>
    <m/>
    <m/>
    <m/>
    <m/>
    <n v="321656"/>
    <n v="315223"/>
    <n v="0"/>
    <n v="0"/>
    <n v="60800"/>
    <n v="337300"/>
    <n v="398100"/>
    <n v="132535.48800000001"/>
    <n v="88356.992000000013"/>
    <n v="-23969.615653948869"/>
    <n v="37154.252388000001"/>
    <n v="47371.278778200001"/>
    <n v="-217.48220000000001"/>
    <n v="101042.40522"/>
    <n v="0"/>
    <n v="0"/>
    <n v="16944.494880000002"/>
    <n v="0"/>
    <n v="334800"/>
    <n v="64400"/>
    <n v="399200"/>
    <n v="2.7631248430042702E-3"/>
    <n v="0.99970000000000003"/>
    <n v="0.99819999999999998"/>
    <n v="1.0012000000000001"/>
    <n v="1.0007999999999999"/>
    <n v="1.0022"/>
    <n v="0.94971499999999998"/>
    <n v="0.95199221946633727"/>
    <n v="328500"/>
    <n v="0"/>
    <n v="328500"/>
    <n v="61100"/>
    <n v="389600"/>
    <n v="-2.6089534538986065E-2"/>
    <n v="4.9342105263157892E-3"/>
    <n v="-2.1351419241396635E-2"/>
  </r>
  <r>
    <n v="2025"/>
    <s v="19120114477    "/>
    <n v="-1.8263509139976741"/>
    <n v="0.161"/>
    <n v="7001"/>
    <s v="2"/>
    <s v="RES"/>
    <s v="MX"/>
    <s v="11"/>
    <s v="259"/>
    <s v="CO"/>
    <x v="4"/>
    <s v="EX"/>
    <n v="0"/>
    <n v="2"/>
    <n v="2"/>
    <n v="2022"/>
    <n v="2022"/>
    <n v="1619"/>
    <m/>
    <m/>
    <m/>
    <m/>
    <n v="0"/>
    <n v="1619"/>
    <n v="2000"/>
    <s v="N"/>
    <m/>
    <n v="480"/>
    <m/>
    <m/>
    <m/>
    <m/>
    <m/>
    <n v="321656"/>
    <n v="315223"/>
    <n v="0"/>
    <n v="0"/>
    <n v="60800"/>
    <n v="337300"/>
    <n v="398100"/>
    <n v="132535.48800000001"/>
    <n v="88356.992000000013"/>
    <n v="-23969.615653948869"/>
    <n v="37154.252388000001"/>
    <n v="47371.278778200001"/>
    <n v="-217.48220000000001"/>
    <n v="101042.40522"/>
    <n v="0"/>
    <n v="0"/>
    <n v="16944.494880000002"/>
    <n v="0"/>
    <n v="334800"/>
    <n v="64400"/>
    <n v="399200"/>
    <n v="2.7631248430042702E-3"/>
    <n v="0.99970000000000003"/>
    <n v="0.99819999999999998"/>
    <n v="1.0012000000000001"/>
    <n v="1.0007999999999999"/>
    <n v="1.0022"/>
    <n v="0.94971499999999998"/>
    <n v="0.95199221946633727"/>
    <n v="328500"/>
    <n v="0"/>
    <n v="328500"/>
    <n v="61100"/>
    <n v="389600"/>
    <n v="-2.6089534538986065E-2"/>
    <n v="4.9342105263157892E-3"/>
    <n v="-2.1351419241396635E-2"/>
  </r>
  <r>
    <n v="2025"/>
    <s v="19120114525    "/>
    <n v="-1.8263509139976741"/>
    <n v="0.161"/>
    <n v="7002"/>
    <s v="2"/>
    <s v="RES"/>
    <s v="MX"/>
    <s v="11"/>
    <s v="259"/>
    <s v="CO"/>
    <x v="4"/>
    <s v="EX"/>
    <n v="0"/>
    <n v="2"/>
    <n v="2"/>
    <n v="2022"/>
    <n v="2022"/>
    <n v="1619"/>
    <m/>
    <m/>
    <m/>
    <m/>
    <n v="0"/>
    <n v="1619"/>
    <n v="2000"/>
    <s v="N"/>
    <m/>
    <n v="480"/>
    <m/>
    <m/>
    <m/>
    <m/>
    <m/>
    <n v="321656"/>
    <n v="315223"/>
    <n v="0"/>
    <n v="0"/>
    <n v="60800"/>
    <n v="337300"/>
    <n v="398100"/>
    <n v="132535.48800000001"/>
    <n v="88356.992000000013"/>
    <n v="-23969.615653948869"/>
    <n v="37154.252388000001"/>
    <n v="47371.278778200001"/>
    <n v="-217.48220000000001"/>
    <n v="101042.40522"/>
    <n v="0"/>
    <n v="0"/>
    <n v="16944.494880000002"/>
    <n v="0"/>
    <n v="334800"/>
    <n v="64400"/>
    <n v="399200"/>
    <n v="2.7631248430042702E-3"/>
    <n v="0.99970000000000003"/>
    <n v="0.99819999999999998"/>
    <n v="1.0012000000000001"/>
    <n v="1.0007999999999999"/>
    <n v="1.0022"/>
    <n v="0.94971499999999998"/>
    <n v="0.95199221946633727"/>
    <n v="328500"/>
    <n v="0"/>
    <n v="328500"/>
    <n v="61100"/>
    <n v="389600"/>
    <n v="-2.6089534538986065E-2"/>
    <n v="4.9342105263157892E-3"/>
    <n v="-2.1351419241396635E-2"/>
  </r>
  <r>
    <n v="2025"/>
    <s v="19120114480    "/>
    <n v="-1.8263509139976741"/>
    <n v="0.161"/>
    <n v="7002"/>
    <s v="2"/>
    <s v="RES"/>
    <s v="MX"/>
    <s v="11"/>
    <s v="259"/>
    <s v="CO"/>
    <x v="4"/>
    <s v="EX"/>
    <n v="0"/>
    <n v="3"/>
    <n v="3"/>
    <n v="2021"/>
    <n v="2021"/>
    <n v="1452"/>
    <m/>
    <m/>
    <m/>
    <m/>
    <n v="0"/>
    <n v="1452"/>
    <n v="1500"/>
    <s v="N"/>
    <m/>
    <n v="400"/>
    <m/>
    <m/>
    <m/>
    <m/>
    <m/>
    <n v="292579"/>
    <n v="283802"/>
    <n v="0"/>
    <n v="0"/>
    <n v="60800"/>
    <n v="322700"/>
    <n v="383500"/>
    <n v="132535.48800000001"/>
    <n v="88356.992000000013"/>
    <n v="-23969.615653948869"/>
    <n v="37154.252388000001"/>
    <n v="47371.278778200001"/>
    <n v="-326.22329999999999"/>
    <n v="90619.871760000009"/>
    <n v="0"/>
    <n v="0"/>
    <n v="14120.412400000001"/>
    <n v="0"/>
    <n v="321500"/>
    <n v="64400"/>
    <n v="385900"/>
    <n v="6.2581486310299868E-3"/>
    <n v="0.99970000000000003"/>
    <n v="0.99819999999999998"/>
    <n v="1.0012000000000001"/>
    <n v="0.99519999999999997"/>
    <n v="1.0022"/>
    <n v="0.94971499999999998"/>
    <n v="0.94666532455325636"/>
    <n v="314400"/>
    <n v="0"/>
    <n v="314400"/>
    <n v="61100"/>
    <n v="375500"/>
    <n v="-2.5720483421134182E-2"/>
    <n v="4.9342105263157892E-3"/>
    <n v="-2.0860495436766623E-2"/>
  </r>
  <r>
    <n v="2025"/>
    <s v="19120114504    "/>
    <n v="-1.8263509139976741"/>
    <n v="0.161"/>
    <n v="7002"/>
    <s v="2"/>
    <s v="RES"/>
    <s v="MX"/>
    <s v="11"/>
    <s v="259"/>
    <s v="CO"/>
    <x v="4"/>
    <s v="EX"/>
    <n v="0"/>
    <n v="2"/>
    <n v="2"/>
    <n v="2022"/>
    <n v="2022"/>
    <n v="1619"/>
    <m/>
    <m/>
    <m/>
    <m/>
    <n v="0"/>
    <n v="1619"/>
    <n v="2000"/>
    <s v="N"/>
    <m/>
    <n v="400"/>
    <m/>
    <m/>
    <m/>
    <m/>
    <m/>
    <n v="318385"/>
    <n v="312017"/>
    <n v="0"/>
    <n v="0"/>
    <n v="60800"/>
    <n v="333900"/>
    <n v="394700"/>
    <n v="132535.48800000001"/>
    <n v="88356.992000000013"/>
    <n v="-23969.615653948869"/>
    <n v="37154.252388000001"/>
    <n v="47371.278778200001"/>
    <n v="-217.48220000000001"/>
    <n v="101042.40522"/>
    <n v="0"/>
    <n v="0"/>
    <n v="14120.412400000001"/>
    <n v="0"/>
    <n v="332000"/>
    <n v="64400"/>
    <n v="396400"/>
    <n v="4.3070686597415763E-3"/>
    <n v="0.99970000000000003"/>
    <n v="0.99819999999999998"/>
    <n v="1.0012000000000001"/>
    <n v="1.0007999999999999"/>
    <n v="1.0022"/>
    <n v="0.94971499999999998"/>
    <n v="0.95199221946633727"/>
    <n v="325600"/>
    <n v="0"/>
    <n v="325600"/>
    <n v="61100"/>
    <n v="386700"/>
    <n v="-2.4857741838873914E-2"/>
    <n v="4.9342105263157892E-3"/>
    <n v="-2.0268558398783887E-2"/>
  </r>
  <r>
    <n v="2025"/>
    <s v="19120114520    "/>
    <n v="-1.8263509139976741"/>
    <n v="0.161"/>
    <n v="7001"/>
    <s v="2"/>
    <s v="RES"/>
    <s v="MX"/>
    <s v="11"/>
    <s v="259"/>
    <s v="CO"/>
    <x v="4"/>
    <s v="EX"/>
    <n v="0"/>
    <n v="2"/>
    <n v="2"/>
    <n v="2022"/>
    <n v="2022"/>
    <n v="1631"/>
    <m/>
    <m/>
    <m/>
    <m/>
    <n v="0"/>
    <n v="1631"/>
    <n v="2000"/>
    <s v="N"/>
    <n v="1"/>
    <n v="400"/>
    <m/>
    <m/>
    <m/>
    <m/>
    <m/>
    <n v="323809"/>
    <n v="317333"/>
    <n v="0"/>
    <n v="0"/>
    <n v="60800"/>
    <n v="334500"/>
    <n v="395300"/>
    <n v="132535.48800000001"/>
    <n v="88356.992000000013"/>
    <n v="-23969.615653948869"/>
    <n v="37154.252388000001"/>
    <n v="47371.278778200001"/>
    <n v="-217.48220000000001"/>
    <n v="101791.32978"/>
    <n v="0"/>
    <n v="0"/>
    <n v="14120.412400000001"/>
    <n v="0"/>
    <n v="332800"/>
    <n v="64400"/>
    <n v="397200"/>
    <n v="4.8064760941057428E-3"/>
    <n v="0.99970000000000003"/>
    <n v="0.99819999999999998"/>
    <n v="1.0012000000000001"/>
    <n v="1.0007999999999999"/>
    <n v="1.0022"/>
    <n v="0.94971499999999998"/>
    <n v="0.95199221946633727"/>
    <n v="326400"/>
    <n v="0"/>
    <n v="326400"/>
    <n v="61100"/>
    <n v="387500"/>
    <n v="-2.4215246636771302E-2"/>
    <n v="4.9342105263157892E-3"/>
    <n v="-1.9731849228434101E-2"/>
  </r>
  <r>
    <n v="2025"/>
    <s v="19120114485    "/>
    <n v="-1.8263509139976741"/>
    <n v="0.161"/>
    <n v="7002"/>
    <s v="2"/>
    <s v="RES"/>
    <s v="MX"/>
    <s v="11"/>
    <s v="259"/>
    <s v="CO"/>
    <x v="4"/>
    <s v="EX"/>
    <n v="0"/>
    <n v="3"/>
    <n v="3"/>
    <n v="2021"/>
    <n v="2021"/>
    <n v="1619"/>
    <m/>
    <m/>
    <m/>
    <m/>
    <n v="0"/>
    <n v="1619"/>
    <n v="2000"/>
    <s v="N"/>
    <m/>
    <n v="480"/>
    <m/>
    <m/>
    <m/>
    <m/>
    <m/>
    <n v="321656"/>
    <n v="312006"/>
    <n v="0"/>
    <n v="0"/>
    <n v="60800"/>
    <n v="336400"/>
    <n v="397200"/>
    <n v="132535.48800000001"/>
    <n v="88356.992000000013"/>
    <n v="-23969.615653948869"/>
    <n v="37154.252388000001"/>
    <n v="47371.278778200001"/>
    <n v="-326.22329999999999"/>
    <n v="101042.40522"/>
    <n v="0"/>
    <n v="0"/>
    <n v="16944.494880000002"/>
    <n v="0"/>
    <n v="334700"/>
    <n v="64400"/>
    <n v="399100"/>
    <n v="4.7834843907351458E-3"/>
    <n v="0.99970000000000003"/>
    <n v="0.99819999999999998"/>
    <n v="1.0012000000000001"/>
    <n v="1.0007999999999999"/>
    <n v="1.0022"/>
    <n v="0.94971499999999998"/>
    <n v="0.95199221946633727"/>
    <n v="328400"/>
    <n v="0"/>
    <n v="328400"/>
    <n v="61100"/>
    <n v="389500"/>
    <n v="-2.3781212841854936E-2"/>
    <n v="4.9342105263157892E-3"/>
    <n v="-1.9385699899295065E-2"/>
  </r>
  <r>
    <n v="2025"/>
    <s v="19120114501    "/>
    <n v="-1.8263509139976741"/>
    <n v="0.161"/>
    <n v="7002"/>
    <s v="2"/>
    <s v="RES"/>
    <s v="MX"/>
    <s v="11"/>
    <s v="259"/>
    <s v="CO"/>
    <x v="5"/>
    <s v="EX"/>
    <n v="0"/>
    <n v="2"/>
    <n v="2"/>
    <n v="2022"/>
    <n v="2022"/>
    <n v="1842"/>
    <m/>
    <m/>
    <m/>
    <m/>
    <n v="0"/>
    <n v="1842"/>
    <n v="2000"/>
    <s v="N"/>
    <n v="1"/>
    <n v="420"/>
    <m/>
    <m/>
    <m/>
    <m/>
    <m/>
    <n v="400279"/>
    <n v="392273"/>
    <n v="0"/>
    <n v="0"/>
    <n v="60800"/>
    <n v="342200"/>
    <n v="403000"/>
    <n v="132535.48800000001"/>
    <n v="88356.992000000013"/>
    <n v="-23969.615653948869"/>
    <n v="32917.849192000001"/>
    <n v="47371.278778200001"/>
    <n v="-217.48220000000001"/>
    <n v="114959.91996"/>
    <n v="0"/>
    <n v="0"/>
    <n v="14826.43302"/>
    <n v="0"/>
    <n v="342400"/>
    <n v="64400"/>
    <n v="406800"/>
    <n v="9.4292803970223334E-3"/>
    <n v="0.99970000000000003"/>
    <n v="1.0019"/>
    <n v="1.0012000000000001"/>
    <n v="1.0007999999999999"/>
    <n v="1.0022"/>
    <n v="0.94971499999999998"/>
    <n v="0.95552094237960661"/>
    <n v="336500"/>
    <n v="0"/>
    <n v="336500"/>
    <n v="61100"/>
    <n v="397600"/>
    <n v="-1.6656925774400935E-2"/>
    <n v="4.9342105263157892E-3"/>
    <n v="-1.3399503722084368E-2"/>
  </r>
  <r>
    <n v="2025"/>
    <s v="19120114502    "/>
    <n v="-1.8263509139976741"/>
    <n v="0.161"/>
    <n v="7002"/>
    <s v="2"/>
    <s v="RES"/>
    <s v="MX"/>
    <s v="11"/>
    <s v="259"/>
    <s v="CO"/>
    <x v="4"/>
    <s v="EX"/>
    <n v="0"/>
    <n v="2"/>
    <n v="2"/>
    <n v="2022"/>
    <n v="2022"/>
    <n v="1592"/>
    <m/>
    <m/>
    <m/>
    <m/>
    <n v="0"/>
    <n v="1592"/>
    <n v="2000"/>
    <s v="N"/>
    <n v="1"/>
    <n v="616"/>
    <m/>
    <m/>
    <m/>
    <m/>
    <m/>
    <n v="326547"/>
    <n v="320016"/>
    <n v="0"/>
    <n v="0"/>
    <n v="60800"/>
    <n v="336000"/>
    <n v="396800"/>
    <n v="132535.48800000001"/>
    <n v="88356.992000000013"/>
    <n v="-23969.615653948869"/>
    <n v="37154.252388000001"/>
    <n v="47371.278778200001"/>
    <n v="-217.48220000000001"/>
    <n v="99357.324960000013"/>
    <n v="0"/>
    <n v="0"/>
    <n v="21745.435096000001"/>
    <n v="0"/>
    <n v="337900"/>
    <n v="64400"/>
    <n v="402300"/>
    <n v="1.3860887096774193E-2"/>
    <n v="0.99970000000000003"/>
    <n v="0.99819999999999998"/>
    <n v="1.0012000000000001"/>
    <n v="1.0007999999999999"/>
    <n v="1.0022"/>
    <n v="0.94971499999999998"/>
    <n v="0.95199221946633727"/>
    <n v="331600"/>
    <n v="0"/>
    <n v="331600"/>
    <n v="61100"/>
    <n v="392700"/>
    <n v="-1.3095238095238096E-2"/>
    <n v="4.9342105263157892E-3"/>
    <n v="-1.033266129032258E-2"/>
  </r>
  <r>
    <n v="2025"/>
    <s v="20120634530    "/>
    <n v="-1.8263509139976741"/>
    <n v="0.161"/>
    <n v="7011"/>
    <s v="2"/>
    <s v="RES"/>
    <s v="MX"/>
    <s v="11"/>
    <s v="259"/>
    <s v="CP"/>
    <x v="5"/>
    <s v="VG"/>
    <n v="0"/>
    <n v="5"/>
    <n v="5"/>
    <n v="2019"/>
    <n v="2019"/>
    <n v="1723"/>
    <m/>
    <m/>
    <m/>
    <m/>
    <n v="0"/>
    <n v="1723"/>
    <n v="2000"/>
    <s v="N"/>
    <m/>
    <n v="657"/>
    <m/>
    <m/>
    <m/>
    <m/>
    <m/>
    <n v="383961"/>
    <n v="368603"/>
    <n v="0"/>
    <n v="0"/>
    <n v="60800"/>
    <n v="343700"/>
    <n v="404500"/>
    <n v="132535.48800000001"/>
    <n v="88356.992000000013"/>
    <n v="-23969.615653948869"/>
    <n v="32917.849192000001"/>
    <n v="50438.379078999998"/>
    <n v="-543.70550000000003"/>
    <n v="107533.08474000001"/>
    <n v="0"/>
    <n v="0"/>
    <n v="23192.777367000002"/>
    <n v="0"/>
    <n v="346100"/>
    <n v="64400"/>
    <n v="410500"/>
    <n v="1.4833127317676144E-2"/>
    <n v="0.99970000000000003"/>
    <n v="1.0019"/>
    <n v="1.0007999999999999"/>
    <n v="1.0007999999999999"/>
    <n v="1.0022"/>
    <n v="0.94971499999999998"/>
    <n v="0.95513919210298648"/>
    <n v="340100"/>
    <n v="0"/>
    <n v="340100"/>
    <n v="61100"/>
    <n v="401200"/>
    <n v="-1.047425080011638E-2"/>
    <n v="4.9342105263157892E-3"/>
    <n v="-8.1582200247218781E-3"/>
  </r>
  <r>
    <n v="2025"/>
    <s v="19120114512    "/>
    <n v="-1.8263509139976741"/>
    <n v="0.161"/>
    <n v="7004"/>
    <s v="2"/>
    <s v="RES"/>
    <s v="MX"/>
    <s v="11"/>
    <s v="259"/>
    <s v="CO"/>
    <x v="4"/>
    <s v="EX"/>
    <n v="0"/>
    <n v="2"/>
    <n v="2"/>
    <n v="2022"/>
    <n v="2022"/>
    <n v="1592"/>
    <m/>
    <m/>
    <m/>
    <m/>
    <n v="0"/>
    <n v="1592"/>
    <n v="2000"/>
    <s v="N"/>
    <n v="1"/>
    <n v="480"/>
    <m/>
    <m/>
    <m/>
    <m/>
    <m/>
    <n v="319281"/>
    <n v="312895"/>
    <n v="0"/>
    <n v="0"/>
    <n v="60800"/>
    <n v="330200"/>
    <n v="391000"/>
    <n v="132535.48800000001"/>
    <n v="88356.992000000013"/>
    <n v="-23969.615653948869"/>
    <n v="37154.252388000001"/>
    <n v="47371.278778200001"/>
    <n v="-217.48220000000001"/>
    <n v="99357.324960000013"/>
    <n v="0"/>
    <n v="0"/>
    <n v="16944.494880000002"/>
    <n v="0"/>
    <n v="333100"/>
    <n v="64400"/>
    <n v="397500"/>
    <n v="1.6624040920716114E-2"/>
    <n v="0.99970000000000003"/>
    <n v="0.99819999999999998"/>
    <n v="1.0012000000000001"/>
    <n v="1.0007999999999999"/>
    <n v="1.0022"/>
    <n v="0.94971499999999998"/>
    <n v="0.95199221946633727"/>
    <n v="326800"/>
    <n v="0"/>
    <n v="326800"/>
    <n v="61100"/>
    <n v="387900"/>
    <n v="-1.029678982434888E-2"/>
    <n v="4.9342105263157892E-3"/>
    <n v="-7.9283887468030688E-3"/>
  </r>
  <r>
    <n v="2025"/>
    <s v="20120634531    "/>
    <n v="-1.8263509139976741"/>
    <n v="0.161"/>
    <n v="7004"/>
    <s v="2"/>
    <s v="RES"/>
    <s v="MX"/>
    <s v="11"/>
    <s v="259"/>
    <s v="CP"/>
    <x v="5"/>
    <s v="VG"/>
    <n v="0"/>
    <n v="5"/>
    <n v="5"/>
    <n v="2019"/>
    <n v="2019"/>
    <n v="1708"/>
    <m/>
    <m/>
    <m/>
    <m/>
    <n v="0"/>
    <n v="1708"/>
    <n v="2000"/>
    <s v="N"/>
    <m/>
    <n v="420"/>
    <m/>
    <m/>
    <m/>
    <m/>
    <m/>
    <n v="371974"/>
    <n v="357095"/>
    <n v="0"/>
    <n v="0"/>
    <n v="60800"/>
    <n v="334000"/>
    <n v="394800"/>
    <n v="132535.48800000001"/>
    <n v="88356.992000000013"/>
    <n v="-23969.615653948869"/>
    <n v="32917.849192000001"/>
    <n v="50438.379078999998"/>
    <n v="-543.70550000000003"/>
    <n v="106596.92904"/>
    <n v="0"/>
    <n v="0"/>
    <n v="14826.43302"/>
    <n v="0"/>
    <n v="336800"/>
    <n v="64400"/>
    <n v="401200"/>
    <n v="1.6210739614994935E-2"/>
    <n v="0.99970000000000003"/>
    <n v="1.0019"/>
    <n v="1.0007999999999999"/>
    <n v="1.0007999999999999"/>
    <n v="1.0022"/>
    <n v="0.94971499999999998"/>
    <n v="0.95513919210298648"/>
    <n v="330800"/>
    <n v="0"/>
    <n v="330800"/>
    <n v="61100"/>
    <n v="391900"/>
    <n v="-9.5808383233532933E-3"/>
    <n v="4.9342105263157892E-3"/>
    <n v="-7.3454913880445791E-3"/>
  </r>
  <r>
    <n v="2025"/>
    <s v="19120114528    "/>
    <n v="-1.8263509139976741"/>
    <n v="0.161"/>
    <n v="7001"/>
    <s v="2"/>
    <s v="RES"/>
    <s v="MX"/>
    <s v="11"/>
    <s v="259"/>
    <s v="CO"/>
    <x v="4"/>
    <s v="EX"/>
    <n v="0"/>
    <n v="2"/>
    <n v="2"/>
    <n v="2022"/>
    <n v="2022"/>
    <n v="1580"/>
    <m/>
    <m/>
    <m/>
    <m/>
    <n v="0"/>
    <n v="1580"/>
    <n v="2000"/>
    <s v="N"/>
    <m/>
    <n v="400"/>
    <m/>
    <m/>
    <m/>
    <m/>
    <m/>
    <n v="309994"/>
    <n v="303794"/>
    <n v="0"/>
    <n v="0"/>
    <n v="60800"/>
    <n v="326100"/>
    <n v="386900"/>
    <n v="132535.48800000001"/>
    <n v="88356.992000000013"/>
    <n v="-23969.615653948869"/>
    <n v="37154.252388000001"/>
    <n v="47371.278778200001"/>
    <n v="-217.48220000000001"/>
    <n v="98608.400399999999"/>
    <n v="0"/>
    <n v="0"/>
    <n v="14120.412400000001"/>
    <n v="0"/>
    <n v="329600"/>
    <n v="64400"/>
    <n v="394000"/>
    <n v="1.8350995089170329E-2"/>
    <n v="0.99970000000000003"/>
    <n v="0.99819999999999998"/>
    <n v="1.0012000000000001"/>
    <n v="1.0007999999999999"/>
    <n v="1.0022"/>
    <n v="0.94971499999999998"/>
    <n v="0.95199221946633727"/>
    <n v="323200"/>
    <n v="0"/>
    <n v="323200"/>
    <n v="61100"/>
    <n v="384300"/>
    <n v="-8.8929776142287649E-3"/>
    <n v="4.9342105263157892E-3"/>
    <n v="-6.7200827087102611E-3"/>
  </r>
  <r>
    <n v="2025"/>
    <s v="19120114482    "/>
    <n v="-1.8263509139976741"/>
    <n v="0.161"/>
    <n v="7002"/>
    <s v="2"/>
    <s v="RES"/>
    <s v="MX"/>
    <s v="11"/>
    <s v="259"/>
    <s v="CO"/>
    <x v="4"/>
    <s v="EX"/>
    <n v="0"/>
    <n v="3"/>
    <n v="3"/>
    <n v="2021"/>
    <n v="2021"/>
    <n v="1580"/>
    <m/>
    <m/>
    <m/>
    <m/>
    <n v="0"/>
    <n v="1580"/>
    <n v="2000"/>
    <s v="N"/>
    <m/>
    <n v="400"/>
    <m/>
    <m/>
    <m/>
    <m/>
    <m/>
    <n v="309994"/>
    <n v="300694"/>
    <n v="0"/>
    <n v="0"/>
    <n v="60800"/>
    <n v="325300"/>
    <n v="386100"/>
    <n v="132535.48800000001"/>
    <n v="88356.992000000013"/>
    <n v="-23969.615653948869"/>
    <n v="37154.252388000001"/>
    <n v="47371.278778200001"/>
    <n v="-326.22329999999999"/>
    <n v="98608.400399999999"/>
    <n v="0"/>
    <n v="0"/>
    <n v="14120.412400000001"/>
    <n v="0"/>
    <n v="329500"/>
    <n v="64400"/>
    <n v="393900"/>
    <n v="2.0202020202020204E-2"/>
    <n v="0.99970000000000003"/>
    <n v="0.99819999999999998"/>
    <n v="1.0012000000000001"/>
    <n v="1.0007999999999999"/>
    <n v="1.0022"/>
    <n v="0.94971499999999998"/>
    <n v="0.95199221946633727"/>
    <n v="323100"/>
    <n v="0"/>
    <n v="323100"/>
    <n v="61100"/>
    <n v="384200"/>
    <n v="-6.7629880110667076E-3"/>
    <n v="4.9342105263157892E-3"/>
    <n v="-4.9210049210049213E-3"/>
  </r>
  <r>
    <n v="2025"/>
    <s v="19120114430    "/>
    <n v="-1.8263509139976741"/>
    <n v="0.161"/>
    <n v="7002"/>
    <s v="2"/>
    <s v="RES"/>
    <s v="MX"/>
    <s v="11"/>
    <s v="259"/>
    <s v="CO"/>
    <x v="4"/>
    <s v="EX"/>
    <n v="0"/>
    <n v="3"/>
    <n v="3"/>
    <n v="2021"/>
    <n v="2021"/>
    <n v="1580"/>
    <m/>
    <m/>
    <m/>
    <m/>
    <n v="0"/>
    <n v="1580"/>
    <n v="2000"/>
    <s v="N"/>
    <m/>
    <n v="400"/>
    <m/>
    <m/>
    <m/>
    <m/>
    <m/>
    <n v="309994"/>
    <n v="300694"/>
    <n v="0"/>
    <n v="0"/>
    <n v="60800"/>
    <n v="325300"/>
    <n v="386100"/>
    <n v="132535.48800000001"/>
    <n v="88356.992000000013"/>
    <n v="-23969.615653948869"/>
    <n v="37154.252388000001"/>
    <n v="47371.278778200001"/>
    <n v="-326.22329999999999"/>
    <n v="98608.400399999999"/>
    <n v="0"/>
    <n v="0"/>
    <n v="14120.412400000001"/>
    <n v="0"/>
    <n v="329500"/>
    <n v="64400"/>
    <n v="393900"/>
    <n v="2.0202020202020204E-2"/>
    <n v="0.99970000000000003"/>
    <n v="0.99819999999999998"/>
    <n v="1.0012000000000001"/>
    <n v="1.0007999999999999"/>
    <n v="1.0022"/>
    <n v="0.94971499999999998"/>
    <n v="0.95199221946633727"/>
    <n v="323100"/>
    <n v="0"/>
    <n v="323100"/>
    <n v="61100"/>
    <n v="384200"/>
    <n v="-6.7629880110667076E-3"/>
    <n v="4.9342105263157892E-3"/>
    <n v="-4.9210049210049213E-3"/>
  </r>
  <r>
    <n v="2025"/>
    <s v="19120114522    "/>
    <n v="-1.8263509139976741"/>
    <n v="0.161"/>
    <n v="7002"/>
    <s v="2"/>
    <s v="RES"/>
    <s v="MX"/>
    <s v="11"/>
    <s v="259"/>
    <s v="CO"/>
    <x v="4"/>
    <s v="EX"/>
    <n v="0"/>
    <n v="2"/>
    <n v="2"/>
    <n v="2022"/>
    <n v="2022"/>
    <n v="1621"/>
    <m/>
    <m/>
    <m/>
    <m/>
    <n v="0"/>
    <n v="1621"/>
    <n v="2000"/>
    <s v="N"/>
    <m/>
    <n v="480"/>
    <m/>
    <m/>
    <m/>
    <m/>
    <m/>
    <n v="319293"/>
    <n v="312907"/>
    <n v="0"/>
    <n v="0"/>
    <n v="60800"/>
    <n v="330800"/>
    <n v="391600"/>
    <n v="132535.48800000001"/>
    <n v="88356.992000000013"/>
    <n v="-23969.615653948869"/>
    <n v="37154.252388000001"/>
    <n v="47371.278778200001"/>
    <n v="-217.48220000000001"/>
    <n v="101167.22598"/>
    <n v="0"/>
    <n v="0"/>
    <n v="16944.494880000002"/>
    <n v="0"/>
    <n v="335000"/>
    <n v="64400"/>
    <n v="399400"/>
    <n v="1.9918283963227784E-2"/>
    <n v="0.99970000000000003"/>
    <n v="0.99819999999999998"/>
    <n v="1.0012000000000001"/>
    <n v="1.0007999999999999"/>
    <n v="1.0022"/>
    <n v="0.94971499999999998"/>
    <n v="0.95199221946633727"/>
    <n v="328600"/>
    <n v="0"/>
    <n v="328600"/>
    <n v="61100"/>
    <n v="389700"/>
    <n v="-6.650544135429262E-3"/>
    <n v="4.9342105263157892E-3"/>
    <n v="-4.8518896833503579E-3"/>
  </r>
  <r>
    <n v="2025"/>
    <s v="19120114476    "/>
    <n v="-1.8263509139976741"/>
    <n v="0.161"/>
    <n v="7001"/>
    <s v="2"/>
    <s v="RES"/>
    <s v="MX"/>
    <s v="11"/>
    <s v="259"/>
    <s v="CO"/>
    <x v="4"/>
    <s v="EX"/>
    <n v="0"/>
    <n v="2"/>
    <n v="2"/>
    <n v="2022"/>
    <n v="2022"/>
    <n v="1240"/>
    <m/>
    <m/>
    <m/>
    <m/>
    <n v="0"/>
    <n v="1240"/>
    <n v="1500"/>
    <s v="N"/>
    <m/>
    <n v="484"/>
    <m/>
    <m/>
    <m/>
    <m/>
    <m/>
    <n v="256372"/>
    <n v="251245"/>
    <n v="0"/>
    <n v="0"/>
    <n v="60800"/>
    <n v="305500"/>
    <n v="366300"/>
    <n v="132535.48800000001"/>
    <n v="88356.992000000013"/>
    <n v="-23969.615653948869"/>
    <n v="37154.252388000001"/>
    <n v="47371.278778200001"/>
    <n v="-217.48220000000001"/>
    <n v="77388.871200000009"/>
    <n v="0"/>
    <n v="0"/>
    <n v="17085.699004000002"/>
    <n v="0"/>
    <n v="311300"/>
    <n v="64400"/>
    <n v="375700"/>
    <n v="2.5662025662025661E-2"/>
    <n v="0.99970000000000003"/>
    <n v="0.99819999999999998"/>
    <n v="1.0012000000000001"/>
    <n v="0.99519999999999997"/>
    <n v="1.0022"/>
    <n v="0.94971499999999998"/>
    <n v="0.94666532455325636"/>
    <n v="304200"/>
    <n v="0"/>
    <n v="304200"/>
    <n v="61100"/>
    <n v="365300"/>
    <n v="-4.2553191489361703E-3"/>
    <n v="4.9342105263157892E-3"/>
    <n v="-2.7300027300027302E-3"/>
  </r>
  <r>
    <n v="2025"/>
    <s v="19120114529    "/>
    <n v="-1.8263509139976741"/>
    <n v="0.161"/>
    <n v="7002"/>
    <s v="2"/>
    <s v="RES"/>
    <s v="MX"/>
    <s v="11"/>
    <s v="259"/>
    <s v="CO"/>
    <x v="4"/>
    <s v="EX"/>
    <n v="0"/>
    <n v="2"/>
    <n v="2"/>
    <n v="2022"/>
    <n v="2022"/>
    <n v="1240"/>
    <m/>
    <m/>
    <m/>
    <m/>
    <n v="0"/>
    <n v="1240"/>
    <n v="1500"/>
    <s v="N"/>
    <m/>
    <n v="404"/>
    <m/>
    <m/>
    <m/>
    <m/>
    <m/>
    <n v="253124"/>
    <n v="248062"/>
    <n v="0"/>
    <n v="0"/>
    <n v="60800"/>
    <n v="302100"/>
    <n v="362900"/>
    <n v="132535.48800000001"/>
    <n v="88356.992000000013"/>
    <n v="-23969.615653948869"/>
    <n v="37154.252388000001"/>
    <n v="47371.278778200001"/>
    <n v="-217.48220000000001"/>
    <n v="77388.871200000009"/>
    <n v="0"/>
    <n v="0"/>
    <n v="14261.616524000001"/>
    <n v="0"/>
    <n v="308500"/>
    <n v="64400"/>
    <n v="372900"/>
    <n v="2.755580049600441E-2"/>
    <n v="0.99970000000000003"/>
    <n v="0.99819999999999998"/>
    <n v="1.0012000000000001"/>
    <n v="0.99519999999999997"/>
    <n v="1.0022"/>
    <n v="0.94971499999999998"/>
    <n v="0.94666532455325636"/>
    <n v="301400"/>
    <n v="0"/>
    <n v="301400"/>
    <n v="61100"/>
    <n v="362500"/>
    <n v="-2.3171135385633896E-3"/>
    <n v="4.9342105263157892E-3"/>
    <n v="-1.1022320198401765E-3"/>
  </r>
  <r>
    <n v="2025"/>
    <s v="19120114483    "/>
    <n v="-1.8263509139976741"/>
    <n v="0.161"/>
    <n v="7002"/>
    <s v="2"/>
    <s v="RES"/>
    <s v="MX"/>
    <s v="11"/>
    <s v="259"/>
    <s v="CP"/>
    <x v="4"/>
    <s v="EX"/>
    <n v="0"/>
    <n v="3"/>
    <n v="3"/>
    <n v="2021"/>
    <n v="2021"/>
    <n v="1240"/>
    <m/>
    <m/>
    <m/>
    <m/>
    <n v="0"/>
    <n v="1240"/>
    <n v="1500"/>
    <s v="N"/>
    <m/>
    <n v="484"/>
    <m/>
    <m/>
    <m/>
    <m/>
    <m/>
    <n v="256372"/>
    <n v="248681"/>
    <n v="0"/>
    <n v="0"/>
    <n v="60800"/>
    <n v="304600"/>
    <n v="365400"/>
    <n v="132535.48800000001"/>
    <n v="88356.992000000013"/>
    <n v="-23969.615653948869"/>
    <n v="37154.252388000001"/>
    <n v="47371.278778200001"/>
    <n v="-326.22329999999999"/>
    <n v="77388.871200000009"/>
    <n v="0"/>
    <n v="0"/>
    <n v="17085.699004000002"/>
    <n v="0"/>
    <n v="311200"/>
    <n v="64400"/>
    <n v="375600"/>
    <n v="2.7914614121510674E-2"/>
    <n v="0.99970000000000003"/>
    <n v="0.99819999999999998"/>
    <n v="1.0012000000000001"/>
    <n v="0.99519999999999997"/>
    <n v="1.0022"/>
    <n v="0.94971499999999998"/>
    <n v="0.94666532455325636"/>
    <n v="304100"/>
    <n v="0"/>
    <n v="304100"/>
    <n v="61100"/>
    <n v="365200"/>
    <n v="-1.6414970453053185E-3"/>
    <n v="4.9342105263157892E-3"/>
    <n v="-5.4734537493158185E-4"/>
  </r>
  <r>
    <n v="2025"/>
    <s v="19120114434    "/>
    <n v="-1.8263509139976741"/>
    <n v="0.161"/>
    <n v="7002"/>
    <s v="2"/>
    <s v="RES"/>
    <s v="MX"/>
    <s v="11"/>
    <s v="259"/>
    <s v="CO"/>
    <x v="4"/>
    <s v="EX"/>
    <n v="0"/>
    <n v="3"/>
    <n v="3"/>
    <n v="2021"/>
    <n v="2021"/>
    <n v="1240"/>
    <m/>
    <m/>
    <m/>
    <m/>
    <n v="0"/>
    <n v="1240"/>
    <n v="1500"/>
    <s v="N"/>
    <m/>
    <n v="484"/>
    <m/>
    <m/>
    <m/>
    <m/>
    <m/>
    <n v="259738"/>
    <n v="251946"/>
    <n v="0"/>
    <n v="0"/>
    <n v="60800"/>
    <n v="304600"/>
    <n v="365400"/>
    <n v="132535.48800000001"/>
    <n v="88356.992000000013"/>
    <n v="-23969.615653948869"/>
    <n v="37154.252388000001"/>
    <n v="47371.278778200001"/>
    <n v="-326.22329999999999"/>
    <n v="77388.871200000009"/>
    <n v="0"/>
    <n v="0"/>
    <n v="17085.699004000002"/>
    <n v="0"/>
    <n v="311200"/>
    <n v="64400"/>
    <n v="375600"/>
    <n v="2.7914614121510674E-2"/>
    <n v="0.99970000000000003"/>
    <n v="0.99819999999999998"/>
    <n v="1.0012000000000001"/>
    <n v="0.99519999999999997"/>
    <n v="1.0022"/>
    <n v="0.94971499999999998"/>
    <n v="0.94666532455325636"/>
    <n v="304100"/>
    <n v="0"/>
    <n v="304100"/>
    <n v="61100"/>
    <n v="365200"/>
    <n v="-1.6414970453053185E-3"/>
    <n v="4.9342105263157892E-3"/>
    <n v="-5.4734537493158185E-4"/>
  </r>
  <r>
    <n v="2025"/>
    <s v="19120114446    "/>
    <n v="-1.8263509139976741"/>
    <n v="0.161"/>
    <n v="7003"/>
    <s v="2"/>
    <s v="RES"/>
    <s v="MX"/>
    <s v="11"/>
    <s v="259"/>
    <s v="CO"/>
    <x v="4"/>
    <s v="EX"/>
    <n v="0"/>
    <n v="3"/>
    <n v="3"/>
    <n v="2021"/>
    <n v="2021"/>
    <n v="1240"/>
    <m/>
    <m/>
    <m/>
    <m/>
    <n v="0"/>
    <n v="1240"/>
    <n v="1500"/>
    <s v="N"/>
    <m/>
    <n v="404"/>
    <m/>
    <m/>
    <m/>
    <m/>
    <m/>
    <n v="253357"/>
    <n v="245756"/>
    <n v="0"/>
    <n v="0"/>
    <n v="60800"/>
    <n v="301200"/>
    <n v="362000"/>
    <n v="132535.48800000001"/>
    <n v="88356.992000000013"/>
    <n v="-23969.615653948869"/>
    <n v="37154.252388000001"/>
    <n v="47371.278778200001"/>
    <n v="-326.22329999999999"/>
    <n v="77388.871200000009"/>
    <n v="0"/>
    <n v="0"/>
    <n v="14261.616524000001"/>
    <n v="0"/>
    <n v="308400"/>
    <n v="64400"/>
    <n v="372800"/>
    <n v="2.9834254143646408E-2"/>
    <n v="0.99970000000000003"/>
    <n v="0.99819999999999998"/>
    <n v="1.0012000000000001"/>
    <n v="0.99519999999999997"/>
    <n v="1.0022"/>
    <n v="0.94971499999999998"/>
    <n v="0.94666532455325636"/>
    <n v="301300"/>
    <n v="0"/>
    <n v="301300"/>
    <n v="61100"/>
    <n v="362400"/>
    <n v="3.3200531208499334E-4"/>
    <n v="4.9342105263157892E-3"/>
    <n v="1.1049723756906078E-3"/>
  </r>
  <r>
    <n v="2025"/>
    <s v="19120114472    "/>
    <n v="-1.8263509139976741"/>
    <n v="0.161"/>
    <n v="7001"/>
    <s v="2"/>
    <s v="RES"/>
    <s v="MX"/>
    <s v="11"/>
    <s v="259"/>
    <s v="CO"/>
    <x v="4"/>
    <s v="EX"/>
    <n v="0"/>
    <n v="2"/>
    <n v="2"/>
    <n v="2022"/>
    <n v="2022"/>
    <n v="1452"/>
    <m/>
    <m/>
    <m/>
    <m/>
    <n v="0"/>
    <n v="1452"/>
    <n v="1500"/>
    <s v="N"/>
    <m/>
    <n v="616"/>
    <m/>
    <m/>
    <m/>
    <m/>
    <m/>
    <n v="293832"/>
    <n v="287955"/>
    <n v="0"/>
    <n v="0"/>
    <n v="60800"/>
    <n v="321800"/>
    <n v="382600"/>
    <n v="132535.48800000001"/>
    <n v="88356.992000000013"/>
    <n v="-23969.615653948869"/>
    <n v="37154.252388000001"/>
    <n v="47371.278778200001"/>
    <n v="-217.48220000000001"/>
    <n v="90619.871760000009"/>
    <n v="0"/>
    <n v="0"/>
    <n v="21745.435096000001"/>
    <n v="0"/>
    <n v="329200"/>
    <n v="64400"/>
    <n v="393600"/>
    <n v="2.8750653423941452E-2"/>
    <n v="0.99970000000000003"/>
    <n v="0.99819999999999998"/>
    <n v="1.0012000000000001"/>
    <n v="0.99519999999999997"/>
    <n v="1.0022"/>
    <n v="0.94971499999999998"/>
    <n v="0.94666532455325636"/>
    <n v="322100"/>
    <n v="0"/>
    <n v="322100"/>
    <n v="61100"/>
    <n v="383200"/>
    <n v="9.3225605966438781E-4"/>
    <n v="4.9342105263157892E-3"/>
    <n v="1.5682174594877157E-3"/>
  </r>
  <r>
    <n v="2025"/>
    <s v="19120114499    "/>
    <n v="-1.8263509139976741"/>
    <n v="0.161"/>
    <n v="7002"/>
    <s v="2"/>
    <s v="RES"/>
    <s v="MX"/>
    <s v="11"/>
    <s v="259"/>
    <s v="CO"/>
    <x v="4"/>
    <s v="EX"/>
    <n v="0"/>
    <n v="2"/>
    <n v="2"/>
    <n v="2022"/>
    <n v="2022"/>
    <n v="1592"/>
    <m/>
    <m/>
    <m/>
    <m/>
    <n v="0"/>
    <n v="1592"/>
    <n v="2000"/>
    <s v="N"/>
    <n v="1"/>
    <n v="616"/>
    <m/>
    <m/>
    <m/>
    <m/>
    <m/>
    <n v="322580"/>
    <n v="316128"/>
    <n v="0"/>
    <n v="0"/>
    <n v="60800"/>
    <n v="330700"/>
    <n v="391500"/>
    <n v="132535.48800000001"/>
    <n v="88356.992000000013"/>
    <n v="-23969.615653948869"/>
    <n v="37154.252388000001"/>
    <n v="47371.278778200001"/>
    <n v="-217.48220000000001"/>
    <n v="99357.324960000013"/>
    <n v="0"/>
    <n v="0"/>
    <n v="21745.435096000001"/>
    <n v="0"/>
    <n v="337900"/>
    <n v="64400"/>
    <n v="402300"/>
    <n v="2.7586206896551724E-2"/>
    <n v="0.99970000000000003"/>
    <n v="0.99819999999999998"/>
    <n v="1.0012000000000001"/>
    <n v="1.0007999999999999"/>
    <n v="1.0022"/>
    <n v="0.94971499999999998"/>
    <n v="0.95199221946633727"/>
    <n v="331600"/>
    <n v="0"/>
    <n v="331600"/>
    <n v="61100"/>
    <n v="392700"/>
    <n v="2.7214998488055641E-3"/>
    <n v="4.9342105263157892E-3"/>
    <n v="3.0651340996168583E-3"/>
  </r>
  <r>
    <n v="2025"/>
    <s v="19120114438    "/>
    <n v="-1.8263509139976741"/>
    <n v="0.161"/>
    <n v="7002"/>
    <s v="2"/>
    <s v="RES"/>
    <s v="MX"/>
    <s v="11"/>
    <s v="259"/>
    <s v="CO"/>
    <x v="4"/>
    <s v="EX"/>
    <n v="0"/>
    <n v="3"/>
    <n v="3"/>
    <n v="2021"/>
    <n v="2021"/>
    <n v="1452"/>
    <m/>
    <m/>
    <m/>
    <m/>
    <n v="0"/>
    <n v="1452"/>
    <n v="1500"/>
    <s v="N"/>
    <m/>
    <n v="616"/>
    <m/>
    <m/>
    <m/>
    <m/>
    <m/>
    <n v="296539"/>
    <n v="287643"/>
    <n v="0"/>
    <n v="0"/>
    <n v="60800"/>
    <n v="320900"/>
    <n v="381700"/>
    <n v="132535.48800000001"/>
    <n v="88356.992000000013"/>
    <n v="-23969.615653948869"/>
    <n v="37154.252388000001"/>
    <n v="47371.278778200001"/>
    <n v="-326.22329999999999"/>
    <n v="90619.871760000009"/>
    <n v="0"/>
    <n v="0"/>
    <n v="21745.435096000001"/>
    <n v="0"/>
    <n v="329100"/>
    <n v="64400"/>
    <n v="393500"/>
    <n v="3.0914330626146187E-2"/>
    <n v="0.99970000000000003"/>
    <n v="0.99819999999999998"/>
    <n v="1.0012000000000001"/>
    <n v="0.99519999999999997"/>
    <n v="1.0022"/>
    <n v="0.94971499999999998"/>
    <n v="0.94666532455325636"/>
    <n v="322000"/>
    <n v="0"/>
    <n v="322000"/>
    <n v="61100"/>
    <n v="383100"/>
    <n v="3.4278591461514491E-3"/>
    <n v="4.9342105263157892E-3"/>
    <n v="3.6678019386953103E-3"/>
  </r>
  <r>
    <n v="2025"/>
    <s v="19120114471    "/>
    <n v="-1.8263509139976741"/>
    <n v="0.161"/>
    <n v="7004"/>
    <s v="2"/>
    <s v="RES"/>
    <s v="MX"/>
    <s v="11"/>
    <s v="259"/>
    <s v="CO"/>
    <x v="4"/>
    <s v="EX"/>
    <n v="0"/>
    <n v="2"/>
    <n v="2"/>
    <n v="2022"/>
    <n v="2022"/>
    <n v="1580"/>
    <m/>
    <m/>
    <m/>
    <m/>
    <n v="0"/>
    <n v="1580"/>
    <n v="2000"/>
    <s v="N"/>
    <m/>
    <n v="480"/>
    <m/>
    <m/>
    <m/>
    <m/>
    <m/>
    <n v="309298"/>
    <n v="303112"/>
    <n v="0"/>
    <n v="0"/>
    <n v="60800"/>
    <n v="324200"/>
    <n v="385000"/>
    <n v="132535.48800000001"/>
    <n v="88356.992000000013"/>
    <n v="-23969.615653948869"/>
    <n v="37154.252388000001"/>
    <n v="47371.278778200001"/>
    <n v="-217.48220000000001"/>
    <n v="98608.400399999999"/>
    <n v="0"/>
    <n v="0"/>
    <n v="16944.494880000002"/>
    <n v="0"/>
    <n v="332400"/>
    <n v="64400"/>
    <n v="396800"/>
    <n v="3.0649350649350648E-2"/>
    <n v="0.99970000000000003"/>
    <n v="0.99819999999999998"/>
    <n v="1.0012000000000001"/>
    <n v="1.0007999999999999"/>
    <n v="1.0022"/>
    <n v="0.94971499999999998"/>
    <n v="0.95199221946633727"/>
    <n v="326000"/>
    <n v="0"/>
    <n v="326000"/>
    <n v="61100"/>
    <n v="387100"/>
    <n v="5.5521283158544111E-3"/>
    <n v="4.9342105263157892E-3"/>
    <n v="5.454545454545455E-3"/>
  </r>
  <r>
    <n v="2025"/>
    <s v="19120114524    "/>
    <n v="-1.8263509139976741"/>
    <n v="0.161"/>
    <n v="7001"/>
    <s v="2"/>
    <s v="RES"/>
    <s v="MX"/>
    <s v="11"/>
    <s v="259"/>
    <s v="CO"/>
    <x v="4"/>
    <s v="EX"/>
    <n v="0"/>
    <n v="2"/>
    <n v="2"/>
    <n v="2022"/>
    <n v="2022"/>
    <n v="1452"/>
    <m/>
    <m/>
    <m/>
    <m/>
    <n v="0"/>
    <n v="1452"/>
    <n v="1500"/>
    <s v="N"/>
    <m/>
    <n v="400"/>
    <m/>
    <m/>
    <m/>
    <m/>
    <m/>
    <n v="285695"/>
    <n v="279981"/>
    <n v="0"/>
    <n v="0"/>
    <n v="60800"/>
    <n v="312500"/>
    <n v="373300"/>
    <n v="132535.48800000001"/>
    <n v="88356.992000000013"/>
    <n v="-23969.615653948869"/>
    <n v="37154.252388000001"/>
    <n v="47371.278778200001"/>
    <n v="-217.48220000000001"/>
    <n v="90619.871760000009"/>
    <n v="0"/>
    <n v="0"/>
    <n v="14120.412400000001"/>
    <n v="0"/>
    <n v="321600"/>
    <n v="64400"/>
    <n v="386000"/>
    <n v="3.4020894722743104E-2"/>
    <n v="0.99970000000000003"/>
    <n v="0.99819999999999998"/>
    <n v="1.0012000000000001"/>
    <n v="0.99519999999999997"/>
    <n v="1.0022"/>
    <n v="0.94971499999999998"/>
    <n v="0.94666532455325636"/>
    <n v="314500"/>
    <n v="0"/>
    <n v="314500"/>
    <n v="61100"/>
    <n v="375600"/>
    <n v="6.4000000000000003E-3"/>
    <n v="4.9342105263157892E-3"/>
    <n v="6.1612643986070185E-3"/>
  </r>
  <r>
    <n v="2025"/>
    <s v="19120114449    "/>
    <n v="-1.8263509139976741"/>
    <n v="0.161"/>
    <n v="7001"/>
    <s v="2"/>
    <s v="RES"/>
    <s v="MX"/>
    <s v="11"/>
    <s v="259"/>
    <s v="CO"/>
    <x v="4"/>
    <s v="EX"/>
    <n v="0"/>
    <n v="3"/>
    <n v="3"/>
    <n v="2021"/>
    <n v="2021"/>
    <n v="1452"/>
    <m/>
    <m/>
    <m/>
    <m/>
    <n v="0"/>
    <n v="1452"/>
    <n v="1500"/>
    <s v="N"/>
    <m/>
    <n v="480"/>
    <m/>
    <m/>
    <m/>
    <m/>
    <m/>
    <n v="289201"/>
    <n v="280525"/>
    <n v="0"/>
    <n v="0"/>
    <n v="60800"/>
    <n v="315100"/>
    <n v="375900"/>
    <n v="132535.48800000001"/>
    <n v="88356.992000000013"/>
    <n v="-23969.615653948869"/>
    <n v="37154.252388000001"/>
    <n v="47371.278778200001"/>
    <n v="-326.22329999999999"/>
    <n v="90619.871760000009"/>
    <n v="0"/>
    <n v="0"/>
    <n v="16944.494880000002"/>
    <n v="0"/>
    <n v="324300"/>
    <n v="64400"/>
    <n v="388700"/>
    <n v="3.4051609470603886E-2"/>
    <n v="0.99970000000000003"/>
    <n v="0.99819999999999998"/>
    <n v="1.0012000000000001"/>
    <n v="0.99519999999999997"/>
    <n v="1.0022"/>
    <n v="0.94971499999999998"/>
    <n v="0.94666532455325636"/>
    <n v="317200"/>
    <n v="0"/>
    <n v="317200"/>
    <n v="61100"/>
    <n v="378300"/>
    <n v="6.664550936210727E-3"/>
    <n v="4.9342105263157892E-3"/>
    <n v="6.3846767757382286E-3"/>
  </r>
  <r>
    <n v="2025"/>
    <s v="19120114527    "/>
    <n v="-1.8263509139976741"/>
    <n v="0.161"/>
    <n v="7001"/>
    <s v="2"/>
    <s v="RES"/>
    <s v="MX"/>
    <s v="11"/>
    <s v="259"/>
    <s v="CO"/>
    <x v="4"/>
    <s v="EX"/>
    <n v="0"/>
    <n v="2"/>
    <n v="2"/>
    <n v="2022"/>
    <n v="2022"/>
    <n v="1464"/>
    <m/>
    <m/>
    <m/>
    <m/>
    <n v="0"/>
    <n v="1464"/>
    <n v="1500"/>
    <s v="N"/>
    <n v="1"/>
    <n v="400"/>
    <m/>
    <m/>
    <m/>
    <m/>
    <m/>
    <n v="291156"/>
    <n v="285333"/>
    <n v="0"/>
    <n v="0"/>
    <n v="60800"/>
    <n v="313100"/>
    <n v="373900"/>
    <n v="132535.48800000001"/>
    <n v="88356.992000000013"/>
    <n v="-23969.615653948869"/>
    <n v="37154.252388000001"/>
    <n v="47371.278778200001"/>
    <n v="-217.48220000000001"/>
    <n v="91368.796320000009"/>
    <n v="0"/>
    <n v="0"/>
    <n v="14120.412400000001"/>
    <n v="0"/>
    <n v="322300"/>
    <n v="64400"/>
    <n v="386700"/>
    <n v="3.4233752340197911E-2"/>
    <n v="0.99970000000000003"/>
    <n v="0.99819999999999998"/>
    <n v="1.0012000000000001"/>
    <n v="0.99519999999999997"/>
    <n v="1.0022"/>
    <n v="0.94971499999999998"/>
    <n v="0.94666532455325636"/>
    <n v="315300"/>
    <n v="0"/>
    <n v="315300"/>
    <n v="61100"/>
    <n v="376400"/>
    <n v="7.0265091025231551E-3"/>
    <n v="4.9342105263157892E-3"/>
    <n v="6.6862797539449055E-3"/>
  </r>
  <r>
    <n v="2025"/>
    <s v="19120114500    "/>
    <n v="-1.8263509139976741"/>
    <n v="0.161"/>
    <n v="7002"/>
    <s v="2"/>
    <s v="RES"/>
    <s v="MX"/>
    <s v="11"/>
    <s v="259"/>
    <s v="CO"/>
    <x v="4"/>
    <s v="EX"/>
    <n v="0"/>
    <n v="2"/>
    <n v="2"/>
    <n v="2022"/>
    <n v="2022"/>
    <n v="1464"/>
    <m/>
    <m/>
    <m/>
    <m/>
    <n v="0"/>
    <n v="1464"/>
    <n v="1500"/>
    <s v="N"/>
    <n v="1"/>
    <n v="400"/>
    <m/>
    <m/>
    <m/>
    <m/>
    <m/>
    <n v="291156"/>
    <n v="285333"/>
    <n v="0"/>
    <n v="0"/>
    <n v="60800"/>
    <n v="313100"/>
    <n v="373900"/>
    <n v="132535.48800000001"/>
    <n v="88356.992000000013"/>
    <n v="-23969.615653948869"/>
    <n v="37154.252388000001"/>
    <n v="47371.278778200001"/>
    <n v="-217.48220000000001"/>
    <n v="91368.796320000009"/>
    <n v="0"/>
    <n v="0"/>
    <n v="14120.412400000001"/>
    <n v="0"/>
    <n v="322300"/>
    <n v="64400"/>
    <n v="386700"/>
    <n v="3.4233752340197911E-2"/>
    <n v="0.99970000000000003"/>
    <n v="0.99819999999999998"/>
    <n v="1.0012000000000001"/>
    <n v="0.99519999999999997"/>
    <n v="1.0022"/>
    <n v="0.94971499999999998"/>
    <n v="0.94666532455325636"/>
    <n v="315300"/>
    <n v="0"/>
    <n v="315300"/>
    <n v="61100"/>
    <n v="376400"/>
    <n v="7.0265091025231551E-3"/>
    <n v="4.9342105263157892E-3"/>
    <n v="6.6862797539449055E-3"/>
  </r>
  <r>
    <n v="2025"/>
    <s v="19120114475    "/>
    <n v="-1.8263509139976741"/>
    <n v="0.161"/>
    <n v="7001"/>
    <s v="2"/>
    <s v="RES"/>
    <s v="MX"/>
    <s v="11"/>
    <s v="259"/>
    <s v="CO"/>
    <x v="4"/>
    <s v="EX"/>
    <n v="0"/>
    <n v="2"/>
    <n v="2"/>
    <n v="2022"/>
    <n v="2022"/>
    <n v="1580"/>
    <m/>
    <m/>
    <m/>
    <m/>
    <n v="0"/>
    <n v="1580"/>
    <n v="2000"/>
    <s v="N"/>
    <m/>
    <n v="400"/>
    <m/>
    <m/>
    <m/>
    <m/>
    <m/>
    <n v="306027"/>
    <n v="299906"/>
    <n v="0"/>
    <n v="0"/>
    <n v="60800"/>
    <n v="320800"/>
    <n v="381600"/>
    <n v="132535.48800000001"/>
    <n v="88356.992000000013"/>
    <n v="-23969.615653948869"/>
    <n v="37154.252388000001"/>
    <n v="47371.278778200001"/>
    <n v="-217.48220000000001"/>
    <n v="98608.400399999999"/>
    <n v="0"/>
    <n v="0"/>
    <n v="14120.412400000001"/>
    <n v="0"/>
    <n v="329600"/>
    <n v="64400"/>
    <n v="394000"/>
    <n v="3.2494758909853247E-2"/>
    <n v="0.99970000000000003"/>
    <n v="0.99819999999999998"/>
    <n v="1.0012000000000001"/>
    <n v="1.0007999999999999"/>
    <n v="1.0022"/>
    <n v="0.94971499999999998"/>
    <n v="0.95199221946633727"/>
    <n v="323200"/>
    <n v="0"/>
    <n v="323200"/>
    <n v="61100"/>
    <n v="384300"/>
    <n v="7.481296758104738E-3"/>
    <n v="4.9342105263157892E-3"/>
    <n v="7.0754716981132077E-3"/>
  </r>
  <r>
    <n v="2025"/>
    <s v="19120114433    "/>
    <n v="-1.8263509139976741"/>
    <n v="0.161"/>
    <n v="7002"/>
    <s v="2"/>
    <s v="RES"/>
    <s v="MX"/>
    <s v="11"/>
    <s v="259"/>
    <s v="CO"/>
    <x v="4"/>
    <s v="EX"/>
    <n v="0"/>
    <n v="3"/>
    <n v="3"/>
    <n v="2021"/>
    <n v="2021"/>
    <n v="1580"/>
    <m/>
    <m/>
    <m/>
    <m/>
    <n v="0"/>
    <n v="1580"/>
    <n v="2000"/>
    <s v="N"/>
    <m/>
    <n v="480"/>
    <m/>
    <m/>
    <m/>
    <m/>
    <m/>
    <n v="309298"/>
    <n v="300019"/>
    <n v="0"/>
    <n v="0"/>
    <n v="60800"/>
    <n v="323300"/>
    <n v="384100"/>
    <n v="132535.48800000001"/>
    <n v="88356.992000000013"/>
    <n v="-23969.615653948869"/>
    <n v="37154.252388000001"/>
    <n v="47371.278778200001"/>
    <n v="-326.22329999999999"/>
    <n v="98608.400399999999"/>
    <n v="0"/>
    <n v="0"/>
    <n v="16944.494880000002"/>
    <n v="0"/>
    <n v="332300"/>
    <n v="64400"/>
    <n v="396700"/>
    <n v="3.2803957302785736E-2"/>
    <n v="0.99970000000000003"/>
    <n v="0.99819999999999998"/>
    <n v="1.0012000000000001"/>
    <n v="1.0007999999999999"/>
    <n v="1.0022"/>
    <n v="0.94971499999999998"/>
    <n v="0.95199221946633727"/>
    <n v="325900"/>
    <n v="0"/>
    <n v="325900"/>
    <n v="61100"/>
    <n v="387000"/>
    <n v="8.0420661923909682E-3"/>
    <n v="4.9342105263157892E-3"/>
    <n v="7.5501171569903672E-3"/>
  </r>
  <r>
    <n v="2025"/>
    <s v="19120114497    "/>
    <n v="-1.8263509139976741"/>
    <n v="0.161"/>
    <n v="7001"/>
    <s v="2"/>
    <s v="RES"/>
    <s v="MX"/>
    <s v="11"/>
    <s v="259"/>
    <s v="CO"/>
    <x v="4"/>
    <s v="EX"/>
    <n v="0"/>
    <n v="2"/>
    <n v="2"/>
    <n v="2022"/>
    <n v="2022"/>
    <n v="1592"/>
    <m/>
    <m/>
    <m/>
    <m/>
    <n v="0"/>
    <n v="1592"/>
    <n v="2000"/>
    <s v="N"/>
    <n v="1"/>
    <n v="400"/>
    <m/>
    <m/>
    <m/>
    <m/>
    <m/>
    <n v="314443"/>
    <n v="308154"/>
    <n v="0"/>
    <n v="0"/>
    <n v="60800"/>
    <n v="321400"/>
    <n v="382200"/>
    <n v="132535.48800000001"/>
    <n v="88356.992000000013"/>
    <n v="-23969.615653948869"/>
    <n v="37154.252388000001"/>
    <n v="47371.278778200001"/>
    <n v="-217.48220000000001"/>
    <n v="99357.324960000013"/>
    <n v="0"/>
    <n v="0"/>
    <n v="14120.412400000001"/>
    <n v="0"/>
    <n v="330300"/>
    <n v="64400"/>
    <n v="394700"/>
    <n v="3.2705389848246988E-2"/>
    <n v="0.99970000000000003"/>
    <n v="0.99819999999999998"/>
    <n v="1.0012000000000001"/>
    <n v="1.0007999999999999"/>
    <n v="1.0022"/>
    <n v="0.94971499999999998"/>
    <n v="0.95199221946633727"/>
    <n v="324000"/>
    <n v="0"/>
    <n v="324000"/>
    <n v="61100"/>
    <n v="385100"/>
    <n v="8.0896079651524583E-3"/>
    <n v="4.9342105263157892E-3"/>
    <n v="7.5876504447933016E-3"/>
  </r>
  <r>
    <n v="2025"/>
    <s v="19120114453    "/>
    <n v="-1.8263509139976741"/>
    <n v="0.161"/>
    <n v="7001"/>
    <s v="2"/>
    <s v="RES"/>
    <s v="MX"/>
    <s v="11"/>
    <s v="259"/>
    <s v="CO"/>
    <x v="4"/>
    <s v="EX"/>
    <n v="0"/>
    <n v="3"/>
    <n v="3"/>
    <n v="2021"/>
    <n v="2021"/>
    <n v="1388"/>
    <m/>
    <m/>
    <m/>
    <m/>
    <n v="0"/>
    <n v="1388"/>
    <n v="1500"/>
    <s v="N"/>
    <m/>
    <n v="400"/>
    <m/>
    <m/>
    <m/>
    <m/>
    <m/>
    <n v="275470"/>
    <n v="267206"/>
    <n v="0"/>
    <n v="0"/>
    <n v="60800"/>
    <n v="307900"/>
    <n v="368700"/>
    <n v="132535.48800000001"/>
    <n v="88356.992000000013"/>
    <n v="-23969.615653948869"/>
    <n v="37154.252388000001"/>
    <n v="47371.278778200001"/>
    <n v="-326.22329999999999"/>
    <n v="86625.607440000007"/>
    <n v="0"/>
    <n v="0"/>
    <n v="14120.412400000001"/>
    <n v="0"/>
    <n v="317500"/>
    <n v="64400"/>
    <n v="381900"/>
    <n v="3.5801464605370217E-2"/>
    <n v="0.99970000000000003"/>
    <n v="0.99819999999999998"/>
    <n v="1.0012000000000001"/>
    <n v="0.99519999999999997"/>
    <n v="1.0022"/>
    <n v="0.94971499999999998"/>
    <n v="0.94666532455325636"/>
    <n v="310400"/>
    <n v="0"/>
    <n v="310400"/>
    <n v="61100"/>
    <n v="371500"/>
    <n v="8.119519324455992E-3"/>
    <n v="4.9342105263157892E-3"/>
    <n v="7.5942500678058038E-3"/>
  </r>
  <r>
    <n v="2025"/>
    <s v="19120114435    "/>
    <n v="-1.8263509139976741"/>
    <n v="0.161"/>
    <n v="7021"/>
    <s v="2"/>
    <s v="RES"/>
    <s v="MX"/>
    <s v="11"/>
    <s v="259"/>
    <s v="CO"/>
    <x v="4"/>
    <s v="EX"/>
    <n v="0"/>
    <n v="3"/>
    <n v="3"/>
    <n v="2021"/>
    <n v="2021"/>
    <n v="1592"/>
    <m/>
    <m/>
    <m/>
    <m/>
    <n v="0"/>
    <n v="1592"/>
    <n v="2000"/>
    <s v="N"/>
    <n v="1"/>
    <n v="480"/>
    <m/>
    <m/>
    <m/>
    <m/>
    <m/>
    <n v="317714"/>
    <n v="308183"/>
    <n v="0"/>
    <n v="0"/>
    <n v="60800"/>
    <n v="323900"/>
    <n v="384700"/>
    <n v="132535.48800000001"/>
    <n v="88356.992000000013"/>
    <n v="-23969.615653948869"/>
    <n v="37154.252388000001"/>
    <n v="47371.278778200001"/>
    <n v="-326.22329999999999"/>
    <n v="99357.324960000013"/>
    <n v="0"/>
    <n v="0"/>
    <n v="16944.494880000002"/>
    <n v="0"/>
    <n v="333000"/>
    <n v="64400"/>
    <n v="397400"/>
    <n v="3.3012737197816479E-2"/>
    <n v="0.99970000000000003"/>
    <n v="0.99819999999999998"/>
    <n v="1.0012000000000001"/>
    <n v="1.0007999999999999"/>
    <n v="1.0022"/>
    <n v="0.94971499999999998"/>
    <n v="0.95199221946633727"/>
    <n v="326700"/>
    <n v="0"/>
    <n v="326700"/>
    <n v="61100"/>
    <n v="387800"/>
    <n v="8.6446434084594004E-3"/>
    <n v="4.9342105263157892E-3"/>
    <n v="8.0582271900181968E-3"/>
  </r>
  <r>
    <n v="2025"/>
    <s v="19120114492    "/>
    <n v="-1.8263509139976741"/>
    <n v="0.161"/>
    <n v="7001"/>
    <s v="2"/>
    <s v="RES"/>
    <s v="MX"/>
    <s v="11"/>
    <s v="259"/>
    <s v="CO"/>
    <x v="4"/>
    <s v="EX"/>
    <n v="0"/>
    <n v="3"/>
    <n v="3"/>
    <n v="2021"/>
    <n v="2021"/>
    <n v="1452"/>
    <m/>
    <m/>
    <m/>
    <m/>
    <n v="0"/>
    <n v="1452"/>
    <n v="1500"/>
    <s v="N"/>
    <m/>
    <n v="400"/>
    <m/>
    <m/>
    <m/>
    <m/>
    <m/>
    <n v="285695"/>
    <n v="277124"/>
    <n v="0"/>
    <n v="0"/>
    <n v="60800"/>
    <n v="311600"/>
    <n v="372400"/>
    <n v="132535.48800000001"/>
    <n v="88356.992000000013"/>
    <n v="-23969.615653948869"/>
    <n v="37154.252388000001"/>
    <n v="47371.278778200001"/>
    <n v="-326.22329999999999"/>
    <n v="90619.871760000009"/>
    <n v="0"/>
    <n v="0"/>
    <n v="14120.412400000001"/>
    <n v="0"/>
    <n v="321500"/>
    <n v="64400"/>
    <n v="385900"/>
    <n v="3.6251342642320085E-2"/>
    <n v="0.99970000000000003"/>
    <n v="0.99819999999999998"/>
    <n v="1.0012000000000001"/>
    <n v="0.99519999999999997"/>
    <n v="1.0022"/>
    <n v="0.94971499999999998"/>
    <n v="0.94666532455325636"/>
    <n v="314400"/>
    <n v="0"/>
    <n v="314400"/>
    <n v="61100"/>
    <n v="375500"/>
    <n v="8.9858793324775355E-3"/>
    <n v="4.9342105263157892E-3"/>
    <n v="8.3243823845327598E-3"/>
  </r>
  <r>
    <n v="2025"/>
    <s v="19120114452    "/>
    <n v="-1.8263509139976741"/>
    <n v="0.161"/>
    <n v="7001"/>
    <s v="2"/>
    <s v="RES"/>
    <s v="MX"/>
    <s v="11"/>
    <s v="259"/>
    <s v="CO"/>
    <x v="4"/>
    <s v="EX"/>
    <n v="0"/>
    <n v="3"/>
    <n v="3"/>
    <n v="2021"/>
    <n v="2021"/>
    <n v="1452"/>
    <m/>
    <m/>
    <m/>
    <m/>
    <n v="0"/>
    <n v="1452"/>
    <n v="1500"/>
    <s v="N"/>
    <m/>
    <n v="400"/>
    <m/>
    <m/>
    <m/>
    <m/>
    <m/>
    <n v="285695"/>
    <n v="277124"/>
    <n v="0"/>
    <n v="0"/>
    <n v="60800"/>
    <n v="311600"/>
    <n v="372400"/>
    <n v="132535.48800000001"/>
    <n v="88356.992000000013"/>
    <n v="-23969.615653948869"/>
    <n v="37154.252388000001"/>
    <n v="47371.278778200001"/>
    <n v="-326.22329999999999"/>
    <n v="90619.871760000009"/>
    <n v="0"/>
    <n v="0"/>
    <n v="14120.412400000001"/>
    <n v="0"/>
    <n v="321500"/>
    <n v="64400"/>
    <n v="385900"/>
    <n v="3.6251342642320085E-2"/>
    <n v="0.99970000000000003"/>
    <n v="0.99819999999999998"/>
    <n v="1.0012000000000001"/>
    <n v="0.99519999999999997"/>
    <n v="1.0022"/>
    <n v="0.94971499999999998"/>
    <n v="0.94666532455325636"/>
    <n v="314400"/>
    <n v="0"/>
    <n v="314400"/>
    <n v="61100"/>
    <n v="375500"/>
    <n v="8.9858793324775355E-3"/>
    <n v="4.9342105263157892E-3"/>
    <n v="8.3243823845327598E-3"/>
  </r>
  <r>
    <n v="2025"/>
    <s v="19120114486    "/>
    <n v="-1.8263509139976741"/>
    <n v="0.161"/>
    <n v="7004"/>
    <s v="2"/>
    <s v="RES"/>
    <s v="MX"/>
    <s v="11"/>
    <s v="259"/>
    <s v="CO"/>
    <x v="4"/>
    <s v="EX"/>
    <n v="0"/>
    <n v="3"/>
    <n v="3"/>
    <n v="2021"/>
    <n v="2021"/>
    <n v="1452"/>
    <m/>
    <m/>
    <m/>
    <m/>
    <n v="0"/>
    <n v="1452"/>
    <n v="1500"/>
    <s v="N"/>
    <m/>
    <n v="400"/>
    <m/>
    <m/>
    <m/>
    <m/>
    <m/>
    <n v="287791"/>
    <n v="279157"/>
    <n v="0"/>
    <n v="0"/>
    <n v="60800"/>
    <n v="311600"/>
    <n v="372400"/>
    <n v="132535.48800000001"/>
    <n v="88356.992000000013"/>
    <n v="-23969.615653948869"/>
    <n v="37154.252388000001"/>
    <n v="47371.278778200001"/>
    <n v="-326.22329999999999"/>
    <n v="90619.871760000009"/>
    <n v="0"/>
    <n v="0"/>
    <n v="14120.412400000001"/>
    <n v="0"/>
    <n v="321500"/>
    <n v="64400"/>
    <n v="385900"/>
    <n v="3.6251342642320085E-2"/>
    <n v="0.99970000000000003"/>
    <n v="0.99819999999999998"/>
    <n v="1.0012000000000001"/>
    <n v="0.99519999999999997"/>
    <n v="1.0022"/>
    <n v="0.94971499999999998"/>
    <n v="0.94666532455325636"/>
    <n v="314400"/>
    <n v="0"/>
    <n v="314400"/>
    <n v="61100"/>
    <n v="375500"/>
    <n v="8.9858793324775355E-3"/>
    <n v="4.9342105263157892E-3"/>
    <n v="8.3243823845327598E-3"/>
  </r>
  <r>
    <n v="2025"/>
    <s v="19120114431    "/>
    <n v="-1.8263509139976741"/>
    <n v="0.161"/>
    <n v="7002"/>
    <s v="2"/>
    <s v="RES"/>
    <s v="MX"/>
    <s v="11"/>
    <s v="259"/>
    <s v="CO"/>
    <x v="4"/>
    <s v="EX"/>
    <n v="0"/>
    <n v="3"/>
    <n v="3"/>
    <n v="2021"/>
    <n v="2021"/>
    <n v="1580"/>
    <m/>
    <m/>
    <m/>
    <m/>
    <n v="0"/>
    <n v="1580"/>
    <n v="2000"/>
    <s v="N"/>
    <m/>
    <n v="400"/>
    <m/>
    <m/>
    <m/>
    <m/>
    <m/>
    <n v="306027"/>
    <n v="296846"/>
    <n v="0"/>
    <n v="0"/>
    <n v="60800"/>
    <n v="319900"/>
    <n v="380700"/>
    <n v="132535.48800000001"/>
    <n v="88356.992000000013"/>
    <n v="-23969.615653948869"/>
    <n v="37154.252388000001"/>
    <n v="47371.278778200001"/>
    <n v="-326.22329999999999"/>
    <n v="98608.400399999999"/>
    <n v="0"/>
    <n v="0"/>
    <n v="14120.412400000001"/>
    <n v="0"/>
    <n v="329500"/>
    <n v="64400"/>
    <n v="393900"/>
    <n v="3.4672970843183611E-2"/>
    <n v="0.99970000000000003"/>
    <n v="0.99819999999999998"/>
    <n v="1.0012000000000001"/>
    <n v="1.0007999999999999"/>
    <n v="1.0022"/>
    <n v="0.94971499999999998"/>
    <n v="0.95199221946633727"/>
    <n v="323100"/>
    <n v="0"/>
    <n v="323100"/>
    <n v="61100"/>
    <n v="384200"/>
    <n v="1.0003125976867771E-2"/>
    <n v="4.9342105263157892E-3"/>
    <n v="9.1935907538744418E-3"/>
  </r>
  <r>
    <n v="2025"/>
    <s v="19120114493    "/>
    <n v="-1.8263509139976741"/>
    <n v="0.161"/>
    <n v="7001"/>
    <s v="2"/>
    <s v="RES"/>
    <s v="MX"/>
    <s v="11"/>
    <s v="259"/>
    <s v="CO"/>
    <x v="4"/>
    <s v="EX"/>
    <n v="0"/>
    <n v="3"/>
    <n v="3"/>
    <n v="2021"/>
    <n v="2021"/>
    <n v="1592"/>
    <m/>
    <m/>
    <m/>
    <m/>
    <n v="0"/>
    <n v="1592"/>
    <n v="2000"/>
    <s v="N"/>
    <n v="1"/>
    <n v="400"/>
    <m/>
    <m/>
    <m/>
    <m/>
    <m/>
    <n v="311459"/>
    <n v="302115"/>
    <n v="0"/>
    <n v="0"/>
    <n v="60800"/>
    <n v="320500"/>
    <n v="381300"/>
    <n v="132535.48800000001"/>
    <n v="88356.992000000013"/>
    <n v="-23969.615653948869"/>
    <n v="37154.252388000001"/>
    <n v="47371.278778200001"/>
    <n v="-326.22329999999999"/>
    <n v="99357.324960000013"/>
    <n v="0"/>
    <n v="0"/>
    <n v="14120.412400000001"/>
    <n v="0"/>
    <n v="330200"/>
    <n v="64400"/>
    <n v="394600"/>
    <n v="3.4880671387359036E-2"/>
    <n v="0.99970000000000003"/>
    <n v="0.99819999999999998"/>
    <n v="1.0012000000000001"/>
    <n v="1.0007999999999999"/>
    <n v="1.0022"/>
    <n v="0.94971499999999998"/>
    <n v="0.95199221946633727"/>
    <n v="323800"/>
    <n v="0"/>
    <n v="323800"/>
    <n v="61100"/>
    <n v="384900"/>
    <n v="1.029641185647426E-2"/>
    <n v="4.9342105263157892E-3"/>
    <n v="9.4413847364280094E-3"/>
  </r>
  <r>
    <n v="2025"/>
    <s v="19120114484    "/>
    <n v="-1.8263509139976741"/>
    <n v="0.161"/>
    <n v="7002"/>
    <s v="2"/>
    <s v="RES"/>
    <s v="MX"/>
    <s v="11"/>
    <s v="259"/>
    <s v="CO"/>
    <x v="4"/>
    <s v="EX"/>
    <n v="0"/>
    <n v="3"/>
    <n v="3"/>
    <n v="2021"/>
    <n v="2021"/>
    <n v="1619"/>
    <m/>
    <m/>
    <m/>
    <m/>
    <n v="0"/>
    <n v="1619"/>
    <n v="2000"/>
    <s v="N"/>
    <m/>
    <n v="400"/>
    <m/>
    <m/>
    <m/>
    <m/>
    <m/>
    <n v="311808"/>
    <n v="302454"/>
    <n v="0"/>
    <n v="0"/>
    <n v="60800"/>
    <n v="321900"/>
    <n v="382700"/>
    <n v="132535.48800000001"/>
    <n v="88356.992000000013"/>
    <n v="-23969.615653948869"/>
    <n v="37154.252388000001"/>
    <n v="47371.278778200001"/>
    <n v="-326.22329999999999"/>
    <n v="101042.40522"/>
    <n v="0"/>
    <n v="0"/>
    <n v="14120.412400000001"/>
    <n v="0"/>
    <n v="331900"/>
    <n v="64400"/>
    <n v="396300"/>
    <n v="3.5536974131173245E-2"/>
    <n v="0.99970000000000003"/>
    <n v="0.99819999999999998"/>
    <n v="1.0012000000000001"/>
    <n v="1.0007999999999999"/>
    <n v="1.0022"/>
    <n v="0.94971499999999998"/>
    <n v="0.95199221946633727"/>
    <n v="325500"/>
    <n v="0"/>
    <n v="325500"/>
    <n v="61100"/>
    <n v="386600"/>
    <n v="1.1183597390493943E-2"/>
    <n v="4.9342105263157892E-3"/>
    <n v="1.019074993467468E-2"/>
  </r>
  <r>
    <n v="2025"/>
    <s v="19133514417    "/>
    <n v="-1.820158943749753"/>
    <n v="0.16200000000000001"/>
    <n v="7060"/>
    <s v="2"/>
    <s v="RES"/>
    <s v="MX"/>
    <s v="11"/>
    <s v="259"/>
    <s v="CO"/>
    <x v="5"/>
    <s v="EX"/>
    <n v="0"/>
    <n v="3"/>
    <n v="3"/>
    <n v="2021"/>
    <n v="2021"/>
    <n v="1740"/>
    <m/>
    <m/>
    <m/>
    <m/>
    <n v="0"/>
    <n v="1740"/>
    <n v="2000"/>
    <s v="S"/>
    <m/>
    <n v="450"/>
    <m/>
    <m/>
    <m/>
    <m/>
    <m/>
    <n v="380632"/>
    <n v="369213"/>
    <n v="0"/>
    <n v="0"/>
    <n v="60800"/>
    <n v="332700"/>
    <n v="393500"/>
    <n v="132535.48800000001"/>
    <n v="88356.992000000013"/>
    <n v="-23888.3502487927"/>
    <n v="32917.849192000001"/>
    <n v="47371.278778200001"/>
    <n v="-326.22329999999999"/>
    <n v="108594.06120000001"/>
    <n v="0"/>
    <n v="0"/>
    <n v="15885.463950000001"/>
    <n v="0"/>
    <n v="337000"/>
    <n v="64500"/>
    <n v="401500"/>
    <n v="2.0330368487928845E-2"/>
    <n v="0.99970000000000003"/>
    <n v="1.0019"/>
    <n v="1.0012000000000001"/>
    <n v="1.0007999999999999"/>
    <n v="1.0022"/>
    <n v="0.94971499999999998"/>
    <n v="0.95552094237960661"/>
    <n v="331100"/>
    <n v="0"/>
    <n v="331100"/>
    <n v="61200"/>
    <n v="392300"/>
    <n v="-4.8091373609858729E-3"/>
    <n v="6.5789473684210523E-3"/>
    <n v="-3.0495552731893264E-3"/>
  </r>
  <r>
    <n v="2025"/>
    <s v="19133514414    "/>
    <n v="-1.820158943749753"/>
    <n v="0.16200000000000001"/>
    <n v="7050"/>
    <s v="2"/>
    <s v="RES"/>
    <s v="MX"/>
    <s v="11"/>
    <s v="259"/>
    <s v="CO"/>
    <x v="4"/>
    <s v="EX"/>
    <n v="0"/>
    <n v="3"/>
    <n v="3"/>
    <n v="2021"/>
    <n v="2021"/>
    <n v="1403"/>
    <m/>
    <m/>
    <m/>
    <m/>
    <n v="0"/>
    <n v="1403"/>
    <n v="1500"/>
    <s v="S"/>
    <m/>
    <n v="400"/>
    <m/>
    <m/>
    <m/>
    <m/>
    <m/>
    <n v="281508"/>
    <n v="273063"/>
    <n v="0"/>
    <n v="0"/>
    <n v="60800"/>
    <n v="307400"/>
    <n v="368200"/>
    <n v="132535.48800000001"/>
    <n v="88356.992000000013"/>
    <n v="-23888.3502487927"/>
    <n v="37154.252388000001"/>
    <n v="47371.278778200001"/>
    <n v="-326.22329999999999"/>
    <n v="87561.76314000001"/>
    <n v="0"/>
    <n v="0"/>
    <n v="14120.412400000001"/>
    <n v="0"/>
    <n v="318400"/>
    <n v="64500"/>
    <n v="382900"/>
    <n v="3.9923954372623575E-2"/>
    <n v="0.99970000000000003"/>
    <n v="0.99819999999999998"/>
    <n v="1.0012000000000001"/>
    <n v="0.99519999999999997"/>
    <n v="1.0022"/>
    <n v="0.94971499999999998"/>
    <n v="0.94666532455325636"/>
    <n v="311300"/>
    <n v="0"/>
    <n v="311300"/>
    <n v="61200"/>
    <n v="372500"/>
    <n v="1.2687052700065062E-2"/>
    <n v="6.5789473684210523E-3"/>
    <n v="1.1678435632808256E-2"/>
  </r>
  <r>
    <n v="2025"/>
    <s v="19133514416    "/>
    <n v="-1.820158943749753"/>
    <n v="0.16200000000000001"/>
    <n v="7037"/>
    <s v="2"/>
    <s v="RES"/>
    <s v="MX"/>
    <s v="11"/>
    <s v="259"/>
    <s v="CO"/>
    <x v="4"/>
    <s v="EX"/>
    <n v="0"/>
    <n v="3"/>
    <n v="3"/>
    <n v="2021"/>
    <n v="2021"/>
    <n v="1073"/>
    <n v="1331"/>
    <m/>
    <m/>
    <m/>
    <n v="0"/>
    <n v="2404"/>
    <n v="2500"/>
    <s v="N"/>
    <m/>
    <m/>
    <n v="707"/>
    <m/>
    <m/>
    <m/>
    <m/>
    <n v="427070"/>
    <n v="414258"/>
    <n v="0"/>
    <n v="0"/>
    <n v="60800"/>
    <n v="392500"/>
    <n v="453300"/>
    <n v="132535.48800000001"/>
    <n v="88356.992000000013"/>
    <n v="-23888.3502487927"/>
    <n v="37154.252388000001"/>
    <n v="47371.278778200001"/>
    <n v="-326.22329999999999"/>
    <n v="66966.337740000003"/>
    <n v="79301.489772999994"/>
    <n v="0"/>
    <n v="0"/>
    <n v="0"/>
    <n v="363000"/>
    <n v="64500"/>
    <n v="427500"/>
    <n v="-5.6915949702183985E-2"/>
    <n v="0.99970000000000003"/>
    <n v="0.99819999999999998"/>
    <n v="1.0012000000000001"/>
    <n v="1.0008999999999999"/>
    <n v="1.0022"/>
    <n v="0.94971499999999998"/>
    <n v="0.95208734258978511"/>
    <n v="356700"/>
    <n v="0"/>
    <n v="356700"/>
    <n v="61200"/>
    <n v="417900"/>
    <n v="-9.1210191082802552E-2"/>
    <n v="6.5789473684210523E-3"/>
    <n v="-7.8093977498345471E-2"/>
  </r>
  <r>
    <n v="2025"/>
    <s v="20120634533    "/>
    <n v="-1.820158943749753"/>
    <n v="0.16200000000000001"/>
    <n v="7043"/>
    <s v="2"/>
    <s v="RES"/>
    <s v="MX"/>
    <s v="11"/>
    <s v="259"/>
    <s v="CP"/>
    <x v="5"/>
    <s v="VG"/>
    <n v="0"/>
    <n v="5"/>
    <n v="5"/>
    <n v="2019"/>
    <n v="2019"/>
    <n v="1708"/>
    <m/>
    <m/>
    <m/>
    <m/>
    <n v="0"/>
    <n v="1708"/>
    <n v="2000"/>
    <s v="N"/>
    <m/>
    <n v="420"/>
    <m/>
    <m/>
    <m/>
    <m/>
    <m/>
    <n v="370372"/>
    <n v="355557"/>
    <n v="0"/>
    <n v="0"/>
    <n v="60800"/>
    <n v="332000"/>
    <n v="392800"/>
    <n v="132535.48800000001"/>
    <n v="88356.992000000013"/>
    <n v="-23888.3502487927"/>
    <n v="32917.849192000001"/>
    <n v="50438.379078999998"/>
    <n v="-543.70550000000003"/>
    <n v="106596.92904"/>
    <n v="0"/>
    <n v="0"/>
    <n v="14826.43302"/>
    <n v="0"/>
    <n v="336800"/>
    <n v="64500"/>
    <n v="401300"/>
    <n v="2.1639511201629328E-2"/>
    <n v="0.99970000000000003"/>
    <n v="1.0019"/>
    <n v="1.0007999999999999"/>
    <n v="1.0007999999999999"/>
    <n v="1.0022"/>
    <n v="0.94971499999999998"/>
    <n v="0.95513919210298648"/>
    <n v="330800"/>
    <n v="0"/>
    <n v="330800"/>
    <n v="61200"/>
    <n v="392000"/>
    <n v="-3.6144578313253013E-3"/>
    <n v="6.5789473684210523E-3"/>
    <n v="-2.0366598778004071E-3"/>
  </r>
  <r>
    <n v="2025"/>
    <s v="19133514413    "/>
    <n v="-1.820158943749753"/>
    <n v="0.16200000000000001"/>
    <n v="7047"/>
    <s v="2"/>
    <s v="RES"/>
    <s v="MX"/>
    <s v="11"/>
    <s v="259"/>
    <s v="CO"/>
    <x v="4"/>
    <s v="EX"/>
    <n v="0"/>
    <n v="3"/>
    <n v="3"/>
    <n v="2021"/>
    <n v="2021"/>
    <n v="1550"/>
    <m/>
    <m/>
    <m/>
    <m/>
    <n v="0"/>
    <n v="1550"/>
    <n v="2000"/>
    <s v="N"/>
    <m/>
    <n v="420"/>
    <m/>
    <m/>
    <m/>
    <m/>
    <m/>
    <n v="304866"/>
    <n v="295720"/>
    <n v="0"/>
    <n v="0"/>
    <n v="60800"/>
    <n v="317800"/>
    <n v="378600"/>
    <n v="132535.48800000001"/>
    <n v="88356.992000000013"/>
    <n v="-23888.3502487927"/>
    <n v="37154.252388000001"/>
    <n v="47371.278778200001"/>
    <n v="-326.22329999999999"/>
    <n v="96736.089000000007"/>
    <n v="0"/>
    <n v="0"/>
    <n v="14826.43302"/>
    <n v="0"/>
    <n v="328300"/>
    <n v="64500"/>
    <n v="392800"/>
    <n v="3.7506603275224509E-2"/>
    <n v="0.99970000000000003"/>
    <n v="0.99819999999999998"/>
    <n v="1.0012000000000001"/>
    <n v="1.0007999999999999"/>
    <n v="1.0022"/>
    <n v="0.94971499999999998"/>
    <n v="0.95199221946633727"/>
    <n v="321900"/>
    <n v="0"/>
    <n v="321900"/>
    <n v="61200"/>
    <n v="383100"/>
    <n v="1.2901195720578981E-2"/>
    <n v="6.5789473684210523E-3"/>
    <n v="1.1885895404120444E-2"/>
  </r>
  <r>
    <n v="2025"/>
    <s v="19133514418    "/>
    <n v="-1.820158943749753"/>
    <n v="0.16200000000000001"/>
    <n v="7043"/>
    <s v="2"/>
    <s v="RES"/>
    <s v="MX"/>
    <s v="11"/>
    <s v="259"/>
    <s v="CO"/>
    <x v="5"/>
    <s v="EX"/>
    <n v="0"/>
    <n v="3"/>
    <n v="3"/>
    <n v="2021"/>
    <n v="2021"/>
    <n v="1550"/>
    <m/>
    <m/>
    <m/>
    <m/>
    <n v="0"/>
    <n v="1550"/>
    <n v="2000"/>
    <s v="N"/>
    <m/>
    <n v="420"/>
    <m/>
    <m/>
    <m/>
    <m/>
    <m/>
    <n v="341970"/>
    <n v="331711"/>
    <n v="0"/>
    <n v="0"/>
    <n v="60800"/>
    <n v="313400"/>
    <n v="374200"/>
    <n v="132535.48800000001"/>
    <n v="88356.992000000013"/>
    <n v="-23888.3502487927"/>
    <n v="32917.849192000001"/>
    <n v="47371.278778200001"/>
    <n v="-326.22329999999999"/>
    <n v="96736.089000000007"/>
    <n v="0"/>
    <n v="0"/>
    <n v="14826.43302"/>
    <n v="0"/>
    <n v="324100"/>
    <n v="64500"/>
    <n v="388600"/>
    <n v="3.848209513629075E-2"/>
    <n v="0.99970000000000003"/>
    <n v="1.0019"/>
    <n v="1.0012000000000001"/>
    <n v="1.0007999999999999"/>
    <n v="1.0022"/>
    <n v="0.94971499999999998"/>
    <n v="0.95552094237960661"/>
    <n v="318200"/>
    <n v="0"/>
    <n v="318200"/>
    <n v="61200"/>
    <n v="379400"/>
    <n v="1.5315890236119975E-2"/>
    <n v="6.5789473684210523E-3"/>
    <n v="1.3896312132549439E-2"/>
  </r>
  <r>
    <n v="2025"/>
    <s v="19133514411    "/>
    <n v="-1.820158943749753"/>
    <n v="0.16200000000000001"/>
    <n v="7064"/>
    <s v="2"/>
    <s v="RES"/>
    <s v="MX"/>
    <s v="11"/>
    <s v="259"/>
    <s v="CO"/>
    <x v="5"/>
    <s v="EX"/>
    <n v="0"/>
    <n v="3"/>
    <n v="3"/>
    <n v="2021"/>
    <n v="2021"/>
    <n v="1740"/>
    <m/>
    <m/>
    <m/>
    <m/>
    <n v="0"/>
    <n v="1740"/>
    <n v="2000"/>
    <s v="N"/>
    <m/>
    <n v="450"/>
    <m/>
    <m/>
    <m/>
    <m/>
    <m/>
    <n v="374705"/>
    <n v="363464"/>
    <n v="0"/>
    <n v="0"/>
    <n v="60800"/>
    <n v="323500"/>
    <n v="384300"/>
    <n v="132535.48800000001"/>
    <n v="88356.992000000013"/>
    <n v="-23888.3502487927"/>
    <n v="32917.849192000001"/>
    <n v="47371.278778200001"/>
    <n v="-326.22329999999999"/>
    <n v="108594.06120000001"/>
    <n v="0"/>
    <n v="0"/>
    <n v="15885.463950000001"/>
    <n v="0"/>
    <n v="337000"/>
    <n v="64500"/>
    <n v="401500"/>
    <n v="4.4756700494405416E-2"/>
    <n v="0.99970000000000003"/>
    <n v="1.0019"/>
    <n v="1.0012000000000001"/>
    <n v="1.0007999999999999"/>
    <n v="1.0022"/>
    <n v="0.94971499999999998"/>
    <n v="0.95552094237960661"/>
    <n v="331100"/>
    <n v="0"/>
    <n v="331100"/>
    <n v="61200"/>
    <n v="392300"/>
    <n v="2.349304482225657E-2"/>
    <n v="6.5789473684210523E-3"/>
    <n v="2.0817069997397866E-2"/>
  </r>
  <r>
    <n v="2025"/>
    <s v="19133514412    "/>
    <n v="-1.820158943749753"/>
    <n v="0.16200000000000001"/>
    <n v="7046"/>
    <s v="2"/>
    <s v="RES"/>
    <s v="MX"/>
    <s v="11"/>
    <s v="259"/>
    <s v="CO"/>
    <x v="5"/>
    <s v="EX"/>
    <n v="0"/>
    <n v="3"/>
    <n v="3"/>
    <n v="2021"/>
    <n v="2021"/>
    <n v="2010"/>
    <m/>
    <m/>
    <m/>
    <m/>
    <n v="0"/>
    <n v="2010"/>
    <n v="2500"/>
    <s v="N"/>
    <m/>
    <n v="424"/>
    <m/>
    <m/>
    <m/>
    <m/>
    <m/>
    <n v="422416"/>
    <n v="409744"/>
    <n v="0"/>
    <n v="0"/>
    <n v="60800"/>
    <n v="337400"/>
    <n v="398200"/>
    <n v="132535.48800000001"/>
    <n v="88356.992000000013"/>
    <n v="-23888.3502487927"/>
    <n v="32917.849192000001"/>
    <n v="47371.278778200001"/>
    <n v="-326.22329999999999"/>
    <n v="125444.86380000001"/>
    <n v="0"/>
    <n v="0"/>
    <n v="14967.637144"/>
    <n v="0"/>
    <n v="352900"/>
    <n v="64500"/>
    <n v="417400"/>
    <n v="4.8216976393771975E-2"/>
    <n v="0.99970000000000003"/>
    <n v="1.0019"/>
    <n v="1.0012000000000001"/>
    <n v="1.0008999999999999"/>
    <n v="1.0022"/>
    <n v="0.94971499999999998"/>
    <n v="0.95561641809327347"/>
    <n v="347000"/>
    <n v="0"/>
    <n v="347000"/>
    <n v="61200"/>
    <n v="408200"/>
    <n v="2.8452874925903971E-2"/>
    <n v="6.5789473684210523E-3"/>
    <n v="2.5113008538422903E-2"/>
  </r>
  <r>
    <n v="2025"/>
    <s v="20120634517    "/>
    <n v="-1.8140050781753747"/>
    <n v="0.16300000000000001"/>
    <n v="7100"/>
    <s v="2"/>
    <s v="RES"/>
    <s v="MX"/>
    <s v="11"/>
    <s v="259"/>
    <s v="CP"/>
    <x v="4"/>
    <s v="VG"/>
    <n v="0"/>
    <n v="5"/>
    <n v="5"/>
    <n v="2019"/>
    <n v="2019"/>
    <n v="1550"/>
    <m/>
    <m/>
    <m/>
    <m/>
    <n v="0"/>
    <n v="1550"/>
    <n v="2000"/>
    <s v="N"/>
    <m/>
    <n v="420"/>
    <m/>
    <m/>
    <m/>
    <m/>
    <m/>
    <n v="326191"/>
    <n v="313143"/>
    <n v="32327"/>
    <n v="0"/>
    <n v="60800"/>
    <n v="384400"/>
    <n v="445200"/>
    <n v="132535.48800000001"/>
    <n v="88356.992000000013"/>
    <n v="-23807.584941603713"/>
    <n v="37154.252388000001"/>
    <n v="50438.379078999998"/>
    <n v="-543.70550000000003"/>
    <n v="96736.089000000007"/>
    <n v="0"/>
    <n v="0"/>
    <n v="14826.43302"/>
    <n v="32300"/>
    <n v="331100"/>
    <n v="64500"/>
    <n v="427900"/>
    <n v="-3.8858939802336026E-2"/>
    <n v="0.99970000000000003"/>
    <n v="0.99819999999999998"/>
    <n v="1.0007999999999999"/>
    <n v="1.0007999999999999"/>
    <n v="1.0022"/>
    <n v="0.94971499999999998"/>
    <n v="0.95161187898712574"/>
    <n v="324700"/>
    <n v="30700"/>
    <n v="355400"/>
    <n v="61300"/>
    <n v="416700"/>
    <n v="-7.5442247658688871E-2"/>
    <n v="8.2236842105263153E-3"/>
    <n v="-6.401617250673855E-2"/>
  </r>
  <r>
    <n v="2025"/>
    <s v="20120634532    "/>
    <n v="-1.8140050781753747"/>
    <n v="0.16300000000000001"/>
    <n v="7099"/>
    <s v="2"/>
    <s v="RES"/>
    <s v="MX"/>
    <s v="11"/>
    <s v="259"/>
    <s v="CP"/>
    <x v="5"/>
    <s v="VG"/>
    <n v="0"/>
    <n v="5"/>
    <n v="5"/>
    <n v="2019"/>
    <n v="2019"/>
    <n v="1708"/>
    <m/>
    <m/>
    <m/>
    <m/>
    <n v="0"/>
    <n v="1708"/>
    <n v="2000"/>
    <s v="N"/>
    <m/>
    <n v="420"/>
    <m/>
    <m/>
    <m/>
    <m/>
    <m/>
    <n v="376328"/>
    <n v="361275"/>
    <n v="0"/>
    <n v="0"/>
    <n v="60800"/>
    <n v="339900"/>
    <n v="400700"/>
    <n v="132535.48800000001"/>
    <n v="88356.992000000013"/>
    <n v="-23807.584941603713"/>
    <n v="32917.849192000001"/>
    <n v="50438.379078999998"/>
    <n v="-543.70550000000003"/>
    <n v="106596.92904"/>
    <n v="0"/>
    <n v="0"/>
    <n v="14826.43302"/>
    <n v="0"/>
    <n v="336800"/>
    <n v="64500"/>
    <n v="401300"/>
    <n v="1.4973795857249812E-3"/>
    <n v="0.99970000000000003"/>
    <n v="1.0019"/>
    <n v="1.0007999999999999"/>
    <n v="1.0007999999999999"/>
    <n v="1.0022"/>
    <n v="0.94971499999999998"/>
    <n v="0.95513919210298648"/>
    <n v="330800"/>
    <n v="0"/>
    <n v="330800"/>
    <n v="61300"/>
    <n v="392100"/>
    <n v="-2.6772580170638424E-2"/>
    <n v="8.2236842105263153E-3"/>
    <n v="-2.1462440728724733E-2"/>
  </r>
  <r>
    <n v="2025"/>
    <s v="19120114523    "/>
    <n v="-1.8140050781753747"/>
    <n v="0.16300000000000001"/>
    <n v="7087"/>
    <s v="2"/>
    <s v="RES"/>
    <s v="MX"/>
    <s v="11"/>
    <s v="259"/>
    <s v="CO"/>
    <x v="4"/>
    <s v="EX"/>
    <n v="0"/>
    <n v="2"/>
    <n v="2"/>
    <n v="2022"/>
    <n v="2022"/>
    <n v="1592"/>
    <m/>
    <m/>
    <m/>
    <m/>
    <n v="0"/>
    <n v="1592"/>
    <n v="2000"/>
    <s v="N"/>
    <n v="1"/>
    <n v="400"/>
    <m/>
    <m/>
    <m/>
    <m/>
    <m/>
    <n v="321049"/>
    <n v="314628"/>
    <n v="0"/>
    <n v="0"/>
    <n v="60800"/>
    <n v="332400"/>
    <n v="393200"/>
    <n v="132535.48800000001"/>
    <n v="88356.992000000013"/>
    <n v="-23807.584941603713"/>
    <n v="37154.252388000001"/>
    <n v="47371.278778200001"/>
    <n v="-217.48220000000001"/>
    <n v="99357.324960000013"/>
    <n v="0"/>
    <n v="0"/>
    <n v="14120.412400000001"/>
    <n v="0"/>
    <n v="330300"/>
    <n v="64500"/>
    <n v="394800"/>
    <n v="4.0691759918616479E-3"/>
    <n v="0.99970000000000003"/>
    <n v="0.99819999999999998"/>
    <n v="1.0012000000000001"/>
    <n v="1.0007999999999999"/>
    <n v="1.0022"/>
    <n v="0.94971499999999998"/>
    <n v="0.95199221946633727"/>
    <n v="324000"/>
    <n v="0"/>
    <n v="324000"/>
    <n v="61300"/>
    <n v="385300"/>
    <n v="-2.5270758122743681E-2"/>
    <n v="8.2236842105263153E-3"/>
    <n v="-2.0091556459816886E-2"/>
  </r>
  <r>
    <n v="2025"/>
    <s v="20120634524    "/>
    <n v="-1.8140050781753747"/>
    <n v="0.16300000000000001"/>
    <n v="7100"/>
    <s v="2"/>
    <s v="RES"/>
    <s v="MX"/>
    <s v="11"/>
    <s v="259"/>
    <s v="CP"/>
    <x v="4"/>
    <s v="EX"/>
    <n v="0"/>
    <n v="4"/>
    <n v="4"/>
    <n v="2020"/>
    <n v="2020"/>
    <n v="1418"/>
    <n v="1632"/>
    <m/>
    <m/>
    <m/>
    <n v="0"/>
    <n v="3050"/>
    <n v="3500"/>
    <s v="N"/>
    <m/>
    <n v="504"/>
    <n v="342"/>
    <m/>
    <m/>
    <m/>
    <m/>
    <n v="495234"/>
    <n v="480377"/>
    <n v="0"/>
    <n v="0"/>
    <n v="60800"/>
    <n v="418500"/>
    <n v="479300"/>
    <n v="132535.48800000001"/>
    <n v="88356.992000000013"/>
    <n v="-23807.584941603713"/>
    <n v="37154.252388000001"/>
    <n v="47371.278778200001"/>
    <n v="-434.96440000000001"/>
    <n v="88497.918839999998"/>
    <n v="97235.185056000002"/>
    <n v="0"/>
    <n v="17791.719624000001"/>
    <n v="0"/>
    <n v="420200"/>
    <n v="64500"/>
    <n v="484700"/>
    <n v="1.1266430210723972E-2"/>
    <n v="0.99970000000000003"/>
    <n v="0.99819999999999998"/>
    <n v="1.0012000000000001"/>
    <n v="0.98509999999999998"/>
    <n v="1.0022"/>
    <n v="0.94971499999999998"/>
    <n v="0.93705788908502097"/>
    <n v="411800"/>
    <n v="0"/>
    <n v="411800"/>
    <n v="61300"/>
    <n v="473100"/>
    <n v="-1.6009557945041816E-2"/>
    <n v="8.2236842105263153E-3"/>
    <n v="-1.293553098268308E-2"/>
  </r>
  <r>
    <n v="2025"/>
    <s v="20120634510    "/>
    <n v="-1.8140050781753747"/>
    <n v="0.16300000000000001"/>
    <n v="7100"/>
    <s v="2"/>
    <s v="RES"/>
    <s v="MX"/>
    <s v="11"/>
    <s v="259"/>
    <s v="CP"/>
    <x v="5"/>
    <s v="EX"/>
    <n v="0"/>
    <n v="4"/>
    <n v="4"/>
    <n v="2020"/>
    <n v="2020"/>
    <n v="1720"/>
    <m/>
    <m/>
    <m/>
    <m/>
    <n v="0"/>
    <n v="1720"/>
    <n v="2000"/>
    <s v="N"/>
    <n v="1"/>
    <n v="723"/>
    <m/>
    <m/>
    <m/>
    <m/>
    <m/>
    <n v="392555"/>
    <n v="380778"/>
    <n v="0"/>
    <n v="0"/>
    <n v="60800"/>
    <n v="343900"/>
    <n v="404700"/>
    <n v="132535.48800000001"/>
    <n v="88356.992000000013"/>
    <n v="-23807.584941603713"/>
    <n v="32917.849192000001"/>
    <n v="47371.278778200001"/>
    <n v="-434.96440000000001"/>
    <n v="107345.8536"/>
    <n v="0"/>
    <n v="0"/>
    <n v="25522.645413000002"/>
    <n v="0"/>
    <n v="345300"/>
    <n v="64500"/>
    <n v="409800"/>
    <n v="1.2601927353595256E-2"/>
    <n v="0.99970000000000003"/>
    <n v="1.0019"/>
    <n v="1.0012000000000001"/>
    <n v="1.0007999999999999"/>
    <n v="1.0022"/>
    <n v="0.94971499999999998"/>
    <n v="0.95552094237960661"/>
    <n v="339400"/>
    <n v="0"/>
    <n v="339400"/>
    <n v="61300"/>
    <n v="400700"/>
    <n v="-1.3085199185809828E-2"/>
    <n v="8.2236842105263153E-3"/>
    <n v="-9.8838645910551033E-3"/>
  </r>
  <r>
    <n v="2025"/>
    <s v="20120634523    "/>
    <n v="-1.8140050781753747"/>
    <n v="0.16300000000000001"/>
    <n v="7100"/>
    <s v="2"/>
    <s v="RES"/>
    <s v="MX"/>
    <s v="11"/>
    <s v="259"/>
    <s v="CP"/>
    <x v="5"/>
    <s v="VG"/>
    <n v="0"/>
    <n v="5"/>
    <n v="5"/>
    <n v="2019"/>
    <n v="2019"/>
    <n v="1150"/>
    <m/>
    <m/>
    <m/>
    <m/>
    <n v="0"/>
    <n v="1150"/>
    <n v="1500"/>
    <s v="N"/>
    <m/>
    <n v="420"/>
    <m/>
    <m/>
    <m/>
    <m/>
    <m/>
    <n v="271650"/>
    <n v="260784"/>
    <n v="0"/>
    <n v="0"/>
    <n v="60800"/>
    <n v="297800"/>
    <n v="358600"/>
    <n v="132535.48800000001"/>
    <n v="88356.992000000013"/>
    <n v="-23807.584941603713"/>
    <n v="32917.849192000001"/>
    <n v="50438.379078999998"/>
    <n v="-543.70550000000003"/>
    <n v="71771.937000000005"/>
    <n v="0"/>
    <n v="0"/>
    <n v="14826.43302"/>
    <n v="0"/>
    <n v="301900"/>
    <n v="64500"/>
    <n v="366400"/>
    <n v="2.1751254880089235E-2"/>
    <n v="0.99970000000000003"/>
    <n v="1.0019"/>
    <n v="1.0007999999999999"/>
    <n v="0.99519999999999997"/>
    <n v="1.0022"/>
    <n v="0.94971499999999998"/>
    <n v="0.94979468823030799"/>
    <n v="295300"/>
    <n v="0"/>
    <n v="295300"/>
    <n v="61300"/>
    <n v="356600"/>
    <n v="-8.3948959032907992E-3"/>
    <n v="8.2236842105263153E-3"/>
    <n v="-5.5772448410485219E-3"/>
  </r>
  <r>
    <n v="2025"/>
    <s v="20120634502    "/>
    <n v="-1.8140050781753747"/>
    <n v="0.16300000000000001"/>
    <n v="7100"/>
    <s v="2"/>
    <s v="RES"/>
    <s v="MX"/>
    <s v="11"/>
    <s v="259"/>
    <s v="CP"/>
    <x v="5"/>
    <s v="EX"/>
    <n v="0"/>
    <n v="4"/>
    <n v="4"/>
    <n v="2020"/>
    <n v="2020"/>
    <n v="1708"/>
    <m/>
    <m/>
    <m/>
    <m/>
    <n v="0"/>
    <n v="1708"/>
    <n v="2000"/>
    <s v="N"/>
    <n v="1"/>
    <n v="420"/>
    <m/>
    <m/>
    <m/>
    <m/>
    <m/>
    <n v="376595"/>
    <n v="365297"/>
    <n v="0"/>
    <n v="0"/>
    <n v="60800"/>
    <n v="329600"/>
    <n v="390400"/>
    <n v="132535.48800000001"/>
    <n v="88356.992000000013"/>
    <n v="-23807.584941603713"/>
    <n v="32917.849192000001"/>
    <n v="47371.278778200001"/>
    <n v="-434.96440000000001"/>
    <n v="106596.92904"/>
    <n v="0"/>
    <n v="0"/>
    <n v="14826.43302"/>
    <n v="0"/>
    <n v="333800"/>
    <n v="64500"/>
    <n v="398300"/>
    <n v="2.023565573770492E-2"/>
    <n v="0.99970000000000003"/>
    <n v="1.0019"/>
    <n v="1.0012000000000001"/>
    <n v="1.0007999999999999"/>
    <n v="1.0022"/>
    <n v="0.94971499999999998"/>
    <n v="0.95552094237960661"/>
    <n v="327900"/>
    <n v="0"/>
    <n v="327900"/>
    <n v="61300"/>
    <n v="389200"/>
    <n v="-5.1577669902912624E-3"/>
    <n v="8.2236842105263153E-3"/>
    <n v="-3.0737704918032786E-3"/>
  </r>
  <r>
    <n v="2025"/>
    <s v="20120634518    "/>
    <n v="-1.8140050781753747"/>
    <n v="0.16300000000000001"/>
    <n v="7100"/>
    <s v="2"/>
    <s v="RES"/>
    <s v="MX"/>
    <s v="11"/>
    <s v="259"/>
    <s v="CP"/>
    <x v="5"/>
    <s v="VG"/>
    <n v="0"/>
    <n v="5"/>
    <n v="5"/>
    <n v="2019"/>
    <n v="2019"/>
    <n v="1708"/>
    <m/>
    <m/>
    <m/>
    <m/>
    <n v="0"/>
    <n v="1708"/>
    <n v="2000"/>
    <s v="N"/>
    <n v="1"/>
    <n v="420"/>
    <m/>
    <m/>
    <m/>
    <m/>
    <m/>
    <n v="374202"/>
    <n v="359234"/>
    <n v="0"/>
    <n v="0"/>
    <n v="60800"/>
    <n v="330000"/>
    <n v="390800"/>
    <n v="132535.48800000001"/>
    <n v="88356.992000000013"/>
    <n v="-23807.584941603713"/>
    <n v="32917.849192000001"/>
    <n v="50438.379078999998"/>
    <n v="-543.70550000000003"/>
    <n v="106596.92904"/>
    <n v="0"/>
    <n v="0"/>
    <n v="14826.43302"/>
    <n v="0"/>
    <n v="336800"/>
    <n v="64500"/>
    <n v="401300"/>
    <n v="2.6867963152507678E-2"/>
    <n v="0.99970000000000003"/>
    <n v="1.0019"/>
    <n v="1.0007999999999999"/>
    <n v="1.0007999999999999"/>
    <n v="1.0022"/>
    <n v="0.94971499999999998"/>
    <n v="0.95513919210298648"/>
    <n v="330800"/>
    <n v="0"/>
    <n v="330800"/>
    <n v="61300"/>
    <n v="392100"/>
    <n v="2.4242424242424242E-3"/>
    <n v="8.2236842105263153E-3"/>
    <n v="3.3265097236438077E-3"/>
  </r>
  <r>
    <n v="2025"/>
    <s v="20120634512    "/>
    <n v="-1.8140050781753747"/>
    <n v="0.16300000000000001"/>
    <n v="7100"/>
    <s v="2"/>
    <s v="RES"/>
    <s v="MX"/>
    <s v="11"/>
    <s v="259"/>
    <s v="CP"/>
    <x v="5"/>
    <s v="VG"/>
    <n v="0"/>
    <n v="5"/>
    <n v="5"/>
    <n v="2019"/>
    <n v="2019"/>
    <n v="1708"/>
    <m/>
    <m/>
    <m/>
    <m/>
    <n v="0"/>
    <n v="1708"/>
    <n v="2000"/>
    <s v="N"/>
    <m/>
    <n v="420"/>
    <m/>
    <m/>
    <m/>
    <m/>
    <m/>
    <n v="374577"/>
    <n v="359594"/>
    <n v="0"/>
    <n v="0"/>
    <n v="60800"/>
    <n v="329100"/>
    <n v="389900"/>
    <n v="132535.48800000001"/>
    <n v="88356.992000000013"/>
    <n v="-23807.584941603713"/>
    <n v="32917.849192000001"/>
    <n v="50438.379078999998"/>
    <n v="-543.70550000000003"/>
    <n v="106596.92904"/>
    <n v="0"/>
    <n v="0"/>
    <n v="14826.43302"/>
    <n v="0"/>
    <n v="336800"/>
    <n v="64500"/>
    <n v="401300"/>
    <n v="2.9238266222108233E-2"/>
    <n v="0.99970000000000003"/>
    <n v="1.0019"/>
    <n v="1.0007999999999999"/>
    <n v="1.0007999999999999"/>
    <n v="1.0022"/>
    <n v="0.94971499999999998"/>
    <n v="0.95513919210298648"/>
    <n v="330800"/>
    <n v="0"/>
    <n v="330800"/>
    <n v="61300"/>
    <n v="392100"/>
    <n v="5.1656031601336984E-3"/>
    <n v="8.2236842105263153E-3"/>
    <n v="5.6424724288279045E-3"/>
  </r>
  <r>
    <n v="2025"/>
    <s v="20120634516    "/>
    <n v="-1.8140050781753747"/>
    <n v="0.16300000000000001"/>
    <n v="7100"/>
    <s v="2"/>
    <s v="RES"/>
    <s v="MX"/>
    <s v="11"/>
    <s v="259"/>
    <s v="CP"/>
    <x v="5"/>
    <s v="VG"/>
    <n v="0"/>
    <n v="5"/>
    <n v="5"/>
    <n v="2019"/>
    <n v="2019"/>
    <n v="1708"/>
    <m/>
    <m/>
    <m/>
    <m/>
    <n v="0"/>
    <n v="1708"/>
    <n v="2000"/>
    <s v="N"/>
    <m/>
    <n v="420"/>
    <m/>
    <m/>
    <m/>
    <m/>
    <m/>
    <n v="378452"/>
    <n v="363314"/>
    <n v="0"/>
    <n v="0"/>
    <n v="60800"/>
    <n v="329100"/>
    <n v="389900"/>
    <n v="132535.48800000001"/>
    <n v="88356.992000000013"/>
    <n v="-23807.584941603713"/>
    <n v="32917.849192000001"/>
    <n v="50438.379078999998"/>
    <n v="-543.70550000000003"/>
    <n v="106596.92904"/>
    <n v="0"/>
    <n v="0"/>
    <n v="14826.43302"/>
    <n v="0"/>
    <n v="336800"/>
    <n v="64500"/>
    <n v="401300"/>
    <n v="2.9238266222108233E-2"/>
    <n v="0.99970000000000003"/>
    <n v="1.0019"/>
    <n v="1.0007999999999999"/>
    <n v="1.0007999999999999"/>
    <n v="1.0022"/>
    <n v="0.94971499999999998"/>
    <n v="0.95513919210298648"/>
    <n v="330800"/>
    <n v="0"/>
    <n v="330800"/>
    <n v="61300"/>
    <n v="392100"/>
    <n v="5.1656031601336984E-3"/>
    <n v="8.2236842105263153E-3"/>
    <n v="5.6424724288279045E-3"/>
  </r>
  <r>
    <n v="2025"/>
    <s v="19120114490    "/>
    <n v="-1.8140050781753747"/>
    <n v="0.16300000000000001"/>
    <n v="7081"/>
    <s v="2"/>
    <s v="RES"/>
    <s v="MX"/>
    <s v="11"/>
    <s v="259"/>
    <s v="CO"/>
    <x v="4"/>
    <s v="EX"/>
    <n v="0"/>
    <n v="2"/>
    <n v="2"/>
    <n v="2022"/>
    <n v="2022"/>
    <n v="1464"/>
    <m/>
    <m/>
    <m/>
    <m/>
    <n v="0"/>
    <n v="1464"/>
    <n v="1500"/>
    <s v="N"/>
    <n v="1"/>
    <n v="400"/>
    <m/>
    <m/>
    <m/>
    <m/>
    <m/>
    <n v="291156"/>
    <n v="285333"/>
    <n v="0"/>
    <n v="0"/>
    <n v="60800"/>
    <n v="313100"/>
    <n v="373900"/>
    <n v="132535.48800000001"/>
    <n v="88356.992000000013"/>
    <n v="-23807.584941603713"/>
    <n v="37154.252388000001"/>
    <n v="47371.278778200001"/>
    <n v="-217.48220000000001"/>
    <n v="91368.796320000009"/>
    <n v="0"/>
    <n v="0"/>
    <n v="14120.412400000001"/>
    <n v="0"/>
    <n v="322300"/>
    <n v="64500"/>
    <n v="386800"/>
    <n v="3.4501203530355712E-2"/>
    <n v="0.99970000000000003"/>
    <n v="0.99819999999999998"/>
    <n v="1.0012000000000001"/>
    <n v="0.99519999999999997"/>
    <n v="1.0022"/>
    <n v="0.94971499999999998"/>
    <n v="0.94666532455325636"/>
    <n v="315300"/>
    <n v="0"/>
    <n v="315300"/>
    <n v="61300"/>
    <n v="376600"/>
    <n v="7.0265091025231551E-3"/>
    <n v="8.2236842105263153E-3"/>
    <n v="7.2211821342604973E-3"/>
  </r>
  <r>
    <n v="2025"/>
    <s v="20120634504    "/>
    <n v="-1.8140050781753747"/>
    <n v="0.16300000000000001"/>
    <n v="7100"/>
    <s v="2"/>
    <s v="RES"/>
    <s v="MX"/>
    <s v="11"/>
    <s v="259"/>
    <s v="CP"/>
    <x v="4"/>
    <s v="VG"/>
    <n v="0"/>
    <n v="5"/>
    <n v="5"/>
    <n v="2019"/>
    <n v="2019"/>
    <n v="1529"/>
    <m/>
    <m/>
    <m/>
    <m/>
    <n v="0"/>
    <n v="1529"/>
    <n v="2000"/>
    <s v="N"/>
    <m/>
    <n v="441"/>
    <m/>
    <m/>
    <m/>
    <m/>
    <m/>
    <n v="300947"/>
    <n v="288909"/>
    <n v="0"/>
    <n v="0"/>
    <n v="60800"/>
    <n v="321600"/>
    <n v="382400"/>
    <n v="132535.48800000001"/>
    <n v="88356.992000000013"/>
    <n v="-23807.584941603713"/>
    <n v="37154.252388000001"/>
    <n v="50438.379078999998"/>
    <n v="-543.70550000000003"/>
    <n v="95425.471020000012"/>
    <n v="0"/>
    <n v="0"/>
    <n v="15567.754671000001"/>
    <n v="0"/>
    <n v="330600"/>
    <n v="64500"/>
    <n v="395100"/>
    <n v="3.3211297071129707E-2"/>
    <n v="0.99970000000000003"/>
    <n v="0.99819999999999998"/>
    <n v="1.0007999999999999"/>
    <n v="1.0007999999999999"/>
    <n v="1.0022"/>
    <n v="0.94971499999999998"/>
    <n v="0.95161187898712574"/>
    <n v="324200"/>
    <n v="0"/>
    <n v="324200"/>
    <n v="61300"/>
    <n v="385500"/>
    <n v="8.0845771144278603E-3"/>
    <n v="8.2236842105263153E-3"/>
    <n v="8.1066945606694564E-3"/>
  </r>
  <r>
    <n v="2025"/>
    <s v="20120634511    "/>
    <n v="-1.8140050781753747"/>
    <n v="0.16300000000000001"/>
    <n v="7100"/>
    <s v="2"/>
    <s v="RES"/>
    <s v="MX"/>
    <s v="11"/>
    <s v="259"/>
    <s v="CP"/>
    <x v="5"/>
    <s v="EX"/>
    <n v="0"/>
    <n v="4"/>
    <n v="4"/>
    <n v="2020"/>
    <n v="2020"/>
    <n v="1708"/>
    <m/>
    <m/>
    <m/>
    <m/>
    <n v="0"/>
    <n v="1708"/>
    <n v="2000"/>
    <s v="N"/>
    <m/>
    <n v="420"/>
    <m/>
    <m/>
    <m/>
    <m/>
    <m/>
    <n v="372812"/>
    <n v="361628"/>
    <n v="0"/>
    <n v="0"/>
    <n v="60800"/>
    <n v="324200"/>
    <n v="385000"/>
    <n v="132535.48800000001"/>
    <n v="88356.992000000013"/>
    <n v="-23807.584941603713"/>
    <n v="32917.849192000001"/>
    <n v="47371.278778200001"/>
    <n v="-434.96440000000001"/>
    <n v="106596.92904"/>
    <n v="0"/>
    <n v="0"/>
    <n v="14826.43302"/>
    <n v="0"/>
    <n v="333800"/>
    <n v="64500"/>
    <n v="398300"/>
    <n v="3.4545454545454546E-2"/>
    <n v="0.99970000000000003"/>
    <n v="1.0019"/>
    <n v="1.0012000000000001"/>
    <n v="1.0007999999999999"/>
    <n v="1.0022"/>
    <n v="0.94971499999999998"/>
    <n v="0.95552094237960661"/>
    <n v="327900"/>
    <n v="0"/>
    <n v="327900"/>
    <n v="61300"/>
    <n v="389200"/>
    <n v="1.1412708204811845E-2"/>
    <n v="8.2236842105263153E-3"/>
    <n v="1.090909090909091E-2"/>
  </r>
  <r>
    <n v="2025"/>
    <s v="20120634505    "/>
    <n v="-1.8140050781753747"/>
    <n v="0.16300000000000001"/>
    <n v="7100"/>
    <s v="2"/>
    <s v="RES"/>
    <s v="MX"/>
    <s v="11"/>
    <s v="259"/>
    <s v="CP"/>
    <x v="4"/>
    <s v="EX"/>
    <n v="0"/>
    <n v="4"/>
    <n v="4"/>
    <n v="2020"/>
    <n v="2020"/>
    <n v="1550"/>
    <m/>
    <m/>
    <m/>
    <m/>
    <n v="0"/>
    <n v="1550"/>
    <n v="2000"/>
    <s v="N"/>
    <m/>
    <n v="420"/>
    <m/>
    <m/>
    <m/>
    <m/>
    <m/>
    <n v="303131"/>
    <n v="294037"/>
    <n v="0"/>
    <n v="0"/>
    <n v="60800"/>
    <n v="316900"/>
    <n v="377700"/>
    <n v="132535.48800000001"/>
    <n v="88356.992000000013"/>
    <n v="-23807.584941603713"/>
    <n v="37154.252388000001"/>
    <n v="47371.278778200001"/>
    <n v="-434.96440000000001"/>
    <n v="96736.089000000007"/>
    <n v="0"/>
    <n v="0"/>
    <n v="14826.43302"/>
    <n v="0"/>
    <n v="328200"/>
    <n v="64500"/>
    <n v="392700"/>
    <n v="3.971405877680699E-2"/>
    <n v="0.99970000000000003"/>
    <n v="0.99819999999999998"/>
    <n v="1.0012000000000001"/>
    <n v="1.0007999999999999"/>
    <n v="1.0022"/>
    <n v="0.94971499999999998"/>
    <n v="0.95199221946633727"/>
    <n v="321800"/>
    <n v="0"/>
    <n v="321800"/>
    <n v="61300"/>
    <n v="383100"/>
    <n v="1.5462290943515304E-2"/>
    <n v="8.2236842105263153E-3"/>
    <n v="1.4297061159650517E-2"/>
  </r>
  <r>
    <n v="2025"/>
    <s v="20120634513    "/>
    <n v="-1.8140050781753747"/>
    <n v="0.16300000000000001"/>
    <n v="7100"/>
    <s v="2"/>
    <s v="RES"/>
    <s v="MX"/>
    <s v="11"/>
    <s v="259"/>
    <s v="CP"/>
    <x v="4"/>
    <s v="VG"/>
    <n v="0"/>
    <n v="5"/>
    <n v="5"/>
    <n v="2019"/>
    <n v="2019"/>
    <n v="1550"/>
    <m/>
    <m/>
    <m/>
    <m/>
    <n v="0"/>
    <n v="1550"/>
    <n v="2000"/>
    <s v="N"/>
    <m/>
    <n v="420"/>
    <m/>
    <m/>
    <m/>
    <m/>
    <m/>
    <n v="300270"/>
    <n v="288259"/>
    <n v="0"/>
    <n v="0"/>
    <n v="60800"/>
    <n v="319400"/>
    <n v="380200"/>
    <n v="132535.48800000001"/>
    <n v="88356.992000000013"/>
    <n v="-23807.584941603713"/>
    <n v="37154.252388000001"/>
    <n v="50438.379078999998"/>
    <n v="-543.70550000000003"/>
    <n v="96736.089000000007"/>
    <n v="0"/>
    <n v="0"/>
    <n v="14826.43302"/>
    <n v="0"/>
    <n v="331100"/>
    <n v="64500"/>
    <n v="395600"/>
    <n v="4.0504997369805368E-2"/>
    <n v="0.99970000000000003"/>
    <n v="0.99819999999999998"/>
    <n v="1.0007999999999999"/>
    <n v="1.0007999999999999"/>
    <n v="1.0022"/>
    <n v="0.94971499999999998"/>
    <n v="0.95161187898712574"/>
    <n v="324700"/>
    <n v="0"/>
    <n v="324700"/>
    <n v="61300"/>
    <n v="386000"/>
    <n v="1.6593613024420788E-2"/>
    <n v="8.2236842105263153E-3"/>
    <n v="1.5255128879537085E-2"/>
  </r>
  <r>
    <n v="2025"/>
    <s v="20120634519    "/>
    <n v="-1.8140050781753747"/>
    <n v="0.16300000000000001"/>
    <n v="7100"/>
    <s v="2"/>
    <s v="RES"/>
    <s v="MX"/>
    <s v="11"/>
    <s v="259"/>
    <s v="CP"/>
    <x v="5"/>
    <s v="VG"/>
    <n v="0"/>
    <n v="5"/>
    <n v="5"/>
    <n v="2019"/>
    <n v="2019"/>
    <n v="1848"/>
    <m/>
    <m/>
    <m/>
    <m/>
    <n v="0"/>
    <n v="1848"/>
    <n v="2000"/>
    <s v="N"/>
    <n v="1"/>
    <n v="668"/>
    <m/>
    <m/>
    <m/>
    <m/>
    <m/>
    <n v="404278"/>
    <n v="388107"/>
    <n v="0"/>
    <n v="0"/>
    <n v="60800"/>
    <n v="342100"/>
    <n v="402900"/>
    <n v="132535.48800000001"/>
    <n v="88356.992000000013"/>
    <n v="-23807.584941603713"/>
    <n v="32917.849192000001"/>
    <n v="50438.379078999998"/>
    <n v="-543.70550000000003"/>
    <n v="115334.38224000001"/>
    <n v="0"/>
    <n v="0"/>
    <n v="23581.088708000003"/>
    <n v="0"/>
    <n v="354300"/>
    <n v="64500"/>
    <n v="418800"/>
    <n v="3.9463886820551006E-2"/>
    <n v="0.99970000000000003"/>
    <n v="1.0019"/>
    <n v="1.0007999999999999"/>
    <n v="1.0007999999999999"/>
    <n v="1.0022"/>
    <n v="0.94971499999999998"/>
    <n v="0.95513919210298648"/>
    <n v="348300"/>
    <n v="0"/>
    <n v="348300"/>
    <n v="61300"/>
    <n v="409600"/>
    <n v="1.8123355743934522E-2"/>
    <n v="8.2236842105263153E-3"/>
    <n v="1.6629436584760487E-2"/>
  </r>
  <r>
    <n v="2025"/>
    <s v="20120634525    "/>
    <n v="-1.8140050781753747"/>
    <n v="0.16300000000000001"/>
    <n v="7100"/>
    <s v="2"/>
    <s v="RES"/>
    <s v="MX"/>
    <s v="11"/>
    <s v="259"/>
    <s v="CP"/>
    <x v="4"/>
    <s v="VG"/>
    <n v="0"/>
    <n v="5"/>
    <n v="5"/>
    <n v="2019"/>
    <n v="2019"/>
    <n v="1760"/>
    <m/>
    <m/>
    <m/>
    <m/>
    <n v="0"/>
    <n v="1760"/>
    <n v="2000"/>
    <s v="N"/>
    <m/>
    <n v="420"/>
    <m/>
    <m/>
    <m/>
    <m/>
    <m/>
    <n v="333987"/>
    <n v="320628"/>
    <n v="0"/>
    <n v="0"/>
    <n v="60800"/>
    <n v="331200"/>
    <n v="392000"/>
    <n v="132535.48800000001"/>
    <n v="88356.992000000013"/>
    <n v="-23807.584941603713"/>
    <n v="37154.252388000001"/>
    <n v="50438.379078999998"/>
    <n v="-543.70550000000003"/>
    <n v="109842.26880000001"/>
    <n v="0"/>
    <n v="0"/>
    <n v="14826.43302"/>
    <n v="0"/>
    <n v="344300"/>
    <n v="64500"/>
    <n v="408800"/>
    <n v="4.2857142857142858E-2"/>
    <n v="0.99970000000000003"/>
    <n v="0.99819999999999998"/>
    <n v="1.0007999999999999"/>
    <n v="1.0007999999999999"/>
    <n v="1.0022"/>
    <n v="0.94971499999999998"/>
    <n v="0.95161187898712574"/>
    <n v="337800"/>
    <n v="0"/>
    <n v="337800"/>
    <n v="61300"/>
    <n v="399100"/>
    <n v="1.9927536231884056E-2"/>
    <n v="8.2236842105263153E-3"/>
    <n v="1.8112244897959182E-2"/>
  </r>
  <r>
    <n v="2025"/>
    <s v="20120634503    "/>
    <n v="-1.8140050781753747"/>
    <n v="0.16300000000000001"/>
    <n v="7100"/>
    <s v="2"/>
    <s v="RES"/>
    <s v="MX"/>
    <s v="11"/>
    <s v="259"/>
    <s v="CP"/>
    <x v="5"/>
    <s v="VG"/>
    <n v="0"/>
    <n v="5"/>
    <n v="5"/>
    <n v="2019"/>
    <n v="2019"/>
    <n v="1781"/>
    <m/>
    <m/>
    <m/>
    <m/>
    <n v="0"/>
    <n v="1781"/>
    <n v="2000"/>
    <s v="N"/>
    <m/>
    <n v="506"/>
    <m/>
    <m/>
    <m/>
    <m/>
    <m/>
    <n v="383390"/>
    <n v="368054"/>
    <n v="0"/>
    <n v="0"/>
    <n v="60800"/>
    <n v="331600"/>
    <n v="392400"/>
    <n v="132535.48800000001"/>
    <n v="88356.992000000013"/>
    <n v="-23807.584941603713"/>
    <n v="32917.849192000001"/>
    <n v="50438.379078999998"/>
    <n v="-543.70550000000003"/>
    <n v="111152.88678"/>
    <n v="0"/>
    <n v="0"/>
    <n v="17862.321685999999"/>
    <n v="0"/>
    <n v="344400"/>
    <n v="64500"/>
    <n v="408900"/>
    <n v="4.2048929663608563E-2"/>
    <n v="0.99970000000000003"/>
    <n v="1.0019"/>
    <n v="1.0007999999999999"/>
    <n v="1.0007999999999999"/>
    <n v="1.0022"/>
    <n v="0.94971499999999998"/>
    <n v="0.95513919210298648"/>
    <n v="338400"/>
    <n v="0"/>
    <n v="338400"/>
    <n v="61300"/>
    <n v="399700"/>
    <n v="2.0506634499396863E-2"/>
    <n v="8.2236842105263153E-3"/>
    <n v="1.8603465851172275E-2"/>
  </r>
  <r>
    <n v="2025"/>
    <s v="20120634529    "/>
    <n v="-1.8140050781753747"/>
    <n v="0.16300000000000001"/>
    <n v="7120"/>
    <s v="2"/>
    <s v="RES"/>
    <s v="MX"/>
    <s v="11"/>
    <s v="259"/>
    <s v="CP"/>
    <x v="5"/>
    <s v="VG"/>
    <n v="0"/>
    <n v="5"/>
    <n v="5"/>
    <n v="2019"/>
    <n v="2019"/>
    <n v="1752"/>
    <m/>
    <m/>
    <m/>
    <m/>
    <n v="0"/>
    <n v="1752"/>
    <n v="2000"/>
    <s v="N"/>
    <m/>
    <n v="420"/>
    <m/>
    <m/>
    <m/>
    <m/>
    <m/>
    <n v="371295"/>
    <n v="356443"/>
    <n v="0"/>
    <n v="0"/>
    <n v="60800"/>
    <n v="326800"/>
    <n v="387600"/>
    <n v="132535.48800000001"/>
    <n v="88356.992000000013"/>
    <n v="-23807.584941603713"/>
    <n v="32917.849192000001"/>
    <n v="50438.379078999998"/>
    <n v="-543.70550000000003"/>
    <n v="109342.98576000001"/>
    <n v="0"/>
    <n v="0"/>
    <n v="14826.43302"/>
    <n v="0"/>
    <n v="339500"/>
    <n v="64500"/>
    <n v="404000"/>
    <n v="4.2311661506707947E-2"/>
    <n v="0.99970000000000003"/>
    <n v="1.0019"/>
    <n v="1.0007999999999999"/>
    <n v="1.0007999999999999"/>
    <n v="1.0022"/>
    <n v="0.94971499999999998"/>
    <n v="0.95513919210298648"/>
    <n v="333600"/>
    <n v="0"/>
    <n v="333600"/>
    <n v="61300"/>
    <n v="394900"/>
    <n v="2.0807833537331701E-2"/>
    <n v="8.2236842105263153E-3"/>
    <n v="1.8833849329205368E-2"/>
  </r>
  <r>
    <n v="2025"/>
    <s v="20120634526    "/>
    <n v="-1.8140050781753747"/>
    <n v="0.16300000000000001"/>
    <n v="7100"/>
    <s v="2"/>
    <s v="RES"/>
    <s v="MX"/>
    <s v="11"/>
    <s v="259"/>
    <s v="CP"/>
    <x v="5"/>
    <s v="VG"/>
    <n v="0"/>
    <n v="5"/>
    <n v="5"/>
    <n v="2019"/>
    <n v="2019"/>
    <n v="2016"/>
    <m/>
    <m/>
    <m/>
    <m/>
    <n v="0"/>
    <n v="2016"/>
    <n v="2500"/>
    <s v="N"/>
    <m/>
    <n v="420"/>
    <m/>
    <m/>
    <m/>
    <m/>
    <m/>
    <n v="415670"/>
    <n v="399043"/>
    <n v="0"/>
    <n v="0"/>
    <n v="60800"/>
    <n v="340100"/>
    <n v="400900"/>
    <n v="132535.48800000001"/>
    <n v="88356.992000000013"/>
    <n v="-23807.584941603713"/>
    <n v="32917.849192000001"/>
    <n v="50438.379078999998"/>
    <n v="-543.70550000000003"/>
    <n v="125819.32608000001"/>
    <n v="0"/>
    <n v="0"/>
    <n v="14826.43302"/>
    <n v="0"/>
    <n v="356000"/>
    <n v="64500"/>
    <n v="420500"/>
    <n v="4.8889997505612369E-2"/>
    <n v="0.99970000000000003"/>
    <n v="1.0019"/>
    <n v="1.0007999999999999"/>
    <n v="1.0008999999999999"/>
    <n v="1.0022"/>
    <n v="0.94971499999999998"/>
    <n v="0.95523462967214157"/>
    <n v="350100"/>
    <n v="0"/>
    <n v="350100"/>
    <n v="61300"/>
    <n v="411400"/>
    <n v="2.9403116730373418E-2"/>
    <n v="8.2236842105263153E-3"/>
    <n v="2.6191070092292341E-2"/>
  </r>
  <r>
    <n v="2025"/>
    <s v="19133514432    "/>
    <n v="-1.8078888511579385"/>
    <n v="0.16400000000000001"/>
    <n v="7150"/>
    <s v="2"/>
    <s v="RES"/>
    <s v="MX"/>
    <s v="11"/>
    <s v="259"/>
    <s v="CO"/>
    <x v="5"/>
    <s v="EX"/>
    <n v="0"/>
    <n v="3"/>
    <n v="3"/>
    <n v="2021"/>
    <n v="2021"/>
    <n v="1668"/>
    <n v="1160"/>
    <m/>
    <m/>
    <m/>
    <n v="0"/>
    <n v="2828"/>
    <n v="3000"/>
    <s v="N"/>
    <m/>
    <m/>
    <n v="420"/>
    <m/>
    <m/>
    <m/>
    <m/>
    <n v="528130"/>
    <n v="512286"/>
    <n v="0"/>
    <n v="0"/>
    <n v="60800"/>
    <n v="382000"/>
    <n v="442800"/>
    <n v="132535.48800000001"/>
    <n v="88356.992000000013"/>
    <n v="-23727.313614918006"/>
    <n v="32917.849192000001"/>
    <n v="47371.278778200001"/>
    <n v="-326.22329999999999"/>
    <n v="104100.51384"/>
    <n v="69113.244279999999"/>
    <n v="0"/>
    <n v="0"/>
    <n v="0"/>
    <n v="385700"/>
    <n v="64600"/>
    <n v="450300"/>
    <n v="1.6937669376693765E-2"/>
    <n v="0.99970000000000003"/>
    <n v="1.0019"/>
    <n v="1.0012000000000001"/>
    <n v="1.0099"/>
    <n v="1.0022"/>
    <n v="0.94971499999999998"/>
    <n v="0.96420923232330613"/>
    <n v="381000"/>
    <n v="0"/>
    <n v="381000"/>
    <n v="61400"/>
    <n v="442400"/>
    <n v="-2.617801047120419E-3"/>
    <n v="9.8684210526315784E-3"/>
    <n v="-9.0334236675700087E-4"/>
  </r>
  <r>
    <n v="2025"/>
    <s v="20120632422    "/>
    <n v="-1.8018098050815563"/>
    <n v="0.16500000000000001"/>
    <n v="7200"/>
    <s v="2"/>
    <s v="RES"/>
    <s v="MX"/>
    <s v="11"/>
    <s v="259"/>
    <s v="CP"/>
    <x v="5"/>
    <s v="VG"/>
    <n v="0"/>
    <n v="6"/>
    <n v="6"/>
    <n v="2018"/>
    <n v="2018"/>
    <n v="1094"/>
    <n v="1192"/>
    <m/>
    <m/>
    <m/>
    <n v="0"/>
    <n v="2286"/>
    <n v="2500"/>
    <s v="N"/>
    <m/>
    <n v="520"/>
    <m/>
    <m/>
    <m/>
    <m/>
    <m/>
    <n v="476075"/>
    <n v="457032"/>
    <n v="0"/>
    <n v="0"/>
    <n v="61700"/>
    <n v="397400"/>
    <n v="459100"/>
    <n v="132535.48800000001"/>
    <n v="88356.992000000013"/>
    <n v="-23647.530262837776"/>
    <n v="32917.849192000001"/>
    <n v="50438.379078999998"/>
    <n v="-652.44659999999999"/>
    <n v="68276.955719999998"/>
    <n v="71019.816535999998"/>
    <n v="0"/>
    <n v="18356.536120000001"/>
    <n v="0"/>
    <n v="372900"/>
    <n v="64700"/>
    <n v="437600"/>
    <n v="-4.6830755826617297E-2"/>
    <n v="0.99970000000000003"/>
    <n v="1.0019"/>
    <n v="1.0007999999999999"/>
    <n v="1.0008999999999999"/>
    <n v="1.0022"/>
    <n v="0.94971499999999998"/>
    <n v="0.95523462967214157"/>
    <n v="367000"/>
    <n v="0"/>
    <n v="367000"/>
    <n v="61500"/>
    <n v="428500"/>
    <n v="-7.6497232008052335E-2"/>
    <n v="-3.2414910858995136E-3"/>
    <n v="-6.6652145502069271E-2"/>
  </r>
  <r>
    <n v="2025"/>
    <s v="19133514426    "/>
    <n v="-1.8018098050815563"/>
    <n v="0.16500000000000001"/>
    <n v="7198"/>
    <s v="2"/>
    <s v="RES"/>
    <s v="MX"/>
    <s v="11"/>
    <s v="259"/>
    <s v="CO"/>
    <x v="4"/>
    <s v="EX"/>
    <n v="0"/>
    <n v="3"/>
    <n v="3"/>
    <n v="2021"/>
    <n v="2021"/>
    <n v="1073"/>
    <n v="1331"/>
    <m/>
    <m/>
    <m/>
    <n v="0"/>
    <n v="2404"/>
    <n v="2500"/>
    <s v="N"/>
    <m/>
    <m/>
    <n v="500"/>
    <m/>
    <m/>
    <m/>
    <m/>
    <n v="415891"/>
    <n v="403414"/>
    <n v="0"/>
    <n v="0"/>
    <n v="61700"/>
    <n v="375300"/>
    <n v="437000"/>
    <n v="132535.48800000001"/>
    <n v="88356.992000000013"/>
    <n v="-23647.530262837776"/>
    <n v="37154.252388000001"/>
    <n v="47371.278778200001"/>
    <n v="-326.22329999999999"/>
    <n v="66966.337740000003"/>
    <n v="79301.489772999994"/>
    <n v="0"/>
    <n v="0"/>
    <n v="0"/>
    <n v="363000"/>
    <n v="64700"/>
    <n v="427700"/>
    <n v="-2.1281464530892448E-2"/>
    <n v="0.99970000000000003"/>
    <n v="0.99819999999999998"/>
    <n v="1.0012000000000001"/>
    <n v="1.0008999999999999"/>
    <n v="1.0022"/>
    <n v="0.94971499999999998"/>
    <n v="0.95208734258978511"/>
    <n v="356700"/>
    <n v="0"/>
    <n v="356700"/>
    <n v="61500"/>
    <n v="418200"/>
    <n v="-4.9560351718625099E-2"/>
    <n v="-3.2414910858995136E-3"/>
    <n v="-4.3020594965675056E-2"/>
  </r>
  <r>
    <n v="2025"/>
    <s v="20120632425    "/>
    <n v="-1.8018098050815563"/>
    <n v="0.16500000000000001"/>
    <n v="7200"/>
    <s v="2"/>
    <s v="RES"/>
    <s v="MX"/>
    <s v="11"/>
    <s v="259"/>
    <s v="CP"/>
    <x v="5"/>
    <s v="VG"/>
    <n v="0"/>
    <n v="6"/>
    <n v="6"/>
    <n v="2018"/>
    <n v="2018"/>
    <n v="2020"/>
    <m/>
    <m/>
    <m/>
    <m/>
    <n v="0"/>
    <n v="2020"/>
    <n v="2500"/>
    <s v="N"/>
    <m/>
    <n v="670"/>
    <m/>
    <m/>
    <m/>
    <m/>
    <m/>
    <n v="447220"/>
    <n v="429331"/>
    <n v="0"/>
    <n v="0"/>
    <n v="61700"/>
    <n v="366700"/>
    <n v="428400"/>
    <n v="132535.48800000001"/>
    <n v="88356.992000000013"/>
    <n v="-23647.530262837776"/>
    <n v="32917.849192000001"/>
    <n v="50438.379078999998"/>
    <n v="-652.44659999999999"/>
    <n v="126068.9676"/>
    <n v="0"/>
    <n v="0"/>
    <n v="23651.690770000001"/>
    <n v="0"/>
    <n v="365000"/>
    <n v="64700"/>
    <n v="429700"/>
    <n v="3.0345471521942111E-3"/>
    <n v="0.99970000000000003"/>
    <n v="1.0019"/>
    <n v="1.0007999999999999"/>
    <n v="1.0008999999999999"/>
    <n v="1.0022"/>
    <n v="0.94971499999999998"/>
    <n v="0.95523462967214157"/>
    <n v="359000"/>
    <n v="0"/>
    <n v="359000"/>
    <n v="61500"/>
    <n v="420500"/>
    <n v="-2.0998091082628852E-2"/>
    <n v="-3.2414910858995136E-3"/>
    <n v="-1.8440709617180206E-2"/>
  </r>
  <r>
    <n v="2025"/>
    <s v="19133514431    "/>
    <n v="-1.8018098050815563"/>
    <n v="0.16500000000000001"/>
    <n v="7171"/>
    <s v="2"/>
    <s v="RES"/>
    <s v="MX"/>
    <s v="11"/>
    <s v="259"/>
    <s v="CO"/>
    <x v="5"/>
    <s v="EX"/>
    <n v="0"/>
    <n v="3"/>
    <n v="3"/>
    <n v="2021"/>
    <n v="2021"/>
    <n v="1740"/>
    <m/>
    <m/>
    <m/>
    <m/>
    <n v="0"/>
    <n v="1740"/>
    <n v="2000"/>
    <s v="N"/>
    <m/>
    <n v="690"/>
    <m/>
    <m/>
    <m/>
    <m/>
    <m/>
    <n v="397509"/>
    <n v="385584"/>
    <n v="0"/>
    <n v="0"/>
    <n v="60800"/>
    <n v="344900"/>
    <n v="405700"/>
    <n v="132535.48800000001"/>
    <n v="88356.992000000013"/>
    <n v="-23647.530262837776"/>
    <n v="32917.849192000001"/>
    <n v="47371.278778200001"/>
    <n v="-326.22329999999999"/>
    <n v="108594.06120000001"/>
    <n v="0"/>
    <n v="0"/>
    <n v="24357.71139"/>
    <n v="0"/>
    <n v="345500"/>
    <n v="64700"/>
    <n v="410200"/>
    <n v="1.1091939857037219E-2"/>
    <n v="0.99970000000000003"/>
    <n v="1.0019"/>
    <n v="1.0012000000000001"/>
    <n v="1.0007999999999999"/>
    <n v="1.0022"/>
    <n v="0.94971499999999998"/>
    <n v="0.95552094237960661"/>
    <n v="339600"/>
    <n v="0"/>
    <n v="339600"/>
    <n v="61500"/>
    <n v="401100"/>
    <n v="-1.5366772977674688E-2"/>
    <n v="1.1513157894736841E-2"/>
    <n v="-1.1338427409415824E-2"/>
  </r>
  <r>
    <n v="2025"/>
    <s v="20120632427    "/>
    <n v="-1.8018098050815563"/>
    <n v="0.16500000000000001"/>
    <n v="7200"/>
    <s v="2"/>
    <s v="RES"/>
    <s v="MX"/>
    <s v="11"/>
    <s v="259"/>
    <s v="CP"/>
    <x v="5"/>
    <s v="VG"/>
    <n v="0"/>
    <n v="6"/>
    <n v="6"/>
    <n v="2018"/>
    <n v="2018"/>
    <n v="1126"/>
    <n v="1126"/>
    <m/>
    <m/>
    <m/>
    <n v="0"/>
    <n v="2252"/>
    <n v="2500"/>
    <s v="N"/>
    <m/>
    <n v="440"/>
    <m/>
    <m/>
    <m/>
    <m/>
    <m/>
    <n v="448061"/>
    <n v="430139"/>
    <n v="0"/>
    <n v="0"/>
    <n v="61700"/>
    <n v="366500"/>
    <n v="428200"/>
    <n v="132535.48800000001"/>
    <n v="88356.992000000013"/>
    <n v="-23647.530262837776"/>
    <n v="32917.849192000001"/>
    <n v="50438.379078999998"/>
    <n v="-652.44659999999999"/>
    <n v="70274.087880000006"/>
    <n v="67087.511257999999"/>
    <n v="0"/>
    <n v="15532.453640000002"/>
    <n v="0"/>
    <n v="368100"/>
    <n v="64700"/>
    <n v="432800"/>
    <n v="1.0742643624474545E-2"/>
    <n v="0.99970000000000003"/>
    <n v="1.0019"/>
    <n v="1.0007999999999999"/>
    <n v="1.0008999999999999"/>
    <n v="1.0022"/>
    <n v="0.94971499999999998"/>
    <n v="0.95523462967214157"/>
    <n v="362200"/>
    <n v="0"/>
    <n v="362200"/>
    <n v="61500"/>
    <n v="423700"/>
    <n v="-1.1732605729877216E-2"/>
    <n v="-3.2414910858995136E-3"/>
    <n v="-1.0509107893507707E-2"/>
  </r>
  <r>
    <n v="2025"/>
    <s v="20120632420    "/>
    <n v="-1.8018098050815563"/>
    <n v="0.16500000000000001"/>
    <n v="7200"/>
    <s v="2"/>
    <s v="RES"/>
    <s v="MX"/>
    <s v="11"/>
    <s v="259"/>
    <s v="CP"/>
    <x v="5"/>
    <s v="VG"/>
    <n v="0"/>
    <n v="6"/>
    <n v="6"/>
    <n v="2018"/>
    <n v="2018"/>
    <n v="1706"/>
    <m/>
    <m/>
    <m/>
    <m/>
    <n v="0"/>
    <n v="1706"/>
    <n v="2000"/>
    <s v="N"/>
    <m/>
    <n v="441"/>
    <m/>
    <m/>
    <m/>
    <m/>
    <m/>
    <n v="373726"/>
    <n v="358777"/>
    <n v="0"/>
    <n v="0"/>
    <n v="61700"/>
    <n v="333200"/>
    <n v="394900"/>
    <n v="132535.48800000001"/>
    <n v="88356.992000000013"/>
    <n v="-23647.530262837776"/>
    <n v="32917.849192000001"/>
    <n v="50438.379078999998"/>
    <n v="-652.44659999999999"/>
    <n v="106472.10828"/>
    <n v="0"/>
    <n v="0"/>
    <n v="15567.754671000001"/>
    <n v="0"/>
    <n v="337300"/>
    <n v="64700"/>
    <n v="402000"/>
    <n v="1.7979235249430237E-2"/>
    <n v="0.99970000000000003"/>
    <n v="1.0019"/>
    <n v="1.0007999999999999"/>
    <n v="1.0007999999999999"/>
    <n v="1.0022"/>
    <n v="0.94971499999999998"/>
    <n v="0.95513919210298648"/>
    <n v="331300"/>
    <n v="0"/>
    <n v="331300"/>
    <n v="61500"/>
    <n v="392800"/>
    <n v="-5.7022809123649463E-3"/>
    <n v="-3.2414910858995136E-3"/>
    <n v="-5.3178019751835906E-3"/>
  </r>
  <r>
    <n v="2025"/>
    <s v="20120632410    "/>
    <n v="-1.8018098050815563"/>
    <n v="0.16500000000000001"/>
    <n v="7200"/>
    <s v="2"/>
    <s v="RES"/>
    <s v="MX"/>
    <s v="11"/>
    <s v="259"/>
    <s v="CP"/>
    <x v="5"/>
    <s v="VG"/>
    <n v="0"/>
    <n v="5"/>
    <n v="5"/>
    <n v="2019"/>
    <n v="2019"/>
    <n v="2025"/>
    <m/>
    <m/>
    <m/>
    <m/>
    <n v="0"/>
    <n v="2025"/>
    <n v="2500"/>
    <s v="N"/>
    <m/>
    <n v="670"/>
    <m/>
    <m/>
    <m/>
    <m/>
    <m/>
    <n v="439321"/>
    <n v="421748"/>
    <n v="0"/>
    <n v="0"/>
    <n v="61700"/>
    <n v="360100"/>
    <n v="421800"/>
    <n v="132535.48800000001"/>
    <n v="88356.992000000013"/>
    <n v="-23647.530262837776"/>
    <n v="32917.849192000001"/>
    <n v="50438.379078999998"/>
    <n v="-543.70550000000003"/>
    <n v="126381.01950000001"/>
    <n v="0"/>
    <n v="0"/>
    <n v="23651.690770000001"/>
    <n v="0"/>
    <n v="365400"/>
    <n v="64700"/>
    <n v="430100"/>
    <n v="1.9677572309151257E-2"/>
    <n v="0.99970000000000003"/>
    <n v="1.0019"/>
    <n v="1.0007999999999999"/>
    <n v="1.0008999999999999"/>
    <n v="1.0022"/>
    <n v="0.94971499999999998"/>
    <n v="0.95523462967214157"/>
    <n v="359400"/>
    <n v="0"/>
    <n v="359400"/>
    <n v="61500"/>
    <n v="420900"/>
    <n v="-1.9439044709802832E-3"/>
    <n v="-3.2414910858995136E-3"/>
    <n v="-2.1337126600284497E-3"/>
  </r>
  <r>
    <n v="2025"/>
    <s v="20120632428    "/>
    <n v="-1.8018098050815563"/>
    <n v="0.16500000000000001"/>
    <n v="7190"/>
    <s v="2"/>
    <s v="RES"/>
    <s v="MX"/>
    <s v="11"/>
    <s v="259"/>
    <s v="CP"/>
    <x v="4"/>
    <s v="VG"/>
    <n v="0"/>
    <n v="5"/>
    <n v="5"/>
    <n v="2019"/>
    <n v="2019"/>
    <n v="1529"/>
    <m/>
    <m/>
    <m/>
    <m/>
    <n v="0"/>
    <n v="1529"/>
    <n v="2000"/>
    <s v="N"/>
    <m/>
    <n v="441"/>
    <m/>
    <m/>
    <m/>
    <m/>
    <m/>
    <n v="304722"/>
    <n v="292533"/>
    <n v="0"/>
    <n v="0"/>
    <n v="61700"/>
    <n v="321600"/>
    <n v="383300"/>
    <n v="132535.48800000001"/>
    <n v="88356.992000000013"/>
    <n v="-23647.530262837776"/>
    <n v="37154.252388000001"/>
    <n v="50438.379078999998"/>
    <n v="-543.70550000000003"/>
    <n v="95425.471020000012"/>
    <n v="0"/>
    <n v="0"/>
    <n v="15567.754671000001"/>
    <n v="0"/>
    <n v="330600"/>
    <n v="64700"/>
    <n v="395300"/>
    <n v="3.1307070180015655E-2"/>
    <n v="0.99970000000000003"/>
    <n v="0.99819999999999998"/>
    <n v="1.0007999999999999"/>
    <n v="1.0007999999999999"/>
    <n v="1.0022"/>
    <n v="0.94971499999999998"/>
    <n v="0.95161187898712574"/>
    <n v="324200"/>
    <n v="0"/>
    <n v="324200"/>
    <n v="61500"/>
    <n v="385700"/>
    <n v="8.0845771144278603E-3"/>
    <n v="-3.2414910858995136E-3"/>
    <n v="6.2614140360031309E-3"/>
  </r>
  <r>
    <n v="2025"/>
    <s v="20120632415    "/>
    <n v="-1.8018098050815563"/>
    <n v="0.16500000000000001"/>
    <n v="7200"/>
    <s v="2"/>
    <s v="RES"/>
    <s v="MX"/>
    <s v="11"/>
    <s v="259"/>
    <s v="CP"/>
    <x v="4"/>
    <s v="VG"/>
    <n v="0"/>
    <n v="6"/>
    <n v="6"/>
    <n v="2018"/>
    <n v="2018"/>
    <n v="1687"/>
    <m/>
    <m/>
    <m/>
    <m/>
    <n v="0"/>
    <n v="1687"/>
    <n v="2000"/>
    <s v="N"/>
    <m/>
    <n v="681"/>
    <m/>
    <m/>
    <m/>
    <m/>
    <m/>
    <n v="338142"/>
    <n v="327998"/>
    <n v="0"/>
    <n v="0"/>
    <n v="61700"/>
    <n v="337400"/>
    <n v="399100"/>
    <n v="132535.48800000001"/>
    <n v="88356.992000000013"/>
    <n v="-23647.530262837776"/>
    <n v="37154.252388000001"/>
    <n v="50438.379078999998"/>
    <n v="-652.44659999999999"/>
    <n v="105286.31106000001"/>
    <n v="0"/>
    <n v="0"/>
    <n v="24040.002111000002"/>
    <n v="0"/>
    <n v="348800"/>
    <n v="64700"/>
    <n v="413500"/>
    <n v="3.608118266098722E-2"/>
    <n v="0.99970000000000003"/>
    <n v="0.99819999999999998"/>
    <n v="1.0007999999999999"/>
    <n v="1.0007999999999999"/>
    <n v="1.0022"/>
    <n v="0.94971499999999998"/>
    <n v="0.95161187898712574"/>
    <n v="342400"/>
    <n v="0"/>
    <n v="342400"/>
    <n v="61500"/>
    <n v="403900"/>
    <n v="1.4819205690574985E-2"/>
    <n v="-3.2414910858995136E-3"/>
    <n v="1.202706088699574E-2"/>
  </r>
  <r>
    <n v="2025"/>
    <s v="20120632412    "/>
    <n v="-1.8018098050815563"/>
    <n v="0.16500000000000001"/>
    <n v="7200"/>
    <s v="2"/>
    <s v="RES"/>
    <s v="MX"/>
    <s v="11"/>
    <s v="259"/>
    <s v="CP"/>
    <x v="5"/>
    <s v="VG"/>
    <n v="0"/>
    <n v="5"/>
    <n v="5"/>
    <n v="2019"/>
    <n v="2019"/>
    <n v="1756"/>
    <m/>
    <m/>
    <m/>
    <m/>
    <n v="0"/>
    <n v="1756"/>
    <n v="2000"/>
    <s v="N"/>
    <m/>
    <n v="441"/>
    <m/>
    <m/>
    <m/>
    <m/>
    <m/>
    <n v="374366"/>
    <n v="359391"/>
    <n v="0"/>
    <n v="0"/>
    <n v="61700"/>
    <n v="327600"/>
    <n v="389300"/>
    <n v="132535.48800000001"/>
    <n v="88356.992000000013"/>
    <n v="-23647.530262837776"/>
    <n v="32917.849192000001"/>
    <n v="50438.379078999998"/>
    <n v="-543.70550000000003"/>
    <n v="109592.62728"/>
    <n v="0"/>
    <n v="0"/>
    <n v="15567.754671000001"/>
    <n v="0"/>
    <n v="340500"/>
    <n v="64700"/>
    <n v="405200"/>
    <n v="4.0842537888517855E-2"/>
    <n v="0.99970000000000003"/>
    <n v="1.0019"/>
    <n v="1.0007999999999999"/>
    <n v="1.0007999999999999"/>
    <n v="1.0022"/>
    <n v="0.94971499999999998"/>
    <n v="0.95513919210298648"/>
    <n v="334600"/>
    <n v="0"/>
    <n v="334600"/>
    <n v="61500"/>
    <n v="396100"/>
    <n v="2.1367521367521368E-2"/>
    <n v="-3.2414910858995136E-3"/>
    <n v="1.7467248908296942E-2"/>
  </r>
  <r>
    <n v="2025"/>
    <s v="20120632417    "/>
    <n v="-1.8018098050815563"/>
    <n v="0.16500000000000001"/>
    <n v="7200"/>
    <s v="2"/>
    <s v="RES"/>
    <s v="MX"/>
    <s v="11"/>
    <s v="259"/>
    <s v="CP"/>
    <x v="5"/>
    <s v="VG"/>
    <n v="0"/>
    <n v="5"/>
    <n v="5"/>
    <n v="2019"/>
    <n v="2019"/>
    <n v="2000"/>
    <m/>
    <m/>
    <m/>
    <m/>
    <n v="0"/>
    <n v="2000"/>
    <n v="2500"/>
    <s v="N"/>
    <m/>
    <n v="702"/>
    <m/>
    <m/>
    <m/>
    <m/>
    <m/>
    <n v="436101"/>
    <n v="418657"/>
    <n v="0"/>
    <n v="0"/>
    <n v="59000"/>
    <n v="352600"/>
    <n v="411600"/>
    <n v="132535.48800000001"/>
    <n v="88356.992000000013"/>
    <n v="-23647.530262837776"/>
    <n v="32917.849192000001"/>
    <n v="50438.379078999998"/>
    <n v="-543.70550000000003"/>
    <n v="124820.76000000001"/>
    <n v="0"/>
    <n v="0"/>
    <n v="24781.323762"/>
    <n v="0"/>
    <n v="365000"/>
    <n v="64700"/>
    <n v="429700"/>
    <n v="4.3974732750242954E-2"/>
    <n v="0.99970000000000003"/>
    <n v="1.0019"/>
    <n v="1.0007999999999999"/>
    <n v="1.0008999999999999"/>
    <n v="1.0022"/>
    <n v="0.94971499999999998"/>
    <n v="0.95523462967214157"/>
    <n v="359000"/>
    <n v="0"/>
    <n v="359000"/>
    <n v="61500"/>
    <n v="420500"/>
    <n v="1.8150879183210438E-2"/>
    <n v="4.2372881355932202E-2"/>
    <n v="2.1622934888241012E-2"/>
  </r>
  <r>
    <n v="2025"/>
    <s v="19133541446    "/>
    <n v="-1.7957674906255938"/>
    <n v="0.16600000000000001"/>
    <n v="7245"/>
    <s v="2"/>
    <s v="RES"/>
    <s v="MX"/>
    <s v="11"/>
    <s v="259"/>
    <s v="CO"/>
    <x v="4"/>
    <s v="EX"/>
    <n v="0"/>
    <n v="3"/>
    <n v="3"/>
    <n v="2021"/>
    <n v="2021"/>
    <n v="1403"/>
    <m/>
    <m/>
    <m/>
    <m/>
    <n v="0"/>
    <n v="1403"/>
    <n v="1500"/>
    <s v="S"/>
    <m/>
    <n v="640"/>
    <m/>
    <m/>
    <m/>
    <m/>
    <m/>
    <n v="301366"/>
    <n v="292325"/>
    <n v="0"/>
    <n v="0"/>
    <n v="61700"/>
    <n v="328800"/>
    <n v="390500"/>
    <n v="132535.48800000001"/>
    <n v="88356.992000000013"/>
    <n v="-23568.228988334784"/>
    <n v="37154.252388000001"/>
    <n v="47371.278778200001"/>
    <n v="-326.22329999999999"/>
    <n v="87561.76314000001"/>
    <n v="0"/>
    <n v="0"/>
    <n v="22592.65984"/>
    <n v="0"/>
    <n v="326900"/>
    <n v="64800"/>
    <n v="391700"/>
    <n v="3.0729833546734955E-3"/>
    <n v="0.99970000000000003"/>
    <n v="0.99819999999999998"/>
    <n v="1.0012000000000001"/>
    <n v="0.99519999999999997"/>
    <n v="1.0022"/>
    <n v="0.94971499999999998"/>
    <n v="0.94666532455325636"/>
    <n v="319800"/>
    <n v="0"/>
    <n v="319800"/>
    <n v="61500"/>
    <n v="381300"/>
    <n v="-2.7372262773722629E-2"/>
    <n v="-3.2414910858995136E-3"/>
    <n v="-2.3559539052496799E-2"/>
  </r>
  <r>
    <n v="2025"/>
    <s v="20120634522    "/>
    <n v="-1.7957674906255938"/>
    <n v="0.16600000000000001"/>
    <n v="7252"/>
    <s v="2"/>
    <s v="RES"/>
    <s v="MX"/>
    <s v="11"/>
    <s v="259"/>
    <s v="CO"/>
    <x v="5"/>
    <s v="VG"/>
    <n v="0"/>
    <n v="5"/>
    <n v="5"/>
    <n v="2019"/>
    <n v="2019"/>
    <n v="1752"/>
    <m/>
    <m/>
    <m/>
    <m/>
    <n v="0"/>
    <n v="1752"/>
    <n v="2000"/>
    <s v="S"/>
    <m/>
    <n v="420"/>
    <m/>
    <m/>
    <m/>
    <m/>
    <m/>
    <n v="379110"/>
    <n v="363946"/>
    <n v="0"/>
    <n v="0"/>
    <n v="61700"/>
    <n v="336000"/>
    <n v="397700"/>
    <n v="132535.48800000001"/>
    <n v="88356.992000000013"/>
    <n v="-23568.228988334784"/>
    <n v="32917.849192000001"/>
    <n v="50438.379078999998"/>
    <n v="-543.70550000000003"/>
    <n v="109342.98576000001"/>
    <n v="0"/>
    <n v="0"/>
    <n v="14826.43302"/>
    <n v="0"/>
    <n v="339500"/>
    <n v="64800"/>
    <n v="404300"/>
    <n v="1.6595423686195626E-2"/>
    <n v="0.99970000000000003"/>
    <n v="1.0019"/>
    <n v="1.0007999999999999"/>
    <n v="1.0007999999999999"/>
    <n v="1.0022"/>
    <n v="0.94971499999999998"/>
    <n v="0.95513919210298648"/>
    <n v="333600"/>
    <n v="0"/>
    <n v="333600"/>
    <n v="61500"/>
    <n v="395100"/>
    <n v="-7.1428571428571426E-3"/>
    <n v="-3.2414910858995136E-3"/>
    <n v="-6.5375911491073677E-3"/>
  </r>
  <r>
    <n v="2025"/>
    <s v="19133541436    "/>
    <n v="-1.7957674906255938"/>
    <n v="0.16600000000000001"/>
    <n v="7245"/>
    <s v="2"/>
    <s v="RES"/>
    <s v="MX"/>
    <s v="11"/>
    <s v="259"/>
    <s v="CO"/>
    <x v="5"/>
    <s v="EX"/>
    <n v="0"/>
    <n v="3"/>
    <n v="3"/>
    <n v="2021"/>
    <n v="2021"/>
    <n v="2010"/>
    <m/>
    <m/>
    <m/>
    <m/>
    <n v="0"/>
    <n v="2010"/>
    <n v="2500"/>
    <s v="S"/>
    <m/>
    <n v="424"/>
    <m/>
    <m/>
    <m/>
    <m/>
    <m/>
    <n v="429478"/>
    <n v="416594"/>
    <n v="0"/>
    <n v="0"/>
    <n v="61700"/>
    <n v="348400"/>
    <n v="410100"/>
    <n v="132535.48800000001"/>
    <n v="88356.992000000013"/>
    <n v="-23568.228988334784"/>
    <n v="32917.849192000001"/>
    <n v="47371.278778200001"/>
    <n v="-326.22329999999999"/>
    <n v="125444.86380000001"/>
    <n v="0"/>
    <n v="0"/>
    <n v="14967.637144"/>
    <n v="0"/>
    <n v="352900"/>
    <n v="64800"/>
    <n v="417700"/>
    <n v="1.8532065349914657E-2"/>
    <n v="0.99970000000000003"/>
    <n v="1.0019"/>
    <n v="1.0012000000000001"/>
    <n v="1.0008999999999999"/>
    <n v="1.0022"/>
    <n v="0.94971499999999998"/>
    <n v="0.95561641809327347"/>
    <n v="347000"/>
    <n v="0"/>
    <n v="347000"/>
    <n v="61500"/>
    <n v="408500"/>
    <n v="-4.018369690011481E-3"/>
    <n v="-3.2414910858995136E-3"/>
    <n v="-3.9014874420872959E-3"/>
  </r>
  <r>
    <n v="2025"/>
    <s v="20120632419    "/>
    <n v="-1.7957674906255938"/>
    <n v="0.16600000000000001"/>
    <n v="7224"/>
    <s v="2"/>
    <s v="RES"/>
    <s v="MX"/>
    <s v="11"/>
    <s v="259"/>
    <s v="CP"/>
    <x v="4"/>
    <s v="VG"/>
    <n v="0"/>
    <n v="5"/>
    <n v="5"/>
    <n v="2019"/>
    <n v="2019"/>
    <n v="1529"/>
    <m/>
    <m/>
    <m/>
    <m/>
    <n v="0"/>
    <n v="1529"/>
    <n v="2000"/>
    <s v="N"/>
    <m/>
    <n v="441"/>
    <m/>
    <m/>
    <m/>
    <m/>
    <m/>
    <n v="324007"/>
    <n v="311047"/>
    <n v="0"/>
    <n v="0"/>
    <n v="61700"/>
    <n v="358400"/>
    <n v="420100"/>
    <n v="132535.48800000001"/>
    <n v="88356.992000000013"/>
    <n v="-23568.228988334784"/>
    <n v="37154.252388000001"/>
    <n v="50438.379078999998"/>
    <n v="-543.70550000000003"/>
    <n v="95425.471020000012"/>
    <n v="0"/>
    <n v="0"/>
    <n v="15567.754671000001"/>
    <n v="0"/>
    <n v="330600"/>
    <n v="64800"/>
    <n v="395400"/>
    <n v="-5.8795524875029752E-2"/>
    <n v="0.99970000000000003"/>
    <n v="0.99819999999999998"/>
    <n v="1.0007999999999999"/>
    <n v="1.0007999999999999"/>
    <n v="1.0022"/>
    <n v="0.94971499999999998"/>
    <n v="0.95161187898712574"/>
    <n v="324200"/>
    <n v="0"/>
    <n v="324200"/>
    <n v="61500"/>
    <n v="385700"/>
    <n v="-9.5424107142857137E-2"/>
    <n v="-3.2414910858995136E-3"/>
    <n v="-8.1885265412996899E-2"/>
  </r>
  <r>
    <n v="2025"/>
    <s v="19133541438    "/>
    <n v="-1.7957674906255938"/>
    <n v="0.16600000000000001"/>
    <n v="7245"/>
    <s v="2"/>
    <s v="RES"/>
    <s v="MX"/>
    <s v="11"/>
    <s v="259"/>
    <s v="CO"/>
    <x v="5"/>
    <s v="EX"/>
    <n v="0"/>
    <n v="3"/>
    <n v="3"/>
    <n v="2021"/>
    <n v="2021"/>
    <n v="780"/>
    <n v="1080"/>
    <m/>
    <m/>
    <m/>
    <n v="0"/>
    <n v="1860"/>
    <n v="2000"/>
    <s v="N"/>
    <n v="1"/>
    <m/>
    <n v="420"/>
    <m/>
    <m/>
    <m/>
    <m/>
    <n v="385956"/>
    <n v="374377"/>
    <n v="0"/>
    <n v="0"/>
    <n v="61700"/>
    <n v="335200"/>
    <n v="396900"/>
    <n v="132535.48800000001"/>
    <n v="88356.992000000013"/>
    <n v="-23568.228988334784"/>
    <n v="32917.849192000001"/>
    <n v="47371.278778200001"/>
    <n v="-326.22329999999999"/>
    <n v="48680.096400000002"/>
    <n v="64346.81364"/>
    <n v="0"/>
    <n v="0"/>
    <n v="0"/>
    <n v="325500"/>
    <n v="64800"/>
    <n v="390300"/>
    <n v="-1.6628873771730914E-2"/>
    <n v="0.99970000000000003"/>
    <n v="1.0019"/>
    <n v="1.0012000000000001"/>
    <n v="1.0007999999999999"/>
    <n v="1.0022"/>
    <n v="0.94971499999999998"/>
    <n v="0.95552094237960661"/>
    <n v="319600"/>
    <n v="0"/>
    <n v="319600"/>
    <n v="61500"/>
    <n v="381100"/>
    <n v="-4.6539379474940336E-2"/>
    <n v="-3.2414910858995136E-3"/>
    <n v="-3.980851599899219E-2"/>
  </r>
  <r>
    <n v="2025"/>
    <s v="19133541424    "/>
    <n v="-1.7957674906255938"/>
    <n v="0.16600000000000001"/>
    <n v="7245"/>
    <s v="2"/>
    <s v="RES"/>
    <s v="MX"/>
    <s v="11"/>
    <s v="259"/>
    <s v="CO"/>
    <x v="5"/>
    <s v="EX"/>
    <n v="0"/>
    <n v="3"/>
    <n v="3"/>
    <n v="2021"/>
    <n v="2021"/>
    <n v="1073"/>
    <n v="1331"/>
    <m/>
    <m/>
    <m/>
    <n v="0"/>
    <n v="2404"/>
    <n v="2500"/>
    <s v="N"/>
    <m/>
    <n v="1143"/>
    <m/>
    <m/>
    <m/>
    <m/>
    <m/>
    <n v="515006"/>
    <n v="499556"/>
    <n v="0"/>
    <n v="0"/>
    <n v="61700"/>
    <n v="411500"/>
    <n v="473200"/>
    <n v="132535.48800000001"/>
    <n v="88356.992000000013"/>
    <n v="-23568.228988334784"/>
    <n v="32917.849192000001"/>
    <n v="47371.278778200001"/>
    <n v="-326.22329999999999"/>
    <n v="66966.337740000003"/>
    <n v="79301.489772999994"/>
    <n v="0"/>
    <n v="40349.078433000002"/>
    <n v="0"/>
    <n v="399100"/>
    <n v="64800"/>
    <n v="463900"/>
    <n v="-1.9653423499577344E-2"/>
    <n v="0.99970000000000003"/>
    <n v="1.0019"/>
    <n v="1.0012000000000001"/>
    <n v="1.0008999999999999"/>
    <n v="1.0022"/>
    <n v="0.94971499999999998"/>
    <n v="0.95561641809327347"/>
    <n v="393200"/>
    <n v="0"/>
    <n v="393200"/>
    <n v="61500"/>
    <n v="454700"/>
    <n v="-4.4471445929526121E-2"/>
    <n v="-3.2414910858995136E-3"/>
    <n v="-3.9095519864750634E-2"/>
  </r>
  <r>
    <n v="2025"/>
    <s v="20120634514    "/>
    <n v="-1.7957674906255938"/>
    <n v="0.16600000000000001"/>
    <n v="7252"/>
    <s v="2"/>
    <s v="RES"/>
    <s v="MX"/>
    <s v="11"/>
    <s v="259"/>
    <s v="CP"/>
    <x v="4"/>
    <s v="VG"/>
    <n v="0"/>
    <n v="5"/>
    <n v="5"/>
    <n v="2019"/>
    <n v="2019"/>
    <n v="1550"/>
    <m/>
    <m/>
    <m/>
    <m/>
    <n v="0"/>
    <n v="1550"/>
    <n v="2000"/>
    <s v="N"/>
    <n v="1"/>
    <n v="420"/>
    <m/>
    <m/>
    <m/>
    <m/>
    <m/>
    <n v="311288"/>
    <n v="298836"/>
    <n v="0"/>
    <n v="0"/>
    <n v="61700"/>
    <n v="330100"/>
    <n v="391800"/>
    <n v="132535.48800000001"/>
    <n v="88356.992000000013"/>
    <n v="-23568.228988334784"/>
    <n v="37154.252388000001"/>
    <n v="50438.379078999998"/>
    <n v="-543.70550000000003"/>
    <n v="96736.089000000007"/>
    <n v="0"/>
    <n v="0"/>
    <n v="14826.43302"/>
    <n v="0"/>
    <n v="331100"/>
    <n v="64800"/>
    <n v="395900"/>
    <n v="1.0464522715671261E-2"/>
    <n v="0.99970000000000003"/>
    <n v="0.99819999999999998"/>
    <n v="1.0007999999999999"/>
    <n v="1.0007999999999999"/>
    <n v="1.0022"/>
    <n v="0.94971499999999998"/>
    <n v="0.95161187898712574"/>
    <n v="324700"/>
    <n v="0"/>
    <n v="324700"/>
    <n v="61500"/>
    <n v="386200"/>
    <n v="-1.6358679188124812E-2"/>
    <n v="-3.2414910858995136E-3"/>
    <n v="-1.4293006636038795E-2"/>
  </r>
  <r>
    <n v="2025"/>
    <s v="19133541443    "/>
    <n v="-1.7957674906255938"/>
    <n v="0.16600000000000001"/>
    <n v="7245"/>
    <s v="2"/>
    <s v="RES"/>
    <s v="MX"/>
    <s v="11"/>
    <s v="259"/>
    <s v="CO"/>
    <x v="5"/>
    <s v="EX"/>
    <n v="0"/>
    <n v="3"/>
    <n v="3"/>
    <n v="2021"/>
    <n v="2021"/>
    <n v="1740"/>
    <m/>
    <m/>
    <m/>
    <m/>
    <n v="0"/>
    <n v="1740"/>
    <n v="2000"/>
    <s v="N"/>
    <m/>
    <n v="690"/>
    <m/>
    <m/>
    <m/>
    <m/>
    <m/>
    <n v="397509"/>
    <n v="385584"/>
    <n v="0"/>
    <n v="0"/>
    <n v="61700"/>
    <n v="344900"/>
    <n v="406600"/>
    <n v="132535.48800000001"/>
    <n v="88356.992000000013"/>
    <n v="-23568.228988334784"/>
    <n v="32917.849192000001"/>
    <n v="47371.278778200001"/>
    <n v="-326.22329999999999"/>
    <n v="108594.06120000001"/>
    <n v="0"/>
    <n v="0"/>
    <n v="24357.71139"/>
    <n v="0"/>
    <n v="345500"/>
    <n v="64800"/>
    <n v="410300"/>
    <n v="9.0998524348253809E-3"/>
    <n v="0.99970000000000003"/>
    <n v="1.0019"/>
    <n v="1.0012000000000001"/>
    <n v="1.0007999999999999"/>
    <n v="1.0022"/>
    <n v="0.94971499999999998"/>
    <n v="0.95552094237960661"/>
    <n v="339600"/>
    <n v="0"/>
    <n v="339600"/>
    <n v="61500"/>
    <n v="401100"/>
    <n v="-1.5366772977674688E-2"/>
    <n v="-3.2414910858995136E-3"/>
    <n v="-1.3526807673389081E-2"/>
  </r>
  <r>
    <n v="2025"/>
    <s v="19133541439    "/>
    <n v="-1.7957674906255938"/>
    <n v="0.16600000000000001"/>
    <n v="7245"/>
    <s v="2"/>
    <s v="RES"/>
    <s v="MX"/>
    <s v="11"/>
    <s v="259"/>
    <s v="CO"/>
    <x v="5"/>
    <s v="EX"/>
    <n v="0"/>
    <n v="3"/>
    <n v="3"/>
    <n v="2021"/>
    <n v="2021"/>
    <n v="1111"/>
    <n v="1126"/>
    <m/>
    <m/>
    <m/>
    <n v="0"/>
    <n v="2237"/>
    <n v="2500"/>
    <s v="N"/>
    <m/>
    <n v="455"/>
    <m/>
    <m/>
    <m/>
    <m/>
    <m/>
    <n v="446980"/>
    <n v="433571"/>
    <n v="0"/>
    <n v="0"/>
    <n v="61700"/>
    <n v="363000"/>
    <n v="424700"/>
    <n v="132535.48800000001"/>
    <n v="88356.992000000013"/>
    <n v="-23568.228988334784"/>
    <n v="32917.849192000001"/>
    <n v="47371.278778200001"/>
    <n v="-326.22329999999999"/>
    <n v="69337.932180000003"/>
    <n v="67087.511257999999"/>
    <n v="0"/>
    <n v="16061.969105"/>
    <n v="0"/>
    <n v="365000"/>
    <n v="64800"/>
    <n v="429800"/>
    <n v="1.2008476571697669E-2"/>
    <n v="0.99970000000000003"/>
    <n v="1.0019"/>
    <n v="1.0012000000000001"/>
    <n v="1.0008999999999999"/>
    <n v="1.0022"/>
    <n v="0.94971499999999998"/>
    <n v="0.95561641809327347"/>
    <n v="359100"/>
    <n v="0"/>
    <n v="359100"/>
    <n v="61500"/>
    <n v="420600"/>
    <n v="-1.0743801652892562E-2"/>
    <n v="-3.2414910858995136E-3"/>
    <n v="-9.6538733223451856E-3"/>
  </r>
  <r>
    <n v="2025"/>
    <s v="19133541435    "/>
    <n v="-1.7957674906255938"/>
    <n v="0.16600000000000001"/>
    <n v="7245"/>
    <s v="2"/>
    <s v="RES"/>
    <s v="MX"/>
    <s v="11"/>
    <s v="259"/>
    <s v="CO"/>
    <x v="5"/>
    <s v="EX"/>
    <n v="0"/>
    <n v="3"/>
    <n v="3"/>
    <n v="2021"/>
    <n v="2021"/>
    <n v="1740"/>
    <m/>
    <m/>
    <m/>
    <m/>
    <n v="0"/>
    <n v="1740"/>
    <n v="2000"/>
    <s v="N"/>
    <m/>
    <n v="450"/>
    <m/>
    <m/>
    <m/>
    <m/>
    <m/>
    <n v="382064"/>
    <n v="370602"/>
    <n v="0"/>
    <n v="0"/>
    <n v="61700"/>
    <n v="334500"/>
    <n v="396200"/>
    <n v="132535.48800000001"/>
    <n v="88356.992000000013"/>
    <n v="-23568.228988334784"/>
    <n v="32917.849192000001"/>
    <n v="47371.278778200001"/>
    <n v="-326.22329999999999"/>
    <n v="108594.06120000001"/>
    <n v="0"/>
    <n v="0"/>
    <n v="15885.463950000001"/>
    <n v="0"/>
    <n v="337000"/>
    <n v="64800"/>
    <n v="401800"/>
    <n v="1.4134275618374558E-2"/>
    <n v="0.99970000000000003"/>
    <n v="1.0019"/>
    <n v="1.0012000000000001"/>
    <n v="1.0007999999999999"/>
    <n v="1.0022"/>
    <n v="0.94971499999999998"/>
    <n v="0.95552094237960661"/>
    <n v="331100"/>
    <n v="0"/>
    <n v="331100"/>
    <n v="61500"/>
    <n v="392600"/>
    <n v="-1.0164424514200299E-2"/>
    <n v="-3.2414910858995136E-3"/>
    <n v="-9.0863200403836445E-3"/>
  </r>
  <r>
    <n v="2025"/>
    <s v="19133541425    "/>
    <n v="-1.7957674906255938"/>
    <n v="0.16600000000000001"/>
    <n v="7245"/>
    <s v="2"/>
    <s v="RES"/>
    <s v="MX"/>
    <s v="11"/>
    <s v="259"/>
    <s v="CO"/>
    <x v="5"/>
    <s v="EX"/>
    <n v="0"/>
    <n v="3"/>
    <n v="3"/>
    <n v="2021"/>
    <n v="2021"/>
    <n v="1856"/>
    <m/>
    <m/>
    <m/>
    <m/>
    <n v="0"/>
    <n v="1856"/>
    <n v="2000"/>
    <s v="N"/>
    <m/>
    <n v="664"/>
    <m/>
    <m/>
    <m/>
    <m/>
    <m/>
    <n v="414491"/>
    <n v="402056"/>
    <n v="0"/>
    <n v="0"/>
    <n v="61700"/>
    <n v="348500"/>
    <n v="410200"/>
    <n v="132535.48800000001"/>
    <n v="88356.992000000013"/>
    <n v="-23568.228988334784"/>
    <n v="32917.849192000001"/>
    <n v="47371.278778200001"/>
    <n v="-326.22329999999999"/>
    <n v="115833.66528"/>
    <n v="0"/>
    <n v="0"/>
    <n v="23439.884583999999"/>
    <n v="0"/>
    <n v="351800"/>
    <n v="64800"/>
    <n v="416600"/>
    <n v="1.5602145294978059E-2"/>
    <n v="0.99970000000000003"/>
    <n v="1.0019"/>
    <n v="1.0012000000000001"/>
    <n v="1.0007999999999999"/>
    <n v="1.0022"/>
    <n v="0.94971499999999998"/>
    <n v="0.95552094237960661"/>
    <n v="345900"/>
    <n v="0"/>
    <n v="345900"/>
    <n v="61500"/>
    <n v="407400"/>
    <n v="-7.460545193687231E-3"/>
    <n v="-3.2414910858995136E-3"/>
    <n v="-6.8259385665529011E-3"/>
  </r>
  <r>
    <n v="2025"/>
    <s v="19133541427    "/>
    <n v="-1.7957674906255938"/>
    <n v="0.16600000000000001"/>
    <n v="7245"/>
    <s v="2"/>
    <s v="RES"/>
    <s v="MX"/>
    <s v="11"/>
    <s v="259"/>
    <s v="CO"/>
    <x v="5"/>
    <s v="EX"/>
    <n v="0"/>
    <n v="3"/>
    <n v="3"/>
    <n v="2021"/>
    <n v="2021"/>
    <n v="1740"/>
    <m/>
    <m/>
    <m/>
    <m/>
    <n v="0"/>
    <n v="1740"/>
    <n v="2000"/>
    <s v="N"/>
    <m/>
    <n v="450"/>
    <m/>
    <m/>
    <m/>
    <m/>
    <m/>
    <n v="380632"/>
    <n v="369213"/>
    <n v="0"/>
    <n v="0"/>
    <n v="61700"/>
    <n v="332700"/>
    <n v="394400"/>
    <n v="132535.48800000001"/>
    <n v="88356.992000000013"/>
    <n v="-23568.228988334784"/>
    <n v="32917.849192000001"/>
    <n v="47371.278778200001"/>
    <n v="-326.22329999999999"/>
    <n v="108594.06120000001"/>
    <n v="0"/>
    <n v="0"/>
    <n v="15885.463950000001"/>
    <n v="0"/>
    <n v="337000"/>
    <n v="64800"/>
    <n v="401800"/>
    <n v="1.8762677484787018E-2"/>
    <n v="0.99970000000000003"/>
    <n v="1.0019"/>
    <n v="1.0012000000000001"/>
    <n v="1.0007999999999999"/>
    <n v="1.0022"/>
    <n v="0.94971499999999998"/>
    <n v="0.95552094237960661"/>
    <n v="331100"/>
    <n v="0"/>
    <n v="331100"/>
    <n v="61500"/>
    <n v="392600"/>
    <n v="-4.8091373609858729E-3"/>
    <n v="-3.2414910858995136E-3"/>
    <n v="-4.5638945233265719E-3"/>
  </r>
  <r>
    <n v="2025"/>
    <s v="19133541445    "/>
    <n v="-1.7957674906255938"/>
    <n v="0.16600000000000001"/>
    <n v="7245"/>
    <s v="2"/>
    <s v="RES"/>
    <s v="MX"/>
    <s v="11"/>
    <s v="259"/>
    <s v="CO"/>
    <x v="5"/>
    <s v="EX"/>
    <n v="0"/>
    <n v="3"/>
    <n v="3"/>
    <n v="2021"/>
    <n v="2021"/>
    <n v="1668"/>
    <n v="1160"/>
    <m/>
    <m/>
    <m/>
    <n v="0"/>
    <n v="2828"/>
    <n v="3000"/>
    <s v="N"/>
    <m/>
    <m/>
    <n v="420"/>
    <m/>
    <m/>
    <m/>
    <m/>
    <n v="529714"/>
    <n v="513823"/>
    <n v="0"/>
    <n v="0"/>
    <n v="61700"/>
    <n v="382000"/>
    <n v="443700"/>
    <n v="132535.48800000001"/>
    <n v="88356.992000000013"/>
    <n v="-23568.228988334784"/>
    <n v="32917.849192000001"/>
    <n v="47371.278778200001"/>
    <n v="-326.22329999999999"/>
    <n v="104100.51384"/>
    <n v="69113.244279999999"/>
    <n v="0"/>
    <n v="0"/>
    <n v="0"/>
    <n v="385700"/>
    <n v="64800"/>
    <n v="450500"/>
    <n v="1.532567049808429E-2"/>
    <n v="0.99970000000000003"/>
    <n v="1.0019"/>
    <n v="1.0012000000000001"/>
    <n v="1.0099"/>
    <n v="1.0022"/>
    <n v="0.94971499999999998"/>
    <n v="0.96420923232330613"/>
    <n v="381000"/>
    <n v="0"/>
    <n v="381000"/>
    <n v="61500"/>
    <n v="442500"/>
    <n v="-2.617801047120419E-3"/>
    <n v="-3.2414910858995136E-3"/>
    <n v="-2.7045300878972278E-3"/>
  </r>
  <r>
    <n v="2025"/>
    <s v="19133541428    "/>
    <n v="-1.7957674906255938"/>
    <n v="0.16600000000000001"/>
    <n v="7245"/>
    <s v="2"/>
    <s v="RES"/>
    <s v="MX"/>
    <s v="11"/>
    <s v="259"/>
    <s v="CO"/>
    <x v="5"/>
    <s v="EX"/>
    <n v="0"/>
    <n v="3"/>
    <n v="3"/>
    <n v="2021"/>
    <n v="2021"/>
    <n v="2010"/>
    <m/>
    <m/>
    <m/>
    <m/>
    <n v="0"/>
    <n v="2010"/>
    <n v="2500"/>
    <s v="N"/>
    <m/>
    <n v="424"/>
    <m/>
    <m/>
    <m/>
    <m/>
    <m/>
    <n v="428106"/>
    <n v="415263"/>
    <n v="0"/>
    <n v="0"/>
    <n v="61700"/>
    <n v="346600"/>
    <n v="408300"/>
    <n v="132535.48800000001"/>
    <n v="88356.992000000013"/>
    <n v="-23568.228988334784"/>
    <n v="32917.849192000001"/>
    <n v="47371.278778200001"/>
    <n v="-326.22329999999999"/>
    <n v="125444.86380000001"/>
    <n v="0"/>
    <n v="0"/>
    <n v="14967.637144"/>
    <n v="0"/>
    <n v="352900"/>
    <n v="64800"/>
    <n v="417700"/>
    <n v="2.302228753367622E-2"/>
    <n v="0.99970000000000003"/>
    <n v="1.0019"/>
    <n v="1.0012000000000001"/>
    <n v="1.0008999999999999"/>
    <n v="1.0022"/>
    <n v="0.94971499999999998"/>
    <n v="0.95561641809327347"/>
    <n v="347000"/>
    <n v="0"/>
    <n v="347000"/>
    <n v="61500"/>
    <n v="408500"/>
    <n v="1.1540680900173109E-3"/>
    <n v="-3.2414910858995136E-3"/>
    <n v="4.8983590497183444E-4"/>
  </r>
  <r>
    <n v="2025"/>
    <s v="20120634515    "/>
    <n v="-1.7957674906255938"/>
    <n v="0.16600000000000001"/>
    <n v="7252"/>
    <s v="2"/>
    <s v="RES"/>
    <s v="MX"/>
    <s v="11"/>
    <s v="259"/>
    <s v="CP"/>
    <x v="5"/>
    <s v="VG"/>
    <n v="0"/>
    <n v="5"/>
    <n v="5"/>
    <n v="2019"/>
    <n v="2019"/>
    <n v="1770"/>
    <m/>
    <m/>
    <m/>
    <m/>
    <n v="0"/>
    <n v="1770"/>
    <n v="2000"/>
    <s v="N"/>
    <m/>
    <n v="420"/>
    <m/>
    <m/>
    <m/>
    <m/>
    <m/>
    <n v="380108"/>
    <n v="364904"/>
    <n v="0"/>
    <n v="0"/>
    <n v="61700"/>
    <n v="327600"/>
    <n v="389300"/>
    <n v="132535.48800000001"/>
    <n v="88356.992000000013"/>
    <n v="-23568.228988334784"/>
    <n v="32917.849192000001"/>
    <n v="50438.379078999998"/>
    <n v="-543.70550000000003"/>
    <n v="110466.3726"/>
    <n v="0"/>
    <n v="0"/>
    <n v="14826.43302"/>
    <n v="0"/>
    <n v="340600"/>
    <n v="64800"/>
    <n v="405400"/>
    <n v="4.1356280503467763E-2"/>
    <n v="0.99970000000000003"/>
    <n v="1.0019"/>
    <n v="1.0007999999999999"/>
    <n v="1.0007999999999999"/>
    <n v="1.0022"/>
    <n v="0.94971499999999998"/>
    <n v="0.95513919210298648"/>
    <n v="334700"/>
    <n v="0"/>
    <n v="334700"/>
    <n v="61500"/>
    <n v="396200"/>
    <n v="2.1672771672771672E-2"/>
    <n v="-3.2414910858995136E-3"/>
    <n v="1.77241202157719E-2"/>
  </r>
  <r>
    <n v="2025"/>
    <s v="19133541437    "/>
    <n v="-1.7957674906255938"/>
    <n v="0.16600000000000001"/>
    <n v="7245"/>
    <s v="2"/>
    <s v="RES"/>
    <s v="MX"/>
    <s v="11"/>
    <s v="259"/>
    <s v="CO"/>
    <x v="5"/>
    <s v="EX"/>
    <n v="0"/>
    <n v="3"/>
    <n v="3"/>
    <n v="2021"/>
    <n v="2021"/>
    <n v="1740"/>
    <m/>
    <m/>
    <m/>
    <m/>
    <n v="0"/>
    <n v="1740"/>
    <n v="2000"/>
    <s v="N"/>
    <m/>
    <n v="450"/>
    <m/>
    <m/>
    <m/>
    <m/>
    <m/>
    <n v="374705"/>
    <n v="363464"/>
    <n v="0"/>
    <n v="0"/>
    <n v="61700"/>
    <n v="323500"/>
    <n v="385200"/>
    <n v="132535.48800000001"/>
    <n v="88356.992000000013"/>
    <n v="-23568.228988334784"/>
    <n v="32917.849192000001"/>
    <n v="47371.278778200001"/>
    <n v="-326.22329999999999"/>
    <n v="108594.06120000001"/>
    <n v="0"/>
    <n v="0"/>
    <n v="15885.463950000001"/>
    <n v="0"/>
    <n v="337000"/>
    <n v="64800"/>
    <n v="401800"/>
    <n v="4.3094496365524405E-2"/>
    <n v="0.99970000000000003"/>
    <n v="1.0019"/>
    <n v="1.0012000000000001"/>
    <n v="1.0007999999999999"/>
    <n v="1.0022"/>
    <n v="0.94971499999999998"/>
    <n v="0.95552094237960661"/>
    <n v="331100"/>
    <n v="0"/>
    <n v="331100"/>
    <n v="61500"/>
    <n v="392600"/>
    <n v="2.349304482225657E-2"/>
    <n v="-3.2414910858995136E-3"/>
    <n v="1.9210799584631361E-2"/>
  </r>
  <r>
    <n v="2025"/>
    <s v="19133541444    "/>
    <n v="-1.7957674906255938"/>
    <n v="0.16600000000000001"/>
    <n v="7245"/>
    <s v="2"/>
    <s v="RES"/>
    <s v="MX"/>
    <s v="11"/>
    <s v="259"/>
    <s v="CO"/>
    <x v="5"/>
    <s v="EX"/>
    <n v="0"/>
    <n v="3"/>
    <n v="3"/>
    <n v="2021"/>
    <n v="2021"/>
    <n v="1740"/>
    <m/>
    <m/>
    <m/>
    <m/>
    <n v="0"/>
    <n v="1740"/>
    <n v="2000"/>
    <s v="N"/>
    <m/>
    <n v="450"/>
    <m/>
    <m/>
    <m/>
    <m/>
    <m/>
    <n v="374705"/>
    <n v="363464"/>
    <n v="0"/>
    <n v="0"/>
    <n v="61700"/>
    <n v="323500"/>
    <n v="385200"/>
    <n v="132535.48800000001"/>
    <n v="88356.992000000013"/>
    <n v="-23568.228988334784"/>
    <n v="32917.849192000001"/>
    <n v="47371.278778200001"/>
    <n v="-326.22329999999999"/>
    <n v="108594.06120000001"/>
    <n v="0"/>
    <n v="0"/>
    <n v="15885.463950000001"/>
    <n v="0"/>
    <n v="337000"/>
    <n v="64800"/>
    <n v="401800"/>
    <n v="4.3094496365524405E-2"/>
    <n v="0.99970000000000003"/>
    <n v="1.0019"/>
    <n v="1.0012000000000001"/>
    <n v="1.0007999999999999"/>
    <n v="1.0022"/>
    <n v="0.94971499999999998"/>
    <n v="0.95552094237960661"/>
    <n v="331100"/>
    <n v="0"/>
    <n v="331100"/>
    <n v="61500"/>
    <n v="392600"/>
    <n v="2.349304482225657E-2"/>
    <n v="-3.2414910858995136E-3"/>
    <n v="1.9210799584631361E-2"/>
  </r>
  <r>
    <n v="2025"/>
    <s v="19133541426    "/>
    <n v="-1.7957674906255938"/>
    <n v="0.16600000000000001"/>
    <n v="7245"/>
    <s v="2"/>
    <s v="RES"/>
    <s v="MX"/>
    <s v="11"/>
    <s v="259"/>
    <s v="CO"/>
    <x v="5"/>
    <s v="EX"/>
    <n v="0"/>
    <n v="3"/>
    <n v="3"/>
    <n v="2021"/>
    <n v="2021"/>
    <n v="1856"/>
    <m/>
    <m/>
    <m/>
    <m/>
    <n v="0"/>
    <n v="1856"/>
    <n v="2000"/>
    <s v="N"/>
    <m/>
    <n v="424"/>
    <m/>
    <m/>
    <m/>
    <m/>
    <m/>
    <n v="394235"/>
    <n v="382408"/>
    <n v="0"/>
    <n v="0"/>
    <n v="61700"/>
    <n v="328100"/>
    <n v="389800"/>
    <n v="132535.48800000001"/>
    <n v="88356.992000000013"/>
    <n v="-23568.228988334784"/>
    <n v="32917.849192000001"/>
    <n v="47371.278778200001"/>
    <n v="-326.22329999999999"/>
    <n v="115833.66528"/>
    <n v="0"/>
    <n v="0"/>
    <n v="14967.637144"/>
    <n v="0"/>
    <n v="343300"/>
    <n v="64800"/>
    <n v="408100"/>
    <n v="4.6947152385838894E-2"/>
    <n v="0.99970000000000003"/>
    <n v="1.0019"/>
    <n v="1.0012000000000001"/>
    <n v="1.0007999999999999"/>
    <n v="1.0022"/>
    <n v="0.94971499999999998"/>
    <n v="0.95552094237960661"/>
    <n v="337400"/>
    <n v="0"/>
    <n v="337400"/>
    <n v="61500"/>
    <n v="398900"/>
    <n v="2.8345016763181956E-2"/>
    <n v="-3.2414910858995136E-3"/>
    <n v="2.3345305284761416E-2"/>
  </r>
  <r>
    <n v="2025"/>
    <s v="19133541442    "/>
    <n v="-1.7957674906255938"/>
    <n v="0.16600000000000001"/>
    <n v="7245"/>
    <s v="2"/>
    <s v="RES"/>
    <s v="MX"/>
    <s v="11"/>
    <s v="259"/>
    <s v="CO"/>
    <x v="5"/>
    <s v="EX"/>
    <n v="0"/>
    <n v="3"/>
    <n v="3"/>
    <n v="2021"/>
    <n v="2021"/>
    <n v="2010"/>
    <m/>
    <m/>
    <m/>
    <m/>
    <n v="0"/>
    <n v="2010"/>
    <n v="2500"/>
    <s v="N"/>
    <m/>
    <n v="424"/>
    <m/>
    <m/>
    <m/>
    <m/>
    <m/>
    <n v="422416"/>
    <n v="409744"/>
    <n v="0"/>
    <n v="0"/>
    <n v="61700"/>
    <n v="337400"/>
    <n v="399100"/>
    <n v="132535.48800000001"/>
    <n v="88356.992000000013"/>
    <n v="-23568.228988334784"/>
    <n v="32917.849192000001"/>
    <n v="47371.278778200001"/>
    <n v="-326.22329999999999"/>
    <n v="125444.86380000001"/>
    <n v="0"/>
    <n v="0"/>
    <n v="14967.637144"/>
    <n v="0"/>
    <n v="352900"/>
    <n v="64800"/>
    <n v="417700"/>
    <n v="4.6604860937108493E-2"/>
    <n v="0.99970000000000003"/>
    <n v="1.0019"/>
    <n v="1.0012000000000001"/>
    <n v="1.0008999999999999"/>
    <n v="1.0022"/>
    <n v="0.94971499999999998"/>
    <n v="0.95561641809327347"/>
    <n v="347000"/>
    <n v="0"/>
    <n v="347000"/>
    <n v="61500"/>
    <n v="408500"/>
    <n v="2.8452874925903971E-2"/>
    <n v="-3.2414910858995136E-3"/>
    <n v="2.3552994237033324E-2"/>
  </r>
  <r>
    <n v="2025"/>
    <s v="20120634506    "/>
    <n v="-1.7897614665653818"/>
    <n v="0.16700000000000001"/>
    <n v="7263"/>
    <s v="2"/>
    <s v="RES"/>
    <s v="MX"/>
    <s v="11"/>
    <s v="259"/>
    <s v="CP"/>
    <x v="4"/>
    <s v="EX"/>
    <n v="0"/>
    <n v="4"/>
    <n v="4"/>
    <n v="2020"/>
    <n v="2020"/>
    <n v="1164"/>
    <n v="1426"/>
    <m/>
    <m/>
    <m/>
    <n v="0"/>
    <n v="2590"/>
    <n v="3000"/>
    <s v="N"/>
    <m/>
    <m/>
    <n v="528"/>
    <m/>
    <m/>
    <m/>
    <m/>
    <n v="433436"/>
    <n v="420433"/>
    <n v="0"/>
    <n v="0"/>
    <n v="61700"/>
    <n v="394300"/>
    <n v="456000"/>
    <n v="132535.48800000001"/>
    <n v="88356.992000000013"/>
    <n v="-23489.404000634837"/>
    <n v="37154.252388000001"/>
    <n v="47371.278778200001"/>
    <n v="-434.96440000000001"/>
    <n v="72645.682320000007"/>
    <n v="84961.626157999999"/>
    <n v="0"/>
    <n v="0"/>
    <n v="0"/>
    <n v="374200"/>
    <n v="64900"/>
    <n v="439100"/>
    <n v="-3.7061403508771927E-2"/>
    <n v="0.99970000000000003"/>
    <n v="0.99819999999999998"/>
    <n v="1.0012000000000001"/>
    <n v="1.0099"/>
    <n v="1.0022"/>
    <n v="0.94971499999999998"/>
    <n v="0.96064842370009407"/>
    <n v="369000"/>
    <n v="0"/>
    <n v="369000"/>
    <n v="61600"/>
    <n v="430600"/>
    <n v="-6.4164341871671318E-2"/>
    <n v="-1.6207455429497568E-3"/>
    <n v="-5.5701754385964912E-2"/>
  </r>
  <r>
    <n v="2025"/>
    <s v="19120114436    "/>
    <n v="-1.7897614665653818"/>
    <n v="0.16700000000000001"/>
    <n v="7284"/>
    <s v="2"/>
    <s v="RES"/>
    <s v="MX"/>
    <s v="11"/>
    <s v="259"/>
    <s v="CO"/>
    <x v="5"/>
    <s v="EX"/>
    <n v="0"/>
    <n v="3"/>
    <n v="3"/>
    <n v="2021"/>
    <n v="2021"/>
    <n v="930"/>
    <n v="1296"/>
    <m/>
    <m/>
    <m/>
    <n v="0"/>
    <n v="2226"/>
    <n v="2500"/>
    <s v="N"/>
    <n v="1"/>
    <m/>
    <n v="400"/>
    <m/>
    <m/>
    <m/>
    <m/>
    <n v="444896"/>
    <n v="431549"/>
    <n v="0"/>
    <n v="0"/>
    <n v="61700"/>
    <n v="360700"/>
    <n v="422400"/>
    <n v="132535.48800000001"/>
    <n v="88356.992000000013"/>
    <n v="-23489.404000634837"/>
    <n v="32917.849192000001"/>
    <n v="47371.278778200001"/>
    <n v="-326.22329999999999"/>
    <n v="58041.653400000003"/>
    <n v="77216.176368"/>
    <n v="0"/>
    <n v="0"/>
    <n v="0"/>
    <n v="347800"/>
    <n v="64900"/>
    <n v="412700"/>
    <n v="-2.2964015151515152E-2"/>
    <n v="0.99970000000000003"/>
    <n v="1.0019"/>
    <n v="1.0012000000000001"/>
    <n v="1.0008999999999999"/>
    <n v="1.0022"/>
    <n v="0.94971499999999998"/>
    <n v="0.95561641809327347"/>
    <n v="341900"/>
    <n v="0"/>
    <n v="341900"/>
    <n v="61600"/>
    <n v="403500"/>
    <n v="-5.2120876074299972E-2"/>
    <n v="-1.6207455429497568E-3"/>
    <n v="-4.4744318181818184E-2"/>
  </r>
  <r>
    <n v="2025"/>
    <s v="20120634527    "/>
    <n v="-1.7897614665653818"/>
    <n v="0.16700000000000001"/>
    <n v="7263"/>
    <s v="2"/>
    <s v="RES"/>
    <s v="MX"/>
    <s v="11"/>
    <s v="259"/>
    <s v="CP"/>
    <x v="5"/>
    <s v="VG"/>
    <n v="0"/>
    <n v="4"/>
    <n v="4"/>
    <n v="2020"/>
    <n v="2020"/>
    <n v="1860"/>
    <m/>
    <m/>
    <m/>
    <m/>
    <n v="0"/>
    <n v="1860"/>
    <n v="2000"/>
    <s v="N"/>
    <m/>
    <n v="420"/>
    <m/>
    <m/>
    <m/>
    <m/>
    <m/>
    <n v="396630"/>
    <n v="380765"/>
    <n v="0"/>
    <n v="0"/>
    <n v="61700"/>
    <n v="342100"/>
    <n v="403800"/>
    <n v="132535.48800000001"/>
    <n v="88356.992000000013"/>
    <n v="-23489.404000634837"/>
    <n v="32917.849192000001"/>
    <n v="50438.379078999998"/>
    <n v="-434.96440000000001"/>
    <n v="116083.30680000001"/>
    <n v="0"/>
    <n v="0"/>
    <n v="14826.43302"/>
    <n v="0"/>
    <n v="346400"/>
    <n v="64900"/>
    <n v="411300"/>
    <n v="1.8573551263001486E-2"/>
    <n v="0.99970000000000003"/>
    <n v="1.0019"/>
    <n v="1.0007999999999999"/>
    <n v="1.0007999999999999"/>
    <n v="1.0022"/>
    <n v="0.94971499999999998"/>
    <n v="0.95513919210298648"/>
    <n v="340400"/>
    <n v="0"/>
    <n v="340400"/>
    <n v="61600"/>
    <n v="402000"/>
    <n v="-4.9693072201110787E-3"/>
    <n v="-1.6207455429497568E-3"/>
    <n v="-4.4576523031203564E-3"/>
  </r>
  <r>
    <n v="2025"/>
    <s v="20120634520    "/>
    <n v="-1.7897614665653818"/>
    <n v="0.16700000000000001"/>
    <n v="7263"/>
    <s v="2"/>
    <s v="RES"/>
    <s v="MX"/>
    <s v="11"/>
    <s v="259"/>
    <s v="CP"/>
    <x v="4"/>
    <s v="VG"/>
    <n v="0"/>
    <n v="5"/>
    <n v="5"/>
    <n v="2019"/>
    <n v="2019"/>
    <n v="1672"/>
    <n v="1107"/>
    <m/>
    <m/>
    <m/>
    <n v="0"/>
    <n v="2779"/>
    <n v="3000"/>
    <s v="N"/>
    <n v="1"/>
    <m/>
    <n v="420"/>
    <m/>
    <m/>
    <m/>
    <m/>
    <n v="454720"/>
    <n v="436531"/>
    <n v="0"/>
    <n v="0"/>
    <n v="61700"/>
    <n v="384000"/>
    <n v="445700"/>
    <n v="132535.48800000001"/>
    <n v="88356.992000000013"/>
    <n v="-23489.404000634837"/>
    <n v="37154.252388000001"/>
    <n v="50438.379078999998"/>
    <n v="-543.70550000000003"/>
    <n v="104350.15536"/>
    <n v="65955.483980999998"/>
    <n v="0"/>
    <n v="0"/>
    <n v="0"/>
    <n v="389900"/>
    <n v="64900"/>
    <n v="454800"/>
    <n v="2.0417321067982948E-2"/>
    <n v="0.99970000000000003"/>
    <n v="0.99819999999999998"/>
    <n v="1.0007999999999999"/>
    <n v="1.0099"/>
    <n v="1.0022"/>
    <n v="0.94971499999999998"/>
    <n v="0.96026462488918685"/>
    <n v="384600"/>
    <n v="0"/>
    <n v="384600"/>
    <n v="61600"/>
    <n v="446200"/>
    <n v="1.5625000000000001E-3"/>
    <n v="-1.6207455429497568E-3"/>
    <n v="1.121830827911151E-3"/>
  </r>
  <r>
    <n v="2025"/>
    <s v="20120634509    "/>
    <n v="-1.7897614665653818"/>
    <n v="0.16700000000000001"/>
    <n v="7263"/>
    <s v="2"/>
    <s v="RES"/>
    <s v="MX"/>
    <s v="11"/>
    <s v="259"/>
    <s v="CP"/>
    <x v="5"/>
    <s v="EX"/>
    <n v="0"/>
    <n v="4"/>
    <n v="4"/>
    <n v="2020"/>
    <n v="2020"/>
    <n v="1708"/>
    <m/>
    <m/>
    <m/>
    <m/>
    <n v="0"/>
    <n v="1708"/>
    <n v="2000"/>
    <s v="N"/>
    <m/>
    <n v="420"/>
    <m/>
    <m/>
    <m/>
    <m/>
    <m/>
    <n v="368337"/>
    <n v="357287"/>
    <n v="0"/>
    <n v="0"/>
    <n v="61700"/>
    <n v="323400"/>
    <n v="385100"/>
    <n v="132535.48800000001"/>
    <n v="88356.992000000013"/>
    <n v="-23489.404000634837"/>
    <n v="32917.849192000001"/>
    <n v="47371.278778200001"/>
    <n v="-434.96440000000001"/>
    <n v="106596.92904"/>
    <n v="0"/>
    <n v="0"/>
    <n v="14826.43302"/>
    <n v="0"/>
    <n v="333800"/>
    <n v="64900"/>
    <n v="398700"/>
    <n v="3.5315502466891718E-2"/>
    <n v="0.99970000000000003"/>
    <n v="1.0019"/>
    <n v="1.0012000000000001"/>
    <n v="1.0007999999999999"/>
    <n v="1.0022"/>
    <n v="0.94971499999999998"/>
    <n v="0.95552094237960661"/>
    <n v="327900"/>
    <n v="0"/>
    <n v="327900"/>
    <n v="61600"/>
    <n v="389500"/>
    <n v="1.3914656771799629E-2"/>
    <n v="-1.6207455429497568E-3"/>
    <n v="1.1425603739288496E-2"/>
  </r>
  <r>
    <n v="2025"/>
    <s v="20120632418    "/>
    <n v="-1.7897614665653818"/>
    <n v="0.16700000000000001"/>
    <n v="7279"/>
    <s v="2"/>
    <s v="RES"/>
    <s v="MX"/>
    <s v="11"/>
    <s v="259"/>
    <s v="CP"/>
    <x v="5"/>
    <s v="VG"/>
    <n v="0"/>
    <n v="6"/>
    <n v="6"/>
    <n v="2018"/>
    <n v="2018"/>
    <n v="1756"/>
    <m/>
    <m/>
    <m/>
    <m/>
    <n v="0"/>
    <n v="1756"/>
    <n v="2000"/>
    <s v="N"/>
    <m/>
    <n v="441"/>
    <m/>
    <m/>
    <m/>
    <m/>
    <m/>
    <n v="379912"/>
    <n v="364716"/>
    <n v="0"/>
    <n v="0"/>
    <n v="61700"/>
    <n v="326700"/>
    <n v="388400"/>
    <n v="132535.48800000001"/>
    <n v="88356.992000000013"/>
    <n v="-23489.404000634837"/>
    <n v="32917.849192000001"/>
    <n v="50438.379078999998"/>
    <n v="-652.44659999999999"/>
    <n v="109592.62728"/>
    <n v="0"/>
    <n v="0"/>
    <n v="15567.754671000001"/>
    <n v="0"/>
    <n v="340400"/>
    <n v="64900"/>
    <n v="405300"/>
    <n v="4.3511843460350155E-2"/>
    <n v="0.99970000000000003"/>
    <n v="1.0019"/>
    <n v="1.0007999999999999"/>
    <n v="1.0007999999999999"/>
    <n v="1.0022"/>
    <n v="0.94971499999999998"/>
    <n v="0.95513919210298648"/>
    <n v="334500"/>
    <n v="0"/>
    <n v="334500"/>
    <n v="61600"/>
    <n v="396100"/>
    <n v="2.3875114784205693E-2"/>
    <n v="-1.6207455429497568E-3"/>
    <n v="1.9824922760041195E-2"/>
  </r>
  <r>
    <n v="2025"/>
    <s v="20120632411    "/>
    <n v="-1.7837912995788781"/>
    <n v="0.16800000000000001"/>
    <n v="7300"/>
    <s v="2"/>
    <s v="RES"/>
    <s v="MX"/>
    <s v="11"/>
    <s v="259"/>
    <s v="CP"/>
    <x v="4"/>
    <s v="VG"/>
    <n v="0"/>
    <n v="5"/>
    <n v="5"/>
    <n v="2019"/>
    <n v="2019"/>
    <n v="861"/>
    <n v="1302"/>
    <m/>
    <m/>
    <m/>
    <n v="0"/>
    <n v="2163"/>
    <n v="2500"/>
    <s v="N"/>
    <n v="1"/>
    <m/>
    <n v="441"/>
    <m/>
    <m/>
    <m/>
    <m/>
    <n v="381415"/>
    <n v="366158"/>
    <n v="0"/>
    <n v="0"/>
    <n v="61700"/>
    <n v="360000"/>
    <n v="421700"/>
    <n v="132535.48800000001"/>
    <n v="88356.992000000013"/>
    <n v="-23411.049612680359"/>
    <n v="37154.252388000001"/>
    <n v="50438.379078999998"/>
    <n v="-543.70550000000003"/>
    <n v="53735.337180000002"/>
    <n v="77573.658666000003"/>
    <n v="0"/>
    <n v="0"/>
    <n v="0"/>
    <n v="350900"/>
    <n v="64900"/>
    <n v="415800"/>
    <n v="-1.3990988854635997E-2"/>
    <n v="0.99970000000000003"/>
    <n v="0.99819999999999998"/>
    <n v="1.0007999999999999"/>
    <n v="1.0008999999999999"/>
    <n v="1.0022"/>
    <n v="0.94971499999999998"/>
    <n v="0.95170696410692857"/>
    <n v="344500"/>
    <n v="0"/>
    <n v="344500"/>
    <n v="61700"/>
    <n v="406200"/>
    <n v="-4.3055555555555555E-2"/>
    <n v="0"/>
    <n v="-3.6755987668958975E-2"/>
  </r>
  <r>
    <n v="2025"/>
    <s v="20120632409    "/>
    <n v="-1.7837912995788781"/>
    <n v="0.16800000000000001"/>
    <n v="7314"/>
    <s v="2"/>
    <s v="RES"/>
    <s v="MX"/>
    <s v="11"/>
    <s v="259"/>
    <s v="CP"/>
    <x v="5"/>
    <s v="VG"/>
    <n v="0"/>
    <n v="6"/>
    <n v="6"/>
    <n v="2018"/>
    <n v="2018"/>
    <n v="1126"/>
    <n v="1126"/>
    <m/>
    <m/>
    <m/>
    <n v="0"/>
    <n v="2252"/>
    <n v="2500"/>
    <s v="N"/>
    <m/>
    <n v="440"/>
    <m/>
    <m/>
    <m/>
    <m/>
    <m/>
    <n v="447824"/>
    <n v="429911"/>
    <n v="0"/>
    <n v="0"/>
    <n v="61700"/>
    <n v="366500"/>
    <n v="428200"/>
    <n v="132535.48800000001"/>
    <n v="88356.992000000013"/>
    <n v="-23411.049612680359"/>
    <n v="32917.849192000001"/>
    <n v="50438.379078999998"/>
    <n v="-652.44659999999999"/>
    <n v="70274.087880000006"/>
    <n v="67087.511257999999"/>
    <n v="0"/>
    <n v="15532.453640000002"/>
    <n v="0"/>
    <n v="368100"/>
    <n v="64900"/>
    <n v="433000"/>
    <n v="1.1209715086408221E-2"/>
    <n v="0.99970000000000003"/>
    <n v="1.0019"/>
    <n v="1.0007999999999999"/>
    <n v="1.0008999999999999"/>
    <n v="1.0022"/>
    <n v="0.94971499999999998"/>
    <n v="0.95523462967214157"/>
    <n v="362200"/>
    <n v="0"/>
    <n v="362200"/>
    <n v="61700"/>
    <n v="423900"/>
    <n v="-1.1732605729877216E-2"/>
    <n v="0"/>
    <n v="-1.0042036431574031E-2"/>
  </r>
  <r>
    <n v="2025"/>
    <s v="20120632416    "/>
    <n v="-1.7837912995788781"/>
    <n v="0.16800000000000001"/>
    <n v="7300"/>
    <s v="2"/>
    <s v="RES"/>
    <s v="MX"/>
    <s v="11"/>
    <s v="259"/>
    <s v="CP"/>
    <x v="5"/>
    <s v="VG"/>
    <n v="0"/>
    <n v="6"/>
    <n v="6"/>
    <n v="2018"/>
    <n v="2018"/>
    <n v="1756"/>
    <m/>
    <m/>
    <m/>
    <m/>
    <n v="0"/>
    <n v="1756"/>
    <n v="2000"/>
    <s v="N"/>
    <m/>
    <n v="669"/>
    <m/>
    <m/>
    <m/>
    <m/>
    <m/>
    <n v="390580"/>
    <n v="374957"/>
    <n v="0"/>
    <n v="0"/>
    <n v="61700"/>
    <n v="345700"/>
    <n v="407400"/>
    <n v="132535.48800000001"/>
    <n v="88356.992000000013"/>
    <n v="-23411.049612680359"/>
    <n v="32917.849192000001"/>
    <n v="50438.379078999998"/>
    <n v="-652.44659999999999"/>
    <n v="109592.62728"/>
    <n v="0"/>
    <n v="0"/>
    <n v="23616.389739000002"/>
    <n v="0"/>
    <n v="348400"/>
    <n v="64900"/>
    <n v="413300"/>
    <n v="1.4482081492390771E-2"/>
    <n v="0.99970000000000003"/>
    <n v="1.0019"/>
    <n v="1.0007999999999999"/>
    <n v="1.0007999999999999"/>
    <n v="1.0022"/>
    <n v="0.94971499999999998"/>
    <n v="0.95513919210298648"/>
    <n v="342500"/>
    <n v="0"/>
    <n v="342500"/>
    <n v="61700"/>
    <n v="404200"/>
    <n v="-9.2565808504483649E-3"/>
    <n v="0"/>
    <n v="-7.8546882670594009E-3"/>
  </r>
  <r>
    <n v="2025"/>
    <s v="20120632424    "/>
    <n v="-1.7837912995788781"/>
    <n v="0.16800000000000001"/>
    <n v="7300"/>
    <s v="2"/>
    <s v="RES"/>
    <s v="MX"/>
    <s v="11"/>
    <s v="259"/>
    <s v="CP"/>
    <x v="5"/>
    <s v="VG"/>
    <n v="0"/>
    <n v="5"/>
    <n v="5"/>
    <n v="2019"/>
    <n v="2019"/>
    <n v="1846"/>
    <m/>
    <m/>
    <m/>
    <m/>
    <n v="0"/>
    <n v="1846"/>
    <n v="2000"/>
    <s v="N"/>
    <n v="1"/>
    <n v="441"/>
    <m/>
    <m/>
    <m/>
    <m/>
    <m/>
    <n v="404614"/>
    <n v="388429"/>
    <n v="0"/>
    <n v="0"/>
    <n v="61700"/>
    <n v="343000"/>
    <n v="404700"/>
    <n v="132535.48800000001"/>
    <n v="88356.992000000013"/>
    <n v="-23411.049612680359"/>
    <n v="32917.849192000001"/>
    <n v="50438.379078999998"/>
    <n v="-543.70550000000003"/>
    <n v="115209.56148"/>
    <n v="0"/>
    <n v="0"/>
    <n v="15567.754671000001"/>
    <n v="0"/>
    <n v="346100"/>
    <n v="64900"/>
    <n v="411000"/>
    <n v="1.5567086730911787E-2"/>
    <n v="0.99970000000000003"/>
    <n v="1.0019"/>
    <n v="1.0007999999999999"/>
    <n v="1.0007999999999999"/>
    <n v="1.0022"/>
    <n v="0.94971499999999998"/>
    <n v="0.95513919210298648"/>
    <n v="340200"/>
    <n v="0"/>
    <n v="340200"/>
    <n v="61700"/>
    <n v="401900"/>
    <n v="-8.1632653061224497E-3"/>
    <n v="0"/>
    <n v="-6.9187052137385718E-3"/>
  </r>
  <r>
    <n v="2025"/>
    <s v="20120632414    "/>
    <n v="-1.7837912995788781"/>
    <n v="0.16800000000000001"/>
    <n v="7300"/>
    <s v="2"/>
    <s v="RES"/>
    <s v="MX"/>
    <s v="11"/>
    <s v="259"/>
    <s v="CP"/>
    <x v="5"/>
    <s v="VG"/>
    <n v="0"/>
    <n v="5"/>
    <n v="5"/>
    <n v="2019"/>
    <n v="2019"/>
    <n v="2000"/>
    <m/>
    <m/>
    <m/>
    <m/>
    <n v="0"/>
    <n v="2000"/>
    <n v="2500"/>
    <s v="N"/>
    <m/>
    <n v="441"/>
    <m/>
    <m/>
    <m/>
    <m/>
    <m/>
    <n v="421652"/>
    <n v="404786"/>
    <n v="0"/>
    <n v="0"/>
    <n v="61700"/>
    <n v="351400"/>
    <n v="413100"/>
    <n v="132535.48800000001"/>
    <n v="88356.992000000013"/>
    <n v="-23411.049612680359"/>
    <n v="32917.849192000001"/>
    <n v="50438.379078999998"/>
    <n v="-543.70550000000003"/>
    <n v="124820.76000000001"/>
    <n v="0"/>
    <n v="0"/>
    <n v="15567.754671000001"/>
    <n v="0"/>
    <n v="355700"/>
    <n v="64900"/>
    <n v="420600"/>
    <n v="1.8155410312273058E-2"/>
    <n v="0.99970000000000003"/>
    <n v="1.0019"/>
    <n v="1.0007999999999999"/>
    <n v="1.0008999999999999"/>
    <n v="1.0022"/>
    <n v="0.94971499999999998"/>
    <n v="0.95523462967214157"/>
    <n v="349800"/>
    <n v="0"/>
    <n v="349800"/>
    <n v="61700"/>
    <n v="411500"/>
    <n v="-4.5532157085941948E-3"/>
    <n v="0"/>
    <n v="-3.8731541999515854E-3"/>
  </r>
  <r>
    <n v="2025"/>
    <s v="20120632423    "/>
    <n v="-1.7837912995788781"/>
    <n v="0.16800000000000001"/>
    <n v="7300"/>
    <s v="2"/>
    <s v="RES"/>
    <s v="MX"/>
    <s v="11"/>
    <s v="259"/>
    <s v="CO"/>
    <x v="5"/>
    <s v="VG"/>
    <n v="0"/>
    <n v="6"/>
    <n v="6"/>
    <n v="2018"/>
    <n v="2018"/>
    <n v="2297"/>
    <m/>
    <m/>
    <m/>
    <m/>
    <n v="0"/>
    <n v="2297"/>
    <n v="2500"/>
    <s v="N"/>
    <n v="1"/>
    <n v="690"/>
    <m/>
    <m/>
    <m/>
    <m/>
    <m/>
    <n v="492659"/>
    <n v="472953"/>
    <n v="0"/>
    <n v="0"/>
    <n v="61700"/>
    <n v="377400"/>
    <n v="439100"/>
    <n v="132535.48800000001"/>
    <n v="88356.992000000013"/>
    <n v="-23411.049612680359"/>
    <n v="32917.849192000001"/>
    <n v="50438.379078999998"/>
    <n v="-652.44659999999999"/>
    <n v="143356.64286000002"/>
    <n v="0"/>
    <n v="0"/>
    <n v="24357.71139"/>
    <n v="0"/>
    <n v="383000"/>
    <n v="64900"/>
    <n v="447900"/>
    <n v="2.0040992940104758E-2"/>
    <n v="0.99970000000000003"/>
    <n v="1.0019"/>
    <n v="1.0007999999999999"/>
    <n v="1.0008999999999999"/>
    <n v="1.0022"/>
    <n v="0.94971499999999998"/>
    <n v="0.95523462967214157"/>
    <n v="377000"/>
    <n v="0"/>
    <n v="377000"/>
    <n v="61700"/>
    <n v="438700"/>
    <n v="-1.0598834128245894E-3"/>
    <n v="0"/>
    <n v="-9.1095422455021637E-4"/>
  </r>
  <r>
    <n v="2025"/>
    <s v="20120632426    "/>
    <n v="-1.7837912995788781"/>
    <n v="0.16800000000000001"/>
    <n v="7300"/>
    <s v="2"/>
    <s v="RES"/>
    <s v="MX"/>
    <s v="11"/>
    <s v="259"/>
    <s v="CP"/>
    <x v="4"/>
    <s v="VG"/>
    <n v="0"/>
    <n v="6"/>
    <n v="6"/>
    <n v="2018"/>
    <n v="2018"/>
    <n v="1529"/>
    <m/>
    <m/>
    <m/>
    <m/>
    <n v="0"/>
    <n v="1529"/>
    <n v="2000"/>
    <s v="N"/>
    <m/>
    <n v="441"/>
    <m/>
    <m/>
    <m/>
    <m/>
    <m/>
    <n v="303068"/>
    <n v="290945"/>
    <n v="0"/>
    <n v="0"/>
    <n v="61700"/>
    <n v="320700"/>
    <n v="382400"/>
    <n v="132535.48800000001"/>
    <n v="88356.992000000013"/>
    <n v="-23411.049612680359"/>
    <n v="37154.252388000001"/>
    <n v="50438.379078999998"/>
    <n v="-652.44659999999999"/>
    <n v="95425.471020000012"/>
    <n v="0"/>
    <n v="0"/>
    <n v="15567.754671000001"/>
    <n v="0"/>
    <n v="330500"/>
    <n v="64900"/>
    <n v="395400"/>
    <n v="3.3995815899581588E-2"/>
    <n v="0.99970000000000003"/>
    <n v="0.99819999999999998"/>
    <n v="1.0007999999999999"/>
    <n v="1.0007999999999999"/>
    <n v="1.0022"/>
    <n v="0.94971499999999998"/>
    <n v="0.95161187898712574"/>
    <n v="324100"/>
    <n v="0"/>
    <n v="324100"/>
    <n v="61700"/>
    <n v="385800"/>
    <n v="1.0601808543810414E-2"/>
    <n v="0"/>
    <n v="8.8912133891213396E-3"/>
  </r>
  <r>
    <n v="2025"/>
    <s v="20120634495    "/>
    <n v="-1.7837912995788781"/>
    <n v="0.16800000000000001"/>
    <n v="7319"/>
    <s v="2"/>
    <s v="RES"/>
    <s v="MX"/>
    <s v="11"/>
    <s v="259"/>
    <s v="CP"/>
    <x v="4"/>
    <s v="VG"/>
    <n v="0"/>
    <n v="5"/>
    <n v="5"/>
    <n v="2019"/>
    <n v="2019"/>
    <n v="1708"/>
    <m/>
    <m/>
    <m/>
    <m/>
    <n v="0"/>
    <n v="1708"/>
    <n v="2000"/>
    <s v="N"/>
    <n v="1"/>
    <n v="420"/>
    <m/>
    <m/>
    <m/>
    <m/>
    <m/>
    <n v="332718"/>
    <n v="319409"/>
    <n v="0"/>
    <n v="0"/>
    <n v="61700"/>
    <n v="331100"/>
    <n v="392800"/>
    <n v="132535.48800000001"/>
    <n v="88356.992000000013"/>
    <n v="-23411.049612680359"/>
    <n v="37154.252388000001"/>
    <n v="50438.379078999998"/>
    <n v="-543.70550000000003"/>
    <n v="106596.92904"/>
    <n v="0"/>
    <n v="0"/>
    <n v="14826.43302"/>
    <n v="0"/>
    <n v="341000"/>
    <n v="64900"/>
    <n v="405900"/>
    <n v="3.3350305498981672E-2"/>
    <n v="0.99970000000000003"/>
    <n v="0.99819999999999998"/>
    <n v="1.0007999999999999"/>
    <n v="1.0007999999999999"/>
    <n v="1.0022"/>
    <n v="0.94971499999999998"/>
    <n v="0.95161187898712574"/>
    <n v="334600"/>
    <n v="0"/>
    <n v="334600"/>
    <n v="61700"/>
    <n v="396300"/>
    <n v="1.0570824524312896E-2"/>
    <n v="0"/>
    <n v="8.9103869653767813E-3"/>
  </r>
  <r>
    <n v="2025"/>
    <s v="20120632413    "/>
    <n v="-1.7837912995788781"/>
    <n v="0.16800000000000001"/>
    <n v="7300"/>
    <s v="2"/>
    <s v="RES"/>
    <s v="MX"/>
    <s v="11"/>
    <s v="259"/>
    <s v="CP"/>
    <x v="5"/>
    <s v="VG"/>
    <n v="0"/>
    <n v="5"/>
    <n v="5"/>
    <n v="2019"/>
    <n v="2019"/>
    <n v="1756"/>
    <m/>
    <m/>
    <m/>
    <m/>
    <n v="0"/>
    <n v="1756"/>
    <n v="2000"/>
    <s v="N"/>
    <m/>
    <n v="441"/>
    <m/>
    <m/>
    <m/>
    <m/>
    <m/>
    <n v="382208"/>
    <n v="366920"/>
    <n v="0"/>
    <n v="0"/>
    <n v="61700"/>
    <n v="327600"/>
    <n v="389300"/>
    <n v="132535.48800000001"/>
    <n v="88356.992000000013"/>
    <n v="-23411.049612680359"/>
    <n v="32917.849192000001"/>
    <n v="50438.379078999998"/>
    <n v="-543.70550000000003"/>
    <n v="109592.62728"/>
    <n v="0"/>
    <n v="0"/>
    <n v="15567.754671000001"/>
    <n v="0"/>
    <n v="340500"/>
    <n v="64900"/>
    <n v="405400"/>
    <n v="4.1356280503467763E-2"/>
    <n v="0.99970000000000003"/>
    <n v="1.0019"/>
    <n v="1.0007999999999999"/>
    <n v="1.0007999999999999"/>
    <n v="1.0022"/>
    <n v="0.94971499999999998"/>
    <n v="0.95513919210298648"/>
    <n v="334600"/>
    <n v="0"/>
    <n v="334600"/>
    <n v="61700"/>
    <n v="396300"/>
    <n v="2.1367521367521368E-2"/>
    <n v="0"/>
    <n v="1.7980991523246854E-2"/>
  </r>
  <r>
    <n v="2025"/>
    <s v="20120632421    "/>
    <n v="-1.7837912995788781"/>
    <n v="0.16800000000000001"/>
    <n v="7300"/>
    <s v="2"/>
    <s v="RES"/>
    <s v="MX"/>
    <s v="11"/>
    <s v="259"/>
    <s v="CP"/>
    <x v="5"/>
    <s v="VG"/>
    <n v="0"/>
    <n v="6"/>
    <n v="6"/>
    <n v="2018"/>
    <n v="2018"/>
    <n v="1756"/>
    <m/>
    <m/>
    <m/>
    <m/>
    <n v="0"/>
    <n v="1756"/>
    <n v="2000"/>
    <s v="N"/>
    <m/>
    <n v="441"/>
    <m/>
    <m/>
    <m/>
    <m/>
    <m/>
    <n v="376826"/>
    <n v="361753"/>
    <n v="0"/>
    <n v="0"/>
    <n v="61700"/>
    <n v="326700"/>
    <n v="388400"/>
    <n v="132535.48800000001"/>
    <n v="88356.992000000013"/>
    <n v="-23411.049612680359"/>
    <n v="32917.849192000001"/>
    <n v="50438.379078999998"/>
    <n v="-652.44659999999999"/>
    <n v="109592.62728"/>
    <n v="0"/>
    <n v="0"/>
    <n v="15567.754671000001"/>
    <n v="0"/>
    <n v="340400"/>
    <n v="64900"/>
    <n v="405300"/>
    <n v="4.3511843460350155E-2"/>
    <n v="0.99970000000000003"/>
    <n v="1.0019"/>
    <n v="1.0007999999999999"/>
    <n v="1.0007999999999999"/>
    <n v="1.0022"/>
    <n v="0.94971499999999998"/>
    <n v="0.95513919210298648"/>
    <n v="334500"/>
    <n v="0"/>
    <n v="334500"/>
    <n v="61700"/>
    <n v="396200"/>
    <n v="2.3875114784205693E-2"/>
    <n v="0"/>
    <n v="2.0082389289392381E-2"/>
  </r>
  <r>
    <n v="2025"/>
    <s v="19133514415    "/>
    <n v="-1.7778565640590636"/>
    <n v="0.16900000000000001"/>
    <n v="7377"/>
    <s v="2"/>
    <s v="RES"/>
    <s v="MX"/>
    <s v="11"/>
    <s v="259"/>
    <s v="CO"/>
    <x v="5"/>
    <s v="EX"/>
    <n v="0"/>
    <n v="3"/>
    <n v="3"/>
    <n v="2021"/>
    <n v="2021"/>
    <n v="1289"/>
    <n v="1636"/>
    <m/>
    <m/>
    <m/>
    <n v="0"/>
    <n v="2925"/>
    <n v="3000"/>
    <s v="S"/>
    <m/>
    <m/>
    <n v="494"/>
    <m/>
    <m/>
    <m/>
    <m/>
    <n v="545388"/>
    <n v="529026"/>
    <n v="0"/>
    <n v="0"/>
    <n v="61700"/>
    <n v="399600"/>
    <n v="461300"/>
    <n v="132535.48800000001"/>
    <n v="88356.992000000013"/>
    <n v="-23333.160238668213"/>
    <n v="32917.849192000001"/>
    <n v="47371.278778200001"/>
    <n v="-326.22329999999999"/>
    <n v="80446.979820000008"/>
    <n v="97473.506587999989"/>
    <n v="0"/>
    <n v="0"/>
    <n v="0"/>
    <n v="390400"/>
    <n v="65000"/>
    <n v="455400"/>
    <n v="-1.2789941469759376E-2"/>
    <n v="0.99970000000000003"/>
    <n v="1.0019"/>
    <n v="1.0012000000000001"/>
    <n v="1.0099"/>
    <n v="1.0022"/>
    <n v="0.94971499999999998"/>
    <n v="0.96420923232330613"/>
    <n v="385700"/>
    <n v="0"/>
    <n v="385700"/>
    <n v="61800"/>
    <n v="447500"/>
    <n v="-3.4784784784784785E-2"/>
    <n v="1.6207455429497568E-3"/>
    <n v="-2.9915456319098199E-2"/>
  </r>
  <r>
    <n v="2025"/>
    <s v="19133541456    "/>
    <n v="-1.7778565640590636"/>
    <n v="0.16900000000000001"/>
    <n v="7350"/>
    <s v="2"/>
    <s v="RES"/>
    <s v="MX"/>
    <s v="11"/>
    <s v="259"/>
    <s v="CO"/>
    <x v="4"/>
    <s v="EX"/>
    <n v="0"/>
    <n v="3"/>
    <n v="3"/>
    <n v="2021"/>
    <n v="2021"/>
    <n v="1403"/>
    <m/>
    <m/>
    <m/>
    <m/>
    <n v="0"/>
    <n v="1403"/>
    <n v="1500"/>
    <s v="S"/>
    <n v="1"/>
    <n v="640"/>
    <m/>
    <m/>
    <m/>
    <m/>
    <m/>
    <n v="295754"/>
    <n v="286881"/>
    <n v="0"/>
    <n v="0"/>
    <n v="61700"/>
    <n v="320800"/>
    <n v="382500"/>
    <n v="132535.48800000001"/>
    <n v="88356.992000000013"/>
    <n v="-23333.160238668213"/>
    <n v="37154.252388000001"/>
    <n v="47371.278778200001"/>
    <n v="-326.22329999999999"/>
    <n v="87561.76314000001"/>
    <n v="0"/>
    <n v="0"/>
    <n v="22592.65984"/>
    <n v="0"/>
    <n v="326900"/>
    <n v="65000"/>
    <n v="391900"/>
    <n v="2.4575163398692812E-2"/>
    <n v="0.99970000000000003"/>
    <n v="0.99819999999999998"/>
    <n v="1.0012000000000001"/>
    <n v="0.99519999999999997"/>
    <n v="1.0022"/>
    <n v="0.94971499999999998"/>
    <n v="0.94666532455325636"/>
    <n v="319800"/>
    <n v="0"/>
    <n v="319800"/>
    <n v="61800"/>
    <n v="381600"/>
    <n v="-3.117206982543641E-3"/>
    <n v="1.6207455429497568E-3"/>
    <n v="-2.352941176470588E-3"/>
  </r>
  <r>
    <n v="2025"/>
    <s v="19133541453    "/>
    <n v="-1.7778565640590636"/>
    <n v="0.16900000000000001"/>
    <n v="7350"/>
    <s v="2"/>
    <s v="RES"/>
    <s v="MX"/>
    <s v="11"/>
    <s v="259"/>
    <s v="CO"/>
    <x v="5"/>
    <s v="EX"/>
    <n v="0"/>
    <n v="3"/>
    <n v="3"/>
    <n v="2021"/>
    <n v="2021"/>
    <n v="2010"/>
    <m/>
    <m/>
    <m/>
    <m/>
    <n v="0"/>
    <n v="2010"/>
    <n v="2500"/>
    <s v="S"/>
    <m/>
    <n v="664"/>
    <m/>
    <m/>
    <m/>
    <m/>
    <m/>
    <n v="432745"/>
    <n v="419763"/>
    <n v="0"/>
    <n v="0"/>
    <n v="61700"/>
    <n v="347700"/>
    <n v="409400"/>
    <n v="132535.48800000001"/>
    <n v="88356.992000000013"/>
    <n v="-23333.160238668213"/>
    <n v="32917.849192000001"/>
    <n v="47371.278778200001"/>
    <n v="-326.22329999999999"/>
    <n v="125444.86380000001"/>
    <n v="0"/>
    <n v="0"/>
    <n v="23439.884583999999"/>
    <n v="0"/>
    <n v="361400"/>
    <n v="65000"/>
    <n v="426400"/>
    <n v="4.1524181729360038E-2"/>
    <n v="0.99970000000000003"/>
    <n v="1.0019"/>
    <n v="1.0012000000000001"/>
    <n v="1.0008999999999999"/>
    <n v="1.0022"/>
    <n v="0.94971499999999998"/>
    <n v="0.95561641809327347"/>
    <n v="355500"/>
    <n v="0"/>
    <n v="355500"/>
    <n v="61800"/>
    <n v="417300"/>
    <n v="2.2433132010353754E-2"/>
    <n v="1.6207455429497568E-3"/>
    <n v="1.9296531509526135E-2"/>
  </r>
  <r>
    <n v="2025"/>
    <s v="19133541455    "/>
    <n v="-1.7778565640590636"/>
    <n v="0.16900000000000001"/>
    <n v="7350"/>
    <s v="2"/>
    <s v="RES"/>
    <s v="MX"/>
    <s v="11"/>
    <s v="259"/>
    <s v="CO"/>
    <x v="4"/>
    <s v="EX"/>
    <n v="0"/>
    <n v="3"/>
    <n v="3"/>
    <n v="2021"/>
    <n v="2021"/>
    <n v="780"/>
    <n v="1080"/>
    <m/>
    <m/>
    <m/>
    <n v="0"/>
    <n v="1860"/>
    <n v="2000"/>
    <s v="N"/>
    <m/>
    <m/>
    <n v="420"/>
    <m/>
    <m/>
    <m/>
    <m/>
    <n v="341839"/>
    <n v="331584"/>
    <n v="0"/>
    <n v="0"/>
    <n v="61700"/>
    <n v="348800"/>
    <n v="410500"/>
    <n v="132535.48800000001"/>
    <n v="88356.992000000013"/>
    <n v="-23333.160238668213"/>
    <n v="37154.252388000001"/>
    <n v="47371.278778200001"/>
    <n v="-326.22329999999999"/>
    <n v="48680.096400000002"/>
    <n v="64346.81364"/>
    <n v="0"/>
    <n v="0"/>
    <n v="0"/>
    <n v="329800"/>
    <n v="65000"/>
    <n v="394800"/>
    <n v="-3.8246041412911082E-2"/>
    <n v="0.99970000000000003"/>
    <n v="0.99819999999999998"/>
    <n v="1.0012000000000001"/>
    <n v="1.0007999999999999"/>
    <n v="1.0022"/>
    <n v="0.94971499999999998"/>
    <n v="0.95199221946633727"/>
    <n v="323400"/>
    <n v="0"/>
    <n v="323400"/>
    <n v="61800"/>
    <n v="385200"/>
    <n v="-7.2821100917431186E-2"/>
    <n v="1.6207455429497568E-3"/>
    <n v="-6.1632155907429965E-2"/>
  </r>
  <r>
    <n v="2025"/>
    <s v="19133541429    "/>
    <n v="-1.7778565640590636"/>
    <n v="0.16900000000000001"/>
    <n v="7360"/>
    <s v="2"/>
    <s v="RES"/>
    <s v="MX"/>
    <s v="11"/>
    <s v="259"/>
    <s v="CO"/>
    <x v="4"/>
    <s v="EX"/>
    <n v="0"/>
    <n v="3"/>
    <n v="3"/>
    <n v="2021"/>
    <n v="2021"/>
    <n v="1550"/>
    <m/>
    <m/>
    <m/>
    <m/>
    <n v="0"/>
    <n v="1550"/>
    <n v="2000"/>
    <s v="N"/>
    <m/>
    <n v="660"/>
    <m/>
    <m/>
    <m/>
    <m/>
    <m/>
    <n v="318867"/>
    <n v="309301"/>
    <n v="0"/>
    <n v="0"/>
    <n v="61700"/>
    <n v="337300"/>
    <n v="399000"/>
    <n v="132535.48800000001"/>
    <n v="88356.992000000013"/>
    <n v="-23333.160238668213"/>
    <n v="37154.252388000001"/>
    <n v="47371.278778200001"/>
    <n v="-326.22329999999999"/>
    <n v="96736.089000000007"/>
    <n v="0"/>
    <n v="0"/>
    <n v="23298.68046"/>
    <n v="0"/>
    <n v="336800"/>
    <n v="65000"/>
    <n v="401800"/>
    <n v="7.0175438596491229E-3"/>
    <n v="0.99970000000000003"/>
    <n v="0.99819999999999998"/>
    <n v="1.0012000000000001"/>
    <n v="1.0007999999999999"/>
    <n v="1.0022"/>
    <n v="0.94971499999999998"/>
    <n v="0.95199221946633727"/>
    <n v="330400"/>
    <n v="0"/>
    <n v="330400"/>
    <n v="61800"/>
    <n v="392200"/>
    <n v="-2.0456566854432257E-2"/>
    <n v="1.6207455429497568E-3"/>
    <n v="-1.7042606516290727E-2"/>
  </r>
  <r>
    <n v="2025"/>
    <s v="19133541454    "/>
    <n v="-1.7778565640590636"/>
    <n v="0.16900000000000001"/>
    <n v="7350"/>
    <s v="2"/>
    <s v="RES"/>
    <s v="MX"/>
    <s v="11"/>
    <s v="259"/>
    <s v="CO"/>
    <x v="5"/>
    <s v="EX"/>
    <n v="0"/>
    <n v="3"/>
    <n v="3"/>
    <n v="2021"/>
    <n v="2021"/>
    <n v="2010"/>
    <m/>
    <m/>
    <m/>
    <m/>
    <n v="0"/>
    <n v="2010"/>
    <n v="2500"/>
    <s v="N"/>
    <m/>
    <n v="424"/>
    <m/>
    <m/>
    <m/>
    <m/>
    <m/>
    <n v="428106"/>
    <n v="415263"/>
    <n v="0"/>
    <n v="0"/>
    <n v="61700"/>
    <n v="346600"/>
    <n v="408300"/>
    <n v="132535.48800000001"/>
    <n v="88356.992000000013"/>
    <n v="-23333.160238668213"/>
    <n v="32917.849192000001"/>
    <n v="47371.278778200001"/>
    <n v="-326.22329999999999"/>
    <n v="125444.86380000001"/>
    <n v="0"/>
    <n v="0"/>
    <n v="14967.637144"/>
    <n v="0"/>
    <n v="352900"/>
    <n v="65000"/>
    <n v="417900"/>
    <n v="2.3512123438648051E-2"/>
    <n v="0.99970000000000003"/>
    <n v="1.0019"/>
    <n v="1.0012000000000001"/>
    <n v="1.0008999999999999"/>
    <n v="1.0022"/>
    <n v="0.94971499999999998"/>
    <n v="0.95561641809327347"/>
    <n v="347000"/>
    <n v="0"/>
    <n v="347000"/>
    <n v="61800"/>
    <n v="408800"/>
    <n v="1.1540680900173109E-3"/>
    <n v="1.6207455429497568E-3"/>
    <n v="1.2245897624295861E-3"/>
  </r>
  <r>
    <n v="2025"/>
    <s v="19133541457    "/>
    <n v="-1.7778565640590636"/>
    <n v="0.16900000000000001"/>
    <n v="7350"/>
    <s v="2"/>
    <s v="RES"/>
    <s v="MX"/>
    <s v="11"/>
    <s v="259"/>
    <s v="CO"/>
    <x v="4"/>
    <s v="EX"/>
    <n v="0"/>
    <n v="3"/>
    <n v="3"/>
    <n v="2021"/>
    <n v="2021"/>
    <n v="1550"/>
    <m/>
    <m/>
    <m/>
    <m/>
    <n v="0"/>
    <n v="1550"/>
    <n v="2000"/>
    <s v="N"/>
    <m/>
    <n v="420"/>
    <m/>
    <m/>
    <m/>
    <m/>
    <m/>
    <n v="303687"/>
    <n v="294576"/>
    <n v="0"/>
    <n v="0"/>
    <n v="61700"/>
    <n v="316600"/>
    <n v="378300"/>
    <n v="132535.48800000001"/>
    <n v="88356.992000000013"/>
    <n v="-23333.160238668213"/>
    <n v="37154.252388000001"/>
    <n v="47371.278778200001"/>
    <n v="-326.22329999999999"/>
    <n v="96736.089000000007"/>
    <n v="0"/>
    <n v="0"/>
    <n v="14826.43302"/>
    <n v="0"/>
    <n v="328300"/>
    <n v="65000"/>
    <n v="393300"/>
    <n v="3.9651070578905628E-2"/>
    <n v="0.99970000000000003"/>
    <n v="0.99819999999999998"/>
    <n v="1.0012000000000001"/>
    <n v="1.0007999999999999"/>
    <n v="1.0022"/>
    <n v="0.94971499999999998"/>
    <n v="0.95199221946633727"/>
    <n v="321900"/>
    <n v="0"/>
    <n v="321900"/>
    <n v="61800"/>
    <n v="383700"/>
    <n v="1.6740366392924828E-2"/>
    <n v="1.6207455429497568E-3"/>
    <n v="1.4274385408406027E-2"/>
  </r>
  <r>
    <n v="2025"/>
    <s v="20120633467    "/>
    <n v="-1.7719568419318752"/>
    <n v="0.17"/>
    <n v="7623"/>
    <s v="2"/>
    <s v="RES"/>
    <s v="MX"/>
    <s v="11"/>
    <s v="259"/>
    <s v="RN"/>
    <x v="5"/>
    <s v="VG"/>
    <n v="10"/>
    <n v="16"/>
    <n v="16"/>
    <n v="2008"/>
    <n v="2008"/>
    <n v="1737"/>
    <m/>
    <m/>
    <m/>
    <m/>
    <n v="0"/>
    <n v="1737"/>
    <n v="2000"/>
    <s v="S"/>
    <m/>
    <n v="435"/>
    <m/>
    <m/>
    <m/>
    <m/>
    <m/>
    <n v="396961"/>
    <n v="369174"/>
    <n v="0"/>
    <n v="0"/>
    <n v="61700"/>
    <n v="347800"/>
    <n v="409500"/>
    <n v="132535.48800000001"/>
    <n v="88356.992000000013"/>
    <n v="-23255.730391660189"/>
    <n v="32917.849192000001"/>
    <n v="50438.379078999998"/>
    <n v="-1739.8576"/>
    <n v="108406.83006000001"/>
    <n v="0"/>
    <n v="0"/>
    <n v="15355.948485000001"/>
    <n v="0"/>
    <n v="337900"/>
    <n v="65100"/>
    <n v="403000"/>
    <n v="-1.5873015873015872E-2"/>
    <n v="0.99970000000000003"/>
    <n v="1.0019"/>
    <n v="1.0007999999999999"/>
    <n v="1.0007999999999999"/>
    <n v="0.99080000000000001"/>
    <n v="0.94971499999999998"/>
    <n v="0.94427450761887755"/>
    <n v="330500"/>
    <n v="0"/>
    <n v="330500"/>
    <n v="61800"/>
    <n v="392300"/>
    <n v="-4.9741230592294419E-2"/>
    <n v="1.6207455429497568E-3"/>
    <n v="-4.2002442002442006E-2"/>
  </r>
  <r>
    <n v="2025"/>
    <s v="20120634444    "/>
    <n v="-1.7719568419318752"/>
    <n v="0.17"/>
    <n v="7333"/>
    <s v="2"/>
    <s v="RES"/>
    <s v="MX"/>
    <s v="11"/>
    <s v="259"/>
    <s v="CP"/>
    <x v="5"/>
    <s v="VG"/>
    <n v="0"/>
    <n v="8"/>
    <n v="8"/>
    <n v="2016"/>
    <n v="2016"/>
    <n v="1638"/>
    <n v="1398"/>
    <m/>
    <m/>
    <m/>
    <n v="0"/>
    <n v="3036"/>
    <n v="3500"/>
    <s v="S"/>
    <m/>
    <n v="704"/>
    <m/>
    <m/>
    <m/>
    <m/>
    <m/>
    <n v="598428"/>
    <n v="574491"/>
    <n v="0"/>
    <n v="0"/>
    <n v="61700"/>
    <n v="438600"/>
    <n v="500300"/>
    <n v="132535.48800000001"/>
    <n v="88356.992000000013"/>
    <n v="-23255.730391660189"/>
    <n v="32917.849192000001"/>
    <n v="50438.379078999998"/>
    <n v="-869.92880000000002"/>
    <n v="102228.20244000001"/>
    <n v="83293.375434000001"/>
    <n v="0"/>
    <n v="24851.925824000002"/>
    <n v="0"/>
    <n v="425400"/>
    <n v="65100"/>
    <n v="490500"/>
    <n v="-1.9588247051768939E-2"/>
    <n v="0.99970000000000003"/>
    <n v="1.0019"/>
    <n v="1.0007999999999999"/>
    <n v="0.98509999999999998"/>
    <n v="1.0022"/>
    <n v="0.94971499999999998"/>
    <n v="0.94015549374565566"/>
    <n v="417500"/>
    <n v="0"/>
    <n v="417500"/>
    <n v="61800"/>
    <n v="479300"/>
    <n v="-4.8107615139078887E-2"/>
    <n v="1.6207455429497568E-3"/>
    <n v="-4.1974815110933442E-2"/>
  </r>
  <r>
    <n v="2025"/>
    <s v="20120633427    "/>
    <n v="-1.7719568419318752"/>
    <n v="0.17"/>
    <n v="7622"/>
    <s v="2"/>
    <s v="RES"/>
    <s v="MX"/>
    <s v="11"/>
    <s v="259"/>
    <s v="CO"/>
    <x v="5"/>
    <s v="VG"/>
    <n v="10"/>
    <n v="15"/>
    <n v="15"/>
    <n v="2009"/>
    <n v="2009"/>
    <n v="1116"/>
    <n v="1116"/>
    <m/>
    <m/>
    <m/>
    <n v="0"/>
    <n v="2232"/>
    <n v="2500"/>
    <s v="S"/>
    <n v="1"/>
    <n v="440"/>
    <m/>
    <m/>
    <m/>
    <m/>
    <m/>
    <n v="476133"/>
    <n v="447565"/>
    <n v="0"/>
    <n v="0"/>
    <n v="61700"/>
    <n v="376600"/>
    <n v="438300"/>
    <n v="132535.48800000001"/>
    <n v="88356.992000000013"/>
    <n v="-23255.730391660189"/>
    <n v="32917.849192000001"/>
    <n v="50438.379078999998"/>
    <n v="-1631.1165000000001"/>
    <n v="69649.984080000009"/>
    <n v="66491.707427999994"/>
    <n v="0"/>
    <n v="15532.453640000002"/>
    <n v="0"/>
    <n v="365900"/>
    <n v="65100"/>
    <n v="431000"/>
    <n v="-1.6655258955053615E-2"/>
    <n v="0.99970000000000003"/>
    <n v="1.0019"/>
    <n v="1.0007999999999999"/>
    <n v="1.0008999999999999"/>
    <n v="0.99080000000000001"/>
    <n v="0.94971499999999998"/>
    <n v="0.94436885958806405"/>
    <n v="358600"/>
    <n v="0"/>
    <n v="358600"/>
    <n v="61800"/>
    <n v="420400"/>
    <n v="-4.7796070100902817E-2"/>
    <n v="1.6207455429497568E-3"/>
    <n v="-4.0839607574720514E-2"/>
  </r>
  <r>
    <n v="2025"/>
    <s v="19120141553    "/>
    <n v="-1.7719568419318752"/>
    <n v="0.17"/>
    <n v="7395"/>
    <s v="2"/>
    <s v="RES"/>
    <s v="MX"/>
    <s v="11"/>
    <s v="259"/>
    <s v="CO"/>
    <x v="5"/>
    <s v="GD"/>
    <n v="10"/>
    <n v="19"/>
    <n v="19"/>
    <n v="2005"/>
    <n v="2005"/>
    <n v="1158"/>
    <n v="1322"/>
    <m/>
    <m/>
    <m/>
    <n v="0"/>
    <n v="2480"/>
    <n v="2500"/>
    <s v="S"/>
    <n v="1"/>
    <n v="300"/>
    <n v="502"/>
    <m/>
    <m/>
    <m/>
    <m/>
    <n v="503193"/>
    <n v="457906"/>
    <n v="0"/>
    <n v="0"/>
    <n v="61700"/>
    <n v="364200"/>
    <n v="425900"/>
    <n v="132535.48800000001"/>
    <n v="88356.992000000013"/>
    <n v="-23255.730391660189"/>
    <n v="32917.849192000001"/>
    <n v="30300.329274"/>
    <n v="-2066.0808999999999"/>
    <n v="72271.22004"/>
    <n v="78765.266325999997"/>
    <n v="0"/>
    <n v="10590.309300000001"/>
    <n v="0"/>
    <n v="355300"/>
    <n v="65100"/>
    <n v="420400"/>
    <n v="-1.2913829537450105E-2"/>
    <n v="0.99970000000000003"/>
    <n v="1.0019"/>
    <n v="0.997"/>
    <n v="1.0008999999999999"/>
    <n v="0.99080000000000001"/>
    <n v="0.94971499999999998"/>
    <n v="0.94078312650809337"/>
    <n v="347500"/>
    <n v="0"/>
    <n v="347500"/>
    <n v="61800"/>
    <n v="409300"/>
    <n v="-4.5853926414058208E-2"/>
    <n v="1.6207455429497568E-3"/>
    <n v="-3.8976285513031228E-2"/>
  </r>
  <r>
    <n v="2025"/>
    <s v="20120634454    "/>
    <n v="-1.7719568419318752"/>
    <n v="0.17"/>
    <n v="7435"/>
    <s v="2"/>
    <s v="RES"/>
    <s v="MX"/>
    <s v="11"/>
    <s v="259"/>
    <s v="CP"/>
    <x v="6"/>
    <s v="VG"/>
    <n v="0"/>
    <n v="9"/>
    <n v="9"/>
    <n v="2015"/>
    <n v="2015"/>
    <n v="1593"/>
    <n v="1252"/>
    <m/>
    <m/>
    <m/>
    <n v="0"/>
    <n v="2845"/>
    <n v="3000"/>
    <s v="S"/>
    <n v="1"/>
    <n v="682"/>
    <m/>
    <m/>
    <m/>
    <m/>
    <m/>
    <n v="621673"/>
    <n v="596806"/>
    <n v="0"/>
    <n v="0"/>
    <n v="61700"/>
    <n v="431300"/>
    <n v="493000"/>
    <n v="132535.48800000001"/>
    <n v="88356.992000000013"/>
    <n v="-23255.730391660189"/>
    <n v="39366.494398000003"/>
    <n v="50438.379078999998"/>
    <n v="-978.66989999999998"/>
    <n v="99419.735339999999"/>
    <n v="74594.639515999996"/>
    <n v="0"/>
    <n v="24075.303142000001"/>
    <n v="0"/>
    <n v="419500"/>
    <n v="65100"/>
    <n v="484600"/>
    <n v="-1.7038539553752535E-2"/>
    <n v="0.99970000000000003"/>
    <n v="0.99980000000000002"/>
    <n v="1.0007999999999999"/>
    <n v="1.0099"/>
    <n v="1.0022"/>
    <n v="0.94971499999999998"/>
    <n v="0.96180381883811761"/>
    <n v="414400"/>
    <n v="0"/>
    <n v="414400"/>
    <n v="61800"/>
    <n v="476200"/>
    <n v="-3.9183862740551821E-2"/>
    <n v="1.6207455429497568E-3"/>
    <n v="-3.4077079107505071E-2"/>
  </r>
  <r>
    <n v="2025"/>
    <s v="19120141428    "/>
    <n v="-1.7719568419318752"/>
    <n v="0.17"/>
    <n v="7310"/>
    <s v="2"/>
    <s v="RES"/>
    <s v="MX"/>
    <s v="11"/>
    <s v="259"/>
    <s v="CO"/>
    <x v="5"/>
    <s v="VG"/>
    <n v="10"/>
    <n v="19"/>
    <n v="19"/>
    <n v="2005"/>
    <n v="2005"/>
    <n v="1158"/>
    <n v="1322"/>
    <m/>
    <m/>
    <m/>
    <n v="0"/>
    <n v="2480"/>
    <n v="2500"/>
    <s v="S"/>
    <n v="1"/>
    <n v="300"/>
    <n v="502"/>
    <m/>
    <m/>
    <m/>
    <m/>
    <n v="520854"/>
    <n v="473977"/>
    <n v="0"/>
    <n v="0"/>
    <n v="61700"/>
    <n v="379700"/>
    <n v="441400"/>
    <n v="132535.48800000001"/>
    <n v="88356.992000000013"/>
    <n v="-23255.730391660189"/>
    <n v="32917.849192000001"/>
    <n v="50438.379078999998"/>
    <n v="-2066.0808999999999"/>
    <n v="72271.22004"/>
    <n v="78765.266325999997"/>
    <n v="0"/>
    <n v="10590.309300000001"/>
    <n v="0"/>
    <n v="375500"/>
    <n v="65100"/>
    <n v="440600"/>
    <n v="-1.8124150430448573E-3"/>
    <n v="0.99970000000000003"/>
    <n v="1.0019"/>
    <n v="1.0007999999999999"/>
    <n v="1.0008999999999999"/>
    <n v="0.99080000000000001"/>
    <n v="0.94971499999999998"/>
    <n v="0.94436885958806405"/>
    <n v="368100"/>
    <n v="0"/>
    <n v="368100"/>
    <n v="61800"/>
    <n v="429900"/>
    <n v="-3.0550434553594942E-2"/>
    <n v="1.6207455429497568E-3"/>
    <n v="-2.6053466243769825E-2"/>
  </r>
  <r>
    <n v="2025"/>
    <s v="19120141429    "/>
    <n v="-1.7719568419318752"/>
    <n v="0.17"/>
    <n v="7335"/>
    <s v="2"/>
    <s v="RES"/>
    <s v="MX"/>
    <s v="11"/>
    <s v="259"/>
    <s v="CO"/>
    <x v="5"/>
    <s v="VG"/>
    <n v="10"/>
    <n v="19"/>
    <n v="19"/>
    <n v="2005"/>
    <n v="2005"/>
    <n v="1158"/>
    <n v="1322"/>
    <m/>
    <m/>
    <m/>
    <n v="0"/>
    <n v="2480"/>
    <n v="2500"/>
    <s v="S"/>
    <n v="1"/>
    <n v="300"/>
    <n v="502"/>
    <m/>
    <m/>
    <m/>
    <m/>
    <n v="504445"/>
    <n v="459045"/>
    <n v="0"/>
    <n v="0"/>
    <n v="61700"/>
    <n v="379700"/>
    <n v="441400"/>
    <n v="132535.48800000001"/>
    <n v="88356.992000000013"/>
    <n v="-23255.730391660189"/>
    <n v="32917.849192000001"/>
    <n v="50438.379078999998"/>
    <n v="-2066.0808999999999"/>
    <n v="72271.22004"/>
    <n v="78765.266325999997"/>
    <n v="0"/>
    <n v="10590.309300000001"/>
    <n v="0"/>
    <n v="375500"/>
    <n v="65100"/>
    <n v="440600"/>
    <n v="-1.8124150430448573E-3"/>
    <n v="0.99970000000000003"/>
    <n v="1.0019"/>
    <n v="1.0007999999999999"/>
    <n v="1.0008999999999999"/>
    <n v="0.99080000000000001"/>
    <n v="0.94971499999999998"/>
    <n v="0.94436885958806405"/>
    <n v="368100"/>
    <n v="0"/>
    <n v="368100"/>
    <n v="61800"/>
    <n v="429900"/>
    <n v="-3.0550434553594942E-2"/>
    <n v="1.6207455429497568E-3"/>
    <n v="-2.6053466243769825E-2"/>
  </r>
  <r>
    <n v="2025"/>
    <s v="19120113556    "/>
    <n v="-1.7719568419318752"/>
    <n v="0.17"/>
    <n v="7275"/>
    <s v="2"/>
    <s v="RES"/>
    <s v="MX"/>
    <s v="11"/>
    <s v="259"/>
    <s v="CO"/>
    <x v="5"/>
    <s v="VG"/>
    <n v="10"/>
    <n v="17"/>
    <n v="17"/>
    <n v="2007"/>
    <n v="2007"/>
    <n v="1374"/>
    <n v="1332"/>
    <m/>
    <m/>
    <m/>
    <n v="0"/>
    <n v="2706"/>
    <n v="3000"/>
    <s v="S"/>
    <m/>
    <n v="240"/>
    <n v="502"/>
    <m/>
    <m/>
    <m/>
    <m/>
    <n v="536995"/>
    <n v="499405"/>
    <n v="0"/>
    <n v="0"/>
    <n v="61700"/>
    <n v="390000"/>
    <n v="451700"/>
    <n v="132535.48800000001"/>
    <n v="88356.992000000013"/>
    <n v="-23255.730391660189"/>
    <n v="32917.849192000001"/>
    <n v="50438.379078999998"/>
    <n v="-1848.5987"/>
    <n v="85751.862120000005"/>
    <n v="79361.070156000002"/>
    <n v="0"/>
    <n v="8472.247440000001"/>
    <n v="0"/>
    <n v="387600"/>
    <n v="65100"/>
    <n v="452700"/>
    <n v="2.2138587558113792E-3"/>
    <n v="0.99970000000000003"/>
    <n v="1.0019"/>
    <n v="1.0007999999999999"/>
    <n v="1.0099"/>
    <n v="0.99080000000000001"/>
    <n v="0.94971499999999998"/>
    <n v="0.95286053681485272"/>
    <n v="381400"/>
    <n v="0"/>
    <n v="381400"/>
    <n v="61800"/>
    <n v="443200"/>
    <n v="-2.205128205128205E-2"/>
    <n v="1.6207455429497568E-3"/>
    <n v="-1.8817799424396722E-2"/>
  </r>
  <r>
    <n v="2025"/>
    <s v="19120144528    "/>
    <n v="-1.7719568419318752"/>
    <n v="0.17"/>
    <n v="7205"/>
    <s v="2"/>
    <s v="RES"/>
    <s v="MX"/>
    <s v="11"/>
    <s v="259"/>
    <s v="CO"/>
    <x v="5"/>
    <s v="VG"/>
    <n v="20"/>
    <n v="20"/>
    <n v="20"/>
    <n v="2004"/>
    <n v="2004"/>
    <n v="1158"/>
    <n v="1322"/>
    <m/>
    <m/>
    <m/>
    <n v="0"/>
    <n v="2480"/>
    <n v="2500"/>
    <s v="S"/>
    <m/>
    <n v="300"/>
    <n v="502"/>
    <m/>
    <m/>
    <m/>
    <m/>
    <n v="509763"/>
    <n v="468982"/>
    <n v="0"/>
    <n v="0"/>
    <n v="61700"/>
    <n v="378800"/>
    <n v="440500"/>
    <n v="132535.48800000001"/>
    <n v="88356.992000000013"/>
    <n v="-23255.730391660189"/>
    <n v="32917.849192000001"/>
    <n v="50438.379078999998"/>
    <n v="-2174.8220000000001"/>
    <n v="72271.22004"/>
    <n v="78765.266325999997"/>
    <n v="0"/>
    <n v="10590.309300000001"/>
    <n v="0"/>
    <n v="375300"/>
    <n v="65100"/>
    <n v="440400"/>
    <n v="-2.2701475595913735E-4"/>
    <n v="0.99970000000000003"/>
    <n v="1.0019"/>
    <n v="1.0007999999999999"/>
    <n v="1.0008999999999999"/>
    <n v="1.0138"/>
    <n v="0.94971499999999998"/>
    <n v="0.9662910273015537"/>
    <n v="370900"/>
    <n v="0"/>
    <n v="370900"/>
    <n v="61800"/>
    <n v="432700"/>
    <n v="-2.085533262935586E-2"/>
    <n v="1.6207455429497568E-3"/>
    <n v="-1.7707150964812714E-2"/>
  </r>
  <r>
    <n v="2025"/>
    <s v="20120632401    "/>
    <n v="-1.7719568419318752"/>
    <n v="0.17"/>
    <n v="7403"/>
    <s v="2"/>
    <s v="RES"/>
    <s v="MX"/>
    <s v="11"/>
    <s v="259"/>
    <s v="CP"/>
    <x v="5"/>
    <s v="VG"/>
    <n v="0"/>
    <n v="6"/>
    <n v="6"/>
    <n v="2018"/>
    <n v="2018"/>
    <n v="2025"/>
    <m/>
    <m/>
    <m/>
    <m/>
    <n v="0"/>
    <n v="2025"/>
    <n v="2500"/>
    <s v="S"/>
    <m/>
    <n v="670"/>
    <m/>
    <m/>
    <m/>
    <m/>
    <m/>
    <n v="442535"/>
    <n v="424834"/>
    <n v="0"/>
    <n v="0"/>
    <n v="61700"/>
    <n v="365800"/>
    <n v="427500"/>
    <n v="132535.48800000001"/>
    <n v="88356.992000000013"/>
    <n v="-23255.730391660189"/>
    <n v="32917.849192000001"/>
    <n v="50438.379078999998"/>
    <n v="-652.44659999999999"/>
    <n v="126381.01950000001"/>
    <n v="0"/>
    <n v="0"/>
    <n v="23651.690770000001"/>
    <n v="0"/>
    <n v="365300"/>
    <n v="65100"/>
    <n v="430400"/>
    <n v="6.7836257309941521E-3"/>
    <n v="0.99970000000000003"/>
    <n v="1.0019"/>
    <n v="1.0007999999999999"/>
    <n v="1.0008999999999999"/>
    <n v="1.0022"/>
    <n v="0.94971499999999998"/>
    <n v="0.95523462967214157"/>
    <n v="359300"/>
    <n v="0"/>
    <n v="359300"/>
    <n v="61800"/>
    <n v="421100"/>
    <n v="-1.7769272826681247E-2"/>
    <n v="1.6207455429497568E-3"/>
    <n v="-1.4970760233918129E-2"/>
  </r>
  <r>
    <n v="2025"/>
    <s v="19120141402    "/>
    <n v="-1.7719568419318752"/>
    <n v="0.17"/>
    <n v="7231"/>
    <s v="2"/>
    <s v="RES"/>
    <s v="MX"/>
    <s v="11"/>
    <s v="259"/>
    <s v="CP"/>
    <x v="5"/>
    <s v="GD"/>
    <n v="10"/>
    <n v="19"/>
    <n v="19"/>
    <n v="2005"/>
    <n v="2005"/>
    <n v="2154"/>
    <m/>
    <m/>
    <m/>
    <m/>
    <n v="0"/>
    <n v="2154"/>
    <n v="2500"/>
    <s v="S"/>
    <n v="1"/>
    <n v="730"/>
    <m/>
    <m/>
    <m/>
    <m/>
    <m/>
    <n v="472428"/>
    <n v="429909"/>
    <n v="0"/>
    <n v="0"/>
    <n v="61700"/>
    <n v="350100"/>
    <n v="411800"/>
    <n v="132535.48800000001"/>
    <n v="88356.992000000013"/>
    <n v="-23255.730391660189"/>
    <n v="32917.849192000001"/>
    <n v="30300.329274"/>
    <n v="-2066.0808999999999"/>
    <n v="134431.95852000001"/>
    <n v="0"/>
    <n v="0"/>
    <n v="25769.752630000003"/>
    <n v="0"/>
    <n v="353900"/>
    <n v="65100"/>
    <n v="419000"/>
    <n v="1.7484215638659543E-2"/>
    <n v="0.99970000000000003"/>
    <n v="1.0019"/>
    <n v="0.997"/>
    <n v="1.0008999999999999"/>
    <n v="0.99080000000000001"/>
    <n v="0.94971499999999998"/>
    <n v="0.94078312650809337"/>
    <n v="346000"/>
    <n v="0"/>
    <n v="346000"/>
    <n v="61800"/>
    <n v="407800"/>
    <n v="-1.1710939731505284E-2"/>
    <n v="1.6207455429497568E-3"/>
    <n v="-9.7134531325886349E-3"/>
  </r>
  <r>
    <n v="2025"/>
    <s v="19120141451    "/>
    <n v="-1.7719568419318752"/>
    <n v="0.17"/>
    <n v="7195"/>
    <s v="2"/>
    <s v="RES"/>
    <s v="MX"/>
    <s v="11"/>
    <s v="259"/>
    <s v="CO"/>
    <x v="5"/>
    <s v="GD"/>
    <n v="10"/>
    <n v="19"/>
    <n v="19"/>
    <n v="2005"/>
    <n v="2005"/>
    <n v="1116"/>
    <n v="1116"/>
    <m/>
    <m/>
    <m/>
    <n v="0"/>
    <n v="2232"/>
    <n v="2500"/>
    <s v="S"/>
    <n v="1"/>
    <n v="440"/>
    <m/>
    <m/>
    <m/>
    <m/>
    <m/>
    <n v="444722"/>
    <n v="404697"/>
    <n v="0"/>
    <n v="0"/>
    <n v="61700"/>
    <n v="334500"/>
    <n v="396200"/>
    <n v="132535.48800000001"/>
    <n v="88356.992000000013"/>
    <n v="-23255.730391660189"/>
    <n v="32917.849192000001"/>
    <n v="30300.329274"/>
    <n v="-2066.0808999999999"/>
    <n v="69649.984080000009"/>
    <n v="66491.707427999994"/>
    <n v="0"/>
    <n v="15532.453640000002"/>
    <n v="0"/>
    <n v="345400"/>
    <n v="65100"/>
    <n v="410500"/>
    <n v="3.6092882382635035E-2"/>
    <n v="0.99970000000000003"/>
    <n v="1.0019"/>
    <n v="0.997"/>
    <n v="1.0008999999999999"/>
    <n v="0.99080000000000001"/>
    <n v="0.94971499999999998"/>
    <n v="0.94078312650809337"/>
    <n v="337500"/>
    <n v="0"/>
    <n v="337500"/>
    <n v="61800"/>
    <n v="399300"/>
    <n v="8.9686098654708519E-3"/>
    <n v="1.6207455429497568E-3"/>
    <n v="7.8243311458859165E-3"/>
  </r>
  <r>
    <n v="2025"/>
    <s v="19120141425    "/>
    <n v="-1.7719568419318752"/>
    <n v="0.17"/>
    <n v="7333"/>
    <s v="2"/>
    <s v="RES"/>
    <s v="MX"/>
    <s v="11"/>
    <s v="259"/>
    <s v="CO"/>
    <x v="5"/>
    <s v="GD"/>
    <n v="10"/>
    <n v="19"/>
    <n v="19"/>
    <n v="2005"/>
    <n v="2005"/>
    <n v="1116"/>
    <n v="1116"/>
    <m/>
    <m/>
    <m/>
    <n v="0"/>
    <n v="2232"/>
    <n v="2500"/>
    <s v="S"/>
    <n v="1"/>
    <n v="440"/>
    <m/>
    <m/>
    <m/>
    <m/>
    <m/>
    <n v="445974"/>
    <n v="405836"/>
    <n v="0"/>
    <n v="0"/>
    <n v="61700"/>
    <n v="334500"/>
    <n v="396200"/>
    <n v="132535.48800000001"/>
    <n v="88356.992000000013"/>
    <n v="-23255.730391660189"/>
    <n v="32917.849192000001"/>
    <n v="30300.329274"/>
    <n v="-2066.0808999999999"/>
    <n v="69649.984080000009"/>
    <n v="66491.707427999994"/>
    <n v="0"/>
    <n v="15532.453640000002"/>
    <n v="0"/>
    <n v="345400"/>
    <n v="65100"/>
    <n v="410500"/>
    <n v="3.6092882382635035E-2"/>
    <n v="0.99970000000000003"/>
    <n v="1.0019"/>
    <n v="0.997"/>
    <n v="1.0008999999999999"/>
    <n v="0.99080000000000001"/>
    <n v="0.94971499999999998"/>
    <n v="0.94078312650809337"/>
    <n v="337500"/>
    <n v="0"/>
    <n v="337500"/>
    <n v="61800"/>
    <n v="399300"/>
    <n v="8.9686098654708519E-3"/>
    <n v="1.6207455429497568E-3"/>
    <n v="7.8243311458859165E-3"/>
  </r>
  <r>
    <n v="2025"/>
    <s v="20120633488    "/>
    <n v="-1.7719568419318752"/>
    <n v="0.17"/>
    <n v="7547"/>
    <s v="2"/>
    <s v="RES"/>
    <s v="MX"/>
    <s v="11"/>
    <s v="259"/>
    <s v="CO"/>
    <x v="5"/>
    <s v="VG"/>
    <n v="10"/>
    <n v="14"/>
    <n v="14"/>
    <n v="2010"/>
    <n v="2010"/>
    <n v="1116"/>
    <n v="1116"/>
    <m/>
    <m/>
    <m/>
    <n v="0"/>
    <n v="2232"/>
    <n v="2500"/>
    <s v="S"/>
    <m/>
    <n v="440"/>
    <m/>
    <m/>
    <m/>
    <m/>
    <m/>
    <n v="457542"/>
    <n v="430089"/>
    <n v="0"/>
    <n v="0"/>
    <n v="61700"/>
    <n v="354500"/>
    <n v="416200"/>
    <n v="132535.48800000001"/>
    <n v="88356.992000000013"/>
    <n v="-23255.730391660189"/>
    <n v="32917.849192000001"/>
    <n v="50438.379078999998"/>
    <n v="-1522.3754000000001"/>
    <n v="69649.984080000009"/>
    <n v="66491.707427999994"/>
    <n v="0"/>
    <n v="15532.453640000002"/>
    <n v="0"/>
    <n v="366000"/>
    <n v="65100"/>
    <n v="431100"/>
    <n v="3.580009610764056E-2"/>
    <n v="0.99970000000000003"/>
    <n v="1.0019"/>
    <n v="1.0007999999999999"/>
    <n v="1.0008999999999999"/>
    <n v="0.99080000000000001"/>
    <n v="0.94971499999999998"/>
    <n v="0.94436885958806405"/>
    <n v="358700"/>
    <n v="0"/>
    <n v="358700"/>
    <n v="61800"/>
    <n v="420500"/>
    <n v="1.1847672778561354E-2"/>
    <n v="1.6207455429497568E-3"/>
    <n v="1.0331571359923113E-2"/>
  </r>
  <r>
    <n v="2025"/>
    <s v="19120113558    "/>
    <n v="-1.7719568419318752"/>
    <n v="0.17"/>
    <n v="7258"/>
    <s v="2"/>
    <s v="RES"/>
    <s v="MX"/>
    <s v="11"/>
    <s v="259"/>
    <s v="CO"/>
    <x v="5"/>
    <s v="VG"/>
    <n v="10"/>
    <n v="17"/>
    <n v="17"/>
    <n v="2007"/>
    <n v="2007"/>
    <n v="1116"/>
    <n v="1116"/>
    <m/>
    <m/>
    <m/>
    <n v="0"/>
    <n v="2232"/>
    <n v="2500"/>
    <s v="S"/>
    <n v="1"/>
    <n v="704"/>
    <m/>
    <m/>
    <m/>
    <m/>
    <m/>
    <n v="458492"/>
    <n v="426398"/>
    <n v="0"/>
    <n v="0"/>
    <n v="61700"/>
    <n v="363200"/>
    <n v="424900"/>
    <n v="132535.48800000001"/>
    <n v="88356.992000000013"/>
    <n v="-23255.730391660189"/>
    <n v="32917.849192000001"/>
    <n v="50438.379078999998"/>
    <n v="-1848.5987"/>
    <n v="69649.984080000009"/>
    <n v="66491.707427999994"/>
    <n v="0"/>
    <n v="24851.925824000002"/>
    <n v="0"/>
    <n v="375000"/>
    <n v="65100"/>
    <n v="440100"/>
    <n v="3.5773123087785359E-2"/>
    <n v="0.99970000000000003"/>
    <n v="1.0019"/>
    <n v="1.0007999999999999"/>
    <n v="1.0008999999999999"/>
    <n v="0.99080000000000001"/>
    <n v="0.94971499999999998"/>
    <n v="0.94436885958806405"/>
    <n v="367700"/>
    <n v="0"/>
    <n v="367700"/>
    <n v="61800"/>
    <n v="429500"/>
    <n v="1.2389867841409691E-2"/>
    <n v="1.6207455429497568E-3"/>
    <n v="1.0826076723935044E-2"/>
  </r>
  <r>
    <n v="2025"/>
    <s v="19120144541    "/>
    <n v="-1.7719568419318752"/>
    <n v="0.17"/>
    <n v="7215"/>
    <s v="2"/>
    <s v="RES"/>
    <s v="MX"/>
    <s v="11"/>
    <s v="259"/>
    <s v="RN"/>
    <x v="5"/>
    <s v="GD"/>
    <n v="20"/>
    <n v="20"/>
    <n v="20"/>
    <n v="2004"/>
    <n v="2004"/>
    <n v="1380"/>
    <m/>
    <m/>
    <m/>
    <m/>
    <n v="0"/>
    <n v="1380"/>
    <n v="1500"/>
    <s v="S"/>
    <m/>
    <n v="428"/>
    <m/>
    <m/>
    <m/>
    <m/>
    <m/>
    <n v="308394"/>
    <n v="280639"/>
    <n v="0"/>
    <n v="0"/>
    <n v="61700"/>
    <n v="285100"/>
    <n v="346800"/>
    <n v="132535.48800000001"/>
    <n v="88356.992000000013"/>
    <n v="-23255.730391660189"/>
    <n v="32917.849192000001"/>
    <n v="30300.329274"/>
    <n v="-2174.8220000000001"/>
    <n v="86126.324399999998"/>
    <n v="0"/>
    <n v="0"/>
    <n v="15108.841268"/>
    <n v="0"/>
    <n v="294800"/>
    <n v="65100"/>
    <n v="359900"/>
    <n v="3.7773933102652826E-2"/>
    <n v="0.99970000000000003"/>
    <n v="1.0019"/>
    <n v="0.997"/>
    <n v="0.99519999999999997"/>
    <n v="1.0138"/>
    <n v="0.94971499999999998"/>
    <n v="0.95714004466263625"/>
    <n v="289100"/>
    <n v="0"/>
    <n v="289100"/>
    <n v="61800"/>
    <n v="350900"/>
    <n v="1.403016485443704E-2"/>
    <n v="1.6207455429497568E-3"/>
    <n v="1.182237600922722E-2"/>
  </r>
  <r>
    <n v="2025"/>
    <s v="20120633458    "/>
    <n v="-1.7719568419318752"/>
    <n v="0.17"/>
    <n v="7191"/>
    <s v="2"/>
    <s v="RES"/>
    <s v="MX"/>
    <s v="11"/>
    <s v="259"/>
    <s v="RN"/>
    <x v="5"/>
    <s v="VG"/>
    <n v="10"/>
    <n v="15"/>
    <n v="15"/>
    <n v="2009"/>
    <n v="2009"/>
    <n v="1737"/>
    <m/>
    <m/>
    <m/>
    <m/>
    <n v="0"/>
    <n v="1737"/>
    <n v="2000"/>
    <s v="S"/>
    <n v="1"/>
    <n v="435"/>
    <m/>
    <m/>
    <m/>
    <m/>
    <m/>
    <n v="388905"/>
    <n v="365571"/>
    <n v="0"/>
    <n v="0"/>
    <n v="61700"/>
    <n v="324800"/>
    <n v="386500"/>
    <n v="132535.48800000001"/>
    <n v="88356.992000000013"/>
    <n v="-23255.730391660189"/>
    <n v="32917.849192000001"/>
    <n v="50438.379078999998"/>
    <n v="-1631.1165000000001"/>
    <n v="108406.83006000001"/>
    <n v="0"/>
    <n v="0"/>
    <n v="15355.948485000001"/>
    <n v="0"/>
    <n v="338000"/>
    <n v="65100"/>
    <n v="403100"/>
    <n v="4.2949547218628717E-2"/>
    <n v="0.99970000000000003"/>
    <n v="1.0019"/>
    <n v="1.0007999999999999"/>
    <n v="1.0007999999999999"/>
    <n v="0.99080000000000001"/>
    <n v="0.94971499999999998"/>
    <n v="0.94427450761887755"/>
    <n v="330600"/>
    <n v="0"/>
    <n v="330600"/>
    <n v="61800"/>
    <n v="392400"/>
    <n v="1.7857142857142856E-2"/>
    <n v="1.6207455429497568E-3"/>
    <n v="1.5265200517464425E-2"/>
  </r>
  <r>
    <n v="2025"/>
    <s v="19120113551    "/>
    <n v="-1.7719568419318752"/>
    <n v="0.17"/>
    <n v="7259"/>
    <s v="2"/>
    <s v="RES"/>
    <s v="MX"/>
    <s v="11"/>
    <s v="259"/>
    <s v="CO"/>
    <x v="5"/>
    <s v="VG"/>
    <n v="10"/>
    <n v="17"/>
    <n v="17"/>
    <n v="2007"/>
    <n v="2007"/>
    <n v="1116"/>
    <n v="1116"/>
    <m/>
    <m/>
    <m/>
    <n v="0"/>
    <n v="2232"/>
    <n v="2500"/>
    <s v="S"/>
    <n v="1"/>
    <n v="440"/>
    <m/>
    <m/>
    <m/>
    <m/>
    <m/>
    <n v="445282"/>
    <n v="414112"/>
    <n v="0"/>
    <n v="0"/>
    <n v="61700"/>
    <n v="351800"/>
    <n v="413500"/>
    <n v="132535.48800000001"/>
    <n v="88356.992000000013"/>
    <n v="-23255.730391660189"/>
    <n v="32917.849192000001"/>
    <n v="50438.379078999998"/>
    <n v="-1848.5987"/>
    <n v="69649.984080000009"/>
    <n v="66491.707427999994"/>
    <n v="0"/>
    <n v="15532.453640000002"/>
    <n v="0"/>
    <n v="365700"/>
    <n v="65100"/>
    <n v="430800"/>
    <n v="4.1837968561064087E-2"/>
    <n v="0.99970000000000003"/>
    <n v="1.0019"/>
    <n v="1.0007999999999999"/>
    <n v="1.0008999999999999"/>
    <n v="0.99080000000000001"/>
    <n v="0.94971499999999998"/>
    <n v="0.94436885958806405"/>
    <n v="358300"/>
    <n v="0"/>
    <n v="358300"/>
    <n v="61800"/>
    <n v="420100"/>
    <n v="1.8476407049459919E-2"/>
    <n v="1.6207455429497568E-3"/>
    <n v="1.5961305925030228E-2"/>
  </r>
  <r>
    <n v="2025"/>
    <s v="19120144506    "/>
    <n v="-1.7719568419318752"/>
    <n v="0.17"/>
    <n v="7562"/>
    <s v="2"/>
    <s v="RES"/>
    <s v="MX"/>
    <s v="11"/>
    <s v="259"/>
    <s v="CO"/>
    <x v="5"/>
    <s v="GD"/>
    <n v="20"/>
    <n v="20"/>
    <n v="20"/>
    <n v="2004"/>
    <n v="2004"/>
    <n v="1116"/>
    <n v="1116"/>
    <m/>
    <m/>
    <m/>
    <n v="0"/>
    <n v="2232"/>
    <n v="2500"/>
    <s v="S"/>
    <n v="1"/>
    <n v="440"/>
    <m/>
    <m/>
    <m/>
    <m/>
    <m/>
    <n v="444722"/>
    <n v="404697"/>
    <n v="0"/>
    <n v="0"/>
    <n v="61700"/>
    <n v="333600"/>
    <n v="395300"/>
    <n v="132535.48800000001"/>
    <n v="88356.992000000013"/>
    <n v="-23255.730391660189"/>
    <n v="32917.849192000001"/>
    <n v="30300.329274"/>
    <n v="-2174.8220000000001"/>
    <n v="69649.984080000009"/>
    <n v="66491.707427999994"/>
    <n v="0"/>
    <n v="15532.453640000002"/>
    <n v="0"/>
    <n v="345300"/>
    <n v="65100"/>
    <n v="410400"/>
    <n v="3.8198836326840374E-2"/>
    <n v="0.99970000000000003"/>
    <n v="1.0019"/>
    <n v="0.997"/>
    <n v="1.0008999999999999"/>
    <n v="1.0138"/>
    <n v="0.94971499999999998"/>
    <n v="0.96262205657438948"/>
    <n v="340300"/>
    <n v="0"/>
    <n v="340300"/>
    <n v="61800"/>
    <n v="402100"/>
    <n v="2.0083932853717026E-2"/>
    <n v="1.6207455429497568E-3"/>
    <n v="1.7202124968378446E-2"/>
  </r>
  <r>
    <n v="2025"/>
    <s v="20120633439    "/>
    <n v="-1.7719568419318752"/>
    <n v="0.17"/>
    <n v="7512"/>
    <s v="2"/>
    <s v="RES"/>
    <s v="MX"/>
    <s v="11"/>
    <s v="259"/>
    <s v="RN"/>
    <x v="5"/>
    <s v="VG"/>
    <n v="10"/>
    <n v="16"/>
    <n v="16"/>
    <n v="2008"/>
    <n v="2008"/>
    <n v="1737"/>
    <m/>
    <m/>
    <m/>
    <m/>
    <n v="0"/>
    <n v="1737"/>
    <n v="2000"/>
    <s v="S"/>
    <n v="1"/>
    <n v="435"/>
    <m/>
    <m/>
    <m/>
    <m/>
    <m/>
    <n v="387211"/>
    <n v="360106"/>
    <n v="0"/>
    <n v="0"/>
    <n v="61700"/>
    <n v="323900"/>
    <n v="385600"/>
    <n v="132535.48800000001"/>
    <n v="88356.992000000013"/>
    <n v="-23255.730391660189"/>
    <n v="32917.849192000001"/>
    <n v="50438.379078999998"/>
    <n v="-1739.8576"/>
    <n v="108406.83006000001"/>
    <n v="0"/>
    <n v="0"/>
    <n v="15355.948485000001"/>
    <n v="0"/>
    <n v="337900"/>
    <n v="65100"/>
    <n v="403000"/>
    <n v="4.5124481327800829E-2"/>
    <n v="0.99970000000000003"/>
    <n v="1.0019"/>
    <n v="1.0007999999999999"/>
    <n v="1.0007999999999999"/>
    <n v="0.99080000000000001"/>
    <n v="0.94971499999999998"/>
    <n v="0.94427450761887755"/>
    <n v="330500"/>
    <n v="0"/>
    <n v="330500"/>
    <n v="61800"/>
    <n v="392300"/>
    <n v="2.037665946279716E-2"/>
    <n v="1.6207455429497568E-3"/>
    <n v="1.7375518672199171E-2"/>
  </r>
  <r>
    <n v="2025"/>
    <s v="19120144529    "/>
    <n v="-1.7719568419318752"/>
    <n v="0.17"/>
    <n v="7205"/>
    <s v="2"/>
    <s v="RES"/>
    <s v="MX"/>
    <s v="11"/>
    <s v="259"/>
    <s v="RN"/>
    <x v="5"/>
    <s v="GD"/>
    <n v="20"/>
    <n v="20"/>
    <n v="20"/>
    <n v="2004"/>
    <n v="2004"/>
    <n v="1706"/>
    <m/>
    <m/>
    <m/>
    <m/>
    <n v="0"/>
    <n v="1706"/>
    <n v="2000"/>
    <s v="S"/>
    <m/>
    <n v="466"/>
    <m/>
    <m/>
    <m/>
    <m/>
    <m/>
    <n v="373267"/>
    <n v="339673"/>
    <n v="0"/>
    <n v="0"/>
    <n v="61700"/>
    <n v="304500"/>
    <n v="366200"/>
    <n v="132535.48800000001"/>
    <n v="88356.992000000013"/>
    <n v="-23255.730391660189"/>
    <n v="32917.849192000001"/>
    <n v="30300.329274"/>
    <n v="-2174.8220000000001"/>
    <n v="106472.10828"/>
    <n v="0"/>
    <n v="0"/>
    <n v="16450.280446000001"/>
    <n v="0"/>
    <n v="316500"/>
    <n v="65100"/>
    <n v="381600"/>
    <n v="4.2053522665210265E-2"/>
    <n v="0.99970000000000003"/>
    <n v="1.0019"/>
    <n v="0.997"/>
    <n v="1.0007999999999999"/>
    <n v="1.0138"/>
    <n v="0.94971499999999998"/>
    <n v="0.96252588092681512"/>
    <n v="311500"/>
    <n v="0"/>
    <n v="311500"/>
    <n v="61800"/>
    <n v="373300"/>
    <n v="2.2988505747126436E-2"/>
    <n v="1.6207455429497568E-3"/>
    <n v="1.9388312397596943E-2"/>
  </r>
  <r>
    <n v="2025"/>
    <s v="19120141542    "/>
    <n v="-1.7719568419318752"/>
    <n v="0.17"/>
    <n v="7328"/>
    <s v="2"/>
    <s v="RES"/>
    <s v="MX"/>
    <s v="11"/>
    <s v="259"/>
    <s v="CO"/>
    <x v="5"/>
    <s v="VG"/>
    <n v="10"/>
    <n v="19"/>
    <n v="19"/>
    <n v="2005"/>
    <n v="2005"/>
    <n v="1116"/>
    <n v="1116"/>
    <m/>
    <m/>
    <m/>
    <n v="0"/>
    <n v="2232"/>
    <n v="2500"/>
    <s v="S"/>
    <n v="1"/>
    <n v="440"/>
    <m/>
    <m/>
    <m/>
    <m/>
    <m/>
    <n v="446452"/>
    <n v="406271"/>
    <n v="0"/>
    <n v="0"/>
    <n v="61700"/>
    <n v="350000"/>
    <n v="411700"/>
    <n v="132535.48800000001"/>
    <n v="88356.992000000013"/>
    <n v="-23255.730391660189"/>
    <n v="32917.849192000001"/>
    <n v="50438.379078999998"/>
    <n v="-2066.0808999999999"/>
    <n v="69649.984080000009"/>
    <n v="66491.707427999994"/>
    <n v="0"/>
    <n v="15532.453640000002"/>
    <n v="0"/>
    <n v="365500"/>
    <n v="65100"/>
    <n v="430600"/>
    <n v="4.5907213990769975E-2"/>
    <n v="0.99970000000000003"/>
    <n v="1.0019"/>
    <n v="1.0007999999999999"/>
    <n v="1.0008999999999999"/>
    <n v="0.99080000000000001"/>
    <n v="0.94971499999999998"/>
    <n v="0.94436885958806405"/>
    <n v="358100"/>
    <n v="0"/>
    <n v="358100"/>
    <n v="61800"/>
    <n v="419900"/>
    <n v="2.3142857142857142E-2"/>
    <n v="1.6207455429497568E-3"/>
    <n v="1.9917415593879037E-2"/>
  </r>
  <r>
    <n v="2025"/>
    <s v="19120141556    "/>
    <n v="-1.7719568419318752"/>
    <n v="0.17"/>
    <n v="7419"/>
    <s v="2"/>
    <s v="RES"/>
    <s v="MX"/>
    <s v="11"/>
    <s v="259"/>
    <s v="CO"/>
    <x v="5"/>
    <s v="VG"/>
    <n v="10"/>
    <n v="19"/>
    <n v="19"/>
    <n v="2005"/>
    <n v="2005"/>
    <n v="1116"/>
    <n v="1116"/>
    <m/>
    <m/>
    <m/>
    <n v="0"/>
    <n v="2232"/>
    <n v="2500"/>
    <s v="S"/>
    <n v="1"/>
    <n v="440"/>
    <m/>
    <m/>
    <m/>
    <m/>
    <m/>
    <n v="446095"/>
    <n v="405946"/>
    <n v="0"/>
    <n v="0"/>
    <n v="61700"/>
    <n v="350000"/>
    <n v="411700"/>
    <n v="132535.48800000001"/>
    <n v="88356.992000000013"/>
    <n v="-23255.730391660189"/>
    <n v="32917.849192000001"/>
    <n v="50438.379078999998"/>
    <n v="-2066.0808999999999"/>
    <n v="69649.984080000009"/>
    <n v="66491.707427999994"/>
    <n v="0"/>
    <n v="15532.453640000002"/>
    <n v="0"/>
    <n v="365500"/>
    <n v="65100"/>
    <n v="430600"/>
    <n v="4.5907213990769975E-2"/>
    <n v="0.99970000000000003"/>
    <n v="1.0019"/>
    <n v="1.0007999999999999"/>
    <n v="1.0008999999999999"/>
    <n v="0.99080000000000001"/>
    <n v="0.94971499999999998"/>
    <n v="0.94436885958806405"/>
    <n v="358100"/>
    <n v="0"/>
    <n v="358100"/>
    <n v="61800"/>
    <n v="419900"/>
    <n v="2.3142857142857142E-2"/>
    <n v="1.6207455429497568E-3"/>
    <n v="1.9917415593879037E-2"/>
  </r>
  <r>
    <n v="2025"/>
    <s v="19120141404    "/>
    <n v="-1.7719568419318752"/>
    <n v="0.17"/>
    <n v="7443"/>
    <s v="2"/>
    <s v="RES"/>
    <s v="MX"/>
    <s v="11"/>
    <s v="259"/>
    <s v="CO"/>
    <x v="5"/>
    <s v="VG"/>
    <n v="10"/>
    <n v="19"/>
    <n v="19"/>
    <n v="2005"/>
    <n v="2005"/>
    <n v="1116"/>
    <n v="1116"/>
    <m/>
    <m/>
    <m/>
    <n v="0"/>
    <n v="2232"/>
    <n v="2500"/>
    <s v="S"/>
    <n v="1"/>
    <n v="440"/>
    <m/>
    <m/>
    <m/>
    <m/>
    <m/>
    <n v="453304"/>
    <n v="412507"/>
    <n v="0"/>
    <n v="0"/>
    <n v="61700"/>
    <n v="350000"/>
    <n v="411700"/>
    <n v="132535.48800000001"/>
    <n v="88356.992000000013"/>
    <n v="-23255.730391660189"/>
    <n v="32917.849192000001"/>
    <n v="50438.379078999998"/>
    <n v="-2066.0808999999999"/>
    <n v="69649.984080000009"/>
    <n v="66491.707427999994"/>
    <n v="0"/>
    <n v="15532.453640000002"/>
    <n v="0"/>
    <n v="365500"/>
    <n v="65100"/>
    <n v="430600"/>
    <n v="4.5907213990769975E-2"/>
    <n v="0.99970000000000003"/>
    <n v="1.0019"/>
    <n v="1.0007999999999999"/>
    <n v="1.0008999999999999"/>
    <n v="0.99080000000000001"/>
    <n v="0.94971499999999998"/>
    <n v="0.94436885958806405"/>
    <n v="358100"/>
    <n v="0"/>
    <n v="358100"/>
    <n v="61800"/>
    <n v="419900"/>
    <n v="2.3142857142857142E-2"/>
    <n v="1.6207455429497568E-3"/>
    <n v="1.9917415593879037E-2"/>
  </r>
  <r>
    <n v="2025"/>
    <s v="19120141407    "/>
    <n v="-1.7719568419318752"/>
    <n v="0.17"/>
    <n v="7452"/>
    <s v="2"/>
    <s v="RES"/>
    <s v="MX"/>
    <s v="11"/>
    <s v="259"/>
    <s v="CO"/>
    <x v="5"/>
    <s v="VG"/>
    <n v="10"/>
    <n v="19"/>
    <n v="19"/>
    <n v="2005"/>
    <n v="2005"/>
    <n v="1116"/>
    <n v="1116"/>
    <m/>
    <m/>
    <m/>
    <n v="0"/>
    <n v="2232"/>
    <n v="2500"/>
    <s v="S"/>
    <m/>
    <n v="440"/>
    <m/>
    <m/>
    <m/>
    <m/>
    <m/>
    <n v="444858"/>
    <n v="404821"/>
    <n v="0"/>
    <n v="0"/>
    <n v="61700"/>
    <n v="350000"/>
    <n v="411700"/>
    <n v="132535.48800000001"/>
    <n v="88356.992000000013"/>
    <n v="-23255.730391660189"/>
    <n v="32917.849192000001"/>
    <n v="50438.379078999998"/>
    <n v="-2066.0808999999999"/>
    <n v="69649.984080000009"/>
    <n v="66491.707427999994"/>
    <n v="0"/>
    <n v="15532.453640000002"/>
    <n v="0"/>
    <n v="365500"/>
    <n v="65100"/>
    <n v="430600"/>
    <n v="4.5907213990769975E-2"/>
    <n v="0.99970000000000003"/>
    <n v="1.0019"/>
    <n v="1.0007999999999999"/>
    <n v="1.0008999999999999"/>
    <n v="0.99080000000000001"/>
    <n v="0.94971499999999998"/>
    <n v="0.94436885958806405"/>
    <n v="358100"/>
    <n v="0"/>
    <n v="358100"/>
    <n v="61800"/>
    <n v="419900"/>
    <n v="2.3142857142857142E-2"/>
    <n v="1.6207455429497568E-3"/>
    <n v="1.9917415593879037E-2"/>
  </r>
  <r>
    <n v="2025"/>
    <s v="19120144527    "/>
    <n v="-1.7719568419318752"/>
    <n v="0.17"/>
    <n v="7205"/>
    <s v="2"/>
    <s v="RES"/>
    <s v="MX"/>
    <s v="11"/>
    <s v="259"/>
    <s v="CO"/>
    <x v="5"/>
    <s v="VG"/>
    <n v="20"/>
    <n v="20"/>
    <n v="20"/>
    <n v="2004"/>
    <n v="2004"/>
    <n v="1116"/>
    <n v="1116"/>
    <m/>
    <m/>
    <m/>
    <n v="0"/>
    <n v="2232"/>
    <n v="2500"/>
    <s v="S"/>
    <m/>
    <n v="736"/>
    <m/>
    <m/>
    <m/>
    <m/>
    <m/>
    <n v="485594"/>
    <n v="446746"/>
    <n v="0"/>
    <n v="0"/>
    <n v="61700"/>
    <n v="361900"/>
    <n v="423600"/>
    <n v="132535.48800000001"/>
    <n v="88356.992000000013"/>
    <n v="-23255.730391660189"/>
    <n v="32917.849192000001"/>
    <n v="50438.379078999998"/>
    <n v="-2174.8220000000001"/>
    <n v="69649.984080000009"/>
    <n v="66491.707427999994"/>
    <n v="0"/>
    <n v="25981.558816000001"/>
    <n v="0"/>
    <n v="375800"/>
    <n v="65100"/>
    <n v="440900"/>
    <n v="4.0840415486307839E-2"/>
    <n v="0.99970000000000003"/>
    <n v="1.0019"/>
    <n v="1.0007999999999999"/>
    <n v="1.0008999999999999"/>
    <n v="1.0138"/>
    <n v="0.94971499999999998"/>
    <n v="0.9662910273015537"/>
    <n v="371400"/>
    <n v="0"/>
    <n v="371400"/>
    <n v="61800"/>
    <n v="433200"/>
    <n v="2.6250345399281571E-2"/>
    <n v="1.6207455429497568E-3"/>
    <n v="2.2662889518413599E-2"/>
  </r>
  <r>
    <n v="2025"/>
    <s v="19120112483    "/>
    <n v="-1.7719568419318752"/>
    <n v="0.17"/>
    <n v="7297"/>
    <s v="2"/>
    <s v="RES"/>
    <s v="MX"/>
    <s v="11"/>
    <s v="259"/>
    <s v="RN"/>
    <x v="5"/>
    <s v="VG"/>
    <n v="10"/>
    <n v="17"/>
    <n v="17"/>
    <n v="2007"/>
    <n v="2007"/>
    <n v="1732"/>
    <m/>
    <m/>
    <m/>
    <m/>
    <n v="0"/>
    <n v="1732"/>
    <n v="2000"/>
    <s v="S"/>
    <n v="1"/>
    <n v="440"/>
    <m/>
    <m/>
    <m/>
    <m/>
    <m/>
    <n v="379844"/>
    <n v="353255"/>
    <n v="0"/>
    <n v="0"/>
    <n v="61700"/>
    <n v="321300"/>
    <n v="383000"/>
    <n v="132535.48800000001"/>
    <n v="88356.992000000013"/>
    <n v="-23255.730391660189"/>
    <n v="32917.849192000001"/>
    <n v="50438.379078999998"/>
    <n v="-1848.5987"/>
    <n v="108094.77816"/>
    <n v="0"/>
    <n v="0"/>
    <n v="15532.453640000002"/>
    <n v="0"/>
    <n v="337700"/>
    <n v="65100"/>
    <n v="402800"/>
    <n v="5.1697127937336815E-2"/>
    <n v="0.99970000000000003"/>
    <n v="1.0019"/>
    <n v="1.0007999999999999"/>
    <n v="1.0007999999999999"/>
    <n v="0.99080000000000001"/>
    <n v="0.94971499999999998"/>
    <n v="0.94427450761887755"/>
    <n v="330300"/>
    <n v="0"/>
    <n v="330300"/>
    <n v="61800"/>
    <n v="392100"/>
    <n v="2.8011204481792718E-2"/>
    <n v="1.6207455429497568E-3"/>
    <n v="2.3759791122715406E-2"/>
  </r>
  <r>
    <n v="2025"/>
    <s v="19120142614    "/>
    <n v="-1.7719568419318752"/>
    <n v="0.17"/>
    <m/>
    <s v="2"/>
    <s v="RES"/>
    <s v="MX"/>
    <s v="11"/>
    <s v="259"/>
    <s v="RN"/>
    <x v="5"/>
    <s v="GD"/>
    <n v="90"/>
    <n v="99"/>
    <n v="44"/>
    <n v="1925"/>
    <n v="1980"/>
    <n v="2451"/>
    <m/>
    <m/>
    <m/>
    <m/>
    <n v="0"/>
    <n v="2451"/>
    <n v="2500"/>
    <s v="S"/>
    <n v="1"/>
    <n v="552"/>
    <m/>
    <m/>
    <m/>
    <m/>
    <m/>
    <n v="523511"/>
    <n v="413574"/>
    <n v="0"/>
    <n v="0"/>
    <n v="61700"/>
    <n v="329700"/>
    <n v="391400"/>
    <n v="132535.48800000001"/>
    <n v="88356.992000000013"/>
    <n v="-23255.730391660189"/>
    <n v="32917.849192000001"/>
    <n v="30300.329274"/>
    <n v="-4784.6084000000001"/>
    <n v="152967.84138"/>
    <n v="0"/>
    <n v="0"/>
    <n v="19486.169112"/>
    <n v="0"/>
    <n v="363400"/>
    <n v="65100"/>
    <n v="428500"/>
    <n v="9.4787940725600414E-2"/>
    <n v="0.99970000000000003"/>
    <n v="1.0019"/>
    <n v="0.997"/>
    <n v="1.0008999999999999"/>
    <n v="0.99960000000000004"/>
    <n v="0.94971499999999998"/>
    <n v="0.94913889105519811"/>
    <n v="356700"/>
    <n v="0"/>
    <n v="356700"/>
    <n v="61800"/>
    <n v="418500"/>
    <n v="8.1892629663330302E-2"/>
    <n v="1.6207455429497568E-3"/>
    <n v="6.9238630556974962E-2"/>
  </r>
  <r>
    <n v="2025"/>
    <s v="19120144567    "/>
    <n v="-1.7719568419318752"/>
    <n v="0.17"/>
    <n v="7534"/>
    <s v="2"/>
    <s v="RES"/>
    <s v="MX"/>
    <s v="11"/>
    <s v="259"/>
    <s v="CO"/>
    <x v="5"/>
    <s v="GD"/>
    <n v="20"/>
    <n v="20"/>
    <n v="20"/>
    <n v="2004"/>
    <n v="2004"/>
    <n v="1158"/>
    <n v="1322"/>
    <m/>
    <m/>
    <m/>
    <n v="0"/>
    <n v="2480"/>
    <n v="2500"/>
    <s v="B"/>
    <n v="1"/>
    <m/>
    <n v="802"/>
    <m/>
    <m/>
    <m/>
    <m/>
    <n v="492165"/>
    <n v="447870"/>
    <n v="0"/>
    <n v="0"/>
    <n v="61700"/>
    <n v="362100"/>
    <n v="423800"/>
    <n v="132535.48800000001"/>
    <n v="88356.992000000013"/>
    <n v="-23255.730391660189"/>
    <n v="32917.849192000001"/>
    <n v="30300.329274"/>
    <n v="-2174.8220000000001"/>
    <n v="72271.22004"/>
    <n v="78765.266325999997"/>
    <n v="0"/>
    <n v="0"/>
    <n v="0"/>
    <n v="344600"/>
    <n v="65100"/>
    <n v="409700"/>
    <n v="-3.3270410571024069E-2"/>
    <n v="0.99970000000000003"/>
    <n v="1.0019"/>
    <n v="0.997"/>
    <n v="1.0008999999999999"/>
    <n v="1.0138"/>
    <n v="0.94971499999999998"/>
    <n v="0.96262205657438948"/>
    <n v="339700"/>
    <n v="0"/>
    <n v="339700"/>
    <n v="61800"/>
    <n v="401500"/>
    <n v="-6.1861364264015464E-2"/>
    <n v="1.6207455429497568E-3"/>
    <n v="-5.2619159981123174E-2"/>
  </r>
  <r>
    <n v="2025"/>
    <s v="19120141432    "/>
    <n v="-1.7719568419318752"/>
    <n v="0.17"/>
    <n v="7422"/>
    <s v="2"/>
    <s v="RES"/>
    <s v="MX"/>
    <s v="11"/>
    <s v="259"/>
    <s v="RN"/>
    <x v="5"/>
    <s v="VG"/>
    <n v="10"/>
    <n v="19"/>
    <n v="19"/>
    <n v="2005"/>
    <n v="2005"/>
    <n v="1706"/>
    <m/>
    <m/>
    <m/>
    <m/>
    <n v="0"/>
    <n v="1706"/>
    <n v="2000"/>
    <s v="B"/>
    <m/>
    <n v="466"/>
    <m/>
    <m/>
    <m/>
    <m/>
    <m/>
    <n v="394746"/>
    <n v="359219"/>
    <n v="0"/>
    <n v="0"/>
    <n v="61700"/>
    <n v="346800"/>
    <n v="408500"/>
    <n v="132535.48800000001"/>
    <n v="88356.992000000013"/>
    <n v="-23255.730391660189"/>
    <n v="32917.849192000001"/>
    <n v="50438.379078999998"/>
    <n v="-2066.0808999999999"/>
    <n v="106472.10828"/>
    <n v="0"/>
    <n v="0"/>
    <n v="16450.280446000001"/>
    <n v="0"/>
    <n v="336700"/>
    <n v="65100"/>
    <n v="401800"/>
    <n v="-1.6401468788249694E-2"/>
    <n v="0.99970000000000003"/>
    <n v="1.0019"/>
    <n v="1.0007999999999999"/>
    <n v="1.0007999999999999"/>
    <n v="0.99080000000000001"/>
    <n v="0.94971499999999998"/>
    <n v="0.94427450761887755"/>
    <n v="329400"/>
    <n v="0"/>
    <n v="329400"/>
    <n v="61800"/>
    <n v="391200"/>
    <n v="-5.0173010380622836E-2"/>
    <n v="1.6207455429497568E-3"/>
    <n v="-4.2350061199510403E-2"/>
  </r>
  <r>
    <n v="2025"/>
    <s v="19120141426    "/>
    <n v="-1.7719568419318752"/>
    <n v="0.17"/>
    <n v="7310"/>
    <s v="2"/>
    <s v="RES"/>
    <s v="MX"/>
    <s v="11"/>
    <s v="259"/>
    <s v="RN"/>
    <x v="5"/>
    <s v="AV"/>
    <n v="10"/>
    <n v="19"/>
    <n v="19"/>
    <n v="2005"/>
    <n v="2005"/>
    <n v="1380"/>
    <m/>
    <m/>
    <m/>
    <m/>
    <n v="0"/>
    <n v="1380"/>
    <n v="1500"/>
    <s v="B"/>
    <m/>
    <n v="428"/>
    <m/>
    <m/>
    <m/>
    <m/>
    <m/>
    <n v="309646"/>
    <n v="278681"/>
    <n v="0"/>
    <n v="0"/>
    <n v="61700"/>
    <n v="286000"/>
    <n v="347700"/>
    <n v="132535.48800000001"/>
    <n v="88356.992000000013"/>
    <n v="-23255.730391660189"/>
    <n v="32917.849192000001"/>
    <n v="17761.121909000001"/>
    <n v="-2066.0808999999999"/>
    <n v="86126.324399999998"/>
    <n v="0"/>
    <n v="0"/>
    <n v="15108.841268"/>
    <n v="0"/>
    <n v="282400"/>
    <n v="65100"/>
    <n v="347500"/>
    <n v="-5.7520851308599363E-4"/>
    <n v="0.99970000000000003"/>
    <n v="1.0019"/>
    <n v="0.99680000000000002"/>
    <n v="0.99519999999999997"/>
    <n v="0.99080000000000001"/>
    <n v="0.94971499999999998"/>
    <n v="0.9352378365237104"/>
    <n v="273800"/>
    <n v="0"/>
    <n v="273800"/>
    <n v="61800"/>
    <n v="335600"/>
    <n v="-4.265734265734266E-2"/>
    <n v="1.6207455429497568E-3"/>
    <n v="-3.480011504170262E-2"/>
  </r>
  <r>
    <n v="2025"/>
    <s v="19120141406    "/>
    <n v="-1.7719568419318752"/>
    <n v="0.17"/>
    <n v="7449"/>
    <s v="2"/>
    <s v="RES"/>
    <s v="MX"/>
    <s v="11"/>
    <s v="259"/>
    <s v="CO"/>
    <x v="5"/>
    <s v="GD"/>
    <n v="10"/>
    <n v="19"/>
    <n v="19"/>
    <n v="2005"/>
    <n v="2005"/>
    <n v="1116"/>
    <n v="1116"/>
    <m/>
    <m/>
    <m/>
    <n v="0"/>
    <n v="2232"/>
    <n v="2500"/>
    <s v="B"/>
    <n v="1"/>
    <n v="704"/>
    <m/>
    <m/>
    <m/>
    <m/>
    <m/>
    <n v="456300"/>
    <n v="415233"/>
    <n v="0"/>
    <n v="0"/>
    <n v="61700"/>
    <n v="345900"/>
    <n v="407600"/>
    <n v="132535.48800000001"/>
    <n v="88356.992000000013"/>
    <n v="-23255.730391660189"/>
    <n v="32917.849192000001"/>
    <n v="30300.329274"/>
    <n v="-2066.0808999999999"/>
    <n v="69649.984080000009"/>
    <n v="66491.707427999994"/>
    <n v="0"/>
    <n v="24851.925824000002"/>
    <n v="0"/>
    <n v="354700"/>
    <n v="65100"/>
    <n v="419800"/>
    <n v="2.9931305201177625E-2"/>
    <n v="0.99970000000000003"/>
    <n v="1.0019"/>
    <n v="0.997"/>
    <n v="1.0008999999999999"/>
    <n v="0.99080000000000001"/>
    <n v="0.94971499999999998"/>
    <n v="0.94078312650809337"/>
    <n v="346800"/>
    <n v="0"/>
    <n v="346800"/>
    <n v="61800"/>
    <n v="408600"/>
    <n v="2.6019080659150044E-3"/>
    <n v="1.6207455429497568E-3"/>
    <n v="2.4533856722276743E-3"/>
  </r>
  <r>
    <n v="2025"/>
    <s v="19120144565    "/>
    <n v="-1.7719568419318752"/>
    <n v="0.17"/>
    <n v="7558"/>
    <s v="2"/>
    <s v="RES"/>
    <s v="MX"/>
    <s v="11"/>
    <s v="259"/>
    <s v="CO"/>
    <x v="5"/>
    <s v="GD"/>
    <n v="20"/>
    <n v="20"/>
    <n v="20"/>
    <n v="2004"/>
    <n v="2004"/>
    <n v="1116"/>
    <n v="1116"/>
    <m/>
    <m/>
    <m/>
    <n v="0"/>
    <n v="2232"/>
    <n v="2500"/>
    <s v="B"/>
    <n v="1"/>
    <n v="716"/>
    <m/>
    <m/>
    <m/>
    <m/>
    <m/>
    <n v="458818"/>
    <n v="417524"/>
    <n v="0"/>
    <n v="0"/>
    <n v="61700"/>
    <n v="345500"/>
    <n v="407200"/>
    <n v="132535.48800000001"/>
    <n v="88356.992000000013"/>
    <n v="-23255.730391660189"/>
    <n v="32917.849192000001"/>
    <n v="30300.329274"/>
    <n v="-2174.8220000000001"/>
    <n v="69649.984080000009"/>
    <n v="66491.707427999994"/>
    <n v="0"/>
    <n v="25275.538196000001"/>
    <n v="0"/>
    <n v="355000"/>
    <n v="65100"/>
    <n v="420100"/>
    <n v="3.1679764243614933E-2"/>
    <n v="0.99970000000000003"/>
    <n v="1.0019"/>
    <n v="0.997"/>
    <n v="1.0008999999999999"/>
    <n v="1.0138"/>
    <n v="0.94971499999999998"/>
    <n v="0.96262205657438948"/>
    <n v="350000"/>
    <n v="0"/>
    <n v="350000"/>
    <n v="61800"/>
    <n v="411800"/>
    <n v="1.3024602026049204E-2"/>
    <n v="1.6207455429497568E-3"/>
    <n v="1.1296660117878193E-2"/>
  </r>
  <r>
    <n v="2025"/>
    <s v="19120112470    "/>
    <n v="-1.7719568419318752"/>
    <n v="0.17"/>
    <n v="7320"/>
    <s v="2"/>
    <s v="RES"/>
    <s v="MX"/>
    <s v="11"/>
    <s v="259"/>
    <s v="RN"/>
    <x v="5"/>
    <s v="VG"/>
    <n v="10"/>
    <n v="17"/>
    <n v="17"/>
    <n v="2007"/>
    <n v="2007"/>
    <n v="1706"/>
    <m/>
    <m/>
    <m/>
    <m/>
    <n v="0"/>
    <n v="1706"/>
    <n v="2000"/>
    <s v="B"/>
    <n v="1"/>
    <n v="706"/>
    <m/>
    <m/>
    <m/>
    <m/>
    <m/>
    <n v="391690"/>
    <n v="364272"/>
    <n v="0"/>
    <n v="0"/>
    <n v="61700"/>
    <n v="333100"/>
    <n v="394800"/>
    <n v="132535.48800000001"/>
    <n v="88356.992000000013"/>
    <n v="-23255.730391660189"/>
    <n v="32917.849192000001"/>
    <n v="50438.379078999998"/>
    <n v="-1848.5987"/>
    <n v="106472.10828"/>
    <n v="0"/>
    <n v="0"/>
    <n v="24922.527886"/>
    <n v="0"/>
    <n v="345400"/>
    <n v="65100"/>
    <n v="410500"/>
    <n v="3.9766970618034449E-2"/>
    <n v="0.99970000000000003"/>
    <n v="1.0019"/>
    <n v="1.0007999999999999"/>
    <n v="1.0007999999999999"/>
    <n v="0.99080000000000001"/>
    <n v="0.94971499999999998"/>
    <n v="0.94427450761887755"/>
    <n v="338100"/>
    <n v="0"/>
    <n v="338100"/>
    <n v="61800"/>
    <n v="399900"/>
    <n v="1.5010507355148604E-2"/>
    <n v="1.6207455429497568E-3"/>
    <n v="1.2917933130699088E-2"/>
  </r>
  <r>
    <n v="2025"/>
    <s v="19120144578    "/>
    <n v="-1.7719568419318752"/>
    <n v="0.17"/>
    <n v="7303"/>
    <s v="2"/>
    <s v="RES"/>
    <s v="MX"/>
    <s v="11"/>
    <s v="259"/>
    <s v="CO"/>
    <x v="5"/>
    <s v="GD"/>
    <n v="20"/>
    <n v="20"/>
    <n v="20"/>
    <n v="2004"/>
    <n v="2004"/>
    <n v="1116"/>
    <n v="1116"/>
    <m/>
    <m/>
    <m/>
    <n v="0"/>
    <n v="2232"/>
    <n v="2500"/>
    <s v="B"/>
    <n v="1"/>
    <n v="440"/>
    <m/>
    <m/>
    <m/>
    <m/>
    <m/>
    <n v="444722"/>
    <n v="404697"/>
    <n v="0"/>
    <n v="0"/>
    <n v="61700"/>
    <n v="333600"/>
    <n v="395300"/>
    <n v="132535.48800000001"/>
    <n v="88356.992000000013"/>
    <n v="-23255.730391660189"/>
    <n v="32917.849192000001"/>
    <n v="30300.329274"/>
    <n v="-2174.8220000000001"/>
    <n v="69649.984080000009"/>
    <n v="66491.707427999994"/>
    <n v="0"/>
    <n v="15532.453640000002"/>
    <n v="0"/>
    <n v="345300"/>
    <n v="65100"/>
    <n v="410400"/>
    <n v="3.8198836326840374E-2"/>
    <n v="0.99970000000000003"/>
    <n v="1.0019"/>
    <n v="0.997"/>
    <n v="1.0008999999999999"/>
    <n v="1.0138"/>
    <n v="0.94971499999999998"/>
    <n v="0.96262205657438948"/>
    <n v="340300"/>
    <n v="0"/>
    <n v="340300"/>
    <n v="61800"/>
    <n v="402100"/>
    <n v="2.0083932853717026E-2"/>
    <n v="1.6207455429497568E-3"/>
    <n v="1.7202124968378446E-2"/>
  </r>
  <r>
    <n v="2025"/>
    <s v="19120144561    "/>
    <n v="-1.7719568419318752"/>
    <n v="0.17"/>
    <n v="7500"/>
    <s v="2"/>
    <s v="RES"/>
    <s v="MX"/>
    <s v="11"/>
    <s v="259"/>
    <s v="RN"/>
    <x v="5"/>
    <s v="GD"/>
    <n v="20"/>
    <n v="20"/>
    <n v="20"/>
    <n v="2004"/>
    <n v="2004"/>
    <n v="1706"/>
    <m/>
    <m/>
    <m/>
    <m/>
    <n v="0"/>
    <n v="1706"/>
    <n v="2000"/>
    <s v="B"/>
    <m/>
    <n v="466"/>
    <m/>
    <m/>
    <m/>
    <m/>
    <m/>
    <n v="373267"/>
    <n v="339673"/>
    <n v="0"/>
    <n v="0"/>
    <n v="61700"/>
    <n v="304500"/>
    <n v="366200"/>
    <n v="132535.48800000001"/>
    <n v="88356.992000000013"/>
    <n v="-23255.730391660189"/>
    <n v="32917.849192000001"/>
    <n v="30300.329274"/>
    <n v="-2174.8220000000001"/>
    <n v="106472.10828"/>
    <n v="0"/>
    <n v="0"/>
    <n v="16450.280446000001"/>
    <n v="0"/>
    <n v="316500"/>
    <n v="65100"/>
    <n v="381600"/>
    <n v="4.2053522665210265E-2"/>
    <n v="0.99970000000000003"/>
    <n v="1.0019"/>
    <n v="0.997"/>
    <n v="1.0007999999999999"/>
    <n v="1.0138"/>
    <n v="0.94971499999999998"/>
    <n v="0.96252588092681512"/>
    <n v="311500"/>
    <n v="0"/>
    <n v="311500"/>
    <n v="61800"/>
    <n v="373300"/>
    <n v="2.2988505747126436E-2"/>
    <n v="1.6207455429497568E-3"/>
    <n v="1.9388312397596943E-2"/>
  </r>
  <r>
    <n v="2025"/>
    <s v="19120144572    "/>
    <n v="-1.7719568419318752"/>
    <n v="0.17"/>
    <n v="7198"/>
    <s v="2"/>
    <s v="RES"/>
    <s v="MX"/>
    <s v="11"/>
    <s v="259"/>
    <s v="CO"/>
    <x v="5"/>
    <s v="VG"/>
    <n v="20"/>
    <n v="20"/>
    <n v="20"/>
    <n v="2004"/>
    <n v="2004"/>
    <n v="1116"/>
    <n v="1116"/>
    <m/>
    <m/>
    <m/>
    <n v="0"/>
    <n v="2232"/>
    <n v="2500"/>
    <s v="B"/>
    <m/>
    <n v="440"/>
    <m/>
    <m/>
    <m/>
    <m/>
    <m/>
    <n v="441746"/>
    <n v="406406"/>
    <n v="0"/>
    <n v="0"/>
    <n v="61700"/>
    <n v="349100"/>
    <n v="410800"/>
    <n v="132535.48800000001"/>
    <n v="88356.992000000013"/>
    <n v="-23255.730391660189"/>
    <n v="32917.849192000001"/>
    <n v="50438.379078999998"/>
    <n v="-2174.8220000000001"/>
    <n v="69649.984080000009"/>
    <n v="66491.707427999994"/>
    <n v="0"/>
    <n v="15532.453640000002"/>
    <n v="0"/>
    <n v="365400"/>
    <n v="65100"/>
    <n v="430500"/>
    <n v="4.7955209347614408E-2"/>
    <n v="0.99970000000000003"/>
    <n v="1.0019"/>
    <n v="1.0007999999999999"/>
    <n v="1.0008999999999999"/>
    <n v="1.0138"/>
    <n v="0.94971499999999998"/>
    <n v="0.9662910273015537"/>
    <n v="360900"/>
    <n v="0"/>
    <n v="360900"/>
    <n v="61800"/>
    <n v="422700"/>
    <n v="3.3801203093669435E-2"/>
    <n v="1.6207455429497568E-3"/>
    <n v="2.8967867575462512E-2"/>
  </r>
  <r>
    <n v="2025"/>
    <s v="19120134458    "/>
    <n v="-1.7719568419318752"/>
    <n v="0.17"/>
    <n v="7504"/>
    <s v="2"/>
    <s v="RES"/>
    <s v="MX"/>
    <s v="11"/>
    <s v="259"/>
    <s v="CP"/>
    <x v="5"/>
    <s v="AV"/>
    <n v="30"/>
    <n v="31"/>
    <n v="31"/>
    <n v="1993"/>
    <n v="1993"/>
    <n v="1914"/>
    <m/>
    <m/>
    <m/>
    <m/>
    <n v="0"/>
    <n v="1914"/>
    <n v="2000"/>
    <s v="B"/>
    <m/>
    <n v="480"/>
    <m/>
    <m/>
    <m/>
    <m/>
    <m/>
    <n v="406340"/>
    <n v="345389"/>
    <n v="0"/>
    <n v="0"/>
    <n v="61700"/>
    <n v="285000"/>
    <n v="346700"/>
    <n v="132535.48800000001"/>
    <n v="88356.992000000013"/>
    <n v="-23255.730391660189"/>
    <n v="32917.849192000001"/>
    <n v="17761.121909000001"/>
    <n v="-3370.9740999999999"/>
    <n v="119453.46732000001"/>
    <n v="0"/>
    <n v="0"/>
    <n v="16944.494880000002"/>
    <n v="0"/>
    <n v="316200"/>
    <n v="65100"/>
    <n v="381300"/>
    <n v="9.9798096336890685E-2"/>
    <n v="0.99970000000000003"/>
    <n v="1.0019"/>
    <n v="0.99680000000000002"/>
    <n v="1.0007999999999999"/>
    <n v="0.95920000000000005"/>
    <n v="0.94971499999999998"/>
    <n v="0.91050465417266691"/>
    <n v="304400"/>
    <n v="0"/>
    <n v="304400"/>
    <n v="61800"/>
    <n v="366200"/>
    <n v="6.8070175438596489E-2"/>
    <n v="1.6207455429497568E-3"/>
    <n v="5.6244591866166711E-2"/>
  </r>
  <r>
    <n v="2025"/>
    <s v="19120141440    "/>
    <n v="-1.7719568419318752"/>
    <n v="0.17"/>
    <n v="7222"/>
    <s v="2"/>
    <s v="RES"/>
    <s v="MX"/>
    <s v="11"/>
    <s v="259"/>
    <s v="RN"/>
    <x v="0"/>
    <s v="AV"/>
    <n v="10"/>
    <n v="19"/>
    <n v="19"/>
    <n v="2005"/>
    <n v="2005"/>
    <n v="1092"/>
    <m/>
    <m/>
    <m/>
    <m/>
    <n v="0"/>
    <n v="1092"/>
    <n v="1500"/>
    <s v="N"/>
    <m/>
    <n v="440"/>
    <m/>
    <m/>
    <m/>
    <m/>
    <m/>
    <n v="208200"/>
    <n v="187380"/>
    <n v="0"/>
    <n v="0"/>
    <n v="61700"/>
    <n v="284400"/>
    <n v="346100"/>
    <n v="132535.48800000001"/>
    <n v="88356.992000000013"/>
    <n v="-23255.730391660189"/>
    <n v="24371.765965999999"/>
    <n v="17761.121909000001"/>
    <n v="-2066.0808999999999"/>
    <n v="68152.13496000001"/>
    <n v="0"/>
    <n v="0"/>
    <n v="15532.453640000002"/>
    <n v="0"/>
    <n v="256300"/>
    <n v="65100"/>
    <n v="321400"/>
    <n v="-7.1366657035538864E-2"/>
    <n v="0.99970000000000003"/>
    <n v="0.99199999999999999"/>
    <n v="0.99680000000000002"/>
    <n v="0.99519999999999997"/>
    <n v="0.99080000000000001"/>
    <n v="0.94971499999999998"/>
    <n v="0.92599654040475177"/>
    <n v="246500"/>
    <n v="0"/>
    <n v="246500"/>
    <n v="61800"/>
    <n v="308300"/>
    <n v="-0.13326300984528833"/>
    <n v="1.6207455429497568E-3"/>
    <n v="-0.10921698930944813"/>
  </r>
  <r>
    <n v="2025"/>
    <s v="20120633437    "/>
    <n v="-1.7719568419318752"/>
    <n v="0.17"/>
    <n v="7606"/>
    <s v="2"/>
    <s v="RES"/>
    <s v="MX"/>
    <s v="11"/>
    <s v="259"/>
    <s v="CO"/>
    <x v="5"/>
    <s v="GD"/>
    <n v="10"/>
    <n v="15"/>
    <n v="15"/>
    <n v="2009"/>
    <n v="2009"/>
    <n v="1116"/>
    <n v="1116"/>
    <m/>
    <m/>
    <m/>
    <n v="0"/>
    <n v="2232"/>
    <n v="2500"/>
    <s v="N"/>
    <m/>
    <n v="440"/>
    <m/>
    <m/>
    <m/>
    <m/>
    <m/>
    <n v="465392"/>
    <n v="432815"/>
    <n v="0"/>
    <n v="0"/>
    <n v="61700"/>
    <n v="379000"/>
    <n v="440700"/>
    <n v="132535.48800000001"/>
    <n v="88356.992000000013"/>
    <n v="-23255.730391660189"/>
    <n v="32917.849192000001"/>
    <n v="30300.329274"/>
    <n v="-1631.1165000000001"/>
    <n v="69649.984080000009"/>
    <n v="66491.707427999994"/>
    <n v="0"/>
    <n v="15532.453640000002"/>
    <n v="0"/>
    <n v="345800"/>
    <n v="65100"/>
    <n v="410900"/>
    <n v="-6.7619695938280003E-2"/>
    <n v="0.99970000000000003"/>
    <n v="1.0019"/>
    <n v="0.997"/>
    <n v="1.0008999999999999"/>
    <n v="0.99080000000000001"/>
    <n v="0.94971499999999998"/>
    <n v="0.94078312650809337"/>
    <n v="337900"/>
    <n v="0"/>
    <n v="337900"/>
    <n v="61800"/>
    <n v="399700"/>
    <n v="-0.10844327176781003"/>
    <n v="1.6207455429497568E-3"/>
    <n v="-9.3033809847969134E-2"/>
  </r>
  <r>
    <n v="2025"/>
    <s v="20120633485    "/>
    <n v="-1.7719568419318752"/>
    <n v="0.17"/>
    <n v="7200"/>
    <s v="2"/>
    <s v="RES"/>
    <s v="MX"/>
    <s v="11"/>
    <s v="259"/>
    <s v="CP"/>
    <x v="4"/>
    <s v="VG"/>
    <n v="10"/>
    <n v="12"/>
    <n v="12"/>
    <n v="2012"/>
    <n v="2012"/>
    <n v="1368"/>
    <m/>
    <m/>
    <m/>
    <m/>
    <n v="0"/>
    <n v="1368"/>
    <n v="1500"/>
    <s v="N"/>
    <m/>
    <n v="424"/>
    <m/>
    <m/>
    <m/>
    <m/>
    <m/>
    <n v="296414"/>
    <n v="281593"/>
    <n v="0"/>
    <n v="0"/>
    <n v="61700"/>
    <n v="347700"/>
    <n v="409400"/>
    <n v="132535.48800000001"/>
    <n v="88356.992000000013"/>
    <n v="-23255.730391660189"/>
    <n v="37154.252388000001"/>
    <n v="50438.379078999998"/>
    <n v="-1304.8932"/>
    <n v="85377.399839999998"/>
    <n v="0"/>
    <n v="0"/>
    <n v="14967.637144"/>
    <n v="0"/>
    <n v="319200"/>
    <n v="65100"/>
    <n v="384300"/>
    <n v="-6.1309233023937468E-2"/>
    <n v="0.99970000000000003"/>
    <n v="0.99819999999999998"/>
    <n v="1.0007999999999999"/>
    <n v="0.99519999999999997"/>
    <n v="0.99080000000000001"/>
    <n v="0.94971499999999998"/>
    <n v="0.93552311998124726"/>
    <n v="310600"/>
    <n v="0"/>
    <n v="310600"/>
    <n v="61800"/>
    <n v="372400"/>
    <n v="-0.10670117917745182"/>
    <n v="1.6207455429497568E-3"/>
    <n v="-9.0376160234489494E-2"/>
  </r>
  <r>
    <n v="2025"/>
    <s v="20120634465    "/>
    <n v="-1.7719568419318752"/>
    <n v="0.17"/>
    <n v="7310"/>
    <s v="2"/>
    <s v="RES"/>
    <s v="MX"/>
    <s v="11"/>
    <s v="259"/>
    <s v="CP"/>
    <x v="4"/>
    <s v="VG"/>
    <n v="0"/>
    <n v="8"/>
    <n v="8"/>
    <n v="2016"/>
    <n v="2016"/>
    <n v="787"/>
    <n v="1224"/>
    <m/>
    <m/>
    <m/>
    <n v="0"/>
    <n v="2011"/>
    <n v="2500"/>
    <s v="N"/>
    <m/>
    <m/>
    <n v="399"/>
    <m/>
    <m/>
    <m/>
    <m/>
    <n v="369088"/>
    <n v="354324"/>
    <n v="0"/>
    <n v="0"/>
    <n v="61700"/>
    <n v="373500"/>
    <n v="435200"/>
    <n v="132535.48800000001"/>
    <n v="88356.992000000013"/>
    <n v="-23255.730391660189"/>
    <n v="37154.252388000001"/>
    <n v="50438.379078999998"/>
    <n v="-869.92880000000002"/>
    <n v="49116.969060000003"/>
    <n v="72926.388791999998"/>
    <n v="0"/>
    <n v="0"/>
    <n v="0"/>
    <n v="341300"/>
    <n v="65100"/>
    <n v="406400"/>
    <n v="-6.6176470588235295E-2"/>
    <n v="0.99970000000000003"/>
    <n v="0.99819999999999998"/>
    <n v="1.0007999999999999"/>
    <n v="1.0008999999999999"/>
    <n v="1.0022"/>
    <n v="0.94971499999999998"/>
    <n v="0.95170696410692857"/>
    <n v="334900"/>
    <n v="0"/>
    <n v="334900"/>
    <n v="61800"/>
    <n v="396700"/>
    <n v="-0.1033467202141901"/>
    <n v="1.6207455429497568E-3"/>
    <n v="-8.846507352941177E-2"/>
  </r>
  <r>
    <n v="2025"/>
    <s v="19120144431    "/>
    <n v="-1.7719568419318752"/>
    <n v="0.17"/>
    <n v="7193"/>
    <s v="2"/>
    <s v="RES"/>
    <s v="MX"/>
    <s v="11"/>
    <s v="259"/>
    <s v="CO"/>
    <x v="5"/>
    <s v="GD"/>
    <n v="20"/>
    <n v="20"/>
    <n v="20"/>
    <n v="2004"/>
    <n v="2004"/>
    <n v="1158"/>
    <n v="1322"/>
    <m/>
    <m/>
    <m/>
    <n v="0"/>
    <n v="2480"/>
    <n v="2500"/>
    <s v="N"/>
    <n v="1"/>
    <n v="300"/>
    <n v="502"/>
    <m/>
    <m/>
    <m/>
    <m/>
    <n v="528093"/>
    <n v="480565"/>
    <n v="0"/>
    <n v="0"/>
    <n v="61700"/>
    <n v="385300"/>
    <n v="447000"/>
    <n v="132535.48800000001"/>
    <n v="88356.992000000013"/>
    <n v="-23255.730391660189"/>
    <n v="32917.849192000001"/>
    <n v="30300.329274"/>
    <n v="-2174.8220000000001"/>
    <n v="72271.22004"/>
    <n v="78765.266325999997"/>
    <n v="0"/>
    <n v="10590.309300000001"/>
    <n v="0"/>
    <n v="355200"/>
    <n v="65100"/>
    <n v="420300"/>
    <n v="-5.9731543624161075E-2"/>
    <n v="0.99970000000000003"/>
    <n v="1.0019"/>
    <n v="0.997"/>
    <n v="1.0008999999999999"/>
    <n v="1.0138"/>
    <n v="0.94971499999999998"/>
    <n v="0.96262205657438948"/>
    <n v="350300"/>
    <n v="0"/>
    <n v="350300"/>
    <n v="61800"/>
    <n v="412100"/>
    <n v="-9.0838307812094468E-2"/>
    <n v="1.6207455429497568E-3"/>
    <n v="-7.8076062639821031E-2"/>
  </r>
  <r>
    <n v="2025"/>
    <s v="20120633487    "/>
    <n v="-1.7719568419318752"/>
    <n v="0.17"/>
    <n v="7200"/>
    <s v="2"/>
    <s v="RES"/>
    <s v="MX"/>
    <s v="11"/>
    <s v="259"/>
    <s v="CO"/>
    <x v="5"/>
    <s v="VG"/>
    <n v="10"/>
    <n v="14"/>
    <n v="14"/>
    <n v="2010"/>
    <n v="2010"/>
    <n v="1116"/>
    <n v="1116"/>
    <m/>
    <m/>
    <m/>
    <n v="0"/>
    <n v="2232"/>
    <n v="2500"/>
    <s v="N"/>
    <m/>
    <n v="440"/>
    <m/>
    <m/>
    <m/>
    <m/>
    <m/>
    <n v="466762"/>
    <n v="438756"/>
    <n v="0"/>
    <n v="0"/>
    <n v="61700"/>
    <n v="392400"/>
    <n v="454100"/>
    <n v="132535.48800000001"/>
    <n v="88356.992000000013"/>
    <n v="-23255.730391660189"/>
    <n v="32917.849192000001"/>
    <n v="50438.379078999998"/>
    <n v="-1522.3754000000001"/>
    <n v="69649.984080000009"/>
    <n v="66491.707427999994"/>
    <n v="0"/>
    <n v="15532.453640000002"/>
    <n v="0"/>
    <n v="366000"/>
    <n v="65100"/>
    <n v="431100"/>
    <n v="-5.0649636643911033E-2"/>
    <n v="0.99970000000000003"/>
    <n v="1.0019"/>
    <n v="1.0007999999999999"/>
    <n v="1.0008999999999999"/>
    <n v="0.99080000000000001"/>
    <n v="0.94971499999999998"/>
    <n v="0.94436885958806405"/>
    <n v="358700"/>
    <n v="0"/>
    <n v="358700"/>
    <n v="61800"/>
    <n v="420500"/>
    <n v="-8.588175331294598E-2"/>
    <n v="1.6207455429497568E-3"/>
    <n v="-7.3992512662409166E-2"/>
  </r>
  <r>
    <n v="2025"/>
    <s v="20120634469    "/>
    <n v="-1.7719568419318752"/>
    <n v="0.17"/>
    <n v="7310"/>
    <s v="2"/>
    <s v="RES"/>
    <s v="MX"/>
    <s v="11"/>
    <s v="259"/>
    <s v="CP"/>
    <x v="5"/>
    <s v="VG"/>
    <n v="0"/>
    <n v="8"/>
    <n v="8"/>
    <n v="2016"/>
    <n v="2016"/>
    <n v="1126"/>
    <n v="1126"/>
    <m/>
    <m/>
    <m/>
    <n v="0"/>
    <n v="2252"/>
    <n v="2500"/>
    <s v="N"/>
    <m/>
    <n v="440"/>
    <m/>
    <m/>
    <m/>
    <m/>
    <m/>
    <n v="465833"/>
    <n v="447200"/>
    <n v="0"/>
    <n v="0"/>
    <n v="61700"/>
    <n v="393900"/>
    <n v="455600"/>
    <n v="132535.48800000001"/>
    <n v="88356.992000000013"/>
    <n v="-23255.730391660189"/>
    <n v="32917.849192000001"/>
    <n v="50438.379078999998"/>
    <n v="-869.92880000000002"/>
    <n v="70274.087880000006"/>
    <n v="67087.511257999999"/>
    <n v="0"/>
    <n v="15532.453640000002"/>
    <n v="0"/>
    <n v="367900"/>
    <n v="65100"/>
    <n v="433000"/>
    <n v="-4.9604916593503072E-2"/>
    <n v="0.99970000000000003"/>
    <n v="1.0019"/>
    <n v="1.0007999999999999"/>
    <n v="1.0008999999999999"/>
    <n v="1.0022"/>
    <n v="0.94971499999999998"/>
    <n v="0.95523462967214157"/>
    <n v="362000"/>
    <n v="0"/>
    <n v="362000"/>
    <n v="61800"/>
    <n v="423800"/>
    <n v="-8.0985021579080982E-2"/>
    <n v="1.6207455429497568E-3"/>
    <n v="-6.9798068481123798E-2"/>
  </r>
  <r>
    <n v="2025"/>
    <s v="19120141550    "/>
    <n v="-1.7719568419318752"/>
    <n v="0.17"/>
    <n v="7406"/>
    <s v="2"/>
    <s v="RES"/>
    <s v="MX"/>
    <s v="11"/>
    <s v="259"/>
    <s v="CO"/>
    <x v="5"/>
    <s v="GD"/>
    <n v="10"/>
    <n v="19"/>
    <n v="19"/>
    <n v="2005"/>
    <n v="2005"/>
    <n v="1158"/>
    <n v="1322"/>
    <m/>
    <m/>
    <m/>
    <n v="0"/>
    <n v="2480"/>
    <n v="2500"/>
    <s v="N"/>
    <m/>
    <m/>
    <n v="502"/>
    <m/>
    <m/>
    <m/>
    <m/>
    <n v="485939"/>
    <n v="442204"/>
    <n v="0"/>
    <n v="0"/>
    <n v="61700"/>
    <n v="366600"/>
    <n v="428300"/>
    <n v="132535.48800000001"/>
    <n v="88356.992000000013"/>
    <n v="-23255.730391660189"/>
    <n v="32917.849192000001"/>
    <n v="30300.329274"/>
    <n v="-2066.0808999999999"/>
    <n v="72271.22004"/>
    <n v="78765.266325999997"/>
    <n v="0"/>
    <n v="0"/>
    <n v="0"/>
    <n v="344700"/>
    <n v="65100"/>
    <n v="409800"/>
    <n v="-4.3194022881158069E-2"/>
    <n v="0.99970000000000003"/>
    <n v="1.0019"/>
    <n v="0.997"/>
    <n v="1.0008999999999999"/>
    <n v="0.99080000000000001"/>
    <n v="0.94971499999999998"/>
    <n v="0.94078312650809337"/>
    <n v="336900"/>
    <n v="0"/>
    <n v="336900"/>
    <n v="61800"/>
    <n v="398700"/>
    <n v="-8.1014729950900158E-2"/>
    <n v="1.6207455429497568E-3"/>
    <n v="-6.9110436609852902E-2"/>
  </r>
  <r>
    <n v="2025"/>
    <s v="20120633401    "/>
    <n v="-1.7719568419318752"/>
    <n v="0.17"/>
    <n v="7332"/>
    <s v="2"/>
    <s v="RES"/>
    <s v="MX"/>
    <s v="11"/>
    <s v="259"/>
    <s v="CP"/>
    <x v="4"/>
    <s v="VG"/>
    <n v="10"/>
    <n v="14"/>
    <n v="14"/>
    <n v="2010"/>
    <n v="2010"/>
    <n v="1024"/>
    <n v="1404"/>
    <m/>
    <m/>
    <m/>
    <n v="0"/>
    <n v="2428"/>
    <n v="2500"/>
    <s v="N"/>
    <m/>
    <m/>
    <n v="400"/>
    <m/>
    <m/>
    <m/>
    <m/>
    <n v="418260"/>
    <n v="393164"/>
    <n v="0"/>
    <n v="0"/>
    <n v="61700"/>
    <n v="383600"/>
    <n v="445300"/>
    <n v="132535.48800000001"/>
    <n v="88356.992000000013"/>
    <n v="-23255.730391660189"/>
    <n v="37154.252388000001"/>
    <n v="50438.379078999998"/>
    <n v="-1522.3754000000001"/>
    <n v="63908.229120000004"/>
    <n v="83650.857731999989"/>
    <n v="0"/>
    <n v="0"/>
    <n v="0"/>
    <n v="366200"/>
    <n v="65100"/>
    <n v="431300"/>
    <n v="-3.1439479002919379E-2"/>
    <n v="0.99970000000000003"/>
    <n v="0.99819999999999998"/>
    <n v="1.0007999999999999"/>
    <n v="1.0008999999999999"/>
    <n v="0.99080000000000001"/>
    <n v="0.94971499999999998"/>
    <n v="0.94088132113065737"/>
    <n v="358300"/>
    <n v="0"/>
    <n v="358300"/>
    <n v="61800"/>
    <n v="420100"/>
    <n v="-6.5954118873826906E-2"/>
    <n v="1.6207455429497568E-3"/>
    <n v="-5.6591062205254887E-2"/>
  </r>
  <r>
    <n v="2025"/>
    <s v="19120144562    "/>
    <n v="-1.7719568419318752"/>
    <n v="0.17"/>
    <n v="7500"/>
    <s v="2"/>
    <s v="RES"/>
    <s v="MX"/>
    <s v="11"/>
    <s v="259"/>
    <s v="RN"/>
    <x v="4"/>
    <s v="AV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85452"/>
    <n v="259761"/>
    <n v="0"/>
    <n v="0"/>
    <n v="61700"/>
    <n v="300700"/>
    <n v="362400"/>
    <n v="132535.48800000001"/>
    <n v="88356.992000000013"/>
    <n v="-23255.730391660189"/>
    <n v="37154.252388000001"/>
    <n v="17761.121909000001"/>
    <n v="-2174.8220000000001"/>
    <n v="86126.324399999998"/>
    <n v="0"/>
    <n v="0"/>
    <n v="15108.841268"/>
    <n v="0"/>
    <n v="286500"/>
    <n v="65100"/>
    <n v="351600"/>
    <n v="-2.9801324503311258E-2"/>
    <n v="0.99970000000000003"/>
    <n v="0.99819999999999998"/>
    <n v="0.99680000000000002"/>
    <n v="0.99519999999999997"/>
    <n v="1.0138"/>
    <n v="0.94971499999999998"/>
    <n v="0.95341404747827707"/>
    <n v="280300"/>
    <n v="0"/>
    <n v="280300"/>
    <n v="61800"/>
    <n v="342100"/>
    <n v="-6.7841702693714659E-2"/>
    <n v="1.6207455429497568E-3"/>
    <n v="-5.6015452538631348E-2"/>
  </r>
  <r>
    <n v="2025"/>
    <s v="19120141528    "/>
    <n v="-1.7719568419318752"/>
    <n v="0.17"/>
    <n v="7221"/>
    <s v="2"/>
    <s v="RES"/>
    <s v="MX"/>
    <s v="11"/>
    <s v="259"/>
    <s v="CO"/>
    <x v="5"/>
    <s v="AV"/>
    <n v="10"/>
    <n v="19"/>
    <n v="19"/>
    <n v="2005"/>
    <n v="2005"/>
    <n v="1158"/>
    <n v="1332"/>
    <m/>
    <m/>
    <m/>
    <n v="0"/>
    <n v="2490"/>
    <n v="2500"/>
    <s v="N"/>
    <m/>
    <n v="300"/>
    <n v="502"/>
    <m/>
    <m/>
    <m/>
    <m/>
    <n v="499286"/>
    <n v="449357"/>
    <n v="0"/>
    <n v="0"/>
    <n v="61700"/>
    <n v="353100"/>
    <n v="414800"/>
    <n v="132535.48800000001"/>
    <n v="88356.992000000013"/>
    <n v="-23255.730391660189"/>
    <n v="32917.849192000001"/>
    <n v="17761.121909000001"/>
    <n v="-2066.0808999999999"/>
    <n v="72271.22004"/>
    <n v="79361.070156000002"/>
    <n v="0"/>
    <n v="10590.309300000001"/>
    <n v="0"/>
    <n v="343400"/>
    <n v="65100"/>
    <n v="408500"/>
    <n v="-1.518804243008679E-2"/>
    <n v="0.99970000000000003"/>
    <n v="1.0019"/>
    <n v="0.99680000000000002"/>
    <n v="1.0008999999999999"/>
    <n v="0.99080000000000001"/>
    <n v="0.94971499999999998"/>
    <n v="0.94059440371441083"/>
    <n v="335500"/>
    <n v="0"/>
    <n v="335500"/>
    <n v="61800"/>
    <n v="397300"/>
    <n v="-4.9844236760124609E-2"/>
    <n v="1.6207455429497568E-3"/>
    <n v="-4.2189006750241079E-2"/>
  </r>
  <r>
    <n v="2025"/>
    <s v="20120633448    "/>
    <n v="-1.7719568419318752"/>
    <n v="0.17"/>
    <n v="7365"/>
    <s v="2"/>
    <s v="RES"/>
    <s v="MX"/>
    <s v="11"/>
    <s v="259"/>
    <s v="CO"/>
    <x v="5"/>
    <s v="GD"/>
    <n v="10"/>
    <n v="15"/>
    <n v="15"/>
    <n v="2009"/>
    <n v="2009"/>
    <n v="1158"/>
    <n v="1322"/>
    <m/>
    <m/>
    <m/>
    <n v="0"/>
    <n v="2480"/>
    <n v="2500"/>
    <s v="N"/>
    <n v="1"/>
    <m/>
    <n v="502"/>
    <m/>
    <m/>
    <m/>
    <m/>
    <n v="482351"/>
    <n v="448586"/>
    <n v="0"/>
    <n v="0"/>
    <n v="61700"/>
    <n v="354800"/>
    <n v="416500"/>
    <n v="132535.48800000001"/>
    <n v="88356.992000000013"/>
    <n v="-23255.730391660189"/>
    <n v="32917.849192000001"/>
    <n v="30300.329274"/>
    <n v="-1631.1165000000001"/>
    <n v="72271.22004"/>
    <n v="78765.266325999997"/>
    <n v="0"/>
    <n v="0"/>
    <n v="0"/>
    <n v="345200"/>
    <n v="65100"/>
    <n v="410300"/>
    <n v="-1.48859543817527E-2"/>
    <n v="0.99970000000000003"/>
    <n v="1.0019"/>
    <n v="0.997"/>
    <n v="1.0008999999999999"/>
    <n v="0.99080000000000001"/>
    <n v="0.94971499999999998"/>
    <n v="0.94078312650809337"/>
    <n v="337300"/>
    <n v="0"/>
    <n v="337300"/>
    <n v="61800"/>
    <n v="399100"/>
    <n v="-4.9323562570462234E-2"/>
    <n v="1.6207455429497568E-3"/>
    <n v="-4.1776710684273709E-2"/>
  </r>
  <r>
    <n v="2025"/>
    <s v="19120113553    "/>
    <n v="-1.7719568419318752"/>
    <n v="0.17"/>
    <n v="7275"/>
    <s v="2"/>
    <s v="RES"/>
    <s v="MX"/>
    <s v="11"/>
    <s v="259"/>
    <s v="CO"/>
    <x v="5"/>
    <s v="GD"/>
    <n v="10"/>
    <n v="18"/>
    <n v="18"/>
    <n v="2006"/>
    <n v="2006"/>
    <n v="1158"/>
    <n v="1332"/>
    <m/>
    <m/>
    <m/>
    <n v="0"/>
    <n v="2490"/>
    <n v="2500"/>
    <s v="N"/>
    <m/>
    <n v="240"/>
    <n v="502"/>
    <m/>
    <m/>
    <m/>
    <m/>
    <n v="496785"/>
    <n v="452074"/>
    <n v="0"/>
    <n v="0"/>
    <n v="61700"/>
    <n v="363100"/>
    <n v="424800"/>
    <n v="132535.48800000001"/>
    <n v="88356.992000000013"/>
    <n v="-23255.730391660189"/>
    <n v="32917.849192000001"/>
    <n v="30300.329274"/>
    <n v="-1957.3398"/>
    <n v="72271.22004"/>
    <n v="79361.070156000002"/>
    <n v="0"/>
    <n v="8472.247440000001"/>
    <n v="0"/>
    <n v="353900"/>
    <n v="65100"/>
    <n v="419000"/>
    <n v="-1.3653483992467044E-2"/>
    <n v="0.99970000000000003"/>
    <n v="1.0019"/>
    <n v="0.997"/>
    <n v="1.0008999999999999"/>
    <n v="0.99080000000000001"/>
    <n v="0.94971499999999998"/>
    <n v="0.94078312650809337"/>
    <n v="346100"/>
    <n v="0"/>
    <n v="346100"/>
    <n v="61800"/>
    <n v="407900"/>
    <n v="-4.6819058110713303E-2"/>
    <n v="1.6207455429497568E-3"/>
    <n v="-3.9783427495291901E-2"/>
  </r>
  <r>
    <n v="2025"/>
    <s v="19120141446    "/>
    <n v="-1.7719568419318752"/>
    <n v="0.17"/>
    <n v="7193"/>
    <s v="2"/>
    <s v="RES"/>
    <s v="MX"/>
    <s v="11"/>
    <s v="259"/>
    <s v="CO"/>
    <x v="5"/>
    <s v="GD"/>
    <n v="10"/>
    <n v="19"/>
    <n v="19"/>
    <n v="2005"/>
    <n v="2005"/>
    <n v="1158"/>
    <n v="1322"/>
    <m/>
    <m/>
    <m/>
    <n v="0"/>
    <n v="2480"/>
    <n v="2500"/>
    <s v="N"/>
    <n v="1"/>
    <n v="300"/>
    <n v="502"/>
    <m/>
    <m/>
    <m/>
    <m/>
    <n v="515584"/>
    <n v="469181"/>
    <n v="0"/>
    <n v="0"/>
    <n v="61700"/>
    <n v="364200"/>
    <n v="425900"/>
    <n v="132535.48800000001"/>
    <n v="88356.992000000013"/>
    <n v="-23255.730391660189"/>
    <n v="32917.849192000001"/>
    <n v="30300.329274"/>
    <n v="-2066.0808999999999"/>
    <n v="72271.22004"/>
    <n v="78765.266325999997"/>
    <n v="0"/>
    <n v="10590.309300000001"/>
    <n v="0"/>
    <n v="355300"/>
    <n v="65100"/>
    <n v="420400"/>
    <n v="-1.2913829537450105E-2"/>
    <n v="0.99970000000000003"/>
    <n v="1.0019"/>
    <n v="0.997"/>
    <n v="1.0008999999999999"/>
    <n v="0.99080000000000001"/>
    <n v="0.94971499999999998"/>
    <n v="0.94078312650809337"/>
    <n v="347500"/>
    <n v="0"/>
    <n v="347500"/>
    <n v="61800"/>
    <n v="409300"/>
    <n v="-4.5853926414058208E-2"/>
    <n v="1.6207455429497568E-3"/>
    <n v="-3.8976285513031228E-2"/>
  </r>
  <r>
    <n v="2025"/>
    <s v="19120141529    "/>
    <n v="-1.7719568419318752"/>
    <n v="0.17"/>
    <n v="7227"/>
    <s v="2"/>
    <s v="RES"/>
    <s v="MX"/>
    <s v="11"/>
    <s v="259"/>
    <s v="CO"/>
    <x v="5"/>
    <s v="GD"/>
    <n v="10"/>
    <n v="19"/>
    <n v="19"/>
    <n v="2005"/>
    <n v="2005"/>
    <n v="1158"/>
    <n v="1322"/>
    <m/>
    <m/>
    <m/>
    <n v="0"/>
    <n v="2480"/>
    <n v="2500"/>
    <s v="N"/>
    <m/>
    <n v="300"/>
    <n v="502"/>
    <m/>
    <m/>
    <m/>
    <m/>
    <n v="514667"/>
    <n v="468347"/>
    <n v="0"/>
    <n v="0"/>
    <n v="61700"/>
    <n v="364200"/>
    <n v="425900"/>
    <n v="132535.48800000001"/>
    <n v="88356.992000000013"/>
    <n v="-23255.730391660189"/>
    <n v="32917.849192000001"/>
    <n v="30300.329274"/>
    <n v="-2066.0808999999999"/>
    <n v="72271.22004"/>
    <n v="78765.266325999997"/>
    <n v="0"/>
    <n v="10590.309300000001"/>
    <n v="0"/>
    <n v="355300"/>
    <n v="65100"/>
    <n v="420400"/>
    <n v="-1.2913829537450105E-2"/>
    <n v="0.99970000000000003"/>
    <n v="1.0019"/>
    <n v="0.997"/>
    <n v="1.0008999999999999"/>
    <n v="0.99080000000000001"/>
    <n v="0.94971499999999998"/>
    <n v="0.94078312650809337"/>
    <n v="347500"/>
    <n v="0"/>
    <n v="347500"/>
    <n v="61800"/>
    <n v="409300"/>
    <n v="-4.5853926414058208E-2"/>
    <n v="1.6207455429497568E-3"/>
    <n v="-3.8976285513031228E-2"/>
  </r>
  <r>
    <n v="2025"/>
    <s v="19120141405    "/>
    <n v="-1.7719568419318752"/>
    <n v="0.17"/>
    <n v="7446"/>
    <s v="2"/>
    <s v="RES"/>
    <s v="MX"/>
    <s v="11"/>
    <s v="259"/>
    <s v="CO"/>
    <x v="5"/>
    <s v="GD"/>
    <n v="10"/>
    <n v="19"/>
    <n v="19"/>
    <n v="2005"/>
    <n v="2005"/>
    <n v="1158"/>
    <n v="1322"/>
    <m/>
    <m/>
    <m/>
    <n v="0"/>
    <n v="2480"/>
    <n v="2500"/>
    <s v="N"/>
    <m/>
    <n v="300"/>
    <n v="502"/>
    <m/>
    <m/>
    <m/>
    <m/>
    <n v="497798"/>
    <n v="452996"/>
    <n v="0"/>
    <n v="0"/>
    <n v="61700"/>
    <n v="364200"/>
    <n v="425900"/>
    <n v="132535.48800000001"/>
    <n v="88356.992000000013"/>
    <n v="-23255.730391660189"/>
    <n v="32917.849192000001"/>
    <n v="30300.329274"/>
    <n v="-2066.0808999999999"/>
    <n v="72271.22004"/>
    <n v="78765.266325999997"/>
    <n v="0"/>
    <n v="10590.309300000001"/>
    <n v="0"/>
    <n v="355300"/>
    <n v="65100"/>
    <n v="420400"/>
    <n v="-1.2913829537450105E-2"/>
    <n v="0.99970000000000003"/>
    <n v="1.0019"/>
    <n v="0.997"/>
    <n v="1.0008999999999999"/>
    <n v="0.99080000000000001"/>
    <n v="0.94971499999999998"/>
    <n v="0.94078312650809337"/>
    <n v="347500"/>
    <n v="0"/>
    <n v="347500"/>
    <n v="61800"/>
    <n v="409300"/>
    <n v="-4.5853926414058208E-2"/>
    <n v="1.6207455429497568E-3"/>
    <n v="-3.8976285513031228E-2"/>
  </r>
  <r>
    <n v="2025"/>
    <s v="19120141400    "/>
    <n v="-1.7719568419318752"/>
    <n v="0.17"/>
    <n v="7315"/>
    <s v="2"/>
    <s v="RES"/>
    <s v="MX"/>
    <s v="11"/>
    <s v="259"/>
    <s v="CO"/>
    <x v="4"/>
    <s v="VG"/>
    <n v="10"/>
    <n v="19"/>
    <n v="19"/>
    <n v="2005"/>
    <n v="2005"/>
    <n v="1040"/>
    <n v="1040"/>
    <m/>
    <m/>
    <m/>
    <n v="0"/>
    <n v="2080"/>
    <n v="2500"/>
    <s v="N"/>
    <m/>
    <n v="440"/>
    <m/>
    <m/>
    <m/>
    <m/>
    <m/>
    <n v="380178"/>
    <n v="345962"/>
    <n v="0"/>
    <n v="0"/>
    <n v="61700"/>
    <n v="368900"/>
    <n v="430600"/>
    <n v="132535.48800000001"/>
    <n v="88356.992000000013"/>
    <n v="-23255.730391660189"/>
    <n v="37154.252388000001"/>
    <n v="50438.379078999998"/>
    <n v="-2066.0808999999999"/>
    <n v="64906.7952"/>
    <n v="61963.598319999997"/>
    <n v="0"/>
    <n v="15532.453640000002"/>
    <n v="0"/>
    <n v="360500"/>
    <n v="65100"/>
    <n v="425600"/>
    <n v="-1.1611704598235021E-2"/>
    <n v="0.99970000000000003"/>
    <n v="0.99819999999999998"/>
    <n v="1.0007999999999999"/>
    <n v="1.0008999999999999"/>
    <n v="0.99080000000000001"/>
    <n v="0.94971499999999998"/>
    <n v="0.94088132113065737"/>
    <n v="352600"/>
    <n v="0"/>
    <n v="352600"/>
    <n v="61800"/>
    <n v="414400"/>
    <n v="-4.4185416101924641E-2"/>
    <n v="1.6207455429497568E-3"/>
    <n v="-3.7621922898281465E-2"/>
  </r>
  <r>
    <n v="2025"/>
    <s v="19120113471    "/>
    <n v="-1.7719568419318752"/>
    <n v="0.17"/>
    <n v="7520"/>
    <s v="2"/>
    <s v="RES"/>
    <s v="MX"/>
    <s v="11"/>
    <s v="259"/>
    <s v="CO"/>
    <x v="5"/>
    <s v="GD"/>
    <n v="10"/>
    <n v="18"/>
    <n v="18"/>
    <n v="2006"/>
    <n v="2006"/>
    <n v="1158"/>
    <n v="1332"/>
    <m/>
    <m/>
    <m/>
    <n v="0"/>
    <n v="2490"/>
    <n v="2500"/>
    <s v="N"/>
    <n v="1"/>
    <m/>
    <n v="502"/>
    <m/>
    <m/>
    <m/>
    <m/>
    <n v="483279"/>
    <n v="439784"/>
    <n v="0"/>
    <n v="0"/>
    <n v="61700"/>
    <n v="352700"/>
    <n v="414400"/>
    <n v="132535.48800000001"/>
    <n v="88356.992000000013"/>
    <n v="-23255.730391660189"/>
    <n v="32917.849192000001"/>
    <n v="30300.329274"/>
    <n v="-1957.3398"/>
    <n v="72271.22004"/>
    <n v="79361.070156000002"/>
    <n v="0"/>
    <n v="0"/>
    <n v="0"/>
    <n v="345400"/>
    <n v="65100"/>
    <n v="410500"/>
    <n v="-9.4111969111969115E-3"/>
    <n v="0.99970000000000003"/>
    <n v="1.0019"/>
    <n v="0.997"/>
    <n v="1.0008999999999999"/>
    <n v="0.99080000000000001"/>
    <n v="0.94971499999999998"/>
    <n v="0.94078312650809337"/>
    <n v="337600"/>
    <n v="0"/>
    <n v="337600"/>
    <n v="61800"/>
    <n v="399400"/>
    <n v="-4.2812588602211508E-2"/>
    <n v="1.6207455429497568E-3"/>
    <n v="-3.6196911196911194E-2"/>
  </r>
  <r>
    <n v="2025"/>
    <s v="19120113467    "/>
    <n v="-1.7719568419318752"/>
    <n v="0.17"/>
    <n v="7460"/>
    <s v="2"/>
    <s v="RES"/>
    <s v="MX"/>
    <s v="11"/>
    <s v="259"/>
    <s v="CO"/>
    <x v="5"/>
    <s v="VG"/>
    <n v="10"/>
    <n v="18"/>
    <n v="18"/>
    <n v="2006"/>
    <n v="2006"/>
    <n v="1116"/>
    <n v="1116"/>
    <m/>
    <m/>
    <m/>
    <n v="0"/>
    <n v="2232"/>
    <n v="2500"/>
    <s v="N"/>
    <m/>
    <n v="440"/>
    <m/>
    <m/>
    <m/>
    <m/>
    <m/>
    <n v="455016"/>
    <n v="418615"/>
    <n v="0"/>
    <n v="0"/>
    <n v="61700"/>
    <n v="373900"/>
    <n v="435600"/>
    <n v="132535.48800000001"/>
    <n v="88356.992000000013"/>
    <n v="-23255.730391660189"/>
    <n v="32917.849192000001"/>
    <n v="50438.379078999998"/>
    <n v="-1957.3398"/>
    <n v="69649.984080000009"/>
    <n v="66491.707427999994"/>
    <n v="0"/>
    <n v="15532.453640000002"/>
    <n v="0"/>
    <n v="365600"/>
    <n v="65100"/>
    <n v="430700"/>
    <n v="-1.1248852157943067E-2"/>
    <n v="0.99970000000000003"/>
    <n v="1.0019"/>
    <n v="1.0007999999999999"/>
    <n v="1.0008999999999999"/>
    <n v="0.99080000000000001"/>
    <n v="0.94971499999999998"/>
    <n v="0.94436885958806405"/>
    <n v="358200"/>
    <n v="0"/>
    <n v="358200"/>
    <n v="61800"/>
    <n v="420000"/>
    <n v="-4.1989836854774004E-2"/>
    <n v="1.6207455429497568E-3"/>
    <n v="-3.5812672176308541E-2"/>
  </r>
  <r>
    <n v="2025"/>
    <s v="19120141554    "/>
    <n v="-1.7719568419318752"/>
    <n v="0.17"/>
    <n v="7395"/>
    <s v="2"/>
    <s v="RES"/>
    <s v="MX"/>
    <s v="11"/>
    <s v="259"/>
    <s v="CO"/>
    <x v="5"/>
    <s v="GD"/>
    <n v="10"/>
    <n v="19"/>
    <n v="19"/>
    <n v="2005"/>
    <n v="2005"/>
    <n v="1158"/>
    <n v="1322"/>
    <m/>
    <m/>
    <m/>
    <n v="0"/>
    <n v="2480"/>
    <n v="2500"/>
    <s v="N"/>
    <m/>
    <m/>
    <n v="502"/>
    <m/>
    <m/>
    <m/>
    <m/>
    <n v="477648"/>
    <n v="434660"/>
    <n v="0"/>
    <n v="0"/>
    <n v="61700"/>
    <n v="351300"/>
    <n v="413000"/>
    <n v="132535.48800000001"/>
    <n v="88356.992000000013"/>
    <n v="-23255.730391660189"/>
    <n v="32917.849192000001"/>
    <n v="30300.329274"/>
    <n v="-2066.0808999999999"/>
    <n v="72271.22004"/>
    <n v="78765.266325999997"/>
    <n v="0"/>
    <n v="0"/>
    <n v="0"/>
    <n v="344700"/>
    <n v="65100"/>
    <n v="409800"/>
    <n v="-7.7481840193704601E-3"/>
    <n v="0.99970000000000003"/>
    <n v="1.0019"/>
    <n v="0.997"/>
    <n v="1.0008999999999999"/>
    <n v="0.99080000000000001"/>
    <n v="0.94971499999999998"/>
    <n v="0.94078312650809337"/>
    <n v="336900"/>
    <n v="0"/>
    <n v="336900"/>
    <n v="61800"/>
    <n v="398700"/>
    <n v="-4.0990606319385142E-2"/>
    <n v="1.6207455429497568E-3"/>
    <n v="-3.4624697336561747E-2"/>
  </r>
  <r>
    <n v="2025"/>
    <s v="19120113460    "/>
    <n v="-1.7719568419318752"/>
    <n v="0.17"/>
    <n v="7260"/>
    <s v="2"/>
    <s v="RES"/>
    <s v="MX"/>
    <s v="11"/>
    <s v="259"/>
    <s v="CO"/>
    <x v="5"/>
    <s v="GD"/>
    <n v="10"/>
    <n v="19"/>
    <n v="19"/>
    <n v="2005"/>
    <n v="2005"/>
    <n v="1158"/>
    <n v="1332"/>
    <m/>
    <m/>
    <m/>
    <n v="0"/>
    <n v="2490"/>
    <n v="2500"/>
    <s v="N"/>
    <m/>
    <m/>
    <n v="502"/>
    <m/>
    <m/>
    <m/>
    <m/>
    <n v="477884"/>
    <n v="434874"/>
    <n v="0"/>
    <n v="0"/>
    <n v="61700"/>
    <n v="351800"/>
    <n v="413500"/>
    <n v="132535.48800000001"/>
    <n v="88356.992000000013"/>
    <n v="-23255.730391660189"/>
    <n v="32917.849192000001"/>
    <n v="30300.329274"/>
    <n v="-2066.0808999999999"/>
    <n v="72271.22004"/>
    <n v="79361.070156000002"/>
    <n v="0"/>
    <n v="0"/>
    <n v="0"/>
    <n v="345300"/>
    <n v="65100"/>
    <n v="410400"/>
    <n v="-7.4969770253929865E-3"/>
    <n v="0.99970000000000003"/>
    <n v="1.0019"/>
    <n v="0.997"/>
    <n v="1.0008999999999999"/>
    <n v="0.99080000000000001"/>
    <n v="0.94971499999999998"/>
    <n v="0.94078312650809337"/>
    <n v="337500"/>
    <n v="0"/>
    <n v="337500"/>
    <n v="61800"/>
    <n v="399300"/>
    <n v="-4.0648095508811828E-2"/>
    <n v="1.6207455429497568E-3"/>
    <n v="-3.4340991535671099E-2"/>
  </r>
  <r>
    <n v="2025"/>
    <s v="20120634452    "/>
    <n v="-1.7719568419318752"/>
    <n v="0.17"/>
    <n v="7435"/>
    <s v="2"/>
    <s v="RES"/>
    <s v="MX"/>
    <s v="11"/>
    <s v="259"/>
    <s v="CP"/>
    <x v="4"/>
    <s v="VG"/>
    <n v="0"/>
    <n v="9"/>
    <n v="9"/>
    <n v="2015"/>
    <n v="2015"/>
    <n v="1126"/>
    <n v="1126"/>
    <m/>
    <m/>
    <m/>
    <n v="0"/>
    <n v="2252"/>
    <n v="2500"/>
    <s v="N"/>
    <m/>
    <n v="680"/>
    <m/>
    <m/>
    <m/>
    <m/>
    <m/>
    <n v="406048"/>
    <n v="389806"/>
    <n v="0"/>
    <n v="0"/>
    <n v="61700"/>
    <n v="389300"/>
    <n v="451000"/>
    <n v="132535.48800000001"/>
    <n v="88356.992000000013"/>
    <n v="-23255.730391660189"/>
    <n v="37154.252388000001"/>
    <n v="50438.379078999998"/>
    <n v="-978.66989999999998"/>
    <n v="70274.087880000006"/>
    <n v="67087.511257999999"/>
    <n v="0"/>
    <n v="24004.701080000003"/>
    <n v="0"/>
    <n v="380500"/>
    <n v="65100"/>
    <n v="445600"/>
    <n v="-1.197339246119734E-2"/>
    <n v="0.99970000000000003"/>
    <n v="0.99819999999999998"/>
    <n v="1.0007999999999999"/>
    <n v="1.0008999999999999"/>
    <n v="1.0022"/>
    <n v="0.94971499999999998"/>
    <n v="0.95170696410692857"/>
    <n v="374100"/>
    <n v="0"/>
    <n v="374100"/>
    <n v="61800"/>
    <n v="435900"/>
    <n v="-3.904443873619317E-2"/>
    <n v="1.6207455429497568E-3"/>
    <n v="-3.3481152993348112E-2"/>
  </r>
  <r>
    <n v="2025"/>
    <s v="19120112477    "/>
    <n v="-1.7719568419318752"/>
    <n v="0.17"/>
    <n v="7217"/>
    <s v="2"/>
    <s v="RES"/>
    <s v="MX"/>
    <s v="11"/>
    <s v="259"/>
    <s v="RN"/>
    <x v="0"/>
    <s v="VG"/>
    <n v="10"/>
    <n v="17"/>
    <n v="17"/>
    <n v="2007"/>
    <n v="2007"/>
    <n v="1080"/>
    <m/>
    <m/>
    <m/>
    <m/>
    <n v="0"/>
    <n v="1080"/>
    <n v="1500"/>
    <s v="N"/>
    <m/>
    <n v="440"/>
    <m/>
    <m/>
    <m/>
    <m/>
    <m/>
    <n v="212340"/>
    <n v="197476"/>
    <n v="0"/>
    <n v="0"/>
    <n v="61700"/>
    <n v="290200"/>
    <n v="351900"/>
    <n v="132535.48800000001"/>
    <n v="88356.992000000013"/>
    <n v="-23255.730391660189"/>
    <n v="24371.765965999999"/>
    <n v="50438.379078999998"/>
    <n v="-1848.5987"/>
    <n v="67403.210400000011"/>
    <n v="0"/>
    <n v="0"/>
    <n v="15532.453640000002"/>
    <n v="0"/>
    <n v="288400"/>
    <n v="65100"/>
    <n v="353500"/>
    <n v="4.5467462347257744E-3"/>
    <n v="0.99970000000000003"/>
    <n v="0.99199999999999999"/>
    <n v="1.0007999999999999"/>
    <n v="0.99519999999999997"/>
    <n v="0.99080000000000001"/>
    <n v="0.94971499999999998"/>
    <n v="0.92971241737266797"/>
    <n v="279100"/>
    <n v="0"/>
    <n v="279100"/>
    <n v="61800"/>
    <n v="340900"/>
    <n v="-3.824948311509304E-2"/>
    <n v="1.6207455429497568E-3"/>
    <n v="-3.1258880363739701E-2"/>
  </r>
  <r>
    <n v="2025"/>
    <s v="19120141437    "/>
    <n v="-1.7719568419318752"/>
    <n v="0.17"/>
    <n v="7439"/>
    <s v="2"/>
    <s v="RES"/>
    <s v="MX"/>
    <s v="11"/>
    <s v="259"/>
    <s v="CO"/>
    <x v="5"/>
    <s v="GD"/>
    <n v="20"/>
    <n v="20"/>
    <n v="20"/>
    <n v="2004"/>
    <n v="2004"/>
    <n v="1158"/>
    <n v="1322"/>
    <m/>
    <m/>
    <m/>
    <n v="0"/>
    <n v="2480"/>
    <n v="2500"/>
    <s v="N"/>
    <n v="1"/>
    <n v="300"/>
    <n v="502"/>
    <m/>
    <m/>
    <m/>
    <m/>
    <n v="517390"/>
    <n v="470825"/>
    <n v="0"/>
    <n v="0"/>
    <n v="61700"/>
    <n v="363300"/>
    <n v="425000"/>
    <n v="132535.48800000001"/>
    <n v="88356.992000000013"/>
    <n v="-23255.730391660189"/>
    <n v="32917.849192000001"/>
    <n v="30300.329274"/>
    <n v="-2174.8220000000001"/>
    <n v="72271.22004"/>
    <n v="78765.266325999997"/>
    <n v="0"/>
    <n v="10590.309300000001"/>
    <n v="0"/>
    <n v="355200"/>
    <n v="65100"/>
    <n v="420300"/>
    <n v="-1.1058823529411765E-2"/>
    <n v="0.99970000000000003"/>
    <n v="1.0019"/>
    <n v="0.997"/>
    <n v="1.0008999999999999"/>
    <n v="1.0138"/>
    <n v="0.94971499999999998"/>
    <n v="0.96262205657438948"/>
    <n v="350300"/>
    <n v="0"/>
    <n v="350300"/>
    <n v="61800"/>
    <n v="412100"/>
    <n v="-3.5783099366914393E-2"/>
    <n v="1.6207455429497568E-3"/>
    <n v="-3.0352941176470589E-2"/>
  </r>
  <r>
    <n v="2025"/>
    <s v="19120141438    "/>
    <n v="-1.7719568419318752"/>
    <n v="0.17"/>
    <n v="7464"/>
    <s v="2"/>
    <s v="RES"/>
    <s v="MX"/>
    <s v="11"/>
    <s v="259"/>
    <s v="CO"/>
    <x v="5"/>
    <s v="AV"/>
    <n v="20"/>
    <n v="20"/>
    <n v="20"/>
    <n v="2004"/>
    <n v="2004"/>
    <n v="1158"/>
    <n v="1322"/>
    <m/>
    <m/>
    <m/>
    <n v="0"/>
    <n v="2480"/>
    <n v="2500"/>
    <s v="N"/>
    <n v="1"/>
    <m/>
    <n v="502"/>
    <m/>
    <m/>
    <m/>
    <m/>
    <n v="481791"/>
    <n v="438430"/>
    <n v="0"/>
    <n v="0"/>
    <n v="61700"/>
    <n v="338700"/>
    <n v="400400"/>
    <n v="132535.48800000001"/>
    <n v="88356.992000000013"/>
    <n v="-23255.730391660189"/>
    <n v="32917.849192000001"/>
    <n v="17761.121909000001"/>
    <n v="-2174.8220000000001"/>
    <n v="72271.22004"/>
    <n v="78765.266325999997"/>
    <n v="0"/>
    <n v="0"/>
    <n v="0"/>
    <n v="332100"/>
    <n v="65100"/>
    <n v="397200"/>
    <n v="-7.992007992007992E-3"/>
    <n v="0.99970000000000003"/>
    <n v="1.0019"/>
    <n v="0.99680000000000002"/>
    <n v="1.0008999999999999"/>
    <n v="1.0138"/>
    <n v="0.94971499999999998"/>
    <n v="0.9624289528519071"/>
    <n v="327100"/>
    <n v="0"/>
    <n v="327100"/>
    <n v="61800"/>
    <n v="388900"/>
    <n v="-3.4248597578978447E-2"/>
    <n v="1.6207455429497568E-3"/>
    <n v="-2.872127872127872E-2"/>
  </r>
  <r>
    <n v="2025"/>
    <s v="19120113552    "/>
    <n v="-1.7719568419318752"/>
    <n v="0.17"/>
    <n v="7276"/>
    <s v="2"/>
    <s v="RES"/>
    <s v="MX"/>
    <s v="11"/>
    <s v="259"/>
    <s v="CO"/>
    <x v="5"/>
    <s v="VG"/>
    <n v="10"/>
    <n v="15"/>
    <n v="15"/>
    <n v="2009"/>
    <n v="2009"/>
    <n v="1158"/>
    <n v="1332"/>
    <m/>
    <m/>
    <m/>
    <n v="0"/>
    <n v="2490"/>
    <n v="2500"/>
    <s v="N"/>
    <n v="1"/>
    <m/>
    <n v="502"/>
    <m/>
    <m/>
    <m/>
    <m/>
    <n v="485009"/>
    <n v="455908"/>
    <n v="0"/>
    <n v="0"/>
    <n v="61700"/>
    <n v="370900"/>
    <n v="432600"/>
    <n v="132535.48800000001"/>
    <n v="88356.992000000013"/>
    <n v="-23255.730391660189"/>
    <n v="32917.849192000001"/>
    <n v="50438.379078999998"/>
    <n v="-1631.1165000000001"/>
    <n v="72271.22004"/>
    <n v="79361.070156000002"/>
    <n v="0"/>
    <n v="0"/>
    <n v="0"/>
    <n v="365900"/>
    <n v="65100"/>
    <n v="431000"/>
    <n v="-3.6985668053629217E-3"/>
    <n v="0.99970000000000003"/>
    <n v="1.0019"/>
    <n v="1.0007999999999999"/>
    <n v="1.0008999999999999"/>
    <n v="0.99080000000000001"/>
    <n v="0.94971499999999998"/>
    <n v="0.94436885958806405"/>
    <n v="358500"/>
    <n v="0"/>
    <n v="358500"/>
    <n v="61800"/>
    <n v="420300"/>
    <n v="-3.3432191965489348E-2"/>
    <n v="1.6207455429497568E-3"/>
    <n v="-2.8432732316227463E-2"/>
  </r>
  <r>
    <n v="2025"/>
    <s v="20120634462    "/>
    <n v="-1.7719568419318752"/>
    <n v="0.17"/>
    <n v="7435"/>
    <s v="2"/>
    <s v="RES"/>
    <s v="MX"/>
    <s v="11"/>
    <s v="259"/>
    <s v="CP"/>
    <x v="4"/>
    <s v="VG"/>
    <n v="0"/>
    <n v="9"/>
    <n v="9"/>
    <n v="2015"/>
    <n v="2015"/>
    <n v="1620"/>
    <m/>
    <m/>
    <m/>
    <m/>
    <n v="0"/>
    <n v="1620"/>
    <n v="2000"/>
    <s v="N"/>
    <m/>
    <n v="660"/>
    <m/>
    <m/>
    <m/>
    <m/>
    <m/>
    <n v="335031"/>
    <n v="321630"/>
    <n v="0"/>
    <n v="0"/>
    <n v="61700"/>
    <n v="348700"/>
    <n v="410400"/>
    <n v="132535.48800000001"/>
    <n v="88356.992000000013"/>
    <n v="-23255.730391660189"/>
    <n v="37154.252388000001"/>
    <n v="50438.379078999998"/>
    <n v="-978.66989999999998"/>
    <n v="101104.8156"/>
    <n v="0"/>
    <n v="0"/>
    <n v="23298.68046"/>
    <n v="0"/>
    <n v="343600"/>
    <n v="65100"/>
    <n v="408700"/>
    <n v="-4.1423001949317736E-3"/>
    <n v="0.99970000000000003"/>
    <n v="0.99819999999999998"/>
    <n v="1.0007999999999999"/>
    <n v="1.0007999999999999"/>
    <n v="1.0022"/>
    <n v="0.94971499999999998"/>
    <n v="0.95161187898712574"/>
    <n v="337100"/>
    <n v="0"/>
    <n v="337100"/>
    <n v="61800"/>
    <n v="398900"/>
    <n v="-3.3266418124462287E-2"/>
    <n v="1.6207455429497568E-3"/>
    <n v="-2.8021442495126704E-2"/>
  </r>
  <r>
    <n v="2025"/>
    <s v="20120633486    "/>
    <n v="-1.7719568419318752"/>
    <n v="0.17"/>
    <n v="7200"/>
    <s v="2"/>
    <s v="RES"/>
    <s v="MX"/>
    <s v="11"/>
    <s v="259"/>
    <s v="RN"/>
    <x v="4"/>
    <s v="GD"/>
    <n v="10"/>
    <n v="14"/>
    <n v="14"/>
    <n v="2010"/>
    <n v="2010"/>
    <n v="1536"/>
    <m/>
    <m/>
    <m/>
    <m/>
    <n v="0"/>
    <n v="1536"/>
    <n v="2000"/>
    <s v="N"/>
    <m/>
    <n v="420"/>
    <m/>
    <m/>
    <m/>
    <m/>
    <m/>
    <n v="309529"/>
    <n v="287862"/>
    <n v="0"/>
    <n v="0"/>
    <n v="61700"/>
    <n v="310700"/>
    <n v="372400"/>
    <n v="132535.48800000001"/>
    <n v="88356.992000000013"/>
    <n v="-23255.730391660189"/>
    <n v="37154.252388000001"/>
    <n v="30300.329274"/>
    <n v="-1522.3754000000001"/>
    <n v="95862.343680000005"/>
    <n v="0"/>
    <n v="0"/>
    <n v="14826.43302"/>
    <n v="0"/>
    <n v="309200"/>
    <n v="65100"/>
    <n v="374300"/>
    <n v="5.1020408163265302E-3"/>
    <n v="0.99970000000000003"/>
    <n v="0.99819999999999998"/>
    <n v="0.997"/>
    <n v="1.0007999999999999"/>
    <n v="0.99080000000000001"/>
    <n v="0.94971499999999998"/>
    <n v="0.93721518350211364"/>
    <n v="300800"/>
    <n v="0"/>
    <n v="300800"/>
    <n v="61800"/>
    <n v="362600"/>
    <n v="-3.1863533955584167E-2"/>
    <n v="1.6207455429497568E-3"/>
    <n v="-2.6315789473684209E-2"/>
  </r>
  <r>
    <n v="2025"/>
    <s v="19120141436    "/>
    <n v="-1.7719568419318752"/>
    <n v="0.17"/>
    <n v="7439"/>
    <s v="2"/>
    <s v="RES"/>
    <s v="MX"/>
    <s v="11"/>
    <s v="259"/>
    <s v="CO"/>
    <x v="5"/>
    <s v="GD"/>
    <n v="20"/>
    <n v="20"/>
    <n v="20"/>
    <n v="2004"/>
    <n v="2004"/>
    <n v="1158"/>
    <n v="1322"/>
    <m/>
    <m/>
    <m/>
    <n v="0"/>
    <n v="2480"/>
    <n v="2500"/>
    <s v="N"/>
    <m/>
    <m/>
    <n v="502"/>
    <m/>
    <m/>
    <m/>
    <m/>
    <n v="484632"/>
    <n v="441015"/>
    <n v="0"/>
    <n v="0"/>
    <n v="61700"/>
    <n v="350400"/>
    <n v="412100"/>
    <n v="132535.48800000001"/>
    <n v="88356.992000000013"/>
    <n v="-23255.730391660189"/>
    <n v="32917.849192000001"/>
    <n v="30300.329274"/>
    <n v="-2174.8220000000001"/>
    <n v="72271.22004"/>
    <n v="78765.266325999997"/>
    <n v="0"/>
    <n v="0"/>
    <n v="0"/>
    <n v="344600"/>
    <n v="65100"/>
    <n v="409700"/>
    <n v="-5.8238291676777484E-3"/>
    <n v="0.99970000000000003"/>
    <n v="1.0019"/>
    <n v="0.997"/>
    <n v="1.0008999999999999"/>
    <n v="1.0138"/>
    <n v="0.94971499999999998"/>
    <n v="0.96262205657438948"/>
    <n v="339700"/>
    <n v="0"/>
    <n v="339700"/>
    <n v="61800"/>
    <n v="401500"/>
    <n v="-3.0536529680365295E-2"/>
    <n v="1.6207455429497568E-3"/>
    <n v="-2.5721912157243388E-2"/>
  </r>
  <r>
    <n v="2025"/>
    <s v="20120634451    "/>
    <n v="-1.7719568419318752"/>
    <n v="0.17"/>
    <n v="7435"/>
    <s v="2"/>
    <s v="RES"/>
    <s v="MX"/>
    <s v="11"/>
    <s v="259"/>
    <s v="CP"/>
    <x v="4"/>
    <s v="VG"/>
    <n v="0"/>
    <n v="9"/>
    <n v="9"/>
    <n v="2015"/>
    <n v="2015"/>
    <n v="1126"/>
    <n v="1126"/>
    <m/>
    <m/>
    <m/>
    <n v="0"/>
    <n v="2252"/>
    <n v="2500"/>
    <s v="N"/>
    <m/>
    <n v="440"/>
    <m/>
    <m/>
    <m/>
    <m/>
    <m/>
    <n v="395524"/>
    <n v="379703"/>
    <n v="0"/>
    <n v="0"/>
    <n v="61700"/>
    <n v="376000"/>
    <n v="437700"/>
    <n v="132535.48800000001"/>
    <n v="88356.992000000013"/>
    <n v="-23255.730391660189"/>
    <n v="37154.252388000001"/>
    <n v="50438.379078999998"/>
    <n v="-978.66989999999998"/>
    <n v="70274.087880000006"/>
    <n v="67087.511257999999"/>
    <n v="0"/>
    <n v="15532.453640000002"/>
    <n v="0"/>
    <n v="372000"/>
    <n v="65100"/>
    <n v="437100"/>
    <n v="-1.3708019191226869E-3"/>
    <n v="0.99970000000000003"/>
    <n v="0.99819999999999998"/>
    <n v="1.0007999999999999"/>
    <n v="1.0008999999999999"/>
    <n v="1.0022"/>
    <n v="0.94971499999999998"/>
    <n v="0.95170696410692857"/>
    <n v="365600"/>
    <n v="0"/>
    <n v="365600"/>
    <n v="61800"/>
    <n v="427400"/>
    <n v="-2.7659574468085105E-2"/>
    <n v="1.6207455429497568E-3"/>
    <n v="-2.3532099611606124E-2"/>
  </r>
  <r>
    <n v="2025"/>
    <s v="20120634464    "/>
    <n v="-1.7719568419318752"/>
    <n v="0.17"/>
    <n v="7236"/>
    <s v="2"/>
    <s v="RES"/>
    <s v="MX"/>
    <s v="11"/>
    <s v="259"/>
    <s v="CP"/>
    <x v="4"/>
    <s v="VG"/>
    <n v="0"/>
    <n v="9"/>
    <n v="9"/>
    <n v="2015"/>
    <n v="2015"/>
    <n v="1600"/>
    <m/>
    <m/>
    <m/>
    <m/>
    <n v="0"/>
    <n v="1600"/>
    <n v="2000"/>
    <s v="N"/>
    <m/>
    <n v="440"/>
    <m/>
    <m/>
    <m/>
    <m/>
    <m/>
    <n v="320538"/>
    <n v="307716"/>
    <n v="0"/>
    <n v="0"/>
    <n v="61700"/>
    <n v="337500"/>
    <n v="399200"/>
    <n v="132535.48800000001"/>
    <n v="88356.992000000013"/>
    <n v="-23255.730391660189"/>
    <n v="37154.252388000001"/>
    <n v="50438.379078999998"/>
    <n v="-978.66989999999998"/>
    <n v="99856.608000000007"/>
    <n v="0"/>
    <n v="0"/>
    <n v="15532.453640000002"/>
    <n v="0"/>
    <n v="334500"/>
    <n v="65100"/>
    <n v="399600"/>
    <n v="1.002004008016032E-3"/>
    <n v="0.99970000000000003"/>
    <n v="0.99819999999999998"/>
    <n v="1.0007999999999999"/>
    <n v="1.0007999999999999"/>
    <n v="1.0022"/>
    <n v="0.94971499999999998"/>
    <n v="0.95161187898712574"/>
    <n v="328100"/>
    <n v="0"/>
    <n v="328100"/>
    <n v="61800"/>
    <n v="389900"/>
    <n v="-2.7851851851851853E-2"/>
    <n v="1.6207455429497568E-3"/>
    <n v="-2.3296593186372744E-2"/>
  </r>
  <r>
    <n v="2025"/>
    <s v="20120633466    "/>
    <n v="-1.7719568419318752"/>
    <n v="0.17"/>
    <n v="7574"/>
    <s v="2"/>
    <s v="RES"/>
    <s v="MX"/>
    <s v="11"/>
    <s v="259"/>
    <s v="RN"/>
    <x v="4"/>
    <s v="GD"/>
    <n v="10"/>
    <n v="15"/>
    <n v="15"/>
    <n v="2009"/>
    <n v="2009"/>
    <n v="1540"/>
    <m/>
    <m/>
    <m/>
    <m/>
    <n v="0"/>
    <n v="1540"/>
    <n v="2000"/>
    <s v="N"/>
    <m/>
    <n v="420"/>
    <m/>
    <m/>
    <m/>
    <m/>
    <m/>
    <n v="306223"/>
    <n v="284787"/>
    <n v="0"/>
    <n v="0"/>
    <n v="61700"/>
    <n v="309700"/>
    <n v="371400"/>
    <n v="132535.48800000001"/>
    <n v="88356.992000000013"/>
    <n v="-23255.730391660189"/>
    <n v="37154.252388000001"/>
    <n v="30300.329274"/>
    <n v="-1631.1165000000001"/>
    <n v="96111.98520000001"/>
    <n v="0"/>
    <n v="0"/>
    <n v="14826.43302"/>
    <n v="0"/>
    <n v="309300"/>
    <n v="65100"/>
    <n v="374400"/>
    <n v="8.0775444264943458E-3"/>
    <n v="0.99970000000000003"/>
    <n v="0.99819999999999998"/>
    <n v="0.997"/>
    <n v="1.0007999999999999"/>
    <n v="0.99080000000000001"/>
    <n v="0.94971499999999998"/>
    <n v="0.93721518350211364"/>
    <n v="301000"/>
    <n v="0"/>
    <n v="301000"/>
    <n v="61800"/>
    <n v="362800"/>
    <n v="-2.8091701646754924E-2"/>
    <n v="1.6207455429497568E-3"/>
    <n v="-2.3155627355950458E-2"/>
  </r>
  <r>
    <n v="2025"/>
    <s v="19120113463    "/>
    <n v="-1.7719568419318752"/>
    <n v="0.17"/>
    <n v="7393"/>
    <s v="2"/>
    <s v="RES"/>
    <s v="MX"/>
    <s v="11"/>
    <s v="259"/>
    <s v="CO"/>
    <x v="5"/>
    <s v="VG"/>
    <n v="10"/>
    <n v="18"/>
    <n v="18"/>
    <n v="2006"/>
    <n v="2006"/>
    <n v="1158"/>
    <n v="1332"/>
    <m/>
    <m/>
    <m/>
    <n v="0"/>
    <n v="2490"/>
    <n v="2500"/>
    <s v="N"/>
    <m/>
    <m/>
    <n v="502"/>
    <m/>
    <m/>
    <m/>
    <m/>
    <n v="492443"/>
    <n v="453048"/>
    <n v="0"/>
    <n v="0"/>
    <n v="61700"/>
    <n v="368200"/>
    <n v="429900"/>
    <n v="132535.48800000001"/>
    <n v="88356.992000000013"/>
    <n v="-23255.730391660189"/>
    <n v="32917.849192000001"/>
    <n v="50438.379078999998"/>
    <n v="-1957.3398"/>
    <n v="72271.22004"/>
    <n v="79361.070156000002"/>
    <n v="0"/>
    <n v="0"/>
    <n v="0"/>
    <n v="365600"/>
    <n v="65100"/>
    <n v="430700"/>
    <n v="1.8608978832286578E-3"/>
    <n v="0.99970000000000003"/>
    <n v="1.0019"/>
    <n v="1.0007999999999999"/>
    <n v="1.0008999999999999"/>
    <n v="0.99080000000000001"/>
    <n v="0.94971499999999998"/>
    <n v="0.94436885958806405"/>
    <n v="358200"/>
    <n v="0"/>
    <n v="358200"/>
    <n v="61800"/>
    <n v="420000"/>
    <n v="-2.7159152634437807E-2"/>
    <n v="1.6207455429497568E-3"/>
    <n v="-2.3028611304954642E-2"/>
  </r>
  <r>
    <n v="2025"/>
    <s v="20120633449    "/>
    <n v="-1.7719568419318752"/>
    <n v="0.17"/>
    <n v="7347"/>
    <s v="2"/>
    <s v="RES"/>
    <s v="MX"/>
    <s v="11"/>
    <s v="259"/>
    <s v="CP"/>
    <x v="4"/>
    <s v="GD"/>
    <n v="10"/>
    <n v="15"/>
    <n v="15"/>
    <n v="2009"/>
    <n v="2009"/>
    <n v="1132"/>
    <m/>
    <m/>
    <m/>
    <m/>
    <n v="0"/>
    <n v="1132"/>
    <n v="1500"/>
    <s v="N"/>
    <n v="1"/>
    <n v="444"/>
    <m/>
    <m/>
    <m/>
    <m/>
    <m/>
    <n v="243012"/>
    <n v="226001"/>
    <n v="0"/>
    <n v="0"/>
    <n v="61700"/>
    <n v="283700"/>
    <n v="345400"/>
    <n v="132535.48800000001"/>
    <n v="88356.992000000013"/>
    <n v="-23255.730391660189"/>
    <n v="37154.252388000001"/>
    <n v="30300.329274"/>
    <n v="-1631.1165000000001"/>
    <n v="70648.550159999999"/>
    <n v="0"/>
    <n v="0"/>
    <n v="15673.657764000001"/>
    <n v="0"/>
    <n v="284700"/>
    <n v="65100"/>
    <n v="349800"/>
    <n v="1.2738853503184714E-2"/>
    <n v="0.99970000000000003"/>
    <n v="0.99819999999999998"/>
    <n v="0.997"/>
    <n v="0.99519999999999997"/>
    <n v="0.99080000000000001"/>
    <n v="0.94971499999999998"/>
    <n v="0.93197097384222971"/>
    <n v="275700"/>
    <n v="0"/>
    <n v="275700"/>
    <n v="61800"/>
    <n v="337500"/>
    <n v="-2.8198801550934086E-2"/>
    <n v="1.6207455429497568E-3"/>
    <n v="-2.2872032426172553E-2"/>
  </r>
  <r>
    <n v="2025"/>
    <s v="19120141448    "/>
    <n v="-1.7719568419318752"/>
    <n v="0.17"/>
    <n v="7192"/>
    <s v="2"/>
    <s v="RES"/>
    <s v="MX"/>
    <s v="11"/>
    <s v="259"/>
    <s v="CO"/>
    <x v="5"/>
    <s v="VG"/>
    <n v="10"/>
    <n v="19"/>
    <n v="19"/>
    <n v="2005"/>
    <n v="2005"/>
    <n v="1158"/>
    <n v="1322"/>
    <m/>
    <m/>
    <m/>
    <n v="0"/>
    <n v="2480"/>
    <n v="2500"/>
    <s v="N"/>
    <n v="1"/>
    <m/>
    <n v="502"/>
    <m/>
    <m/>
    <m/>
    <m/>
    <n v="506405"/>
    <n v="460829"/>
    <n v="0"/>
    <n v="0"/>
    <n v="61700"/>
    <n v="366800"/>
    <n v="428500"/>
    <n v="132535.48800000001"/>
    <n v="88356.992000000013"/>
    <n v="-23255.730391660189"/>
    <n v="32917.849192000001"/>
    <n v="50438.379078999998"/>
    <n v="-2066.0808999999999"/>
    <n v="72271.22004"/>
    <n v="78765.266325999997"/>
    <n v="0"/>
    <n v="0"/>
    <n v="0"/>
    <n v="364900"/>
    <n v="65100"/>
    <n v="430000"/>
    <n v="3.5005834305717621E-3"/>
    <n v="0.99970000000000003"/>
    <n v="1.0019"/>
    <n v="1.0007999999999999"/>
    <n v="1.0008999999999999"/>
    <n v="0.99080000000000001"/>
    <n v="0.94971499999999998"/>
    <n v="0.94436885958806405"/>
    <n v="357500"/>
    <n v="0"/>
    <n v="357500"/>
    <n v="61800"/>
    <n v="419300"/>
    <n v="-2.5354416575790621E-2"/>
    <n v="1.6207455429497568E-3"/>
    <n v="-2.1470245040840139E-2"/>
  </r>
  <r>
    <n v="2025"/>
    <s v="19120141544    "/>
    <n v="-1.7719568419318752"/>
    <n v="0.17"/>
    <n v="7339"/>
    <s v="2"/>
    <s v="RES"/>
    <s v="MX"/>
    <s v="11"/>
    <s v="259"/>
    <s v="CO"/>
    <x v="5"/>
    <s v="VG"/>
    <n v="10"/>
    <n v="19"/>
    <n v="19"/>
    <n v="2005"/>
    <n v="2005"/>
    <n v="1158"/>
    <n v="1322"/>
    <m/>
    <m/>
    <m/>
    <n v="0"/>
    <n v="2480"/>
    <n v="2500"/>
    <s v="N"/>
    <n v="1"/>
    <m/>
    <n v="502"/>
    <m/>
    <m/>
    <m/>
    <m/>
    <n v="481791"/>
    <n v="438430"/>
    <n v="0"/>
    <n v="0"/>
    <n v="61700"/>
    <n v="366800"/>
    <n v="428500"/>
    <n v="132535.48800000001"/>
    <n v="88356.992000000013"/>
    <n v="-23255.730391660189"/>
    <n v="32917.849192000001"/>
    <n v="50438.379078999998"/>
    <n v="-2066.0808999999999"/>
    <n v="72271.22004"/>
    <n v="78765.266325999997"/>
    <n v="0"/>
    <n v="0"/>
    <n v="0"/>
    <n v="364900"/>
    <n v="65100"/>
    <n v="430000"/>
    <n v="3.5005834305717621E-3"/>
    <n v="0.99970000000000003"/>
    <n v="1.0019"/>
    <n v="1.0007999999999999"/>
    <n v="1.0008999999999999"/>
    <n v="0.99080000000000001"/>
    <n v="0.94971499999999998"/>
    <n v="0.94436885958806405"/>
    <n v="357500"/>
    <n v="0"/>
    <n v="357500"/>
    <n v="61800"/>
    <n v="419300"/>
    <n v="-2.5354416575790621E-2"/>
    <n v="1.6207455429497568E-3"/>
    <n v="-2.1470245040840139E-2"/>
  </r>
  <r>
    <n v="2025"/>
    <s v="19120141541    "/>
    <n v="-1.7719568419318752"/>
    <n v="0.17"/>
    <n v="7318"/>
    <s v="2"/>
    <s v="RES"/>
    <s v="MX"/>
    <s v="11"/>
    <s v="259"/>
    <s v="RN"/>
    <x v="4"/>
    <s v="AV"/>
    <n v="10"/>
    <n v="19"/>
    <n v="19"/>
    <n v="2005"/>
    <n v="2005"/>
    <n v="1092"/>
    <m/>
    <m/>
    <m/>
    <m/>
    <n v="0"/>
    <n v="1092"/>
    <n v="1500"/>
    <s v="N"/>
    <m/>
    <n v="680"/>
    <m/>
    <m/>
    <m/>
    <m/>
    <m/>
    <n v="240560"/>
    <n v="216504"/>
    <n v="0"/>
    <n v="0"/>
    <n v="61700"/>
    <n v="275600"/>
    <n v="337300"/>
    <n v="132535.48800000001"/>
    <n v="88356.992000000013"/>
    <n v="-23255.730391660189"/>
    <n v="37154.252388000001"/>
    <n v="17761.121909000001"/>
    <n v="-2066.0808999999999"/>
    <n v="68152.13496000001"/>
    <n v="0"/>
    <n v="0"/>
    <n v="24004.701080000003"/>
    <n v="0"/>
    <n v="277500"/>
    <n v="65100"/>
    <n v="342600"/>
    <n v="1.5713015120071155E-2"/>
    <n v="0.99970000000000003"/>
    <n v="0.99819999999999998"/>
    <n v="0.99680000000000002"/>
    <n v="0.99519999999999997"/>
    <n v="0.99080000000000001"/>
    <n v="0.94971499999999998"/>
    <n v="0.93178401878228145"/>
    <n v="268500"/>
    <n v="0"/>
    <n v="268500"/>
    <n v="61800"/>
    <n v="330300"/>
    <n v="-2.5761973875181421E-2"/>
    <n v="1.6207455429497568E-3"/>
    <n v="-2.0753038837829824E-2"/>
  </r>
  <r>
    <n v="2025"/>
    <s v="19120113562    "/>
    <n v="-1.7719568419318752"/>
    <n v="0.17"/>
    <n v="7190"/>
    <s v="2"/>
    <s v="RES"/>
    <s v="MX"/>
    <s v="11"/>
    <s v="259"/>
    <s v="CO"/>
    <x v="5"/>
    <s v="VG"/>
    <n v="10"/>
    <n v="17"/>
    <n v="17"/>
    <n v="2007"/>
    <n v="2007"/>
    <n v="932"/>
    <n v="1092"/>
    <m/>
    <m/>
    <m/>
    <n v="0"/>
    <n v="2024"/>
    <n v="2500"/>
    <s v="N"/>
    <n v="1"/>
    <m/>
    <n v="420"/>
    <m/>
    <m/>
    <m/>
    <m/>
    <n v="407817"/>
    <n v="379270"/>
    <n v="0"/>
    <n v="0"/>
    <n v="61700"/>
    <n v="337800"/>
    <n v="399500"/>
    <n v="132535.48800000001"/>
    <n v="88356.992000000013"/>
    <n v="-23255.730391660189"/>
    <n v="32917.849192000001"/>
    <n v="50438.379078999998"/>
    <n v="-1848.5987"/>
    <n v="58166.474160000005"/>
    <n v="65061.778235999998"/>
    <n v="0"/>
    <n v="0"/>
    <n v="0"/>
    <n v="337300"/>
    <n v="65100"/>
    <n v="402400"/>
    <n v="7.2590738423028789E-3"/>
    <n v="0.99970000000000003"/>
    <n v="1.0019"/>
    <n v="1.0007999999999999"/>
    <n v="1.0008999999999999"/>
    <n v="0.99080000000000001"/>
    <n v="0.94971499999999998"/>
    <n v="0.94436885958806405"/>
    <n v="329900"/>
    <n v="0"/>
    <n v="329900"/>
    <n v="61800"/>
    <n v="391700"/>
    <n v="-2.3386619301361752E-2"/>
    <n v="1.6207455429497568E-3"/>
    <n v="-1.9524405506883606E-2"/>
  </r>
  <r>
    <n v="2025"/>
    <s v="19120113554    "/>
    <n v="-1.7719568419318752"/>
    <n v="0.17"/>
    <n v="7275"/>
    <s v="2"/>
    <s v="RES"/>
    <s v="MX"/>
    <s v="11"/>
    <s v="259"/>
    <s v="CO"/>
    <x v="5"/>
    <s v="VG"/>
    <n v="10"/>
    <n v="17"/>
    <n v="17"/>
    <n v="2007"/>
    <n v="2007"/>
    <n v="932"/>
    <n v="1112"/>
    <m/>
    <m/>
    <m/>
    <n v="0"/>
    <n v="2044"/>
    <n v="2500"/>
    <s v="N"/>
    <m/>
    <m/>
    <n v="420"/>
    <m/>
    <m/>
    <m/>
    <m/>
    <n v="406976"/>
    <n v="378488"/>
    <n v="0"/>
    <n v="0"/>
    <n v="61700"/>
    <n v="338400"/>
    <n v="400100"/>
    <n v="132535.48800000001"/>
    <n v="88356.992000000013"/>
    <n v="-23255.730391660189"/>
    <n v="32917.849192000001"/>
    <n v="50438.379078999998"/>
    <n v="-1848.5987"/>
    <n v="58166.474160000005"/>
    <n v="66253.385895999992"/>
    <n v="0"/>
    <n v="0"/>
    <n v="0"/>
    <n v="338500"/>
    <n v="65100"/>
    <n v="403600"/>
    <n v="8.7478130467383147E-3"/>
    <n v="0.99970000000000003"/>
    <n v="1.0019"/>
    <n v="1.0007999999999999"/>
    <n v="1.0008999999999999"/>
    <n v="0.99080000000000001"/>
    <n v="0.94971499999999998"/>
    <n v="0.94436885958806405"/>
    <n v="331100"/>
    <n v="0"/>
    <n v="331100"/>
    <n v="61800"/>
    <n v="392900"/>
    <n v="-2.1572104018912529E-2"/>
    <n v="1.6207455429497568E-3"/>
    <n v="-1.7995501124718819E-2"/>
  </r>
  <r>
    <n v="2025"/>
    <s v="19120144530    "/>
    <n v="-1.7719568419318752"/>
    <n v="0.17"/>
    <n v="7205"/>
    <s v="2"/>
    <s v="RES"/>
    <s v="MX"/>
    <s v="11"/>
    <s v="259"/>
    <s v="CO"/>
    <x v="5"/>
    <s v="VG"/>
    <n v="20"/>
    <n v="20"/>
    <n v="20"/>
    <n v="2004"/>
    <n v="2004"/>
    <n v="1158"/>
    <n v="1322"/>
    <m/>
    <m/>
    <m/>
    <n v="0"/>
    <n v="2480"/>
    <n v="2500"/>
    <s v="N"/>
    <m/>
    <n v="300"/>
    <n v="502"/>
    <m/>
    <m/>
    <m/>
    <m/>
    <n v="497798"/>
    <n v="457974"/>
    <n v="0"/>
    <n v="0"/>
    <n v="61700"/>
    <n v="378800"/>
    <n v="440500"/>
    <n v="132535.48800000001"/>
    <n v="88356.992000000013"/>
    <n v="-23255.730391660189"/>
    <n v="32917.849192000001"/>
    <n v="50438.379078999998"/>
    <n v="-2174.8220000000001"/>
    <n v="72271.22004"/>
    <n v="78765.266325999997"/>
    <n v="0"/>
    <n v="10590.309300000001"/>
    <n v="0"/>
    <n v="375300"/>
    <n v="65100"/>
    <n v="440400"/>
    <n v="-2.2701475595913735E-4"/>
    <n v="0.99970000000000003"/>
    <n v="1.0019"/>
    <n v="1.0007999999999999"/>
    <n v="1.0008999999999999"/>
    <n v="1.0138"/>
    <n v="0.94971499999999998"/>
    <n v="0.9662910273015537"/>
    <n v="370900"/>
    <n v="0"/>
    <n v="370900"/>
    <n v="61800"/>
    <n v="432700"/>
    <n v="-2.085533262935586E-2"/>
    <n v="1.6207455429497568E-3"/>
    <n v="-1.7707150964812714E-2"/>
  </r>
  <r>
    <n v="2025"/>
    <s v="19120144418    "/>
    <n v="-1.7719568419318752"/>
    <n v="0.17"/>
    <n v="7315"/>
    <s v="2"/>
    <s v="RES"/>
    <s v="MX"/>
    <s v="11"/>
    <s v="259"/>
    <s v="CO"/>
    <x v="5"/>
    <s v="VG"/>
    <n v="20"/>
    <n v="20"/>
    <n v="20"/>
    <n v="2004"/>
    <n v="2004"/>
    <n v="1158"/>
    <n v="1322"/>
    <m/>
    <m/>
    <m/>
    <n v="0"/>
    <n v="2480"/>
    <n v="2500"/>
    <s v="N"/>
    <n v="1"/>
    <n v="300"/>
    <n v="502"/>
    <m/>
    <m/>
    <m/>
    <m/>
    <n v="513980"/>
    <n v="472862"/>
    <n v="0"/>
    <n v="0"/>
    <n v="61700"/>
    <n v="378800"/>
    <n v="440500"/>
    <n v="132535.48800000001"/>
    <n v="88356.992000000013"/>
    <n v="-23255.730391660189"/>
    <n v="32917.849192000001"/>
    <n v="50438.379078999998"/>
    <n v="-2174.8220000000001"/>
    <n v="72271.22004"/>
    <n v="78765.266325999997"/>
    <n v="0"/>
    <n v="10590.309300000001"/>
    <n v="0"/>
    <n v="375300"/>
    <n v="65100"/>
    <n v="440400"/>
    <n v="-2.2701475595913735E-4"/>
    <n v="0.99970000000000003"/>
    <n v="1.0019"/>
    <n v="1.0007999999999999"/>
    <n v="1.0008999999999999"/>
    <n v="1.0138"/>
    <n v="0.94971499999999998"/>
    <n v="0.9662910273015537"/>
    <n v="370900"/>
    <n v="0"/>
    <n v="370900"/>
    <n v="61800"/>
    <n v="432700"/>
    <n v="-2.085533262935586E-2"/>
    <n v="1.6207455429497568E-3"/>
    <n v="-1.7707150964812714E-2"/>
  </r>
  <r>
    <n v="2025"/>
    <s v="19120113555    "/>
    <n v="-1.7719568419318752"/>
    <n v="0.17"/>
    <n v="7275"/>
    <s v="2"/>
    <s v="RES"/>
    <s v="MX"/>
    <s v="11"/>
    <s v="259"/>
    <s v="CO"/>
    <x v="5"/>
    <s v="VG"/>
    <n v="10"/>
    <n v="18"/>
    <n v="18"/>
    <n v="2006"/>
    <n v="2006"/>
    <n v="1374"/>
    <n v="1332"/>
    <m/>
    <m/>
    <m/>
    <n v="0"/>
    <n v="2706"/>
    <n v="3000"/>
    <s v="N"/>
    <m/>
    <n v="240"/>
    <n v="502"/>
    <m/>
    <m/>
    <m/>
    <m/>
    <n v="525982"/>
    <n v="483903"/>
    <n v="0"/>
    <n v="0"/>
    <n v="61700"/>
    <n v="389100"/>
    <n v="450800"/>
    <n v="132535.48800000001"/>
    <n v="88356.992000000013"/>
    <n v="-23255.730391660189"/>
    <n v="32917.849192000001"/>
    <n v="50438.379078999998"/>
    <n v="-1957.3398"/>
    <n v="85751.862120000005"/>
    <n v="79361.070156000002"/>
    <n v="0"/>
    <n v="8472.247440000001"/>
    <n v="0"/>
    <n v="387500"/>
    <n v="65100"/>
    <n v="452600"/>
    <n v="3.9929015084294583E-3"/>
    <n v="0.99970000000000003"/>
    <n v="1.0019"/>
    <n v="1.0007999999999999"/>
    <n v="1.0099"/>
    <n v="0.99080000000000001"/>
    <n v="0.94971499999999998"/>
    <n v="0.95286053681485272"/>
    <n v="381300"/>
    <n v="0"/>
    <n v="381300"/>
    <n v="61800"/>
    <n v="443100"/>
    <n v="-2.0046260601387818E-2"/>
    <n v="1.6207455429497568E-3"/>
    <n v="-1.7080745341614908E-2"/>
  </r>
  <r>
    <n v="2025"/>
    <s v="19120113557    "/>
    <n v="-1.7719568419318752"/>
    <n v="0.17"/>
    <n v="7275"/>
    <s v="2"/>
    <s v="RES"/>
    <s v="MX"/>
    <s v="11"/>
    <s v="259"/>
    <s v="CO"/>
    <x v="5"/>
    <s v="VG"/>
    <n v="10"/>
    <n v="18"/>
    <n v="18"/>
    <n v="2006"/>
    <n v="2006"/>
    <n v="1374"/>
    <n v="1332"/>
    <m/>
    <m/>
    <m/>
    <n v="0"/>
    <n v="2706"/>
    <n v="3000"/>
    <s v="N"/>
    <m/>
    <n v="240"/>
    <n v="502"/>
    <m/>
    <m/>
    <m/>
    <m/>
    <n v="543135"/>
    <n v="499684"/>
    <n v="0"/>
    <n v="0"/>
    <n v="61700"/>
    <n v="389100"/>
    <n v="450800"/>
    <n v="132535.48800000001"/>
    <n v="88356.992000000013"/>
    <n v="-23255.730391660189"/>
    <n v="32917.849192000001"/>
    <n v="50438.379078999998"/>
    <n v="-1957.3398"/>
    <n v="85751.862120000005"/>
    <n v="79361.070156000002"/>
    <n v="0"/>
    <n v="8472.247440000001"/>
    <n v="0"/>
    <n v="387500"/>
    <n v="65100"/>
    <n v="452600"/>
    <n v="3.9929015084294583E-3"/>
    <n v="0.99970000000000003"/>
    <n v="1.0019"/>
    <n v="1.0007999999999999"/>
    <n v="1.0099"/>
    <n v="0.99080000000000001"/>
    <n v="0.94971499999999998"/>
    <n v="0.95286053681485272"/>
    <n v="381300"/>
    <n v="0"/>
    <n v="381300"/>
    <n v="61800"/>
    <n v="443100"/>
    <n v="-2.0046260601387818E-2"/>
    <n v="1.6207455429497568E-3"/>
    <n v="-1.7080745341614908E-2"/>
  </r>
  <r>
    <n v="2025"/>
    <s v="20120633484    "/>
    <n v="-1.7719568419318752"/>
    <n v="0.17"/>
    <n v="7200"/>
    <s v="2"/>
    <s v="RES"/>
    <s v="MX"/>
    <s v="11"/>
    <s v="400"/>
    <s v="CP"/>
    <x v="4"/>
    <s v="VG"/>
    <n v="10"/>
    <n v="12"/>
    <n v="12"/>
    <n v="2012"/>
    <n v="2012"/>
    <n v="1521"/>
    <m/>
    <m/>
    <m/>
    <m/>
    <n v="0"/>
    <n v="1521"/>
    <n v="2000"/>
    <s v="N"/>
    <m/>
    <n v="435"/>
    <m/>
    <m/>
    <m/>
    <m/>
    <m/>
    <n v="304272"/>
    <n v="289058"/>
    <n v="0"/>
    <n v="0"/>
    <n v="61700"/>
    <n v="328000"/>
    <n v="389700"/>
    <n v="132535.48800000001"/>
    <n v="88356.992000000013"/>
    <n v="-23255.730391660189"/>
    <n v="37154.252388000001"/>
    <n v="50438.379078999998"/>
    <n v="-1304.8932"/>
    <n v="94926.187980000002"/>
    <n v="0"/>
    <n v="0"/>
    <n v="15355.948485000001"/>
    <n v="0"/>
    <n v="329100"/>
    <n v="65100"/>
    <n v="394200"/>
    <n v="1.1547344110854504E-2"/>
    <n v="0.99970000000000003"/>
    <n v="0.99819999999999998"/>
    <n v="1.0007999999999999"/>
    <n v="1.0007999999999999"/>
    <n v="0.99080000000000001"/>
    <n v="0.94971499999999998"/>
    <n v="0.9407873176017203"/>
    <n v="321300"/>
    <n v="0"/>
    <n v="321300"/>
    <n v="61800"/>
    <n v="383100"/>
    <n v="-2.0426829268292684E-2"/>
    <n v="1.6207455429497568E-3"/>
    <n v="-1.6936104695919937E-2"/>
  </r>
  <r>
    <n v="2025"/>
    <s v="19120112473    "/>
    <n v="-1.7719568419318752"/>
    <n v="0.17"/>
    <n v="7230"/>
    <s v="2"/>
    <s v="RES"/>
    <s v="MX"/>
    <s v="11"/>
    <s v="259"/>
    <s v="RN"/>
    <x v="4"/>
    <s v="GD"/>
    <n v="10"/>
    <n v="17"/>
    <n v="17"/>
    <n v="2007"/>
    <n v="2007"/>
    <n v="1092"/>
    <m/>
    <m/>
    <m/>
    <m/>
    <n v="0"/>
    <n v="1092"/>
    <n v="1500"/>
    <s v="N"/>
    <m/>
    <n v="440"/>
    <m/>
    <m/>
    <m/>
    <m/>
    <m/>
    <n v="233638"/>
    <n v="214947"/>
    <n v="0"/>
    <n v="0"/>
    <n v="61700"/>
    <n v="278500"/>
    <n v="340200"/>
    <n v="132535.48800000001"/>
    <n v="88356.992000000013"/>
    <n v="-23255.730391660189"/>
    <n v="37154.252388000001"/>
    <n v="30300.329274"/>
    <n v="-1848.5987"/>
    <n v="68152.13496000001"/>
    <n v="0"/>
    <n v="0"/>
    <n v="15532.453640000002"/>
    <n v="0"/>
    <n v="281800"/>
    <n v="65100"/>
    <n v="346900"/>
    <n v="1.969429747207525E-2"/>
    <n v="0.99970000000000003"/>
    <n v="0.99819999999999998"/>
    <n v="0.997"/>
    <n v="0.99519999999999997"/>
    <n v="0.99080000000000001"/>
    <n v="0.94971499999999998"/>
    <n v="0.93197097384222971"/>
    <n v="272800"/>
    <n v="0"/>
    <n v="272800"/>
    <n v="61800"/>
    <n v="334600"/>
    <n v="-2.0466786355475764E-2"/>
    <n v="1.6207455429497568E-3"/>
    <n v="-1.646090534979424E-2"/>
  </r>
  <r>
    <n v="2025"/>
    <s v="19120141558    "/>
    <n v="-1.7719568419318752"/>
    <n v="0.17"/>
    <n v="7366"/>
    <s v="2"/>
    <s v="RES"/>
    <s v="MX"/>
    <s v="11"/>
    <s v="259"/>
    <s v="RN"/>
    <x v="4"/>
    <s v="AV"/>
    <n v="10"/>
    <n v="19"/>
    <n v="19"/>
    <n v="2005"/>
    <n v="2005"/>
    <n v="1092"/>
    <m/>
    <m/>
    <m/>
    <m/>
    <n v="0"/>
    <n v="1092"/>
    <n v="1500"/>
    <s v="N"/>
    <m/>
    <n v="440"/>
    <m/>
    <m/>
    <m/>
    <m/>
    <m/>
    <n v="232884"/>
    <n v="209596"/>
    <n v="0"/>
    <n v="0"/>
    <n v="61700"/>
    <n v="265200"/>
    <n v="326900"/>
    <n v="132535.48800000001"/>
    <n v="88356.992000000013"/>
    <n v="-23255.730391660189"/>
    <n v="37154.252388000001"/>
    <n v="17761.121909000001"/>
    <n v="-2066.0808999999999"/>
    <n v="68152.13496000001"/>
    <n v="0"/>
    <n v="0"/>
    <n v="15532.453640000002"/>
    <n v="0"/>
    <n v="269100"/>
    <n v="65100"/>
    <n v="334200"/>
    <n v="2.2330988069746101E-2"/>
    <n v="0.99970000000000003"/>
    <n v="0.99819999999999998"/>
    <n v="0.99680000000000002"/>
    <n v="0.99519999999999997"/>
    <n v="0.99080000000000001"/>
    <n v="0.94971499999999998"/>
    <n v="0.93178401878228145"/>
    <n v="260000"/>
    <n v="0"/>
    <n v="260000"/>
    <n v="61800"/>
    <n v="321800"/>
    <n v="-1.9607843137254902E-2"/>
    <n v="1.6207455429497568E-3"/>
    <n v="-1.560110125420618E-2"/>
  </r>
  <r>
    <n v="2025"/>
    <s v="20120633481    "/>
    <n v="-1.7719568419318752"/>
    <n v="0.17"/>
    <n v="7305"/>
    <s v="2"/>
    <s v="RES"/>
    <s v="MX"/>
    <s v="11"/>
    <s v="259"/>
    <s v="CP"/>
    <x v="5"/>
    <s v="VG"/>
    <n v="10"/>
    <n v="12"/>
    <n v="12"/>
    <n v="2012"/>
    <n v="2012"/>
    <n v="1521"/>
    <m/>
    <m/>
    <m/>
    <m/>
    <n v="0"/>
    <n v="1521"/>
    <n v="2000"/>
    <s v="N"/>
    <m/>
    <n v="435"/>
    <m/>
    <m/>
    <m/>
    <m/>
    <m/>
    <n v="356398"/>
    <n v="338578"/>
    <n v="1186"/>
    <n v="0"/>
    <n v="61700"/>
    <n v="324700"/>
    <n v="386400"/>
    <n v="132535.48800000001"/>
    <n v="88356.992000000013"/>
    <n v="-23255.730391660189"/>
    <n v="32917.849192000001"/>
    <n v="50438.379078999998"/>
    <n v="-1304.8932"/>
    <n v="94926.187980000002"/>
    <n v="0"/>
    <n v="0"/>
    <n v="15355.948485000001"/>
    <n v="1200"/>
    <n v="324900"/>
    <n v="65100"/>
    <n v="391200"/>
    <n v="1.2422360248447204E-2"/>
    <n v="0.99970000000000003"/>
    <n v="1.0019"/>
    <n v="1.0007999999999999"/>
    <n v="1.0007999999999999"/>
    <n v="0.99080000000000001"/>
    <n v="0.94971499999999998"/>
    <n v="0.94427450761887755"/>
    <n v="317500"/>
    <n v="1100"/>
    <n v="318600"/>
    <n v="61800"/>
    <n v="380400"/>
    <n v="-1.8786572220511243E-2"/>
    <n v="1.6207455429497568E-3"/>
    <n v="-1.5527950310559006E-2"/>
  </r>
  <r>
    <n v="2025"/>
    <s v="19120113470    "/>
    <n v="-1.7719568419318752"/>
    <n v="0.17"/>
    <n v="7521"/>
    <s v="2"/>
    <s v="RES"/>
    <s v="MX"/>
    <s v="11"/>
    <s v="259"/>
    <s v="CO"/>
    <x v="5"/>
    <s v="GD"/>
    <n v="10"/>
    <n v="18"/>
    <n v="18"/>
    <n v="2006"/>
    <n v="2006"/>
    <n v="1040"/>
    <n v="1040"/>
    <m/>
    <m/>
    <m/>
    <n v="0"/>
    <n v="2080"/>
    <n v="2500"/>
    <s v="N"/>
    <m/>
    <n v="716"/>
    <m/>
    <m/>
    <m/>
    <m/>
    <m/>
    <n v="439631"/>
    <n v="400064"/>
    <n v="0"/>
    <n v="0"/>
    <n v="61700"/>
    <n v="344000"/>
    <n v="405700"/>
    <n v="132535.48800000001"/>
    <n v="88356.992000000013"/>
    <n v="-23255.730391660189"/>
    <n v="32917.849192000001"/>
    <n v="30300.329274"/>
    <n v="-1957.3398"/>
    <n v="64906.7952"/>
    <n v="61963.598319999997"/>
    <n v="0"/>
    <n v="25275.538196000001"/>
    <n v="0"/>
    <n v="345900"/>
    <n v="65100"/>
    <n v="411000"/>
    <n v="1.3063840276066059E-2"/>
    <n v="0.99970000000000003"/>
    <n v="1.0019"/>
    <n v="0.997"/>
    <n v="1.0008999999999999"/>
    <n v="0.99080000000000001"/>
    <n v="0.94971499999999998"/>
    <n v="0.94078312650809337"/>
    <n v="338100"/>
    <n v="0"/>
    <n v="338100"/>
    <n v="61800"/>
    <n v="399900"/>
    <n v="-1.7151162790697675E-2"/>
    <n v="1.6207455429497568E-3"/>
    <n v="-1.4296278037959083E-2"/>
  </r>
  <r>
    <n v="2025"/>
    <s v="19120141441    "/>
    <n v="-1.7719568419318752"/>
    <n v="0.17"/>
    <n v="7222"/>
    <s v="2"/>
    <s v="RES"/>
    <s v="MX"/>
    <s v="11"/>
    <s v="259"/>
    <s v="CO"/>
    <x v="5"/>
    <s v="VG"/>
    <n v="20"/>
    <n v="20"/>
    <n v="20"/>
    <n v="2004"/>
    <n v="2004"/>
    <n v="1158"/>
    <n v="1322"/>
    <m/>
    <m/>
    <m/>
    <n v="0"/>
    <n v="2480"/>
    <n v="2500"/>
    <s v="N"/>
    <m/>
    <m/>
    <n v="502"/>
    <m/>
    <m/>
    <m/>
    <m/>
    <n v="493265"/>
    <n v="453804"/>
    <n v="0"/>
    <n v="0"/>
    <n v="61700"/>
    <n v="365900"/>
    <n v="427600"/>
    <n v="132535.48800000001"/>
    <n v="88356.992000000013"/>
    <n v="-23255.730391660189"/>
    <n v="32917.849192000001"/>
    <n v="50438.379078999998"/>
    <n v="-2174.8220000000001"/>
    <n v="72271.22004"/>
    <n v="78765.266325999997"/>
    <n v="0"/>
    <n v="0"/>
    <n v="0"/>
    <n v="364800"/>
    <n v="65100"/>
    <n v="429900"/>
    <n v="5.378858746492049E-3"/>
    <n v="0.99970000000000003"/>
    <n v="1.0019"/>
    <n v="1.0007999999999999"/>
    <n v="1.0008999999999999"/>
    <n v="1.0138"/>
    <n v="0.94971499999999998"/>
    <n v="0.9662910273015537"/>
    <n v="360300"/>
    <n v="0"/>
    <n v="360300"/>
    <n v="61800"/>
    <n v="422100"/>
    <n v="-1.5304728067778082E-2"/>
    <n v="1.6207455429497568E-3"/>
    <n v="-1.2862488306828812E-2"/>
  </r>
  <r>
    <n v="2025"/>
    <s v="19120144577    "/>
    <n v="-1.7719568419318752"/>
    <n v="0.17"/>
    <n v="7343"/>
    <s v="2"/>
    <s v="RES"/>
    <s v="MX"/>
    <s v="11"/>
    <s v="259"/>
    <s v="CO"/>
    <x v="5"/>
    <s v="VG"/>
    <n v="20"/>
    <n v="20"/>
    <n v="20"/>
    <n v="2004"/>
    <n v="2004"/>
    <n v="1158"/>
    <n v="1322"/>
    <m/>
    <m/>
    <m/>
    <n v="0"/>
    <n v="2480"/>
    <n v="2500"/>
    <s v="N"/>
    <n v="1"/>
    <m/>
    <n v="502"/>
    <m/>
    <m/>
    <m/>
    <m/>
    <n v="494364"/>
    <n v="454815"/>
    <n v="0"/>
    <n v="0"/>
    <n v="61700"/>
    <n v="365900"/>
    <n v="427600"/>
    <n v="132535.48800000001"/>
    <n v="88356.992000000013"/>
    <n v="-23255.730391660189"/>
    <n v="32917.849192000001"/>
    <n v="50438.379078999998"/>
    <n v="-2174.8220000000001"/>
    <n v="72271.22004"/>
    <n v="78765.266325999997"/>
    <n v="0"/>
    <n v="0"/>
    <n v="0"/>
    <n v="364800"/>
    <n v="65100"/>
    <n v="429900"/>
    <n v="5.378858746492049E-3"/>
    <n v="0.99970000000000003"/>
    <n v="1.0019"/>
    <n v="1.0007999999999999"/>
    <n v="1.0008999999999999"/>
    <n v="1.0138"/>
    <n v="0.94971499999999998"/>
    <n v="0.9662910273015537"/>
    <n v="360300"/>
    <n v="0"/>
    <n v="360300"/>
    <n v="61800"/>
    <n v="422100"/>
    <n v="-1.5304728067778082E-2"/>
    <n v="1.6207455429497568E-3"/>
    <n v="-1.2862488306828812E-2"/>
  </r>
  <r>
    <n v="2025"/>
    <s v="19120144559    "/>
    <n v="-1.7719568419318752"/>
    <n v="0.17"/>
    <n v="7490"/>
    <s v="2"/>
    <s v="RES"/>
    <s v="MX"/>
    <s v="11"/>
    <s v="259"/>
    <s v="CO"/>
    <x v="5"/>
    <s v="VG"/>
    <n v="20"/>
    <n v="20"/>
    <n v="20"/>
    <n v="2004"/>
    <n v="2004"/>
    <n v="1158"/>
    <n v="1322"/>
    <m/>
    <m/>
    <m/>
    <n v="0"/>
    <n v="2480"/>
    <n v="2500"/>
    <s v="N"/>
    <n v="1"/>
    <m/>
    <n v="502"/>
    <m/>
    <m/>
    <m/>
    <m/>
    <n v="481791"/>
    <n v="443248"/>
    <n v="0"/>
    <n v="0"/>
    <n v="61700"/>
    <n v="365900"/>
    <n v="427600"/>
    <n v="132535.48800000001"/>
    <n v="88356.992000000013"/>
    <n v="-23255.730391660189"/>
    <n v="32917.849192000001"/>
    <n v="50438.379078999998"/>
    <n v="-2174.8220000000001"/>
    <n v="72271.22004"/>
    <n v="78765.266325999997"/>
    <n v="0"/>
    <n v="0"/>
    <n v="0"/>
    <n v="364800"/>
    <n v="65100"/>
    <n v="429900"/>
    <n v="5.378858746492049E-3"/>
    <n v="0.99970000000000003"/>
    <n v="1.0019"/>
    <n v="1.0007999999999999"/>
    <n v="1.0008999999999999"/>
    <n v="1.0138"/>
    <n v="0.94971499999999998"/>
    <n v="0.9662910273015537"/>
    <n v="360300"/>
    <n v="0"/>
    <n v="360300"/>
    <n v="61800"/>
    <n v="422100"/>
    <n v="-1.5304728067778082E-2"/>
    <n v="1.6207455429497568E-3"/>
    <n v="-1.2862488306828812E-2"/>
  </r>
  <r>
    <n v="2025"/>
    <s v="19120144564    "/>
    <n v="-1.7719568419318752"/>
    <n v="0.17"/>
    <n v="7502"/>
    <s v="2"/>
    <s v="RES"/>
    <s v="MX"/>
    <s v="11"/>
    <s v="259"/>
    <s v="CO"/>
    <x v="5"/>
    <s v="VG"/>
    <n v="20"/>
    <n v="20"/>
    <n v="20"/>
    <n v="2004"/>
    <n v="2004"/>
    <n v="1158"/>
    <n v="1322"/>
    <m/>
    <m/>
    <m/>
    <n v="0"/>
    <n v="2480"/>
    <n v="2500"/>
    <s v="N"/>
    <m/>
    <m/>
    <n v="502"/>
    <m/>
    <m/>
    <m/>
    <m/>
    <n v="483786"/>
    <n v="445083"/>
    <n v="0"/>
    <n v="0"/>
    <n v="61700"/>
    <n v="365900"/>
    <n v="427600"/>
    <n v="132535.48800000001"/>
    <n v="88356.992000000013"/>
    <n v="-23255.730391660189"/>
    <n v="32917.849192000001"/>
    <n v="50438.379078999998"/>
    <n v="-2174.8220000000001"/>
    <n v="72271.22004"/>
    <n v="78765.266325999997"/>
    <n v="0"/>
    <n v="0"/>
    <n v="0"/>
    <n v="364800"/>
    <n v="65100"/>
    <n v="429900"/>
    <n v="5.378858746492049E-3"/>
    <n v="0.99970000000000003"/>
    <n v="1.0019"/>
    <n v="1.0007999999999999"/>
    <n v="1.0008999999999999"/>
    <n v="1.0138"/>
    <n v="0.94971499999999998"/>
    <n v="0.9662910273015537"/>
    <n v="360300"/>
    <n v="0"/>
    <n v="360300"/>
    <n v="61800"/>
    <n v="422100"/>
    <n v="-1.5304728067778082E-2"/>
    <n v="1.6207455429497568E-3"/>
    <n v="-1.2862488306828812E-2"/>
  </r>
  <r>
    <n v="2025"/>
    <s v="19120141427    "/>
    <n v="-1.7719568419318752"/>
    <n v="0.17"/>
    <n v="7310"/>
    <s v="2"/>
    <s v="RES"/>
    <s v="MX"/>
    <s v="11"/>
    <s v="259"/>
    <s v="RN"/>
    <x v="4"/>
    <s v="GD"/>
    <n v="10"/>
    <n v="19"/>
    <n v="19"/>
    <n v="2005"/>
    <n v="2005"/>
    <n v="1092"/>
    <m/>
    <m/>
    <m/>
    <m/>
    <n v="0"/>
    <n v="1092"/>
    <n v="1500"/>
    <s v="N"/>
    <m/>
    <n v="440"/>
    <m/>
    <m/>
    <m/>
    <m/>
    <m/>
    <n v="233321"/>
    <n v="212322"/>
    <n v="0"/>
    <n v="0"/>
    <n v="61700"/>
    <n v="276700"/>
    <n v="338400"/>
    <n v="132535.48800000001"/>
    <n v="88356.992000000013"/>
    <n v="-23255.730391660189"/>
    <n v="37154.252388000001"/>
    <n v="30300.329274"/>
    <n v="-2066.0808999999999"/>
    <n v="68152.13496000001"/>
    <n v="0"/>
    <n v="0"/>
    <n v="15532.453640000002"/>
    <n v="0"/>
    <n v="281600"/>
    <n v="65100"/>
    <n v="346700"/>
    <n v="2.4527186761229315E-2"/>
    <n v="0.99970000000000003"/>
    <n v="0.99819999999999998"/>
    <n v="0.997"/>
    <n v="0.99519999999999997"/>
    <n v="0.99080000000000001"/>
    <n v="0.94971499999999998"/>
    <n v="0.93197097384222971"/>
    <n v="272600"/>
    <n v="0"/>
    <n v="272600"/>
    <n v="61800"/>
    <n v="334400"/>
    <n v="-1.4817491868449585E-2"/>
    <n v="1.6207455429497568E-3"/>
    <n v="-1.1820330969267139E-2"/>
  </r>
  <r>
    <n v="2025"/>
    <s v="19120141431    "/>
    <n v="-1.7719568419318752"/>
    <n v="0.17"/>
    <n v="7451"/>
    <s v="2"/>
    <s v="RES"/>
    <s v="MX"/>
    <s v="11"/>
    <s v="400"/>
    <s v="RN"/>
    <x v="4"/>
    <s v="GD"/>
    <n v="10"/>
    <n v="19"/>
    <n v="19"/>
    <n v="2005"/>
    <n v="2005"/>
    <n v="1092"/>
    <m/>
    <m/>
    <m/>
    <m/>
    <n v="0"/>
    <n v="1092"/>
    <n v="1500"/>
    <s v="N"/>
    <m/>
    <n v="440"/>
    <m/>
    <m/>
    <m/>
    <m/>
    <m/>
    <n v="231626"/>
    <n v="210780"/>
    <n v="0"/>
    <n v="0"/>
    <n v="61700"/>
    <n v="276700"/>
    <n v="338400"/>
    <n v="132535.48800000001"/>
    <n v="88356.992000000013"/>
    <n v="-23255.730391660189"/>
    <n v="37154.252388000001"/>
    <n v="30300.329274"/>
    <n v="-2066.0808999999999"/>
    <n v="68152.13496000001"/>
    <n v="0"/>
    <n v="0"/>
    <n v="15532.453640000002"/>
    <n v="0"/>
    <n v="281600"/>
    <n v="65100"/>
    <n v="346700"/>
    <n v="2.4527186761229315E-2"/>
    <n v="0.99970000000000003"/>
    <n v="0.99819999999999998"/>
    <n v="0.997"/>
    <n v="0.99519999999999997"/>
    <n v="0.99080000000000001"/>
    <n v="0.94971499999999998"/>
    <n v="0.93197097384222971"/>
    <n v="272600"/>
    <n v="0"/>
    <n v="272600"/>
    <n v="61800"/>
    <n v="334400"/>
    <n v="-1.4817491868449585E-2"/>
    <n v="1.6207455429497568E-3"/>
    <n v="-1.1820330969267139E-2"/>
  </r>
  <r>
    <n v="2025"/>
    <s v="20120634422    "/>
    <n v="-1.7719568419318752"/>
    <n v="0.17"/>
    <n v="7606"/>
    <s v="2"/>
    <s v="RES"/>
    <s v="MX"/>
    <s v="11"/>
    <s v="259"/>
    <s v="CP"/>
    <x v="4"/>
    <s v="VG"/>
    <n v="10"/>
    <n v="12"/>
    <n v="12"/>
    <n v="2012"/>
    <n v="2012"/>
    <n v="1308"/>
    <n v="1634"/>
    <m/>
    <m/>
    <m/>
    <n v="0"/>
    <n v="2942"/>
    <n v="3000"/>
    <s v="N"/>
    <n v="1"/>
    <n v="240"/>
    <n v="456"/>
    <m/>
    <m/>
    <m/>
    <m/>
    <n v="495090"/>
    <n v="470336"/>
    <n v="0"/>
    <n v="0"/>
    <n v="61700"/>
    <n v="405000"/>
    <n v="466700"/>
    <n v="132535.48800000001"/>
    <n v="88356.992000000013"/>
    <n v="-23255.730391660189"/>
    <n v="37154.252388000001"/>
    <n v="50438.379078999998"/>
    <n v="-1304.8932"/>
    <n v="81632.777040000001"/>
    <n v="97354.345822000003"/>
    <n v="0"/>
    <n v="8472.247440000001"/>
    <n v="0"/>
    <n v="406300"/>
    <n v="65100"/>
    <n v="471400"/>
    <n v="1.007070923505464E-2"/>
    <n v="0.99970000000000003"/>
    <n v="0.99819999999999998"/>
    <n v="1.0007999999999999"/>
    <n v="1.0099"/>
    <n v="0.99080000000000001"/>
    <n v="0.94971499999999998"/>
    <n v="0.94934163873498945"/>
    <n v="399600"/>
    <n v="0"/>
    <n v="399600"/>
    <n v="61800"/>
    <n v="461400"/>
    <n v="-1.3333333333333334E-2"/>
    <n v="1.6207455429497568E-3"/>
    <n v="-1.1356331690593529E-2"/>
  </r>
  <r>
    <n v="2025"/>
    <s v="19120141555    "/>
    <n v="-1.7719568419318752"/>
    <n v="0.17"/>
    <n v="7472"/>
    <s v="2"/>
    <s v="RES"/>
    <s v="MX"/>
    <s v="11"/>
    <s v="259"/>
    <s v="RN"/>
    <x v="4"/>
    <s v="GD"/>
    <n v="10"/>
    <n v="19"/>
    <n v="19"/>
    <n v="2005"/>
    <n v="2005"/>
    <n v="1096"/>
    <m/>
    <m/>
    <m/>
    <m/>
    <n v="0"/>
    <n v="1096"/>
    <n v="1500"/>
    <s v="N"/>
    <n v="1"/>
    <n v="460"/>
    <m/>
    <m/>
    <m/>
    <m/>
    <m/>
    <n v="235830"/>
    <n v="214605"/>
    <n v="0"/>
    <n v="0"/>
    <n v="61700"/>
    <n v="277300"/>
    <n v="339000"/>
    <n v="132535.48800000001"/>
    <n v="88356.992000000013"/>
    <n v="-23255.730391660189"/>
    <n v="37154.252388000001"/>
    <n v="30300.329274"/>
    <n v="-2066.0808999999999"/>
    <n v="68401.77648"/>
    <n v="0"/>
    <n v="0"/>
    <n v="16238.474260000001"/>
    <n v="0"/>
    <n v="282600"/>
    <n v="65100"/>
    <n v="347700"/>
    <n v="2.5663716814159292E-2"/>
    <n v="0.99970000000000003"/>
    <n v="0.99819999999999998"/>
    <n v="0.997"/>
    <n v="0.99519999999999997"/>
    <n v="0.99080000000000001"/>
    <n v="0.94971499999999998"/>
    <n v="0.93197097384222971"/>
    <n v="273500"/>
    <n v="0"/>
    <n v="273500"/>
    <n v="61800"/>
    <n v="335300"/>
    <n v="-1.3703570140641904E-2"/>
    <n v="1.6207455429497568E-3"/>
    <n v="-1.0914454277286136E-2"/>
  </r>
  <r>
    <n v="2025"/>
    <s v="20120634484    "/>
    <n v="-1.7719568419318752"/>
    <n v="0.17"/>
    <n v="7249"/>
    <s v="2"/>
    <s v="RES"/>
    <s v="MX"/>
    <s v="11"/>
    <s v="259"/>
    <s v="CP"/>
    <x v="5"/>
    <s v="VG"/>
    <n v="0"/>
    <n v="8"/>
    <n v="8"/>
    <n v="2016"/>
    <n v="2016"/>
    <n v="1126"/>
    <n v="1098"/>
    <m/>
    <m/>
    <m/>
    <n v="0"/>
    <n v="2224"/>
    <n v="2500"/>
    <s v="N"/>
    <n v="1"/>
    <n v="680"/>
    <m/>
    <m/>
    <m/>
    <m/>
    <m/>
    <n v="461727"/>
    <n v="443258"/>
    <n v="0"/>
    <n v="0"/>
    <n v="61700"/>
    <n v="373600"/>
    <n v="435300"/>
    <n v="132535.48800000001"/>
    <n v="88356.992000000013"/>
    <n v="-23255.730391660189"/>
    <n v="32917.849192000001"/>
    <n v="50438.379078999998"/>
    <n v="-869.92880000000002"/>
    <n v="70274.087880000006"/>
    <n v="65419.260534000001"/>
    <n v="0"/>
    <n v="24004.701080000003"/>
    <n v="0"/>
    <n v="374700"/>
    <n v="65100"/>
    <n v="439800"/>
    <n v="1.0337698139214336E-2"/>
    <n v="0.99970000000000003"/>
    <n v="1.0019"/>
    <n v="1.0007999999999999"/>
    <n v="1.0008999999999999"/>
    <n v="1.0022"/>
    <n v="0.94971499999999998"/>
    <n v="0.95523462967214157"/>
    <n v="368800"/>
    <n v="0"/>
    <n v="368800"/>
    <n v="61800"/>
    <n v="430600"/>
    <n v="-1.284796573875803E-2"/>
    <n v="1.6207455429497568E-3"/>
    <n v="-1.0797151389846084E-2"/>
  </r>
  <r>
    <n v="2025"/>
    <s v="19120112437    "/>
    <n v="-1.7719568419318752"/>
    <n v="0.17"/>
    <n v="7577"/>
    <s v="2"/>
    <s v="RES"/>
    <s v="MX"/>
    <s v="11"/>
    <s v="259"/>
    <s v="RN"/>
    <x v="4"/>
    <s v="GD"/>
    <n v="10"/>
    <n v="17"/>
    <n v="17"/>
    <n v="2007"/>
    <n v="2007"/>
    <n v="1076"/>
    <m/>
    <m/>
    <m/>
    <m/>
    <n v="0"/>
    <n v="1076"/>
    <n v="1500"/>
    <s v="N"/>
    <m/>
    <n v="440"/>
    <m/>
    <m/>
    <m/>
    <m/>
    <m/>
    <n v="227876"/>
    <n v="209646"/>
    <n v="0"/>
    <n v="0"/>
    <n v="61700"/>
    <n v="275300"/>
    <n v="337000"/>
    <n v="132535.48800000001"/>
    <n v="88356.992000000013"/>
    <n v="-23255.730391660189"/>
    <n v="37154.252388000001"/>
    <n v="30300.329274"/>
    <n v="-1848.5987"/>
    <n v="67153.568880000006"/>
    <n v="0"/>
    <n v="0"/>
    <n v="15532.453640000002"/>
    <n v="0"/>
    <n v="280800"/>
    <n v="65100"/>
    <n v="345900"/>
    <n v="2.6409495548961423E-2"/>
    <n v="0.99970000000000003"/>
    <n v="0.99819999999999998"/>
    <n v="0.997"/>
    <n v="0.99519999999999997"/>
    <n v="0.99080000000000001"/>
    <n v="0.94971499999999998"/>
    <n v="0.93197097384222971"/>
    <n v="271800"/>
    <n v="0"/>
    <n v="271800"/>
    <n v="61800"/>
    <n v="333600"/>
    <n v="-1.2713403559752997E-2"/>
    <n v="1.6207455429497568E-3"/>
    <n v="-1.0089020771513354E-2"/>
  </r>
  <r>
    <n v="2025"/>
    <s v="19120141545    "/>
    <n v="-1.7719568419318752"/>
    <n v="0.17"/>
    <n v="7328"/>
    <s v="2"/>
    <s v="RES"/>
    <s v="MX"/>
    <s v="11"/>
    <s v="259"/>
    <s v="CO"/>
    <x v="4"/>
    <s v="GD"/>
    <n v="10"/>
    <n v="19"/>
    <n v="19"/>
    <n v="2005"/>
    <n v="2005"/>
    <n v="1040"/>
    <n v="1040"/>
    <m/>
    <m/>
    <m/>
    <n v="0"/>
    <n v="2080"/>
    <n v="2500"/>
    <s v="N"/>
    <n v="1"/>
    <n v="440"/>
    <m/>
    <m/>
    <m/>
    <m/>
    <m/>
    <n v="377212"/>
    <n v="343263"/>
    <n v="0"/>
    <n v="0"/>
    <n v="61700"/>
    <n v="335600"/>
    <n v="397300"/>
    <n v="132535.48800000001"/>
    <n v="88356.992000000013"/>
    <n v="-23255.730391660189"/>
    <n v="37154.252388000001"/>
    <n v="30300.329274"/>
    <n v="-2066.0808999999999"/>
    <n v="64906.7952"/>
    <n v="61963.598319999997"/>
    <n v="0"/>
    <n v="15532.453640000002"/>
    <n v="0"/>
    <n v="340300"/>
    <n v="65100"/>
    <n v="405400"/>
    <n v="2.0387616410772715E-2"/>
    <n v="0.99970000000000003"/>
    <n v="0.99819999999999998"/>
    <n v="0.997"/>
    <n v="1.0008999999999999"/>
    <n v="0.99080000000000001"/>
    <n v="0.94971499999999998"/>
    <n v="0.93730883010318289"/>
    <n v="332000"/>
    <n v="0"/>
    <n v="332000"/>
    <n v="61800"/>
    <n v="393800"/>
    <n v="-1.0727056019070322E-2"/>
    <n v="1.6207455429497568E-3"/>
    <n v="-8.8094638811980867E-3"/>
  </r>
  <r>
    <n v="2025"/>
    <s v="20120634463    "/>
    <n v="-1.7719568419318752"/>
    <n v="0.17"/>
    <n v="7435"/>
    <s v="2"/>
    <s v="RES"/>
    <s v="MX"/>
    <s v="11"/>
    <s v="259"/>
    <s v="CP"/>
    <x v="4"/>
    <s v="VG"/>
    <n v="0"/>
    <n v="9"/>
    <n v="9"/>
    <n v="2015"/>
    <n v="2015"/>
    <n v="1335"/>
    <n v="1554"/>
    <m/>
    <m/>
    <m/>
    <n v="0"/>
    <n v="2889"/>
    <n v="3000"/>
    <s v="N"/>
    <n v="1"/>
    <m/>
    <n v="448"/>
    <m/>
    <m/>
    <m/>
    <m/>
    <n v="471652"/>
    <n v="452786"/>
    <n v="0"/>
    <n v="0"/>
    <n v="61700"/>
    <n v="393600"/>
    <n v="455300"/>
    <n v="132535.48800000001"/>
    <n v="88356.992000000013"/>
    <n v="-23255.730391660189"/>
    <n v="37154.252388000001"/>
    <n v="50438.379078999998"/>
    <n v="-978.66989999999998"/>
    <n v="83317.857300000003"/>
    <n v="92587.915181999997"/>
    <n v="0"/>
    <n v="0"/>
    <n v="0"/>
    <n v="395100"/>
    <n v="65100"/>
    <n v="460200"/>
    <n v="1.0762134856138809E-2"/>
    <n v="0.99970000000000003"/>
    <n v="0.99819999999999998"/>
    <n v="1.0007999999999999"/>
    <n v="1.0099"/>
    <n v="1.0022"/>
    <n v="0.94971499999999998"/>
    <n v="0.96026462488918685"/>
    <n v="389800"/>
    <n v="0"/>
    <n v="389800"/>
    <n v="61800"/>
    <n v="451600"/>
    <n v="-9.6544715447154476E-3"/>
    <n v="1.6207455429497568E-3"/>
    <n v="-8.1265099934109374E-3"/>
  </r>
  <r>
    <n v="2025"/>
    <s v="20120634449    "/>
    <n v="-1.7719568419318752"/>
    <n v="0.17"/>
    <n v="7333"/>
    <s v="2"/>
    <s v="RES"/>
    <s v="MX"/>
    <s v="11"/>
    <s v="259"/>
    <s v="CP"/>
    <x v="4"/>
    <s v="VG"/>
    <n v="0"/>
    <n v="9"/>
    <n v="9"/>
    <n v="2015"/>
    <n v="2015"/>
    <n v="1388"/>
    <m/>
    <m/>
    <m/>
    <m/>
    <n v="0"/>
    <n v="1388"/>
    <n v="1500"/>
    <s v="N"/>
    <m/>
    <n v="404"/>
    <m/>
    <m/>
    <m/>
    <m/>
    <m/>
    <n v="277491"/>
    <n v="266391"/>
    <n v="0"/>
    <n v="0"/>
    <n v="61700"/>
    <n v="316000"/>
    <n v="377700"/>
    <n v="132535.48800000001"/>
    <n v="88356.992000000013"/>
    <n v="-23255.730391660189"/>
    <n v="37154.252388000001"/>
    <n v="50438.379078999998"/>
    <n v="-978.66989999999998"/>
    <n v="86625.607440000007"/>
    <n v="0"/>
    <n v="0"/>
    <n v="14261.616524000001"/>
    <n v="0"/>
    <n v="320000"/>
    <n v="65100"/>
    <n v="385100"/>
    <n v="1.9592268996558113E-2"/>
    <n v="0.99970000000000003"/>
    <n v="0.99819999999999998"/>
    <n v="1.0007999999999999"/>
    <n v="0.99519999999999997"/>
    <n v="1.0022"/>
    <n v="0.94971499999999998"/>
    <n v="0.94628711227816509"/>
    <n v="312900"/>
    <n v="0"/>
    <n v="312900"/>
    <n v="61800"/>
    <n v="374700"/>
    <n v="-9.8101265822784812E-3"/>
    <n v="1.6207455429497568E-3"/>
    <n v="-7.9428117553613977E-3"/>
  </r>
  <r>
    <n v="2025"/>
    <s v="20120634450    "/>
    <n v="-1.7719568419318752"/>
    <n v="0.17"/>
    <n v="7234"/>
    <s v="2"/>
    <s v="RES"/>
    <s v="MX"/>
    <s v="11"/>
    <s v="259"/>
    <s v="CP"/>
    <x v="5"/>
    <s v="VG"/>
    <n v="0"/>
    <n v="9"/>
    <n v="9"/>
    <n v="2015"/>
    <n v="2015"/>
    <n v="1335"/>
    <n v="1554"/>
    <m/>
    <m/>
    <m/>
    <n v="0"/>
    <n v="2889"/>
    <n v="3000"/>
    <s v="N"/>
    <n v="1"/>
    <m/>
    <n v="448"/>
    <m/>
    <m/>
    <m/>
    <m/>
    <n v="542294"/>
    <n v="520602"/>
    <n v="0"/>
    <n v="0"/>
    <n v="61700"/>
    <n v="389300"/>
    <n v="451000"/>
    <n v="132535.48800000001"/>
    <n v="88356.992000000013"/>
    <n v="-23255.730391660189"/>
    <n v="32917.849192000001"/>
    <n v="50438.379078999998"/>
    <n v="-978.66989999999998"/>
    <n v="83317.857300000003"/>
    <n v="92587.915181999997"/>
    <n v="0"/>
    <n v="0"/>
    <n v="0"/>
    <n v="390800"/>
    <n v="65100"/>
    <n v="455900"/>
    <n v="1.0864745011086474E-2"/>
    <n v="0.99970000000000003"/>
    <n v="1.0019"/>
    <n v="1.0007999999999999"/>
    <n v="1.0099"/>
    <n v="1.0022"/>
    <n v="0.94971499999999998"/>
    <n v="0.96382401089608938"/>
    <n v="386000"/>
    <n v="0"/>
    <n v="386000"/>
    <n v="61800"/>
    <n v="447800"/>
    <n v="-8.4767531466735171E-3"/>
    <n v="1.6207455429497568E-3"/>
    <n v="-7.0953436807095344E-3"/>
  </r>
  <r>
    <n v="2025"/>
    <s v="20120634445    "/>
    <n v="-1.7719568419318752"/>
    <n v="0.17"/>
    <n v="7333"/>
    <s v="2"/>
    <s v="RES"/>
    <s v="MX"/>
    <s v="11"/>
    <s v="259"/>
    <s v="CP"/>
    <x v="4"/>
    <s v="VG"/>
    <n v="0"/>
    <n v="8"/>
    <n v="8"/>
    <n v="2016"/>
    <n v="2016"/>
    <n v="1392"/>
    <m/>
    <m/>
    <m/>
    <m/>
    <n v="0"/>
    <n v="1392"/>
    <n v="1500"/>
    <s v="N"/>
    <m/>
    <n v="400"/>
    <m/>
    <m/>
    <m/>
    <m/>
    <m/>
    <n v="277127"/>
    <n v="266042"/>
    <n v="0"/>
    <n v="0"/>
    <n v="61700"/>
    <n v="315800"/>
    <n v="377500"/>
    <n v="132535.48800000001"/>
    <n v="88356.992000000013"/>
    <n v="-23255.730391660189"/>
    <n v="37154.252388000001"/>
    <n v="50438.379078999998"/>
    <n v="-869.92880000000002"/>
    <n v="86875.248960000012"/>
    <n v="0"/>
    <n v="0"/>
    <n v="14120.412400000001"/>
    <n v="0"/>
    <n v="320300"/>
    <n v="65100"/>
    <n v="385400"/>
    <n v="2.0927152317880796E-2"/>
    <n v="0.99970000000000003"/>
    <n v="0.99819999999999998"/>
    <n v="1.0007999999999999"/>
    <n v="0.99519999999999997"/>
    <n v="1.0022"/>
    <n v="0.94971499999999998"/>
    <n v="0.94628711227816509"/>
    <n v="313100"/>
    <n v="0"/>
    <n v="313100"/>
    <n v="61800"/>
    <n v="374900"/>
    <n v="-8.5497150094996834E-3"/>
    <n v="1.6207455429497568E-3"/>
    <n v="-6.8874172185430464E-3"/>
  </r>
  <r>
    <n v="2025"/>
    <s v="20120634461    "/>
    <n v="-1.7719568419318752"/>
    <n v="0.17"/>
    <n v="7435"/>
    <s v="2"/>
    <s v="RES"/>
    <s v="MX"/>
    <s v="11"/>
    <s v="259"/>
    <s v="CP"/>
    <x v="5"/>
    <s v="VG"/>
    <n v="0"/>
    <n v="9"/>
    <n v="9"/>
    <n v="2015"/>
    <n v="2015"/>
    <n v="2015"/>
    <m/>
    <m/>
    <m/>
    <m/>
    <n v="0"/>
    <n v="2015"/>
    <n v="2500"/>
    <s v="N"/>
    <m/>
    <n v="659"/>
    <m/>
    <m/>
    <m/>
    <m/>
    <m/>
    <n v="438133"/>
    <n v="420608"/>
    <n v="0"/>
    <n v="0"/>
    <n v="61700"/>
    <n v="358900"/>
    <n v="420600"/>
    <n v="132535.48800000001"/>
    <n v="88356.992000000013"/>
    <n v="-23255.730391660189"/>
    <n v="32917.849192000001"/>
    <n v="50438.379078999998"/>
    <n v="-978.66989999999998"/>
    <n v="125756.91570000001"/>
    <n v="0"/>
    <n v="0"/>
    <n v="23263.379429000001"/>
    <n v="0"/>
    <n v="363900"/>
    <n v="65100"/>
    <n v="429000"/>
    <n v="1.9971469329529243E-2"/>
    <n v="0.99970000000000003"/>
    <n v="1.0019"/>
    <n v="1.0007999999999999"/>
    <n v="1.0008999999999999"/>
    <n v="1.0022"/>
    <n v="0.94971499999999998"/>
    <n v="0.95523462967214157"/>
    <n v="358000"/>
    <n v="0"/>
    <n v="358000"/>
    <n v="61800"/>
    <n v="419800"/>
    <n v="-2.5076623014767345E-3"/>
    <n v="1.6207455429497568E-3"/>
    <n v="-1.9020446980504042E-3"/>
  </r>
  <r>
    <n v="2025"/>
    <s v="19120141547    "/>
    <n v="-1.7719568419318752"/>
    <n v="0.17"/>
    <n v="7197"/>
    <s v="2"/>
    <s v="RES"/>
    <s v="MX"/>
    <s v="11"/>
    <s v="259"/>
    <s v="RN"/>
    <x v="4"/>
    <s v="GD"/>
    <n v="10"/>
    <n v="19"/>
    <n v="19"/>
    <n v="2005"/>
    <n v="2005"/>
    <n v="1690"/>
    <m/>
    <m/>
    <m/>
    <m/>
    <n v="0"/>
    <n v="1690"/>
    <n v="2000"/>
    <s v="N"/>
    <n v="1"/>
    <n v="706"/>
    <m/>
    <m/>
    <m/>
    <m/>
    <m/>
    <n v="342939"/>
    <n v="312074"/>
    <n v="0"/>
    <n v="0"/>
    <n v="61700"/>
    <n v="320600"/>
    <n v="382300"/>
    <n v="132535.48800000001"/>
    <n v="88356.992000000013"/>
    <n v="-23255.730391660189"/>
    <n v="37154.252388000001"/>
    <n v="30300.329274"/>
    <n v="-2066.0808999999999"/>
    <n v="105473.54220000001"/>
    <n v="0"/>
    <n v="0"/>
    <n v="24922.527886"/>
    <n v="0"/>
    <n v="328300"/>
    <n v="65100"/>
    <n v="393400"/>
    <n v="2.9034789432382944E-2"/>
    <n v="0.99970000000000003"/>
    <n v="0.99819999999999998"/>
    <n v="0.997"/>
    <n v="1.0007999999999999"/>
    <n v="0.99080000000000001"/>
    <n v="0.94971499999999998"/>
    <n v="0.93721518350211364"/>
    <n v="320000"/>
    <n v="0"/>
    <n v="320000"/>
    <n v="61800"/>
    <n v="381800"/>
    <n v="-1.8714909544603868E-3"/>
    <n v="1.6207455429497568E-3"/>
    <n v="-1.3078733978550876E-3"/>
  </r>
  <r>
    <n v="2025"/>
    <s v="20120634446    "/>
    <n v="-1.7719568419318752"/>
    <n v="0.17"/>
    <n v="7333"/>
    <s v="2"/>
    <s v="RES"/>
    <s v="MX"/>
    <s v="11"/>
    <s v="259"/>
    <s v="CP"/>
    <x v="4"/>
    <s v="VG"/>
    <n v="0"/>
    <n v="8"/>
    <n v="8"/>
    <n v="2016"/>
    <n v="2016"/>
    <n v="1620"/>
    <m/>
    <m/>
    <m/>
    <m/>
    <n v="0"/>
    <n v="1620"/>
    <n v="2000"/>
    <s v="N"/>
    <m/>
    <n v="420"/>
    <m/>
    <m/>
    <m/>
    <m/>
    <m/>
    <n v="322116"/>
    <n v="309231"/>
    <n v="0"/>
    <n v="0"/>
    <n v="61700"/>
    <n v="329300"/>
    <n v="391000"/>
    <n v="132535.48800000001"/>
    <n v="88356.992000000013"/>
    <n v="-23255.730391660189"/>
    <n v="37154.252388000001"/>
    <n v="50438.379078999998"/>
    <n v="-869.92880000000002"/>
    <n v="101104.8156"/>
    <n v="0"/>
    <n v="0"/>
    <n v="14826.43302"/>
    <n v="0"/>
    <n v="335200"/>
    <n v="65100"/>
    <n v="400300"/>
    <n v="2.3785166240409206E-2"/>
    <n v="0.99970000000000003"/>
    <n v="0.99819999999999998"/>
    <n v="1.0007999999999999"/>
    <n v="1.0007999999999999"/>
    <n v="1.0022"/>
    <n v="0.94971499999999998"/>
    <n v="0.95161187898712574"/>
    <n v="328800"/>
    <n v="0"/>
    <n v="328800"/>
    <n v="61800"/>
    <n v="390600"/>
    <n v="-1.5183723048891589E-3"/>
    <n v="1.6207455429497568E-3"/>
    <n v="-1.0230179028132991E-3"/>
  </r>
  <r>
    <n v="2025"/>
    <s v="20120634442    "/>
    <n v="-1.7719568419318752"/>
    <n v="0.17"/>
    <n v="7333"/>
    <s v="2"/>
    <s v="RES"/>
    <s v="MX"/>
    <s v="11"/>
    <s v="259"/>
    <s v="CP"/>
    <x v="4"/>
    <s v="VG"/>
    <n v="0"/>
    <n v="8"/>
    <n v="8"/>
    <n v="2016"/>
    <n v="2016"/>
    <n v="1620"/>
    <m/>
    <m/>
    <m/>
    <m/>
    <n v="0"/>
    <n v="1620"/>
    <n v="2000"/>
    <s v="N"/>
    <m/>
    <n v="420"/>
    <m/>
    <m/>
    <m/>
    <m/>
    <m/>
    <n v="323141"/>
    <n v="310215"/>
    <n v="0"/>
    <n v="0"/>
    <n v="61700"/>
    <n v="329300"/>
    <n v="391000"/>
    <n v="132535.48800000001"/>
    <n v="88356.992000000013"/>
    <n v="-23255.730391660189"/>
    <n v="37154.252388000001"/>
    <n v="50438.379078999998"/>
    <n v="-869.92880000000002"/>
    <n v="101104.8156"/>
    <n v="0"/>
    <n v="0"/>
    <n v="14826.43302"/>
    <n v="0"/>
    <n v="335200"/>
    <n v="65100"/>
    <n v="400300"/>
    <n v="2.3785166240409206E-2"/>
    <n v="0.99970000000000003"/>
    <n v="0.99819999999999998"/>
    <n v="1.0007999999999999"/>
    <n v="1.0007999999999999"/>
    <n v="1.0022"/>
    <n v="0.94971499999999998"/>
    <n v="0.95161187898712574"/>
    <n v="328800"/>
    <n v="0"/>
    <n v="328800"/>
    <n v="61800"/>
    <n v="390600"/>
    <n v="-1.5183723048891589E-3"/>
    <n v="1.6207455429497568E-3"/>
    <n v="-1.0230179028132991E-3"/>
  </r>
  <r>
    <n v="2025"/>
    <s v="19120144539    "/>
    <n v="-1.7719568419318752"/>
    <n v="0.17"/>
    <n v="7215"/>
    <s v="2"/>
    <s v="RES"/>
    <s v="MX"/>
    <s v="11"/>
    <s v="259"/>
    <s v="RN"/>
    <x v="4"/>
    <s v="GD"/>
    <n v="20"/>
    <n v="20"/>
    <n v="20"/>
    <n v="2004"/>
    <n v="2004"/>
    <n v="1092"/>
    <m/>
    <m/>
    <m/>
    <m/>
    <n v="0"/>
    <n v="1092"/>
    <n v="1500"/>
    <s v="N"/>
    <m/>
    <n v="440"/>
    <m/>
    <m/>
    <m/>
    <m/>
    <m/>
    <n v="232884"/>
    <n v="211924"/>
    <n v="0"/>
    <n v="0"/>
    <n v="61700"/>
    <n v="275800"/>
    <n v="337500"/>
    <n v="132535.48800000001"/>
    <n v="88356.992000000013"/>
    <n v="-23255.730391660189"/>
    <n v="37154.252388000001"/>
    <n v="30300.329274"/>
    <n v="-2174.8220000000001"/>
    <n v="68152.13496000001"/>
    <n v="0"/>
    <n v="0"/>
    <n v="15532.453640000002"/>
    <n v="0"/>
    <n v="281500"/>
    <n v="65100"/>
    <n v="346600"/>
    <n v="2.6962962962962963E-2"/>
    <n v="0.99970000000000003"/>
    <n v="0.99819999999999998"/>
    <n v="0.997"/>
    <n v="0.99519999999999997"/>
    <n v="1.0138"/>
    <n v="0.94971499999999998"/>
    <n v="0.95360534243162343"/>
    <n v="275400"/>
    <n v="0"/>
    <n v="275400"/>
    <n v="61800"/>
    <n v="337200"/>
    <n v="-1.4503263234227702E-3"/>
    <n v="1.6207455429497568E-3"/>
    <n v="-8.8888888888888893E-4"/>
  </r>
  <r>
    <n v="2025"/>
    <s v="20120633402    "/>
    <n v="-1.7719568419318752"/>
    <n v="0.17"/>
    <n v="7226"/>
    <s v="2"/>
    <s v="RES"/>
    <s v="MX"/>
    <s v="11"/>
    <s v="259"/>
    <s v="RN"/>
    <x v="5"/>
    <s v="GD"/>
    <n v="10"/>
    <n v="16"/>
    <n v="16"/>
    <n v="2008"/>
    <n v="2008"/>
    <n v="1542"/>
    <m/>
    <m/>
    <m/>
    <m/>
    <n v="0"/>
    <n v="1542"/>
    <n v="2000"/>
    <s v="N"/>
    <n v="1"/>
    <n v="434"/>
    <m/>
    <m/>
    <m/>
    <m/>
    <m/>
    <n v="348663"/>
    <n v="320770"/>
    <n v="0"/>
    <n v="0"/>
    <n v="61700"/>
    <n v="297800"/>
    <n v="359500"/>
    <n v="132535.48800000001"/>
    <n v="88356.992000000013"/>
    <n v="-23255.730391660189"/>
    <n v="32917.849192000001"/>
    <n v="30300.329274"/>
    <n v="-1739.8576"/>
    <n v="96236.805960000012"/>
    <n v="0"/>
    <n v="0"/>
    <n v="15320.647454"/>
    <n v="0"/>
    <n v="305600"/>
    <n v="65100"/>
    <n v="370700"/>
    <n v="3.1154381084840057E-2"/>
    <n v="0.99970000000000003"/>
    <n v="1.0019"/>
    <n v="0.997"/>
    <n v="1.0007999999999999"/>
    <n v="0.99080000000000001"/>
    <n v="0.94971499999999998"/>
    <n v="0.94068913278978916"/>
    <n v="297700"/>
    <n v="0"/>
    <n v="297700"/>
    <n v="61800"/>
    <n v="359500"/>
    <n v="-3.3579583613163198E-4"/>
    <n v="1.6207455429497568E-3"/>
    <n v="0"/>
  </r>
  <r>
    <n v="2025"/>
    <s v="20120633409    "/>
    <n v="-1.7719568419318752"/>
    <n v="0.17"/>
    <n v="7583"/>
    <s v="2"/>
    <s v="RES"/>
    <s v="MX"/>
    <s v="11"/>
    <s v="259"/>
    <s v="RN"/>
    <x v="5"/>
    <s v="GD"/>
    <n v="10"/>
    <n v="16"/>
    <n v="16"/>
    <n v="2008"/>
    <n v="2008"/>
    <n v="1542"/>
    <m/>
    <m/>
    <m/>
    <m/>
    <n v="0"/>
    <n v="1542"/>
    <n v="2000"/>
    <s v="N"/>
    <n v="1"/>
    <n v="434"/>
    <m/>
    <m/>
    <m/>
    <m/>
    <m/>
    <n v="348663"/>
    <n v="320770"/>
    <n v="0"/>
    <n v="0"/>
    <n v="61700"/>
    <n v="297800"/>
    <n v="359500"/>
    <n v="132535.48800000001"/>
    <n v="88356.992000000013"/>
    <n v="-23255.730391660189"/>
    <n v="32917.849192000001"/>
    <n v="30300.329274"/>
    <n v="-1739.8576"/>
    <n v="96236.805960000012"/>
    <n v="0"/>
    <n v="0"/>
    <n v="15320.647454"/>
    <n v="0"/>
    <n v="305600"/>
    <n v="65100"/>
    <n v="370700"/>
    <n v="3.1154381084840057E-2"/>
    <n v="0.99970000000000003"/>
    <n v="1.0019"/>
    <n v="0.997"/>
    <n v="1.0007999999999999"/>
    <n v="0.99080000000000001"/>
    <n v="0.94971499999999998"/>
    <n v="0.94068913278978916"/>
    <n v="297700"/>
    <n v="0"/>
    <n v="297700"/>
    <n v="61800"/>
    <n v="359500"/>
    <n v="-3.3579583613163198E-4"/>
    <n v="1.6207455429497568E-3"/>
    <n v="0"/>
  </r>
  <r>
    <n v="2025"/>
    <s v="19120141409    "/>
    <n v="-1.7719568419318752"/>
    <n v="0.17"/>
    <n v="7476"/>
    <s v="2"/>
    <s v="RES"/>
    <s v="MX"/>
    <s v="11"/>
    <s v="259"/>
    <s v="RN"/>
    <x v="4"/>
    <s v="GD"/>
    <n v="10"/>
    <n v="19"/>
    <n v="19"/>
    <n v="2005"/>
    <n v="2005"/>
    <n v="1382"/>
    <m/>
    <m/>
    <m/>
    <m/>
    <n v="0"/>
    <n v="1382"/>
    <n v="1500"/>
    <s v="N"/>
    <m/>
    <n v="426"/>
    <m/>
    <m/>
    <m/>
    <m/>
    <m/>
    <n v="275769"/>
    <n v="250950"/>
    <n v="0"/>
    <n v="0"/>
    <n v="61700"/>
    <n v="290300"/>
    <n v="352000"/>
    <n v="132535.48800000001"/>
    <n v="88356.992000000013"/>
    <n v="-23255.730391660189"/>
    <n v="37154.252388000001"/>
    <n v="30300.329274"/>
    <n v="-2066.0808999999999"/>
    <n v="86251.14516"/>
    <n v="0"/>
    <n v="0"/>
    <n v="15038.239206"/>
    <n v="0"/>
    <n v="299200"/>
    <n v="65100"/>
    <n v="364300"/>
    <n v="3.4943181818181818E-2"/>
    <n v="0.99970000000000003"/>
    <n v="0.99819999999999998"/>
    <n v="0.997"/>
    <n v="0.99519999999999997"/>
    <n v="0.99080000000000001"/>
    <n v="0.94971499999999998"/>
    <n v="0.93197097384222971"/>
    <n v="290200"/>
    <n v="0"/>
    <n v="290200"/>
    <n v="61800"/>
    <n v="352000"/>
    <n v="-3.444712366517396E-4"/>
    <n v="1.6207455429497568E-3"/>
    <n v="0"/>
  </r>
  <r>
    <n v="2025"/>
    <s v="19120144551    "/>
    <n v="-1.7719568419318752"/>
    <n v="0.17"/>
    <n v="7199"/>
    <s v="2"/>
    <s v="RES"/>
    <s v="MX"/>
    <s v="11"/>
    <s v="259"/>
    <s v="RN"/>
    <x v="4"/>
    <s v="GD"/>
    <n v="20"/>
    <n v="20"/>
    <n v="20"/>
    <n v="2004"/>
    <n v="2004"/>
    <n v="1096"/>
    <m/>
    <m/>
    <m/>
    <m/>
    <n v="0"/>
    <n v="1096"/>
    <n v="1500"/>
    <s v="N"/>
    <n v="1"/>
    <n v="460"/>
    <m/>
    <m/>
    <m/>
    <m/>
    <m/>
    <n v="236419"/>
    <n v="215141"/>
    <n v="0"/>
    <n v="0"/>
    <n v="61700"/>
    <n v="276400"/>
    <n v="338100"/>
    <n v="132535.48800000001"/>
    <n v="88356.992000000013"/>
    <n v="-23255.730391660189"/>
    <n v="37154.252388000001"/>
    <n v="30300.329274"/>
    <n v="-2174.8220000000001"/>
    <n v="68401.77648"/>
    <n v="0"/>
    <n v="0"/>
    <n v="16238.474260000001"/>
    <n v="0"/>
    <n v="282500"/>
    <n v="65100"/>
    <n v="347600"/>
    <n v="2.8098195800059154E-2"/>
    <n v="0.99970000000000003"/>
    <n v="0.99819999999999998"/>
    <n v="0.997"/>
    <n v="0.99519999999999997"/>
    <n v="1.0138"/>
    <n v="0.94971499999999998"/>
    <n v="0.95360534243162343"/>
    <n v="276300"/>
    <n v="0"/>
    <n v="276300"/>
    <n v="61800"/>
    <n v="338100"/>
    <n v="-3.6179450072358897E-4"/>
    <n v="1.6207455429497568E-3"/>
    <n v="0"/>
  </r>
  <r>
    <n v="2025"/>
    <s v="19120144576    "/>
    <n v="-1.7719568419318752"/>
    <n v="0.17"/>
    <n v="7372"/>
    <s v="2"/>
    <s v="RES"/>
    <s v="MX"/>
    <s v="11"/>
    <s v="259"/>
    <s v="RN"/>
    <x v="4"/>
    <s v="GD"/>
    <n v="20"/>
    <n v="20"/>
    <n v="20"/>
    <n v="2004"/>
    <n v="2004"/>
    <n v="1096"/>
    <m/>
    <m/>
    <m/>
    <m/>
    <n v="0"/>
    <n v="1096"/>
    <n v="1500"/>
    <s v="N"/>
    <m/>
    <n v="460"/>
    <m/>
    <m/>
    <m/>
    <m/>
    <m/>
    <n v="232730"/>
    <n v="211784"/>
    <n v="0"/>
    <n v="0"/>
    <n v="61700"/>
    <n v="276400"/>
    <n v="338100"/>
    <n v="132535.48800000001"/>
    <n v="88356.992000000013"/>
    <n v="-23255.730391660189"/>
    <n v="37154.252388000001"/>
    <n v="30300.329274"/>
    <n v="-2174.8220000000001"/>
    <n v="68401.77648"/>
    <n v="0"/>
    <n v="0"/>
    <n v="16238.474260000001"/>
    <n v="0"/>
    <n v="282500"/>
    <n v="65100"/>
    <n v="347600"/>
    <n v="2.8098195800059154E-2"/>
    <n v="0.99970000000000003"/>
    <n v="0.99819999999999998"/>
    <n v="0.997"/>
    <n v="0.99519999999999997"/>
    <n v="1.0138"/>
    <n v="0.94971499999999998"/>
    <n v="0.95360534243162343"/>
    <n v="276300"/>
    <n v="0"/>
    <n v="276300"/>
    <n v="61800"/>
    <n v="338100"/>
    <n v="-3.6179450072358897E-4"/>
    <n v="1.6207455429497568E-3"/>
    <n v="0"/>
  </r>
  <r>
    <n v="2025"/>
    <s v="19120112428    "/>
    <n v="-1.7719568419318752"/>
    <n v="0.17"/>
    <n v="7582"/>
    <s v="2"/>
    <s v="RES"/>
    <s v="MX"/>
    <s v="11"/>
    <s v="259"/>
    <s v="RN"/>
    <x v="4"/>
    <s v="AV"/>
    <n v="10"/>
    <n v="17"/>
    <n v="17"/>
    <n v="2007"/>
    <n v="2007"/>
    <n v="1380"/>
    <m/>
    <m/>
    <m/>
    <m/>
    <n v="0"/>
    <n v="1380"/>
    <n v="1500"/>
    <s v="N"/>
    <m/>
    <n v="428"/>
    <m/>
    <m/>
    <m/>
    <m/>
    <m/>
    <n v="273487"/>
    <n v="251608"/>
    <n v="0"/>
    <n v="0"/>
    <n v="61700"/>
    <n v="277800"/>
    <n v="339500"/>
    <n v="132535.48800000001"/>
    <n v="88356.992000000013"/>
    <n v="-23255.730391660189"/>
    <n v="37154.252388000001"/>
    <n v="17761.121909000001"/>
    <n v="-1848.5987"/>
    <n v="86126.324399999998"/>
    <n v="0"/>
    <n v="0"/>
    <n v="15108.841268"/>
    <n v="0"/>
    <n v="286800"/>
    <n v="65100"/>
    <n v="351900"/>
    <n v="3.6524300441826217E-2"/>
    <n v="0.99970000000000003"/>
    <n v="0.99819999999999998"/>
    <n v="0.99680000000000002"/>
    <n v="0.99519999999999997"/>
    <n v="0.99080000000000001"/>
    <n v="0.94971499999999998"/>
    <n v="0.93178401878228145"/>
    <n v="277800"/>
    <n v="0"/>
    <n v="277800"/>
    <n v="61800"/>
    <n v="339600"/>
    <n v="0"/>
    <n v="1.6207455429497568E-3"/>
    <n v="2.9455081001472752E-4"/>
  </r>
  <r>
    <n v="2025"/>
    <s v="19120141530    "/>
    <n v="-1.7719568419318752"/>
    <n v="0.17"/>
    <n v="7286"/>
    <s v="2"/>
    <s v="RES"/>
    <s v="MX"/>
    <s v="11"/>
    <s v="259"/>
    <s v="RN"/>
    <x v="5"/>
    <s v="GD"/>
    <n v="10"/>
    <n v="19"/>
    <n v="19"/>
    <n v="2005"/>
    <n v="2005"/>
    <n v="1380"/>
    <m/>
    <m/>
    <m/>
    <m/>
    <n v="0"/>
    <n v="1380"/>
    <n v="1500"/>
    <s v="N"/>
    <m/>
    <n v="428"/>
    <m/>
    <m/>
    <m/>
    <m/>
    <m/>
    <n v="323207"/>
    <n v="294118"/>
    <n v="0"/>
    <n v="0"/>
    <n v="61700"/>
    <n v="286000"/>
    <n v="347700"/>
    <n v="132535.48800000001"/>
    <n v="88356.992000000013"/>
    <n v="-23255.730391660189"/>
    <n v="32917.849192000001"/>
    <n v="30300.329274"/>
    <n v="-2066.0808999999999"/>
    <n v="86126.324399999998"/>
    <n v="0"/>
    <n v="0"/>
    <n v="15108.841268"/>
    <n v="0"/>
    <n v="294900"/>
    <n v="65100"/>
    <n v="360000"/>
    <n v="3.5375323554788611E-2"/>
    <n v="0.99970000000000003"/>
    <n v="1.0019"/>
    <n v="0.997"/>
    <n v="0.99519999999999997"/>
    <n v="0.99080000000000001"/>
    <n v="0.94971499999999998"/>
    <n v="0.9354254845647465"/>
    <n v="286400"/>
    <n v="0"/>
    <n v="286400"/>
    <n v="61800"/>
    <n v="348200"/>
    <n v="1.3986013986013986E-3"/>
    <n v="1.6207455429497568E-3"/>
    <n v="1.4380212827149843E-3"/>
  </r>
  <r>
    <n v="2025"/>
    <s v="19120141410    "/>
    <n v="-1.7719568419318752"/>
    <n v="0.17"/>
    <n v="7610"/>
    <s v="2"/>
    <s v="RES"/>
    <s v="MX"/>
    <s v="11"/>
    <s v="259"/>
    <s v="RN"/>
    <x v="4"/>
    <s v="VG"/>
    <n v="10"/>
    <n v="19"/>
    <n v="19"/>
    <n v="2005"/>
    <n v="2005"/>
    <n v="1076"/>
    <m/>
    <m/>
    <m/>
    <m/>
    <n v="0"/>
    <n v="1076"/>
    <n v="1500"/>
    <s v="N"/>
    <m/>
    <n v="440"/>
    <m/>
    <m/>
    <m/>
    <m/>
    <m/>
    <n v="229055"/>
    <n v="208440"/>
    <n v="0"/>
    <n v="0"/>
    <n v="61700"/>
    <n v="291500"/>
    <n v="353200"/>
    <n v="132535.48800000001"/>
    <n v="88356.992000000013"/>
    <n v="-23255.730391660189"/>
    <n v="37154.252388000001"/>
    <n v="50438.379078999998"/>
    <n v="-2066.0808999999999"/>
    <n v="67153.568880000006"/>
    <n v="0"/>
    <n v="0"/>
    <n v="15532.453640000002"/>
    <n v="0"/>
    <n v="300700"/>
    <n v="65100"/>
    <n v="365800"/>
    <n v="3.5673839184597961E-2"/>
    <n v="0.99970000000000003"/>
    <n v="0.99819999999999998"/>
    <n v="1.0007999999999999"/>
    <n v="0.99519999999999997"/>
    <n v="0.99080000000000001"/>
    <n v="0.94971499999999998"/>
    <n v="0.93552311998124726"/>
    <n v="292200"/>
    <n v="0"/>
    <n v="292200"/>
    <n v="61800"/>
    <n v="354000"/>
    <n v="2.4013722126929675E-3"/>
    <n v="1.6207455429497568E-3"/>
    <n v="2.2650056625141564E-3"/>
  </r>
  <r>
    <n v="2025"/>
    <s v="19120141456    "/>
    <n v="-1.7719568419318752"/>
    <n v="0.17"/>
    <n v="7190"/>
    <s v="2"/>
    <s v="RES"/>
    <s v="MX"/>
    <s v="11"/>
    <s v="259"/>
    <s v="RN"/>
    <x v="4"/>
    <s v="GD"/>
    <n v="10"/>
    <n v="19"/>
    <n v="19"/>
    <n v="2005"/>
    <n v="2005"/>
    <n v="1690"/>
    <m/>
    <m/>
    <m/>
    <m/>
    <n v="0"/>
    <n v="1690"/>
    <n v="2000"/>
    <s v="N"/>
    <n v="1"/>
    <n v="466"/>
    <m/>
    <m/>
    <m/>
    <m/>
    <m/>
    <n v="334072"/>
    <n v="304006"/>
    <n v="0"/>
    <n v="0"/>
    <n v="61700"/>
    <n v="310200"/>
    <n v="371900"/>
    <n v="132535.48800000001"/>
    <n v="88356.992000000013"/>
    <n v="-23255.730391660189"/>
    <n v="37154.252388000001"/>
    <n v="30300.329274"/>
    <n v="-2066.0808999999999"/>
    <n v="105473.54220000001"/>
    <n v="0"/>
    <n v="0"/>
    <n v="16450.280446000001"/>
    <n v="0"/>
    <n v="319800"/>
    <n v="65100"/>
    <n v="384900"/>
    <n v="3.4955633234740519E-2"/>
    <n v="0.99970000000000003"/>
    <n v="0.99819999999999998"/>
    <n v="0.997"/>
    <n v="1.0007999999999999"/>
    <n v="0.99080000000000001"/>
    <n v="0.94971499999999998"/>
    <n v="0.93721518350211364"/>
    <n v="311500"/>
    <n v="0"/>
    <n v="311500"/>
    <n v="61800"/>
    <n v="373300"/>
    <n v="4.1908446163765314E-3"/>
    <n v="1.6207455429497568E-3"/>
    <n v="3.7644528098951329E-3"/>
  </r>
  <r>
    <n v="2025"/>
    <s v="19120141447    "/>
    <n v="-1.7719568419318752"/>
    <n v="0.17"/>
    <n v="7193"/>
    <s v="2"/>
    <s v="RES"/>
    <s v="MX"/>
    <s v="11"/>
    <s v="259"/>
    <s v="RN"/>
    <x v="4"/>
    <s v="GD"/>
    <n v="10"/>
    <n v="19"/>
    <n v="19"/>
    <n v="2005"/>
    <n v="2005"/>
    <n v="1436"/>
    <m/>
    <m/>
    <m/>
    <m/>
    <n v="0"/>
    <n v="1436"/>
    <n v="1500"/>
    <s v="N"/>
    <m/>
    <n v="640"/>
    <m/>
    <m/>
    <m/>
    <m/>
    <m/>
    <n v="310740"/>
    <n v="282773"/>
    <n v="0"/>
    <n v="0"/>
    <n v="61700"/>
    <n v="299800"/>
    <n v="361500"/>
    <n v="132535.48800000001"/>
    <n v="88356.992000000013"/>
    <n v="-23255.730391660189"/>
    <n v="37154.252388000001"/>
    <n v="30300.329274"/>
    <n v="-2066.0808999999999"/>
    <n v="89621.305680000005"/>
    <n v="0"/>
    <n v="0"/>
    <n v="22592.65984"/>
    <n v="0"/>
    <n v="310100"/>
    <n v="65100"/>
    <n v="375200"/>
    <n v="3.7897648686030426E-2"/>
    <n v="0.99970000000000003"/>
    <n v="0.99819999999999998"/>
    <n v="0.997"/>
    <n v="0.99519999999999997"/>
    <n v="0.99080000000000001"/>
    <n v="0.94971499999999998"/>
    <n v="0.93197097384222971"/>
    <n v="301100"/>
    <n v="0"/>
    <n v="301100"/>
    <n v="61800"/>
    <n v="362900"/>
    <n v="4.3362241494329552E-3"/>
    <n v="1.6207455429497568E-3"/>
    <n v="3.8727524204702629E-3"/>
  </r>
  <r>
    <n v="2025"/>
    <s v="19120141531    "/>
    <n v="-1.7719568419318752"/>
    <n v="0.17"/>
    <n v="7409"/>
    <s v="2"/>
    <s v="RES"/>
    <s v="MX"/>
    <s v="11"/>
    <s v="259"/>
    <s v="CO"/>
    <x v="4"/>
    <s v="VG"/>
    <n v="10"/>
    <n v="19"/>
    <n v="19"/>
    <n v="2005"/>
    <n v="2005"/>
    <n v="1040"/>
    <n v="1040"/>
    <m/>
    <m/>
    <m/>
    <n v="0"/>
    <n v="2080"/>
    <n v="2500"/>
    <s v="N"/>
    <n v="1"/>
    <n v="440"/>
    <m/>
    <m/>
    <m/>
    <m/>
    <m/>
    <n v="376519"/>
    <n v="342632"/>
    <n v="0"/>
    <n v="0"/>
    <n v="61700"/>
    <n v="351100"/>
    <n v="412800"/>
    <n v="132535.48800000001"/>
    <n v="88356.992000000013"/>
    <n v="-23255.730391660189"/>
    <n v="37154.252388000001"/>
    <n v="50438.379078999998"/>
    <n v="-2066.0808999999999"/>
    <n v="64906.7952"/>
    <n v="61963.598319999997"/>
    <n v="0"/>
    <n v="15532.453640000002"/>
    <n v="0"/>
    <n v="360500"/>
    <n v="65100"/>
    <n v="425600"/>
    <n v="3.1007751937984496E-2"/>
    <n v="0.99970000000000003"/>
    <n v="0.99819999999999998"/>
    <n v="1.0007999999999999"/>
    <n v="1.0008999999999999"/>
    <n v="0.99080000000000001"/>
    <n v="0.94971499999999998"/>
    <n v="0.94088132113065737"/>
    <n v="352600"/>
    <n v="0"/>
    <n v="352600"/>
    <n v="61800"/>
    <n v="414400"/>
    <n v="4.2722870976929653E-3"/>
    <n v="1.6207455429497568E-3"/>
    <n v="3.875968992248062E-3"/>
  </r>
  <r>
    <n v="2025"/>
    <s v="19120141559    "/>
    <n v="-1.7719568419318752"/>
    <n v="0.17"/>
    <n v="7366"/>
    <s v="2"/>
    <s v="RES"/>
    <s v="MX"/>
    <s v="11"/>
    <s v="259"/>
    <s v="RN"/>
    <x v="4"/>
    <s v="AV"/>
    <n v="10"/>
    <n v="19"/>
    <n v="19"/>
    <n v="2005"/>
    <n v="2005"/>
    <n v="1380"/>
    <m/>
    <m/>
    <m/>
    <m/>
    <n v="0"/>
    <n v="1380"/>
    <n v="1500"/>
    <s v="N"/>
    <m/>
    <n v="428"/>
    <m/>
    <m/>
    <m/>
    <m/>
    <m/>
    <n v="273487"/>
    <n v="246138"/>
    <n v="0"/>
    <n v="0"/>
    <n v="61700"/>
    <n v="276000"/>
    <n v="337700"/>
    <n v="132535.48800000001"/>
    <n v="88356.992000000013"/>
    <n v="-23255.730391660189"/>
    <n v="37154.252388000001"/>
    <n v="17761.121909000001"/>
    <n v="-2066.0808999999999"/>
    <n v="86126.324399999998"/>
    <n v="0"/>
    <n v="0"/>
    <n v="15108.841268"/>
    <n v="0"/>
    <n v="286600"/>
    <n v="65100"/>
    <n v="351700"/>
    <n v="4.1456914421083804E-2"/>
    <n v="0.99970000000000003"/>
    <n v="0.99819999999999998"/>
    <n v="0.99680000000000002"/>
    <n v="0.99519999999999997"/>
    <n v="0.99080000000000001"/>
    <n v="0.94971499999999998"/>
    <n v="0.93178401878228145"/>
    <n v="277600"/>
    <n v="0"/>
    <n v="277600"/>
    <n v="61800"/>
    <n v="339400"/>
    <n v="5.7971014492753624E-3"/>
    <n v="1.6207455429497568E-3"/>
    <n v="5.0340538939887478E-3"/>
  </r>
  <r>
    <n v="2025"/>
    <s v="19120113469    "/>
    <n v="-1.7719568419318752"/>
    <n v="0.17"/>
    <n v="7520"/>
    <s v="2"/>
    <s v="RES"/>
    <s v="MX"/>
    <s v="11"/>
    <s v="259"/>
    <s v="CO"/>
    <x v="5"/>
    <s v="AV"/>
    <n v="10"/>
    <n v="19"/>
    <n v="19"/>
    <n v="2005"/>
    <n v="2005"/>
    <n v="1116"/>
    <n v="1116"/>
    <m/>
    <m/>
    <m/>
    <n v="0"/>
    <n v="2232"/>
    <n v="2500"/>
    <s v="N"/>
    <m/>
    <n v="440"/>
    <m/>
    <m/>
    <m/>
    <m/>
    <m/>
    <n v="442423"/>
    <n v="398181"/>
    <n v="0"/>
    <n v="0"/>
    <n v="61700"/>
    <n v="322900"/>
    <n v="384600"/>
    <n v="132535.48800000001"/>
    <n v="88356.992000000013"/>
    <n v="-23255.730391660189"/>
    <n v="32917.849192000001"/>
    <n v="17761.121909000001"/>
    <n v="-2066.0808999999999"/>
    <n v="69649.984080000009"/>
    <n v="66491.707427999994"/>
    <n v="0"/>
    <n v="15532.453640000002"/>
    <n v="0"/>
    <n v="332800"/>
    <n v="65100"/>
    <n v="397900"/>
    <n v="3.4581383255330216E-2"/>
    <n v="0.99970000000000003"/>
    <n v="1.0019"/>
    <n v="0.99680000000000002"/>
    <n v="1.0008999999999999"/>
    <n v="0.99080000000000001"/>
    <n v="0.94971499999999998"/>
    <n v="0.94059440371441083"/>
    <n v="324900"/>
    <n v="0"/>
    <n v="324900"/>
    <n v="61800"/>
    <n v="386700"/>
    <n v="6.1938680706100958E-3"/>
    <n v="1.6207455429497568E-3"/>
    <n v="5.4602184087363496E-3"/>
  </r>
  <r>
    <n v="2025"/>
    <s v="19120141560    "/>
    <n v="-1.7719568419318752"/>
    <n v="0.17"/>
    <n v="7366"/>
    <s v="2"/>
    <s v="RES"/>
    <s v="MX"/>
    <s v="11"/>
    <s v="259"/>
    <s v="CP"/>
    <x v="5"/>
    <s v="AV"/>
    <n v="10"/>
    <n v="19"/>
    <n v="19"/>
    <n v="2005"/>
    <n v="2005"/>
    <n v="1380"/>
    <m/>
    <m/>
    <m/>
    <m/>
    <n v="0"/>
    <n v="1380"/>
    <n v="1500"/>
    <s v="N"/>
    <n v="1"/>
    <n v="428"/>
    <m/>
    <m/>
    <m/>
    <m/>
    <m/>
    <n v="313780"/>
    <n v="282402"/>
    <n v="0"/>
    <n v="0"/>
    <n v="61700"/>
    <n v="271700"/>
    <n v="333400"/>
    <n v="132535.48800000001"/>
    <n v="88356.992000000013"/>
    <n v="-23255.730391660189"/>
    <n v="32917.849192000001"/>
    <n v="17761.121909000001"/>
    <n v="-2066.0808999999999"/>
    <n v="86126.324399999998"/>
    <n v="0"/>
    <n v="0"/>
    <n v="15108.841268"/>
    <n v="0"/>
    <n v="282400"/>
    <n v="65100"/>
    <n v="347500"/>
    <n v="4.2291541691661667E-2"/>
    <n v="0.99970000000000003"/>
    <n v="1.0019"/>
    <n v="0.99680000000000002"/>
    <n v="0.99519999999999997"/>
    <n v="0.99080000000000001"/>
    <n v="0.94971499999999998"/>
    <n v="0.9352378365237104"/>
    <n v="273800"/>
    <n v="0"/>
    <n v="273800"/>
    <n v="61800"/>
    <n v="335600"/>
    <n v="7.7291129922708868E-3"/>
    <n v="1.6207455429497568E-3"/>
    <n v="6.5986802639472104E-3"/>
  </r>
  <r>
    <n v="2025"/>
    <s v="20120632402    "/>
    <n v="-1.7719568419318752"/>
    <n v="0.17"/>
    <n v="7403"/>
    <s v="2"/>
    <s v="RES"/>
    <s v="MX"/>
    <s v="11"/>
    <s v="259"/>
    <s v="CP"/>
    <x v="4"/>
    <s v="VG"/>
    <n v="0"/>
    <n v="5"/>
    <n v="5"/>
    <n v="2019"/>
    <n v="2019"/>
    <n v="1523"/>
    <m/>
    <m/>
    <m/>
    <m/>
    <n v="0"/>
    <n v="1523"/>
    <n v="2000"/>
    <s v="N"/>
    <m/>
    <n v="441"/>
    <m/>
    <m/>
    <m/>
    <m/>
    <m/>
    <n v="300069"/>
    <n v="288066"/>
    <n v="0"/>
    <n v="0"/>
    <n v="61700"/>
    <n v="321300"/>
    <n v="383000"/>
    <n v="132535.48800000001"/>
    <n v="88356.992000000013"/>
    <n v="-23255.730391660189"/>
    <n v="37154.252388000001"/>
    <n v="50438.379078999998"/>
    <n v="-543.70550000000003"/>
    <n v="95051.008740000005"/>
    <n v="0"/>
    <n v="0"/>
    <n v="15567.754671000001"/>
    <n v="0"/>
    <n v="330200"/>
    <n v="65100"/>
    <n v="395300"/>
    <n v="3.2114882506527415E-2"/>
    <n v="0.99970000000000003"/>
    <n v="0.99819999999999998"/>
    <n v="1.0007999999999999"/>
    <n v="1.0007999999999999"/>
    <n v="1.0022"/>
    <n v="0.94971499999999998"/>
    <n v="0.95161187898712574"/>
    <n v="323800"/>
    <n v="0"/>
    <n v="323800"/>
    <n v="61800"/>
    <n v="385600"/>
    <n v="7.7808901338313101E-3"/>
    <n v="1.6207455429497568E-3"/>
    <n v="6.7885117493472584E-3"/>
  </r>
  <r>
    <n v="2025"/>
    <s v="20120634443    "/>
    <n v="-1.7719568419318752"/>
    <n v="0.17"/>
    <n v="7333"/>
    <s v="2"/>
    <s v="RES"/>
    <s v="MX"/>
    <s v="11"/>
    <s v="259"/>
    <s v="CP"/>
    <x v="5"/>
    <s v="VG"/>
    <n v="0"/>
    <n v="8"/>
    <n v="8"/>
    <n v="2016"/>
    <n v="2016"/>
    <n v="1593"/>
    <n v="1427"/>
    <m/>
    <m/>
    <m/>
    <n v="0"/>
    <n v="3020"/>
    <n v="3500"/>
    <s v="N"/>
    <n v="1"/>
    <n v="706"/>
    <m/>
    <m/>
    <m/>
    <m/>
    <m/>
    <n v="597373"/>
    <n v="573478"/>
    <n v="0"/>
    <n v="0"/>
    <n v="61700"/>
    <n v="412600"/>
    <n v="474300"/>
    <n v="132535.48800000001"/>
    <n v="88356.992000000013"/>
    <n v="-23255.730391660189"/>
    <n v="32917.849192000001"/>
    <n v="50438.379078999998"/>
    <n v="-869.92880000000002"/>
    <n v="99419.735339999999"/>
    <n v="85021.206540999992"/>
    <n v="0"/>
    <n v="24922.527886"/>
    <n v="0"/>
    <n v="424400"/>
    <n v="65100"/>
    <n v="489500"/>
    <n v="3.2047227493147798E-2"/>
    <n v="0.99970000000000003"/>
    <n v="1.0019"/>
    <n v="1.0007999999999999"/>
    <n v="0.98509999999999998"/>
    <n v="1.0022"/>
    <n v="0.94971499999999998"/>
    <n v="0.94015549374565566"/>
    <n v="416500"/>
    <n v="0"/>
    <n v="416500"/>
    <n v="61800"/>
    <n v="478300"/>
    <n v="9.4522539990305379E-3"/>
    <n v="1.6207455429497568E-3"/>
    <n v="8.4334809192494198E-3"/>
  </r>
  <r>
    <n v="2025"/>
    <s v="20120634448    "/>
    <n v="-1.7719568419318752"/>
    <n v="0.17"/>
    <n v="7333"/>
    <s v="2"/>
    <s v="RES"/>
    <s v="MX"/>
    <s v="11"/>
    <s v="259"/>
    <s v="CP"/>
    <x v="5"/>
    <s v="VG"/>
    <n v="0"/>
    <n v="8"/>
    <n v="8"/>
    <n v="2016"/>
    <n v="2016"/>
    <n v="1555"/>
    <n v="1251"/>
    <m/>
    <m/>
    <m/>
    <n v="0"/>
    <n v="2806"/>
    <n v="3000"/>
    <s v="N"/>
    <m/>
    <n v="713"/>
    <m/>
    <m/>
    <m/>
    <m/>
    <m/>
    <n v="552573"/>
    <n v="530470"/>
    <n v="0"/>
    <n v="0"/>
    <n v="61700"/>
    <n v="403000"/>
    <n v="464700"/>
    <n v="132535.48800000001"/>
    <n v="88356.992000000013"/>
    <n v="-23255.730391660189"/>
    <n v="32917.849192000001"/>
    <n v="50438.379078999998"/>
    <n v="-869.92880000000002"/>
    <n v="97048.140899999999"/>
    <n v="74535.059133000002"/>
    <n v="0"/>
    <n v="25169.635103000001"/>
    <n v="0"/>
    <n v="411800"/>
    <n v="65100"/>
    <n v="476900"/>
    <n v="2.6253496879707339E-2"/>
    <n v="0.99970000000000003"/>
    <n v="1.0019"/>
    <n v="1.0007999999999999"/>
    <n v="1.0099"/>
    <n v="1.0022"/>
    <n v="0.94971499999999998"/>
    <n v="0.96382401089608938"/>
    <n v="407000"/>
    <n v="0"/>
    <n v="407000"/>
    <n v="61800"/>
    <n v="468800"/>
    <n v="9.9255583126550868E-3"/>
    <n v="1.6207455429497568E-3"/>
    <n v="8.8228964923606629E-3"/>
  </r>
  <r>
    <n v="2025"/>
    <s v="20120633482    "/>
    <n v="-1.7719568419318752"/>
    <n v="0.17"/>
    <n v="7200"/>
    <s v="2"/>
    <s v="RES"/>
    <s v="MX"/>
    <s v="11"/>
    <s v="259"/>
    <s v="CP"/>
    <x v="4"/>
    <s v="VG"/>
    <n v="0"/>
    <n v="5"/>
    <n v="5"/>
    <n v="2019"/>
    <n v="2019"/>
    <n v="1529"/>
    <m/>
    <m/>
    <m/>
    <m/>
    <n v="0"/>
    <n v="1529"/>
    <n v="2000"/>
    <s v="N"/>
    <n v="1"/>
    <n v="441"/>
    <m/>
    <m/>
    <m/>
    <m/>
    <m/>
    <n v="302134"/>
    <n v="290049"/>
    <n v="0"/>
    <n v="0"/>
    <n v="61700"/>
    <n v="320800"/>
    <n v="382500"/>
    <n v="132535.48800000001"/>
    <n v="88356.992000000013"/>
    <n v="-23255.730391660189"/>
    <n v="37154.252388000001"/>
    <n v="50438.379078999998"/>
    <n v="-543.70550000000003"/>
    <n v="95425.471020000012"/>
    <n v="0"/>
    <n v="0"/>
    <n v="15567.754671000001"/>
    <n v="0"/>
    <n v="330600"/>
    <n v="65100"/>
    <n v="395700"/>
    <n v="3.4509803921568626E-2"/>
    <n v="0.99970000000000003"/>
    <n v="0.99819999999999998"/>
    <n v="1.0007999999999999"/>
    <n v="1.0007999999999999"/>
    <n v="1.0022"/>
    <n v="0.94971499999999998"/>
    <n v="0.95161187898712574"/>
    <n v="324200"/>
    <n v="0"/>
    <n v="324200"/>
    <n v="61800"/>
    <n v="386000"/>
    <n v="1.059850374064838E-2"/>
    <n v="1.6207455429497568E-3"/>
    <n v="9.1503267973856214E-3"/>
  </r>
  <r>
    <n v="2025"/>
    <s v="19120141408    "/>
    <n v="-1.7719568419318752"/>
    <n v="0.17"/>
    <n v="7456"/>
    <s v="2"/>
    <s v="RES"/>
    <s v="MX"/>
    <s v="11"/>
    <s v="259"/>
    <s v="RN"/>
    <x v="4"/>
    <s v="GD"/>
    <n v="10"/>
    <n v="19"/>
    <n v="19"/>
    <n v="2005"/>
    <n v="2005"/>
    <n v="1436"/>
    <m/>
    <m/>
    <m/>
    <m/>
    <n v="0"/>
    <n v="1436"/>
    <n v="1500"/>
    <s v="N"/>
    <m/>
    <n v="400"/>
    <m/>
    <m/>
    <m/>
    <m/>
    <m/>
    <n v="280937"/>
    <n v="255653"/>
    <n v="0"/>
    <n v="0"/>
    <n v="61700"/>
    <n v="289400"/>
    <n v="351100"/>
    <n v="132535.48800000001"/>
    <n v="88356.992000000013"/>
    <n v="-23255.730391660189"/>
    <n v="37154.252388000001"/>
    <n v="30300.329274"/>
    <n v="-2066.0808999999999"/>
    <n v="89621.305680000005"/>
    <n v="0"/>
    <n v="0"/>
    <n v="14120.412400000001"/>
    <n v="0"/>
    <n v="301700"/>
    <n v="65100"/>
    <n v="366800"/>
    <n v="4.4716604955853036E-2"/>
    <n v="0.99970000000000003"/>
    <n v="0.99819999999999998"/>
    <n v="0.997"/>
    <n v="0.99519999999999997"/>
    <n v="0.99080000000000001"/>
    <n v="0.94971499999999998"/>
    <n v="0.93197097384222971"/>
    <n v="292600"/>
    <n v="0"/>
    <n v="292600"/>
    <n v="61800"/>
    <n v="354400"/>
    <n v="1.10573600552868E-2"/>
    <n v="1.6207455429497568E-3"/>
    <n v="9.3990316149245232E-3"/>
  </r>
  <r>
    <n v="2025"/>
    <s v="19120144550    "/>
    <n v="-1.7719568419318752"/>
    <n v="0.17"/>
    <n v="7198"/>
    <s v="2"/>
    <s v="RES"/>
    <s v="MX"/>
    <s v="11"/>
    <s v=""/>
    <s v="RN"/>
    <x v="4"/>
    <s v="GD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80936"/>
    <n v="255652"/>
    <n v="0"/>
    <n v="0"/>
    <n v="61700"/>
    <n v="289400"/>
    <n v="351100"/>
    <n v="132535.48800000001"/>
    <n v="88356.992000000013"/>
    <n v="-23255.730391660189"/>
    <n v="37154.252388000001"/>
    <n v="30300.329274"/>
    <n v="-2174.8220000000001"/>
    <n v="86126.324399999998"/>
    <n v="0"/>
    <n v="0"/>
    <n v="15108.841268"/>
    <n v="0"/>
    <n v="299100"/>
    <n v="65100"/>
    <n v="364200"/>
    <n v="3.7311307319851897E-2"/>
    <n v="0.99970000000000003"/>
    <n v="0.99819999999999998"/>
    <n v="0.997"/>
    <n v="0.99519999999999997"/>
    <n v="1.0138"/>
    <n v="0.94971499999999998"/>
    <n v="0.95360534243162343"/>
    <n v="292900"/>
    <n v="0"/>
    <n v="292900"/>
    <n v="61800"/>
    <n v="354700"/>
    <n v="1.2093987560469938E-2"/>
    <n v="1.6207455429497568E-3"/>
    <n v="1.0253489034463116E-2"/>
  </r>
  <r>
    <n v="2025"/>
    <s v="19120144430    "/>
    <n v="-1.7719568419318752"/>
    <n v="0.17"/>
    <n v="7219"/>
    <s v="2"/>
    <s v="RES"/>
    <s v="MX"/>
    <s v="11"/>
    <s v="259"/>
    <s v="RN"/>
    <x v="4"/>
    <s v="GD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75531"/>
    <n v="250733"/>
    <n v="0"/>
    <n v="0"/>
    <n v="61700"/>
    <n v="289400"/>
    <n v="351100"/>
    <n v="132535.48800000001"/>
    <n v="88356.992000000013"/>
    <n v="-23255.730391660189"/>
    <n v="37154.252388000001"/>
    <n v="30300.329274"/>
    <n v="-2174.8220000000001"/>
    <n v="86126.324399999998"/>
    <n v="0"/>
    <n v="0"/>
    <n v="15108.841268"/>
    <n v="0"/>
    <n v="299100"/>
    <n v="65100"/>
    <n v="364200"/>
    <n v="3.7311307319851897E-2"/>
    <n v="0.99970000000000003"/>
    <n v="0.99819999999999998"/>
    <n v="0.997"/>
    <n v="0.99519999999999997"/>
    <n v="1.0138"/>
    <n v="0.94971499999999998"/>
    <n v="0.95360534243162343"/>
    <n v="292900"/>
    <n v="0"/>
    <n v="292900"/>
    <n v="61800"/>
    <n v="354700"/>
    <n v="1.2093987560469938E-2"/>
    <n v="1.6207455429497568E-3"/>
    <n v="1.0253489034463116E-2"/>
  </r>
  <r>
    <n v="2025"/>
    <s v="19120144437    "/>
    <n v="-1.7719568419318752"/>
    <n v="0.17"/>
    <n v="7407"/>
    <s v="2"/>
    <s v="RES"/>
    <s v="MX"/>
    <s v="11"/>
    <s v="259"/>
    <s v="RN"/>
    <x v="4"/>
    <s v="GD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78238"/>
    <n v="253197"/>
    <n v="0"/>
    <n v="0"/>
    <n v="61700"/>
    <n v="289400"/>
    <n v="351100"/>
    <n v="132535.48800000001"/>
    <n v="88356.992000000013"/>
    <n v="-23255.730391660189"/>
    <n v="37154.252388000001"/>
    <n v="30300.329274"/>
    <n v="-2174.8220000000001"/>
    <n v="86126.324399999998"/>
    <n v="0"/>
    <n v="0"/>
    <n v="15108.841268"/>
    <n v="0"/>
    <n v="299100"/>
    <n v="65100"/>
    <n v="364200"/>
    <n v="3.7311307319851897E-2"/>
    <n v="0.99970000000000003"/>
    <n v="0.99819999999999998"/>
    <n v="0.997"/>
    <n v="0.99519999999999997"/>
    <n v="1.0138"/>
    <n v="0.94971499999999998"/>
    <n v="0.95360534243162343"/>
    <n v="292900"/>
    <n v="0"/>
    <n v="292900"/>
    <n v="61800"/>
    <n v="354700"/>
    <n v="1.2093987560469938E-2"/>
    <n v="1.6207455429497568E-3"/>
    <n v="1.0253489034463116E-2"/>
  </r>
  <r>
    <n v="2025"/>
    <s v="19120144416    "/>
    <n v="-1.7719568419318752"/>
    <n v="0.17"/>
    <n v="7560"/>
    <s v="2"/>
    <s v="RES"/>
    <s v="MX"/>
    <s v="11"/>
    <s v="259"/>
    <s v="RN"/>
    <x v="4"/>
    <s v="GD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77753"/>
    <n v="252755"/>
    <n v="0"/>
    <n v="0"/>
    <n v="61700"/>
    <n v="289400"/>
    <n v="351100"/>
    <n v="132535.48800000001"/>
    <n v="88356.992000000013"/>
    <n v="-23255.730391660189"/>
    <n v="37154.252388000001"/>
    <n v="30300.329274"/>
    <n v="-2174.8220000000001"/>
    <n v="86126.324399999998"/>
    <n v="0"/>
    <n v="0"/>
    <n v="15108.841268"/>
    <n v="0"/>
    <n v="299100"/>
    <n v="65100"/>
    <n v="364200"/>
    <n v="3.7311307319851897E-2"/>
    <n v="0.99970000000000003"/>
    <n v="0.99819999999999998"/>
    <n v="0.997"/>
    <n v="0.99519999999999997"/>
    <n v="1.0138"/>
    <n v="0.94971499999999998"/>
    <n v="0.95360534243162343"/>
    <n v="292900"/>
    <n v="0"/>
    <n v="292900"/>
    <n v="61800"/>
    <n v="354700"/>
    <n v="1.2093987560469938E-2"/>
    <n v="1.6207455429497568E-3"/>
    <n v="1.0253489034463116E-2"/>
  </r>
  <r>
    <n v="2025"/>
    <s v="19120131535    "/>
    <n v="-1.7719568419318752"/>
    <n v="0.17"/>
    <n v="7507"/>
    <s v="2"/>
    <s v="RES"/>
    <s v="MX"/>
    <s v="11"/>
    <s v="259"/>
    <s v="RN"/>
    <x v="2"/>
    <s v="GD"/>
    <n v="20"/>
    <n v="27"/>
    <n v="27"/>
    <n v="1997"/>
    <n v="1997"/>
    <n v="1014"/>
    <m/>
    <m/>
    <m/>
    <m/>
    <n v="0"/>
    <n v="1014"/>
    <n v="1500"/>
    <s v="N"/>
    <m/>
    <n v="336"/>
    <m/>
    <m/>
    <m/>
    <m/>
    <m/>
    <n v="161884"/>
    <n v="142458"/>
    <n v="0"/>
    <n v="0"/>
    <n v="61700"/>
    <n v="225000"/>
    <n v="286700"/>
    <n v="132535.48800000001"/>
    <n v="88356.992000000013"/>
    <n v="-23255.730391660189"/>
    <n v="-1240.8083630000001"/>
    <n v="30300.329274"/>
    <n v="-2936.0097000000001"/>
    <n v="63284.125320000006"/>
    <n v="0"/>
    <n v="0"/>
    <n v="11861.146416000001"/>
    <n v="0"/>
    <n v="233800"/>
    <n v="65100"/>
    <n v="298900"/>
    <n v="4.2553191489361701E-2"/>
    <n v="0.99970000000000003"/>
    <n v="1.0022"/>
    <n v="0.997"/>
    <n v="0.99519999999999997"/>
    <n v="1.0138"/>
    <n v="0.94971499999999998"/>
    <n v="0.95742664214082651"/>
    <n v="228200"/>
    <n v="0"/>
    <n v="228200"/>
    <n v="61800"/>
    <n v="290000"/>
    <n v="1.4222222222222223E-2"/>
    <n v="1.6207455429497568E-3"/>
    <n v="1.1510289501220789E-2"/>
  </r>
  <r>
    <n v="2025"/>
    <s v="19120141455    "/>
    <n v="-1.7719568419318752"/>
    <n v="0.17"/>
    <n v="7191"/>
    <s v="2"/>
    <s v="RES"/>
    <s v="MX"/>
    <s v="11"/>
    <s v="259"/>
    <s v="RN"/>
    <x v="5"/>
    <s v="GD"/>
    <n v="10"/>
    <n v="19"/>
    <n v="19"/>
    <n v="2005"/>
    <n v="2005"/>
    <n v="1436"/>
    <m/>
    <m/>
    <m/>
    <m/>
    <n v="0"/>
    <n v="1436"/>
    <n v="1500"/>
    <s v="N"/>
    <m/>
    <n v="400"/>
    <m/>
    <m/>
    <m/>
    <m/>
    <m/>
    <n v="326923"/>
    <n v="297500"/>
    <n v="0"/>
    <n v="0"/>
    <n v="61700"/>
    <n v="285000"/>
    <n v="346700"/>
    <n v="132535.48800000001"/>
    <n v="88356.992000000013"/>
    <n v="-23255.730391660189"/>
    <n v="32917.849192000001"/>
    <n v="30300.329274"/>
    <n v="-2066.0808999999999"/>
    <n v="89621.305680000005"/>
    <n v="0"/>
    <n v="0"/>
    <n v="14120.412400000001"/>
    <n v="0"/>
    <n v="297400"/>
    <n v="65100"/>
    <n v="362500"/>
    <n v="4.5572541101817132E-2"/>
    <n v="0.99970000000000003"/>
    <n v="1.0019"/>
    <n v="0.997"/>
    <n v="0.99519999999999997"/>
    <n v="0.99080000000000001"/>
    <n v="0.94971499999999998"/>
    <n v="0.9354254845647465"/>
    <n v="288900"/>
    <n v="0"/>
    <n v="288900"/>
    <n v="61800"/>
    <n v="350700"/>
    <n v="1.368421052631579E-2"/>
    <n v="1.6207455429497568E-3"/>
    <n v="1.1537352177675224E-2"/>
  </r>
  <r>
    <n v="2025"/>
    <s v="19120144531    "/>
    <n v="-1.7719568419318752"/>
    <n v="0.17"/>
    <n v="7205"/>
    <s v="2"/>
    <s v="RES"/>
    <s v="MX"/>
    <s v="11"/>
    <s v="259"/>
    <s v="RN"/>
    <x v="4"/>
    <s v="VG"/>
    <n v="20"/>
    <n v="20"/>
    <n v="20"/>
    <n v="2004"/>
    <n v="2004"/>
    <n v="1092"/>
    <m/>
    <m/>
    <m/>
    <m/>
    <n v="0"/>
    <n v="1092"/>
    <n v="1500"/>
    <s v="N"/>
    <m/>
    <n v="440"/>
    <m/>
    <m/>
    <m/>
    <m/>
    <m/>
    <n v="231626"/>
    <n v="213096"/>
    <n v="0"/>
    <n v="0"/>
    <n v="61700"/>
    <n v="291500"/>
    <n v="353200"/>
    <n v="132535.48800000001"/>
    <n v="88356.992000000013"/>
    <n v="-23255.730391660189"/>
    <n v="37154.252388000001"/>
    <n v="50438.379078999998"/>
    <n v="-2174.8220000000001"/>
    <n v="68152.13496000001"/>
    <n v="0"/>
    <n v="0"/>
    <n v="15532.453640000002"/>
    <n v="0"/>
    <n v="301600"/>
    <n v="65100"/>
    <n v="366700"/>
    <n v="3.8221970554926391E-2"/>
    <n v="0.99970000000000003"/>
    <n v="0.99819999999999998"/>
    <n v="1.0007999999999999"/>
    <n v="0.99519999999999997"/>
    <n v="1.0138"/>
    <n v="0.94971499999999998"/>
    <n v="0.95723994654520439"/>
    <n v="296000"/>
    <n v="0"/>
    <n v="296000"/>
    <n v="61800"/>
    <n v="357800"/>
    <n v="1.5437392795883362E-2"/>
    <n v="1.6207455429497568E-3"/>
    <n v="1.3023782559456399E-2"/>
  </r>
  <r>
    <n v="2025"/>
    <s v="19120144538    "/>
    <n v="-1.7719568419318752"/>
    <n v="0.17"/>
    <n v="7215"/>
    <s v="2"/>
    <s v="RES"/>
    <s v="MX"/>
    <s v="11"/>
    <s v="259"/>
    <s v="RN"/>
    <x v="4"/>
    <s v="VG"/>
    <n v="20"/>
    <n v="20"/>
    <n v="20"/>
    <n v="2004"/>
    <n v="2004"/>
    <n v="1092"/>
    <m/>
    <m/>
    <m/>
    <m/>
    <n v="0"/>
    <n v="1092"/>
    <n v="1500"/>
    <s v="N"/>
    <m/>
    <n v="440"/>
    <m/>
    <m/>
    <m/>
    <m/>
    <m/>
    <n v="232884"/>
    <n v="214253"/>
    <n v="0"/>
    <n v="0"/>
    <n v="61700"/>
    <n v="291500"/>
    <n v="353200"/>
    <n v="132535.48800000001"/>
    <n v="88356.992000000013"/>
    <n v="-23255.730391660189"/>
    <n v="37154.252388000001"/>
    <n v="50438.379078999998"/>
    <n v="-2174.8220000000001"/>
    <n v="68152.13496000001"/>
    <n v="0"/>
    <n v="0"/>
    <n v="15532.453640000002"/>
    <n v="0"/>
    <n v="301600"/>
    <n v="65100"/>
    <n v="366700"/>
    <n v="3.8221970554926391E-2"/>
    <n v="0.99970000000000003"/>
    <n v="0.99819999999999998"/>
    <n v="1.0007999999999999"/>
    <n v="0.99519999999999997"/>
    <n v="1.0138"/>
    <n v="0.94971499999999998"/>
    <n v="0.95723994654520439"/>
    <n v="296000"/>
    <n v="0"/>
    <n v="296000"/>
    <n v="61800"/>
    <n v="357800"/>
    <n v="1.5437392795883362E-2"/>
    <n v="1.6207455429497568E-3"/>
    <n v="1.3023782559456399E-2"/>
  </r>
  <r>
    <n v="2025"/>
    <s v="19120141551    "/>
    <n v="-1.7719568419318752"/>
    <n v="0.17"/>
    <n v="7395"/>
    <s v="2"/>
    <s v="RES"/>
    <s v="MX"/>
    <s v="11"/>
    <s v="259"/>
    <s v="RN"/>
    <x v="4"/>
    <s v="GD"/>
    <n v="10"/>
    <n v="19"/>
    <n v="19"/>
    <n v="2005"/>
    <n v="2005"/>
    <n v="1690"/>
    <m/>
    <m/>
    <m/>
    <m/>
    <n v="0"/>
    <n v="1690"/>
    <n v="2000"/>
    <s v="N"/>
    <m/>
    <n v="466"/>
    <m/>
    <m/>
    <m/>
    <m/>
    <m/>
    <n v="327963"/>
    <n v="298446"/>
    <n v="0"/>
    <n v="0"/>
    <n v="61700"/>
    <n v="306800"/>
    <n v="368500"/>
    <n v="132535.48800000001"/>
    <n v="88356.992000000013"/>
    <n v="-23255.730391660189"/>
    <n v="37154.252388000001"/>
    <n v="30300.329274"/>
    <n v="-2066.0808999999999"/>
    <n v="105473.54220000001"/>
    <n v="0"/>
    <n v="0"/>
    <n v="16450.280446000001"/>
    <n v="0"/>
    <n v="319800"/>
    <n v="65100"/>
    <n v="384900"/>
    <n v="4.4504748982360925E-2"/>
    <n v="0.99970000000000003"/>
    <n v="0.99819999999999998"/>
    <n v="0.997"/>
    <n v="1.0007999999999999"/>
    <n v="0.99080000000000001"/>
    <n v="0.94971499999999998"/>
    <n v="0.93721518350211364"/>
    <n v="311500"/>
    <n v="0"/>
    <n v="311500"/>
    <n v="61800"/>
    <n v="373300"/>
    <n v="1.5319426336375489E-2"/>
    <n v="1.6207455429497568E-3"/>
    <n v="1.3025780189959294E-2"/>
  </r>
  <r>
    <n v="2025"/>
    <s v="19133514430    "/>
    <n v="-1.7719568419318752"/>
    <n v="0.17"/>
    <n v="7388"/>
    <s v="2"/>
    <s v="RES"/>
    <s v="MX"/>
    <s v="11"/>
    <s v="259"/>
    <s v="CO"/>
    <x v="4"/>
    <s v="EX"/>
    <n v="0"/>
    <n v="3"/>
    <n v="3"/>
    <n v="2021"/>
    <n v="2021"/>
    <n v="1550"/>
    <m/>
    <m/>
    <m/>
    <m/>
    <n v="0"/>
    <n v="1550"/>
    <n v="2000"/>
    <s v="N"/>
    <m/>
    <n v="420"/>
    <m/>
    <m/>
    <m/>
    <m/>
    <m/>
    <n v="304104"/>
    <n v="294981"/>
    <n v="0"/>
    <n v="0"/>
    <n v="61700"/>
    <n v="317000"/>
    <n v="378700"/>
    <n v="132535.48800000001"/>
    <n v="88356.992000000013"/>
    <n v="-23255.730391660189"/>
    <n v="37154.252388000001"/>
    <n v="47371.278778200001"/>
    <n v="-326.22329999999999"/>
    <n v="96736.089000000007"/>
    <n v="0"/>
    <n v="0"/>
    <n v="14826.43302"/>
    <n v="0"/>
    <n v="328300"/>
    <n v="65100"/>
    <n v="393400"/>
    <n v="3.8817005545286505E-2"/>
    <n v="0.99970000000000003"/>
    <n v="0.99819999999999998"/>
    <n v="1.0012000000000001"/>
    <n v="1.0007999999999999"/>
    <n v="1.0022"/>
    <n v="0.94971499999999998"/>
    <n v="0.95199221946633727"/>
    <n v="321900"/>
    <n v="0"/>
    <n v="321900"/>
    <n v="61800"/>
    <n v="383700"/>
    <n v="1.5457413249211356E-2"/>
    <n v="1.6207455429497568E-3"/>
    <n v="1.3203063110641669E-2"/>
  </r>
  <r>
    <n v="2025"/>
    <s v="19120141450    "/>
    <n v="-1.7719568419318752"/>
    <n v="0.17"/>
    <n v="7192"/>
    <s v="2"/>
    <s v="RES"/>
    <s v="MX"/>
    <s v="11"/>
    <s v="259"/>
    <s v="RN"/>
    <x v="4"/>
    <s v="VG"/>
    <n v="10"/>
    <n v="19"/>
    <n v="19"/>
    <n v="2005"/>
    <n v="2005"/>
    <n v="1380"/>
    <m/>
    <m/>
    <m/>
    <m/>
    <n v="0"/>
    <n v="1380"/>
    <n v="1500"/>
    <s v="N"/>
    <m/>
    <n v="428"/>
    <m/>
    <m/>
    <m/>
    <m/>
    <m/>
    <n v="275531"/>
    <n v="250733"/>
    <n v="0"/>
    <n v="0"/>
    <n v="61700"/>
    <n v="306000"/>
    <n v="367700"/>
    <n v="132535.48800000001"/>
    <n v="88356.992000000013"/>
    <n v="-23255.730391660189"/>
    <n v="37154.252388000001"/>
    <n v="50438.379078999998"/>
    <n v="-2066.0808999999999"/>
    <n v="86126.324399999998"/>
    <n v="0"/>
    <n v="0"/>
    <n v="15108.841268"/>
    <n v="0"/>
    <n v="319300"/>
    <n v="65100"/>
    <n v="384400"/>
    <n v="4.5417459885776446E-2"/>
    <n v="0.99970000000000003"/>
    <n v="0.99819999999999998"/>
    <n v="1.0007999999999999"/>
    <n v="0.99519999999999997"/>
    <n v="0.99080000000000001"/>
    <n v="0.94971499999999998"/>
    <n v="0.93552311998124726"/>
    <n v="310800"/>
    <n v="0"/>
    <n v="310800"/>
    <n v="61800"/>
    <n v="372600"/>
    <n v="1.5686274509803921E-2"/>
    <n v="1.6207455429497568E-3"/>
    <n v="1.3326081044329616E-2"/>
  </r>
  <r>
    <n v="2025"/>
    <s v="19120141439    "/>
    <n v="-1.7719568419318752"/>
    <n v="0.17"/>
    <n v="7256"/>
    <s v="2"/>
    <s v="RES"/>
    <s v="MX"/>
    <s v="11"/>
    <s v="259"/>
    <s v="RN"/>
    <x v="4"/>
    <s v="VG"/>
    <n v="10"/>
    <n v="19"/>
    <n v="19"/>
    <n v="2005"/>
    <n v="2005"/>
    <n v="1382"/>
    <m/>
    <m/>
    <m/>
    <m/>
    <n v="0"/>
    <n v="1382"/>
    <n v="1500"/>
    <s v="N"/>
    <m/>
    <n v="426"/>
    <m/>
    <m/>
    <m/>
    <m/>
    <m/>
    <n v="284497"/>
    <n v="258892"/>
    <n v="0"/>
    <n v="0"/>
    <n v="61700"/>
    <n v="306000"/>
    <n v="367700"/>
    <n v="132535.48800000001"/>
    <n v="88356.992000000013"/>
    <n v="-23255.730391660189"/>
    <n v="37154.252388000001"/>
    <n v="50438.379078999998"/>
    <n v="-2066.0808999999999"/>
    <n v="86251.14516"/>
    <n v="0"/>
    <n v="0"/>
    <n v="15038.239206"/>
    <n v="0"/>
    <n v="319400"/>
    <n v="65100"/>
    <n v="384500"/>
    <n v="4.5689420723415829E-2"/>
    <n v="0.99970000000000003"/>
    <n v="0.99819999999999998"/>
    <n v="1.0007999999999999"/>
    <n v="0.99519999999999997"/>
    <n v="0.99080000000000001"/>
    <n v="0.94971499999999998"/>
    <n v="0.93552311998124726"/>
    <n v="310800"/>
    <n v="0"/>
    <n v="310800"/>
    <n v="61800"/>
    <n v="372600"/>
    <n v="1.5686274509803921E-2"/>
    <n v="1.6207455429497568E-3"/>
    <n v="1.3326081044329616E-2"/>
  </r>
  <r>
    <n v="2025"/>
    <s v="20120633483    "/>
    <n v="-1.7719568419318752"/>
    <n v="0.17"/>
    <n v="7200"/>
    <s v="2"/>
    <s v="RES"/>
    <s v="MX"/>
    <s v="11"/>
    <s v="259"/>
    <s v="CP"/>
    <x v="5"/>
    <s v="GD"/>
    <n v="10"/>
    <n v="13"/>
    <n v="13"/>
    <n v="2011"/>
    <n v="2011"/>
    <n v="1971"/>
    <m/>
    <m/>
    <m/>
    <m/>
    <n v="0"/>
    <n v="1971"/>
    <n v="2000"/>
    <s v="N"/>
    <m/>
    <n v="676"/>
    <m/>
    <m/>
    <m/>
    <m/>
    <m/>
    <n v="421141"/>
    <n v="395873"/>
    <n v="0"/>
    <n v="0"/>
    <n v="61700"/>
    <n v="327400"/>
    <n v="389100"/>
    <n v="132535.48800000001"/>
    <n v="88356.992000000013"/>
    <n v="-23255.730391660189"/>
    <n v="32917.849192000001"/>
    <n v="30300.329274"/>
    <n v="-1413.6342999999999"/>
    <n v="123010.85898"/>
    <n v="0"/>
    <n v="0"/>
    <n v="23863.496956000003"/>
    <n v="0"/>
    <n v="341200"/>
    <n v="65100"/>
    <n v="406300"/>
    <n v="4.4204574659470572E-2"/>
    <n v="0.99970000000000003"/>
    <n v="1.0019"/>
    <n v="0.997"/>
    <n v="1.0007999999999999"/>
    <n v="0.99080000000000001"/>
    <n v="0.94971499999999998"/>
    <n v="0.94068913278978916"/>
    <n v="333400"/>
    <n v="0"/>
    <n v="333400"/>
    <n v="61800"/>
    <n v="395200"/>
    <n v="1.8326206475259621E-2"/>
    <n v="1.6207455429497568E-3"/>
    <n v="1.5677203803649446E-2"/>
  </r>
  <r>
    <n v="2025"/>
    <s v="19120144439    "/>
    <n v="-1.7719568419318752"/>
    <n v="0.17"/>
    <n v="7286"/>
    <s v="2"/>
    <s v="RES"/>
    <s v="MX"/>
    <s v="11"/>
    <s v="259"/>
    <s v="RN"/>
    <x v="5"/>
    <s v="VG"/>
    <n v="20"/>
    <n v="20"/>
    <n v="20"/>
    <n v="2004"/>
    <n v="2004"/>
    <n v="1096"/>
    <m/>
    <m/>
    <m/>
    <m/>
    <n v="0"/>
    <n v="1096"/>
    <n v="1500"/>
    <s v="N"/>
    <m/>
    <n v="460"/>
    <m/>
    <m/>
    <m/>
    <m/>
    <m/>
    <n v="270447"/>
    <n v="248811"/>
    <n v="0"/>
    <n v="0"/>
    <n v="61700"/>
    <n v="287800"/>
    <n v="349500"/>
    <n v="132535.48800000001"/>
    <n v="88356.992000000013"/>
    <n v="-23255.730391660189"/>
    <n v="32917.849192000001"/>
    <n v="50438.379078999998"/>
    <n v="-2174.8220000000001"/>
    <n v="68401.77648"/>
    <n v="0"/>
    <n v="0"/>
    <n v="16238.474260000001"/>
    <n v="0"/>
    <n v="298400"/>
    <n v="65100"/>
    <n v="363500"/>
    <n v="4.005722460658083E-2"/>
    <n v="0.99970000000000003"/>
    <n v="1.0019"/>
    <n v="1.0007999999999999"/>
    <n v="0.99519999999999997"/>
    <n v="1.0138"/>
    <n v="0.94971499999999998"/>
    <n v="0.96078812106155087"/>
    <n v="293200"/>
    <n v="0"/>
    <n v="293200"/>
    <n v="61800"/>
    <n v="355000"/>
    <n v="1.8763029881862403E-2"/>
    <n v="1.6207455429497568E-3"/>
    <n v="1.5736766809728183E-2"/>
  </r>
  <r>
    <n v="2025"/>
    <s v="19120112452    "/>
    <n v="-1.7719568419318752"/>
    <n v="0.17"/>
    <n v="7560"/>
    <s v="2"/>
    <s v="RES"/>
    <s v="MX"/>
    <s v="11"/>
    <s v="259"/>
    <s v="CO"/>
    <x v="5"/>
    <s v="VG"/>
    <n v="10"/>
    <n v="17"/>
    <n v="17"/>
    <n v="2007"/>
    <n v="2007"/>
    <n v="1116"/>
    <n v="1116"/>
    <m/>
    <m/>
    <m/>
    <n v="0"/>
    <n v="2232"/>
    <n v="2500"/>
    <s v="N"/>
    <n v="1"/>
    <n v="440"/>
    <m/>
    <m/>
    <m/>
    <m/>
    <m/>
    <n v="449089"/>
    <n v="417653"/>
    <n v="0"/>
    <n v="0"/>
    <n v="61700"/>
    <n v="351800"/>
    <n v="413500"/>
    <n v="132535.48800000001"/>
    <n v="88356.992000000013"/>
    <n v="-23255.730391660189"/>
    <n v="32917.849192000001"/>
    <n v="50438.379078999998"/>
    <n v="-1848.5987"/>
    <n v="69649.984080000009"/>
    <n v="66491.707427999994"/>
    <n v="0"/>
    <n v="15532.453640000002"/>
    <n v="0"/>
    <n v="365700"/>
    <n v="65100"/>
    <n v="430800"/>
    <n v="4.1837968561064087E-2"/>
    <n v="0.99970000000000003"/>
    <n v="1.0019"/>
    <n v="1.0007999999999999"/>
    <n v="1.0008999999999999"/>
    <n v="0.99080000000000001"/>
    <n v="0.94971499999999998"/>
    <n v="0.94436885958806405"/>
    <n v="358300"/>
    <n v="0"/>
    <n v="358300"/>
    <n v="61800"/>
    <n v="420100"/>
    <n v="1.8476407049459919E-2"/>
    <n v="1.6207455429497568E-3"/>
    <n v="1.5961305925030228E-2"/>
  </r>
  <r>
    <n v="2025"/>
    <s v="20120634453    "/>
    <n v="-1.7719568419318752"/>
    <n v="0.17"/>
    <n v="7435"/>
    <s v="2"/>
    <s v="RES"/>
    <s v="MX"/>
    <s v="11"/>
    <s v="259"/>
    <s v="CP"/>
    <x v="5"/>
    <s v="VG"/>
    <n v="0"/>
    <n v="9"/>
    <n v="9"/>
    <n v="2015"/>
    <n v="2015"/>
    <n v="2015"/>
    <m/>
    <m/>
    <m/>
    <m/>
    <n v="0"/>
    <n v="2015"/>
    <n v="2500"/>
    <s v="N"/>
    <m/>
    <n v="654"/>
    <m/>
    <m/>
    <m/>
    <m/>
    <m/>
    <n v="433908"/>
    <n v="416552"/>
    <n v="0"/>
    <n v="0"/>
    <n v="61700"/>
    <n v="351200"/>
    <n v="412900"/>
    <n v="132535.48800000001"/>
    <n v="88356.992000000013"/>
    <n v="-23255.730391660189"/>
    <n v="32917.849192000001"/>
    <n v="50438.379078999998"/>
    <n v="-978.66989999999998"/>
    <n v="125756.91570000001"/>
    <n v="0"/>
    <n v="0"/>
    <n v="23086.874274000002"/>
    <n v="0"/>
    <n v="363800"/>
    <n v="65100"/>
    <n v="428900"/>
    <n v="3.8750302736740128E-2"/>
    <n v="0.99970000000000003"/>
    <n v="1.0019"/>
    <n v="1.0007999999999999"/>
    <n v="1.0008999999999999"/>
    <n v="1.0022"/>
    <n v="0.94971499999999998"/>
    <n v="0.95523462967214157"/>
    <n v="357800"/>
    <n v="0"/>
    <n v="357800"/>
    <n v="61800"/>
    <n v="419600"/>
    <n v="1.879271070615034E-2"/>
    <n v="1.6207455429497568E-3"/>
    <n v="1.6226689271009929E-2"/>
  </r>
  <r>
    <n v="2025"/>
    <s v="19120144417    "/>
    <n v="-1.7719568419318752"/>
    <n v="0.17"/>
    <n v="7440"/>
    <s v="2"/>
    <s v="RES"/>
    <s v="MX"/>
    <s v="11"/>
    <s v="259"/>
    <s v="CO"/>
    <x v="5"/>
    <s v="GD"/>
    <n v="20"/>
    <n v="20"/>
    <n v="20"/>
    <n v="2004"/>
    <n v="2004"/>
    <n v="1116"/>
    <n v="1116"/>
    <m/>
    <m/>
    <m/>
    <n v="0"/>
    <n v="2232"/>
    <n v="2500"/>
    <s v="N"/>
    <m/>
    <n v="440"/>
    <m/>
    <m/>
    <m/>
    <m/>
    <m/>
    <n v="439327"/>
    <n v="399788"/>
    <n v="0"/>
    <n v="0"/>
    <n v="61700"/>
    <n v="333600"/>
    <n v="395300"/>
    <n v="132535.48800000001"/>
    <n v="88356.992000000013"/>
    <n v="-23255.730391660189"/>
    <n v="32917.849192000001"/>
    <n v="30300.329274"/>
    <n v="-2174.8220000000001"/>
    <n v="69649.984080000009"/>
    <n v="66491.707427999994"/>
    <n v="0"/>
    <n v="15532.453640000002"/>
    <n v="0"/>
    <n v="345300"/>
    <n v="65100"/>
    <n v="410400"/>
    <n v="3.8198836326840374E-2"/>
    <n v="0.99970000000000003"/>
    <n v="1.0019"/>
    <n v="0.997"/>
    <n v="1.0008999999999999"/>
    <n v="1.0138"/>
    <n v="0.94971499999999998"/>
    <n v="0.96262205657438948"/>
    <n v="340300"/>
    <n v="0"/>
    <n v="340300"/>
    <n v="61800"/>
    <n v="402100"/>
    <n v="2.0083932853717026E-2"/>
    <n v="1.6207455429497568E-3"/>
    <n v="1.7202124968378446E-2"/>
  </r>
  <r>
    <n v="2025"/>
    <s v="19120144560    "/>
    <n v="-1.7719568419318752"/>
    <n v="0.17"/>
    <n v="7500"/>
    <s v="2"/>
    <s v="RES"/>
    <s v="MX"/>
    <s v="11"/>
    <s v="259"/>
    <s v="CO"/>
    <x v="5"/>
    <s v="GD"/>
    <n v="20"/>
    <n v="20"/>
    <n v="20"/>
    <n v="2004"/>
    <n v="2004"/>
    <n v="1116"/>
    <n v="1116"/>
    <m/>
    <m/>
    <m/>
    <n v="0"/>
    <n v="2232"/>
    <n v="2500"/>
    <s v="N"/>
    <m/>
    <n v="440"/>
    <m/>
    <m/>
    <m/>
    <m/>
    <m/>
    <n v="439327"/>
    <n v="399788"/>
    <n v="0"/>
    <n v="0"/>
    <n v="61700"/>
    <n v="333600"/>
    <n v="395300"/>
    <n v="132535.48800000001"/>
    <n v="88356.992000000013"/>
    <n v="-23255.730391660189"/>
    <n v="32917.849192000001"/>
    <n v="30300.329274"/>
    <n v="-2174.8220000000001"/>
    <n v="69649.984080000009"/>
    <n v="66491.707427999994"/>
    <n v="0"/>
    <n v="15532.453640000002"/>
    <n v="0"/>
    <n v="345300"/>
    <n v="65100"/>
    <n v="410400"/>
    <n v="3.8198836326840374E-2"/>
    <n v="0.99970000000000003"/>
    <n v="1.0019"/>
    <n v="0.997"/>
    <n v="1.0008999999999999"/>
    <n v="1.0138"/>
    <n v="0.94971499999999998"/>
    <n v="0.96262205657438948"/>
    <n v="340300"/>
    <n v="0"/>
    <n v="340300"/>
    <n v="61800"/>
    <n v="402100"/>
    <n v="2.0083932853717026E-2"/>
    <n v="1.6207455429497568E-3"/>
    <n v="1.7202124968378446E-2"/>
  </r>
  <r>
    <n v="2025"/>
    <s v="19120141445    "/>
    <n v="-1.7719568419318752"/>
    <n v="0.17"/>
    <n v="7193"/>
    <s v="2"/>
    <s v="RES"/>
    <s v="MX"/>
    <s v="11"/>
    <s v="259"/>
    <s v="RN"/>
    <x v="4"/>
    <s v="VG"/>
    <n v="10"/>
    <n v="19"/>
    <n v="19"/>
    <n v="2005"/>
    <n v="2005"/>
    <n v="1543"/>
    <m/>
    <m/>
    <m/>
    <m/>
    <n v="0"/>
    <n v="1543"/>
    <n v="2000"/>
    <s v="N"/>
    <m/>
    <n v="433"/>
    <m/>
    <m/>
    <m/>
    <m/>
    <m/>
    <n v="309596"/>
    <n v="281732"/>
    <n v="0"/>
    <n v="0"/>
    <n v="61700"/>
    <n v="315100"/>
    <n v="376800"/>
    <n v="132535.48800000001"/>
    <n v="88356.992000000013"/>
    <n v="-23255.730391660189"/>
    <n v="37154.252388000001"/>
    <n v="50438.379078999998"/>
    <n v="-2066.0808999999999"/>
    <n v="96299.216339999999"/>
    <n v="0"/>
    <n v="0"/>
    <n v="15285.346423000001"/>
    <n v="0"/>
    <n v="329600"/>
    <n v="65100"/>
    <n v="394700"/>
    <n v="4.750530785562633E-2"/>
    <n v="0.99970000000000003"/>
    <n v="0.99819999999999998"/>
    <n v="1.0007999999999999"/>
    <n v="1.0007999999999999"/>
    <n v="0.99080000000000001"/>
    <n v="0.94971499999999998"/>
    <n v="0.9407873176017203"/>
    <n v="321800"/>
    <n v="0"/>
    <n v="321800"/>
    <n v="61800"/>
    <n v="383600"/>
    <n v="2.126309108219613E-2"/>
    <n v="1.6207455429497568E-3"/>
    <n v="1.8046709129511677E-2"/>
  </r>
  <r>
    <n v="2025"/>
    <s v="20120634416    "/>
    <n v="-1.7719568419318752"/>
    <n v="0.17"/>
    <n v="7329"/>
    <s v="2"/>
    <s v="RES"/>
    <s v="MX"/>
    <s v="11"/>
    <s v="259"/>
    <s v="CP"/>
    <x v="4"/>
    <s v="VG"/>
    <n v="10"/>
    <n v="11"/>
    <n v="11"/>
    <n v="2013"/>
    <n v="2013"/>
    <n v="1976"/>
    <m/>
    <m/>
    <m/>
    <m/>
    <n v="0"/>
    <n v="1976"/>
    <n v="2000"/>
    <s v="N"/>
    <n v="1"/>
    <n v="687"/>
    <m/>
    <m/>
    <m/>
    <m/>
    <m/>
    <n v="384013"/>
    <n v="364812"/>
    <n v="0"/>
    <n v="0"/>
    <n v="61700"/>
    <n v="351000"/>
    <n v="412700"/>
    <n v="132535.48800000001"/>
    <n v="88356.992000000013"/>
    <n v="-23255.730391660189"/>
    <n v="37154.252388000001"/>
    <n v="50438.379078999998"/>
    <n v="-1196.1521"/>
    <n v="123322.91088000001"/>
    <n v="0"/>
    <n v="0"/>
    <n v="24251.808297"/>
    <n v="0"/>
    <n v="366500"/>
    <n v="65100"/>
    <n v="431600"/>
    <n v="4.5795977707778046E-2"/>
    <n v="0.99970000000000003"/>
    <n v="0.99819999999999998"/>
    <n v="1.0007999999999999"/>
    <n v="1.0007999999999999"/>
    <n v="0.99080000000000001"/>
    <n v="0.94971499999999998"/>
    <n v="0.9407873176017203"/>
    <n v="358700"/>
    <n v="0"/>
    <n v="358700"/>
    <n v="61800"/>
    <n v="420500"/>
    <n v="2.1937321937321938E-2"/>
    <n v="1.6207455429497568E-3"/>
    <n v="1.8899927307971891E-2"/>
  </r>
  <r>
    <n v="2025"/>
    <s v="19120144498    "/>
    <n v="-1.7719568419318752"/>
    <n v="0.17"/>
    <n v="7211"/>
    <s v="2"/>
    <s v="RES"/>
    <s v="MX"/>
    <s v="11"/>
    <s v="259"/>
    <s v="RN"/>
    <x v="4"/>
    <s v="VG"/>
    <n v="20"/>
    <n v="20"/>
    <n v="20"/>
    <n v="2004"/>
    <n v="2004"/>
    <n v="1364"/>
    <m/>
    <m/>
    <m/>
    <m/>
    <n v="0"/>
    <n v="1364"/>
    <n v="1500"/>
    <s v="N"/>
    <m/>
    <n v="428"/>
    <m/>
    <m/>
    <m/>
    <m/>
    <m/>
    <n v="273939"/>
    <n v="252024"/>
    <n v="0"/>
    <n v="0"/>
    <n v="61700"/>
    <n v="305500"/>
    <n v="367200"/>
    <n v="132535.48800000001"/>
    <n v="88356.992000000013"/>
    <n v="-23255.730391660189"/>
    <n v="37154.252388000001"/>
    <n v="50438.379078999998"/>
    <n v="-2174.8220000000001"/>
    <n v="85127.758320000008"/>
    <n v="0"/>
    <n v="0"/>
    <n v="15108.841268"/>
    <n v="0"/>
    <n v="318200"/>
    <n v="65100"/>
    <n v="383300"/>
    <n v="4.3845315904139433E-2"/>
    <n v="0.99970000000000003"/>
    <n v="0.99819999999999998"/>
    <n v="1.0007999999999999"/>
    <n v="0.99519999999999997"/>
    <n v="1.0138"/>
    <n v="0.94971499999999998"/>
    <n v="0.95723994654520439"/>
    <n v="312500"/>
    <n v="0"/>
    <n v="312500"/>
    <n v="61800"/>
    <n v="374300"/>
    <n v="2.2913256955810146E-2"/>
    <n v="1.6207455429497568E-3"/>
    <n v="1.9335511982570806E-2"/>
  </r>
  <r>
    <n v="2025"/>
    <s v="20120634441    "/>
    <n v="-1.7719568419318752"/>
    <n v="0.17"/>
    <n v="7336"/>
    <s v="2"/>
    <s v="RES"/>
    <s v="MX"/>
    <s v="11"/>
    <s v="259"/>
    <s v="CP"/>
    <x v="5"/>
    <s v="VG"/>
    <n v="0"/>
    <n v="8"/>
    <n v="8"/>
    <n v="2016"/>
    <n v="2016"/>
    <n v="1849"/>
    <m/>
    <m/>
    <m/>
    <m/>
    <n v="0"/>
    <n v="1849"/>
    <n v="2000"/>
    <s v="N"/>
    <m/>
    <n v="671"/>
    <m/>
    <m/>
    <m/>
    <m/>
    <m/>
    <n v="400993"/>
    <n v="384953"/>
    <n v="0"/>
    <n v="0"/>
    <n v="61700"/>
    <n v="340500"/>
    <n v="402200"/>
    <n v="132535.48800000001"/>
    <n v="88356.992000000013"/>
    <n v="-23255.730391660189"/>
    <n v="32917.849192000001"/>
    <n v="50438.379078999998"/>
    <n v="-869.92880000000002"/>
    <n v="115396.79262000001"/>
    <n v="0"/>
    <n v="0"/>
    <n v="23686.991801"/>
    <n v="0"/>
    <n v="354100"/>
    <n v="65100"/>
    <n v="419200"/>
    <n v="4.2267528592739932E-2"/>
    <n v="0.99970000000000003"/>
    <n v="1.0019"/>
    <n v="1.0007999999999999"/>
    <n v="1.0007999999999999"/>
    <n v="1.0022"/>
    <n v="0.94971499999999998"/>
    <n v="0.95513919210298648"/>
    <n v="348200"/>
    <n v="0"/>
    <n v="348200"/>
    <n v="61800"/>
    <n v="410000"/>
    <n v="2.2613803230543319E-2"/>
    <n v="1.6207455429497568E-3"/>
    <n v="1.9393336648433616E-2"/>
  </r>
  <r>
    <n v="2025"/>
    <s v="19120141543    "/>
    <n v="-1.7719568419318752"/>
    <n v="0.17"/>
    <n v="7334"/>
    <s v="2"/>
    <s v="RES"/>
    <s v="MX"/>
    <s v="11"/>
    <s v="259"/>
    <s v="CO"/>
    <x v="5"/>
    <s v="VG"/>
    <n v="10"/>
    <n v="19"/>
    <n v="19"/>
    <n v="2005"/>
    <n v="2005"/>
    <n v="1116"/>
    <n v="1116"/>
    <m/>
    <m/>
    <m/>
    <n v="0"/>
    <n v="2232"/>
    <n v="2500"/>
    <s v="N"/>
    <m/>
    <n v="440"/>
    <m/>
    <m/>
    <m/>
    <m/>
    <m/>
    <n v="439327"/>
    <n v="399788"/>
    <n v="0"/>
    <n v="0"/>
    <n v="61700"/>
    <n v="350000"/>
    <n v="411700"/>
    <n v="132535.48800000001"/>
    <n v="88356.992000000013"/>
    <n v="-23255.730391660189"/>
    <n v="32917.849192000001"/>
    <n v="50438.379078999998"/>
    <n v="-2066.0808999999999"/>
    <n v="69649.984080000009"/>
    <n v="66491.707427999994"/>
    <n v="0"/>
    <n v="15532.453640000002"/>
    <n v="0"/>
    <n v="365500"/>
    <n v="65100"/>
    <n v="430600"/>
    <n v="4.5907213990769975E-2"/>
    <n v="0.99970000000000003"/>
    <n v="1.0019"/>
    <n v="1.0007999999999999"/>
    <n v="1.0008999999999999"/>
    <n v="0.99080000000000001"/>
    <n v="0.94971499999999998"/>
    <n v="0.94436885958806405"/>
    <n v="358100"/>
    <n v="0"/>
    <n v="358100"/>
    <n v="61800"/>
    <n v="419900"/>
    <n v="2.3142857142857142E-2"/>
    <n v="1.6207455429497568E-3"/>
    <n v="1.9917415593879037E-2"/>
  </r>
  <r>
    <n v="2025"/>
    <s v="19120141561    "/>
    <n v="-1.7719568419318752"/>
    <n v="0.17"/>
    <n v="7365"/>
    <s v="2"/>
    <s v="RES"/>
    <s v="MX"/>
    <s v="11"/>
    <s v="259"/>
    <s v="CO"/>
    <x v="5"/>
    <s v="VG"/>
    <n v="10"/>
    <n v="19"/>
    <n v="19"/>
    <n v="2005"/>
    <n v="2005"/>
    <n v="1116"/>
    <n v="1116"/>
    <m/>
    <m/>
    <m/>
    <n v="0"/>
    <n v="2232"/>
    <n v="2500"/>
    <s v="N"/>
    <n v="1"/>
    <n v="440"/>
    <m/>
    <m/>
    <m/>
    <m/>
    <m/>
    <n v="444722"/>
    <n v="404697"/>
    <n v="0"/>
    <n v="0"/>
    <n v="61700"/>
    <n v="350000"/>
    <n v="411700"/>
    <n v="132535.48800000001"/>
    <n v="88356.992000000013"/>
    <n v="-23255.730391660189"/>
    <n v="32917.849192000001"/>
    <n v="50438.379078999998"/>
    <n v="-2066.0808999999999"/>
    <n v="69649.984080000009"/>
    <n v="66491.707427999994"/>
    <n v="0"/>
    <n v="15532.453640000002"/>
    <n v="0"/>
    <n v="365500"/>
    <n v="65100"/>
    <n v="430600"/>
    <n v="4.5907213990769975E-2"/>
    <n v="0.99970000000000003"/>
    <n v="1.0019"/>
    <n v="1.0007999999999999"/>
    <n v="1.0008999999999999"/>
    <n v="0.99080000000000001"/>
    <n v="0.94971499999999998"/>
    <n v="0.94436885958806405"/>
    <n v="358100"/>
    <n v="0"/>
    <n v="358100"/>
    <n v="61800"/>
    <n v="419900"/>
    <n v="2.3142857142857142E-2"/>
    <n v="1.6207455429497568E-3"/>
    <n v="1.9917415593879037E-2"/>
  </r>
  <r>
    <n v="2025"/>
    <s v="19120141403    "/>
    <n v="-1.7719568419318752"/>
    <n v="0.17"/>
    <n v="7426"/>
    <s v="2"/>
    <s v="RES"/>
    <s v="MX"/>
    <s v="11"/>
    <s v="259"/>
    <s v="CO"/>
    <x v="5"/>
    <s v="VG"/>
    <n v="10"/>
    <n v="19"/>
    <n v="19"/>
    <n v="2005"/>
    <n v="2005"/>
    <n v="1116"/>
    <n v="1116"/>
    <m/>
    <m/>
    <m/>
    <n v="0"/>
    <n v="2232"/>
    <n v="2500"/>
    <s v="N"/>
    <m/>
    <n v="440"/>
    <m/>
    <m/>
    <m/>
    <m/>
    <m/>
    <n v="439327"/>
    <n v="399788"/>
    <n v="0"/>
    <n v="0"/>
    <n v="61700"/>
    <n v="350000"/>
    <n v="411700"/>
    <n v="132535.48800000001"/>
    <n v="88356.992000000013"/>
    <n v="-23255.730391660189"/>
    <n v="32917.849192000001"/>
    <n v="50438.379078999998"/>
    <n v="-2066.0808999999999"/>
    <n v="69649.984080000009"/>
    <n v="66491.707427999994"/>
    <n v="0"/>
    <n v="15532.453640000002"/>
    <n v="0"/>
    <n v="365500"/>
    <n v="65100"/>
    <n v="430600"/>
    <n v="4.5907213990769975E-2"/>
    <n v="0.99970000000000003"/>
    <n v="1.0019"/>
    <n v="1.0007999999999999"/>
    <n v="1.0008999999999999"/>
    <n v="0.99080000000000001"/>
    <n v="0.94971499999999998"/>
    <n v="0.94436885958806405"/>
    <n v="358100"/>
    <n v="0"/>
    <n v="358100"/>
    <n v="61800"/>
    <n v="419900"/>
    <n v="2.3142857142857142E-2"/>
    <n v="1.6207455429497568E-3"/>
    <n v="1.9917415593879037E-2"/>
  </r>
  <r>
    <n v="2025"/>
    <s v="19120141514    "/>
    <n v="-1.7719568419318752"/>
    <n v="0.17"/>
    <n v="7519"/>
    <s v="2"/>
    <s v="RES"/>
    <s v="MX"/>
    <s v="11"/>
    <s v="259"/>
    <s v="CO"/>
    <x v="5"/>
    <s v="VG"/>
    <n v="10"/>
    <n v="19"/>
    <n v="19"/>
    <n v="2005"/>
    <n v="2005"/>
    <n v="1116"/>
    <n v="1116"/>
    <m/>
    <m/>
    <m/>
    <n v="0"/>
    <n v="2232"/>
    <n v="2500"/>
    <s v="N"/>
    <m/>
    <n v="440"/>
    <m/>
    <m/>
    <m/>
    <m/>
    <m/>
    <n v="446742"/>
    <n v="406535"/>
    <n v="0"/>
    <n v="0"/>
    <n v="61700"/>
    <n v="350000"/>
    <n v="411700"/>
    <n v="132535.48800000001"/>
    <n v="88356.992000000013"/>
    <n v="-23255.730391660189"/>
    <n v="32917.849192000001"/>
    <n v="50438.379078999998"/>
    <n v="-2066.0808999999999"/>
    <n v="69649.984080000009"/>
    <n v="66491.707427999994"/>
    <n v="0"/>
    <n v="15532.453640000002"/>
    <n v="0"/>
    <n v="365500"/>
    <n v="65100"/>
    <n v="430600"/>
    <n v="4.5907213990769975E-2"/>
    <n v="0.99970000000000003"/>
    <n v="1.0019"/>
    <n v="1.0007999999999999"/>
    <n v="1.0008999999999999"/>
    <n v="0.99080000000000001"/>
    <n v="0.94971499999999998"/>
    <n v="0.94436885958806405"/>
    <n v="358100"/>
    <n v="0"/>
    <n v="358100"/>
    <n v="61800"/>
    <n v="419900"/>
    <n v="2.3142857142857142E-2"/>
    <n v="1.6207455429497568E-3"/>
    <n v="1.9917415593879037E-2"/>
  </r>
  <r>
    <n v="2025"/>
    <s v="19120141454    "/>
    <n v="-1.7719568419318752"/>
    <n v="0.17"/>
    <n v="7263"/>
    <s v="2"/>
    <s v="RES"/>
    <s v="MX"/>
    <s v="11"/>
    <s v="259"/>
    <s v="RN"/>
    <x v="4"/>
    <s v="GD"/>
    <n v="20"/>
    <n v="20"/>
    <n v="20"/>
    <n v="2004"/>
    <n v="2004"/>
    <n v="1436"/>
    <m/>
    <m/>
    <m/>
    <m/>
    <n v="0"/>
    <n v="1436"/>
    <n v="1500"/>
    <s v="N"/>
    <m/>
    <n v="400"/>
    <m/>
    <m/>
    <m/>
    <m/>
    <m/>
    <n v="280937"/>
    <n v="255653"/>
    <n v="0"/>
    <n v="0"/>
    <n v="61700"/>
    <n v="288500"/>
    <n v="350200"/>
    <n v="132535.48800000001"/>
    <n v="88356.992000000013"/>
    <n v="-23255.730391660189"/>
    <n v="37154.252388000001"/>
    <n v="30300.329274"/>
    <n v="-2174.8220000000001"/>
    <n v="89621.305680000005"/>
    <n v="0"/>
    <n v="0"/>
    <n v="14120.412400000001"/>
    <n v="0"/>
    <n v="301600"/>
    <n v="65100"/>
    <n v="366700"/>
    <n v="4.7115933752141632E-2"/>
    <n v="0.99970000000000003"/>
    <n v="0.99819999999999998"/>
    <n v="0.997"/>
    <n v="0.99519999999999997"/>
    <n v="1.0138"/>
    <n v="0.94971499999999998"/>
    <n v="0.95360534243162343"/>
    <n v="295400"/>
    <n v="0"/>
    <n v="295400"/>
    <n v="61800"/>
    <n v="357200"/>
    <n v="2.391681109185442E-2"/>
    <n v="1.6207455429497568E-3"/>
    <n v="1.9988577955454025E-2"/>
  </r>
  <r>
    <n v="2025"/>
    <s v="20120634447    "/>
    <n v="-1.7719568419318752"/>
    <n v="0.17"/>
    <n v="7333"/>
    <s v="2"/>
    <s v="RES"/>
    <s v="MX"/>
    <s v="11"/>
    <s v="259"/>
    <s v="CP"/>
    <x v="5"/>
    <s v="VG"/>
    <n v="0"/>
    <n v="8"/>
    <n v="8"/>
    <n v="2016"/>
    <n v="2016"/>
    <n v="1380"/>
    <n v="1460"/>
    <m/>
    <m/>
    <m/>
    <n v="0"/>
    <n v="2840"/>
    <n v="3000"/>
    <s v="N"/>
    <m/>
    <n v="620"/>
    <m/>
    <m/>
    <m/>
    <m/>
    <m/>
    <n v="538703"/>
    <n v="517155"/>
    <n v="0"/>
    <n v="0"/>
    <n v="61700"/>
    <n v="395700"/>
    <n v="457400"/>
    <n v="132535.48800000001"/>
    <n v="88356.992000000013"/>
    <n v="-23255.730391660189"/>
    <n v="32917.849192000001"/>
    <n v="50438.379078999998"/>
    <n v="-869.92880000000002"/>
    <n v="86126.324399999998"/>
    <n v="86987.359179999999"/>
    <n v="0"/>
    <n v="21886.639220000001"/>
    <n v="0"/>
    <n v="410000"/>
    <n v="65100"/>
    <n v="475100"/>
    <n v="3.8696982947092264E-2"/>
    <n v="0.99970000000000003"/>
    <n v="1.0019"/>
    <n v="1.0007999999999999"/>
    <n v="1.0099"/>
    <n v="1.0022"/>
    <n v="0.94971499999999998"/>
    <n v="0.96382401089608938"/>
    <n v="405200"/>
    <n v="0"/>
    <n v="405200"/>
    <n v="61800"/>
    <n v="467000"/>
    <n v="2.4008086934546372E-2"/>
    <n v="1.6207455429497568E-3"/>
    <n v="2.0988194140795804E-2"/>
  </r>
  <r>
    <n v="2025"/>
    <s v="20120634474    "/>
    <n v="-1.7719568419318752"/>
    <n v="0.17"/>
    <n v="7311"/>
    <s v="2"/>
    <s v="RES"/>
    <s v="MX"/>
    <s v="11"/>
    <s v="259"/>
    <s v="CP"/>
    <x v="5"/>
    <s v="VG"/>
    <n v="0"/>
    <n v="9"/>
    <n v="9"/>
    <n v="2015"/>
    <n v="2015"/>
    <n v="2015"/>
    <m/>
    <m/>
    <m/>
    <m/>
    <n v="0"/>
    <n v="2015"/>
    <n v="2500"/>
    <s v="N"/>
    <n v="1"/>
    <n v="426"/>
    <m/>
    <m/>
    <m/>
    <m/>
    <m/>
    <n v="428139"/>
    <n v="411013"/>
    <n v="0"/>
    <n v="0"/>
    <n v="61700"/>
    <n v="341400"/>
    <n v="403100"/>
    <n v="132535.48800000001"/>
    <n v="88356.992000000013"/>
    <n v="-23255.730391660189"/>
    <n v="32917.849192000001"/>
    <n v="50438.379078999998"/>
    <n v="-978.66989999999998"/>
    <n v="125756.91570000001"/>
    <n v="0"/>
    <n v="0"/>
    <n v="15038.239206"/>
    <n v="0"/>
    <n v="355700"/>
    <n v="65100"/>
    <n v="420800"/>
    <n v="4.3909699826345822E-2"/>
    <n v="0.99970000000000003"/>
    <n v="1.0019"/>
    <n v="1.0007999999999999"/>
    <n v="1.0008999999999999"/>
    <n v="1.0022"/>
    <n v="0.94971499999999998"/>
    <n v="0.95523462967214157"/>
    <n v="349800"/>
    <n v="0"/>
    <n v="349800"/>
    <n v="61800"/>
    <n v="411600"/>
    <n v="2.4604569420035149E-2"/>
    <n v="1.6207455429497568E-3"/>
    <n v="2.1086579012651947E-2"/>
  </r>
  <r>
    <n v="2025"/>
    <s v="20120634460    "/>
    <n v="-1.7719568419318752"/>
    <n v="0.17"/>
    <n v="7435"/>
    <s v="2"/>
    <s v="RES"/>
    <s v="MX"/>
    <s v="11"/>
    <s v="259"/>
    <s v="CP"/>
    <x v="5"/>
    <s v="VG"/>
    <n v="0"/>
    <n v="9"/>
    <n v="9"/>
    <n v="2015"/>
    <n v="2015"/>
    <n v="2015"/>
    <m/>
    <m/>
    <m/>
    <m/>
    <n v="0"/>
    <n v="2015"/>
    <n v="2500"/>
    <s v="N"/>
    <m/>
    <n v="426"/>
    <m/>
    <m/>
    <m/>
    <m/>
    <m/>
    <n v="423819"/>
    <n v="406866"/>
    <n v="0"/>
    <n v="0"/>
    <n v="61700"/>
    <n v="341400"/>
    <n v="403100"/>
    <n v="132535.48800000001"/>
    <n v="88356.992000000013"/>
    <n v="-23255.730391660189"/>
    <n v="32917.849192000001"/>
    <n v="50438.379078999998"/>
    <n v="-978.66989999999998"/>
    <n v="125756.91570000001"/>
    <n v="0"/>
    <n v="0"/>
    <n v="15038.239206"/>
    <n v="0"/>
    <n v="355700"/>
    <n v="65100"/>
    <n v="420800"/>
    <n v="4.3909699826345822E-2"/>
    <n v="0.99970000000000003"/>
    <n v="1.0019"/>
    <n v="1.0007999999999999"/>
    <n v="1.0008999999999999"/>
    <n v="1.0022"/>
    <n v="0.94971499999999998"/>
    <n v="0.95523462967214157"/>
    <n v="349800"/>
    <n v="0"/>
    <n v="349800"/>
    <n v="61800"/>
    <n v="411600"/>
    <n v="2.4604569420035149E-2"/>
    <n v="1.6207455429497568E-3"/>
    <n v="2.1086579012651947E-2"/>
  </r>
  <r>
    <n v="2025"/>
    <s v="19120144499    "/>
    <n v="-1.7719568419318752"/>
    <n v="0.17"/>
    <n v="7229"/>
    <s v="2"/>
    <s v="RES"/>
    <s v="MX"/>
    <s v="11"/>
    <s v="259"/>
    <s v="RN"/>
    <x v="4"/>
    <s v="VG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75531"/>
    <n v="253489"/>
    <n v="0"/>
    <n v="0"/>
    <n v="61700"/>
    <n v="305100"/>
    <n v="366800"/>
    <n v="132535.48800000001"/>
    <n v="88356.992000000013"/>
    <n v="-23255.730391660189"/>
    <n v="37154.252388000001"/>
    <n v="50438.379078999998"/>
    <n v="-2174.8220000000001"/>
    <n v="86126.324399999998"/>
    <n v="0"/>
    <n v="0"/>
    <n v="15108.841268"/>
    <n v="0"/>
    <n v="319200"/>
    <n v="65100"/>
    <n v="384300"/>
    <n v="4.7709923664122141E-2"/>
    <n v="0.99970000000000003"/>
    <n v="0.99819999999999998"/>
    <n v="1.0007999999999999"/>
    <n v="0.99519999999999997"/>
    <n v="1.0138"/>
    <n v="0.94971499999999998"/>
    <n v="0.95723994654520439"/>
    <n v="313500"/>
    <n v="0"/>
    <n v="313500"/>
    <n v="61800"/>
    <n v="375300"/>
    <n v="2.7531956735496559E-2"/>
    <n v="1.6207455429497568E-3"/>
    <n v="2.3173391494002181E-2"/>
  </r>
  <r>
    <n v="2025"/>
    <s v="19120144540    "/>
    <n v="-1.7719568419318752"/>
    <n v="0.17"/>
    <n v="7215"/>
    <s v="2"/>
    <s v="RES"/>
    <s v="MX"/>
    <s v="11"/>
    <s v="259"/>
    <s v="RN"/>
    <x v="4"/>
    <s v="VG"/>
    <n v="20"/>
    <n v="20"/>
    <n v="20"/>
    <n v="2004"/>
    <n v="2004"/>
    <n v="1690"/>
    <m/>
    <m/>
    <m/>
    <m/>
    <n v="0"/>
    <n v="1690"/>
    <n v="2000"/>
    <s v="N"/>
    <m/>
    <n v="466"/>
    <m/>
    <m/>
    <m/>
    <m/>
    <m/>
    <n v="330383"/>
    <n v="303952"/>
    <n v="0"/>
    <n v="0"/>
    <n v="61700"/>
    <n v="324900"/>
    <n v="386600"/>
    <n v="132535.48800000001"/>
    <n v="88356.992000000013"/>
    <n v="-23255.730391660189"/>
    <n v="37154.252388000001"/>
    <n v="50438.379078999998"/>
    <n v="-2174.8220000000001"/>
    <n v="105473.54220000001"/>
    <n v="0"/>
    <n v="0"/>
    <n v="16450.280446000001"/>
    <n v="0"/>
    <n v="339900"/>
    <n v="65100"/>
    <n v="405000"/>
    <n v="4.759441282979824E-2"/>
    <n v="0.99970000000000003"/>
    <n v="0.99819999999999998"/>
    <n v="1.0007999999999999"/>
    <n v="1.0007999999999999"/>
    <n v="1.0138"/>
    <n v="0.94971499999999998"/>
    <n v="0.96262634495823995"/>
    <n v="334900"/>
    <n v="0"/>
    <n v="334900"/>
    <n v="61800"/>
    <n v="396700"/>
    <n v="3.0778701138811943E-2"/>
    <n v="1.6207455429497568E-3"/>
    <n v="2.6125193998965339E-2"/>
  </r>
  <r>
    <n v="2025"/>
    <s v="19120144566    "/>
    <n v="-1.7719568419318752"/>
    <n v="0.17"/>
    <n v="7546"/>
    <s v="2"/>
    <s v="RES"/>
    <s v="MX"/>
    <s v="11"/>
    <s v="259"/>
    <s v="RN"/>
    <x v="4"/>
    <s v="VG"/>
    <n v="20"/>
    <n v="20"/>
    <n v="20"/>
    <n v="2004"/>
    <n v="2004"/>
    <n v="1690"/>
    <m/>
    <m/>
    <m/>
    <m/>
    <n v="0"/>
    <n v="1690"/>
    <n v="2000"/>
    <s v="N"/>
    <m/>
    <n v="466"/>
    <m/>
    <m/>
    <m/>
    <m/>
    <m/>
    <n v="339607"/>
    <n v="312438"/>
    <n v="0"/>
    <n v="0"/>
    <n v="61700"/>
    <n v="324900"/>
    <n v="386600"/>
    <n v="132535.48800000001"/>
    <n v="88356.992000000013"/>
    <n v="-23255.730391660189"/>
    <n v="37154.252388000001"/>
    <n v="50438.379078999998"/>
    <n v="-2174.8220000000001"/>
    <n v="105473.54220000001"/>
    <n v="0"/>
    <n v="0"/>
    <n v="16450.280446000001"/>
    <n v="0"/>
    <n v="339900"/>
    <n v="65100"/>
    <n v="405000"/>
    <n v="4.759441282979824E-2"/>
    <n v="0.99970000000000003"/>
    <n v="0.99819999999999998"/>
    <n v="1.0007999999999999"/>
    <n v="1.0007999999999999"/>
    <n v="1.0138"/>
    <n v="0.94971499999999998"/>
    <n v="0.96262634495823995"/>
    <n v="334900"/>
    <n v="0"/>
    <n v="334900"/>
    <n v="61800"/>
    <n v="396700"/>
    <n v="3.0778701138811943E-2"/>
    <n v="1.6207455429497568E-3"/>
    <n v="2.6125193998965339E-2"/>
  </r>
  <r>
    <n v="2025"/>
    <s v="19120144497    "/>
    <n v="-1.7719568419318752"/>
    <n v="0.17"/>
    <n v="7201"/>
    <s v="2"/>
    <s v="RES"/>
    <s v="MX"/>
    <s v="11"/>
    <s v="259"/>
    <s v="CO"/>
    <x v="5"/>
    <s v="VG"/>
    <n v="20"/>
    <n v="20"/>
    <n v="20"/>
    <n v="2004"/>
    <n v="2004"/>
    <n v="1116"/>
    <n v="1116"/>
    <m/>
    <m/>
    <m/>
    <n v="0"/>
    <n v="2232"/>
    <n v="2500"/>
    <s v="N"/>
    <m/>
    <n v="440"/>
    <m/>
    <m/>
    <m/>
    <m/>
    <m/>
    <n v="439327"/>
    <n v="404181"/>
    <n v="0"/>
    <n v="0"/>
    <n v="61700"/>
    <n v="349100"/>
    <n v="410800"/>
    <n v="132535.48800000001"/>
    <n v="88356.992000000013"/>
    <n v="-23255.730391660189"/>
    <n v="32917.849192000001"/>
    <n v="50438.379078999998"/>
    <n v="-2174.8220000000001"/>
    <n v="69649.984080000009"/>
    <n v="66491.707427999994"/>
    <n v="0"/>
    <n v="15532.453640000002"/>
    <n v="0"/>
    <n v="365400"/>
    <n v="65100"/>
    <n v="430500"/>
    <n v="4.7955209347614408E-2"/>
    <n v="0.99970000000000003"/>
    <n v="1.0019"/>
    <n v="1.0007999999999999"/>
    <n v="1.0008999999999999"/>
    <n v="1.0138"/>
    <n v="0.94971499999999998"/>
    <n v="0.9662910273015537"/>
    <n v="360900"/>
    <n v="0"/>
    <n v="360900"/>
    <n v="61800"/>
    <n v="422700"/>
    <n v="3.3801203093669435E-2"/>
    <n v="1.6207455429497568E-3"/>
    <n v="2.8967867575462512E-2"/>
  </r>
  <r>
    <n v="2025"/>
    <s v="19120144542    "/>
    <n v="-1.7719568419318752"/>
    <n v="0.17"/>
    <n v="7215"/>
    <s v="2"/>
    <s v="RES"/>
    <s v="MX"/>
    <s v="11"/>
    <s v="259"/>
    <s v="CO"/>
    <x v="5"/>
    <s v="VG"/>
    <n v="20"/>
    <n v="20"/>
    <n v="20"/>
    <n v="2004"/>
    <n v="2004"/>
    <n v="1116"/>
    <n v="1116"/>
    <m/>
    <m/>
    <m/>
    <n v="0"/>
    <n v="2232"/>
    <n v="2500"/>
    <s v="N"/>
    <m/>
    <n v="440"/>
    <m/>
    <m/>
    <m/>
    <m/>
    <m/>
    <n v="439327"/>
    <n v="404181"/>
    <n v="0"/>
    <n v="0"/>
    <n v="61700"/>
    <n v="349100"/>
    <n v="410800"/>
    <n v="132535.48800000001"/>
    <n v="88356.992000000013"/>
    <n v="-23255.730391660189"/>
    <n v="32917.849192000001"/>
    <n v="50438.379078999998"/>
    <n v="-2174.8220000000001"/>
    <n v="69649.984080000009"/>
    <n v="66491.707427999994"/>
    <n v="0"/>
    <n v="15532.453640000002"/>
    <n v="0"/>
    <n v="365400"/>
    <n v="65100"/>
    <n v="430500"/>
    <n v="4.7955209347614408E-2"/>
    <n v="0.99970000000000003"/>
    <n v="1.0019"/>
    <n v="1.0007999999999999"/>
    <n v="1.0008999999999999"/>
    <n v="1.0138"/>
    <n v="0.94971499999999998"/>
    <n v="0.9662910273015537"/>
    <n v="360900"/>
    <n v="0"/>
    <n v="360900"/>
    <n v="61800"/>
    <n v="422700"/>
    <n v="3.3801203093669435E-2"/>
    <n v="1.6207455429497568E-3"/>
    <n v="2.8967867575462512E-2"/>
  </r>
  <r>
    <n v="2025"/>
    <s v="19120144568    "/>
    <n v="-1.7719568419318752"/>
    <n v="0.17"/>
    <n v="7534"/>
    <s v="2"/>
    <s v="RES"/>
    <s v="MX"/>
    <s v="11"/>
    <s v="259"/>
    <s v="CO"/>
    <x v="5"/>
    <s v="VG"/>
    <n v="20"/>
    <n v="20"/>
    <n v="20"/>
    <n v="2004"/>
    <n v="2004"/>
    <n v="1116"/>
    <n v="1116"/>
    <m/>
    <m/>
    <m/>
    <n v="0"/>
    <n v="2232"/>
    <n v="2500"/>
    <s v="N"/>
    <m/>
    <n v="440"/>
    <m/>
    <m/>
    <m/>
    <m/>
    <m/>
    <n v="439327"/>
    <n v="404181"/>
    <n v="0"/>
    <n v="0"/>
    <n v="61700"/>
    <n v="349100"/>
    <n v="410800"/>
    <n v="132535.48800000001"/>
    <n v="88356.992000000013"/>
    <n v="-23255.730391660189"/>
    <n v="32917.849192000001"/>
    <n v="50438.379078999998"/>
    <n v="-2174.8220000000001"/>
    <n v="69649.984080000009"/>
    <n v="66491.707427999994"/>
    <n v="0"/>
    <n v="15532.453640000002"/>
    <n v="0"/>
    <n v="365400"/>
    <n v="65100"/>
    <n v="430500"/>
    <n v="4.7955209347614408E-2"/>
    <n v="0.99970000000000003"/>
    <n v="1.0019"/>
    <n v="1.0007999999999999"/>
    <n v="1.0008999999999999"/>
    <n v="1.0138"/>
    <n v="0.94971499999999998"/>
    <n v="0.9662910273015537"/>
    <n v="360900"/>
    <n v="0"/>
    <n v="360900"/>
    <n v="61800"/>
    <n v="422700"/>
    <n v="3.3801203093669435E-2"/>
    <n v="1.6207455429497568E-3"/>
    <n v="2.8967867575462512E-2"/>
  </r>
  <r>
    <n v="2025"/>
    <s v="19120141557    "/>
    <n v="-1.7719568419318752"/>
    <n v="0.17"/>
    <n v="7366"/>
    <s v="2"/>
    <s v="RES"/>
    <s v="MX"/>
    <s v="11"/>
    <s v="259"/>
    <s v="RN"/>
    <x v="5"/>
    <s v="VG"/>
    <n v="10"/>
    <n v="19"/>
    <n v="19"/>
    <n v="2005"/>
    <n v="2005"/>
    <n v="1706"/>
    <m/>
    <m/>
    <m/>
    <m/>
    <n v="0"/>
    <n v="1706"/>
    <n v="2000"/>
    <s v="N"/>
    <m/>
    <n v="466"/>
    <m/>
    <m/>
    <m/>
    <m/>
    <m/>
    <n v="372217"/>
    <n v="338717"/>
    <n v="0"/>
    <n v="0"/>
    <n v="61700"/>
    <n v="317700"/>
    <n v="379400"/>
    <n v="132535.48800000001"/>
    <n v="88356.992000000013"/>
    <n v="-23255.730391660189"/>
    <n v="32917.849192000001"/>
    <n v="50438.379078999998"/>
    <n v="-2066.0808999999999"/>
    <n v="106472.10828"/>
    <n v="0"/>
    <n v="0"/>
    <n v="16450.280446000001"/>
    <n v="0"/>
    <n v="336700"/>
    <n v="65100"/>
    <n v="401800"/>
    <n v="5.9040590405904057E-2"/>
    <n v="0.99970000000000003"/>
    <n v="1.0019"/>
    <n v="1.0007999999999999"/>
    <n v="1.0007999999999999"/>
    <n v="0.99080000000000001"/>
    <n v="0.94971499999999998"/>
    <n v="0.94427450761887755"/>
    <n v="329400"/>
    <n v="0"/>
    <n v="329400"/>
    <n v="61800"/>
    <n v="391200"/>
    <n v="3.6827195467422094E-2"/>
    <n v="1.6207455429497568E-3"/>
    <n v="3.1101739588824461E-2"/>
  </r>
  <r>
    <n v="2025"/>
    <s v="20120634480    "/>
    <n v="-1.7719568419318752"/>
    <n v="0.17"/>
    <n v="7245"/>
    <s v="2"/>
    <s v="RES"/>
    <s v="MX"/>
    <s v="11"/>
    <s v="259"/>
    <s v="CP"/>
    <x v="5"/>
    <s v="VG"/>
    <n v="0"/>
    <n v="8"/>
    <n v="8"/>
    <n v="2016"/>
    <n v="2016"/>
    <n v="1849"/>
    <m/>
    <m/>
    <m/>
    <m/>
    <n v="0"/>
    <n v="1849"/>
    <n v="2000"/>
    <s v="N"/>
    <m/>
    <n v="431"/>
    <m/>
    <m/>
    <m/>
    <m/>
    <m/>
    <n v="387341"/>
    <n v="371847"/>
    <n v="0"/>
    <n v="0"/>
    <n v="61700"/>
    <n v="327500"/>
    <n v="389200"/>
    <n v="132535.48800000001"/>
    <n v="88356.992000000013"/>
    <n v="-23255.730391660189"/>
    <n v="32917.849192000001"/>
    <n v="50438.379078999998"/>
    <n v="-869.92880000000002"/>
    <n v="115396.79262000001"/>
    <n v="0"/>
    <n v="0"/>
    <n v="15214.744361000001"/>
    <n v="0"/>
    <n v="345600"/>
    <n v="65100"/>
    <n v="410700"/>
    <n v="5.5241521068859198E-2"/>
    <n v="0.99970000000000003"/>
    <n v="1.0019"/>
    <n v="1.0007999999999999"/>
    <n v="1.0007999999999999"/>
    <n v="1.0022"/>
    <n v="0.94971499999999998"/>
    <n v="0.95513919210298648"/>
    <n v="339700"/>
    <n v="0"/>
    <n v="339700"/>
    <n v="61800"/>
    <n v="401500"/>
    <n v="3.7251908396946566E-2"/>
    <n v="1.6207455429497568E-3"/>
    <n v="3.1603288797533401E-2"/>
  </r>
  <r>
    <n v="2025"/>
    <s v="20120634470    "/>
    <n v="-1.7719568419318752"/>
    <n v="0.17"/>
    <n v="7308"/>
    <s v="2"/>
    <s v="RES"/>
    <s v="MX"/>
    <s v="11"/>
    <s v="259"/>
    <s v="CP"/>
    <x v="5"/>
    <s v="VG"/>
    <n v="0"/>
    <n v="9"/>
    <n v="9"/>
    <n v="2015"/>
    <n v="2015"/>
    <n v="1770"/>
    <m/>
    <m/>
    <m/>
    <m/>
    <n v="0"/>
    <n v="1770"/>
    <n v="2000"/>
    <s v="N"/>
    <m/>
    <n v="420"/>
    <m/>
    <m/>
    <m/>
    <m/>
    <m/>
    <n v="373994"/>
    <n v="359034"/>
    <n v="0"/>
    <n v="0"/>
    <n v="61700"/>
    <n v="322200"/>
    <n v="383900"/>
    <n v="132535.48800000001"/>
    <n v="88356.992000000013"/>
    <n v="-23255.730391660189"/>
    <n v="32917.849192000001"/>
    <n v="50438.379078999998"/>
    <n v="-978.66989999999998"/>
    <n v="110466.3726"/>
    <n v="0"/>
    <n v="0"/>
    <n v="14826.43302"/>
    <n v="0"/>
    <n v="340200"/>
    <n v="65100"/>
    <n v="405300"/>
    <n v="5.5743683250846575E-2"/>
    <n v="0.99970000000000003"/>
    <n v="1.0019"/>
    <n v="1.0007999999999999"/>
    <n v="1.0007999999999999"/>
    <n v="1.0022"/>
    <n v="0.94971499999999998"/>
    <n v="0.95513919210298648"/>
    <n v="334300"/>
    <n v="0"/>
    <n v="334300"/>
    <n v="61800"/>
    <n v="396100"/>
    <n v="3.7554314090626942E-2"/>
    <n v="1.6207455429497568E-3"/>
    <n v="3.1779109143005989E-2"/>
  </r>
  <r>
    <n v="2025"/>
    <s v="19120131534    "/>
    <n v="-1.7719568419318752"/>
    <n v="0.17"/>
    <n v="7507"/>
    <s v="2"/>
    <s v="RES"/>
    <s v="MX"/>
    <s v="11"/>
    <s v="259"/>
    <s v="CP"/>
    <x v="0"/>
    <s v="VG"/>
    <n v="30"/>
    <n v="30"/>
    <n v="30"/>
    <n v="1994"/>
    <n v="1994"/>
    <n v="1322"/>
    <m/>
    <m/>
    <m/>
    <m/>
    <n v="0"/>
    <n v="1322"/>
    <n v="1500"/>
    <s v="N"/>
    <m/>
    <n v="506"/>
    <m/>
    <m/>
    <m/>
    <m/>
    <m/>
    <n v="240397"/>
    <n v="209145"/>
    <n v="0"/>
    <n v="0"/>
    <n v="61700"/>
    <n v="279900"/>
    <n v="341600"/>
    <n v="132535.48800000001"/>
    <n v="88356.992000000013"/>
    <n v="-23255.730391660189"/>
    <n v="24371.765965999999"/>
    <n v="50438.379078999998"/>
    <n v="-3262.2330000000002"/>
    <n v="82506.522360000003"/>
    <n v="0"/>
    <n v="0"/>
    <n v="17862.321685999999"/>
    <n v="0"/>
    <n v="304500"/>
    <n v="65100"/>
    <n v="369600"/>
    <n v="8.1967213114754092E-2"/>
    <n v="0.99970000000000003"/>
    <n v="0.99199999999999999"/>
    <n v="1.0007999999999999"/>
    <n v="0.99519999999999997"/>
    <n v="0.95920000000000005"/>
    <n v="0.94971499999999998"/>
    <n v="0.90006070926913928"/>
    <n v="291200"/>
    <n v="0"/>
    <n v="291200"/>
    <n v="61800"/>
    <n v="353000"/>
    <n v="4.0371561271882815E-2"/>
    <n v="1.6207455429497568E-3"/>
    <n v="3.3372365339578457E-2"/>
  </r>
  <r>
    <n v="2025"/>
    <s v="20120634475    "/>
    <n v="-1.7719568419318752"/>
    <n v="0.17"/>
    <n v="7360"/>
    <s v="2"/>
    <s v="RES"/>
    <s v="MX"/>
    <s v="11"/>
    <s v="259"/>
    <s v="CP"/>
    <x v="5"/>
    <s v="VG"/>
    <n v="0"/>
    <n v="9"/>
    <n v="9"/>
    <n v="2015"/>
    <n v="2015"/>
    <n v="1860"/>
    <m/>
    <m/>
    <m/>
    <m/>
    <n v="0"/>
    <n v="1860"/>
    <n v="2000"/>
    <s v="N"/>
    <m/>
    <n v="420"/>
    <m/>
    <m/>
    <m/>
    <m/>
    <m/>
    <n v="396650"/>
    <n v="380784"/>
    <n v="0"/>
    <n v="0"/>
    <n v="61700"/>
    <n v="326600"/>
    <n v="388300"/>
    <n v="132535.48800000001"/>
    <n v="88356.992000000013"/>
    <n v="-23255.730391660189"/>
    <n v="32917.849192000001"/>
    <n v="50438.379078999998"/>
    <n v="-978.66989999999998"/>
    <n v="116083.30680000001"/>
    <n v="0"/>
    <n v="0"/>
    <n v="14826.43302"/>
    <n v="0"/>
    <n v="345800"/>
    <n v="65100"/>
    <n v="410900"/>
    <n v="5.8202420808653101E-2"/>
    <n v="0.99970000000000003"/>
    <n v="1.0019"/>
    <n v="1.0007999999999999"/>
    <n v="1.0007999999999999"/>
    <n v="1.0022"/>
    <n v="0.94971499999999998"/>
    <n v="0.95513919210298648"/>
    <n v="339900"/>
    <n v="0"/>
    <n v="339900"/>
    <n v="61800"/>
    <n v="401700"/>
    <n v="4.0722596448254746E-2"/>
    <n v="1.6207455429497568E-3"/>
    <n v="3.4509399948493433E-2"/>
  </r>
  <r>
    <n v="2025"/>
    <s v="19120141552    "/>
    <n v="-1.7719568419318752"/>
    <n v="0.17"/>
    <n v="7395"/>
    <s v="2"/>
    <s v="RES"/>
    <s v="MX"/>
    <s v="11"/>
    <s v="259"/>
    <s v="CP"/>
    <x v="5"/>
    <s v="GD"/>
    <n v="10"/>
    <n v="19"/>
    <n v="19"/>
    <n v="2005"/>
    <n v="2005"/>
    <n v="2154"/>
    <m/>
    <m/>
    <m/>
    <m/>
    <n v="0"/>
    <n v="2154"/>
    <n v="2500"/>
    <s v="N"/>
    <m/>
    <n v="730"/>
    <m/>
    <m/>
    <m/>
    <m/>
    <m/>
    <n v="455555"/>
    <n v="414555"/>
    <n v="0"/>
    <n v="0"/>
    <n v="61700"/>
    <n v="332200"/>
    <n v="393900"/>
    <n v="132535.48800000001"/>
    <n v="88356.992000000013"/>
    <n v="-23255.730391660189"/>
    <n v="32917.849192000001"/>
    <n v="30300.329274"/>
    <n v="-2066.0808999999999"/>
    <n v="134431.95852000001"/>
    <n v="0"/>
    <n v="0"/>
    <n v="25769.752630000003"/>
    <n v="0"/>
    <n v="353900"/>
    <n v="65100"/>
    <n v="419000"/>
    <n v="6.3721756791063719E-2"/>
    <n v="0.99970000000000003"/>
    <n v="1.0019"/>
    <n v="0.997"/>
    <n v="1.0008999999999999"/>
    <n v="0.99080000000000001"/>
    <n v="0.94971499999999998"/>
    <n v="0.94078312650809337"/>
    <n v="346000"/>
    <n v="0"/>
    <n v="346000"/>
    <n v="61800"/>
    <n v="407800"/>
    <n v="4.1541240216736906E-2"/>
    <n v="1.6207455429497568E-3"/>
    <n v="3.5288144199035289E-2"/>
  </r>
  <r>
    <n v="2025"/>
    <s v="20120634479    "/>
    <n v="-1.7719568419318752"/>
    <n v="0.17"/>
    <n v="7360"/>
    <s v="2"/>
    <s v="RES"/>
    <s v="MX"/>
    <s v="11"/>
    <s v="259"/>
    <s v="CP"/>
    <x v="5"/>
    <s v="VG"/>
    <n v="0"/>
    <n v="8"/>
    <n v="8"/>
    <n v="2016"/>
    <n v="2016"/>
    <n v="2015"/>
    <m/>
    <m/>
    <m/>
    <m/>
    <n v="0"/>
    <n v="2015"/>
    <n v="2500"/>
    <s v="N"/>
    <m/>
    <n v="426"/>
    <m/>
    <m/>
    <m/>
    <m/>
    <m/>
    <n v="423787"/>
    <n v="406836"/>
    <n v="0"/>
    <n v="0"/>
    <n v="61700"/>
    <n v="335400"/>
    <n v="397100"/>
    <n v="132535.48800000001"/>
    <n v="88356.992000000013"/>
    <n v="-23255.730391660189"/>
    <n v="32917.849192000001"/>
    <n v="50438.379078999998"/>
    <n v="-869.92880000000002"/>
    <n v="125756.91570000001"/>
    <n v="0"/>
    <n v="0"/>
    <n v="15038.239206"/>
    <n v="0"/>
    <n v="355800"/>
    <n v="65100"/>
    <n v="420900"/>
    <n v="5.993452530848653E-2"/>
    <n v="0.99970000000000003"/>
    <n v="1.0019"/>
    <n v="1.0007999999999999"/>
    <n v="1.0008999999999999"/>
    <n v="1.0022"/>
    <n v="0.94971499999999998"/>
    <n v="0.95523462967214157"/>
    <n v="349900"/>
    <n v="0"/>
    <n v="349900"/>
    <n v="61800"/>
    <n v="411700"/>
    <n v="4.3231961836613E-2"/>
    <n v="1.6207455429497568E-3"/>
    <n v="3.6766557542180812E-2"/>
  </r>
  <r>
    <n v="2025"/>
    <s v="19120131416    "/>
    <n v="-1.7719568419318752"/>
    <n v="0.17"/>
    <n v="7345"/>
    <s v="2"/>
    <s v="RES"/>
    <s v="MX"/>
    <s v="11"/>
    <s v="259"/>
    <s v="CO"/>
    <x v="0"/>
    <s v="GD"/>
    <n v="20"/>
    <n v="22"/>
    <n v="22"/>
    <n v="2002"/>
    <n v="2002"/>
    <n v="936"/>
    <n v="494"/>
    <m/>
    <m/>
    <m/>
    <n v="0"/>
    <n v="1430"/>
    <n v="1500"/>
    <s v="N"/>
    <m/>
    <m/>
    <m/>
    <m/>
    <m/>
    <m/>
    <m/>
    <n v="207653"/>
    <n v="188964"/>
    <n v="0"/>
    <n v="0"/>
    <n v="61700"/>
    <n v="252000"/>
    <n v="313700"/>
    <n v="132535.48800000001"/>
    <n v="88356.992000000013"/>
    <n v="-23255.730391660189"/>
    <n v="24371.765965999999"/>
    <n v="30300.329274"/>
    <n v="-2392.3042"/>
    <n v="58416.115680000003"/>
    <n v="29432.709201999998"/>
    <n v="0"/>
    <n v="0"/>
    <n v="0"/>
    <n v="272700"/>
    <n v="65100"/>
    <n v="337800"/>
    <n v="7.6824992030602487E-2"/>
    <n v="0.99970000000000003"/>
    <n v="0.99199999999999999"/>
    <n v="0.997"/>
    <n v="0.99519999999999997"/>
    <n v="1.0138"/>
    <n v="0.94971499999999998"/>
    <n v="0.94768232788235862"/>
    <n v="265700"/>
    <n v="0"/>
    <n v="265700"/>
    <n v="61800"/>
    <n v="327500"/>
    <n v="5.4365079365079366E-2"/>
    <n v="1.6207455429497568E-3"/>
    <n v="4.3991074274784825E-2"/>
  </r>
  <r>
    <n v="2025"/>
    <s v="19120131533    "/>
    <n v="-1.7719568419318752"/>
    <n v="0.17"/>
    <n v="7412"/>
    <s v="2"/>
    <s v="RES"/>
    <s v="MX"/>
    <s v="11"/>
    <s v="259"/>
    <s v="RN"/>
    <x v="0"/>
    <s v="VG"/>
    <n v="20"/>
    <n v="29"/>
    <n v="29"/>
    <n v="1995"/>
    <n v="1995"/>
    <n v="1293"/>
    <m/>
    <m/>
    <m/>
    <m/>
    <n v="0"/>
    <n v="1293"/>
    <n v="1500"/>
    <s v="N"/>
    <m/>
    <n v="529"/>
    <m/>
    <m/>
    <m/>
    <m/>
    <m/>
    <n v="233357"/>
    <n v="203021"/>
    <n v="0"/>
    <n v="0"/>
    <n v="61700"/>
    <n v="280300"/>
    <n v="342000"/>
    <n v="132535.48800000001"/>
    <n v="88356.992000000013"/>
    <n v="-23255.730391660189"/>
    <n v="24371.765965999999"/>
    <n v="50438.379078999998"/>
    <n v="-3153.4919"/>
    <n v="80696.621339999998"/>
    <n v="0"/>
    <n v="0"/>
    <n v="18674.245398999999"/>
    <n v="0"/>
    <n v="303600"/>
    <n v="65100"/>
    <n v="368700"/>
    <n v="7.8070175438596498E-2"/>
    <n v="0.99970000000000003"/>
    <n v="0.99199999999999999"/>
    <n v="1.0007999999999999"/>
    <n v="0.99519999999999997"/>
    <n v="1.0138"/>
    <n v="0.94971499999999998"/>
    <n v="0.95129435681510977"/>
    <n v="297100"/>
    <n v="0"/>
    <n v="297100"/>
    <n v="61800"/>
    <n v="358900"/>
    <n v="5.9935783089546911E-2"/>
    <n v="1.6207455429497568E-3"/>
    <n v="4.9415204678362572E-2"/>
  </r>
  <r>
    <n v="2025"/>
    <s v="19120131412    "/>
    <n v="-1.7719568419318752"/>
    <n v="0.17"/>
    <n v="7431"/>
    <s v="2"/>
    <s v="RES"/>
    <s v="MX"/>
    <s v="11"/>
    <s v="259"/>
    <s v="RN"/>
    <x v="2"/>
    <s v="FR"/>
    <n v="80"/>
    <n v="84"/>
    <n v="52"/>
    <n v="1940"/>
    <n v="1972"/>
    <n v="1752"/>
    <m/>
    <m/>
    <m/>
    <m/>
    <n v="0"/>
    <n v="1752"/>
    <n v="2000"/>
    <s v="N"/>
    <m/>
    <m/>
    <m/>
    <m/>
    <m/>
    <m/>
    <m/>
    <n v="254517"/>
    <n v="167981"/>
    <n v="0"/>
    <n v="0"/>
    <n v="61700"/>
    <n v="213000"/>
    <n v="274700"/>
    <n v="132535.48800000001"/>
    <n v="88356.992000000013"/>
    <n v="-23255.730391660189"/>
    <n v="-1240.8083630000001"/>
    <n v="0"/>
    <n v="-5654.5371999999998"/>
    <n v="109342.98576000001"/>
    <n v="0"/>
    <n v="0"/>
    <n v="0"/>
    <n v="0"/>
    <n v="235000"/>
    <n v="65100"/>
    <n v="300100"/>
    <n v="9.2464506734619589E-2"/>
    <n v="0.99970000000000003"/>
    <n v="1.0022"/>
    <n v="1"/>
    <n v="1.0007999999999999"/>
    <n v="1"/>
    <n v="0.94971499999999998"/>
    <n v="0.95256581649839989"/>
    <n v="228700"/>
    <n v="0"/>
    <n v="228700"/>
    <n v="61800"/>
    <n v="290500"/>
    <n v="7.3708920187793431E-2"/>
    <n v="1.6207455429497568E-3"/>
    <n v="5.7517291590826358E-2"/>
  </r>
  <r>
    <n v="2025"/>
    <s v="19120144419    "/>
    <n v="-1.7719568419318752"/>
    <n v="0.17"/>
    <n v="7204"/>
    <s v="2"/>
    <s v="RES"/>
    <s v="MX"/>
    <s v="11"/>
    <s v="259"/>
    <s v="RN"/>
    <x v="5"/>
    <s v="VG"/>
    <n v="20"/>
    <n v="20"/>
    <n v="20"/>
    <n v="2004"/>
    <n v="2004"/>
    <n v="2154"/>
    <m/>
    <m/>
    <m/>
    <m/>
    <n v="0"/>
    <n v="2154"/>
    <n v="2500"/>
    <s v="N"/>
    <n v="1"/>
    <n v="730"/>
    <m/>
    <m/>
    <m/>
    <m/>
    <m/>
    <n v="457245"/>
    <n v="420665"/>
    <n v="0"/>
    <n v="0"/>
    <n v="61700"/>
    <n v="344500"/>
    <n v="406200"/>
    <n v="132535.48800000001"/>
    <n v="88356.992000000013"/>
    <n v="-23255.730391660189"/>
    <n v="32917.849192000001"/>
    <n v="50438.379078999998"/>
    <n v="-2174.8220000000001"/>
    <n v="134431.95852000001"/>
    <n v="0"/>
    <n v="0"/>
    <n v="25769.752630000003"/>
    <n v="0"/>
    <n v="373900"/>
    <n v="65100"/>
    <n v="439000"/>
    <n v="8.0748399803052678E-2"/>
    <n v="0.99970000000000003"/>
    <n v="1.0019"/>
    <n v="1.0007999999999999"/>
    <n v="1.0008999999999999"/>
    <n v="1.0138"/>
    <n v="0.94971499999999998"/>
    <n v="0.9662910273015537"/>
    <n v="369500"/>
    <n v="0"/>
    <n v="369500"/>
    <n v="61800"/>
    <n v="431300"/>
    <n v="7.2568940493468792E-2"/>
    <n v="1.6207455429497568E-3"/>
    <n v="6.1792220580994581E-2"/>
  </r>
  <r>
    <n v="2025"/>
    <s v="19120131525    "/>
    <n v="-1.7719568419318752"/>
    <n v="0.17"/>
    <n v="7413"/>
    <s v="2"/>
    <s v="RES"/>
    <s v="MX"/>
    <s v="11"/>
    <s v="259"/>
    <s v="RN"/>
    <x v="0"/>
    <s v="GD"/>
    <n v="20"/>
    <n v="25"/>
    <n v="25"/>
    <n v="1999"/>
    <n v="1999"/>
    <n v="1092"/>
    <m/>
    <m/>
    <m/>
    <m/>
    <n v="0"/>
    <n v="1092"/>
    <n v="1500"/>
    <s v="N"/>
    <m/>
    <m/>
    <m/>
    <m/>
    <m/>
    <m/>
    <m/>
    <n v="193337"/>
    <n v="174003"/>
    <n v="34051"/>
    <n v="0"/>
    <n v="61700"/>
    <n v="257400"/>
    <n v="319100"/>
    <n v="132535.48800000001"/>
    <n v="88356.992000000013"/>
    <n v="-23255.730391660189"/>
    <n v="24371.765965999999"/>
    <n v="30300.329274"/>
    <n v="-2718.5275000000001"/>
    <n v="68152.13496000001"/>
    <n v="0"/>
    <n v="0"/>
    <n v="0"/>
    <n v="34100"/>
    <n v="252600"/>
    <n v="65100"/>
    <n v="351800"/>
    <n v="0.1024757129426512"/>
    <n v="0.99970000000000003"/>
    <n v="0.99199999999999999"/>
    <n v="0.997"/>
    <n v="0.99519999999999997"/>
    <n v="1.0138"/>
    <n v="0.94971499999999998"/>
    <n v="0.94768232788235862"/>
    <n v="245700"/>
    <n v="32300"/>
    <n v="278000"/>
    <n v="61800"/>
    <n v="339800"/>
    <n v="8.0031080031080032E-2"/>
    <n v="1.6207455429497568E-3"/>
    <n v="6.4869946725164523E-2"/>
  </r>
  <r>
    <n v="2025"/>
    <s v="19120113461    "/>
    <n v="-1.7719568419318752"/>
    <n v="0.17"/>
    <n v="7534"/>
    <s v="2"/>
    <s v="RES"/>
    <s v="MX"/>
    <s v="11"/>
    <s v="259"/>
    <s v="RN"/>
    <x v="5"/>
    <s v="GD"/>
    <n v="10"/>
    <n v="17"/>
    <n v="17"/>
    <n v="2007"/>
    <n v="2007"/>
    <n v="1604"/>
    <m/>
    <m/>
    <m/>
    <m/>
    <n v="0"/>
    <n v="1604"/>
    <n v="2000"/>
    <s v="N"/>
    <n v="1"/>
    <n v="440"/>
    <m/>
    <m/>
    <m/>
    <m/>
    <n v="82"/>
    <n v="368342"/>
    <n v="342558"/>
    <n v="0"/>
    <n v="0"/>
    <n v="61700"/>
    <n v="258200"/>
    <n v="319900"/>
    <n v="132535.48800000001"/>
    <n v="88356.992000000013"/>
    <n v="-23255.730391660189"/>
    <n v="32917.849192000001"/>
    <n v="30300.329274"/>
    <n v="-1848.5987"/>
    <n v="100106.24952000001"/>
    <n v="0"/>
    <n v="0"/>
    <n v="15532.453640000002"/>
    <n v="0"/>
    <n v="309500"/>
    <n v="65100"/>
    <n v="374600"/>
    <n v="0.17099093466708346"/>
    <n v="0.99970000000000003"/>
    <n v="1.0019"/>
    <n v="0.997"/>
    <n v="1.0007999999999999"/>
    <n v="0.99080000000000001"/>
    <n v="0.94971499999999998"/>
    <n v="0.94068913278978916"/>
    <n v="301700"/>
    <n v="0"/>
    <n v="301700"/>
    <n v="61800"/>
    <n v="363500"/>
    <n v="0.16847405112316033"/>
    <n v="1.6207455429497568E-3"/>
    <n v="0.13629259143482339"/>
  </r>
  <r>
    <n v="2025"/>
    <s v="19120142433    "/>
    <n v="-1.7719568419318752"/>
    <n v="0.17"/>
    <n v="7500"/>
    <s v="2"/>
    <s v="RES"/>
    <s v="MX"/>
    <s v="11"/>
    <s v="259"/>
    <s v="TD"/>
    <x v="0"/>
    <s v="AV"/>
    <n v="90"/>
    <n v="94"/>
    <n v="54"/>
    <n v="1930"/>
    <n v="1970"/>
    <n v="660"/>
    <m/>
    <m/>
    <m/>
    <m/>
    <n v="0"/>
    <n v="660"/>
    <n v="1000"/>
    <s v="N"/>
    <m/>
    <m/>
    <m/>
    <m/>
    <m/>
    <m/>
    <m/>
    <n v="122214"/>
    <n v="80661"/>
    <n v="3473"/>
    <n v="0"/>
    <n v="61700"/>
    <n v="172500"/>
    <n v="234200"/>
    <n v="132535.48800000001"/>
    <n v="88356.992000000013"/>
    <n v="-23255.730391660189"/>
    <n v="24371.765965999999"/>
    <n v="17761.121909000001"/>
    <n v="-5872.0194000000001"/>
    <n v="41190.8508"/>
    <n v="0"/>
    <n v="0"/>
    <n v="0"/>
    <n v="3500"/>
    <n v="210000"/>
    <n v="65100"/>
    <n v="278600"/>
    <n v="0.18958155422715628"/>
    <n v="0.99970000000000003"/>
    <n v="0.99199999999999999"/>
    <n v="0.99680000000000002"/>
    <n v="1"/>
    <n v="0.99960000000000004"/>
    <n v="0.94971499999999998"/>
    <n v="0.93872686370211844"/>
    <n v="201900"/>
    <n v="3300"/>
    <n v="205200"/>
    <n v="61800"/>
    <n v="267000"/>
    <n v="0.18956521739130436"/>
    <n v="1.6207455429497568E-3"/>
    <n v="0.14005123825789922"/>
  </r>
  <r>
    <n v="2025"/>
    <s v="19120131415    "/>
    <n v="-1.7719568419318752"/>
    <n v="0.17"/>
    <n v="7195"/>
    <s v="2"/>
    <s v="RES"/>
    <s v="MX"/>
    <s v="11"/>
    <s v="259"/>
    <s v="BG"/>
    <x v="3"/>
    <s v="GD"/>
    <n v="80"/>
    <n v="84"/>
    <n v="52"/>
    <n v="1940"/>
    <n v="1972"/>
    <n v="773"/>
    <m/>
    <m/>
    <m/>
    <m/>
    <n v="0"/>
    <n v="773"/>
    <n v="1000"/>
    <s v="N"/>
    <m/>
    <m/>
    <m/>
    <m/>
    <m/>
    <m/>
    <m/>
    <n v="107992"/>
    <n v="75594"/>
    <n v="0"/>
    <n v="0"/>
    <n v="61700"/>
    <n v="156000"/>
    <n v="217700"/>
    <n v="132535.48800000001"/>
    <n v="88356.992000000013"/>
    <n v="-23255.730391660189"/>
    <n v="-9114.1675108666695"/>
    <n v="30300.329274"/>
    <n v="-5654.5371999999998"/>
    <n v="48243.223740000001"/>
    <n v="0"/>
    <n v="0"/>
    <n v="0"/>
    <n v="0"/>
    <n v="196300"/>
    <n v="65100"/>
    <n v="261400"/>
    <n v="0.200734956361966"/>
    <n v="0.99970000000000003"/>
    <n v="1"/>
    <n v="0.997"/>
    <n v="1"/>
    <n v="1"/>
    <n v="0.94971499999999998"/>
    <n v="0.94686585499999998"/>
    <n v="189300"/>
    <n v="0"/>
    <n v="189300"/>
    <n v="61800"/>
    <n v="251100"/>
    <n v="0.21346153846153845"/>
    <n v="1.6207455429497568E-3"/>
    <n v="0.15342214056040424"/>
  </r>
  <r>
    <n v="2025"/>
    <s v="19120131414    "/>
    <n v="-1.7719568419318752"/>
    <n v="0.17"/>
    <n v="7232"/>
    <s v="2"/>
    <s v="RES"/>
    <s v="MX"/>
    <s v="11"/>
    <s v="259"/>
    <s v="CA"/>
    <x v="7"/>
    <s v="PR"/>
    <n v="80"/>
    <n v="84"/>
    <n v="64"/>
    <n v="1940"/>
    <n v="1960"/>
    <n v="462"/>
    <m/>
    <m/>
    <m/>
    <m/>
    <n v="0"/>
    <n v="462"/>
    <n v="500"/>
    <s v="N"/>
    <m/>
    <m/>
    <m/>
    <m/>
    <m/>
    <m/>
    <m/>
    <n v="57274"/>
    <n v="29210"/>
    <n v="0"/>
    <n v="0"/>
    <n v="61700"/>
    <n v="82500"/>
    <n v="144200"/>
    <n v="132535.48800000001"/>
    <n v="88356.992000000013"/>
    <n v="-23255.730391660189"/>
    <n v="-18031.051255923801"/>
    <n v="-9051.7226098799892"/>
    <n v="-6959.4304000000002"/>
    <n v="28833.595560000002"/>
    <n v="0"/>
    <n v="0"/>
    <n v="0"/>
    <n v="0"/>
    <n v="127300"/>
    <n v="65100"/>
    <n v="192400"/>
    <n v="0.33425797503467408"/>
    <n v="0.99970000000000003"/>
    <n v="1"/>
    <n v="1"/>
    <n v="1"/>
    <n v="1"/>
    <n v="0.94971499999999998"/>
    <n v="0.94971499999999998"/>
    <n v="120700"/>
    <n v="0"/>
    <n v="120700"/>
    <n v="61800"/>
    <n v="182500"/>
    <n v="0.46303030303030301"/>
    <n v="1.6207455429497568E-3"/>
    <n v="0.26560332871012482"/>
  </r>
  <r>
    <n v="2025"/>
    <s v="20120634539    "/>
    <n v="-1.7660917224794772"/>
    <n v="0.17100000000000001"/>
    <n v="7434"/>
    <s v="2"/>
    <s v="RES"/>
    <s v="MX"/>
    <s v="11"/>
    <s v="259"/>
    <s v="CP"/>
    <x v="5"/>
    <s v="VG"/>
    <n v="0"/>
    <n v="5"/>
    <n v="5"/>
    <n v="2019"/>
    <n v="2019"/>
    <n v="1188"/>
    <n v="1364"/>
    <m/>
    <m/>
    <m/>
    <n v="0"/>
    <n v="2552"/>
    <n v="3000"/>
    <s v="N"/>
    <m/>
    <n v="288"/>
    <n v="484"/>
    <m/>
    <m/>
    <m/>
    <m/>
    <n v="524482"/>
    <n v="503503"/>
    <n v="0"/>
    <n v="0"/>
    <n v="61700"/>
    <n v="397500"/>
    <n v="459200"/>
    <n v="132535.48800000001"/>
    <n v="88356.992000000013"/>
    <n v="-23178.754681263574"/>
    <n v="32917.849192000001"/>
    <n v="50438.379078999998"/>
    <n v="-543.70550000000003"/>
    <n v="74143.531440000006"/>
    <n v="81267.642412000001"/>
    <n v="0"/>
    <n v="10166.696928000001"/>
    <n v="0"/>
    <n v="380900"/>
    <n v="65200"/>
    <n v="446100"/>
    <n v="-2.8527874564459932E-2"/>
    <n v="0.99970000000000003"/>
    <n v="1.0019"/>
    <n v="1.0007999999999999"/>
    <n v="1.0099"/>
    <n v="1.0022"/>
    <n v="0.94971499999999998"/>
    <n v="0.96382401089608938"/>
    <n v="376100"/>
    <n v="0"/>
    <n v="376100"/>
    <n v="61900"/>
    <n v="438000"/>
    <n v="-5.3836477987421381E-2"/>
    <n v="3.2414910858995136E-3"/>
    <n v="-4.6167247386759584E-2"/>
  </r>
  <r>
    <n v="2025"/>
    <s v="19133514428    "/>
    <n v="-1.7544636844843582"/>
    <n v="0.17299999999999999"/>
    <n v="7520"/>
    <s v="2"/>
    <s v="RES"/>
    <s v="MX"/>
    <s v="11"/>
    <s v="259"/>
    <s v="CO"/>
    <x v="5"/>
    <s v="EX"/>
    <n v="0"/>
    <n v="3"/>
    <n v="3"/>
    <n v="2021"/>
    <n v="2021"/>
    <n v="1257"/>
    <n v="1451"/>
    <m/>
    <m/>
    <m/>
    <n v="0"/>
    <n v="2708"/>
    <n v="3000"/>
    <s v="S"/>
    <m/>
    <m/>
    <n v="678"/>
    <m/>
    <m/>
    <m/>
    <m/>
    <n v="528373"/>
    <n v="512522"/>
    <n v="0"/>
    <n v="0"/>
    <n v="61700"/>
    <n v="404800"/>
    <n v="466500"/>
    <n v="132535.48800000001"/>
    <n v="88356.992000000013"/>
    <n v="-23026.144578015435"/>
    <n v="32917.849192000001"/>
    <n v="47371.278778200001"/>
    <n v="-326.22329999999999"/>
    <n v="78449.847659999999"/>
    <n v="86451.135733000003"/>
    <n v="0"/>
    <n v="0"/>
    <n v="0"/>
    <n v="377400"/>
    <n v="65300"/>
    <n v="442700"/>
    <n v="-5.1018220793140411E-2"/>
    <n v="0.99970000000000003"/>
    <n v="1.0019"/>
    <n v="1.0012000000000001"/>
    <n v="1.0099"/>
    <n v="1.0022"/>
    <n v="0.94971499999999998"/>
    <n v="0.96420923232330613"/>
    <n v="372700"/>
    <n v="0"/>
    <n v="372700"/>
    <n v="62000"/>
    <n v="434700"/>
    <n v="-7.9298418972332016E-2"/>
    <n v="4.8622366288492711E-3"/>
    <n v="-6.8167202572347263E-2"/>
  </r>
  <r>
    <n v="2025"/>
    <s v="19120114459    "/>
    <n v="-1.7544636844843582"/>
    <n v="0.17299999999999999"/>
    <n v="7552"/>
    <s v="2"/>
    <s v="RES"/>
    <s v="MX"/>
    <s v="11"/>
    <s v="259"/>
    <s v="CO"/>
    <x v="4"/>
    <s v="EX"/>
    <n v="0"/>
    <n v="3"/>
    <n v="3"/>
    <n v="2021"/>
    <n v="2021"/>
    <n v="1592"/>
    <m/>
    <m/>
    <m/>
    <m/>
    <n v="0"/>
    <n v="1592"/>
    <n v="2000"/>
    <s v="N"/>
    <n v="1"/>
    <n v="480"/>
    <m/>
    <m/>
    <m/>
    <m/>
    <m/>
    <n v="321336"/>
    <n v="311696"/>
    <n v="0"/>
    <n v="0"/>
    <n v="61700"/>
    <n v="334900"/>
    <n v="396600"/>
    <n v="132535.48800000001"/>
    <n v="88356.992000000013"/>
    <n v="-23026.144578015435"/>
    <n v="37154.252388000001"/>
    <n v="47371.278778200001"/>
    <n v="-326.22329999999999"/>
    <n v="99357.324960000013"/>
    <n v="0"/>
    <n v="0"/>
    <n v="16944.494880000002"/>
    <n v="0"/>
    <n v="333000"/>
    <n v="65300"/>
    <n v="398300"/>
    <n v="4.2864346949067073E-3"/>
    <n v="0.99970000000000003"/>
    <n v="0.99819999999999998"/>
    <n v="1.0012000000000001"/>
    <n v="1.0007999999999999"/>
    <n v="1.0022"/>
    <n v="0.94971499999999998"/>
    <n v="0.95199221946633727"/>
    <n v="326700"/>
    <n v="0"/>
    <n v="326700"/>
    <n v="62000"/>
    <n v="388700"/>
    <n v="-2.4484920871902061E-2"/>
    <n v="4.8622366288492711E-3"/>
    <n v="-1.9919314170448815E-2"/>
  </r>
  <r>
    <n v="2025"/>
    <s v="19133541452    "/>
    <n v="-1.7544636844843582"/>
    <n v="0.17299999999999999"/>
    <n v="7544"/>
    <s v="2"/>
    <s v="RES"/>
    <s v="MX"/>
    <s v="11"/>
    <s v="259"/>
    <s v="CO"/>
    <x v="5"/>
    <s v="EX"/>
    <n v="0"/>
    <n v="3"/>
    <n v="3"/>
    <n v="2021"/>
    <n v="2021"/>
    <n v="2010"/>
    <m/>
    <m/>
    <m/>
    <m/>
    <n v="0"/>
    <n v="2010"/>
    <n v="2500"/>
    <s v="N"/>
    <n v="1"/>
    <n v="424"/>
    <m/>
    <m/>
    <m/>
    <m/>
    <m/>
    <n v="432426"/>
    <n v="419453"/>
    <n v="0"/>
    <n v="0"/>
    <n v="61700"/>
    <n v="346600"/>
    <n v="408300"/>
    <n v="132535.48800000001"/>
    <n v="88356.992000000013"/>
    <n v="-23026.144578015435"/>
    <n v="32917.849192000001"/>
    <n v="47371.278778200001"/>
    <n v="-326.22329999999999"/>
    <n v="125444.86380000001"/>
    <n v="0"/>
    <n v="0"/>
    <n v="14967.637144"/>
    <n v="0"/>
    <n v="352900"/>
    <n v="65300"/>
    <n v="418200"/>
    <n v="2.4246877296105803E-2"/>
    <n v="0.99970000000000003"/>
    <n v="1.0019"/>
    <n v="1.0012000000000001"/>
    <n v="1.0008999999999999"/>
    <n v="1.0022"/>
    <n v="0.94971499999999998"/>
    <n v="0.95561641809327347"/>
    <n v="347000"/>
    <n v="0"/>
    <n v="347000"/>
    <n v="62000"/>
    <n v="409000"/>
    <n v="1.1540680900173109E-3"/>
    <n v="4.8622366288492711E-3"/>
    <n v="1.7144256674014205E-3"/>
  </r>
  <r>
    <n v="2025"/>
    <s v="19133541465    "/>
    <n v="-1.742969305058623"/>
    <n v="0.17499999999999999"/>
    <n v="7643"/>
    <s v="2"/>
    <s v="RES"/>
    <s v="MX"/>
    <s v="11"/>
    <s v="259"/>
    <s v="CO"/>
    <x v="5"/>
    <s v="EX"/>
    <n v="0"/>
    <n v="3"/>
    <n v="3"/>
    <n v="2021"/>
    <n v="2021"/>
    <n v="1650"/>
    <n v="1346"/>
    <m/>
    <m/>
    <m/>
    <n v="0"/>
    <n v="2996"/>
    <n v="3000"/>
    <s v="N"/>
    <n v="1"/>
    <n v="660"/>
    <m/>
    <m/>
    <m/>
    <m/>
    <m/>
    <n v="597249"/>
    <n v="579332"/>
    <n v="0"/>
    <n v="0"/>
    <n v="62500"/>
    <n v="419500"/>
    <n v="482000"/>
    <n v="132535.48800000001"/>
    <n v="88356.992000000013"/>
    <n v="-22875.288652736293"/>
    <n v="32917.849192000001"/>
    <n v="47371.278778200001"/>
    <n v="-326.22329999999999"/>
    <n v="102977.12700000001"/>
    <n v="80195.195517999993"/>
    <n v="0"/>
    <n v="23298.68046"/>
    <n v="0"/>
    <n v="419000"/>
    <n v="65500"/>
    <n v="484500"/>
    <n v="5.1867219917012446E-3"/>
    <n v="0.99970000000000003"/>
    <n v="1.0019"/>
    <n v="1.0012000000000001"/>
    <n v="1.0099"/>
    <n v="1.0022"/>
    <n v="0.94971499999999998"/>
    <n v="0.96420923232330613"/>
    <n v="414200"/>
    <n v="0"/>
    <n v="414200"/>
    <n v="62200"/>
    <n v="476400"/>
    <n v="-1.263408820023838E-2"/>
    <n v="-4.7999999999999996E-3"/>
    <n v="-1.1618257261410789E-2"/>
  </r>
  <r>
    <n v="2025"/>
    <s v="20120632435    "/>
    <n v="-1.742969305058623"/>
    <n v="0.17499999999999999"/>
    <n v="7603"/>
    <s v="2"/>
    <s v="RES"/>
    <s v="MX"/>
    <s v="11"/>
    <s v="259"/>
    <s v="CP"/>
    <x v="5"/>
    <s v="VG"/>
    <n v="0"/>
    <n v="6"/>
    <n v="6"/>
    <n v="2018"/>
    <n v="2018"/>
    <n v="1674"/>
    <m/>
    <m/>
    <m/>
    <m/>
    <n v="0"/>
    <n v="1674"/>
    <n v="2000"/>
    <s v="N"/>
    <m/>
    <n v="441"/>
    <m/>
    <m/>
    <m/>
    <m/>
    <m/>
    <n v="379958"/>
    <n v="364760"/>
    <n v="0"/>
    <n v="0"/>
    <n v="61700"/>
    <n v="328800"/>
    <n v="390500"/>
    <n v="132535.48800000001"/>
    <n v="88356.992000000013"/>
    <n v="-22875.288652736293"/>
    <n v="32917.849192000001"/>
    <n v="50438.379078999998"/>
    <n v="-652.44659999999999"/>
    <n v="104474.97612000001"/>
    <n v="0"/>
    <n v="0"/>
    <n v="15567.754671000001"/>
    <n v="0"/>
    <n v="335300"/>
    <n v="65500"/>
    <n v="400800"/>
    <n v="2.6376440460947503E-2"/>
    <n v="0.99970000000000003"/>
    <n v="1.0019"/>
    <n v="1.0007999999999999"/>
    <n v="1.0007999999999999"/>
    <n v="1.0022"/>
    <n v="0.94971499999999998"/>
    <n v="0.95513919210298648"/>
    <n v="329300"/>
    <n v="0"/>
    <n v="329300"/>
    <n v="62200"/>
    <n v="391500"/>
    <n v="1.5206812652068127E-3"/>
    <n v="8.1037277147487843E-3"/>
    <n v="2.5608194622279128E-3"/>
  </r>
  <r>
    <n v="2025"/>
    <s v="19133541461    "/>
    <n v="-1.7372712839439852"/>
    <n v="0.17599999999999999"/>
    <n v="7677"/>
    <s v="2"/>
    <s v="RES"/>
    <s v="MX"/>
    <s v="11"/>
    <s v="259"/>
    <s v="CO"/>
    <x v="4"/>
    <s v="EX"/>
    <n v="0"/>
    <n v="3"/>
    <n v="3"/>
    <n v="2021"/>
    <n v="2021"/>
    <n v="1403"/>
    <m/>
    <m/>
    <m/>
    <m/>
    <n v="0"/>
    <n v="1403"/>
    <n v="1500"/>
    <s v="S"/>
    <n v="1"/>
    <n v="400"/>
    <m/>
    <m/>
    <m/>
    <m/>
    <m/>
    <n v="286672"/>
    <n v="278072"/>
    <n v="0"/>
    <n v="0"/>
    <n v="62500"/>
    <n v="310500"/>
    <n v="373000"/>
    <n v="132535.48800000001"/>
    <n v="88356.992000000013"/>
    <n v="-22800.505994563009"/>
    <n v="37154.252388000001"/>
    <n v="47371.278778200001"/>
    <n v="-326.22329999999999"/>
    <n v="87561.76314000001"/>
    <n v="0"/>
    <n v="0"/>
    <n v="14120.412400000001"/>
    <n v="0"/>
    <n v="318400"/>
    <n v="65600"/>
    <n v="384000"/>
    <n v="2.9490616621983913E-2"/>
    <n v="0.99970000000000003"/>
    <n v="0.99819999999999998"/>
    <n v="1.0012000000000001"/>
    <n v="0.99519999999999997"/>
    <n v="1.0022"/>
    <n v="0.94971499999999998"/>
    <n v="0.94666532455325636"/>
    <n v="311300"/>
    <n v="0"/>
    <n v="311300"/>
    <n v="62300"/>
    <n v="373600"/>
    <n v="2.5764895330112722E-3"/>
    <n v="-3.2000000000000002E-3"/>
    <n v="1.6085790884718498E-3"/>
  </r>
  <r>
    <n v="2025"/>
    <s v="19133541460    "/>
    <n v="-1.7372712839439852"/>
    <n v="0.17599999999999999"/>
    <n v="7680"/>
    <s v="2"/>
    <s v="RES"/>
    <s v="MX"/>
    <s v="11"/>
    <s v="259"/>
    <s v="CO"/>
    <x v="4"/>
    <s v="EX"/>
    <n v="0"/>
    <n v="3"/>
    <n v="3"/>
    <n v="2021"/>
    <n v="2021"/>
    <n v="1403"/>
    <m/>
    <m/>
    <m/>
    <m/>
    <n v="0"/>
    <n v="1403"/>
    <n v="1500"/>
    <s v="S"/>
    <n v="1"/>
    <n v="400"/>
    <m/>
    <m/>
    <m/>
    <m/>
    <m/>
    <n v="286672"/>
    <n v="278072"/>
    <n v="0"/>
    <n v="0"/>
    <n v="62500"/>
    <n v="310500"/>
    <n v="373000"/>
    <n v="132535.48800000001"/>
    <n v="88356.992000000013"/>
    <n v="-22800.505994563009"/>
    <n v="37154.252388000001"/>
    <n v="47371.278778200001"/>
    <n v="-326.22329999999999"/>
    <n v="87561.76314000001"/>
    <n v="0"/>
    <n v="0"/>
    <n v="14120.412400000001"/>
    <n v="0"/>
    <n v="318400"/>
    <n v="65600"/>
    <n v="384000"/>
    <n v="2.9490616621983913E-2"/>
    <n v="0.99970000000000003"/>
    <n v="0.99819999999999998"/>
    <n v="1.0012000000000001"/>
    <n v="0.99519999999999997"/>
    <n v="1.0022"/>
    <n v="0.94971499999999998"/>
    <n v="0.94666532455325636"/>
    <n v="311300"/>
    <n v="0"/>
    <n v="311300"/>
    <n v="62300"/>
    <n v="373600"/>
    <n v="2.5764895330112722E-3"/>
    <n v="-3.2000000000000002E-3"/>
    <n v="1.6085790884718498E-3"/>
  </r>
  <r>
    <n v="2025"/>
    <s v="19133541463    "/>
    <n v="-1.7372712839439852"/>
    <n v="0.17599999999999999"/>
    <n v="7671"/>
    <s v="2"/>
    <s v="RES"/>
    <s v="MX"/>
    <s v="11"/>
    <s v="259"/>
    <s v="CO"/>
    <x v="5"/>
    <s v="EX"/>
    <n v="0"/>
    <n v="3"/>
    <n v="3"/>
    <n v="2021"/>
    <n v="2021"/>
    <n v="1073"/>
    <n v="1331"/>
    <m/>
    <m/>
    <m/>
    <n v="0"/>
    <n v="2404"/>
    <n v="2500"/>
    <s v="N"/>
    <n v="1"/>
    <n v="264"/>
    <n v="707"/>
    <m/>
    <m/>
    <m/>
    <m/>
    <n v="505256"/>
    <n v="490098"/>
    <n v="0"/>
    <n v="0"/>
    <n v="62500"/>
    <n v="390300"/>
    <n v="452800"/>
    <n v="132535.48800000001"/>
    <n v="88356.992000000013"/>
    <n v="-22800.505994563009"/>
    <n v="32917.849192000001"/>
    <n v="47371.278778200001"/>
    <n v="-326.22329999999999"/>
    <n v="66966.337740000003"/>
    <n v="79301.489772999994"/>
    <n v="0"/>
    <n v="9319.4721840000002"/>
    <n v="0"/>
    <n v="368100"/>
    <n v="65600"/>
    <n v="433700"/>
    <n v="-4.2181978798586574E-2"/>
    <n v="0.99970000000000003"/>
    <n v="1.0019"/>
    <n v="1.0012000000000001"/>
    <n v="1.0008999999999999"/>
    <n v="1.0022"/>
    <n v="0.94971499999999998"/>
    <n v="0.95561641809327347"/>
    <n v="362200"/>
    <n v="0"/>
    <n v="362200"/>
    <n v="62300"/>
    <n v="424500"/>
    <n v="-7.1995900589290285E-2"/>
    <n v="-3.2000000000000002E-3"/>
    <n v="-6.25E-2"/>
  </r>
  <r>
    <n v="2025"/>
    <s v="19133541466    "/>
    <n v="-1.7372712839439852"/>
    <n v="0.17599999999999999"/>
    <n v="7684"/>
    <s v="2"/>
    <s v="RES"/>
    <s v="MX"/>
    <s v="11"/>
    <s v="259"/>
    <s v="CO"/>
    <x v="5"/>
    <s v="EX"/>
    <n v="0"/>
    <n v="3"/>
    <n v="3"/>
    <n v="2021"/>
    <n v="2021"/>
    <n v="1111"/>
    <n v="1126"/>
    <m/>
    <m/>
    <m/>
    <n v="0"/>
    <n v="2237"/>
    <n v="2500"/>
    <s v="N"/>
    <m/>
    <n v="455"/>
    <m/>
    <m/>
    <m/>
    <m/>
    <m/>
    <n v="451707"/>
    <n v="438156"/>
    <n v="0"/>
    <n v="0"/>
    <n v="62500"/>
    <n v="372200"/>
    <n v="434700"/>
    <n v="132535.48800000001"/>
    <n v="88356.992000000013"/>
    <n v="-22800.505994563009"/>
    <n v="32917.849192000001"/>
    <n v="47371.278778200001"/>
    <n v="-326.22329999999999"/>
    <n v="69337.932180000003"/>
    <n v="67087.511257999999"/>
    <n v="0"/>
    <n v="16061.969105"/>
    <n v="0"/>
    <n v="365000"/>
    <n v="65600"/>
    <n v="430600"/>
    <n v="-9.4317920404876927E-3"/>
    <n v="0.99970000000000003"/>
    <n v="1.0019"/>
    <n v="1.0012000000000001"/>
    <n v="1.0008999999999999"/>
    <n v="1.0022"/>
    <n v="0.94971499999999998"/>
    <n v="0.95561641809327347"/>
    <n v="359100"/>
    <n v="0"/>
    <n v="359100"/>
    <n v="62300"/>
    <n v="421400"/>
    <n v="-3.5196131112305212E-2"/>
    <n v="-3.2000000000000002E-3"/>
    <n v="-3.0595813204508857E-2"/>
  </r>
  <r>
    <n v="2025"/>
    <s v="19133541462    "/>
    <n v="-1.7372712839439852"/>
    <n v="0.17599999999999999"/>
    <n v="7674"/>
    <s v="2"/>
    <s v="RES"/>
    <s v="MX"/>
    <s v="11"/>
    <s v="259"/>
    <s v="CO"/>
    <x v="4"/>
    <s v="EX"/>
    <n v="0"/>
    <n v="3"/>
    <n v="3"/>
    <n v="2021"/>
    <n v="2021"/>
    <n v="1550"/>
    <m/>
    <m/>
    <m/>
    <m/>
    <n v="0"/>
    <n v="1550"/>
    <n v="2000"/>
    <s v="N"/>
    <m/>
    <n v="420"/>
    <m/>
    <m/>
    <m/>
    <m/>
    <m/>
    <n v="304866"/>
    <n v="295720"/>
    <n v="0"/>
    <n v="0"/>
    <n v="62500"/>
    <n v="317800"/>
    <n v="380300"/>
    <n v="132535.48800000001"/>
    <n v="88356.992000000013"/>
    <n v="-22800.505994563009"/>
    <n v="37154.252388000001"/>
    <n v="47371.278778200001"/>
    <n v="-326.22329999999999"/>
    <n v="96736.089000000007"/>
    <n v="0"/>
    <n v="0"/>
    <n v="14826.43302"/>
    <n v="0"/>
    <n v="328300"/>
    <n v="65600"/>
    <n v="393900"/>
    <n v="3.5761241125427293E-2"/>
    <n v="0.99970000000000003"/>
    <n v="0.99819999999999998"/>
    <n v="1.0012000000000001"/>
    <n v="1.0007999999999999"/>
    <n v="1.0022"/>
    <n v="0.94971499999999998"/>
    <n v="0.95199221946633727"/>
    <n v="321900"/>
    <n v="0"/>
    <n v="321900"/>
    <n v="62300"/>
    <n v="384200"/>
    <n v="1.2901195720578981E-2"/>
    <n v="-3.2000000000000002E-3"/>
    <n v="1.0255061793321063E-2"/>
  </r>
  <r>
    <n v="2025"/>
    <s v="19133541464    "/>
    <n v="-1.7372712839439852"/>
    <n v="0.17599999999999999"/>
    <n v="7668"/>
    <s v="2"/>
    <s v="RES"/>
    <s v="MX"/>
    <s v="11"/>
    <s v="259"/>
    <s v="CO"/>
    <x v="5"/>
    <s v="EX"/>
    <n v="0"/>
    <n v="3"/>
    <n v="3"/>
    <n v="2021"/>
    <n v="2021"/>
    <n v="2010"/>
    <m/>
    <m/>
    <m/>
    <m/>
    <n v="0"/>
    <n v="2010"/>
    <n v="2500"/>
    <s v="N"/>
    <m/>
    <n v="424"/>
    <m/>
    <m/>
    <m/>
    <m/>
    <m/>
    <n v="422416"/>
    <n v="409744"/>
    <n v="0"/>
    <n v="0"/>
    <n v="62500"/>
    <n v="337400"/>
    <n v="399900"/>
    <n v="132535.48800000001"/>
    <n v="88356.992000000013"/>
    <n v="-22800.505994563009"/>
    <n v="32917.849192000001"/>
    <n v="47371.278778200001"/>
    <n v="-326.22329999999999"/>
    <n v="125444.86380000001"/>
    <n v="0"/>
    <n v="0"/>
    <n v="14967.637144"/>
    <n v="0"/>
    <n v="352900"/>
    <n v="65600"/>
    <n v="418500"/>
    <n v="4.6511627906976744E-2"/>
    <n v="0.99970000000000003"/>
    <n v="1.0019"/>
    <n v="1.0012000000000001"/>
    <n v="1.0008999999999999"/>
    <n v="1.0022"/>
    <n v="0.94971499999999998"/>
    <n v="0.95561641809327347"/>
    <n v="347000"/>
    <n v="0"/>
    <n v="347000"/>
    <n v="62300"/>
    <n v="409300"/>
    <n v="2.8452874925903971E-2"/>
    <n v="-3.2000000000000002E-3"/>
    <n v="2.3505876469117278E-2"/>
  </r>
  <r>
    <n v="2025"/>
    <s v="19120114429    "/>
    <n v="-1.731605546408308"/>
    <n v="0.17699999999999999"/>
    <n v="7718"/>
    <s v="2"/>
    <s v="RES"/>
    <s v="MX"/>
    <s v="11"/>
    <s v="259"/>
    <s v="CO"/>
    <x v="5"/>
    <s v="EX"/>
    <n v="0"/>
    <n v="3"/>
    <n v="3"/>
    <n v="2021"/>
    <n v="2021"/>
    <n v="1316"/>
    <n v="1686"/>
    <m/>
    <m/>
    <m/>
    <n v="0"/>
    <n v="3002"/>
    <n v="3500"/>
    <s v="N"/>
    <m/>
    <m/>
    <n v="540"/>
    <m/>
    <m/>
    <m/>
    <m/>
    <n v="558714"/>
    <n v="541953"/>
    <n v="0"/>
    <n v="0"/>
    <n v="62500"/>
    <n v="403900"/>
    <n v="466400"/>
    <n v="132535.48800000001"/>
    <n v="88356.992000000013"/>
    <n v="-22726.147036443032"/>
    <n v="32917.849192000001"/>
    <n v="47371.278778200001"/>
    <n v="-326.22329999999999"/>
    <n v="82132.06008000001"/>
    <n v="100452.525738"/>
    <n v="0"/>
    <n v="0"/>
    <n v="0"/>
    <n v="395100"/>
    <n v="65600"/>
    <n v="460700"/>
    <n v="-1.2221269296740995E-2"/>
    <n v="0.99970000000000003"/>
    <n v="1.0019"/>
    <n v="1.0012000000000001"/>
    <n v="0.98509999999999998"/>
    <n v="1.0022"/>
    <n v="0.94971499999999998"/>
    <n v="0.94053125533388338"/>
    <n v="387200"/>
    <n v="0"/>
    <n v="387200"/>
    <n v="62300"/>
    <n v="449500"/>
    <n v="-4.1346868036642732E-2"/>
    <n v="-3.2000000000000002E-3"/>
    <n v="-3.6234991423670669E-2"/>
  </r>
  <r>
    <n v="2025"/>
    <s v="20120634492    "/>
    <n v="-1.725971728690052"/>
    <n v="0.17799999999999999"/>
    <n v="7773"/>
    <s v="2"/>
    <s v="RES"/>
    <s v="MX"/>
    <s v="11"/>
    <s v="259"/>
    <s v="CP"/>
    <x v="5"/>
    <s v="EX"/>
    <n v="0"/>
    <n v="4"/>
    <n v="4"/>
    <n v="2020"/>
    <n v="2020"/>
    <n v="2025"/>
    <m/>
    <m/>
    <m/>
    <m/>
    <n v="0"/>
    <n v="2025"/>
    <n v="2500"/>
    <s v="S"/>
    <n v="1"/>
    <n v="640"/>
    <m/>
    <m/>
    <m/>
    <m/>
    <m/>
    <n v="434726"/>
    <n v="421684"/>
    <n v="0"/>
    <n v="0"/>
    <n v="62500"/>
    <n v="346700"/>
    <n v="409200"/>
    <n v="132535.48800000001"/>
    <n v="88356.992000000013"/>
    <n v="-22652.207004253152"/>
    <n v="32917.849192000001"/>
    <n v="47371.278778200001"/>
    <n v="-434.96440000000001"/>
    <n v="126381.01950000001"/>
    <n v="0"/>
    <n v="0"/>
    <n v="22592.65984"/>
    <n v="0"/>
    <n v="361400"/>
    <n v="65700"/>
    <n v="427100"/>
    <n v="4.3743890518084069E-2"/>
    <n v="0.99970000000000003"/>
    <n v="1.0019"/>
    <n v="1.0012000000000001"/>
    <n v="1.0008999999999999"/>
    <n v="1.0022"/>
    <n v="0.94971499999999998"/>
    <n v="0.95561641809327347"/>
    <n v="355500"/>
    <n v="0"/>
    <n v="355500"/>
    <n v="62400"/>
    <n v="417900"/>
    <n v="2.5382174790885493E-2"/>
    <n v="-1.6000000000000001E-3"/>
    <n v="2.1260997067448679E-2"/>
  </r>
  <r>
    <n v="2025"/>
    <s v="19133514427    "/>
    <n v="-1.725971728690052"/>
    <n v="0.17799999999999999"/>
    <n v="7762"/>
    <s v="2"/>
    <s v="RES"/>
    <s v="MX"/>
    <s v="11"/>
    <s v="259"/>
    <s v="CO"/>
    <x v="5"/>
    <s v="EX"/>
    <n v="0"/>
    <n v="3"/>
    <n v="3"/>
    <n v="2021"/>
    <n v="2021"/>
    <n v="1650"/>
    <n v="1346"/>
    <m/>
    <m/>
    <m/>
    <n v="0"/>
    <n v="2996"/>
    <n v="3000"/>
    <s v="N"/>
    <m/>
    <n v="660"/>
    <m/>
    <m/>
    <m/>
    <m/>
    <m/>
    <n v="587078"/>
    <n v="569466"/>
    <n v="0"/>
    <n v="0"/>
    <n v="62500"/>
    <n v="408700"/>
    <n v="471200"/>
    <n v="132535.48800000001"/>
    <n v="88356.992000000013"/>
    <n v="-22652.207004253152"/>
    <n v="32917.849192000001"/>
    <n v="47371.278778200001"/>
    <n v="-326.22329999999999"/>
    <n v="102977.12700000001"/>
    <n v="80195.195517999993"/>
    <n v="0"/>
    <n v="23298.68046"/>
    <n v="0"/>
    <n v="419000"/>
    <n v="65700"/>
    <n v="484700"/>
    <n v="2.865025466893039E-2"/>
    <n v="0.99970000000000003"/>
    <n v="1.0019"/>
    <n v="1.0012000000000001"/>
    <n v="1.0099"/>
    <n v="1.0022"/>
    <n v="0.94971499999999998"/>
    <n v="0.96420923232330613"/>
    <n v="414200"/>
    <n v="0"/>
    <n v="414200"/>
    <n v="62400"/>
    <n v="476600"/>
    <n v="1.3457303645705897E-2"/>
    <n v="-1.6000000000000001E-3"/>
    <n v="1.1460101867572157E-2"/>
  </r>
  <r>
    <n v="2025"/>
    <s v="20120632408    "/>
    <n v="-1.7203694731413821"/>
    <n v="0.17899999999999999"/>
    <n v="7809"/>
    <s v="2"/>
    <s v="RES"/>
    <s v="MX"/>
    <s v="11"/>
    <s v="259"/>
    <s v="CP"/>
    <x v="4"/>
    <s v="VG"/>
    <n v="0"/>
    <n v="5"/>
    <n v="5"/>
    <n v="2019"/>
    <n v="2019"/>
    <n v="1529"/>
    <m/>
    <m/>
    <m/>
    <m/>
    <n v="0"/>
    <n v="1529"/>
    <n v="2000"/>
    <s v="N"/>
    <m/>
    <n v="441"/>
    <m/>
    <m/>
    <m/>
    <m/>
    <m/>
    <n v="305415"/>
    <n v="293198"/>
    <n v="0"/>
    <n v="0"/>
    <n v="62500"/>
    <n v="330000"/>
    <n v="392500"/>
    <n v="132535.48800000001"/>
    <n v="88356.992000000013"/>
    <n v="-22578.681204108376"/>
    <n v="37154.252388000001"/>
    <n v="50438.379078999998"/>
    <n v="-543.70550000000003"/>
    <n v="95425.471020000012"/>
    <n v="0"/>
    <n v="0"/>
    <n v="15567.754671000001"/>
    <n v="0"/>
    <n v="330600"/>
    <n v="65800"/>
    <n v="396400"/>
    <n v="9.9363057324840763E-3"/>
    <n v="0.99970000000000003"/>
    <n v="0.99819999999999998"/>
    <n v="1.0007999999999999"/>
    <n v="1.0007999999999999"/>
    <n v="1.0022"/>
    <n v="0.94971499999999998"/>
    <n v="0.95161187898712574"/>
    <n v="324200"/>
    <n v="0"/>
    <n v="324200"/>
    <n v="62500"/>
    <n v="386700"/>
    <n v="-1.7575757575757574E-2"/>
    <n v="0"/>
    <n v="-1.4777070063694267E-2"/>
  </r>
  <r>
    <n v="2025"/>
    <s v="20120633526    "/>
    <n v="-1.7147984280919266"/>
    <n v="0.18"/>
    <n v="7738"/>
    <s v="2"/>
    <s v="RES"/>
    <s v="MX"/>
    <s v="11"/>
    <s v="259"/>
    <s v="CP"/>
    <x v="5"/>
    <s v="VG"/>
    <n v="10"/>
    <n v="12"/>
    <n v="12"/>
    <n v="2012"/>
    <n v="2012"/>
    <n v="1188"/>
    <n v="1364"/>
    <m/>
    <m/>
    <m/>
    <n v="0"/>
    <n v="2552"/>
    <n v="3000"/>
    <s v="S"/>
    <m/>
    <n v="288"/>
    <n v="484"/>
    <m/>
    <m/>
    <m/>
    <m/>
    <n v="526186"/>
    <n v="499877"/>
    <n v="0"/>
    <n v="0"/>
    <n v="62500"/>
    <n v="404700"/>
    <n v="467200"/>
    <n v="132535.48800000001"/>
    <n v="88356.992000000013"/>
    <n v="-22505.565020573864"/>
    <n v="32917.849192000001"/>
    <n v="50438.379078999998"/>
    <n v="-1304.8932"/>
    <n v="74143.531440000006"/>
    <n v="81267.642412000001"/>
    <n v="0"/>
    <n v="10166.696928000001"/>
    <n v="0"/>
    <n v="380200"/>
    <n v="65900"/>
    <n v="446100"/>
    <n v="-4.5162671232876712E-2"/>
    <n v="0.99970000000000003"/>
    <n v="1.0019"/>
    <n v="1.0007999999999999"/>
    <n v="1.0099"/>
    <n v="0.99080000000000001"/>
    <n v="0.94971499999999998"/>
    <n v="0.95286053681485272"/>
    <n v="373900"/>
    <n v="0"/>
    <n v="373900"/>
    <n v="62500"/>
    <n v="436400"/>
    <n v="-7.6105757351124292E-2"/>
    <n v="0"/>
    <n v="-6.5924657534246575E-2"/>
  </r>
  <r>
    <n v="2025"/>
    <s v="20120634424    "/>
    <n v="-1.7147984280919266"/>
    <n v="0.18"/>
    <n v="7676"/>
    <s v="2"/>
    <s v="RES"/>
    <s v="MX"/>
    <s v="11"/>
    <s v="259"/>
    <s v="CP"/>
    <x v="5"/>
    <s v="VG"/>
    <n v="10"/>
    <n v="10"/>
    <n v="10"/>
    <n v="2014"/>
    <n v="2014"/>
    <n v="1593"/>
    <n v="1252"/>
    <m/>
    <m/>
    <m/>
    <n v="0"/>
    <n v="2845"/>
    <n v="3000"/>
    <s v="S"/>
    <n v="1"/>
    <m/>
    <n v="706"/>
    <m/>
    <m/>
    <m/>
    <m/>
    <n v="564875"/>
    <n v="536631"/>
    <n v="0"/>
    <n v="0"/>
    <n v="62500"/>
    <n v="409500"/>
    <n v="472000"/>
    <n v="132535.48800000001"/>
    <n v="88356.992000000013"/>
    <n v="-22505.565020573864"/>
    <n v="32917.849192000001"/>
    <n v="50438.379078999998"/>
    <n v="-1087.4110000000001"/>
    <n v="99419.735339999999"/>
    <n v="74594.639515999996"/>
    <n v="0"/>
    <n v="0"/>
    <n v="0"/>
    <n v="388800"/>
    <n v="65900"/>
    <n v="454700"/>
    <n v="-3.6652542372881354E-2"/>
    <n v="0.99970000000000003"/>
    <n v="1.0019"/>
    <n v="1.0007999999999999"/>
    <n v="1.0099"/>
    <n v="0.99080000000000001"/>
    <n v="0.94971499999999998"/>
    <n v="0.95286053681485272"/>
    <n v="382600"/>
    <n v="0"/>
    <n v="382600"/>
    <n v="62500"/>
    <n v="445100"/>
    <n v="-6.5689865689865692E-2"/>
    <n v="0"/>
    <n v="-5.699152542372881E-2"/>
  </r>
  <r>
    <n v="2025"/>
    <s v="19120144563    "/>
    <n v="-1.7147984280919266"/>
    <n v="0.18"/>
    <n v="7686"/>
    <s v="2"/>
    <s v="RES"/>
    <s v="MX"/>
    <s v="11"/>
    <s v="259"/>
    <s v="RN"/>
    <x v="5"/>
    <s v="AV"/>
    <n v="20"/>
    <n v="20"/>
    <n v="20"/>
    <n v="2004"/>
    <n v="2004"/>
    <n v="1706"/>
    <m/>
    <m/>
    <m/>
    <m/>
    <n v="0"/>
    <n v="1706"/>
    <n v="2000"/>
    <s v="S"/>
    <n v="1"/>
    <n v="466"/>
    <m/>
    <m/>
    <m/>
    <m/>
    <m/>
    <n v="377587"/>
    <n v="343604"/>
    <n v="0"/>
    <n v="0"/>
    <n v="62500"/>
    <n v="320100"/>
    <n v="382600"/>
    <n v="132535.48800000001"/>
    <n v="88356.992000000013"/>
    <n v="-22505.565020573864"/>
    <n v="32917.849192000001"/>
    <n v="17761.121909000001"/>
    <n v="-2174.8220000000001"/>
    <n v="106472.10828"/>
    <n v="0"/>
    <n v="0"/>
    <n v="16450.280446000001"/>
    <n v="0"/>
    <n v="304000"/>
    <n v="65900"/>
    <n v="369900"/>
    <n v="-3.3193936225823312E-2"/>
    <n v="0.99970000000000003"/>
    <n v="1.0019"/>
    <n v="0.99680000000000002"/>
    <n v="1.0007999999999999"/>
    <n v="1.0138"/>
    <n v="0.94971499999999998"/>
    <n v="0.96233279649734105"/>
    <n v="299000"/>
    <n v="0"/>
    <n v="299000"/>
    <n v="62500"/>
    <n v="361500"/>
    <n v="-6.5916900968447364E-2"/>
    <n v="0"/>
    <n v="-5.5148980658651335E-2"/>
  </r>
  <r>
    <n v="2025"/>
    <s v="20120633510    "/>
    <n v="-1.7147984280919266"/>
    <n v="0.18"/>
    <n v="7750"/>
    <s v="2"/>
    <s v="RES"/>
    <s v="MX"/>
    <s v="11"/>
    <s v="259"/>
    <s v="CO"/>
    <x v="5"/>
    <s v="GD"/>
    <n v="10"/>
    <n v="14"/>
    <n v="14"/>
    <n v="2010"/>
    <n v="2010"/>
    <n v="1173"/>
    <n v="1322"/>
    <m/>
    <m/>
    <m/>
    <n v="0"/>
    <n v="2495"/>
    <n v="2500"/>
    <s v="S"/>
    <n v="1"/>
    <n v="288"/>
    <n v="488"/>
    <m/>
    <m/>
    <m/>
    <m/>
    <n v="515780"/>
    <n v="479675"/>
    <n v="0"/>
    <n v="0"/>
    <n v="62500"/>
    <n v="368400"/>
    <n v="430900"/>
    <n v="132535.48800000001"/>
    <n v="88356.992000000013"/>
    <n v="-22505.565020573864"/>
    <n v="32917.849192000001"/>
    <n v="30300.329274"/>
    <n v="-1522.3754000000001"/>
    <n v="73207.375740000003"/>
    <n v="78765.266325999997"/>
    <n v="0"/>
    <n v="10166.696928000001"/>
    <n v="0"/>
    <n v="356400"/>
    <n v="65900"/>
    <n v="422300"/>
    <n v="-1.9958226966813646E-2"/>
    <n v="0.99970000000000003"/>
    <n v="1.0019"/>
    <n v="0.997"/>
    <n v="1.0008999999999999"/>
    <n v="0.99080000000000001"/>
    <n v="0.94971499999999998"/>
    <n v="0.94078312650809337"/>
    <n v="348500"/>
    <n v="0"/>
    <n v="348500"/>
    <n v="62500"/>
    <n v="411000"/>
    <n v="-5.4017372421281219E-2"/>
    <n v="0"/>
    <n v="-4.6182408911580416E-2"/>
  </r>
  <r>
    <n v="2025"/>
    <s v="20120633511    "/>
    <n v="-1.7147984280919266"/>
    <n v="0.18"/>
    <n v="7764"/>
    <s v="2"/>
    <s v="RES"/>
    <s v="MX"/>
    <s v="11"/>
    <s v="259"/>
    <s v="CP"/>
    <x v="5"/>
    <s v="GD"/>
    <n v="10"/>
    <n v="14"/>
    <n v="14"/>
    <n v="2010"/>
    <n v="2010"/>
    <n v="1389"/>
    <n v="1322"/>
    <m/>
    <m/>
    <m/>
    <n v="0"/>
    <n v="2711"/>
    <n v="3000"/>
    <s v="S"/>
    <m/>
    <n v="240"/>
    <n v="488"/>
    <m/>
    <m/>
    <m/>
    <m/>
    <n v="537334"/>
    <n v="499721"/>
    <n v="0"/>
    <n v="0"/>
    <n v="62500"/>
    <n v="376900"/>
    <n v="439400"/>
    <n v="132535.48800000001"/>
    <n v="88356.992000000013"/>
    <n v="-22505.565020573864"/>
    <n v="32917.849192000001"/>
    <n v="30300.329274"/>
    <n v="-1522.3754000000001"/>
    <n v="86688.017820000008"/>
    <n v="78765.266325999997"/>
    <n v="0"/>
    <n v="8472.247440000001"/>
    <n v="0"/>
    <n v="368200"/>
    <n v="65900"/>
    <n v="434100"/>
    <n v="-1.2061902594446974E-2"/>
    <n v="0.99970000000000003"/>
    <n v="1.0019"/>
    <n v="0.997"/>
    <n v="1.0099"/>
    <n v="0.99080000000000001"/>
    <n v="0.94971499999999998"/>
    <n v="0.94924256115548389"/>
    <n v="361400"/>
    <n v="0"/>
    <n v="361400"/>
    <n v="62500"/>
    <n v="423900"/>
    <n v="-4.1124966834704166E-2"/>
    <n v="0"/>
    <n v="-3.5275375512061904E-2"/>
  </r>
  <r>
    <n v="2025"/>
    <s v="20120633436    "/>
    <n v="-1.7147984280919266"/>
    <n v="0.18"/>
    <n v="7630"/>
    <s v="2"/>
    <s v="RES"/>
    <s v="MX"/>
    <s v="11"/>
    <s v="259"/>
    <s v="CO"/>
    <x v="4"/>
    <s v="GD"/>
    <n v="10"/>
    <n v="15"/>
    <n v="15"/>
    <n v="2009"/>
    <n v="2009"/>
    <n v="1540"/>
    <m/>
    <m/>
    <m/>
    <m/>
    <n v="0"/>
    <n v="1540"/>
    <n v="2000"/>
    <s v="S"/>
    <m/>
    <n v="420"/>
    <m/>
    <m/>
    <m/>
    <m/>
    <n v="100"/>
    <n v="308073"/>
    <n v="286508"/>
    <n v="0"/>
    <n v="0"/>
    <n v="62500"/>
    <n v="312800"/>
    <n v="375300"/>
    <n v="132535.48800000001"/>
    <n v="88356.992000000013"/>
    <n v="-22505.565020573864"/>
    <n v="37154.252388000001"/>
    <n v="30300.329274"/>
    <n v="-1631.1165000000001"/>
    <n v="96111.98520000001"/>
    <n v="0"/>
    <n v="0"/>
    <n v="14826.43302"/>
    <n v="0"/>
    <n v="309300"/>
    <n v="65900"/>
    <n v="375200"/>
    <n v="-2.664535038635758E-4"/>
    <n v="0.99970000000000003"/>
    <n v="0.99819999999999998"/>
    <n v="0.997"/>
    <n v="1.0007999999999999"/>
    <n v="0.99080000000000001"/>
    <n v="0.94971499999999998"/>
    <n v="0.93721518350211364"/>
    <n v="301000"/>
    <n v="0"/>
    <n v="301000"/>
    <n v="62500"/>
    <n v="363500"/>
    <n v="-3.7723785166240406E-2"/>
    <n v="0"/>
    <n v="-3.1441513455901945E-2"/>
  </r>
  <r>
    <n v="2025"/>
    <s v="20120633494    "/>
    <n v="-1.7147984280919266"/>
    <n v="0.18"/>
    <n v="7867"/>
    <s v="2"/>
    <s v="RES"/>
    <s v="MX"/>
    <s v="11"/>
    <s v="259"/>
    <s v="RN"/>
    <x v="5"/>
    <s v="VG"/>
    <n v="10"/>
    <n v="12"/>
    <n v="12"/>
    <n v="2012"/>
    <n v="2012"/>
    <n v="2120"/>
    <m/>
    <m/>
    <m/>
    <m/>
    <n v="0"/>
    <n v="2120"/>
    <n v="2500"/>
    <s v="S"/>
    <n v="1"/>
    <n v="724"/>
    <m/>
    <m/>
    <m/>
    <m/>
    <m/>
    <n v="469419"/>
    <n v="445948"/>
    <n v="0"/>
    <n v="0"/>
    <n v="62500"/>
    <n v="371800"/>
    <n v="434300"/>
    <n v="132535.48800000001"/>
    <n v="88356.992000000013"/>
    <n v="-22505.565020573864"/>
    <n v="32917.849192000001"/>
    <n v="50438.379078999998"/>
    <n v="-1304.8932"/>
    <n v="132310.0056"/>
    <n v="0"/>
    <n v="0"/>
    <n v="25557.946444000001"/>
    <n v="0"/>
    <n v="372500"/>
    <n v="65900"/>
    <n v="438400"/>
    <n v="9.4404789316140918E-3"/>
    <n v="0.99970000000000003"/>
    <n v="1.0019"/>
    <n v="1.0007999999999999"/>
    <n v="1.0008999999999999"/>
    <n v="0.99080000000000001"/>
    <n v="0.94971499999999998"/>
    <n v="0.94436885958806405"/>
    <n v="365100"/>
    <n v="0"/>
    <n v="365100"/>
    <n v="62500"/>
    <n v="427600"/>
    <n v="-1.8020441097364174E-2"/>
    <n v="0"/>
    <n v="-1.5427124107759612E-2"/>
  </r>
  <r>
    <n v="2025"/>
    <s v="20120633519    "/>
    <n v="-1.7147984280919266"/>
    <n v="0.18"/>
    <n v="7738"/>
    <s v="2"/>
    <s v="RES"/>
    <s v="MX"/>
    <s v="11"/>
    <s v="259"/>
    <s v="RN"/>
    <x v="5"/>
    <s v="VG"/>
    <n v="10"/>
    <n v="12"/>
    <n v="12"/>
    <n v="2012"/>
    <n v="2012"/>
    <n v="2138"/>
    <m/>
    <m/>
    <m/>
    <m/>
    <n v="0"/>
    <n v="2138"/>
    <n v="2500"/>
    <s v="S"/>
    <m/>
    <n v="706"/>
    <m/>
    <m/>
    <m/>
    <m/>
    <m/>
    <n v="467318"/>
    <n v="443952"/>
    <n v="0"/>
    <n v="0"/>
    <n v="62500"/>
    <n v="371900"/>
    <n v="434400"/>
    <n v="132535.48800000001"/>
    <n v="88356.992000000013"/>
    <n v="-22505.565020573864"/>
    <n v="32917.849192000001"/>
    <n v="50438.379078999998"/>
    <n v="-1304.8932"/>
    <n v="133433.39244"/>
    <n v="0"/>
    <n v="0"/>
    <n v="24922.527886"/>
    <n v="0"/>
    <n v="372900"/>
    <n v="65900"/>
    <n v="438800"/>
    <n v="1.0128913443830571E-2"/>
    <n v="0.99970000000000003"/>
    <n v="1.0019"/>
    <n v="1.0007999999999999"/>
    <n v="1.0008999999999999"/>
    <n v="0.99080000000000001"/>
    <n v="0.94971499999999998"/>
    <n v="0.94436885958806405"/>
    <n v="365600"/>
    <n v="0"/>
    <n v="365600"/>
    <n v="62500"/>
    <n v="428100"/>
    <n v="-1.6940037644528099E-2"/>
    <n v="0"/>
    <n v="-1.4502762430939226E-2"/>
  </r>
  <r>
    <n v="2025"/>
    <s v="20120634487    "/>
    <n v="-1.7147984280919266"/>
    <n v="0.18"/>
    <n v="7670"/>
    <s v="2"/>
    <s v="RES"/>
    <s v="MX"/>
    <s v="11"/>
    <s v="259"/>
    <s v="CP"/>
    <x v="5"/>
    <s v="VG"/>
    <n v="0"/>
    <n v="9"/>
    <n v="9"/>
    <n v="2015"/>
    <n v="2015"/>
    <n v="2188"/>
    <m/>
    <m/>
    <m/>
    <m/>
    <n v="0"/>
    <n v="2188"/>
    <n v="2500"/>
    <s v="S"/>
    <m/>
    <n v="792"/>
    <m/>
    <m/>
    <m/>
    <m/>
    <m/>
    <n v="481340"/>
    <n v="462086"/>
    <n v="0"/>
    <n v="0"/>
    <n v="62500"/>
    <n v="379700"/>
    <n v="442200"/>
    <n v="132535.48800000001"/>
    <n v="88356.992000000013"/>
    <n v="-22505.565020573864"/>
    <n v="32917.849192000001"/>
    <n v="50438.379078999998"/>
    <n v="-978.66989999999998"/>
    <n v="136553.91144"/>
    <n v="0"/>
    <n v="0"/>
    <n v="27958.416552000002"/>
    <n v="0"/>
    <n v="379400"/>
    <n v="65900"/>
    <n v="445300"/>
    <n v="7.0104025327905927E-3"/>
    <n v="0.99970000000000003"/>
    <n v="1.0019"/>
    <n v="1.0007999999999999"/>
    <n v="1.0008999999999999"/>
    <n v="1.0022"/>
    <n v="0.94971499999999998"/>
    <n v="0.95523462967214157"/>
    <n v="373500"/>
    <n v="0"/>
    <n v="373500"/>
    <n v="62500"/>
    <n v="436000"/>
    <n v="-1.6328680537266264E-2"/>
    <n v="0"/>
    <n v="-1.4020805065581185E-2"/>
  </r>
  <r>
    <n v="2025"/>
    <s v="20120634456    "/>
    <n v="-1.7147984280919266"/>
    <n v="0.18"/>
    <n v="7654"/>
    <s v="2"/>
    <s v="RES"/>
    <s v="MX"/>
    <s v="11"/>
    <s v="259"/>
    <s v="CP"/>
    <x v="5"/>
    <s v="VG"/>
    <n v="0"/>
    <n v="9"/>
    <n v="9"/>
    <n v="2015"/>
    <n v="2015"/>
    <n v="1728"/>
    <m/>
    <m/>
    <m/>
    <m/>
    <n v="0"/>
    <n v="1728"/>
    <n v="2000"/>
    <s v="S"/>
    <n v="1"/>
    <n v="462"/>
    <m/>
    <m/>
    <m/>
    <m/>
    <m/>
    <n v="378160"/>
    <n v="363034"/>
    <n v="0"/>
    <n v="0"/>
    <n v="62500"/>
    <n v="333500"/>
    <n v="396000"/>
    <n v="132535.48800000001"/>
    <n v="88356.992000000013"/>
    <n v="-22505.565020573864"/>
    <n v="32917.849192000001"/>
    <n v="50438.379078999998"/>
    <n v="-978.66989999999998"/>
    <n v="107845.13664000001"/>
    <n v="0"/>
    <n v="0"/>
    <n v="16309.076322000001"/>
    <n v="0"/>
    <n v="339100"/>
    <n v="65900"/>
    <n v="405000"/>
    <n v="2.2727272727272728E-2"/>
    <n v="0.99970000000000003"/>
    <n v="1.0019"/>
    <n v="1.0007999999999999"/>
    <n v="1.0007999999999999"/>
    <n v="1.0022"/>
    <n v="0.94971499999999998"/>
    <n v="0.95513919210298648"/>
    <n v="333100"/>
    <n v="0"/>
    <n v="333100"/>
    <n v="62500"/>
    <n v="395600"/>
    <n v="-1.1994002998500749E-3"/>
    <n v="0"/>
    <n v="-1.0101010101010101E-3"/>
  </r>
  <r>
    <n v="2025"/>
    <s v="20120633435    "/>
    <n v="-1.7147984280919266"/>
    <n v="0.18"/>
    <n v="7809"/>
    <s v="2"/>
    <s v="RES"/>
    <s v="MX"/>
    <s v="11"/>
    <s v="259"/>
    <s v="CO"/>
    <x v="5"/>
    <s v="GD"/>
    <n v="10"/>
    <n v="15"/>
    <n v="15"/>
    <n v="2009"/>
    <n v="2009"/>
    <n v="1726"/>
    <m/>
    <m/>
    <m/>
    <m/>
    <n v="0"/>
    <n v="1726"/>
    <n v="2000"/>
    <s v="S"/>
    <n v="1"/>
    <n v="442"/>
    <m/>
    <m/>
    <m/>
    <m/>
    <m/>
    <n v="384558"/>
    <n v="357639"/>
    <n v="0"/>
    <n v="0"/>
    <n v="62500"/>
    <n v="309300"/>
    <n v="371800"/>
    <n v="132535.48800000001"/>
    <n v="88356.992000000013"/>
    <n v="-22505.565020573864"/>
    <n v="32917.849192000001"/>
    <n v="30300.329274"/>
    <n v="-1631.1165000000001"/>
    <n v="107720.31588000001"/>
    <n v="0"/>
    <n v="0"/>
    <n v="15603.055702000001"/>
    <n v="0"/>
    <n v="317400"/>
    <n v="65900"/>
    <n v="383300"/>
    <n v="3.0930607853684778E-2"/>
    <n v="0.99970000000000003"/>
    <n v="1.0019"/>
    <n v="0.997"/>
    <n v="1.0007999999999999"/>
    <n v="0.99080000000000001"/>
    <n v="0.94971499999999998"/>
    <n v="0.94068913278978916"/>
    <n v="309600"/>
    <n v="0"/>
    <n v="309600"/>
    <n v="62500"/>
    <n v="372100"/>
    <n v="9.6993210475266732E-4"/>
    <n v="0"/>
    <n v="8.0688542227003765E-4"/>
  </r>
  <r>
    <n v="2025"/>
    <s v="19120112466    "/>
    <n v="-1.7147984280919266"/>
    <n v="0.18"/>
    <n v="7772"/>
    <s v="2"/>
    <s v="RES"/>
    <s v="MX"/>
    <s v="11"/>
    <s v="259"/>
    <s v="CO"/>
    <x v="5"/>
    <s v="AV"/>
    <n v="10"/>
    <n v="17"/>
    <n v="17"/>
    <n v="2007"/>
    <n v="2007"/>
    <n v="1116"/>
    <n v="1116"/>
    <m/>
    <m/>
    <m/>
    <n v="0"/>
    <n v="2232"/>
    <n v="2500"/>
    <s v="S"/>
    <n v="1"/>
    <n v="440"/>
    <m/>
    <m/>
    <m/>
    <m/>
    <m/>
    <n v="444722"/>
    <n v="409144"/>
    <n v="0"/>
    <n v="0"/>
    <n v="62500"/>
    <n v="324700"/>
    <n v="387200"/>
    <n v="132535.48800000001"/>
    <n v="88356.992000000013"/>
    <n v="-22505.565020573864"/>
    <n v="32917.849192000001"/>
    <n v="17761.121909000001"/>
    <n v="-1848.5987"/>
    <n v="69649.984080000009"/>
    <n v="66491.707427999994"/>
    <n v="0"/>
    <n v="15532.453640000002"/>
    <n v="0"/>
    <n v="333000"/>
    <n v="65900"/>
    <n v="398900"/>
    <n v="3.0216942148760331E-2"/>
    <n v="0.99970000000000003"/>
    <n v="1.0019"/>
    <n v="0.99680000000000002"/>
    <n v="1.0008999999999999"/>
    <n v="0.99080000000000001"/>
    <n v="0.94971499999999998"/>
    <n v="0.94059440371441083"/>
    <n v="325200"/>
    <n v="0"/>
    <n v="325200"/>
    <n v="62500"/>
    <n v="387700"/>
    <n v="1.5398829688943641E-3"/>
    <n v="0"/>
    <n v="1.2913223140495868E-3"/>
  </r>
  <r>
    <n v="2025"/>
    <s v="20120633496    "/>
    <n v="-1.7147984280919266"/>
    <n v="0.18"/>
    <n v="7870"/>
    <s v="2"/>
    <s v="RES"/>
    <s v="MX"/>
    <s v="11"/>
    <s v="259"/>
    <s v="CP"/>
    <x v="5"/>
    <s v="GD"/>
    <n v="10"/>
    <n v="13"/>
    <n v="13"/>
    <n v="2011"/>
    <n v="2011"/>
    <n v="1730"/>
    <m/>
    <m/>
    <m/>
    <m/>
    <n v="0"/>
    <n v="1730"/>
    <n v="2000"/>
    <s v="S"/>
    <n v="1"/>
    <n v="400"/>
    <m/>
    <m/>
    <m/>
    <m/>
    <m/>
    <n v="384236"/>
    <n v="361182"/>
    <n v="0"/>
    <n v="0"/>
    <n v="62500"/>
    <n v="307900"/>
    <n v="370400"/>
    <n v="132535.48800000001"/>
    <n v="88356.992000000013"/>
    <n v="-22505.565020573864"/>
    <n v="32917.849192000001"/>
    <n v="30300.329274"/>
    <n v="-1413.6342999999999"/>
    <n v="107969.9574"/>
    <n v="0"/>
    <n v="0"/>
    <n v="14120.412400000001"/>
    <n v="0"/>
    <n v="316400"/>
    <n v="65900"/>
    <n v="382300"/>
    <n v="3.2127429805615552E-2"/>
    <n v="0.99970000000000003"/>
    <n v="1.0019"/>
    <n v="0.997"/>
    <n v="1.0007999999999999"/>
    <n v="0.99080000000000001"/>
    <n v="0.94971499999999998"/>
    <n v="0.94068913278978916"/>
    <n v="308600"/>
    <n v="0"/>
    <n v="308600"/>
    <n v="62500"/>
    <n v="371100"/>
    <n v="2.2734654108476776E-3"/>
    <n v="0"/>
    <n v="1.8898488120950325E-3"/>
  </r>
  <r>
    <n v="2025"/>
    <s v="20120634493    "/>
    <n v="-1.7147984280919266"/>
    <n v="0.18"/>
    <n v="7832"/>
    <s v="2"/>
    <s v="RES"/>
    <s v="MX"/>
    <s v="11"/>
    <s v="259"/>
    <s v="CP"/>
    <x v="5"/>
    <s v="VG"/>
    <n v="0"/>
    <n v="5"/>
    <n v="5"/>
    <n v="2019"/>
    <n v="2019"/>
    <n v="2316"/>
    <m/>
    <m/>
    <m/>
    <m/>
    <n v="0"/>
    <n v="2316"/>
    <n v="2500"/>
    <s v="S"/>
    <n v="1"/>
    <n v="660"/>
    <m/>
    <m/>
    <m/>
    <m/>
    <m/>
    <n v="493582"/>
    <n v="473839"/>
    <n v="0"/>
    <n v="0"/>
    <n v="62500"/>
    <n v="374300"/>
    <n v="436800"/>
    <n v="132535.48800000001"/>
    <n v="88356.992000000013"/>
    <n v="-22505.565020573864"/>
    <n v="32917.849192000001"/>
    <n v="50438.379078999998"/>
    <n v="-543.70550000000003"/>
    <n v="144542.44008"/>
    <n v="0"/>
    <n v="0"/>
    <n v="23298.68046"/>
    <n v="0"/>
    <n v="383200"/>
    <n v="65900"/>
    <n v="449100"/>
    <n v="2.815934065934066E-2"/>
    <n v="0.99970000000000003"/>
    <n v="1.0019"/>
    <n v="1.0007999999999999"/>
    <n v="1.0008999999999999"/>
    <n v="1.0022"/>
    <n v="0.94971499999999998"/>
    <n v="0.95523462967214157"/>
    <n v="377300"/>
    <n v="0"/>
    <n v="377300"/>
    <n v="62500"/>
    <n v="439800"/>
    <n v="8.0149612610205725E-3"/>
    <n v="0"/>
    <n v="6.868131868131868E-3"/>
  </r>
  <r>
    <n v="2025"/>
    <s v="20120633512    "/>
    <n v="-1.7147984280919266"/>
    <n v="0.18"/>
    <n v="7778"/>
    <s v="2"/>
    <s v="RES"/>
    <s v="MX"/>
    <s v="11"/>
    <s v="259"/>
    <s v="CP"/>
    <x v="4"/>
    <s v="VG"/>
    <n v="10"/>
    <n v="12"/>
    <n v="12"/>
    <n v="2012"/>
    <n v="2012"/>
    <n v="2110"/>
    <m/>
    <m/>
    <m/>
    <m/>
    <n v="0"/>
    <n v="2110"/>
    <n v="2500"/>
    <s v="S"/>
    <n v="2"/>
    <n v="734"/>
    <m/>
    <m/>
    <m/>
    <m/>
    <m/>
    <n v="417238"/>
    <n v="396376"/>
    <n v="0"/>
    <n v="0"/>
    <n v="62500"/>
    <n v="364300"/>
    <n v="426800"/>
    <n v="132535.48800000001"/>
    <n v="88356.992000000013"/>
    <n v="-22505.565020573864"/>
    <n v="37154.252388000001"/>
    <n v="50438.379078999998"/>
    <n v="-1304.8932"/>
    <n v="131685.90180000002"/>
    <n v="0"/>
    <n v="0"/>
    <n v="25910.956754000003"/>
    <n v="0"/>
    <n v="376400"/>
    <n v="65900"/>
    <n v="442300"/>
    <n v="3.6316776007497657E-2"/>
    <n v="0.99970000000000003"/>
    <n v="0.99819999999999998"/>
    <n v="1.0007999999999999"/>
    <n v="1.0008999999999999"/>
    <n v="0.99080000000000001"/>
    <n v="0.94971499999999998"/>
    <n v="0.94088132113065737"/>
    <n v="368600"/>
    <n v="0"/>
    <n v="368600"/>
    <n v="62500"/>
    <n v="431100"/>
    <n v="1.1803458687894593E-2"/>
    <n v="0"/>
    <n v="1.007497656982193E-2"/>
  </r>
  <r>
    <n v="2025"/>
    <s v="20120634412    "/>
    <n v="-1.7147984280919266"/>
    <n v="0.18"/>
    <n v="8015"/>
    <s v="2"/>
    <s v="RES"/>
    <s v="MX"/>
    <s v="11"/>
    <s v="259"/>
    <s v="CP"/>
    <x v="5"/>
    <s v="GD"/>
    <n v="10"/>
    <n v="11"/>
    <n v="11"/>
    <n v="2013"/>
    <n v="2013"/>
    <n v="1770"/>
    <m/>
    <m/>
    <m/>
    <m/>
    <n v="0"/>
    <n v="1770"/>
    <n v="2000"/>
    <s v="S"/>
    <m/>
    <n v="420"/>
    <m/>
    <m/>
    <m/>
    <m/>
    <m/>
    <n v="379359"/>
    <n v="356597"/>
    <n v="0"/>
    <n v="0"/>
    <n v="62500"/>
    <n v="306700"/>
    <n v="369200"/>
    <n v="132535.48800000001"/>
    <n v="88356.992000000013"/>
    <n v="-22505.565020573864"/>
    <n v="32917.849192000001"/>
    <n v="30300.329274"/>
    <n v="-1196.1521"/>
    <n v="110466.3726"/>
    <n v="0"/>
    <n v="0"/>
    <n v="14826.43302"/>
    <n v="0"/>
    <n v="319900"/>
    <n v="65900"/>
    <n v="385800"/>
    <n v="4.4962080173347782E-2"/>
    <n v="0.99970000000000003"/>
    <n v="1.0019"/>
    <n v="0.997"/>
    <n v="1.0007999999999999"/>
    <n v="0.99080000000000001"/>
    <n v="0.94971499999999998"/>
    <n v="0.94068913278978916"/>
    <n v="312000"/>
    <n v="0"/>
    <n v="312000"/>
    <n v="62500"/>
    <n v="374500"/>
    <n v="1.7280730355396151E-2"/>
    <n v="0"/>
    <n v="1.4355362946912243E-2"/>
  </r>
  <r>
    <n v="2025"/>
    <s v="19120141487    "/>
    <n v="-1.7147984280919266"/>
    <n v="0.18"/>
    <n v="7941"/>
    <s v="2"/>
    <s v="RES"/>
    <s v="MX"/>
    <s v="11"/>
    <s v="259"/>
    <s v="CO"/>
    <x v="5"/>
    <s v="VG"/>
    <n v="10"/>
    <n v="19"/>
    <n v="19"/>
    <n v="2005"/>
    <n v="2005"/>
    <n v="1382"/>
    <m/>
    <m/>
    <m/>
    <m/>
    <n v="0"/>
    <n v="1382"/>
    <n v="1500"/>
    <s v="S"/>
    <m/>
    <n v="426"/>
    <m/>
    <m/>
    <m/>
    <m/>
    <m/>
    <n v="314516"/>
    <n v="286210"/>
    <n v="0"/>
    <n v="0"/>
    <n v="62500"/>
    <n v="301600"/>
    <n v="364100"/>
    <n v="132535.48800000001"/>
    <n v="88356.992000000013"/>
    <n v="-22505.565020573864"/>
    <n v="32917.849192000001"/>
    <n v="50438.379078999998"/>
    <n v="-2066.0808999999999"/>
    <n v="86251.14516"/>
    <n v="0"/>
    <n v="0"/>
    <n v="15038.239206"/>
    <n v="0"/>
    <n v="315100"/>
    <n v="65900"/>
    <n v="381000"/>
    <n v="4.6415819829717112E-2"/>
    <n v="0.99970000000000003"/>
    <n v="1.0019"/>
    <n v="1.0007999999999999"/>
    <n v="0.99519999999999997"/>
    <n v="0.99080000000000001"/>
    <n v="0.94971499999999998"/>
    <n v="0.93899079734443147"/>
    <n v="307000"/>
    <n v="0"/>
    <n v="307000"/>
    <n v="62500"/>
    <n v="369500"/>
    <n v="1.790450928381963E-2"/>
    <n v="0"/>
    <n v="1.4831090359791266E-2"/>
  </r>
  <r>
    <n v="2025"/>
    <s v="19120141526    "/>
    <n v="-1.7147984280919266"/>
    <n v="0.18"/>
    <n v="7657"/>
    <s v="2"/>
    <s v="RES"/>
    <s v="MX"/>
    <s v="11"/>
    <s v="259"/>
    <s v="RN"/>
    <x v="5"/>
    <s v="VG"/>
    <n v="10"/>
    <n v="19"/>
    <n v="19"/>
    <n v="2005"/>
    <n v="2005"/>
    <n v="1706"/>
    <m/>
    <m/>
    <m/>
    <m/>
    <n v="0"/>
    <n v="1706"/>
    <n v="2000"/>
    <s v="S"/>
    <m/>
    <n v="466"/>
    <m/>
    <m/>
    <m/>
    <m/>
    <m/>
    <n v="373267"/>
    <n v="339673"/>
    <n v="0"/>
    <n v="0"/>
    <n v="62500"/>
    <n v="321000"/>
    <n v="383500"/>
    <n v="132535.48800000001"/>
    <n v="88356.992000000013"/>
    <n v="-22505.565020573864"/>
    <n v="32917.849192000001"/>
    <n v="50438.379078999998"/>
    <n v="-2066.0808999999999"/>
    <n v="106472.10828"/>
    <n v="0"/>
    <n v="0"/>
    <n v="16450.280446000001"/>
    <n v="0"/>
    <n v="336700"/>
    <n v="65900"/>
    <n v="402600"/>
    <n v="4.9804432855280314E-2"/>
    <n v="0.99970000000000003"/>
    <n v="1.0019"/>
    <n v="1.0007999999999999"/>
    <n v="1.0007999999999999"/>
    <n v="0.99080000000000001"/>
    <n v="0.94971499999999998"/>
    <n v="0.94427450761887755"/>
    <n v="329400"/>
    <n v="0"/>
    <n v="329400"/>
    <n v="62500"/>
    <n v="391900"/>
    <n v="2.6168224299065422E-2"/>
    <n v="0"/>
    <n v="2.1903520208604955E-2"/>
  </r>
  <r>
    <n v="2025"/>
    <s v="20120633515    "/>
    <n v="-1.7147984280919266"/>
    <n v="0.18"/>
    <n v="7738"/>
    <s v="2"/>
    <s v="RES"/>
    <s v="MX"/>
    <s v="11"/>
    <s v="259"/>
    <s v="CP"/>
    <x v="5"/>
    <s v="VG"/>
    <n v="10"/>
    <n v="12"/>
    <n v="12"/>
    <n v="2012"/>
    <n v="2012"/>
    <n v="1270"/>
    <n v="1634"/>
    <m/>
    <m/>
    <m/>
    <n v="0"/>
    <n v="2904"/>
    <n v="3000"/>
    <s v="B"/>
    <m/>
    <n v="240"/>
    <n v="570"/>
    <m/>
    <m/>
    <m/>
    <m/>
    <n v="557128"/>
    <n v="529272"/>
    <n v="0"/>
    <n v="0"/>
    <n v="62500"/>
    <n v="403300"/>
    <n v="465800"/>
    <n v="132535.48800000001"/>
    <n v="88356.992000000013"/>
    <n v="-22505.565020573864"/>
    <n v="32917.849192000001"/>
    <n v="50438.379078999998"/>
    <n v="-1304.8932"/>
    <n v="79261.1826"/>
    <n v="97354.345822000003"/>
    <n v="0"/>
    <n v="8472.247440000001"/>
    <n v="0"/>
    <n v="399700"/>
    <n v="65900"/>
    <n v="465600"/>
    <n v="-4.2936882782310007E-4"/>
    <n v="0.99970000000000003"/>
    <n v="1.0019"/>
    <n v="1.0007999999999999"/>
    <n v="1.0099"/>
    <n v="0.99080000000000001"/>
    <n v="0.94971499999999998"/>
    <n v="0.95286053681485272"/>
    <n v="393400"/>
    <n v="0"/>
    <n v="393400"/>
    <n v="62500"/>
    <n v="455900"/>
    <n v="-2.4547483263079595E-2"/>
    <n v="0"/>
    <n v="-2.1253756977243451E-2"/>
  </r>
  <r>
    <n v="2025"/>
    <s v="19120114408    "/>
    <n v="-1.7147984280919266"/>
    <n v="0.18"/>
    <n v="8022"/>
    <s v="2"/>
    <s v="RES"/>
    <s v="MX"/>
    <s v="11"/>
    <s v="259"/>
    <s v="CP"/>
    <x v="5"/>
    <s v="GD"/>
    <n v="10"/>
    <n v="17"/>
    <n v="17"/>
    <n v="2007"/>
    <n v="2007"/>
    <n v="1952"/>
    <m/>
    <m/>
    <m/>
    <m/>
    <n v="0"/>
    <n v="1952"/>
    <n v="2000"/>
    <s v="B"/>
    <n v="1"/>
    <n v="702"/>
    <m/>
    <m/>
    <m/>
    <m/>
    <m/>
    <n v="444670"/>
    <n v="409096"/>
    <n v="0"/>
    <n v="0"/>
    <n v="62500"/>
    <n v="340500"/>
    <n v="403000"/>
    <n v="132535.48800000001"/>
    <n v="88356.992000000013"/>
    <n v="-22505.565020573864"/>
    <n v="32917.849192000001"/>
    <n v="30300.329274"/>
    <n v="-1848.5987"/>
    <n v="121825.06176000001"/>
    <n v="0"/>
    <n v="0"/>
    <n v="24781.323762"/>
    <n v="0"/>
    <n v="340500"/>
    <n v="65900"/>
    <n v="406400"/>
    <n v="8.4367245657568247E-3"/>
    <n v="0.99970000000000003"/>
    <n v="1.0019"/>
    <n v="0.997"/>
    <n v="1.0007999999999999"/>
    <n v="0.99080000000000001"/>
    <n v="0.94971499999999998"/>
    <n v="0.94068913278978916"/>
    <n v="332700"/>
    <n v="0"/>
    <n v="332700"/>
    <n v="62500"/>
    <n v="395200"/>
    <n v="-2.2907488986784141E-2"/>
    <n v="0"/>
    <n v="-1.935483870967742E-2"/>
  </r>
  <r>
    <n v="2025"/>
    <s v="19120134432    "/>
    <n v="-1.7147984280919266"/>
    <n v="0.18"/>
    <n v="7703"/>
    <s v="2"/>
    <s v="RES"/>
    <s v="MX"/>
    <s v="11"/>
    <s v="259"/>
    <s v="RN"/>
    <x v="5"/>
    <s v="GD"/>
    <n v="30"/>
    <n v="32"/>
    <n v="32"/>
    <n v="1992"/>
    <n v="1992"/>
    <n v="1893"/>
    <m/>
    <m/>
    <m/>
    <m/>
    <n v="0"/>
    <n v="1893"/>
    <n v="2000"/>
    <s v="B"/>
    <m/>
    <n v="576"/>
    <m/>
    <m/>
    <m/>
    <m/>
    <m/>
    <n v="405948"/>
    <n v="349115"/>
    <n v="0"/>
    <n v="0"/>
    <n v="62500"/>
    <n v="301500"/>
    <n v="364000"/>
    <n v="132535.48800000001"/>
    <n v="88356.992000000013"/>
    <n v="-22505.565020573864"/>
    <n v="32917.849192000001"/>
    <n v="30300.329274"/>
    <n v="-3479.7152000000001"/>
    <n v="118142.84934"/>
    <n v="0"/>
    <n v="0"/>
    <n v="20333.393856000002"/>
    <n v="0"/>
    <n v="330800"/>
    <n v="65900"/>
    <n v="396700"/>
    <n v="8.9835164835164835E-2"/>
    <n v="0.99970000000000003"/>
    <n v="1.0019"/>
    <n v="0.997"/>
    <n v="1.0007999999999999"/>
    <n v="0.95920000000000005"/>
    <n v="0.94971499999999998"/>
    <n v="0.91068733969717985"/>
    <n v="318900"/>
    <n v="0"/>
    <n v="318900"/>
    <n v="62500"/>
    <n v="381400"/>
    <n v="5.7711442786069649E-2"/>
    <n v="0"/>
    <n v="4.7802197802197799E-2"/>
  </r>
  <r>
    <n v="2025"/>
    <s v="19120134453    "/>
    <n v="-1.7147984280919266"/>
    <n v="0.18"/>
    <n v="7673"/>
    <s v="2"/>
    <s v="RES"/>
    <s v="MX"/>
    <s v="11"/>
    <s v="259"/>
    <s v="CP"/>
    <x v="5"/>
    <s v="VG"/>
    <n v="20"/>
    <n v="29"/>
    <n v="29"/>
    <n v="1995"/>
    <n v="1995"/>
    <n v="1983"/>
    <m/>
    <m/>
    <m/>
    <m/>
    <n v="0"/>
    <n v="1983"/>
    <n v="2000"/>
    <s v="B"/>
    <m/>
    <n v="529"/>
    <m/>
    <m/>
    <m/>
    <m/>
    <m/>
    <n v="434622"/>
    <n v="378121"/>
    <n v="0"/>
    <n v="0"/>
    <n v="62500"/>
    <n v="328700"/>
    <n v="391200"/>
    <n v="132535.48800000001"/>
    <n v="88356.992000000013"/>
    <n v="-22505.565020573864"/>
    <n v="32917.849192000001"/>
    <n v="50438.379078999998"/>
    <n v="-3153.4919"/>
    <n v="123759.78354"/>
    <n v="0"/>
    <n v="0"/>
    <n v="18674.245398999999"/>
    <n v="0"/>
    <n v="355200"/>
    <n v="65900"/>
    <n v="421100"/>
    <n v="7.6431492842535781E-2"/>
    <n v="0.99970000000000003"/>
    <n v="1.0019"/>
    <n v="1.0007999999999999"/>
    <n v="1.0007999999999999"/>
    <n v="1.0138"/>
    <n v="0.94971499999999998"/>
    <n v="0.96619448508681682"/>
    <n v="350700"/>
    <n v="0"/>
    <n v="350700"/>
    <n v="62500"/>
    <n v="413200"/>
    <n v="6.6930331609370244E-2"/>
    <n v="0"/>
    <n v="5.6237218813905927E-2"/>
  </r>
  <r>
    <n v="2025"/>
    <s v="19120134426    "/>
    <n v="-1.7147984280919266"/>
    <n v="0.18"/>
    <n v="7971"/>
    <s v="2"/>
    <s v="RES"/>
    <s v="MX"/>
    <s v="11"/>
    <s v="259"/>
    <s v="RN"/>
    <x v="4"/>
    <s v="AV"/>
    <n v="40"/>
    <n v="45"/>
    <n v="44"/>
    <n v="1979"/>
    <n v="1980"/>
    <n v="1490"/>
    <m/>
    <m/>
    <m/>
    <m/>
    <n v="0"/>
    <n v="1490"/>
    <n v="1500"/>
    <s v="B"/>
    <m/>
    <n v="528"/>
    <m/>
    <m/>
    <m/>
    <m/>
    <m/>
    <n v="308162"/>
    <n v="240366"/>
    <n v="0"/>
    <n v="0"/>
    <n v="62500"/>
    <n v="259100"/>
    <n v="321600"/>
    <n v="132535.48800000001"/>
    <n v="88356.992000000013"/>
    <n v="-22505.565020573864"/>
    <n v="37154.252388000001"/>
    <n v="17761.121909000001"/>
    <n v="-4784.6084000000001"/>
    <n v="92991.46620000001"/>
    <n v="0"/>
    <n v="0"/>
    <n v="18638.944368"/>
    <n v="0"/>
    <n v="294300"/>
    <n v="65900"/>
    <n v="360200"/>
    <n v="0.12002487562189054"/>
    <n v="0.99970000000000003"/>
    <n v="0.99819999999999998"/>
    <n v="0.99680000000000002"/>
    <n v="0.99519999999999997"/>
    <n v="0.95689999999999997"/>
    <n v="0.94971499999999998"/>
    <n v="0.8999032373564444"/>
    <n v="281000"/>
    <n v="0"/>
    <n v="281000"/>
    <n v="62500"/>
    <n v="343500"/>
    <n v="8.4523350057892702E-2"/>
    <n v="0"/>
    <n v="6.8097014925373137E-2"/>
  </r>
  <r>
    <n v="2025"/>
    <s v="20120633492    "/>
    <n v="-1.7147984280919266"/>
    <n v="0.18"/>
    <n v="7867"/>
    <s v="2"/>
    <s v="RES"/>
    <s v="MX"/>
    <s v="11"/>
    <s v="259"/>
    <s v="CP"/>
    <x v="4"/>
    <s v="VG"/>
    <n v="10"/>
    <n v="13"/>
    <n v="13"/>
    <n v="2011"/>
    <n v="2011"/>
    <n v="1373"/>
    <m/>
    <m/>
    <m/>
    <m/>
    <n v="0"/>
    <n v="1373"/>
    <n v="1500"/>
    <s v="N"/>
    <m/>
    <n v="419"/>
    <m/>
    <m/>
    <m/>
    <m/>
    <m/>
    <n v="299219"/>
    <n v="284258"/>
    <n v="0"/>
    <n v="0"/>
    <n v="62500"/>
    <n v="350000"/>
    <n v="412500"/>
    <n v="132535.48800000001"/>
    <n v="88356.992000000013"/>
    <n v="-22505.565020573864"/>
    <n v="37154.252388000001"/>
    <n v="50438.379078999998"/>
    <n v="-1413.6342999999999"/>
    <n v="85689.451740000004"/>
    <n v="0"/>
    <n v="0"/>
    <n v="14791.131989000001"/>
    <n v="0"/>
    <n v="319200"/>
    <n v="65900"/>
    <n v="385100"/>
    <n v="-6.6424242424242427E-2"/>
    <n v="0.99970000000000003"/>
    <n v="0.99819999999999998"/>
    <n v="1.0007999999999999"/>
    <n v="0.99519999999999997"/>
    <n v="0.99080000000000001"/>
    <n v="0.94971499999999998"/>
    <n v="0.93552311998124726"/>
    <n v="310600"/>
    <n v="0"/>
    <n v="310600"/>
    <n v="62500"/>
    <n v="373100"/>
    <n v="-0.11257142857142857"/>
    <n v="0"/>
    <n v="-9.5515151515151511E-2"/>
  </r>
  <r>
    <n v="2025"/>
    <s v="20120633508    "/>
    <n v="-1.7147984280919266"/>
    <n v="0.18"/>
    <n v="7722"/>
    <s v="2"/>
    <s v="RES"/>
    <s v="MX"/>
    <s v="11"/>
    <s v="259"/>
    <s v="CO"/>
    <x v="6"/>
    <s v="VG"/>
    <n v="10"/>
    <n v="14"/>
    <n v="14"/>
    <n v="2010"/>
    <n v="2010"/>
    <n v="1389"/>
    <n v="1322"/>
    <m/>
    <m/>
    <m/>
    <n v="0"/>
    <n v="2711"/>
    <n v="3000"/>
    <s v="N"/>
    <m/>
    <m/>
    <n v="728"/>
    <m/>
    <m/>
    <m/>
    <m/>
    <n v="619722"/>
    <n v="588736"/>
    <n v="0"/>
    <n v="0"/>
    <n v="62500"/>
    <n v="419900"/>
    <n v="482400"/>
    <n v="132535.48800000001"/>
    <n v="88356.992000000013"/>
    <n v="-22505.565020573864"/>
    <n v="39366.494398000003"/>
    <n v="50438.379078999998"/>
    <n v="-1522.3754000000001"/>
    <n v="86688.017820000008"/>
    <n v="78765.266325999997"/>
    <n v="0"/>
    <n v="0"/>
    <n v="0"/>
    <n v="386300"/>
    <n v="65900"/>
    <n v="452200"/>
    <n v="-6.2603648424543953E-2"/>
    <n v="0.99970000000000003"/>
    <n v="0.99980000000000002"/>
    <n v="1.0007999999999999"/>
    <n v="1.0099"/>
    <n v="0.99080000000000001"/>
    <n v="0.94971499999999998"/>
    <n v="0.95086332439114651"/>
    <n v="379800"/>
    <n v="0"/>
    <n v="379800"/>
    <n v="62500"/>
    <n v="442300"/>
    <n v="-9.5498928316265774E-2"/>
    <n v="0"/>
    <n v="-8.3126036484245436E-2"/>
  </r>
  <r>
    <n v="2025"/>
    <s v="20120633523    "/>
    <n v="-1.7147984280919266"/>
    <n v="0.18"/>
    <n v="7898"/>
    <s v="2"/>
    <s v="RES"/>
    <s v="MX"/>
    <s v="11"/>
    <s v="259"/>
    <s v="CP"/>
    <x v="4"/>
    <s v="VG"/>
    <n v="10"/>
    <n v="13"/>
    <n v="13"/>
    <n v="2011"/>
    <n v="2011"/>
    <n v="1126"/>
    <n v="1204"/>
    <m/>
    <m/>
    <m/>
    <n v="0"/>
    <n v="2330"/>
    <n v="2500"/>
    <s v="N"/>
    <m/>
    <m/>
    <n v="657"/>
    <m/>
    <m/>
    <m/>
    <m/>
    <n v="409564"/>
    <n v="389086"/>
    <n v="0"/>
    <n v="0"/>
    <n v="62500"/>
    <n v="378500"/>
    <n v="441000"/>
    <n v="132535.48800000001"/>
    <n v="88356.992000000013"/>
    <n v="-22505.565020573864"/>
    <n v="37154.252388000001"/>
    <n v="50438.379078999998"/>
    <n v="-1413.6342999999999"/>
    <n v="70274.087880000006"/>
    <n v="71734.781132000004"/>
    <n v="0"/>
    <n v="0"/>
    <n v="0"/>
    <n v="360700"/>
    <n v="65900"/>
    <n v="426600"/>
    <n v="-3.2653061224489799E-2"/>
    <n v="0.99970000000000003"/>
    <n v="0.99819999999999998"/>
    <n v="1.0007999999999999"/>
    <n v="1.0008999999999999"/>
    <n v="0.99080000000000001"/>
    <n v="0.94971499999999998"/>
    <n v="0.94088132113065737"/>
    <n v="352900"/>
    <n v="0"/>
    <n v="352900"/>
    <n v="62500"/>
    <n v="415400"/>
    <n v="-6.7635402906208716E-2"/>
    <n v="0"/>
    <n v="-5.8049886621315196E-2"/>
  </r>
  <r>
    <n v="2025"/>
    <s v="20120633490    "/>
    <n v="-1.7147984280919266"/>
    <n v="0.18"/>
    <n v="7867"/>
    <s v="2"/>
    <s v="RES"/>
    <s v="MX"/>
    <s v="11"/>
    <s v="259"/>
    <s v="CP"/>
    <x v="4"/>
    <s v="GD"/>
    <n v="10"/>
    <n v="12"/>
    <n v="12"/>
    <n v="2012"/>
    <n v="2012"/>
    <n v="1289"/>
    <n v="1564"/>
    <m/>
    <m/>
    <m/>
    <n v="0"/>
    <n v="2853"/>
    <n v="3000"/>
    <s v="N"/>
    <m/>
    <m/>
    <n v="494"/>
    <m/>
    <m/>
    <m/>
    <m/>
    <n v="466431"/>
    <n v="438445"/>
    <n v="0"/>
    <n v="0"/>
    <n v="62500"/>
    <n v="386000"/>
    <n v="448500"/>
    <n v="132535.48800000001"/>
    <n v="88356.992000000013"/>
    <n v="-22505.565020573864"/>
    <n v="37154.252388000001"/>
    <n v="30300.329274"/>
    <n v="-1304.8932"/>
    <n v="80446.979820000008"/>
    <n v="93183.719012000001"/>
    <n v="0"/>
    <n v="0"/>
    <n v="0"/>
    <n v="372300"/>
    <n v="65900"/>
    <n v="438200"/>
    <n v="-2.2965440356744703E-2"/>
    <n v="0.99970000000000003"/>
    <n v="0.99819999999999998"/>
    <n v="0.997"/>
    <n v="1.0099"/>
    <n v="0.99080000000000001"/>
    <n v="0.94971499999999998"/>
    <n v="0.94573702419942507"/>
    <n v="365100"/>
    <n v="0"/>
    <n v="365100"/>
    <n v="62500"/>
    <n v="427600"/>
    <n v="-5.4145077720207255E-2"/>
    <n v="0"/>
    <n v="-4.6599777034559642E-2"/>
  </r>
  <r>
    <n v="2025"/>
    <s v="19120141433    "/>
    <n v="-1.7147984280919266"/>
    <n v="0.18"/>
    <n v="7640"/>
    <s v="2"/>
    <s v="RES"/>
    <s v="MX"/>
    <s v="11"/>
    <s v="259"/>
    <s v="CO"/>
    <x v="4"/>
    <s v="VG"/>
    <n v="10"/>
    <n v="19"/>
    <n v="19"/>
    <n v="2005"/>
    <n v="2005"/>
    <n v="1040"/>
    <n v="1040"/>
    <m/>
    <m/>
    <m/>
    <n v="0"/>
    <n v="2080"/>
    <n v="2500"/>
    <s v="N"/>
    <m/>
    <n v="440"/>
    <m/>
    <m/>
    <m/>
    <m/>
    <m/>
    <n v="380605"/>
    <n v="346351"/>
    <n v="0"/>
    <n v="0"/>
    <n v="62500"/>
    <n v="369500"/>
    <n v="432000"/>
    <n v="132535.48800000001"/>
    <n v="88356.992000000013"/>
    <n v="-22505.565020573864"/>
    <n v="37154.252388000001"/>
    <n v="50438.379078999998"/>
    <n v="-2066.0808999999999"/>
    <n v="64906.7952"/>
    <n v="61963.598319999997"/>
    <n v="0"/>
    <n v="15532.453640000002"/>
    <n v="0"/>
    <n v="360500"/>
    <n v="65900"/>
    <n v="426400"/>
    <n v="-1.2962962962962963E-2"/>
    <n v="0.99970000000000003"/>
    <n v="0.99819999999999998"/>
    <n v="1.0007999999999999"/>
    <n v="1.0008999999999999"/>
    <n v="0.99080000000000001"/>
    <n v="0.94971499999999998"/>
    <n v="0.94088132113065737"/>
    <n v="352600"/>
    <n v="0"/>
    <n v="352600"/>
    <n v="62500"/>
    <n v="415100"/>
    <n v="-4.5737483085250337E-2"/>
    <n v="0"/>
    <n v="-3.9120370370370368E-2"/>
  </r>
  <r>
    <n v="2025"/>
    <s v="20120633528    "/>
    <n v="-1.7147984280919266"/>
    <n v="0.18"/>
    <n v="7738"/>
    <s v="2"/>
    <s v="RES"/>
    <s v="MX"/>
    <s v="11"/>
    <s v="259"/>
    <s v="CO"/>
    <x v="5"/>
    <s v="VG"/>
    <n v="10"/>
    <n v="13"/>
    <n v="13"/>
    <n v="2011"/>
    <n v="2011"/>
    <n v="1185"/>
    <n v="1308"/>
    <m/>
    <m/>
    <m/>
    <n v="0"/>
    <n v="2493"/>
    <n v="2500"/>
    <s v="N"/>
    <m/>
    <n v="300"/>
    <n v="488"/>
    <m/>
    <m/>
    <m/>
    <m/>
    <n v="509883"/>
    <n v="484389"/>
    <n v="0"/>
    <n v="0"/>
    <n v="62500"/>
    <n v="386300"/>
    <n v="448800"/>
    <n v="132535.48800000001"/>
    <n v="88356.992000000013"/>
    <n v="-22505.565020573864"/>
    <n v="32917.849192000001"/>
    <n v="50438.379078999998"/>
    <n v="-1413.6342999999999"/>
    <n v="73956.300300000003"/>
    <n v="77931.140963999991"/>
    <n v="0"/>
    <n v="10590.309300000001"/>
    <n v="0"/>
    <n v="377000"/>
    <n v="65900"/>
    <n v="442900"/>
    <n v="-1.3146167557932263E-2"/>
    <n v="0.99970000000000003"/>
    <n v="1.0019"/>
    <n v="1.0007999999999999"/>
    <n v="1.0008999999999999"/>
    <n v="0.99080000000000001"/>
    <n v="0.94971499999999998"/>
    <n v="0.94436885958806405"/>
    <n v="369600"/>
    <n v="0"/>
    <n v="369600"/>
    <n v="62500"/>
    <n v="432100"/>
    <n v="-4.3230649754077144E-2"/>
    <n v="0"/>
    <n v="-3.7210338680926915E-2"/>
  </r>
  <r>
    <n v="2025"/>
    <s v="20120633506    "/>
    <n v="-1.7147984280919266"/>
    <n v="0.18"/>
    <n v="7693"/>
    <s v="2"/>
    <s v="RES"/>
    <s v="MX"/>
    <s v="11"/>
    <s v="259"/>
    <s v="CO"/>
    <x v="5"/>
    <s v="GD"/>
    <n v="10"/>
    <n v="14"/>
    <n v="14"/>
    <n v="2010"/>
    <n v="2010"/>
    <n v="1389"/>
    <n v="1322"/>
    <m/>
    <m/>
    <m/>
    <n v="0"/>
    <n v="2711"/>
    <n v="3000"/>
    <s v="N"/>
    <n v="1"/>
    <n v="240"/>
    <n v="488"/>
    <m/>
    <m/>
    <m/>
    <m/>
    <n v="534899"/>
    <n v="497456"/>
    <n v="0"/>
    <n v="0"/>
    <n v="62500"/>
    <n v="376900"/>
    <n v="439400"/>
    <n v="132535.48800000001"/>
    <n v="88356.992000000013"/>
    <n v="-22505.565020573864"/>
    <n v="32917.849192000001"/>
    <n v="30300.329274"/>
    <n v="-1522.3754000000001"/>
    <n v="86688.017820000008"/>
    <n v="78765.266325999997"/>
    <n v="0"/>
    <n v="8472.247440000001"/>
    <n v="0"/>
    <n v="368200"/>
    <n v="65900"/>
    <n v="434100"/>
    <n v="-1.2061902594446974E-2"/>
    <n v="0.99970000000000003"/>
    <n v="1.0019"/>
    <n v="0.997"/>
    <n v="1.0099"/>
    <n v="0.99080000000000001"/>
    <n v="0.94971499999999998"/>
    <n v="0.94924256115548389"/>
    <n v="361400"/>
    <n v="0"/>
    <n v="361400"/>
    <n v="62500"/>
    <n v="423900"/>
    <n v="-4.1124966834704166E-2"/>
    <n v="0"/>
    <n v="-3.5275375512061904E-2"/>
  </r>
  <r>
    <n v="2025"/>
    <s v="19120113468    "/>
    <n v="-1.7147984280919266"/>
    <n v="0.18"/>
    <n v="7672"/>
    <s v="2"/>
    <s v="RES"/>
    <s v="MX"/>
    <s v="11"/>
    <s v="259"/>
    <s v="CO"/>
    <x v="5"/>
    <s v="GD"/>
    <n v="10"/>
    <n v="19"/>
    <n v="19"/>
    <n v="2005"/>
    <n v="2005"/>
    <n v="1158"/>
    <n v="1332"/>
    <m/>
    <m/>
    <m/>
    <n v="0"/>
    <n v="2490"/>
    <n v="2500"/>
    <s v="N"/>
    <n v="1"/>
    <m/>
    <n v="502"/>
    <m/>
    <m/>
    <m/>
    <m/>
    <n v="483279"/>
    <n v="439784"/>
    <n v="0"/>
    <n v="0"/>
    <n v="62500"/>
    <n v="351800"/>
    <n v="414300"/>
    <n v="132535.48800000001"/>
    <n v="88356.992000000013"/>
    <n v="-22505.565020573864"/>
    <n v="32917.849192000001"/>
    <n v="30300.329274"/>
    <n v="-2066.0808999999999"/>
    <n v="72271.22004"/>
    <n v="79361.070156000002"/>
    <n v="0"/>
    <n v="0"/>
    <n v="0"/>
    <n v="345300"/>
    <n v="65900"/>
    <n v="411200"/>
    <n v="-7.4825006034274682E-3"/>
    <n v="0.99970000000000003"/>
    <n v="1.0019"/>
    <n v="0.997"/>
    <n v="1.0008999999999999"/>
    <n v="0.99080000000000001"/>
    <n v="0.94971499999999998"/>
    <n v="0.94078312650809337"/>
    <n v="337500"/>
    <n v="0"/>
    <n v="337500"/>
    <n v="62500"/>
    <n v="400000"/>
    <n v="-4.0648095508811828E-2"/>
    <n v="0"/>
    <n v="-3.4516051170649285E-2"/>
  </r>
  <r>
    <n v="2025"/>
    <s v="20120634433    "/>
    <n v="-1.7147984280919266"/>
    <n v="0.18"/>
    <n v="7909"/>
    <s v="2"/>
    <s v="RES"/>
    <s v="MX"/>
    <s v="11"/>
    <s v="259"/>
    <s v="CP"/>
    <x v="4"/>
    <s v="VG"/>
    <n v="10"/>
    <n v="10"/>
    <n v="10"/>
    <n v="2014"/>
    <n v="2014"/>
    <n v="1152"/>
    <n v="1384"/>
    <m/>
    <m/>
    <m/>
    <n v="0"/>
    <n v="2536"/>
    <n v="3000"/>
    <s v="N"/>
    <n v="1"/>
    <m/>
    <n v="640"/>
    <m/>
    <m/>
    <m/>
    <m/>
    <n v="433045"/>
    <n v="411393"/>
    <n v="0"/>
    <n v="0"/>
    <n v="62500"/>
    <n v="381500"/>
    <n v="444000"/>
    <n v="132535.48800000001"/>
    <n v="88356.992000000013"/>
    <n v="-22505.565020573864"/>
    <n v="37154.252388000001"/>
    <n v="50438.379078999998"/>
    <n v="-1087.4110000000001"/>
    <n v="71896.757760000008"/>
    <n v="82459.250071999995"/>
    <n v="0"/>
    <n v="0"/>
    <n v="0"/>
    <n v="373400"/>
    <n v="65900"/>
    <n v="439300"/>
    <n v="-1.0585585585585585E-2"/>
    <n v="0.99970000000000003"/>
    <n v="0.99819999999999998"/>
    <n v="1.0007999999999999"/>
    <n v="1.0099"/>
    <n v="0.99080000000000001"/>
    <n v="0.94971499999999998"/>
    <n v="0.94934163873498945"/>
    <n v="366700"/>
    <n v="0"/>
    <n v="366700"/>
    <n v="62500"/>
    <n v="429200"/>
    <n v="-3.8794233289646131E-2"/>
    <n v="0"/>
    <n v="-3.3333333333333333E-2"/>
  </r>
  <r>
    <n v="2025"/>
    <s v="20120634426    "/>
    <n v="-1.7147984280919266"/>
    <n v="0.18"/>
    <n v="7676"/>
    <s v="2"/>
    <s v="RES"/>
    <s v="MX"/>
    <s v="11"/>
    <s v="259"/>
    <s v="CP"/>
    <x v="4"/>
    <s v="VG"/>
    <n v="10"/>
    <n v="10"/>
    <n v="10"/>
    <n v="2014"/>
    <n v="2014"/>
    <n v="1126"/>
    <n v="1126"/>
    <m/>
    <m/>
    <m/>
    <n v="0"/>
    <n v="2252"/>
    <n v="2500"/>
    <s v="N"/>
    <m/>
    <n v="440"/>
    <m/>
    <m/>
    <m/>
    <m/>
    <m/>
    <n v="397114"/>
    <n v="377258"/>
    <n v="0"/>
    <n v="0"/>
    <n v="62500"/>
    <n v="378000"/>
    <n v="440500"/>
    <n v="132535.48800000001"/>
    <n v="88356.992000000013"/>
    <n v="-22505.565020573864"/>
    <n v="37154.252388000001"/>
    <n v="50438.379078999998"/>
    <n v="-1087.4110000000001"/>
    <n v="70274.087880000006"/>
    <n v="67087.511257999999"/>
    <n v="0"/>
    <n v="15532.453640000002"/>
    <n v="0"/>
    <n v="371900"/>
    <n v="65900"/>
    <n v="437800"/>
    <n v="-6.1293984108967085E-3"/>
    <n v="0.99970000000000003"/>
    <n v="0.99819999999999998"/>
    <n v="1.0007999999999999"/>
    <n v="1.0008999999999999"/>
    <n v="0.99080000000000001"/>
    <n v="0.94971499999999998"/>
    <n v="0.94088132113065737"/>
    <n v="364100"/>
    <n v="0"/>
    <n v="364100"/>
    <n v="62500"/>
    <n v="426600"/>
    <n v="-3.6772486772486769E-2"/>
    <n v="0"/>
    <n v="-3.1555051078320094E-2"/>
  </r>
  <r>
    <n v="2025"/>
    <s v="20120633520    "/>
    <n v="-1.7147984280919266"/>
    <n v="0.18"/>
    <n v="7738"/>
    <s v="2"/>
    <s v="RES"/>
    <s v="MX"/>
    <s v="11"/>
    <s v="259"/>
    <s v="RN"/>
    <x v="4"/>
    <s v="GD"/>
    <n v="10"/>
    <n v="12"/>
    <n v="12"/>
    <n v="2012"/>
    <n v="2012"/>
    <n v="1518"/>
    <m/>
    <m/>
    <m/>
    <m/>
    <n v="0"/>
    <n v="1518"/>
    <n v="2000"/>
    <s v="N"/>
    <n v="1"/>
    <n v="438"/>
    <m/>
    <m/>
    <m/>
    <m/>
    <m/>
    <n v="314344"/>
    <n v="295483"/>
    <n v="0"/>
    <n v="0"/>
    <n v="62500"/>
    <n v="312400"/>
    <n v="374900"/>
    <n v="132535.48800000001"/>
    <n v="88356.992000000013"/>
    <n v="-22505.565020573864"/>
    <n v="37154.252388000001"/>
    <n v="30300.329274"/>
    <n v="-1304.8932"/>
    <n v="94738.956839999999"/>
    <n v="0"/>
    <n v="0"/>
    <n v="15461.851578000002"/>
    <n v="0"/>
    <n v="308900"/>
    <n v="65900"/>
    <n v="374800"/>
    <n v="-2.6673779674579886E-4"/>
    <n v="0.99970000000000003"/>
    <n v="0.99819999999999998"/>
    <n v="0.997"/>
    <n v="1.0007999999999999"/>
    <n v="0.99080000000000001"/>
    <n v="0.94971499999999998"/>
    <n v="0.93721518350211364"/>
    <n v="300600"/>
    <n v="0"/>
    <n v="300600"/>
    <n v="62500"/>
    <n v="363100"/>
    <n v="-3.7772087067861719E-2"/>
    <n v="0"/>
    <n v="-3.1475060016004267E-2"/>
  </r>
  <r>
    <n v="2025"/>
    <s v="20120633529    "/>
    <n v="-1.7147984280919266"/>
    <n v="0.18"/>
    <n v="7738"/>
    <s v="2"/>
    <s v="RES"/>
    <s v="MX"/>
    <s v="11"/>
    <s v="259"/>
    <s v="CP"/>
    <x v="4"/>
    <s v="VG"/>
    <n v="10"/>
    <n v="13"/>
    <n v="13"/>
    <n v="2011"/>
    <n v="2011"/>
    <n v="1289"/>
    <n v="1564"/>
    <m/>
    <m/>
    <m/>
    <n v="0"/>
    <n v="2853"/>
    <n v="3000"/>
    <s v="N"/>
    <m/>
    <m/>
    <n v="494"/>
    <m/>
    <m/>
    <m/>
    <m/>
    <n v="468918"/>
    <n v="445472"/>
    <n v="0"/>
    <n v="0"/>
    <n v="62500"/>
    <n v="399700"/>
    <n v="462200"/>
    <n v="132535.48800000001"/>
    <n v="88356.992000000013"/>
    <n v="-22505.565020573864"/>
    <n v="37154.252388000001"/>
    <n v="50438.379078999998"/>
    <n v="-1413.6342999999999"/>
    <n v="80446.979820000008"/>
    <n v="93183.719012000001"/>
    <n v="0"/>
    <n v="0"/>
    <n v="0"/>
    <n v="392300"/>
    <n v="65900"/>
    <n v="458200"/>
    <n v="-8.6542622241453909E-3"/>
    <n v="0.99970000000000003"/>
    <n v="0.99819999999999998"/>
    <n v="1.0007999999999999"/>
    <n v="1.0099"/>
    <n v="0.99080000000000001"/>
    <n v="0.94971499999999998"/>
    <n v="0.94934163873498945"/>
    <n v="385600"/>
    <n v="0"/>
    <n v="385600"/>
    <n v="62500"/>
    <n v="448100"/>
    <n v="-3.5276457343007259E-2"/>
    <n v="0"/>
    <n v="-3.0506274340112504E-2"/>
  </r>
  <r>
    <n v="2025"/>
    <s v="20120633521    "/>
    <n v="-1.7147984280919266"/>
    <n v="0.18"/>
    <n v="7738"/>
    <s v="2"/>
    <s v="RES"/>
    <s v="MX"/>
    <s v="11"/>
    <s v="259"/>
    <s v="RN"/>
    <x v="4"/>
    <s v="GD"/>
    <n v="10"/>
    <n v="12"/>
    <n v="12"/>
    <n v="2012"/>
    <n v="2012"/>
    <n v="1536"/>
    <m/>
    <m/>
    <m/>
    <m/>
    <n v="0"/>
    <n v="1536"/>
    <n v="2000"/>
    <s v="N"/>
    <m/>
    <n v="420"/>
    <m/>
    <m/>
    <m/>
    <m/>
    <m/>
    <n v="313553"/>
    <n v="294740"/>
    <n v="0"/>
    <n v="0"/>
    <n v="62500"/>
    <n v="312500"/>
    <n v="375000"/>
    <n v="132535.48800000001"/>
    <n v="88356.992000000013"/>
    <n v="-22505.565020573864"/>
    <n v="37154.252388000001"/>
    <n v="30300.329274"/>
    <n v="-1304.8932"/>
    <n v="95862.343680000005"/>
    <n v="0"/>
    <n v="0"/>
    <n v="14826.43302"/>
    <n v="0"/>
    <n v="309400"/>
    <n v="65900"/>
    <n v="375300"/>
    <n v="8.0000000000000004E-4"/>
    <n v="0.99970000000000003"/>
    <n v="0.99819999999999998"/>
    <n v="0.997"/>
    <n v="1.0007999999999999"/>
    <n v="0.99080000000000001"/>
    <n v="0.94971499999999998"/>
    <n v="0.93721518350211364"/>
    <n v="301100"/>
    <n v="0"/>
    <n v="301100"/>
    <n v="62500"/>
    <n v="363600"/>
    <n v="-3.6479999999999999E-2"/>
    <n v="0"/>
    <n v="-3.04E-2"/>
  </r>
  <r>
    <n v="2025"/>
    <s v="19120141435    "/>
    <n v="-1.7147984280919266"/>
    <n v="0.18"/>
    <n v="7795"/>
    <s v="2"/>
    <s v="RES"/>
    <s v="MX"/>
    <s v="11"/>
    <s v="259"/>
    <s v="CO"/>
    <x v="5"/>
    <s v="GD"/>
    <n v="10"/>
    <n v="19"/>
    <n v="19"/>
    <n v="2005"/>
    <n v="2005"/>
    <n v="1116"/>
    <n v="1116"/>
    <m/>
    <m/>
    <m/>
    <n v="0"/>
    <n v="2232"/>
    <n v="2500"/>
    <s v="N"/>
    <n v="1"/>
    <n v="440"/>
    <m/>
    <m/>
    <m/>
    <m/>
    <m/>
    <n v="454484"/>
    <n v="413580"/>
    <n v="0"/>
    <n v="0"/>
    <n v="62500"/>
    <n v="349900"/>
    <n v="412400"/>
    <n v="132535.48800000001"/>
    <n v="88356.992000000013"/>
    <n v="-22505.565020573864"/>
    <n v="32917.849192000001"/>
    <n v="30300.329274"/>
    <n v="-2066.0808999999999"/>
    <n v="69649.984080000009"/>
    <n v="66491.707427999994"/>
    <n v="0"/>
    <n v="15532.453640000002"/>
    <n v="0"/>
    <n v="345400"/>
    <n v="65900"/>
    <n v="411300"/>
    <n v="-2.6673132880698351E-3"/>
    <n v="0.99970000000000003"/>
    <n v="1.0019"/>
    <n v="0.997"/>
    <n v="1.0008999999999999"/>
    <n v="0.99080000000000001"/>
    <n v="0.94971499999999998"/>
    <n v="0.94078312650809337"/>
    <n v="337500"/>
    <n v="0"/>
    <n v="337500"/>
    <n v="62500"/>
    <n v="400000"/>
    <n v="-3.5438696770505859E-2"/>
    <n v="0"/>
    <n v="-3.0067895247332686E-2"/>
  </r>
  <r>
    <n v="2025"/>
    <s v="20120633495    "/>
    <n v="-1.7147984280919266"/>
    <n v="0.18"/>
    <n v="7865"/>
    <s v="2"/>
    <s v="RES"/>
    <s v="MX"/>
    <s v="11"/>
    <s v="259"/>
    <s v="CP"/>
    <x v="5"/>
    <s v="GD"/>
    <n v="10"/>
    <n v="13"/>
    <n v="13"/>
    <n v="2011"/>
    <n v="2011"/>
    <n v="1521"/>
    <m/>
    <m/>
    <m/>
    <m/>
    <n v="0"/>
    <n v="1521"/>
    <n v="2000"/>
    <s v="N"/>
    <m/>
    <n v="435"/>
    <m/>
    <m/>
    <m/>
    <m/>
    <m/>
    <n v="353009"/>
    <n v="331828"/>
    <n v="0"/>
    <n v="0"/>
    <n v="62500"/>
    <n v="307200"/>
    <n v="369700"/>
    <n v="132535.48800000001"/>
    <n v="88356.992000000013"/>
    <n v="-22505.565020573864"/>
    <n v="32917.849192000001"/>
    <n v="30300.329274"/>
    <n v="-1413.6342999999999"/>
    <n v="94926.187980000002"/>
    <n v="0"/>
    <n v="0"/>
    <n v="15355.948485000001"/>
    <n v="0"/>
    <n v="304600"/>
    <n v="65900"/>
    <n v="370500"/>
    <n v="2.1639166892074655E-3"/>
    <n v="0.99970000000000003"/>
    <n v="1.0019"/>
    <n v="0.997"/>
    <n v="1.0007999999999999"/>
    <n v="0.99080000000000001"/>
    <n v="0.94971499999999998"/>
    <n v="0.94068913278978916"/>
    <n v="296800"/>
    <n v="0"/>
    <n v="296800"/>
    <n v="62500"/>
    <n v="359300"/>
    <n v="-3.3854166666666664E-2"/>
    <n v="0"/>
    <n v="-2.8130916959697053E-2"/>
  </r>
  <r>
    <n v="2025"/>
    <s v="20120633489    "/>
    <n v="-1.7147984280919266"/>
    <n v="0.18"/>
    <n v="7687"/>
    <s v="2"/>
    <s v="RES"/>
    <s v="MX"/>
    <s v="11"/>
    <s v="259"/>
    <s v="CP"/>
    <x v="5"/>
    <s v="GD"/>
    <n v="10"/>
    <n v="13"/>
    <n v="13"/>
    <n v="2011"/>
    <n v="2011"/>
    <n v="1524"/>
    <m/>
    <m/>
    <m/>
    <m/>
    <n v="0"/>
    <n v="1524"/>
    <n v="2000"/>
    <s v="N"/>
    <m/>
    <n v="432"/>
    <m/>
    <m/>
    <m/>
    <m/>
    <m/>
    <n v="349818"/>
    <n v="328829"/>
    <n v="0"/>
    <n v="0"/>
    <n v="62500"/>
    <n v="307200"/>
    <n v="369700"/>
    <n v="132535.48800000001"/>
    <n v="88356.992000000013"/>
    <n v="-22505.565020573864"/>
    <n v="32917.849192000001"/>
    <n v="30300.329274"/>
    <n v="-1413.6342999999999"/>
    <n v="95113.419120000006"/>
    <n v="0"/>
    <n v="0"/>
    <n v="15250.045392"/>
    <n v="0"/>
    <n v="304700"/>
    <n v="65900"/>
    <n v="370600"/>
    <n v="2.4344062753583989E-3"/>
    <n v="0.99970000000000003"/>
    <n v="1.0019"/>
    <n v="0.997"/>
    <n v="1.0007999999999999"/>
    <n v="0.99080000000000001"/>
    <n v="0.94971499999999998"/>
    <n v="0.94068913278978916"/>
    <n v="296800"/>
    <n v="0"/>
    <n v="296800"/>
    <n v="62500"/>
    <n v="359300"/>
    <n v="-3.3854166666666664E-2"/>
    <n v="0"/>
    <n v="-2.8130916959697053E-2"/>
  </r>
  <r>
    <n v="2025"/>
    <s v="20120633530    "/>
    <n v="-1.7147984280919266"/>
    <n v="0.18"/>
    <n v="7738"/>
    <s v="2"/>
    <s v="RES"/>
    <s v="MX"/>
    <s v="11"/>
    <s v="259"/>
    <s v="CP"/>
    <x v="4"/>
    <s v="VG"/>
    <n v="10"/>
    <n v="13"/>
    <n v="13"/>
    <n v="2011"/>
    <n v="2011"/>
    <n v="1126"/>
    <n v="1260"/>
    <m/>
    <m/>
    <m/>
    <n v="0"/>
    <n v="2386"/>
    <n v="2500"/>
    <s v="N"/>
    <n v="1"/>
    <n v="657"/>
    <m/>
    <m/>
    <m/>
    <m/>
    <m/>
    <n v="429865"/>
    <n v="408372"/>
    <n v="0"/>
    <n v="0"/>
    <n v="62500"/>
    <n v="391000"/>
    <n v="453500"/>
    <n v="132535.48800000001"/>
    <n v="88356.992000000013"/>
    <n v="-22505.565020573864"/>
    <n v="37154.252388000001"/>
    <n v="50438.379078999998"/>
    <n v="-1413.6342999999999"/>
    <n v="70274.087880000006"/>
    <n v="75071.282579999999"/>
    <n v="0"/>
    <n v="23192.777367000002"/>
    <n v="0"/>
    <n v="387300"/>
    <n v="65900"/>
    <n v="453200"/>
    <n v="-6.6152149944873203E-4"/>
    <n v="0.99970000000000003"/>
    <n v="0.99819999999999998"/>
    <n v="1.0007999999999999"/>
    <n v="1.0008999999999999"/>
    <n v="0.99080000000000001"/>
    <n v="0.94971499999999998"/>
    <n v="0.94088132113065737"/>
    <n v="379400"/>
    <n v="0"/>
    <n v="379400"/>
    <n v="62500"/>
    <n v="441900"/>
    <n v="-2.9667519181585677E-2"/>
    <n v="0"/>
    <n v="-2.5578831312017641E-2"/>
  </r>
  <r>
    <n v="2025"/>
    <s v="20120633434    "/>
    <n v="-1.7147984280919266"/>
    <n v="0.18"/>
    <n v="7809"/>
    <s v="2"/>
    <s v="RES"/>
    <s v="MX"/>
    <s v="11"/>
    <s v="259"/>
    <s v="CO"/>
    <x v="4"/>
    <s v="GD"/>
    <n v="10"/>
    <n v="16"/>
    <n v="16"/>
    <n v="2008"/>
    <n v="2008"/>
    <n v="1040"/>
    <n v="1040"/>
    <m/>
    <m/>
    <m/>
    <n v="0"/>
    <n v="2080"/>
    <n v="2500"/>
    <s v="N"/>
    <n v="1"/>
    <n v="716"/>
    <m/>
    <m/>
    <m/>
    <m/>
    <m/>
    <n v="386281"/>
    <n v="355379"/>
    <n v="0"/>
    <n v="0"/>
    <n v="62500"/>
    <n v="351300"/>
    <n v="413800"/>
    <n v="132535.48800000001"/>
    <n v="88356.992000000013"/>
    <n v="-22505.565020573864"/>
    <n v="37154.252388000001"/>
    <n v="30300.329274"/>
    <n v="-1739.8576"/>
    <n v="64906.7952"/>
    <n v="61963.598319999997"/>
    <n v="0"/>
    <n v="25275.538196000001"/>
    <n v="0"/>
    <n v="350400"/>
    <n v="65900"/>
    <n v="416300"/>
    <n v="6.0415659739004347E-3"/>
    <n v="0.99970000000000003"/>
    <n v="0.99819999999999998"/>
    <n v="0.997"/>
    <n v="1.0008999999999999"/>
    <n v="0.99080000000000001"/>
    <n v="0.94971499999999998"/>
    <n v="0.93730883010318289"/>
    <n v="342100"/>
    <n v="0"/>
    <n v="342100"/>
    <n v="62500"/>
    <n v="404600"/>
    <n v="-2.6188442926273842E-2"/>
    <n v="0"/>
    <n v="-2.2232962783953602E-2"/>
  </r>
  <r>
    <n v="2025"/>
    <s v="20120634486    "/>
    <n v="-1.7147984280919266"/>
    <n v="0.18"/>
    <n v="7670"/>
    <s v="2"/>
    <s v="RES"/>
    <s v="MX"/>
    <s v="11"/>
    <s v="259"/>
    <s v="CP"/>
    <x v="4"/>
    <s v="GD"/>
    <n v="0"/>
    <n v="9"/>
    <n v="9"/>
    <n v="2015"/>
    <n v="2015"/>
    <n v="1388"/>
    <m/>
    <m/>
    <m/>
    <m/>
    <n v="0"/>
    <n v="1388"/>
    <n v="1500"/>
    <s v="N"/>
    <m/>
    <n v="404"/>
    <m/>
    <m/>
    <m/>
    <m/>
    <m/>
    <n v="277491"/>
    <n v="263616"/>
    <n v="0"/>
    <n v="0"/>
    <n v="62500"/>
    <n v="300300"/>
    <n v="362800"/>
    <n v="132535.48800000001"/>
    <n v="88356.992000000013"/>
    <n v="-22505.565020573864"/>
    <n v="37154.252388000001"/>
    <n v="30300.329274"/>
    <n v="-978.66989999999998"/>
    <n v="86625.607440000007"/>
    <n v="0"/>
    <n v="0"/>
    <n v="14261.616524000001"/>
    <n v="0"/>
    <n v="299900"/>
    <n v="65900"/>
    <n v="365800"/>
    <n v="8.2690187431091518E-3"/>
    <n v="0.99970000000000003"/>
    <n v="0.99819999999999998"/>
    <n v="0.997"/>
    <n v="0.99519999999999997"/>
    <n v="1.0022"/>
    <n v="0.94971499999999998"/>
    <n v="0.94269409566479867"/>
    <n v="292300"/>
    <n v="0"/>
    <n v="292300"/>
    <n v="62500"/>
    <n v="354800"/>
    <n v="-2.664002664002664E-2"/>
    <n v="0"/>
    <n v="-2.2050716648291068E-2"/>
  </r>
  <r>
    <n v="2025"/>
    <s v="19120141484    "/>
    <n v="-1.7147984280919266"/>
    <n v="0.18"/>
    <n v="7835"/>
    <s v="2"/>
    <s v="RES"/>
    <s v="MX"/>
    <s v="11"/>
    <s v="259"/>
    <s v="RN"/>
    <x v="5"/>
    <s v="VG"/>
    <n v="10"/>
    <n v="19"/>
    <n v="19"/>
    <n v="2005"/>
    <n v="2005"/>
    <n v="1382"/>
    <m/>
    <m/>
    <m/>
    <m/>
    <n v="0"/>
    <n v="1382"/>
    <n v="1500"/>
    <s v="N"/>
    <n v="1"/>
    <n v="666"/>
    <m/>
    <m/>
    <m/>
    <m/>
    <m/>
    <n v="347670"/>
    <n v="316380"/>
    <n v="0"/>
    <n v="0"/>
    <n v="62500"/>
    <n v="323000"/>
    <n v="385500"/>
    <n v="132535.48800000001"/>
    <n v="88356.992000000013"/>
    <n v="-22505.565020573864"/>
    <n v="32917.849192000001"/>
    <n v="50438.379078999998"/>
    <n v="-2066.0808999999999"/>
    <n v="86251.14516"/>
    <n v="0"/>
    <n v="0"/>
    <n v="23510.486646000001"/>
    <n v="0"/>
    <n v="323600"/>
    <n v="65900"/>
    <n v="389500"/>
    <n v="1.0376134889753566E-2"/>
    <n v="0.99970000000000003"/>
    <n v="1.0019"/>
    <n v="1.0007999999999999"/>
    <n v="0.99519999999999997"/>
    <n v="0.99080000000000001"/>
    <n v="0.94971499999999998"/>
    <n v="0.93899079734443147"/>
    <n v="315500"/>
    <n v="0"/>
    <n v="315500"/>
    <n v="62500"/>
    <n v="378000"/>
    <n v="-2.3219814241486069E-2"/>
    <n v="0"/>
    <n v="-1.9455252918287938E-2"/>
  </r>
  <r>
    <n v="2025"/>
    <s v="19120112458    "/>
    <n v="-1.7147984280919266"/>
    <n v="0.18"/>
    <n v="7660"/>
    <s v="2"/>
    <s v="RES"/>
    <s v="MX"/>
    <s v="11"/>
    <s v="259"/>
    <s v="CO"/>
    <x v="5"/>
    <s v="VG"/>
    <n v="10"/>
    <n v="17"/>
    <n v="17"/>
    <n v="2007"/>
    <n v="2007"/>
    <n v="1374"/>
    <n v="1308"/>
    <m/>
    <m/>
    <m/>
    <n v="0"/>
    <n v="2682"/>
    <n v="3000"/>
    <s v="N"/>
    <m/>
    <n v="240"/>
    <n v="502"/>
    <m/>
    <m/>
    <m/>
    <m/>
    <n v="533901"/>
    <n v="496528"/>
    <n v="0"/>
    <n v="0"/>
    <n v="62500"/>
    <n v="388700"/>
    <n v="451200"/>
    <n v="132535.48800000001"/>
    <n v="88356.992000000013"/>
    <n v="-22505.565020573864"/>
    <n v="32917.849192000001"/>
    <n v="50438.379078999998"/>
    <n v="-1848.5987"/>
    <n v="85751.862120000005"/>
    <n v="77931.140963999991"/>
    <n v="0"/>
    <n v="8472.247440000001"/>
    <n v="0"/>
    <n v="386200"/>
    <n v="65900"/>
    <n v="452100"/>
    <n v="1.9946808510638296E-3"/>
    <n v="0.99970000000000003"/>
    <n v="1.0019"/>
    <n v="1.0007999999999999"/>
    <n v="1.0099"/>
    <n v="0.99080000000000001"/>
    <n v="0.94971499999999998"/>
    <n v="0.95286053681485272"/>
    <n v="380000"/>
    <n v="0"/>
    <n v="380000"/>
    <n v="62500"/>
    <n v="442500"/>
    <n v="-2.2382299974273219E-2"/>
    <n v="0"/>
    <n v="-1.9281914893617021E-2"/>
  </r>
  <r>
    <n v="2025"/>
    <s v="19120113474    "/>
    <n v="-1.7147984280919266"/>
    <n v="0.18"/>
    <n v="7630"/>
    <s v="2"/>
    <s v="RES"/>
    <s v="MX"/>
    <s v="11"/>
    <s v="259"/>
    <s v="CO"/>
    <x v="5"/>
    <s v="VG"/>
    <n v="10"/>
    <n v="18"/>
    <n v="18"/>
    <n v="2006"/>
    <n v="2006"/>
    <n v="1374"/>
    <n v="1332"/>
    <m/>
    <m/>
    <m/>
    <n v="0"/>
    <n v="2706"/>
    <n v="3000"/>
    <s v="N"/>
    <m/>
    <n v="240"/>
    <n v="502"/>
    <m/>
    <m/>
    <m/>
    <m/>
    <n v="525422"/>
    <n v="483388"/>
    <n v="0"/>
    <n v="0"/>
    <n v="62500"/>
    <n v="389100"/>
    <n v="451600"/>
    <n v="132535.48800000001"/>
    <n v="88356.992000000013"/>
    <n v="-22505.565020573864"/>
    <n v="32917.849192000001"/>
    <n v="50438.379078999998"/>
    <n v="-1957.3398"/>
    <n v="85751.862120000005"/>
    <n v="79361.070156000002"/>
    <n v="0"/>
    <n v="8472.247440000001"/>
    <n v="0"/>
    <n v="387500"/>
    <n v="65900"/>
    <n v="453400"/>
    <n v="3.9858281665190436E-3"/>
    <n v="0.99970000000000003"/>
    <n v="1.0019"/>
    <n v="1.0007999999999999"/>
    <n v="1.0099"/>
    <n v="0.99080000000000001"/>
    <n v="0.94971499999999998"/>
    <n v="0.95286053681485272"/>
    <n v="381300"/>
    <n v="0"/>
    <n v="381300"/>
    <n v="62500"/>
    <n v="443800"/>
    <n v="-2.0046260601387818E-2"/>
    <n v="0"/>
    <n v="-1.7271922054915855E-2"/>
  </r>
  <r>
    <n v="2025"/>
    <s v="20120633493    "/>
    <n v="-1.7147984280919266"/>
    <n v="0.18"/>
    <n v="7867"/>
    <s v="2"/>
    <s v="RES"/>
    <s v="MX"/>
    <s v="11"/>
    <s v="259"/>
    <s v="CP"/>
    <x v="5"/>
    <s v="VG"/>
    <n v="10"/>
    <n v="12"/>
    <n v="12"/>
    <n v="2012"/>
    <n v="2012"/>
    <n v="1521"/>
    <m/>
    <m/>
    <m/>
    <m/>
    <n v="0"/>
    <n v="1521"/>
    <n v="2000"/>
    <s v="N"/>
    <m/>
    <n v="435"/>
    <m/>
    <m/>
    <m/>
    <m/>
    <m/>
    <n v="349845"/>
    <n v="332353"/>
    <n v="0"/>
    <n v="0"/>
    <n v="62500"/>
    <n v="324100"/>
    <n v="386600"/>
    <n v="132535.48800000001"/>
    <n v="88356.992000000013"/>
    <n v="-22505.565020573864"/>
    <n v="32917.849192000001"/>
    <n v="50438.379078999998"/>
    <n v="-1304.8932"/>
    <n v="94926.187980000002"/>
    <n v="0"/>
    <n v="0"/>
    <n v="15355.948485000001"/>
    <n v="0"/>
    <n v="324900"/>
    <n v="65900"/>
    <n v="390800"/>
    <n v="1.0863942058975685E-2"/>
    <n v="0.99970000000000003"/>
    <n v="1.0019"/>
    <n v="1.0007999999999999"/>
    <n v="1.0007999999999999"/>
    <n v="0.99080000000000001"/>
    <n v="0.94971499999999998"/>
    <n v="0.94427450761887755"/>
    <n v="317500"/>
    <n v="0"/>
    <n v="317500"/>
    <n v="62500"/>
    <n v="380000"/>
    <n v="-2.0364085158901573E-2"/>
    <n v="0"/>
    <n v="-1.7071908949818936E-2"/>
  </r>
  <r>
    <n v="2025"/>
    <s v="19120112482    "/>
    <n v="-1.7147984280919266"/>
    <n v="0.18"/>
    <n v="7926"/>
    <s v="2"/>
    <s v="RES"/>
    <s v="MX"/>
    <s v="11"/>
    <s v="259"/>
    <s v="RN"/>
    <x v="4"/>
    <s v="GD"/>
    <n v="10"/>
    <n v="17"/>
    <n v="17"/>
    <n v="2007"/>
    <n v="2007"/>
    <n v="1092"/>
    <m/>
    <m/>
    <m/>
    <m/>
    <n v="0"/>
    <n v="1092"/>
    <n v="1500"/>
    <s v="N"/>
    <m/>
    <n v="440"/>
    <m/>
    <m/>
    <m/>
    <m/>
    <m/>
    <n v="232141"/>
    <n v="213570"/>
    <n v="0"/>
    <n v="0"/>
    <n v="62500"/>
    <n v="278500"/>
    <n v="341000"/>
    <n v="132535.48800000001"/>
    <n v="88356.992000000013"/>
    <n v="-22505.565020573864"/>
    <n v="37154.252388000001"/>
    <n v="30300.329274"/>
    <n v="-1848.5987"/>
    <n v="68152.13496000001"/>
    <n v="0"/>
    <n v="0"/>
    <n v="15532.453640000002"/>
    <n v="0"/>
    <n v="281800"/>
    <n v="65900"/>
    <n v="347700"/>
    <n v="1.964809384164223E-2"/>
    <n v="0.99970000000000003"/>
    <n v="0.99819999999999998"/>
    <n v="0.997"/>
    <n v="0.99519999999999997"/>
    <n v="0.99080000000000001"/>
    <n v="0.94971499999999998"/>
    <n v="0.93197097384222971"/>
    <n v="272800"/>
    <n v="0"/>
    <n v="272800"/>
    <n v="62500"/>
    <n v="335300"/>
    <n v="-2.0466786355475764E-2"/>
    <n v="0"/>
    <n v="-1.6715542521994135E-2"/>
  </r>
  <r>
    <n v="2025"/>
    <s v="20120633525    "/>
    <n v="-1.7147984280919266"/>
    <n v="0.18"/>
    <n v="7738"/>
    <s v="2"/>
    <s v="RES"/>
    <s v="MX"/>
    <s v="11"/>
    <s v="259"/>
    <s v="CP"/>
    <x v="4"/>
    <s v="VG"/>
    <n v="10"/>
    <n v="12"/>
    <n v="12"/>
    <n v="2012"/>
    <n v="2012"/>
    <n v="1270"/>
    <n v="1634"/>
    <m/>
    <m/>
    <m/>
    <n v="0"/>
    <n v="2904"/>
    <n v="3000"/>
    <s v="N"/>
    <n v="1"/>
    <n v="240"/>
    <n v="494"/>
    <m/>
    <m/>
    <m/>
    <m/>
    <n v="504186"/>
    <n v="478977"/>
    <n v="0"/>
    <n v="0"/>
    <n v="62500"/>
    <n v="404700"/>
    <n v="467200"/>
    <n v="132535.48800000001"/>
    <n v="88356.992000000013"/>
    <n v="-22505.565020573864"/>
    <n v="37154.252388000001"/>
    <n v="50438.379078999998"/>
    <n v="-1304.8932"/>
    <n v="79261.1826"/>
    <n v="97354.345822000003"/>
    <n v="0"/>
    <n v="8472.247440000001"/>
    <n v="0"/>
    <n v="403900"/>
    <n v="65900"/>
    <n v="469800"/>
    <n v="5.5650684931506846E-3"/>
    <n v="0.99970000000000003"/>
    <n v="0.99819999999999998"/>
    <n v="1.0007999999999999"/>
    <n v="1.0099"/>
    <n v="0.99080000000000001"/>
    <n v="0.94971499999999998"/>
    <n v="0.94934163873498945"/>
    <n v="397200"/>
    <n v="0"/>
    <n v="397200"/>
    <n v="62500"/>
    <n v="459700"/>
    <n v="-1.8532246108228317E-2"/>
    <n v="0"/>
    <n v="-1.6053082191780824E-2"/>
  </r>
  <r>
    <n v="2025"/>
    <s v="20120634434    "/>
    <n v="-1.7147984280919266"/>
    <n v="0.18"/>
    <n v="7790"/>
    <s v="2"/>
    <s v="RES"/>
    <s v="MX"/>
    <s v="11"/>
    <s v="259"/>
    <s v="CP"/>
    <x v="5"/>
    <s v="VG"/>
    <n v="10"/>
    <n v="10"/>
    <n v="10"/>
    <n v="2014"/>
    <n v="2014"/>
    <n v="2156"/>
    <m/>
    <m/>
    <m/>
    <m/>
    <n v="0"/>
    <n v="2156"/>
    <n v="2500"/>
    <s v="N"/>
    <n v="1"/>
    <n v="688"/>
    <m/>
    <m/>
    <m/>
    <m/>
    <m/>
    <n v="467794"/>
    <n v="444404"/>
    <n v="0"/>
    <n v="0"/>
    <n v="62500"/>
    <n v="372700"/>
    <n v="435200"/>
    <n v="132535.48800000001"/>
    <n v="88356.992000000013"/>
    <n v="-22505.565020573864"/>
    <n v="32917.849192000001"/>
    <n v="50438.379078999998"/>
    <n v="-1087.4110000000001"/>
    <n v="134556.77928000002"/>
    <n v="0"/>
    <n v="0"/>
    <n v="24287.109328000002"/>
    <n v="0"/>
    <n v="373600"/>
    <n v="65900"/>
    <n v="439500"/>
    <n v="9.8805147058823525E-3"/>
    <n v="0.99970000000000003"/>
    <n v="1.0019"/>
    <n v="1.0007999999999999"/>
    <n v="1.0008999999999999"/>
    <n v="0.99080000000000001"/>
    <n v="0.94971499999999998"/>
    <n v="0.94436885958806405"/>
    <n v="366300"/>
    <n v="0"/>
    <n v="366300"/>
    <n v="62500"/>
    <n v="428800"/>
    <n v="-1.7171988194258116E-2"/>
    <n v="0"/>
    <n v="-1.4705882352941176E-2"/>
  </r>
  <r>
    <n v="2025"/>
    <s v="20120633524    "/>
    <n v="-1.7147984280919266"/>
    <n v="0.18"/>
    <n v="7738"/>
    <s v="2"/>
    <s v="RES"/>
    <s v="MX"/>
    <s v="11"/>
    <s v="259"/>
    <s v="CO"/>
    <x v="4"/>
    <s v="VG"/>
    <n v="10"/>
    <n v="13"/>
    <n v="13"/>
    <n v="2011"/>
    <n v="2011"/>
    <n v="1536"/>
    <m/>
    <m/>
    <m/>
    <m/>
    <n v="0"/>
    <n v="1536"/>
    <n v="2000"/>
    <s v="N"/>
    <m/>
    <n v="420"/>
    <m/>
    <m/>
    <m/>
    <m/>
    <m/>
    <n v="308809"/>
    <n v="293369"/>
    <n v="0"/>
    <n v="0"/>
    <n v="62500"/>
    <n v="327200"/>
    <n v="389700"/>
    <n v="132535.48800000001"/>
    <n v="88356.992000000013"/>
    <n v="-22505.565020573864"/>
    <n v="37154.252388000001"/>
    <n v="50438.379078999998"/>
    <n v="-1413.6342999999999"/>
    <n v="95862.343680000005"/>
    <n v="0"/>
    <n v="0"/>
    <n v="14826.43302"/>
    <n v="0"/>
    <n v="329400"/>
    <n v="65900"/>
    <n v="395300"/>
    <n v="1.437002822684116E-2"/>
    <n v="0.99970000000000003"/>
    <n v="0.99819999999999998"/>
    <n v="1.0007999999999999"/>
    <n v="1.0007999999999999"/>
    <n v="0.99080000000000001"/>
    <n v="0.94971499999999998"/>
    <n v="0.9407873176017203"/>
    <n v="321600"/>
    <n v="0"/>
    <n v="321600"/>
    <n v="62500"/>
    <n v="384100"/>
    <n v="-1.7114914425427872E-2"/>
    <n v="0"/>
    <n v="-1.437002822684116E-2"/>
  </r>
  <r>
    <n v="2025"/>
    <s v="19120141482    "/>
    <n v="-1.7147984280919266"/>
    <n v="0.18"/>
    <n v="7846"/>
    <s v="2"/>
    <s v="RES"/>
    <s v="MX"/>
    <s v="11"/>
    <s v="259"/>
    <s v="CO"/>
    <x v="4"/>
    <s v="GD"/>
    <n v="10"/>
    <n v="19"/>
    <n v="19"/>
    <n v="2005"/>
    <n v="2005"/>
    <n v="1040"/>
    <n v="1040"/>
    <m/>
    <m/>
    <m/>
    <n v="0"/>
    <n v="2080"/>
    <n v="2500"/>
    <s v="N"/>
    <m/>
    <n v="716"/>
    <m/>
    <m/>
    <m/>
    <m/>
    <m/>
    <n v="383541"/>
    <n v="349022"/>
    <n v="0"/>
    <n v="0"/>
    <n v="62500"/>
    <n v="347500"/>
    <n v="410000"/>
    <n v="132535.48800000001"/>
    <n v="88356.992000000013"/>
    <n v="-22505.565020573864"/>
    <n v="37154.252388000001"/>
    <n v="30300.329274"/>
    <n v="-2066.0808999999999"/>
    <n v="64906.7952"/>
    <n v="61963.598319999997"/>
    <n v="0"/>
    <n v="25275.538196000001"/>
    <n v="0"/>
    <n v="350100"/>
    <n v="65900"/>
    <n v="416000"/>
    <n v="1.4634146341463415E-2"/>
    <n v="0.99970000000000003"/>
    <n v="0.99819999999999998"/>
    <n v="0.997"/>
    <n v="1.0008999999999999"/>
    <n v="0.99080000000000001"/>
    <n v="0.94971499999999998"/>
    <n v="0.93730883010318289"/>
    <n v="341800"/>
    <n v="0"/>
    <n v="341800"/>
    <n v="62500"/>
    <n v="404300"/>
    <n v="-1.6402877697841725E-2"/>
    <n v="0"/>
    <n v="-1.3902439024390244E-2"/>
  </r>
  <r>
    <n v="2025"/>
    <s v="20120633505    "/>
    <n v="-1.7147984280919266"/>
    <n v="0.18"/>
    <n v="7845"/>
    <s v="2"/>
    <s v="RES"/>
    <s v="MX"/>
    <s v="11"/>
    <s v="259"/>
    <s v="CP"/>
    <x v="4"/>
    <s v="GD"/>
    <n v="10"/>
    <n v="13"/>
    <n v="13"/>
    <n v="2011"/>
    <n v="2011"/>
    <n v="1380"/>
    <m/>
    <m/>
    <m/>
    <m/>
    <n v="0"/>
    <n v="1380"/>
    <n v="1500"/>
    <s v="N"/>
    <m/>
    <n v="428"/>
    <m/>
    <m/>
    <m/>
    <m/>
    <m/>
    <n v="283188"/>
    <n v="266197"/>
    <n v="0"/>
    <n v="0"/>
    <n v="62500"/>
    <n v="295700"/>
    <n v="358200"/>
    <n v="132535.48800000001"/>
    <n v="88356.992000000013"/>
    <n v="-22505.565020573864"/>
    <n v="37154.252388000001"/>
    <n v="30300.329274"/>
    <n v="-1413.6342999999999"/>
    <n v="86126.324399999998"/>
    <n v="0"/>
    <n v="0"/>
    <n v="15108.841268"/>
    <n v="0"/>
    <n v="299800"/>
    <n v="65900"/>
    <n v="365700"/>
    <n v="2.0938023450586266E-2"/>
    <n v="0.99970000000000003"/>
    <n v="0.99819999999999998"/>
    <n v="0.997"/>
    <n v="0.99519999999999997"/>
    <n v="0.99080000000000001"/>
    <n v="0.94971499999999998"/>
    <n v="0.93197097384222971"/>
    <n v="290800"/>
    <n v="0"/>
    <n v="290800"/>
    <n v="62500"/>
    <n v="353300"/>
    <n v="-1.6570848833276971E-2"/>
    <n v="0"/>
    <n v="-1.3679508654383027E-2"/>
  </r>
  <r>
    <n v="2025"/>
    <s v="20120633522    "/>
    <n v="-1.7147984280919266"/>
    <n v="0.18"/>
    <n v="7921"/>
    <s v="2"/>
    <s v="RES"/>
    <s v="MX"/>
    <s v="11"/>
    <s v="259"/>
    <s v="CP"/>
    <x v="4"/>
    <s v="GD"/>
    <n v="10"/>
    <n v="13"/>
    <n v="13"/>
    <n v="2011"/>
    <n v="2011"/>
    <n v="1380"/>
    <m/>
    <m/>
    <m/>
    <m/>
    <n v="0"/>
    <n v="1380"/>
    <n v="1500"/>
    <s v="N"/>
    <m/>
    <n v="412"/>
    <m/>
    <m/>
    <m/>
    <m/>
    <m/>
    <n v="281769"/>
    <n v="264863"/>
    <n v="0"/>
    <n v="0"/>
    <n v="62500"/>
    <n v="294900"/>
    <n v="357400"/>
    <n v="132535.48800000001"/>
    <n v="88356.992000000013"/>
    <n v="-22505.565020573864"/>
    <n v="37154.252388000001"/>
    <n v="30300.329274"/>
    <n v="-1413.6342999999999"/>
    <n v="86126.324399999998"/>
    <n v="0"/>
    <n v="0"/>
    <n v="14544.024772000001"/>
    <n v="0"/>
    <n v="299200"/>
    <n v="65900"/>
    <n v="365100"/>
    <n v="2.1544487968662564E-2"/>
    <n v="0.99970000000000003"/>
    <n v="0.99819999999999998"/>
    <n v="0.997"/>
    <n v="0.99519999999999997"/>
    <n v="0.99080000000000001"/>
    <n v="0.94971499999999998"/>
    <n v="0.93197097384222971"/>
    <n v="290200"/>
    <n v="0"/>
    <n v="290200"/>
    <n v="62500"/>
    <n v="352700"/>
    <n v="-1.5937605968124789E-2"/>
    <n v="0"/>
    <n v="-1.3150531617235591E-2"/>
  </r>
  <r>
    <n v="2025"/>
    <s v="19120144483    "/>
    <n v="-1.7147984280919266"/>
    <n v="0.18"/>
    <n v="7624"/>
    <s v="2"/>
    <s v="RES"/>
    <s v="MX"/>
    <s v="11"/>
    <s v="259"/>
    <s v="CO"/>
    <x v="5"/>
    <s v="VG"/>
    <n v="20"/>
    <n v="20"/>
    <n v="20"/>
    <n v="2004"/>
    <n v="2004"/>
    <n v="1158"/>
    <n v="1322"/>
    <m/>
    <m/>
    <m/>
    <n v="0"/>
    <n v="2480"/>
    <n v="2500"/>
    <s v="N"/>
    <m/>
    <m/>
    <n v="502"/>
    <m/>
    <m/>
    <m/>
    <m/>
    <n v="476396"/>
    <n v="438284"/>
    <n v="0"/>
    <n v="0"/>
    <n v="62500"/>
    <n v="365900"/>
    <n v="428400"/>
    <n v="132535.48800000001"/>
    <n v="88356.992000000013"/>
    <n v="-22505.565020573864"/>
    <n v="32917.849192000001"/>
    <n v="50438.379078999998"/>
    <n v="-2174.8220000000001"/>
    <n v="72271.22004"/>
    <n v="78765.266325999997"/>
    <n v="0"/>
    <n v="0"/>
    <n v="0"/>
    <n v="364800"/>
    <n v="65900"/>
    <n v="430700"/>
    <n v="5.3688141923436041E-3"/>
    <n v="0.99970000000000003"/>
    <n v="1.0019"/>
    <n v="1.0007999999999999"/>
    <n v="1.0008999999999999"/>
    <n v="1.0138"/>
    <n v="0.94971499999999998"/>
    <n v="0.9662910273015537"/>
    <n v="360300"/>
    <n v="0"/>
    <n v="360300"/>
    <n v="62500"/>
    <n v="422800"/>
    <n v="-1.5304728067778082E-2"/>
    <n v="0"/>
    <n v="-1.3071895424836602E-2"/>
  </r>
  <r>
    <n v="2025"/>
    <s v="20120633429    "/>
    <n v="-1.7147984280919266"/>
    <n v="0.18"/>
    <n v="7799"/>
    <s v="2"/>
    <s v="RES"/>
    <s v="MX"/>
    <s v="11"/>
    <s v="259"/>
    <s v="CP"/>
    <x v="4"/>
    <s v="GD"/>
    <n v="10"/>
    <n v="14"/>
    <n v="14"/>
    <n v="2010"/>
    <n v="2010"/>
    <n v="1380"/>
    <m/>
    <m/>
    <m/>
    <m/>
    <n v="0"/>
    <n v="1380"/>
    <n v="1500"/>
    <s v="N"/>
    <m/>
    <n v="428"/>
    <m/>
    <m/>
    <m/>
    <m/>
    <m/>
    <n v="276046"/>
    <n v="256723"/>
    <n v="0"/>
    <n v="0"/>
    <n v="62500"/>
    <n v="294800"/>
    <n v="357300"/>
    <n v="132535.48800000001"/>
    <n v="88356.992000000013"/>
    <n v="-22505.565020573864"/>
    <n v="37154.252388000001"/>
    <n v="30300.329274"/>
    <n v="-1522.3754000000001"/>
    <n v="86126.324399999998"/>
    <n v="0"/>
    <n v="0"/>
    <n v="15108.841268"/>
    <n v="0"/>
    <n v="299700"/>
    <n v="65900"/>
    <n v="365600"/>
    <n v="2.3229778897285194E-2"/>
    <n v="0.99970000000000003"/>
    <n v="0.99819999999999998"/>
    <n v="0.997"/>
    <n v="0.99519999999999997"/>
    <n v="0.99080000000000001"/>
    <n v="0.94971499999999998"/>
    <n v="0.93197097384222971"/>
    <n v="290700"/>
    <n v="0"/>
    <n v="290700"/>
    <n v="62500"/>
    <n v="353200"/>
    <n v="-1.3907734056987787E-2"/>
    <n v="0"/>
    <n v="-1.1474951021550517E-2"/>
  </r>
  <r>
    <n v="2025"/>
    <s v="19120112459    "/>
    <n v="-1.7147984280919266"/>
    <n v="0.18"/>
    <n v="7660"/>
    <s v="2"/>
    <s v="RES"/>
    <s v="MX"/>
    <s v="11"/>
    <s v="259"/>
    <s v="RN"/>
    <x v="4"/>
    <s v="GD"/>
    <n v="10"/>
    <n v="17"/>
    <n v="17"/>
    <n v="2007"/>
    <n v="2007"/>
    <n v="1076"/>
    <m/>
    <m/>
    <m/>
    <m/>
    <n v="0"/>
    <n v="1076"/>
    <n v="1500"/>
    <s v="N"/>
    <m/>
    <n v="440"/>
    <m/>
    <m/>
    <m/>
    <m/>
    <m/>
    <n v="230548"/>
    <n v="212104"/>
    <n v="0"/>
    <n v="0"/>
    <n v="62500"/>
    <n v="275300"/>
    <n v="337800"/>
    <n v="132535.48800000001"/>
    <n v="88356.992000000013"/>
    <n v="-22505.565020573864"/>
    <n v="37154.252388000001"/>
    <n v="30300.329274"/>
    <n v="-1848.5987"/>
    <n v="67153.568880000006"/>
    <n v="0"/>
    <n v="0"/>
    <n v="15532.453640000002"/>
    <n v="0"/>
    <n v="280800"/>
    <n v="65900"/>
    <n v="346700"/>
    <n v="2.634695085849615E-2"/>
    <n v="0.99970000000000003"/>
    <n v="0.99819999999999998"/>
    <n v="0.997"/>
    <n v="0.99519999999999997"/>
    <n v="0.99080000000000001"/>
    <n v="0.94971499999999998"/>
    <n v="0.93197097384222971"/>
    <n v="271800"/>
    <n v="0"/>
    <n v="271800"/>
    <n v="62500"/>
    <n v="334300"/>
    <n v="-1.2713403559752997E-2"/>
    <n v="0"/>
    <n v="-1.0361160449970397E-2"/>
  </r>
  <r>
    <n v="2025"/>
    <s v="19120112460    "/>
    <n v="-1.7147984280919266"/>
    <n v="0.18"/>
    <n v="7856"/>
    <s v="2"/>
    <s v="RES"/>
    <s v="MX"/>
    <s v="11"/>
    <s v="259"/>
    <s v="RN"/>
    <x v="4"/>
    <s v="GD"/>
    <n v="10"/>
    <n v="17"/>
    <n v="17"/>
    <n v="2007"/>
    <n v="2007"/>
    <n v="1076"/>
    <m/>
    <m/>
    <m/>
    <m/>
    <n v="0"/>
    <n v="1076"/>
    <n v="1500"/>
    <s v="N"/>
    <m/>
    <n v="440"/>
    <m/>
    <m/>
    <m/>
    <m/>
    <m/>
    <n v="231375"/>
    <n v="212865"/>
    <n v="0"/>
    <n v="0"/>
    <n v="62500"/>
    <n v="275300"/>
    <n v="337800"/>
    <n v="132535.48800000001"/>
    <n v="88356.992000000013"/>
    <n v="-22505.565020573864"/>
    <n v="37154.252388000001"/>
    <n v="30300.329274"/>
    <n v="-1848.5987"/>
    <n v="67153.568880000006"/>
    <n v="0"/>
    <n v="0"/>
    <n v="15532.453640000002"/>
    <n v="0"/>
    <n v="280800"/>
    <n v="65900"/>
    <n v="346700"/>
    <n v="2.634695085849615E-2"/>
    <n v="0.99970000000000003"/>
    <n v="0.99819999999999998"/>
    <n v="0.997"/>
    <n v="0.99519999999999997"/>
    <n v="0.99080000000000001"/>
    <n v="0.94971499999999998"/>
    <n v="0.93197097384222971"/>
    <n v="271800"/>
    <n v="0"/>
    <n v="271800"/>
    <n v="62500"/>
    <n v="334300"/>
    <n v="-1.2713403559752997E-2"/>
    <n v="0"/>
    <n v="-1.0361160449970397E-2"/>
  </r>
  <r>
    <n v="2025"/>
    <s v="19120141489    "/>
    <n v="-1.7147984280919266"/>
    <n v="0.18"/>
    <n v="7962"/>
    <s v="2"/>
    <s v="RES"/>
    <s v="MX"/>
    <s v="11"/>
    <s v="259"/>
    <s v="CO"/>
    <x v="4"/>
    <s v="GD"/>
    <n v="10"/>
    <n v="19"/>
    <n v="19"/>
    <n v="2005"/>
    <n v="2005"/>
    <n v="1040"/>
    <n v="1040"/>
    <m/>
    <m/>
    <m/>
    <n v="0"/>
    <n v="2080"/>
    <n v="2500"/>
    <s v="N"/>
    <m/>
    <n v="440"/>
    <m/>
    <m/>
    <m/>
    <m/>
    <m/>
    <n v="371322"/>
    <n v="337903"/>
    <n v="0"/>
    <n v="0"/>
    <n v="62500"/>
    <n v="335600"/>
    <n v="398100"/>
    <n v="132535.48800000001"/>
    <n v="88356.992000000013"/>
    <n v="-22505.565020573864"/>
    <n v="37154.252388000001"/>
    <n v="30300.329274"/>
    <n v="-2066.0808999999999"/>
    <n v="64906.7952"/>
    <n v="61963.598319999997"/>
    <n v="0"/>
    <n v="15532.453640000002"/>
    <n v="0"/>
    <n v="340300"/>
    <n v="65900"/>
    <n v="406200"/>
    <n v="2.0346646571213264E-2"/>
    <n v="0.99970000000000003"/>
    <n v="0.99819999999999998"/>
    <n v="0.997"/>
    <n v="1.0008999999999999"/>
    <n v="0.99080000000000001"/>
    <n v="0.94971499999999998"/>
    <n v="0.93730883010318289"/>
    <n v="332000"/>
    <n v="0"/>
    <n v="332000"/>
    <n v="62500"/>
    <n v="394500"/>
    <n v="-1.0727056019070322E-2"/>
    <n v="0"/>
    <n v="-9.0429540316503392E-3"/>
  </r>
  <r>
    <n v="2025"/>
    <s v="19120134415    "/>
    <n v="-1.7147984280919266"/>
    <n v="0.18"/>
    <n v="7800"/>
    <s v="2"/>
    <s v="RES"/>
    <s v="MX"/>
    <s v="11"/>
    <s v="259"/>
    <s v="CO"/>
    <x v="0"/>
    <s v="EX"/>
    <n v="0"/>
    <n v="2"/>
    <n v="2"/>
    <n v="2022"/>
    <n v="2022"/>
    <n v="1320"/>
    <m/>
    <m/>
    <m/>
    <m/>
    <n v="0"/>
    <n v="1320"/>
    <n v="1500"/>
    <s v="N"/>
    <m/>
    <n v="440"/>
    <m/>
    <m/>
    <m/>
    <m/>
    <m/>
    <n v="236482"/>
    <n v="231752"/>
    <n v="0"/>
    <n v="0"/>
    <n v="62500"/>
    <n v="297200"/>
    <n v="359700"/>
    <n v="132535.48800000001"/>
    <n v="88356.992000000013"/>
    <n v="-22505.565020573864"/>
    <n v="24371.765965999999"/>
    <n v="47371.278778200001"/>
    <n v="-217.48220000000001"/>
    <n v="82381.7016"/>
    <n v="0"/>
    <n v="0"/>
    <n v="15532.453640000002"/>
    <n v="0"/>
    <n v="302000"/>
    <n v="65900"/>
    <n v="367900"/>
    <n v="2.2796775090353071E-2"/>
    <n v="0.99970000000000003"/>
    <n v="0.99199999999999999"/>
    <n v="1.0012000000000001"/>
    <n v="0.99519999999999997"/>
    <n v="1.0022"/>
    <n v="0.94971499999999998"/>
    <n v="0.94078541570509944"/>
    <n v="294100"/>
    <n v="0"/>
    <n v="294100"/>
    <n v="62500"/>
    <n v="356600"/>
    <n v="-1.0430686406460296E-2"/>
    <n v="0"/>
    <n v="-8.6182930219627467E-3"/>
  </r>
  <r>
    <n v="2025"/>
    <s v="20120633431    "/>
    <n v="-1.7147984280919266"/>
    <n v="0.18"/>
    <n v="7809"/>
    <s v="2"/>
    <s v="RES"/>
    <s v="MX"/>
    <s v="11"/>
    <s v="259"/>
    <s v="CO"/>
    <x v="4"/>
    <s v="VG"/>
    <n v="10"/>
    <n v="15"/>
    <n v="15"/>
    <n v="2009"/>
    <n v="2009"/>
    <n v="1132"/>
    <m/>
    <m/>
    <m/>
    <m/>
    <n v="0"/>
    <n v="1132"/>
    <n v="1500"/>
    <s v="N"/>
    <m/>
    <n v="444"/>
    <m/>
    <m/>
    <m/>
    <m/>
    <m/>
    <n v="239323"/>
    <n v="224964"/>
    <n v="0"/>
    <n v="0"/>
    <n v="62500"/>
    <n v="299300"/>
    <n v="361800"/>
    <n v="132535.48800000001"/>
    <n v="88356.992000000013"/>
    <n v="-22505.565020573864"/>
    <n v="37154.252388000001"/>
    <n v="50438.379078999998"/>
    <n v="-1631.1165000000001"/>
    <n v="70648.550159999999"/>
    <n v="0"/>
    <n v="0"/>
    <n v="15673.657764000001"/>
    <n v="0"/>
    <n v="304800"/>
    <n v="65900"/>
    <n v="370700"/>
    <n v="2.4599226091763404E-2"/>
    <n v="0.99970000000000003"/>
    <n v="0.99819999999999998"/>
    <n v="1.0007999999999999"/>
    <n v="0.99519999999999997"/>
    <n v="0.99080000000000001"/>
    <n v="0.94971499999999998"/>
    <n v="0.93552311998124726"/>
    <n v="296300"/>
    <n v="0"/>
    <n v="296300"/>
    <n v="62500"/>
    <n v="358800"/>
    <n v="-1.0023387905111928E-2"/>
    <n v="0"/>
    <n v="-8.291873963515755E-3"/>
  </r>
  <r>
    <n v="2025"/>
    <s v="20120633432    "/>
    <n v="-1.7147984280919266"/>
    <n v="0.18"/>
    <n v="7809"/>
    <s v="2"/>
    <s v="RES"/>
    <s v="MX"/>
    <s v="11"/>
    <s v="259"/>
    <s v="CO"/>
    <x v="4"/>
    <s v="VG"/>
    <n v="10"/>
    <n v="15"/>
    <n v="15"/>
    <n v="2009"/>
    <n v="2009"/>
    <n v="1132"/>
    <m/>
    <m/>
    <m/>
    <m/>
    <n v="0"/>
    <n v="1132"/>
    <n v="1500"/>
    <s v="N"/>
    <m/>
    <n v="444"/>
    <m/>
    <m/>
    <m/>
    <m/>
    <m/>
    <n v="239323"/>
    <n v="224964"/>
    <n v="0"/>
    <n v="0"/>
    <n v="62500"/>
    <n v="299300"/>
    <n v="361800"/>
    <n v="132535.48800000001"/>
    <n v="88356.992000000013"/>
    <n v="-22505.565020573864"/>
    <n v="37154.252388000001"/>
    <n v="50438.379078999998"/>
    <n v="-1631.1165000000001"/>
    <n v="70648.550159999999"/>
    <n v="0"/>
    <n v="0"/>
    <n v="15673.657764000001"/>
    <n v="0"/>
    <n v="304800"/>
    <n v="65900"/>
    <n v="370700"/>
    <n v="2.4599226091763404E-2"/>
    <n v="0.99970000000000003"/>
    <n v="0.99819999999999998"/>
    <n v="1.0007999999999999"/>
    <n v="0.99519999999999997"/>
    <n v="0.99080000000000001"/>
    <n v="0.94971499999999998"/>
    <n v="0.93552311998124726"/>
    <n v="296300"/>
    <n v="0"/>
    <n v="296300"/>
    <n v="62500"/>
    <n v="358800"/>
    <n v="-1.0023387905111928E-2"/>
    <n v="0"/>
    <n v="-8.291873963515755E-3"/>
  </r>
  <r>
    <n v="2025"/>
    <s v="20120634488    "/>
    <n v="-1.7147984280919266"/>
    <n v="0.18"/>
    <n v="7670"/>
    <s v="2"/>
    <s v="RES"/>
    <s v="MX"/>
    <s v="11"/>
    <s v="259"/>
    <s v="CP"/>
    <x v="4"/>
    <s v="VG"/>
    <n v="0"/>
    <n v="9"/>
    <n v="9"/>
    <n v="2015"/>
    <n v="2015"/>
    <n v="1388"/>
    <m/>
    <m/>
    <m/>
    <m/>
    <n v="0"/>
    <n v="1388"/>
    <n v="1500"/>
    <s v="N"/>
    <m/>
    <n v="404"/>
    <m/>
    <m/>
    <m/>
    <m/>
    <m/>
    <n v="278347"/>
    <n v="267213"/>
    <n v="0"/>
    <n v="0"/>
    <n v="62500"/>
    <n v="316000"/>
    <n v="378500"/>
    <n v="132535.48800000001"/>
    <n v="88356.992000000013"/>
    <n v="-22505.565020573864"/>
    <n v="37154.252388000001"/>
    <n v="50438.379078999998"/>
    <n v="-978.66989999999998"/>
    <n v="86625.607440000007"/>
    <n v="0"/>
    <n v="0"/>
    <n v="14261.616524000001"/>
    <n v="0"/>
    <n v="320000"/>
    <n v="65900"/>
    <n v="385900"/>
    <n v="1.9550858652575959E-2"/>
    <n v="0.99970000000000003"/>
    <n v="0.99819999999999998"/>
    <n v="1.0007999999999999"/>
    <n v="0.99519999999999997"/>
    <n v="1.0022"/>
    <n v="0.94971499999999998"/>
    <n v="0.94628711227816509"/>
    <n v="312900"/>
    <n v="0"/>
    <n v="312900"/>
    <n v="62500"/>
    <n v="375400"/>
    <n v="-9.8101265822784812E-3"/>
    <n v="0"/>
    <n v="-8.1902245706737126E-3"/>
  </r>
  <r>
    <n v="2025"/>
    <s v="20120634429    "/>
    <n v="-1.7147984280919266"/>
    <n v="0.18"/>
    <n v="7787"/>
    <s v="2"/>
    <s v="RES"/>
    <s v="MX"/>
    <s v="11"/>
    <s v="259"/>
    <s v="CP"/>
    <x v="5"/>
    <s v="VG"/>
    <n v="10"/>
    <n v="10"/>
    <n v="10"/>
    <n v="2014"/>
    <n v="2014"/>
    <n v="1588"/>
    <n v="1122"/>
    <m/>
    <m/>
    <m/>
    <n v="0"/>
    <n v="2710"/>
    <n v="3000"/>
    <s v="N"/>
    <n v="1"/>
    <n v="252"/>
    <n v="420"/>
    <m/>
    <m/>
    <m/>
    <m/>
    <n v="534405"/>
    <n v="507685"/>
    <n v="0"/>
    <n v="0"/>
    <n v="62500"/>
    <n v="386400"/>
    <n v="448900"/>
    <n v="132535.48800000001"/>
    <n v="88356.992000000013"/>
    <n v="-22505.565020573864"/>
    <n v="32917.849192000001"/>
    <n v="50438.379078999998"/>
    <n v="-1087.4110000000001"/>
    <n v="99107.683440000008"/>
    <n v="66849.189725999997"/>
    <n v="0"/>
    <n v="8895.8598120000006"/>
    <n v="0"/>
    <n v="389700"/>
    <n v="65900"/>
    <n v="455600"/>
    <n v="1.4925373134328358E-2"/>
    <n v="0.99970000000000003"/>
    <n v="1.0019"/>
    <n v="1.0007999999999999"/>
    <n v="1.0099"/>
    <n v="0.99080000000000001"/>
    <n v="0.94971499999999998"/>
    <n v="0.95286053681485272"/>
    <n v="383400"/>
    <n v="0"/>
    <n v="383400"/>
    <n v="62500"/>
    <n v="445900"/>
    <n v="-7.763975155279503E-3"/>
    <n v="0"/>
    <n v="-6.6830028959679218E-3"/>
  </r>
  <r>
    <n v="2025"/>
    <s v="20120633527    "/>
    <n v="-1.7147984280919266"/>
    <n v="0.18"/>
    <n v="7738"/>
    <s v="2"/>
    <s v="RES"/>
    <s v="MX"/>
    <s v="11"/>
    <s v="259"/>
    <s v="RN"/>
    <x v="4"/>
    <s v="VG"/>
    <n v="10"/>
    <n v="12"/>
    <n v="12"/>
    <n v="2012"/>
    <n v="2012"/>
    <n v="1384"/>
    <m/>
    <m/>
    <m/>
    <m/>
    <n v="0"/>
    <n v="1384"/>
    <n v="1500"/>
    <s v="N"/>
    <n v="1"/>
    <n v="408"/>
    <m/>
    <m/>
    <m/>
    <m/>
    <m/>
    <n v="280380"/>
    <n v="266361"/>
    <n v="0"/>
    <n v="0"/>
    <n v="62500"/>
    <n v="312800"/>
    <n v="375300"/>
    <n v="132535.48800000001"/>
    <n v="88356.992000000013"/>
    <n v="-22505.565020573864"/>
    <n v="37154.252388000001"/>
    <n v="50438.379078999998"/>
    <n v="-1304.8932"/>
    <n v="86375.965920000002"/>
    <n v="0"/>
    <n v="0"/>
    <n v="14402.820648000001"/>
    <n v="0"/>
    <n v="319600"/>
    <n v="65900"/>
    <n v="385500"/>
    <n v="2.7178257394084731E-2"/>
    <n v="0.99970000000000003"/>
    <n v="0.99819999999999998"/>
    <n v="1.0007999999999999"/>
    <n v="0.99519999999999997"/>
    <n v="0.99080000000000001"/>
    <n v="0.94971499999999998"/>
    <n v="0.93552311998124726"/>
    <n v="311100"/>
    <n v="0"/>
    <n v="311100"/>
    <n v="62500"/>
    <n v="373600"/>
    <n v="-5.434782608695652E-3"/>
    <n v="0"/>
    <n v="-4.5297095656807885E-3"/>
  </r>
  <r>
    <n v="2025"/>
    <s v="20120633430    "/>
    <n v="-1.7147984280919266"/>
    <n v="0.18"/>
    <n v="7807"/>
    <s v="2"/>
    <s v="RES"/>
    <s v="MX"/>
    <s v="11"/>
    <s v="259"/>
    <s v="RN"/>
    <x v="4"/>
    <s v="VG"/>
    <n v="10"/>
    <n v="16"/>
    <n v="16"/>
    <n v="2008"/>
    <n v="2008"/>
    <n v="1212"/>
    <m/>
    <m/>
    <m/>
    <m/>
    <n v="0"/>
    <n v="1212"/>
    <n v="1500"/>
    <s v="N"/>
    <m/>
    <n v="680"/>
    <m/>
    <m/>
    <m/>
    <m/>
    <m/>
    <n v="259395"/>
    <n v="241237"/>
    <n v="0"/>
    <n v="0"/>
    <n v="62500"/>
    <n v="311100"/>
    <n v="373600"/>
    <n v="132535.48800000001"/>
    <n v="88356.992000000013"/>
    <n v="-22505.565020573864"/>
    <n v="37154.252388000001"/>
    <n v="50438.379078999998"/>
    <n v="-1739.8576"/>
    <n v="75641.380560000005"/>
    <n v="0"/>
    <n v="0"/>
    <n v="24004.701080000003"/>
    <n v="0"/>
    <n v="318000"/>
    <n v="65900"/>
    <n v="383900"/>
    <n v="2.7569593147751606E-2"/>
    <n v="0.99970000000000003"/>
    <n v="0.99819999999999998"/>
    <n v="1.0007999999999999"/>
    <n v="0.99519999999999997"/>
    <n v="0.99080000000000001"/>
    <n v="0.94971499999999998"/>
    <n v="0.93552311998124726"/>
    <n v="309500"/>
    <n v="0"/>
    <n v="309500"/>
    <n v="62500"/>
    <n v="372000"/>
    <n v="-5.1430408228865312E-3"/>
    <n v="0"/>
    <n v="-4.2826552462526769E-3"/>
  </r>
  <r>
    <n v="2025"/>
    <s v="20120633517    "/>
    <n v="-1.7147984280919266"/>
    <n v="0.18"/>
    <n v="7738"/>
    <s v="2"/>
    <s v="RES"/>
    <s v="MX"/>
    <s v="11"/>
    <s v="259"/>
    <s v="RN"/>
    <x v="5"/>
    <s v="VG"/>
    <n v="10"/>
    <n v="12"/>
    <n v="12"/>
    <n v="2012"/>
    <n v="2012"/>
    <n v="1906"/>
    <m/>
    <m/>
    <m/>
    <m/>
    <n v="0"/>
    <n v="1906"/>
    <n v="2000"/>
    <s v="N"/>
    <n v="1"/>
    <n v="501"/>
    <m/>
    <m/>
    <m/>
    <m/>
    <m/>
    <n v="426047"/>
    <n v="404745"/>
    <n v="0"/>
    <n v="0"/>
    <n v="62500"/>
    <n v="345300"/>
    <n v="407800"/>
    <n v="132535.48800000001"/>
    <n v="88356.992000000013"/>
    <n v="-22505.565020573864"/>
    <n v="32917.849192000001"/>
    <n v="50438.379078999998"/>
    <n v="-1304.8932"/>
    <n v="118954.18428"/>
    <n v="0"/>
    <n v="0"/>
    <n v="17685.816531"/>
    <n v="0"/>
    <n v="351200"/>
    <n v="65900"/>
    <n v="417100"/>
    <n v="2.2805296714075527E-2"/>
    <n v="0.99970000000000003"/>
    <n v="1.0019"/>
    <n v="1.0007999999999999"/>
    <n v="1.0007999999999999"/>
    <n v="0.99080000000000001"/>
    <n v="0.94971499999999998"/>
    <n v="0.94427450761887755"/>
    <n v="343800"/>
    <n v="0"/>
    <n v="343800"/>
    <n v="62500"/>
    <n v="406300"/>
    <n v="-4.3440486533449178E-3"/>
    <n v="0"/>
    <n v="-3.678273663560569E-3"/>
  </r>
  <r>
    <n v="2025"/>
    <s v="20120634485    "/>
    <n v="-1.7147984280919266"/>
    <n v="0.18"/>
    <n v="7907"/>
    <s v="2"/>
    <s v="RES"/>
    <s v="MX"/>
    <s v="11"/>
    <s v="259"/>
    <s v="CP"/>
    <x v="4"/>
    <s v="VG"/>
    <n v="0"/>
    <n v="9"/>
    <n v="9"/>
    <n v="2015"/>
    <n v="2015"/>
    <n v="1126"/>
    <n v="1126"/>
    <m/>
    <m/>
    <m/>
    <n v="0"/>
    <n v="2252"/>
    <n v="2500"/>
    <s v="N"/>
    <n v="1"/>
    <n v="440"/>
    <m/>
    <m/>
    <m/>
    <m/>
    <m/>
    <n v="395612"/>
    <n v="379788"/>
    <n v="0"/>
    <n v="0"/>
    <n v="62500"/>
    <n v="366800"/>
    <n v="429300"/>
    <n v="132535.48800000001"/>
    <n v="88356.992000000013"/>
    <n v="-22505.565020573864"/>
    <n v="37154.252388000001"/>
    <n v="50438.379078999998"/>
    <n v="-978.66989999999998"/>
    <n v="70274.087880000006"/>
    <n v="67087.511257999999"/>
    <n v="0"/>
    <n v="15532.453640000002"/>
    <n v="0"/>
    <n v="372000"/>
    <n v="65900"/>
    <n v="437900"/>
    <n v="2.003261122757978E-2"/>
    <n v="0.99970000000000003"/>
    <n v="0.99819999999999998"/>
    <n v="1.0007999999999999"/>
    <n v="1.0008999999999999"/>
    <n v="1.0022"/>
    <n v="0.94971499999999998"/>
    <n v="0.95170696410692857"/>
    <n v="365600"/>
    <n v="0"/>
    <n v="365600"/>
    <n v="62500"/>
    <n v="428100"/>
    <n v="-3.2715376226826608E-3"/>
    <n v="0"/>
    <n v="-2.7952480782669461E-3"/>
  </r>
  <r>
    <n v="2025"/>
    <s v="19120144424    "/>
    <n v="-1.7147984280919266"/>
    <n v="0.18"/>
    <n v="7895"/>
    <s v="2"/>
    <s v="RES"/>
    <s v="MX"/>
    <s v="11"/>
    <s v="259"/>
    <s v="RN"/>
    <x v="4"/>
    <s v="AV"/>
    <n v="20"/>
    <n v="20"/>
    <n v="20"/>
    <n v="2004"/>
    <n v="2004"/>
    <n v="1092"/>
    <m/>
    <m/>
    <m/>
    <m/>
    <n v="0"/>
    <n v="1092"/>
    <n v="1500"/>
    <s v="N"/>
    <m/>
    <n v="440"/>
    <m/>
    <m/>
    <m/>
    <m/>
    <m/>
    <n v="243140"/>
    <n v="221257"/>
    <n v="5686"/>
    <n v="0"/>
    <n v="62500"/>
    <n v="269100"/>
    <n v="331600"/>
    <n v="132535.48800000001"/>
    <n v="88356.992000000013"/>
    <n v="-22505.565020573864"/>
    <n v="37154.252388000001"/>
    <n v="17761.121909000001"/>
    <n v="-2174.8220000000001"/>
    <n v="68152.13496000001"/>
    <n v="0"/>
    <n v="0"/>
    <n v="15532.453640000002"/>
    <n v="5700"/>
    <n v="269000"/>
    <n v="65900"/>
    <n v="340600"/>
    <n v="2.7141133896260553E-2"/>
    <n v="0.99970000000000003"/>
    <n v="0.99819999999999998"/>
    <n v="0.99680000000000002"/>
    <n v="0.99519999999999997"/>
    <n v="1.0138"/>
    <n v="0.94971499999999998"/>
    <n v="0.95341404747827707"/>
    <n v="262800"/>
    <n v="5400"/>
    <n v="268200"/>
    <n v="62500"/>
    <n v="330700"/>
    <n v="-3.3444816053511705E-3"/>
    <n v="0"/>
    <n v="-2.7141133896260556E-3"/>
  </r>
  <r>
    <n v="2025"/>
    <s v="20120634423    "/>
    <n v="-1.7147984280919266"/>
    <n v="0.18"/>
    <n v="8021"/>
    <s v="2"/>
    <s v="RES"/>
    <s v="MX"/>
    <s v="11"/>
    <s v="259"/>
    <s v="CP"/>
    <x v="4"/>
    <s v="VG"/>
    <n v="10"/>
    <n v="11"/>
    <n v="11"/>
    <n v="2013"/>
    <n v="2013"/>
    <n v="1126"/>
    <n v="1126"/>
    <m/>
    <m/>
    <m/>
    <n v="0"/>
    <n v="2252"/>
    <n v="2500"/>
    <s v="N"/>
    <m/>
    <n v="440"/>
    <m/>
    <m/>
    <m/>
    <m/>
    <m/>
    <n v="393533"/>
    <n v="373856"/>
    <n v="0"/>
    <n v="0"/>
    <n v="62500"/>
    <n v="364600"/>
    <n v="427100"/>
    <n v="132535.48800000001"/>
    <n v="88356.992000000013"/>
    <n v="-22505.565020573864"/>
    <n v="37154.252388000001"/>
    <n v="50438.379078999998"/>
    <n v="-1196.1521"/>
    <n v="70274.087880000006"/>
    <n v="67087.511257999999"/>
    <n v="0"/>
    <n v="15532.453640000002"/>
    <n v="0"/>
    <n v="371800"/>
    <n v="65900"/>
    <n v="437700"/>
    <n v="2.481854366658862E-2"/>
    <n v="0.99970000000000003"/>
    <n v="0.99819999999999998"/>
    <n v="1.0007999999999999"/>
    <n v="1.0008999999999999"/>
    <n v="0.99080000000000001"/>
    <n v="0.94971499999999998"/>
    <n v="0.94088132113065737"/>
    <n v="364000"/>
    <n v="0"/>
    <n v="364000"/>
    <n v="62500"/>
    <n v="426500"/>
    <n v="-1.6456390565002743E-3"/>
    <n v="0"/>
    <n v="-1.4048232264106766E-3"/>
  </r>
  <r>
    <n v="2025"/>
    <s v="19120141434    "/>
    <n v="-1.7147984280919266"/>
    <n v="0.18"/>
    <n v="7934"/>
    <s v="2"/>
    <s v="RES"/>
    <s v="MX"/>
    <s v="11"/>
    <s v="259"/>
    <s v="RN"/>
    <x v="0"/>
    <s v="GD"/>
    <n v="10"/>
    <n v="19"/>
    <n v="19"/>
    <n v="2005"/>
    <n v="2005"/>
    <n v="1080"/>
    <m/>
    <m/>
    <m/>
    <m/>
    <n v="0"/>
    <n v="1080"/>
    <n v="1500"/>
    <s v="N"/>
    <m/>
    <n v="440"/>
    <m/>
    <m/>
    <m/>
    <m/>
    <m/>
    <n v="207686"/>
    <n v="188994"/>
    <n v="0"/>
    <n v="0"/>
    <n v="62500"/>
    <n v="258700"/>
    <n v="321200"/>
    <n v="132535.48800000001"/>
    <n v="88356.992000000013"/>
    <n v="-22505.565020573864"/>
    <n v="24371.765965999999"/>
    <n v="30300.329274"/>
    <n v="-2066.0808999999999"/>
    <n v="67403.210400000011"/>
    <n v="0"/>
    <n v="0"/>
    <n v="15532.453640000002"/>
    <n v="0"/>
    <n v="268100"/>
    <n v="65900"/>
    <n v="334000"/>
    <n v="3.9850560398505604E-2"/>
    <n v="0.99970000000000003"/>
    <n v="0.99199999999999999"/>
    <n v="0.997"/>
    <n v="0.99519999999999997"/>
    <n v="0.99080000000000001"/>
    <n v="0.94971499999999998"/>
    <n v="0.92618233425314744"/>
    <n v="258300"/>
    <n v="0"/>
    <n v="258300"/>
    <n v="62500"/>
    <n v="320800"/>
    <n v="-1.5461925009663702E-3"/>
    <n v="0"/>
    <n v="-1.2453300124533001E-3"/>
  </r>
  <r>
    <n v="2025"/>
    <s v="20120634489    "/>
    <n v="-1.7147984280919266"/>
    <n v="0.18"/>
    <n v="7901"/>
    <s v="2"/>
    <s v="RES"/>
    <s v="MX"/>
    <s v="11"/>
    <s v="259"/>
    <s v="CP"/>
    <x v="5"/>
    <s v="VG"/>
    <n v="0"/>
    <n v="9"/>
    <n v="9"/>
    <n v="2015"/>
    <n v="2015"/>
    <n v="1860"/>
    <m/>
    <m/>
    <m/>
    <m/>
    <n v="0"/>
    <n v="1860"/>
    <n v="2000"/>
    <s v="N"/>
    <n v="1"/>
    <n v="420"/>
    <m/>
    <m/>
    <m/>
    <m/>
    <m/>
    <n v="409083"/>
    <n v="392720"/>
    <n v="0"/>
    <n v="0"/>
    <n v="62500"/>
    <n v="340400"/>
    <n v="402900"/>
    <n v="132535.48800000001"/>
    <n v="88356.992000000013"/>
    <n v="-22505.565020573864"/>
    <n v="32917.849192000001"/>
    <n v="50438.379078999998"/>
    <n v="-978.66989999999998"/>
    <n v="116083.30680000001"/>
    <n v="0"/>
    <n v="0"/>
    <n v="14826.43302"/>
    <n v="0"/>
    <n v="345800"/>
    <n v="65900"/>
    <n v="411700"/>
    <n v="2.1841648051625712E-2"/>
    <n v="0.99970000000000003"/>
    <n v="1.0019"/>
    <n v="1.0007999999999999"/>
    <n v="1.0007999999999999"/>
    <n v="1.0022"/>
    <n v="0.94971499999999998"/>
    <n v="0.95513919210298648"/>
    <n v="339900"/>
    <n v="0"/>
    <n v="339900"/>
    <n v="62500"/>
    <n v="402400"/>
    <n v="-1.4688601645123384E-3"/>
    <n v="0"/>
    <n v="-1.2410027302060065E-3"/>
  </r>
  <r>
    <n v="2025"/>
    <s v="20120632429    "/>
    <n v="-1.7147984280919266"/>
    <n v="0.18"/>
    <n v="7824"/>
    <s v="2"/>
    <s v="RES"/>
    <s v="MX"/>
    <s v="11"/>
    <s v="259"/>
    <s v="CP"/>
    <x v="5"/>
    <s v="VG"/>
    <n v="0"/>
    <n v="6"/>
    <n v="6"/>
    <n v="2018"/>
    <n v="2018"/>
    <n v="1230"/>
    <n v="1441"/>
    <m/>
    <m/>
    <m/>
    <n v="0"/>
    <n v="2671"/>
    <n v="3000"/>
    <s v="N"/>
    <m/>
    <n v="462"/>
    <m/>
    <m/>
    <m/>
    <m/>
    <m/>
    <n v="514827"/>
    <n v="494234"/>
    <n v="0"/>
    <n v="0"/>
    <n v="62500"/>
    <n v="389900"/>
    <n v="452400"/>
    <n v="132535.48800000001"/>
    <n v="88356.992000000013"/>
    <n v="-22505.565020573864"/>
    <n v="32917.849192000001"/>
    <n v="50438.379078999998"/>
    <n v="-652.44659999999999"/>
    <n v="76764.767400000012"/>
    <n v="85855.331902999998"/>
    <n v="0"/>
    <n v="16309.076322000001"/>
    <n v="0"/>
    <n v="394200"/>
    <n v="65900"/>
    <n v="460100"/>
    <n v="1.7020335985853226E-2"/>
    <n v="0.99970000000000003"/>
    <n v="1.0019"/>
    <n v="1.0007999999999999"/>
    <n v="1.0099"/>
    <n v="1.0022"/>
    <n v="0.94971499999999998"/>
    <n v="0.96382401089608938"/>
    <n v="389400"/>
    <n v="0"/>
    <n v="389400"/>
    <n v="62500"/>
    <n v="451900"/>
    <n v="-1.2823800974608873E-3"/>
    <n v="0"/>
    <n v="-1.1052166224580018E-3"/>
  </r>
  <r>
    <n v="2025"/>
    <s v="20120633516    "/>
    <n v="-1.7147984280919266"/>
    <n v="0.18"/>
    <n v="7738"/>
    <s v="2"/>
    <s v="RES"/>
    <s v="MX"/>
    <s v="11"/>
    <s v="259"/>
    <s v="CP"/>
    <x v="5"/>
    <s v="VG"/>
    <n v="10"/>
    <n v="12"/>
    <n v="12"/>
    <n v="2012"/>
    <n v="2012"/>
    <n v="1975"/>
    <m/>
    <m/>
    <m/>
    <m/>
    <n v="0"/>
    <n v="1975"/>
    <n v="2000"/>
    <s v="N"/>
    <m/>
    <n v="432"/>
    <m/>
    <m/>
    <m/>
    <m/>
    <m/>
    <n v="421107"/>
    <n v="400052"/>
    <n v="0"/>
    <n v="0"/>
    <n v="62500"/>
    <n v="345500"/>
    <n v="408000"/>
    <n v="132535.48800000001"/>
    <n v="88356.992000000013"/>
    <n v="-22505.565020573864"/>
    <n v="32917.849192000001"/>
    <n v="50438.379078999998"/>
    <n v="-1304.8932"/>
    <n v="123260.50050000001"/>
    <n v="0"/>
    <n v="0"/>
    <n v="15250.045392"/>
    <n v="0"/>
    <n v="353100"/>
    <n v="65900"/>
    <n v="419000"/>
    <n v="2.6960784313725492E-2"/>
    <n v="0.99970000000000003"/>
    <n v="1.0019"/>
    <n v="1.0007999999999999"/>
    <n v="1.0007999999999999"/>
    <n v="0.99080000000000001"/>
    <n v="0.94971499999999998"/>
    <n v="0.94427450761887755"/>
    <n v="345700"/>
    <n v="0"/>
    <n v="345700"/>
    <n v="62500"/>
    <n v="408200"/>
    <n v="5.7887120115774238E-4"/>
    <n v="0"/>
    <n v="4.9019607843137254E-4"/>
  </r>
  <r>
    <n v="2025"/>
    <s v="20120634411    "/>
    <n v="-1.7147984280919266"/>
    <n v="0.18"/>
    <n v="8015"/>
    <s v="2"/>
    <s v="RES"/>
    <s v="MX"/>
    <s v="11"/>
    <s v="259"/>
    <s v="CP"/>
    <x v="4"/>
    <s v="VG"/>
    <n v="10"/>
    <n v="13"/>
    <n v="13"/>
    <n v="2011"/>
    <n v="2011"/>
    <n v="1118"/>
    <n v="1260"/>
    <m/>
    <m/>
    <m/>
    <n v="0"/>
    <n v="2378"/>
    <n v="2500"/>
    <s v="N"/>
    <n v="1"/>
    <n v="730"/>
    <m/>
    <m/>
    <m/>
    <m/>
    <m/>
    <n v="423264"/>
    <n v="402101"/>
    <n v="0"/>
    <n v="0"/>
    <n v="62500"/>
    <n v="381200"/>
    <n v="443700"/>
    <n v="132535.48800000001"/>
    <n v="88356.992000000013"/>
    <n v="-22505.565020573864"/>
    <n v="37154.252388000001"/>
    <n v="50438.379078999998"/>
    <n v="-1413.6342999999999"/>
    <n v="69774.804839999997"/>
    <n v="75071.282579999999"/>
    <n v="0"/>
    <n v="25769.752630000003"/>
    <n v="0"/>
    <n v="389300"/>
    <n v="65900"/>
    <n v="455200"/>
    <n v="2.5918413342348432E-2"/>
    <n v="0.99970000000000003"/>
    <n v="0.99819999999999998"/>
    <n v="1.0007999999999999"/>
    <n v="1.0008999999999999"/>
    <n v="0.99080000000000001"/>
    <n v="0.94971499999999998"/>
    <n v="0.94088132113065737"/>
    <n v="381500"/>
    <n v="0"/>
    <n v="381500"/>
    <n v="62500"/>
    <n v="444000"/>
    <n v="7.8698845750262332E-4"/>
    <n v="0"/>
    <n v="6.7613252197430695E-4"/>
  </r>
  <r>
    <n v="2025"/>
    <s v="20120633491    "/>
    <n v="-1.7147984280919266"/>
    <n v="0.18"/>
    <n v="7867"/>
    <s v="2"/>
    <s v="RES"/>
    <s v="MX"/>
    <s v="11"/>
    <s v="259"/>
    <s v="RN"/>
    <x v="5"/>
    <s v="GD"/>
    <n v="10"/>
    <n v="12"/>
    <n v="12"/>
    <n v="2012"/>
    <n v="2012"/>
    <n v="2138"/>
    <m/>
    <m/>
    <m/>
    <m/>
    <n v="0"/>
    <n v="2138"/>
    <n v="2500"/>
    <s v="N"/>
    <m/>
    <n v="706"/>
    <m/>
    <m/>
    <m/>
    <m/>
    <m/>
    <n v="459760"/>
    <n v="432174"/>
    <n v="0"/>
    <n v="0"/>
    <n v="62500"/>
    <n v="344600"/>
    <n v="407100"/>
    <n v="132535.48800000001"/>
    <n v="88356.992000000013"/>
    <n v="-22505.565020573864"/>
    <n v="32917.849192000001"/>
    <n v="30300.329274"/>
    <n v="-1304.8932"/>
    <n v="133433.39244"/>
    <n v="0"/>
    <n v="0"/>
    <n v="24922.527886"/>
    <n v="0"/>
    <n v="352800"/>
    <n v="65900"/>
    <n v="418700"/>
    <n v="2.8494227462539917E-2"/>
    <n v="0.99970000000000003"/>
    <n v="1.0019"/>
    <n v="0.997"/>
    <n v="1.0008999999999999"/>
    <n v="0.99080000000000001"/>
    <n v="0.94971499999999998"/>
    <n v="0.94078312650809337"/>
    <n v="345000"/>
    <n v="0"/>
    <n v="345000"/>
    <n v="62500"/>
    <n v="407500"/>
    <n v="1.1607661056297156E-3"/>
    <n v="0"/>
    <n v="9.8255956767379017E-4"/>
  </r>
  <r>
    <n v="2025"/>
    <s v="20120634436    "/>
    <n v="-1.7147984280919266"/>
    <n v="0.18"/>
    <n v="7790"/>
    <s v="2"/>
    <s v="RES"/>
    <s v="MX"/>
    <s v="11"/>
    <s v="259"/>
    <s v="CP"/>
    <x v="4"/>
    <s v="VG"/>
    <n v="10"/>
    <n v="11"/>
    <n v="11"/>
    <n v="2013"/>
    <n v="2013"/>
    <n v="1640"/>
    <m/>
    <m/>
    <m/>
    <m/>
    <n v="0"/>
    <n v="1640"/>
    <n v="2000"/>
    <s v="N"/>
    <m/>
    <n v="400"/>
    <m/>
    <m/>
    <m/>
    <m/>
    <m/>
    <n v="320349"/>
    <n v="304332"/>
    <n v="0"/>
    <n v="0"/>
    <n v="62500"/>
    <n v="326800"/>
    <n v="389300"/>
    <n v="132535.48800000001"/>
    <n v="88356.992000000013"/>
    <n v="-22505.565020573864"/>
    <n v="37154.252388000001"/>
    <n v="50438.379078999998"/>
    <n v="-1196.1521"/>
    <n v="102353.02320000001"/>
    <n v="0"/>
    <n v="0"/>
    <n v="14120.412400000001"/>
    <n v="0"/>
    <n v="335400"/>
    <n v="65900"/>
    <n v="401300"/>
    <n v="3.0824556896994607E-2"/>
    <n v="0.99970000000000003"/>
    <n v="0.99819999999999998"/>
    <n v="1.0007999999999999"/>
    <n v="1.0007999999999999"/>
    <n v="0.99080000000000001"/>
    <n v="0.94971499999999998"/>
    <n v="0.9407873176017203"/>
    <n v="327600"/>
    <n v="0"/>
    <n v="327600"/>
    <n v="62500"/>
    <n v="390100"/>
    <n v="2.4479804161566705E-3"/>
    <n v="0"/>
    <n v="2.0549704597996403E-3"/>
  </r>
  <r>
    <n v="2025"/>
    <s v="20120634427    "/>
    <n v="-1.7147984280919266"/>
    <n v="0.18"/>
    <n v="8005"/>
    <s v="2"/>
    <s v="RES"/>
    <s v="MX"/>
    <s v="11"/>
    <s v="259"/>
    <s v="CP"/>
    <x v="5"/>
    <s v="VG"/>
    <n v="10"/>
    <n v="11"/>
    <n v="11"/>
    <n v="2013"/>
    <n v="2013"/>
    <n v="1728"/>
    <m/>
    <m/>
    <m/>
    <m/>
    <n v="0"/>
    <n v="1728"/>
    <n v="2000"/>
    <s v="N"/>
    <n v="1"/>
    <n v="462"/>
    <m/>
    <m/>
    <m/>
    <m/>
    <m/>
    <n v="380613"/>
    <n v="361582"/>
    <n v="0"/>
    <n v="0"/>
    <n v="62500"/>
    <n v="330200"/>
    <n v="392700"/>
    <n v="132535.48800000001"/>
    <n v="88356.992000000013"/>
    <n v="-22505.565020573864"/>
    <n v="32917.849192000001"/>
    <n v="50438.379078999998"/>
    <n v="-1196.1521"/>
    <n v="107845.13664000001"/>
    <n v="0"/>
    <n v="0"/>
    <n v="16309.076322000001"/>
    <n v="0"/>
    <n v="338800"/>
    <n v="65900"/>
    <n v="404700"/>
    <n v="3.0557677616501147E-2"/>
    <n v="0.99970000000000003"/>
    <n v="1.0019"/>
    <n v="1.0007999999999999"/>
    <n v="1.0007999999999999"/>
    <n v="0.99080000000000001"/>
    <n v="0.94971499999999998"/>
    <n v="0.94427450761887755"/>
    <n v="331500"/>
    <n v="0"/>
    <n v="331500"/>
    <n v="62500"/>
    <n v="394000"/>
    <n v="3.937007874015748E-3"/>
    <n v="0"/>
    <n v="3.3104150751209573E-3"/>
  </r>
  <r>
    <n v="2025"/>
    <s v="19120112457    "/>
    <n v="-1.7147984280919266"/>
    <n v="0.18"/>
    <n v="7660"/>
    <s v="2"/>
    <s v="RES"/>
    <s v="MX"/>
    <s v="11"/>
    <s v="259"/>
    <s v="CO"/>
    <x v="5"/>
    <s v="GD"/>
    <n v="10"/>
    <n v="17"/>
    <n v="17"/>
    <n v="2007"/>
    <n v="2007"/>
    <n v="1116"/>
    <n v="1116"/>
    <m/>
    <m/>
    <m/>
    <n v="0"/>
    <n v="2232"/>
    <n v="2500"/>
    <s v="N"/>
    <n v="1"/>
    <n v="440"/>
    <m/>
    <m/>
    <m/>
    <m/>
    <m/>
    <n v="448140"/>
    <n v="412289"/>
    <n v="0"/>
    <n v="0"/>
    <n v="62500"/>
    <n v="336300"/>
    <n v="398800"/>
    <n v="132535.48800000001"/>
    <n v="88356.992000000013"/>
    <n v="-22505.565020573864"/>
    <n v="32917.849192000001"/>
    <n v="30300.329274"/>
    <n v="-1848.5987"/>
    <n v="69649.984080000009"/>
    <n v="66491.707427999994"/>
    <n v="0"/>
    <n v="15532.453640000002"/>
    <n v="0"/>
    <n v="345600"/>
    <n v="65900"/>
    <n v="411500"/>
    <n v="3.1845536609829486E-2"/>
    <n v="0.99970000000000003"/>
    <n v="1.0019"/>
    <n v="0.997"/>
    <n v="1.0008999999999999"/>
    <n v="0.99080000000000001"/>
    <n v="0.94971499999999998"/>
    <n v="0.94078312650809337"/>
    <n v="337700"/>
    <n v="0"/>
    <n v="337700"/>
    <n v="62500"/>
    <n v="400200"/>
    <n v="4.1629497472494793E-3"/>
    <n v="0"/>
    <n v="3.5105315947843532E-3"/>
  </r>
  <r>
    <n v="2025"/>
    <s v="19120141488    "/>
    <n v="-1.7147984280919266"/>
    <n v="0.18"/>
    <n v="7951"/>
    <s v="2"/>
    <s v="RES"/>
    <s v="MX"/>
    <s v="11"/>
    <s v="259"/>
    <s v="RN"/>
    <x v="4"/>
    <s v="AV"/>
    <n v="10"/>
    <n v="19"/>
    <n v="19"/>
    <n v="2005"/>
    <n v="2005"/>
    <n v="1420"/>
    <m/>
    <m/>
    <m/>
    <m/>
    <n v="0"/>
    <n v="1420"/>
    <n v="1500"/>
    <s v="N"/>
    <m/>
    <n v="400"/>
    <m/>
    <m/>
    <m/>
    <m/>
    <m/>
    <n v="281928"/>
    <n v="253735"/>
    <n v="0"/>
    <n v="0"/>
    <n v="62500"/>
    <n v="277100"/>
    <n v="339600"/>
    <n v="132535.48800000001"/>
    <n v="88356.992000000013"/>
    <n v="-22505.565020573864"/>
    <n v="37154.252388000001"/>
    <n v="17761.121909000001"/>
    <n v="-2066.0808999999999"/>
    <n v="88622.739600000001"/>
    <n v="0"/>
    <n v="0"/>
    <n v="14120.412400000001"/>
    <n v="0"/>
    <n v="288100"/>
    <n v="65900"/>
    <n v="354000"/>
    <n v="4.2402826855123678E-2"/>
    <n v="0.99970000000000003"/>
    <n v="0.99819999999999998"/>
    <n v="0.99680000000000002"/>
    <n v="0.99519999999999997"/>
    <n v="0.99080000000000001"/>
    <n v="0.94971499999999998"/>
    <n v="0.93178401878228145"/>
    <n v="279100"/>
    <n v="0"/>
    <n v="279100"/>
    <n v="62500"/>
    <n v="341600"/>
    <n v="7.2176109707686757E-3"/>
    <n v="0"/>
    <n v="5.8892815076560662E-3"/>
  </r>
  <r>
    <n v="2025"/>
    <s v="20120633433    "/>
    <n v="-1.7147984280919266"/>
    <n v="0.18"/>
    <n v="7809"/>
    <s v="2"/>
    <s v="RES"/>
    <s v="MX"/>
    <s v="11"/>
    <s v="259"/>
    <s v="RN"/>
    <x v="4"/>
    <s v="VG"/>
    <n v="10"/>
    <n v="16"/>
    <n v="16"/>
    <n v="2008"/>
    <n v="2008"/>
    <n v="1380"/>
    <m/>
    <m/>
    <m/>
    <m/>
    <n v="0"/>
    <n v="1380"/>
    <n v="1500"/>
    <s v="N"/>
    <m/>
    <n v="428"/>
    <m/>
    <m/>
    <m/>
    <m/>
    <m/>
    <n v="276046"/>
    <n v="256723"/>
    <n v="0"/>
    <n v="0"/>
    <n v="62500"/>
    <n v="308700"/>
    <n v="371200"/>
    <n v="132535.48800000001"/>
    <n v="88356.992000000013"/>
    <n v="-22505.565020573864"/>
    <n v="37154.252388000001"/>
    <n v="50438.379078999998"/>
    <n v="-1739.8576"/>
    <n v="86126.324399999998"/>
    <n v="0"/>
    <n v="0"/>
    <n v="15108.841268"/>
    <n v="0"/>
    <n v="319600"/>
    <n v="65900"/>
    <n v="385500"/>
    <n v="3.8523706896551727E-2"/>
    <n v="0.99970000000000003"/>
    <n v="0.99819999999999998"/>
    <n v="1.0007999999999999"/>
    <n v="0.99519999999999997"/>
    <n v="0.99080000000000001"/>
    <n v="0.94971499999999998"/>
    <n v="0.93552311998124726"/>
    <n v="311100"/>
    <n v="0"/>
    <n v="311100"/>
    <n v="62500"/>
    <n v="373600"/>
    <n v="7.7745383867832843E-3"/>
    <n v="0"/>
    <n v="6.4655172413793103E-3"/>
  </r>
  <r>
    <n v="2025"/>
    <s v="19120134406    "/>
    <n v="-1.7147984280919266"/>
    <n v="0.18"/>
    <n v="7800"/>
    <s v="2"/>
    <s v="RES"/>
    <s v="MX"/>
    <s v="11"/>
    <s v="259"/>
    <s v="CP"/>
    <x v="5"/>
    <s v="AV"/>
    <n v="20"/>
    <n v="26"/>
    <n v="26"/>
    <n v="1998"/>
    <n v="1998"/>
    <n v="1559"/>
    <m/>
    <m/>
    <m/>
    <m/>
    <n v="0"/>
    <n v="1559"/>
    <n v="2000"/>
    <s v="N"/>
    <m/>
    <n v="560"/>
    <m/>
    <m/>
    <m/>
    <m/>
    <m/>
    <n v="343613"/>
    <n v="302379"/>
    <n v="0"/>
    <n v="0"/>
    <n v="62500"/>
    <n v="290200"/>
    <n v="352700"/>
    <n v="132535.48800000001"/>
    <n v="88356.992000000013"/>
    <n v="-22505.565020573864"/>
    <n v="32917.849192000001"/>
    <n v="17761.121909000001"/>
    <n v="-2827.2685999999999"/>
    <n v="97297.782420000003"/>
    <n v="0"/>
    <n v="0"/>
    <n v="19768.577359999999"/>
    <n v="0"/>
    <n v="297500"/>
    <n v="65900"/>
    <n v="363400"/>
    <n v="3.0337397221434647E-2"/>
    <n v="0.99970000000000003"/>
    <n v="1.0019"/>
    <n v="0.99680000000000002"/>
    <n v="1.0007999999999999"/>
    <n v="1.0138"/>
    <n v="0.94971499999999998"/>
    <n v="0.96233279649734105"/>
    <n v="292500"/>
    <n v="0"/>
    <n v="292500"/>
    <n v="62500"/>
    <n v="355000"/>
    <n v="7.9255685733976566E-3"/>
    <n v="0"/>
    <n v="6.5211227672242701E-3"/>
  </r>
  <r>
    <n v="2025"/>
    <s v="20120633509    "/>
    <n v="-1.7147984280919266"/>
    <n v="0.18"/>
    <n v="7736"/>
    <s v="2"/>
    <s v="RES"/>
    <s v="MX"/>
    <s v="11"/>
    <s v="259"/>
    <s v="CP"/>
    <x v="5"/>
    <s v="VG"/>
    <n v="10"/>
    <n v="13"/>
    <n v="13"/>
    <n v="2011"/>
    <n v="2011"/>
    <n v="2096"/>
    <m/>
    <m/>
    <m/>
    <m/>
    <n v="0"/>
    <n v="2096"/>
    <n v="2500"/>
    <s v="N"/>
    <m/>
    <n v="748"/>
    <m/>
    <m/>
    <m/>
    <m/>
    <m/>
    <n v="451691"/>
    <n v="429106"/>
    <n v="0"/>
    <n v="0"/>
    <n v="62500"/>
    <n v="360700"/>
    <n v="423200"/>
    <n v="132535.48800000001"/>
    <n v="88356.992000000013"/>
    <n v="-22505.565020573864"/>
    <n v="32917.849192000001"/>
    <n v="50438.379078999998"/>
    <n v="-1413.6342999999999"/>
    <n v="130812.15648000001"/>
    <n v="0"/>
    <n v="0"/>
    <n v="26405.171188"/>
    <n v="0"/>
    <n v="371700"/>
    <n v="65900"/>
    <n v="437600"/>
    <n v="3.4026465028355386E-2"/>
    <n v="0.99970000000000003"/>
    <n v="1.0019"/>
    <n v="1.0007999999999999"/>
    <n v="1.0008999999999999"/>
    <n v="0.99080000000000001"/>
    <n v="0.94971499999999998"/>
    <n v="0.94436885958806405"/>
    <n v="364300"/>
    <n v="0"/>
    <n v="364300"/>
    <n v="62500"/>
    <n v="426800"/>
    <n v="9.9805932908233995E-3"/>
    <n v="0"/>
    <n v="8.5066162570888466E-3"/>
  </r>
  <r>
    <n v="2025"/>
    <s v="20120634425    "/>
    <n v="-1.7147984280919266"/>
    <n v="0.18"/>
    <n v="7676"/>
    <s v="2"/>
    <s v="RES"/>
    <s v="MX"/>
    <s v="11"/>
    <s v="259"/>
    <s v="CP"/>
    <x v="5"/>
    <s v="VG"/>
    <n v="10"/>
    <n v="10"/>
    <n v="10"/>
    <n v="2014"/>
    <n v="2014"/>
    <n v="2015"/>
    <m/>
    <m/>
    <m/>
    <m/>
    <n v="0"/>
    <n v="2015"/>
    <n v="2500"/>
    <s v="N"/>
    <n v="1"/>
    <n v="426"/>
    <m/>
    <m/>
    <m/>
    <m/>
    <m/>
    <n v="429322"/>
    <n v="407856"/>
    <n v="0"/>
    <n v="0"/>
    <n v="62500"/>
    <n v="344300"/>
    <n v="406800"/>
    <n v="132535.48800000001"/>
    <n v="88356.992000000013"/>
    <n v="-22505.565020573864"/>
    <n v="32917.849192000001"/>
    <n v="50438.379078999998"/>
    <n v="-1087.4110000000001"/>
    <n v="125756.91570000001"/>
    <n v="0"/>
    <n v="0"/>
    <n v="15038.239206"/>
    <n v="0"/>
    <n v="355600"/>
    <n v="65900"/>
    <n v="421500"/>
    <n v="3.6135693215339236E-2"/>
    <n v="0.99970000000000003"/>
    <n v="1.0019"/>
    <n v="1.0007999999999999"/>
    <n v="1.0008999999999999"/>
    <n v="0.99080000000000001"/>
    <n v="0.94971499999999998"/>
    <n v="0.94436885958806405"/>
    <n v="348200"/>
    <n v="0"/>
    <n v="348200"/>
    <n v="62500"/>
    <n v="410700"/>
    <n v="1.1327330816148708E-2"/>
    <n v="0"/>
    <n v="9.5870206489675515E-3"/>
  </r>
  <r>
    <n v="2025"/>
    <s v="19120113475    "/>
    <n v="-1.7147984280919266"/>
    <n v="0.18"/>
    <n v="7825"/>
    <s v="2"/>
    <s v="RES"/>
    <s v="MX"/>
    <s v="11"/>
    <s v="259"/>
    <s v="CO"/>
    <x v="5"/>
    <s v="GD"/>
    <n v="10"/>
    <n v="18"/>
    <n v="18"/>
    <n v="2006"/>
    <n v="2006"/>
    <n v="1116"/>
    <n v="1116"/>
    <m/>
    <m/>
    <m/>
    <n v="0"/>
    <n v="2232"/>
    <n v="2500"/>
    <s v="N"/>
    <m/>
    <n v="440"/>
    <m/>
    <m/>
    <m/>
    <m/>
    <m/>
    <n v="438884"/>
    <n v="399384"/>
    <n v="0"/>
    <n v="0"/>
    <n v="62500"/>
    <n v="332600"/>
    <n v="395100"/>
    <n v="132535.48800000001"/>
    <n v="88356.992000000013"/>
    <n v="-22505.565020573864"/>
    <n v="32917.849192000001"/>
    <n v="30300.329274"/>
    <n v="-1957.3398"/>
    <n v="69649.984080000009"/>
    <n v="66491.707427999994"/>
    <n v="0"/>
    <n v="15532.453640000002"/>
    <n v="0"/>
    <n v="345500"/>
    <n v="65900"/>
    <n v="411400"/>
    <n v="4.1255378385218928E-2"/>
    <n v="0.99970000000000003"/>
    <n v="1.0019"/>
    <n v="0.997"/>
    <n v="1.0008999999999999"/>
    <n v="0.99080000000000001"/>
    <n v="0.94971499999999998"/>
    <n v="0.94078312650809337"/>
    <n v="337600"/>
    <n v="0"/>
    <n v="337600"/>
    <n v="62500"/>
    <n v="400100"/>
    <n v="1.5033072760072159E-2"/>
    <n v="0"/>
    <n v="1.2655024044545684E-2"/>
  </r>
  <r>
    <n v="2025"/>
    <s v="19120141481    "/>
    <n v="-1.7147984280919266"/>
    <n v="0.18"/>
    <n v="7853"/>
    <s v="2"/>
    <s v="RES"/>
    <s v="MX"/>
    <s v="11"/>
    <s v="259"/>
    <s v="RN"/>
    <x v="4"/>
    <s v="VG"/>
    <n v="10"/>
    <n v="19"/>
    <n v="19"/>
    <n v="2005"/>
    <n v="2005"/>
    <n v="1382"/>
    <m/>
    <m/>
    <m/>
    <m/>
    <n v="0"/>
    <n v="1382"/>
    <n v="1500"/>
    <s v="N"/>
    <m/>
    <n v="426"/>
    <m/>
    <m/>
    <m/>
    <m/>
    <m/>
    <n v="284993"/>
    <n v="259344"/>
    <n v="0"/>
    <n v="0"/>
    <n v="62500"/>
    <n v="306000"/>
    <n v="368500"/>
    <n v="132535.48800000001"/>
    <n v="88356.992000000013"/>
    <n v="-22505.565020573864"/>
    <n v="37154.252388000001"/>
    <n v="50438.379078999998"/>
    <n v="-2066.0808999999999"/>
    <n v="86251.14516"/>
    <n v="0"/>
    <n v="0"/>
    <n v="15038.239206"/>
    <n v="0"/>
    <n v="319400"/>
    <n v="65900"/>
    <n v="385300"/>
    <n v="4.5590230664857533E-2"/>
    <n v="0.99970000000000003"/>
    <n v="0.99819999999999998"/>
    <n v="1.0007999999999999"/>
    <n v="0.99519999999999997"/>
    <n v="0.99080000000000001"/>
    <n v="0.94971499999999998"/>
    <n v="0.93552311998124726"/>
    <n v="310800"/>
    <n v="0"/>
    <n v="310800"/>
    <n v="62500"/>
    <n v="373300"/>
    <n v="1.5686274509803921E-2"/>
    <n v="0"/>
    <n v="1.3025780189959294E-2"/>
  </r>
  <r>
    <n v="2025"/>
    <s v="20120633507    "/>
    <n v="-1.7147984280919266"/>
    <n v="0.18"/>
    <n v="7707"/>
    <s v="2"/>
    <s v="RES"/>
    <s v="MX"/>
    <s v="11"/>
    <s v="259"/>
    <s v="RN"/>
    <x v="5"/>
    <s v="VG"/>
    <n v="10"/>
    <n v="14"/>
    <n v="14"/>
    <n v="2010"/>
    <n v="2010"/>
    <n v="2030"/>
    <m/>
    <m/>
    <m/>
    <m/>
    <n v="0"/>
    <n v="2030"/>
    <n v="2500"/>
    <s v="N"/>
    <m/>
    <n v="814"/>
    <m/>
    <m/>
    <m/>
    <m/>
    <m/>
    <n v="444407"/>
    <n v="417743"/>
    <n v="0"/>
    <n v="0"/>
    <n v="62500"/>
    <n v="356000"/>
    <n v="418500"/>
    <n v="132535.48800000001"/>
    <n v="88356.992000000013"/>
    <n v="-22505.565020573864"/>
    <n v="32917.849192000001"/>
    <n v="50438.379078999998"/>
    <n v="-1522.3754000000001"/>
    <n v="126693.0714"/>
    <n v="0"/>
    <n v="0"/>
    <n v="28735.039234"/>
    <n v="0"/>
    <n v="369800"/>
    <n v="65900"/>
    <n v="435700"/>
    <n v="4.1099163679808842E-2"/>
    <n v="0.99970000000000003"/>
    <n v="1.0019"/>
    <n v="1.0007999999999999"/>
    <n v="1.0008999999999999"/>
    <n v="0.99080000000000001"/>
    <n v="0.94971499999999998"/>
    <n v="0.94436885958806405"/>
    <n v="362400"/>
    <n v="0"/>
    <n v="362400"/>
    <n v="62500"/>
    <n v="424900"/>
    <n v="1.7977528089887642E-2"/>
    <n v="0"/>
    <n v="1.5292712066905615E-2"/>
  </r>
  <r>
    <n v="2025"/>
    <s v="19120112455    "/>
    <n v="-1.7147984280919266"/>
    <n v="0.18"/>
    <n v="7660"/>
    <s v="2"/>
    <s v="RES"/>
    <s v="MX"/>
    <s v="11"/>
    <s v="259"/>
    <s v="CO"/>
    <x v="5"/>
    <s v="VG"/>
    <n v="10"/>
    <n v="17"/>
    <n v="17"/>
    <n v="2007"/>
    <n v="2007"/>
    <n v="1116"/>
    <n v="1116"/>
    <m/>
    <m/>
    <m/>
    <n v="0"/>
    <n v="2232"/>
    <n v="2500"/>
    <s v="N"/>
    <m/>
    <n v="440"/>
    <m/>
    <m/>
    <m/>
    <m/>
    <m/>
    <n v="450025"/>
    <n v="418523"/>
    <n v="0"/>
    <n v="0"/>
    <n v="62500"/>
    <n v="351800"/>
    <n v="414300"/>
    <n v="132535.48800000001"/>
    <n v="88356.992000000013"/>
    <n v="-22505.565020573864"/>
    <n v="32917.849192000001"/>
    <n v="50438.379078999998"/>
    <n v="-1848.5987"/>
    <n v="69649.984080000009"/>
    <n v="66491.707427999994"/>
    <n v="0"/>
    <n v="15532.453640000002"/>
    <n v="0"/>
    <n v="365700"/>
    <n v="65900"/>
    <n v="431600"/>
    <n v="4.1757180786869422E-2"/>
    <n v="0.99970000000000003"/>
    <n v="1.0019"/>
    <n v="1.0007999999999999"/>
    <n v="1.0008999999999999"/>
    <n v="0.99080000000000001"/>
    <n v="0.94971499999999998"/>
    <n v="0.94436885958806405"/>
    <n v="358300"/>
    <n v="0"/>
    <n v="358300"/>
    <n v="62500"/>
    <n v="420800"/>
    <n v="1.8476407049459919E-2"/>
    <n v="0"/>
    <n v="1.5689114168476948E-2"/>
  </r>
  <r>
    <n v="2025"/>
    <s v="20120634430    "/>
    <n v="-1.7147984280919266"/>
    <n v="0.18"/>
    <n v="7787"/>
    <s v="2"/>
    <s v="RES"/>
    <s v="MX"/>
    <s v="11"/>
    <s v="259"/>
    <s v="CP"/>
    <x v="4"/>
    <s v="VG"/>
    <n v="10"/>
    <n v="11"/>
    <n v="11"/>
    <n v="2013"/>
    <n v="2013"/>
    <n v="1419"/>
    <m/>
    <m/>
    <m/>
    <m/>
    <n v="0"/>
    <n v="1419"/>
    <n v="1500"/>
    <s v="N"/>
    <m/>
    <n v="413"/>
    <m/>
    <m/>
    <m/>
    <m/>
    <m/>
    <n v="278289"/>
    <n v="264375"/>
    <n v="0"/>
    <n v="0"/>
    <n v="62500"/>
    <n v="307300"/>
    <n v="369800"/>
    <n v="132535.48800000001"/>
    <n v="88356.992000000013"/>
    <n v="-22505.565020573864"/>
    <n v="37154.252388000001"/>
    <n v="50438.379078999998"/>
    <n v="-1196.1521"/>
    <n v="88560.32922"/>
    <n v="0"/>
    <n v="0"/>
    <n v="14579.325803000002"/>
    <n v="0"/>
    <n v="322100"/>
    <n v="65900"/>
    <n v="388000"/>
    <n v="4.921579232017307E-2"/>
    <n v="0.99970000000000003"/>
    <n v="0.99819999999999998"/>
    <n v="1.0007999999999999"/>
    <n v="0.99519999999999997"/>
    <n v="0.99080000000000001"/>
    <n v="0.94971499999999998"/>
    <n v="0.93552311998124726"/>
    <n v="313500"/>
    <n v="0"/>
    <n v="313500"/>
    <n v="62500"/>
    <n v="376000"/>
    <n v="2.0175724048161404E-2"/>
    <n v="0"/>
    <n v="1.6765819361817199E-2"/>
  </r>
  <r>
    <n v="2025"/>
    <s v="20120634413    "/>
    <n v="-1.7147984280919266"/>
    <n v="0.18"/>
    <n v="7915"/>
    <s v="2"/>
    <s v="RES"/>
    <s v="MX"/>
    <s v="11"/>
    <s v="259"/>
    <s v="CP"/>
    <x v="5"/>
    <s v="VG"/>
    <n v="10"/>
    <n v="11"/>
    <n v="11"/>
    <n v="2013"/>
    <n v="2013"/>
    <n v="1945"/>
    <m/>
    <m/>
    <m/>
    <m/>
    <n v="0"/>
    <n v="1945"/>
    <n v="2000"/>
    <s v="N"/>
    <n v="1"/>
    <n v="744"/>
    <m/>
    <m/>
    <m/>
    <m/>
    <m/>
    <n v="432901"/>
    <n v="411256"/>
    <n v="0"/>
    <n v="0"/>
    <n v="62500"/>
    <n v="348100"/>
    <n v="410600"/>
    <n v="132535.48800000001"/>
    <n v="88356.992000000013"/>
    <n v="-22505.565020573864"/>
    <n v="32917.849192000001"/>
    <n v="50438.379078999998"/>
    <n v="-1196.1521"/>
    <n v="121388.1891"/>
    <n v="0"/>
    <n v="0"/>
    <n v="26263.967064"/>
    <n v="0"/>
    <n v="362300"/>
    <n v="65900"/>
    <n v="428200"/>
    <n v="4.2864101315148562E-2"/>
    <n v="0.99970000000000003"/>
    <n v="1.0019"/>
    <n v="1.0007999999999999"/>
    <n v="1.0007999999999999"/>
    <n v="0.99080000000000001"/>
    <n v="0.94971499999999998"/>
    <n v="0.94427450761887755"/>
    <n v="355000"/>
    <n v="0"/>
    <n v="355000"/>
    <n v="62500"/>
    <n v="417500"/>
    <n v="1.9821890261419131E-2"/>
    <n v="0"/>
    <n v="1.6804676083779835E-2"/>
  </r>
  <r>
    <n v="2025"/>
    <s v="19120141483    "/>
    <n v="-1.7147984280919266"/>
    <n v="0.18"/>
    <n v="7840"/>
    <s v="2"/>
    <s v="RES"/>
    <s v="MX"/>
    <s v="11"/>
    <s v="259"/>
    <s v="CO"/>
    <x v="5"/>
    <s v="VG"/>
    <n v="10"/>
    <n v="19"/>
    <n v="19"/>
    <n v="2005"/>
    <n v="2005"/>
    <n v="1116"/>
    <n v="1116"/>
    <m/>
    <m/>
    <m/>
    <n v="0"/>
    <n v="2232"/>
    <n v="2500"/>
    <s v="N"/>
    <n v="1"/>
    <n v="440"/>
    <m/>
    <m/>
    <m/>
    <m/>
    <m/>
    <n v="456102"/>
    <n v="415053"/>
    <n v="0"/>
    <n v="0"/>
    <n v="62500"/>
    <n v="350000"/>
    <n v="412500"/>
    <n v="132535.48800000001"/>
    <n v="88356.992000000013"/>
    <n v="-22505.565020573864"/>
    <n v="32917.849192000001"/>
    <n v="50438.379078999998"/>
    <n v="-2066.0808999999999"/>
    <n v="69649.984080000009"/>
    <n v="66491.707427999994"/>
    <n v="0"/>
    <n v="15532.453640000002"/>
    <n v="0"/>
    <n v="365500"/>
    <n v="65900"/>
    <n v="431400"/>
    <n v="4.581818181818182E-2"/>
    <n v="0.99970000000000003"/>
    <n v="1.0019"/>
    <n v="1.0007999999999999"/>
    <n v="1.0008999999999999"/>
    <n v="0.99080000000000001"/>
    <n v="0.94971499999999998"/>
    <n v="0.94436885958806405"/>
    <n v="358100"/>
    <n v="0"/>
    <n v="358100"/>
    <n v="62500"/>
    <n v="420600"/>
    <n v="2.3142857142857142E-2"/>
    <n v="0"/>
    <n v="1.9636363636363636E-2"/>
  </r>
  <r>
    <n v="2025"/>
    <s v="19120141490    "/>
    <n v="-1.7147984280919266"/>
    <n v="0.18"/>
    <n v="7973"/>
    <s v="2"/>
    <s v="RES"/>
    <s v="MX"/>
    <s v="11"/>
    <s v="259"/>
    <s v="CO"/>
    <x v="5"/>
    <s v="VG"/>
    <n v="10"/>
    <n v="19"/>
    <n v="19"/>
    <n v="2005"/>
    <n v="2005"/>
    <n v="1116"/>
    <n v="1116"/>
    <m/>
    <m/>
    <m/>
    <n v="0"/>
    <n v="2232"/>
    <n v="2500"/>
    <s v="N"/>
    <m/>
    <n v="440"/>
    <m/>
    <m/>
    <m/>
    <m/>
    <m/>
    <n v="439327"/>
    <n v="399788"/>
    <n v="0"/>
    <n v="0"/>
    <n v="62500"/>
    <n v="350000"/>
    <n v="412500"/>
    <n v="132535.48800000001"/>
    <n v="88356.992000000013"/>
    <n v="-22505.565020573864"/>
    <n v="32917.849192000001"/>
    <n v="50438.379078999998"/>
    <n v="-2066.0808999999999"/>
    <n v="69649.984080000009"/>
    <n v="66491.707427999994"/>
    <n v="0"/>
    <n v="15532.453640000002"/>
    <n v="0"/>
    <n v="365500"/>
    <n v="65900"/>
    <n v="431400"/>
    <n v="4.581818181818182E-2"/>
    <n v="0.99970000000000003"/>
    <n v="1.0019"/>
    <n v="1.0007999999999999"/>
    <n v="1.0008999999999999"/>
    <n v="0.99080000000000001"/>
    <n v="0.94971499999999998"/>
    <n v="0.94436885958806405"/>
    <n v="358100"/>
    <n v="0"/>
    <n v="358100"/>
    <n v="62500"/>
    <n v="420600"/>
    <n v="2.3142857142857142E-2"/>
    <n v="0"/>
    <n v="1.9636363636363636E-2"/>
  </r>
  <r>
    <n v="2025"/>
    <s v="20120634410    "/>
    <n v="-1.7147984280919266"/>
    <n v="0.18"/>
    <n v="8015"/>
    <s v="2"/>
    <s v="RES"/>
    <s v="MX"/>
    <s v="11"/>
    <s v="259"/>
    <s v="CP"/>
    <x v="5"/>
    <s v="VG"/>
    <n v="10"/>
    <n v="11"/>
    <n v="11"/>
    <n v="2013"/>
    <n v="2013"/>
    <n v="1978"/>
    <m/>
    <m/>
    <m/>
    <m/>
    <n v="0"/>
    <n v="1978"/>
    <n v="2000"/>
    <s v="N"/>
    <n v="1"/>
    <n v="429"/>
    <m/>
    <m/>
    <m/>
    <m/>
    <m/>
    <n v="424460"/>
    <n v="403237"/>
    <n v="0"/>
    <n v="0"/>
    <n v="62500"/>
    <n v="335400"/>
    <n v="397900"/>
    <n v="132535.48800000001"/>
    <n v="88356.992000000013"/>
    <n v="-22505.565020573864"/>
    <n v="32917.849192000001"/>
    <n v="50438.379078999998"/>
    <n v="-1196.1521"/>
    <n v="123447.73164000001"/>
    <n v="0"/>
    <n v="0"/>
    <n v="15144.142299000001"/>
    <n v="0"/>
    <n v="353300"/>
    <n v="65900"/>
    <n v="419200"/>
    <n v="5.3531037949233473E-2"/>
    <n v="0.99970000000000003"/>
    <n v="1.0019"/>
    <n v="1.0007999999999999"/>
    <n v="1.0007999999999999"/>
    <n v="0.99080000000000001"/>
    <n v="0.94971499999999998"/>
    <n v="0.94427450761887755"/>
    <n v="345900"/>
    <n v="0"/>
    <n v="345900"/>
    <n v="62500"/>
    <n v="408400"/>
    <n v="3.1305903398926652E-2"/>
    <n v="0"/>
    <n v="2.6388539834129178E-2"/>
  </r>
  <r>
    <n v="2025"/>
    <s v="20120634431    "/>
    <n v="-1.7147984280919266"/>
    <n v="0.18"/>
    <n v="7787"/>
    <s v="2"/>
    <s v="RES"/>
    <s v="MX"/>
    <s v="11"/>
    <s v="259"/>
    <s v="CP"/>
    <x v="5"/>
    <s v="VG"/>
    <n v="10"/>
    <n v="11"/>
    <n v="11"/>
    <n v="2013"/>
    <n v="2013"/>
    <n v="1799"/>
    <m/>
    <m/>
    <m/>
    <m/>
    <n v="0"/>
    <n v="1799"/>
    <n v="2000"/>
    <s v="N"/>
    <n v="1"/>
    <n v="681"/>
    <m/>
    <m/>
    <m/>
    <m/>
    <m/>
    <n v="394703"/>
    <n v="374968"/>
    <n v="0"/>
    <n v="0"/>
    <n v="62500"/>
    <n v="333100"/>
    <n v="395600"/>
    <n v="132535.48800000001"/>
    <n v="88356.992000000013"/>
    <n v="-22505.565020573864"/>
    <n v="32917.849192000001"/>
    <n v="50438.379078999998"/>
    <n v="-1196.1521"/>
    <n v="112276.27362000001"/>
    <n v="0"/>
    <n v="0"/>
    <n v="24040.002111000002"/>
    <n v="0"/>
    <n v="351000"/>
    <n v="65900"/>
    <n v="416900"/>
    <n v="5.3842264914054604E-2"/>
    <n v="0.99970000000000003"/>
    <n v="1.0019"/>
    <n v="1.0007999999999999"/>
    <n v="1.0007999999999999"/>
    <n v="0.99080000000000001"/>
    <n v="0.94971499999999998"/>
    <n v="0.94427450761887755"/>
    <n v="343600"/>
    <n v="0"/>
    <n v="343600"/>
    <n v="62500"/>
    <n v="406100"/>
    <n v="3.152206544581207E-2"/>
    <n v="0"/>
    <n v="2.6541961577350861E-2"/>
  </r>
  <r>
    <n v="2025"/>
    <s v="20120634435    "/>
    <n v="-1.7147984280919266"/>
    <n v="0.18"/>
    <n v="7790"/>
    <s v="2"/>
    <s v="RES"/>
    <s v="MX"/>
    <s v="11"/>
    <s v="259"/>
    <s v="CP"/>
    <x v="5"/>
    <s v="VG"/>
    <n v="10"/>
    <n v="11"/>
    <n v="11"/>
    <n v="2013"/>
    <n v="2013"/>
    <n v="1728"/>
    <m/>
    <m/>
    <m/>
    <m/>
    <n v="0"/>
    <n v="1728"/>
    <n v="2000"/>
    <s v="N"/>
    <m/>
    <n v="462"/>
    <m/>
    <m/>
    <m/>
    <m/>
    <m/>
    <n v="369067"/>
    <n v="350614"/>
    <n v="0"/>
    <n v="0"/>
    <n v="62500"/>
    <n v="320200"/>
    <n v="382700"/>
    <n v="132535.48800000001"/>
    <n v="88356.992000000013"/>
    <n v="-22505.565020573864"/>
    <n v="32917.849192000001"/>
    <n v="50438.379078999998"/>
    <n v="-1196.1521"/>
    <n v="107845.13664000001"/>
    <n v="0"/>
    <n v="0"/>
    <n v="16309.076322000001"/>
    <n v="0"/>
    <n v="338800"/>
    <n v="65900"/>
    <n v="404700"/>
    <n v="5.7486281682780242E-2"/>
    <n v="0.99970000000000003"/>
    <n v="1.0019"/>
    <n v="1.0007999999999999"/>
    <n v="1.0007999999999999"/>
    <n v="0.99080000000000001"/>
    <n v="0.94971499999999998"/>
    <n v="0.94427450761887755"/>
    <n v="331500"/>
    <n v="0"/>
    <n v="331500"/>
    <n v="62500"/>
    <n v="394000"/>
    <n v="3.5290443472829482E-2"/>
    <n v="0"/>
    <n v="2.9527044682518943E-2"/>
  </r>
  <r>
    <n v="2025"/>
    <s v="19120112454    "/>
    <n v="-1.7147984280919266"/>
    <n v="0.18"/>
    <n v="7661"/>
    <s v="2"/>
    <s v="RES"/>
    <s v="MX"/>
    <s v="11"/>
    <s v="259"/>
    <s v="CP"/>
    <x v="5"/>
    <s v="GD"/>
    <n v="10"/>
    <n v="17"/>
    <n v="17"/>
    <n v="2007"/>
    <n v="2007"/>
    <n v="2154"/>
    <m/>
    <m/>
    <m/>
    <m/>
    <n v="0"/>
    <n v="2154"/>
    <n v="2500"/>
    <s v="N"/>
    <m/>
    <n v="730"/>
    <m/>
    <m/>
    <m/>
    <m/>
    <m/>
    <n v="455082"/>
    <n v="418675"/>
    <n v="0"/>
    <n v="0"/>
    <n v="62500"/>
    <n v="333500"/>
    <n v="396000"/>
    <n v="132535.48800000001"/>
    <n v="88356.992000000013"/>
    <n v="-22505.565020573864"/>
    <n v="32917.849192000001"/>
    <n v="30300.329274"/>
    <n v="-1848.5987"/>
    <n v="134431.95852000001"/>
    <n v="0"/>
    <n v="0"/>
    <n v="25769.752630000003"/>
    <n v="0"/>
    <n v="354100"/>
    <n v="65900"/>
    <n v="420000"/>
    <n v="6.0606060606060608E-2"/>
    <n v="0.99970000000000003"/>
    <n v="1.0019"/>
    <n v="0.997"/>
    <n v="1.0008999999999999"/>
    <n v="0.99080000000000001"/>
    <n v="0.94971499999999998"/>
    <n v="0.94078312650809337"/>
    <n v="346300"/>
    <n v="0"/>
    <n v="346300"/>
    <n v="62500"/>
    <n v="408800"/>
    <n v="3.8380809595202396E-2"/>
    <n v="0"/>
    <n v="3.2323232323232323E-2"/>
  </r>
  <r>
    <n v="2025"/>
    <s v="20120633518    "/>
    <n v="-1.7147984280919266"/>
    <n v="0.18"/>
    <n v="7738"/>
    <s v="2"/>
    <s v="RES"/>
    <s v="MX"/>
    <s v="11"/>
    <s v="259"/>
    <s v="CP"/>
    <x v="5"/>
    <s v="VG"/>
    <n v="10"/>
    <n v="13"/>
    <n v="13"/>
    <n v="2011"/>
    <n v="2011"/>
    <n v="1975"/>
    <m/>
    <m/>
    <m/>
    <m/>
    <n v="0"/>
    <n v="1975"/>
    <n v="2000"/>
    <s v="N"/>
    <m/>
    <n v="432"/>
    <m/>
    <m/>
    <m/>
    <m/>
    <m/>
    <n v="420660"/>
    <n v="399627"/>
    <n v="0"/>
    <n v="0"/>
    <n v="62500"/>
    <n v="332600"/>
    <n v="395100"/>
    <n v="132535.48800000001"/>
    <n v="88356.992000000013"/>
    <n v="-22505.565020573864"/>
    <n v="32917.849192000001"/>
    <n v="50438.379078999998"/>
    <n v="-1413.6342999999999"/>
    <n v="123260.50050000001"/>
    <n v="0"/>
    <n v="0"/>
    <n v="15250.045392"/>
    <n v="0"/>
    <n v="353000"/>
    <n v="65900"/>
    <n v="418900"/>
    <n v="6.023791445203746E-2"/>
    <n v="0.99970000000000003"/>
    <n v="1.0019"/>
    <n v="1.0007999999999999"/>
    <n v="1.0007999999999999"/>
    <n v="0.99080000000000001"/>
    <n v="0.94971499999999998"/>
    <n v="0.94427450761887755"/>
    <n v="345600"/>
    <n v="0"/>
    <n v="345600"/>
    <n v="62500"/>
    <n v="408100"/>
    <n v="3.9085989176187615E-2"/>
    <n v="0"/>
    <n v="3.290306251581878E-2"/>
  </r>
  <r>
    <n v="2025"/>
    <s v="19120113472    "/>
    <n v="-1.7147984280919266"/>
    <n v="0.18"/>
    <n v="7630"/>
    <s v="2"/>
    <s v="RES"/>
    <s v="MX"/>
    <s v="11"/>
    <s v="259"/>
    <s v="RN"/>
    <x v="5"/>
    <s v="GD"/>
    <n v="10"/>
    <n v="18"/>
    <n v="18"/>
    <n v="2006"/>
    <n v="2006"/>
    <n v="2154"/>
    <m/>
    <m/>
    <m/>
    <m/>
    <n v="0"/>
    <n v="2154"/>
    <n v="2500"/>
    <s v="N"/>
    <m/>
    <n v="730"/>
    <m/>
    <m/>
    <m/>
    <m/>
    <m/>
    <n v="455082"/>
    <n v="414125"/>
    <n v="0"/>
    <n v="0"/>
    <n v="62500"/>
    <n v="332600"/>
    <n v="395100"/>
    <n v="132535.48800000001"/>
    <n v="88356.992000000013"/>
    <n v="-22505.565020573864"/>
    <n v="32917.849192000001"/>
    <n v="30300.329274"/>
    <n v="-1957.3398"/>
    <n v="134431.95852000001"/>
    <n v="0"/>
    <n v="0"/>
    <n v="25769.752630000003"/>
    <n v="0"/>
    <n v="354000"/>
    <n v="65900"/>
    <n v="419900"/>
    <n v="6.276891926094659E-2"/>
    <n v="0.99970000000000003"/>
    <n v="1.0019"/>
    <n v="0.997"/>
    <n v="1.0008999999999999"/>
    <n v="0.99080000000000001"/>
    <n v="0.94971499999999998"/>
    <n v="0.94078312650809337"/>
    <n v="346100"/>
    <n v="0"/>
    <n v="346100"/>
    <n v="62500"/>
    <n v="408600"/>
    <n v="4.0589296452194827E-2"/>
    <n v="0"/>
    <n v="3.4168564920273349E-2"/>
  </r>
  <r>
    <n v="2025"/>
    <s v="19120113473    "/>
    <n v="-1.7147984280919266"/>
    <n v="0.18"/>
    <n v="7630"/>
    <s v="2"/>
    <s v="RES"/>
    <s v="MX"/>
    <s v="11"/>
    <s v="259"/>
    <s v="RN"/>
    <x v="5"/>
    <s v="GD"/>
    <n v="10"/>
    <n v="18"/>
    <n v="18"/>
    <n v="2006"/>
    <n v="2006"/>
    <n v="2154"/>
    <m/>
    <m/>
    <m/>
    <m/>
    <n v="0"/>
    <n v="2154"/>
    <n v="2500"/>
    <s v="N"/>
    <n v="1"/>
    <n v="730"/>
    <m/>
    <m/>
    <m/>
    <m/>
    <m/>
    <n v="459402"/>
    <n v="418056"/>
    <n v="0"/>
    <n v="0"/>
    <n v="62500"/>
    <n v="332600"/>
    <n v="395100"/>
    <n v="132535.48800000001"/>
    <n v="88356.992000000013"/>
    <n v="-22505.565020573864"/>
    <n v="32917.849192000001"/>
    <n v="30300.329274"/>
    <n v="-1957.3398"/>
    <n v="134431.95852000001"/>
    <n v="0"/>
    <n v="0"/>
    <n v="25769.752630000003"/>
    <n v="0"/>
    <n v="354000"/>
    <n v="65900"/>
    <n v="419900"/>
    <n v="6.276891926094659E-2"/>
    <n v="0.99970000000000003"/>
    <n v="1.0019"/>
    <n v="0.997"/>
    <n v="1.0008999999999999"/>
    <n v="0.99080000000000001"/>
    <n v="0.94971499999999998"/>
    <n v="0.94078312650809337"/>
    <n v="346100"/>
    <n v="0"/>
    <n v="346100"/>
    <n v="62500"/>
    <n v="408600"/>
    <n v="4.0589296452194827E-2"/>
    <n v="0"/>
    <n v="3.4168564920273349E-2"/>
  </r>
  <r>
    <n v="2025"/>
    <s v="19120112456    "/>
    <n v="-1.7147984280919266"/>
    <n v="0.18"/>
    <n v="7660"/>
    <s v="2"/>
    <s v="RES"/>
    <s v="MX"/>
    <s v="11"/>
    <s v="259"/>
    <s v="RN"/>
    <x v="5"/>
    <s v="VG"/>
    <n v="10"/>
    <n v="17"/>
    <n v="17"/>
    <n v="2007"/>
    <n v="2007"/>
    <n v="2154"/>
    <m/>
    <m/>
    <m/>
    <m/>
    <n v="0"/>
    <n v="2154"/>
    <n v="2500"/>
    <s v="N"/>
    <n v="1"/>
    <n v="730"/>
    <m/>
    <m/>
    <m/>
    <m/>
    <m/>
    <n v="460900"/>
    <n v="428637"/>
    <n v="0"/>
    <n v="0"/>
    <n v="62500"/>
    <n v="349000"/>
    <n v="411500"/>
    <n v="132535.48800000001"/>
    <n v="88356.992000000013"/>
    <n v="-22505.565020573864"/>
    <n v="32917.849192000001"/>
    <n v="50438.379078999998"/>
    <n v="-1848.5987"/>
    <n v="134431.95852000001"/>
    <n v="0"/>
    <n v="0"/>
    <n v="25769.752630000003"/>
    <n v="0"/>
    <n v="374200"/>
    <n v="65900"/>
    <n v="440100"/>
    <n v="6.9501822600243013E-2"/>
    <n v="0.99970000000000003"/>
    <n v="1.0019"/>
    <n v="1.0007999999999999"/>
    <n v="1.0008999999999999"/>
    <n v="0.99080000000000001"/>
    <n v="0.94971499999999998"/>
    <n v="0.94436885958806405"/>
    <n v="366900"/>
    <n v="0"/>
    <n v="366900"/>
    <n v="62500"/>
    <n v="429400"/>
    <n v="5.1289398280802291E-2"/>
    <n v="0"/>
    <n v="4.3499392466585664E-2"/>
  </r>
  <r>
    <n v="2025"/>
    <s v="19120134002    "/>
    <n v="-1.7147984280919266"/>
    <n v="0.18"/>
    <n v="7861"/>
    <s v="2"/>
    <s v="RES"/>
    <s v="MX"/>
    <s v="11"/>
    <s v="259"/>
    <s v="TD"/>
    <x v="2"/>
    <s v="AV"/>
    <n v="40"/>
    <n v="44"/>
    <n v="44"/>
    <n v="1980"/>
    <n v="1980"/>
    <n v="1066"/>
    <m/>
    <m/>
    <m/>
    <m/>
    <n v="0"/>
    <n v="1066"/>
    <n v="1500"/>
    <s v="N"/>
    <m/>
    <m/>
    <m/>
    <m/>
    <m/>
    <m/>
    <m/>
    <n v="166819"/>
    <n v="130119"/>
    <n v="22111"/>
    <n v="0"/>
    <n v="62500"/>
    <n v="205500"/>
    <n v="268000"/>
    <n v="132535.48800000001"/>
    <n v="88356.992000000013"/>
    <n v="-22505.565020573864"/>
    <n v="-1240.8083630000001"/>
    <n v="17761.121909000001"/>
    <n v="-4784.6084000000001"/>
    <n v="66529.465080000009"/>
    <n v="0"/>
    <n v="0"/>
    <n v="0"/>
    <n v="22100"/>
    <n v="210800"/>
    <n v="65900"/>
    <n v="298800"/>
    <n v="0.11492537313432835"/>
    <n v="0.99970000000000003"/>
    <n v="1.0022"/>
    <n v="0.99680000000000002"/>
    <n v="0.99519999999999997"/>
    <n v="0.95689999999999997"/>
    <n v="0.94971499999999998"/>
    <n v="0.90350934129295579"/>
    <n v="198000"/>
    <n v="21000"/>
    <n v="219000"/>
    <n v="62500"/>
    <n v="281500"/>
    <n v="6.569343065693431E-2"/>
    <n v="0"/>
    <n v="5.0373134328358209E-2"/>
  </r>
  <r>
    <n v="2025"/>
    <s v="19120124402    "/>
    <n v="-1.7147984280919266"/>
    <n v="0.18"/>
    <n v="7836"/>
    <s v="2"/>
    <s v="RES"/>
    <s v="MX"/>
    <s v="11"/>
    <s v="259"/>
    <s v="TD"/>
    <x v="2"/>
    <s v="GD"/>
    <n v="100"/>
    <n v="104"/>
    <n v="58"/>
    <n v="1920"/>
    <n v="1966"/>
    <n v="816"/>
    <n v="480"/>
    <m/>
    <m/>
    <m/>
    <n v="0"/>
    <n v="1296"/>
    <n v="1500"/>
    <s v="N"/>
    <m/>
    <n v="552"/>
    <m/>
    <m/>
    <m/>
    <m/>
    <m/>
    <n v="218076"/>
    <n v="139569"/>
    <n v="0"/>
    <n v="0"/>
    <n v="62500"/>
    <n v="229200"/>
    <n v="291700"/>
    <n v="132535.48800000001"/>
    <n v="88356.992000000013"/>
    <n v="-22505.565020573864"/>
    <n v="-1240.8083630000001"/>
    <n v="30300.329274"/>
    <n v="-6306.9838"/>
    <n v="50926.870080000001"/>
    <n v="28598.583839999999"/>
    <n v="0"/>
    <n v="19486.169112"/>
    <n v="0"/>
    <n v="254300"/>
    <n v="65900"/>
    <n v="320200"/>
    <n v="9.7703119643469324E-2"/>
    <n v="0.99970000000000003"/>
    <n v="1.0022"/>
    <n v="0.997"/>
    <n v="0.99519999999999997"/>
    <n v="0.98240000000000005"/>
    <n v="0.94971499999999998"/>
    <n v="0.92777267038779632"/>
    <n v="244700"/>
    <n v="0"/>
    <n v="244700"/>
    <n v="62500"/>
    <n v="307200"/>
    <n v="6.7626527050610827E-2"/>
    <n v="0"/>
    <n v="5.3136784367500856E-2"/>
  </r>
  <r>
    <n v="2025"/>
    <s v="19120131526    "/>
    <n v="-1.7147984280919266"/>
    <n v="0.18"/>
    <n v="7995"/>
    <s v="2"/>
    <s v="RES"/>
    <s v="MX"/>
    <s v="11"/>
    <s v="259"/>
    <s v="RN"/>
    <x v="0"/>
    <s v="GD"/>
    <n v="20"/>
    <n v="24"/>
    <n v="24"/>
    <n v="2000"/>
    <n v="2000"/>
    <n v="1092"/>
    <m/>
    <m/>
    <m/>
    <m/>
    <n v="0"/>
    <n v="1092"/>
    <n v="1500"/>
    <s v="N"/>
    <m/>
    <m/>
    <m/>
    <m/>
    <m/>
    <m/>
    <m/>
    <n v="179798"/>
    <n v="161818"/>
    <n v="0"/>
    <n v="0"/>
    <n v="62500"/>
    <n v="229000"/>
    <n v="291500"/>
    <n v="132535.48800000001"/>
    <n v="88356.992000000013"/>
    <n v="-22505.565020573864"/>
    <n v="24371.765965999999"/>
    <n v="30300.329274"/>
    <n v="-2609.7864"/>
    <n v="68152.13496000001"/>
    <n v="0"/>
    <n v="0"/>
    <n v="0"/>
    <n v="0"/>
    <n v="252700"/>
    <n v="65900"/>
    <n v="318600"/>
    <n v="9.2967409948542024E-2"/>
    <n v="0.99970000000000003"/>
    <n v="0.99199999999999999"/>
    <n v="0.997"/>
    <n v="0.99519999999999997"/>
    <n v="1.0138"/>
    <n v="0.94971499999999998"/>
    <n v="0.94768232788235862"/>
    <n v="245800"/>
    <n v="0"/>
    <n v="245800"/>
    <n v="62500"/>
    <n v="308300"/>
    <n v="7.3362445414847155E-2"/>
    <n v="0"/>
    <n v="5.7632933104631218E-2"/>
  </r>
  <r>
    <n v="2025"/>
    <s v="19120134402    "/>
    <n v="-1.7147984280919266"/>
    <n v="0.18"/>
    <n v="7800"/>
    <s v="2"/>
    <s v="RES"/>
    <s v="MX"/>
    <s v="11"/>
    <s v="259"/>
    <s v="RN"/>
    <x v="2"/>
    <s v="AV"/>
    <n v="40"/>
    <n v="44"/>
    <n v="44"/>
    <n v="1980"/>
    <n v="1980"/>
    <n v="1372"/>
    <m/>
    <m/>
    <m/>
    <m/>
    <n v="0"/>
    <n v="1372"/>
    <n v="1500"/>
    <s v="N"/>
    <m/>
    <m/>
    <m/>
    <m/>
    <m/>
    <m/>
    <m/>
    <n v="212487"/>
    <n v="165740"/>
    <n v="0"/>
    <n v="0"/>
    <n v="62500"/>
    <n v="201500"/>
    <n v="264000"/>
    <n v="132535.48800000001"/>
    <n v="88356.992000000013"/>
    <n v="-22505.565020573864"/>
    <n v="-1240.8083630000001"/>
    <n v="17761.121909000001"/>
    <n v="-4784.6084000000001"/>
    <n v="85627.041360000003"/>
    <n v="0"/>
    <n v="0"/>
    <n v="0"/>
    <n v="0"/>
    <n v="229900"/>
    <n v="65900"/>
    <n v="295800"/>
    <n v="0.12045454545454545"/>
    <n v="0.99970000000000003"/>
    <n v="1.0022"/>
    <n v="0.99680000000000002"/>
    <n v="0.99519999999999997"/>
    <n v="0.95689999999999997"/>
    <n v="0.94971499999999998"/>
    <n v="0.90350934129295579"/>
    <n v="217100"/>
    <n v="0"/>
    <n v="217100"/>
    <n v="62500"/>
    <n v="279600"/>
    <n v="7.7419354838709681E-2"/>
    <n v="0"/>
    <n v="5.909090909090909E-2"/>
  </r>
  <r>
    <n v="2025"/>
    <s v="19120134414    "/>
    <n v="-1.7147984280919266"/>
    <n v="0.18"/>
    <n v="7800"/>
    <s v="2"/>
    <s v="RES"/>
    <s v="MX"/>
    <s v="11"/>
    <s v="259"/>
    <s v="TD"/>
    <x v="1"/>
    <s v="VG"/>
    <n v="90"/>
    <n v="94"/>
    <n v="23"/>
    <n v="1930"/>
    <n v="2001"/>
    <n v="918"/>
    <m/>
    <m/>
    <m/>
    <m/>
    <n v="0"/>
    <n v="918"/>
    <n v="1000"/>
    <s v="N"/>
    <m/>
    <m/>
    <m/>
    <m/>
    <m/>
    <m/>
    <m/>
    <n v="132496"/>
    <n v="120571"/>
    <n v="0"/>
    <n v="0"/>
    <n v="62500"/>
    <n v="215100"/>
    <n v="277600"/>
    <n v="132535.48800000001"/>
    <n v="88356.992000000013"/>
    <n v="-22505.565020573864"/>
    <n v="0"/>
    <n v="50438.379078999998"/>
    <n v="-2501.0453000000002"/>
    <n v="57292.728840000003"/>
    <n v="0"/>
    <n v="0"/>
    <n v="0"/>
    <n v="0"/>
    <n v="237800"/>
    <n v="65900"/>
    <n v="303700"/>
    <n v="9.4020172910662822E-2"/>
    <n v="0.99970000000000003"/>
    <n v="1.0003"/>
    <n v="1.0007999999999999"/>
    <n v="1"/>
    <n v="0.99960000000000004"/>
    <n v="0.94971499999999998"/>
    <n v="0.95037961046582731"/>
    <n v="231200"/>
    <n v="0"/>
    <n v="231200"/>
    <n v="62500"/>
    <n v="293700"/>
    <n v="7.4848907484890745E-2"/>
    <n v="0"/>
    <n v="5.7997118155619594E-2"/>
  </r>
  <r>
    <n v="2025"/>
    <s v="19120134425    "/>
    <n v="-1.7147984280919266"/>
    <n v="0.18"/>
    <n v="7996"/>
    <s v="2"/>
    <s v="RES"/>
    <s v="MX"/>
    <s v="11"/>
    <s v="259"/>
    <s v="RN"/>
    <x v="0"/>
    <s v="GD"/>
    <n v="30"/>
    <n v="37"/>
    <n v="37"/>
    <n v="1987"/>
    <n v="1987"/>
    <n v="1288"/>
    <m/>
    <m/>
    <m/>
    <m/>
    <n v="0"/>
    <n v="1288"/>
    <n v="1500"/>
    <s v="N"/>
    <m/>
    <m/>
    <m/>
    <m/>
    <m/>
    <m/>
    <m/>
    <n v="214876"/>
    <n v="182645"/>
    <n v="0"/>
    <n v="0"/>
    <n v="62500"/>
    <n v="226900"/>
    <n v="289400"/>
    <n v="132535.48800000001"/>
    <n v="88356.992000000013"/>
    <n v="-22505.565020573864"/>
    <n v="24371.765965999999"/>
    <n v="30300.329274"/>
    <n v="-4023.4207000000001"/>
    <n v="80384.569440000007"/>
    <n v="0"/>
    <n v="0"/>
    <n v="0"/>
    <n v="0"/>
    <n v="263600"/>
    <n v="65900"/>
    <n v="329500"/>
    <n v="0.13856254319281272"/>
    <n v="0.99970000000000003"/>
    <n v="0.99199999999999999"/>
    <n v="0.997"/>
    <n v="0.99519999999999997"/>
    <n v="0.95920000000000005"/>
    <n v="0.94971499999999998"/>
    <n v="0.89664321257127488"/>
    <n v="249900"/>
    <n v="0"/>
    <n v="249900"/>
    <n v="62500"/>
    <n v="312400"/>
    <n v="0.10136624063464081"/>
    <n v="0"/>
    <n v="7.9474775397373881E-2"/>
  </r>
  <r>
    <n v="2025"/>
    <s v="19120134407    "/>
    <n v="-1.7147984280919266"/>
    <n v="0.18"/>
    <n v="7788"/>
    <s v="2"/>
    <s v="RES"/>
    <s v="MX"/>
    <s v="11"/>
    <s v="259"/>
    <s v="RN"/>
    <x v="0"/>
    <s v="GD"/>
    <n v="40"/>
    <n v="40"/>
    <n v="40"/>
    <n v="1984"/>
    <n v="1984"/>
    <n v="1300"/>
    <m/>
    <m/>
    <m/>
    <m/>
    <n v="0"/>
    <n v="1300"/>
    <n v="1500"/>
    <s v="N"/>
    <m/>
    <m/>
    <m/>
    <m/>
    <m/>
    <m/>
    <m/>
    <n v="217554"/>
    <n v="176219"/>
    <n v="2438"/>
    <n v="0"/>
    <n v="62500"/>
    <n v="226900"/>
    <n v="289400"/>
    <n v="132535.48800000001"/>
    <n v="88356.992000000013"/>
    <n v="-22505.565020573864"/>
    <n v="24371.765965999999"/>
    <n v="30300.329274"/>
    <n v="-4349.6440000000002"/>
    <n v="81133.494000000006"/>
    <n v="0"/>
    <n v="0"/>
    <n v="0"/>
    <n v="2400"/>
    <n v="264000"/>
    <n v="65900"/>
    <n v="332300"/>
    <n v="0.14823773324118866"/>
    <n v="0.99970000000000003"/>
    <n v="0.99199999999999999"/>
    <n v="0.997"/>
    <n v="0.99519999999999997"/>
    <n v="0.95689999999999997"/>
    <n v="0.94971499999999998"/>
    <n v="0.89449321320835362"/>
    <n v="250000"/>
    <n v="2300"/>
    <n v="252300"/>
    <n v="62500"/>
    <n v="314800"/>
    <n v="0.1119435874834729"/>
    <n v="0"/>
    <n v="8.7767795438838975E-2"/>
  </r>
  <r>
    <n v="2025"/>
    <s v="19120134404    "/>
    <n v="-1.7147984280919266"/>
    <n v="0.18"/>
    <n v="7800"/>
    <s v="2"/>
    <s v="RES"/>
    <s v="MX"/>
    <s v="11"/>
    <s v="259"/>
    <s v="BG"/>
    <x v="1"/>
    <s v="FR"/>
    <n v="100"/>
    <n v="104"/>
    <n v="58"/>
    <n v="1920"/>
    <n v="1966"/>
    <n v="830"/>
    <m/>
    <m/>
    <m/>
    <m/>
    <n v="0"/>
    <n v="830"/>
    <n v="1000"/>
    <s v="N"/>
    <m/>
    <m/>
    <m/>
    <m/>
    <m/>
    <m/>
    <m/>
    <n v="136314"/>
    <n v="81788"/>
    <n v="17834"/>
    <n v="0"/>
    <n v="62500"/>
    <n v="165700"/>
    <n v="228200"/>
    <n v="132535.48800000001"/>
    <n v="88356.992000000013"/>
    <n v="-22505.565020573864"/>
    <n v="0"/>
    <n v="0"/>
    <n v="-6306.9838"/>
    <n v="51800.615400000002"/>
    <n v="0"/>
    <n v="0"/>
    <n v="0"/>
    <n v="17800"/>
    <n v="178000"/>
    <n v="65900"/>
    <n v="261700"/>
    <n v="0.14680105170902716"/>
    <n v="0.99970000000000003"/>
    <n v="1.0003"/>
    <n v="1"/>
    <n v="1"/>
    <n v="0.98240000000000005"/>
    <n v="0.94971499999999998"/>
    <n v="0.93327991600480009"/>
    <n v="169200"/>
    <n v="16900"/>
    <n v="186100"/>
    <n v="62500"/>
    <n v="248600"/>
    <n v="0.12311406155703078"/>
    <n v="0"/>
    <n v="8.9395267309377732E-2"/>
  </r>
  <r>
    <n v="2025"/>
    <s v="19120134412    "/>
    <n v="-1.7147984280919266"/>
    <n v="0.18"/>
    <n v="7800"/>
    <s v="2"/>
    <s v="RES"/>
    <s v="MX"/>
    <s v="11"/>
    <s v="259"/>
    <s v="RN"/>
    <x v="2"/>
    <s v="AV"/>
    <n v="50"/>
    <n v="59"/>
    <n v="48"/>
    <n v="1965"/>
    <n v="1976"/>
    <n v="1216"/>
    <m/>
    <m/>
    <m/>
    <m/>
    <n v="0"/>
    <n v="1216"/>
    <n v="1500"/>
    <s v="N"/>
    <m/>
    <m/>
    <m/>
    <m/>
    <m/>
    <m/>
    <m/>
    <n v="178585"/>
    <n v="128581"/>
    <n v="6903"/>
    <n v="0"/>
    <n v="62500"/>
    <n v="196300"/>
    <n v="258800"/>
    <n v="132535.48800000001"/>
    <n v="88356.992000000013"/>
    <n v="-22505.565020573864"/>
    <n v="-1240.8083630000001"/>
    <n v="17761.121909000001"/>
    <n v="-5219.5727999999999"/>
    <n v="75891.02208000001"/>
    <n v="0"/>
    <n v="0"/>
    <n v="0"/>
    <n v="6900"/>
    <n v="219700"/>
    <n v="65900"/>
    <n v="292500"/>
    <n v="0.1302163833075734"/>
    <n v="0.99970000000000003"/>
    <n v="1.0022"/>
    <n v="0.99680000000000002"/>
    <n v="0.99519999999999997"/>
    <n v="1.0470999999999999"/>
    <n v="0.94971499999999998"/>
    <n v="0.98867659240030714"/>
    <n v="218200"/>
    <n v="6600"/>
    <n v="224800"/>
    <n v="62500"/>
    <n v="287300"/>
    <n v="0.14518593988792663"/>
    <n v="0"/>
    <n v="0.11012364760432766"/>
  </r>
  <r>
    <n v="2025"/>
    <s v="19120134403    "/>
    <n v="-1.7147984280919266"/>
    <n v="0.18"/>
    <n v="7800"/>
    <s v="2"/>
    <s v="RES"/>
    <s v="MX"/>
    <s v="11"/>
    <s v="259"/>
    <s v="BG"/>
    <x v="2"/>
    <s v="AV"/>
    <n v="90"/>
    <n v="94"/>
    <n v="54"/>
    <n v="1930"/>
    <n v="1970"/>
    <n v="999"/>
    <m/>
    <m/>
    <m/>
    <m/>
    <n v="0"/>
    <n v="999"/>
    <n v="1000"/>
    <s v="N"/>
    <m/>
    <m/>
    <m/>
    <m/>
    <m/>
    <m/>
    <m/>
    <n v="186457"/>
    <n v="123062"/>
    <n v="0"/>
    <n v="0"/>
    <n v="62500"/>
    <n v="174300"/>
    <n v="236800"/>
    <n v="132535.48800000001"/>
    <n v="88356.992000000013"/>
    <n v="-22505.565020573864"/>
    <n v="-1240.8083630000001"/>
    <n v="17761.121909000001"/>
    <n v="-5872.0194000000001"/>
    <n v="62347.969620000003"/>
    <n v="0"/>
    <n v="0"/>
    <n v="0"/>
    <n v="0"/>
    <n v="205500"/>
    <n v="65900"/>
    <n v="271400"/>
    <n v="0.14611486486486486"/>
    <n v="0.99970000000000003"/>
    <n v="1.0022"/>
    <n v="0.99680000000000002"/>
    <n v="1"/>
    <n v="0.99960000000000004"/>
    <n v="0.94971499999999998"/>
    <n v="0.94837909556679745"/>
    <n v="198700"/>
    <n v="0"/>
    <n v="198700"/>
    <n v="62500"/>
    <n v="261200"/>
    <n v="0.13998852553069421"/>
    <n v="0"/>
    <n v="0.10304054054054054"/>
  </r>
  <r>
    <n v="2025"/>
    <s v="19120134416    "/>
    <n v="-1.7147984280919266"/>
    <n v="0.18"/>
    <n v="7806"/>
    <s v="2"/>
    <s v="RES"/>
    <s v="MX"/>
    <s v="11"/>
    <s v="259"/>
    <s v="TD"/>
    <x v="1"/>
    <s v="AV"/>
    <n v="90"/>
    <n v="94"/>
    <n v="54"/>
    <n v="1930"/>
    <n v="1970"/>
    <n v="1004"/>
    <m/>
    <m/>
    <m/>
    <m/>
    <n v="0"/>
    <n v="1004"/>
    <n v="1500"/>
    <s v="N"/>
    <m/>
    <m/>
    <m/>
    <m/>
    <m/>
    <m/>
    <m/>
    <n v="153521"/>
    <n v="101324"/>
    <n v="0"/>
    <n v="0"/>
    <n v="62500"/>
    <n v="166800"/>
    <n v="229300"/>
    <n v="132535.48800000001"/>
    <n v="88356.992000000013"/>
    <n v="-22505.565020573864"/>
    <n v="0"/>
    <n v="17761.121909000001"/>
    <n v="-5872.0194000000001"/>
    <n v="62660.021520000002"/>
    <n v="0"/>
    <n v="0"/>
    <n v="0"/>
    <n v="0"/>
    <n v="207100"/>
    <n v="65900"/>
    <n v="273000"/>
    <n v="0.19058002616659397"/>
    <n v="0.99970000000000003"/>
    <n v="1.0003"/>
    <n v="0.99680000000000002"/>
    <n v="0.99519999999999997"/>
    <n v="0.99960000000000004"/>
    <n v="0.94971499999999998"/>
    <n v="0.94203754137981355"/>
    <n v="199400"/>
    <n v="0"/>
    <n v="199400"/>
    <n v="62500"/>
    <n v="261900"/>
    <n v="0.19544364508393286"/>
    <n v="0"/>
    <n v="0.14217182730047973"/>
  </r>
  <r>
    <n v="2025"/>
    <s v="19120134411    "/>
    <n v="-1.7147984280919266"/>
    <n v="0.18"/>
    <n v="7800"/>
    <s v="2"/>
    <s v="RES"/>
    <s v="MX"/>
    <s v="11"/>
    <s v="259"/>
    <s v="TD"/>
    <x v="1"/>
    <s v="AV"/>
    <n v="50"/>
    <n v="54"/>
    <n v="47"/>
    <n v="1970"/>
    <n v="1977"/>
    <n v="1152"/>
    <m/>
    <m/>
    <m/>
    <m/>
    <n v="0"/>
    <n v="1152"/>
    <n v="1500"/>
    <s v="N"/>
    <m/>
    <m/>
    <m/>
    <m/>
    <m/>
    <m/>
    <m/>
    <n v="146964"/>
    <n v="111693"/>
    <n v="1515"/>
    <n v="0"/>
    <n v="62500"/>
    <n v="176100"/>
    <n v="238600"/>
    <n v="132535.48800000001"/>
    <n v="88356.992000000013"/>
    <n v="-22505.565020573864"/>
    <n v="0"/>
    <n v="17761.121909000001"/>
    <n v="-5110.8316999999997"/>
    <n v="71896.757760000008"/>
    <n v="0"/>
    <n v="0"/>
    <n v="0"/>
    <n v="1500"/>
    <n v="217100"/>
    <n v="65900"/>
    <n v="284500"/>
    <n v="0.19237217099748533"/>
    <n v="0.99970000000000003"/>
    <n v="1.0003"/>
    <n v="0.99680000000000002"/>
    <n v="0.99519999999999997"/>
    <n v="1.0470999999999999"/>
    <n v="0.94971499999999998"/>
    <n v="0.98680223047099103"/>
    <n v="215300"/>
    <n v="1400"/>
    <n v="216700"/>
    <n v="62500"/>
    <n v="279200"/>
    <n v="0.23055082339579785"/>
    <n v="0"/>
    <n v="0.17015926236378875"/>
  </r>
  <r>
    <n v="2025"/>
    <s v="19120142489    "/>
    <n v="-1.7147984280919266"/>
    <n v="0.18"/>
    <n v="8055"/>
    <s v="2"/>
    <s v="RES"/>
    <s v="MX"/>
    <s v="11"/>
    <s v="259"/>
    <s v="TD"/>
    <x v="1"/>
    <s v="AV"/>
    <n v="90"/>
    <n v="99"/>
    <n v="56"/>
    <n v="1925"/>
    <n v="1968"/>
    <n v="690"/>
    <m/>
    <m/>
    <m/>
    <m/>
    <n v="0"/>
    <n v="690"/>
    <n v="1000"/>
    <s v="N"/>
    <m/>
    <m/>
    <m/>
    <m/>
    <m/>
    <m/>
    <m/>
    <n v="98924"/>
    <n v="63311"/>
    <n v="0"/>
    <n v="0"/>
    <n v="62500"/>
    <n v="145400"/>
    <n v="207900"/>
    <n v="132535.48800000001"/>
    <n v="88356.992000000013"/>
    <n v="-22505.565020573864"/>
    <n v="0"/>
    <n v="17761.121909000001"/>
    <n v="-6089.5016000000005"/>
    <n v="43063.162199999999"/>
    <n v="0"/>
    <n v="0"/>
    <n v="0"/>
    <n v="0"/>
    <n v="187300"/>
    <n v="65900"/>
    <n v="253200"/>
    <n v="0.21789321789321789"/>
    <n v="0.99970000000000003"/>
    <n v="1.0003"/>
    <n v="0.99680000000000002"/>
    <n v="1"/>
    <n v="0.99960000000000004"/>
    <n v="0.94971499999999998"/>
    <n v="0.94658113080769057"/>
    <n v="180200"/>
    <n v="0"/>
    <n v="180200"/>
    <n v="62500"/>
    <n v="242700"/>
    <n v="0.23933975240715269"/>
    <n v="0"/>
    <n v="0.16738816738816739"/>
  </r>
  <r>
    <n v="2025"/>
    <s v="19120134417    "/>
    <n v="-1.7147984280919266"/>
    <n v="0.18"/>
    <n v="7818"/>
    <s v="2"/>
    <s v="RES"/>
    <s v="MX"/>
    <s v="11"/>
    <s v="259"/>
    <s v="TD"/>
    <x v="3"/>
    <s v="AV"/>
    <n v="70"/>
    <n v="74"/>
    <n v="51"/>
    <n v="1950"/>
    <n v="1973"/>
    <n v="624"/>
    <m/>
    <m/>
    <m/>
    <m/>
    <n v="0"/>
    <n v="624"/>
    <n v="1000"/>
    <s v="N"/>
    <m/>
    <m/>
    <m/>
    <m/>
    <m/>
    <m/>
    <m/>
    <n v="89965"/>
    <n v="62076"/>
    <n v="0"/>
    <n v="0"/>
    <n v="62500"/>
    <n v="134700"/>
    <n v="197200"/>
    <n v="132535.48800000001"/>
    <n v="88356.992000000013"/>
    <n v="-22505.565020573864"/>
    <n v="-9114.1675108666695"/>
    <n v="17761.121909000001"/>
    <n v="-5545.7961000000005"/>
    <n v="38944.077120000002"/>
    <n v="0"/>
    <n v="0"/>
    <n v="0"/>
    <n v="0"/>
    <n v="174600"/>
    <n v="65900"/>
    <n v="240500"/>
    <n v="0.21957403651115617"/>
    <n v="0.99970000000000003"/>
    <n v="1"/>
    <n v="0.99680000000000002"/>
    <n v="1"/>
    <n v="1"/>
    <n v="0.94971499999999998"/>
    <n v="0.94667591200000001"/>
    <n v="167500"/>
    <n v="0"/>
    <n v="167500"/>
    <n v="62500"/>
    <n v="230000"/>
    <n v="0.24350408314773572"/>
    <n v="0"/>
    <n v="0.16632860040567951"/>
  </r>
  <r>
    <n v="2025"/>
    <s v="19120114461    "/>
    <n v="-1.6982691261407161"/>
    <n v="0.183"/>
    <n v="7987"/>
    <s v="2"/>
    <s v="RES"/>
    <s v="MX"/>
    <s v="11"/>
    <s v="259"/>
    <s v="RN"/>
    <x v="5"/>
    <s v="EX"/>
    <n v="0"/>
    <n v="3"/>
    <n v="3"/>
    <n v="2021"/>
    <n v="2021"/>
    <n v="1991"/>
    <m/>
    <m/>
    <m/>
    <m/>
    <n v="0"/>
    <n v="1991"/>
    <n v="2000"/>
    <s v="S"/>
    <n v="1"/>
    <n v="400"/>
    <m/>
    <m/>
    <m/>
    <m/>
    <m/>
    <n v="421489"/>
    <n v="408844"/>
    <n v="0"/>
    <n v="0"/>
    <n v="62500"/>
    <n v="345600"/>
    <n v="408100"/>
    <n v="132535.48800000001"/>
    <n v="88356.992000000013"/>
    <n v="-22288.62915586025"/>
    <n v="32917.849192000001"/>
    <n v="47371.278778200001"/>
    <n v="-326.22329999999999"/>
    <n v="124259.06658000001"/>
    <n v="0"/>
    <n v="0"/>
    <n v="14120.412400000001"/>
    <n v="0"/>
    <n v="350900"/>
    <n v="66100"/>
    <n v="417000"/>
    <n v="2.1808380298946335E-2"/>
    <n v="0.99970000000000003"/>
    <n v="1.0019"/>
    <n v="1.0012000000000001"/>
    <n v="1.0007999999999999"/>
    <n v="1.0022"/>
    <n v="0.94971499999999998"/>
    <n v="0.95552094237960661"/>
    <n v="345000"/>
    <n v="0"/>
    <n v="345000"/>
    <n v="62700"/>
    <n v="407700"/>
    <n v="-1.736111111111111E-3"/>
    <n v="3.2000000000000002E-3"/>
    <n v="-9.8015192354814992E-4"/>
  </r>
  <r>
    <n v="2025"/>
    <s v="19120114462    "/>
    <n v="-1.6982691261407161"/>
    <n v="0.183"/>
    <n v="7982"/>
    <s v="2"/>
    <s v="RES"/>
    <s v="MX"/>
    <s v="11"/>
    <s v="259"/>
    <s v="CO"/>
    <x v="5"/>
    <s v="EX"/>
    <n v="0"/>
    <n v="3"/>
    <n v="3"/>
    <n v="2021"/>
    <n v="2021"/>
    <n v="1810"/>
    <m/>
    <m/>
    <m/>
    <m/>
    <n v="0"/>
    <n v="1810"/>
    <n v="2000"/>
    <s v="N"/>
    <n v="1"/>
    <n v="510"/>
    <m/>
    <m/>
    <m/>
    <m/>
    <m/>
    <n v="409869"/>
    <n v="397573"/>
    <n v="0"/>
    <n v="0"/>
    <n v="62500"/>
    <n v="348400"/>
    <n v="410900"/>
    <n v="132535.48800000001"/>
    <n v="88356.992000000013"/>
    <n v="-22288.62915586025"/>
    <n v="32917.849192000001"/>
    <n v="47371.278778200001"/>
    <n v="-326.22329999999999"/>
    <n v="112962.78780000001"/>
    <n v="0"/>
    <n v="0"/>
    <n v="18003.525809999999"/>
    <n v="0"/>
    <n v="343500"/>
    <n v="66100"/>
    <n v="409600"/>
    <n v="-3.163786809442687E-3"/>
    <n v="0.99970000000000003"/>
    <n v="1.0019"/>
    <n v="1.0012000000000001"/>
    <n v="1.0007999999999999"/>
    <n v="1.0022"/>
    <n v="0.94971499999999998"/>
    <n v="0.95552094237960661"/>
    <n v="337600"/>
    <n v="0"/>
    <n v="337600"/>
    <n v="62700"/>
    <n v="400300"/>
    <n v="-3.0998851894374284E-2"/>
    <n v="3.2000000000000002E-3"/>
    <n v="-2.5797030907763446E-2"/>
  </r>
  <r>
    <n v="2025"/>
    <s v="19133541447    "/>
    <n v="-1.6982691261407161"/>
    <n v="0.183"/>
    <n v="7982"/>
    <s v="2"/>
    <s v="RES"/>
    <s v="MX"/>
    <s v="11"/>
    <s v="259"/>
    <s v="CO"/>
    <x v="5"/>
    <s v="EX"/>
    <n v="0"/>
    <n v="3"/>
    <n v="3"/>
    <n v="2021"/>
    <n v="2021"/>
    <n v="2040"/>
    <m/>
    <m/>
    <m/>
    <m/>
    <n v="0"/>
    <n v="2040"/>
    <n v="2500"/>
    <s v="N"/>
    <n v="1"/>
    <n v="655"/>
    <m/>
    <m/>
    <m/>
    <m/>
    <m/>
    <n v="450568"/>
    <n v="437051"/>
    <n v="0"/>
    <n v="0"/>
    <n v="62500"/>
    <n v="362000"/>
    <n v="424500"/>
    <n v="132535.48800000001"/>
    <n v="88356.992000000013"/>
    <n v="-22288.62915586025"/>
    <n v="32917.849192000001"/>
    <n v="47371.278778200001"/>
    <n v="-326.22329999999999"/>
    <n v="127317.17520000001"/>
    <n v="0"/>
    <n v="0"/>
    <n v="23122.175305000001"/>
    <n v="0"/>
    <n v="362900"/>
    <n v="66100"/>
    <n v="429000"/>
    <n v="1.0600706713780919E-2"/>
    <n v="0.99970000000000003"/>
    <n v="1.0019"/>
    <n v="1.0012000000000001"/>
    <n v="1.0008999999999999"/>
    <n v="1.0022"/>
    <n v="0.94971499999999998"/>
    <n v="0.95561641809327347"/>
    <n v="357100"/>
    <n v="0"/>
    <n v="357100"/>
    <n v="62700"/>
    <n v="419800"/>
    <n v="-1.3535911602209945E-2"/>
    <n v="3.2000000000000002E-3"/>
    <n v="-1.1071849234393404E-2"/>
  </r>
  <r>
    <n v="2025"/>
    <s v="19120114460    "/>
    <n v="-1.6982691261407161"/>
    <n v="0.183"/>
    <n v="7992"/>
    <s v="2"/>
    <s v="RES"/>
    <s v="MX"/>
    <s v="11"/>
    <s v="259"/>
    <s v="CO"/>
    <x v="4"/>
    <s v="EX"/>
    <n v="0"/>
    <n v="2"/>
    <n v="2"/>
    <n v="2022"/>
    <n v="2022"/>
    <n v="1580"/>
    <m/>
    <m/>
    <m/>
    <m/>
    <n v="0"/>
    <n v="1580"/>
    <n v="2000"/>
    <s v="N"/>
    <m/>
    <n v="616"/>
    <m/>
    <m/>
    <m/>
    <m/>
    <m/>
    <n v="314679"/>
    <n v="308385"/>
    <n v="0"/>
    <n v="0"/>
    <n v="62500"/>
    <n v="330100"/>
    <n v="392600"/>
    <n v="132535.48800000001"/>
    <n v="88356.992000000013"/>
    <n v="-22288.62915586025"/>
    <n v="37154.252388000001"/>
    <n v="47371.278778200001"/>
    <n v="-217.48220000000001"/>
    <n v="98608.400399999999"/>
    <n v="0"/>
    <n v="0"/>
    <n v="21745.435096000001"/>
    <n v="0"/>
    <n v="337200"/>
    <n v="66100"/>
    <n v="403300"/>
    <n v="2.7254202750891493E-2"/>
    <n v="0.99970000000000003"/>
    <n v="0.99819999999999998"/>
    <n v="1.0012000000000001"/>
    <n v="1.0007999999999999"/>
    <n v="1.0022"/>
    <n v="0.94971499999999998"/>
    <n v="0.95199221946633727"/>
    <n v="330800"/>
    <n v="0"/>
    <n v="330800"/>
    <n v="62700"/>
    <n v="393500"/>
    <n v="2.1205695243865495E-3"/>
    <n v="3.2000000000000002E-3"/>
    <n v="2.2924095771777891E-3"/>
  </r>
  <r>
    <n v="2025"/>
    <s v="19133541430    "/>
    <n v="-1.6982691261407161"/>
    <n v="0.183"/>
    <n v="7976"/>
    <s v="2"/>
    <s v="RES"/>
    <s v="MX"/>
    <s v="11"/>
    <s v="259"/>
    <s v="CO"/>
    <x v="5"/>
    <s v="EX"/>
    <n v="0"/>
    <n v="3"/>
    <n v="3"/>
    <n v="2021"/>
    <n v="2021"/>
    <n v="1709"/>
    <m/>
    <m/>
    <m/>
    <m/>
    <n v="0"/>
    <n v="1709"/>
    <n v="2000"/>
    <s v="N"/>
    <m/>
    <n v="415"/>
    <m/>
    <m/>
    <m/>
    <m/>
    <m/>
    <n v="375379"/>
    <n v="364118"/>
    <n v="0"/>
    <n v="0"/>
    <n v="62500"/>
    <n v="325700"/>
    <n v="388200"/>
    <n v="132535.48800000001"/>
    <n v="88356.992000000013"/>
    <n v="-22288.62915586025"/>
    <n v="32917.849192000001"/>
    <n v="47371.278778200001"/>
    <n v="-326.22329999999999"/>
    <n v="106659.33942"/>
    <n v="0"/>
    <n v="0"/>
    <n v="14649.927865000001"/>
    <n v="0"/>
    <n v="333800"/>
    <n v="66100"/>
    <n v="399900"/>
    <n v="3.0139103554868624E-2"/>
    <n v="0.99970000000000003"/>
    <n v="1.0019"/>
    <n v="1.0012000000000001"/>
    <n v="1.0007999999999999"/>
    <n v="1.0022"/>
    <n v="0.94971499999999998"/>
    <n v="0.95552094237960661"/>
    <n v="327900"/>
    <n v="0"/>
    <n v="327900"/>
    <n v="62700"/>
    <n v="390600"/>
    <n v="6.7546822229045131E-3"/>
    <n v="3.2000000000000002E-3"/>
    <n v="6.1823802163833074E-3"/>
  </r>
  <r>
    <n v="2025"/>
    <s v="19133541434    "/>
    <n v="-1.6982691261407161"/>
    <n v="0.183"/>
    <n v="7982"/>
    <s v="2"/>
    <s v="RES"/>
    <s v="MX"/>
    <s v="11"/>
    <s v="259"/>
    <s v="CO"/>
    <x v="5"/>
    <s v="EX"/>
    <n v="0"/>
    <n v="3"/>
    <n v="3"/>
    <n v="2021"/>
    <n v="2021"/>
    <n v="2010"/>
    <m/>
    <m/>
    <m/>
    <m/>
    <n v="0"/>
    <n v="2010"/>
    <n v="2500"/>
    <s v="N"/>
    <m/>
    <n v="424"/>
    <m/>
    <m/>
    <m/>
    <m/>
    <m/>
    <n v="422416"/>
    <n v="409744"/>
    <n v="0"/>
    <n v="0"/>
    <n v="62500"/>
    <n v="337400"/>
    <n v="399900"/>
    <n v="132535.48800000001"/>
    <n v="88356.992000000013"/>
    <n v="-22288.62915586025"/>
    <n v="32917.849192000001"/>
    <n v="47371.278778200001"/>
    <n v="-326.22329999999999"/>
    <n v="125444.86380000001"/>
    <n v="0"/>
    <n v="0"/>
    <n v="14967.637144"/>
    <n v="0"/>
    <n v="352900"/>
    <n v="66100"/>
    <n v="419000"/>
    <n v="4.7761940485121279E-2"/>
    <n v="0.99970000000000003"/>
    <n v="1.0019"/>
    <n v="1.0012000000000001"/>
    <n v="1.0008999999999999"/>
    <n v="1.0022"/>
    <n v="0.94971499999999998"/>
    <n v="0.95561641809327347"/>
    <n v="347000"/>
    <n v="0"/>
    <n v="347000"/>
    <n v="62700"/>
    <n v="409700"/>
    <n v="2.8452874925903971E-2"/>
    <n v="3.2000000000000002E-3"/>
    <n v="2.4506126531632907E-2"/>
  </r>
  <r>
    <n v="2025"/>
    <s v="19133514425    "/>
    <n v="-1.6928195213731514"/>
    <n v="0.184"/>
    <n v="8010"/>
    <s v="2"/>
    <s v="RES"/>
    <s v="MX"/>
    <s v="11"/>
    <s v="259"/>
    <s v="CO"/>
    <x v="5"/>
    <s v="EX"/>
    <n v="0"/>
    <n v="3"/>
    <n v="3"/>
    <n v="2021"/>
    <n v="2021"/>
    <n v="1111"/>
    <n v="1126"/>
    <m/>
    <m/>
    <m/>
    <n v="0"/>
    <n v="2237"/>
    <n v="2500"/>
    <s v="N"/>
    <m/>
    <n v="455"/>
    <m/>
    <m/>
    <m/>
    <m/>
    <m/>
    <n v="451707"/>
    <n v="438156"/>
    <n v="0"/>
    <n v="0"/>
    <n v="62500"/>
    <n v="372200"/>
    <n v="434700"/>
    <n v="132535.48800000001"/>
    <n v="88356.992000000013"/>
    <n v="-22217.1067935676"/>
    <n v="32917.849192000001"/>
    <n v="47371.278778200001"/>
    <n v="-326.22329999999999"/>
    <n v="69337.932180000003"/>
    <n v="67087.511257999999"/>
    <n v="0"/>
    <n v="16061.969105"/>
    <n v="0"/>
    <n v="365000"/>
    <n v="66100"/>
    <n v="431100"/>
    <n v="-8.2815734989648039E-3"/>
    <n v="0.99970000000000003"/>
    <n v="1.0019"/>
    <n v="1.0012000000000001"/>
    <n v="1.0008999999999999"/>
    <n v="1.0022"/>
    <n v="0.94971499999999998"/>
    <n v="0.95561641809327347"/>
    <n v="359100"/>
    <n v="0"/>
    <n v="359100"/>
    <n v="62800"/>
    <n v="421900"/>
    <n v="-3.5196131112305212E-2"/>
    <n v="4.7999999999999996E-3"/>
    <n v="-2.9445594662985967E-2"/>
  </r>
  <r>
    <n v="2025"/>
    <s v="19133541451    "/>
    <n v="-1.6820086052689358"/>
    <n v="0.186"/>
    <n v="8085"/>
    <s v="2"/>
    <s v="RES"/>
    <s v="MX"/>
    <s v="11"/>
    <s v="259"/>
    <s v="CO"/>
    <x v="5"/>
    <s v="EX"/>
    <n v="0"/>
    <n v="3"/>
    <n v="3"/>
    <n v="2021"/>
    <n v="2021"/>
    <n v="1740"/>
    <m/>
    <m/>
    <m/>
    <m/>
    <n v="0"/>
    <n v="1740"/>
    <n v="2000"/>
    <s v="N"/>
    <m/>
    <n v="450"/>
    <m/>
    <m/>
    <m/>
    <m/>
    <m/>
    <n v="374705"/>
    <n v="363464"/>
    <n v="0"/>
    <n v="0"/>
    <n v="63200"/>
    <n v="323500"/>
    <n v="386700"/>
    <n v="132535.48800000001"/>
    <n v="88356.992000000013"/>
    <n v="-22075.220860311805"/>
    <n v="32917.849192000001"/>
    <n v="47371.278778200001"/>
    <n v="-326.22329999999999"/>
    <n v="108594.06120000001"/>
    <n v="0"/>
    <n v="0"/>
    <n v="15885.463950000001"/>
    <n v="0"/>
    <n v="337000"/>
    <n v="66300"/>
    <n v="403300"/>
    <n v="4.2927333850530124E-2"/>
    <n v="0.99970000000000003"/>
    <n v="1.0019"/>
    <n v="1.0012000000000001"/>
    <n v="1.0007999999999999"/>
    <n v="1.0022"/>
    <n v="0.94971499999999998"/>
    <n v="0.95552094237960661"/>
    <n v="331100"/>
    <n v="0"/>
    <n v="331100"/>
    <n v="62900"/>
    <n v="394000"/>
    <n v="2.349304482225657E-2"/>
    <n v="-4.7468354430379748E-3"/>
    <n v="1.8877682958365657E-2"/>
  </r>
  <r>
    <n v="2025"/>
    <s v="19120114468    "/>
    <n v="-1.6766466621275504"/>
    <n v="0.187"/>
    <n v="8138"/>
    <s v="2"/>
    <s v="RES"/>
    <s v="MX"/>
    <s v="11"/>
    <s v="259"/>
    <s v="CO"/>
    <x v="5"/>
    <s v="EX"/>
    <n v="0"/>
    <n v="2"/>
    <n v="2"/>
    <n v="2022"/>
    <n v="2022"/>
    <n v="1316"/>
    <n v="1686"/>
    <m/>
    <m/>
    <m/>
    <n v="0"/>
    <n v="3002"/>
    <n v="3500"/>
    <s v="N"/>
    <m/>
    <m/>
    <n v="460"/>
    <m/>
    <m/>
    <m/>
    <m/>
    <n v="564067"/>
    <n v="552786"/>
    <n v="0"/>
    <n v="0"/>
    <n v="63200"/>
    <n v="417000"/>
    <n v="480200"/>
    <n v="132535.48800000001"/>
    <n v="88356.992000000013"/>
    <n v="-22004.848997340516"/>
    <n v="32917.849192000001"/>
    <n v="47371.278778200001"/>
    <n v="-217.48220000000001"/>
    <n v="82132.06008000001"/>
    <n v="100452.525738"/>
    <n v="0"/>
    <n v="0"/>
    <n v="0"/>
    <n v="395200"/>
    <n v="66400"/>
    <n v="461600"/>
    <n v="-3.8733860891295296E-2"/>
    <n v="0.99970000000000003"/>
    <n v="1.0019"/>
    <n v="1.0012000000000001"/>
    <n v="0.98509999999999998"/>
    <n v="1.0022"/>
    <n v="0.94971499999999998"/>
    <n v="0.94053125533388338"/>
    <n v="387300"/>
    <n v="0"/>
    <n v="387300"/>
    <n v="63000"/>
    <n v="450300"/>
    <n v="-7.1223021582733817E-2"/>
    <n v="-3.1645569620253164E-3"/>
    <n v="-6.2265722615576842E-2"/>
  </r>
  <r>
    <n v="2025"/>
    <s v="19120114508    "/>
    <n v="-1.6766466621275504"/>
    <n v="0.187"/>
    <n v="8131"/>
    <s v="2"/>
    <s v="RES"/>
    <s v="MX"/>
    <s v="11"/>
    <s v="259"/>
    <s v="CO"/>
    <x v="5"/>
    <s v="EX"/>
    <n v="0"/>
    <n v="2"/>
    <n v="2"/>
    <n v="2022"/>
    <n v="2022"/>
    <n v="1830"/>
    <m/>
    <m/>
    <m/>
    <m/>
    <n v="0"/>
    <n v="1830"/>
    <n v="2000"/>
    <s v="N"/>
    <m/>
    <n v="680"/>
    <m/>
    <m/>
    <m/>
    <m/>
    <m/>
    <n v="406194"/>
    <n v="398070"/>
    <n v="0"/>
    <n v="0"/>
    <n v="63200"/>
    <n v="353700"/>
    <n v="416900"/>
    <n v="132535.48800000001"/>
    <n v="88356.992000000013"/>
    <n v="-22004.848997340516"/>
    <n v="32917.849192000001"/>
    <n v="47371.278778200001"/>
    <n v="-217.48220000000001"/>
    <n v="114210.9954"/>
    <n v="0"/>
    <n v="0"/>
    <n v="24004.701080000003"/>
    <n v="0"/>
    <n v="350800"/>
    <n v="66400"/>
    <n v="417200"/>
    <n v="7.1959702566562727E-4"/>
    <n v="0.99970000000000003"/>
    <n v="1.0019"/>
    <n v="1.0012000000000001"/>
    <n v="1.0007999999999999"/>
    <n v="1.0022"/>
    <n v="0.94971499999999998"/>
    <n v="0.95552094237960661"/>
    <n v="344900"/>
    <n v="0"/>
    <n v="344900"/>
    <n v="63000"/>
    <n v="407900"/>
    <n v="-2.4879841673734804E-2"/>
    <n v="-3.1645569620253164E-3"/>
    <n v="-2.1587910769968816E-2"/>
  </r>
  <r>
    <n v="2025"/>
    <s v="19120114507    "/>
    <n v="-1.6713133161521878"/>
    <n v="0.188"/>
    <n v="8207"/>
    <s v="2"/>
    <s v="RES"/>
    <s v="MX"/>
    <s v="11"/>
    <s v="259"/>
    <s v="CO"/>
    <x v="5"/>
    <s v="EX"/>
    <n v="0"/>
    <n v="2"/>
    <n v="2"/>
    <n v="2022"/>
    <n v="2022"/>
    <n v="1592"/>
    <m/>
    <m/>
    <m/>
    <m/>
    <n v="0"/>
    <n v="1592"/>
    <n v="2000"/>
    <s v="S"/>
    <n v="1"/>
    <n v="616"/>
    <m/>
    <m/>
    <m/>
    <m/>
    <m/>
    <n v="373646"/>
    <n v="366173"/>
    <n v="0"/>
    <n v="0"/>
    <n v="63200"/>
    <n v="337300"/>
    <n v="400500"/>
    <n v="132535.48800000001"/>
    <n v="88356.992000000013"/>
    <n v="-21934.852452755797"/>
    <n v="32917.849192000001"/>
    <n v="47371.278778200001"/>
    <n v="-217.48220000000001"/>
    <n v="99357.324960000013"/>
    <n v="0"/>
    <n v="0"/>
    <n v="21745.435096000001"/>
    <n v="0"/>
    <n v="333700"/>
    <n v="66400"/>
    <n v="400100"/>
    <n v="-9.9875156054931333E-4"/>
    <n v="0.99970000000000003"/>
    <n v="1.0019"/>
    <n v="1.0012000000000001"/>
    <n v="1.0007999999999999"/>
    <n v="1.0022"/>
    <n v="0.94971499999999998"/>
    <n v="0.95552094237960661"/>
    <n v="327800"/>
    <n v="0"/>
    <n v="327800"/>
    <n v="63100"/>
    <n v="390900"/>
    <n v="-2.816483842276905E-2"/>
    <n v="-1.5822784810126582E-3"/>
    <n v="-2.3970037453183522E-2"/>
  </r>
  <r>
    <n v="2025"/>
    <s v="19120114469    "/>
    <n v="-1.6713133161521878"/>
    <n v="0.188"/>
    <n v="8205"/>
    <s v="2"/>
    <s v="RES"/>
    <s v="MX"/>
    <s v="11"/>
    <s v="259"/>
    <s v="CO"/>
    <x v="4"/>
    <s v="EX"/>
    <n v="0"/>
    <n v="3"/>
    <n v="3"/>
    <n v="2021"/>
    <n v="2021"/>
    <n v="1619"/>
    <m/>
    <m/>
    <m/>
    <m/>
    <n v="0"/>
    <n v="1619"/>
    <n v="2000"/>
    <s v="N"/>
    <m/>
    <n v="480"/>
    <m/>
    <m/>
    <m/>
    <m/>
    <m/>
    <n v="321656"/>
    <n v="312006"/>
    <n v="0"/>
    <n v="0"/>
    <n v="63200"/>
    <n v="336400"/>
    <n v="399600"/>
    <n v="132535.48800000001"/>
    <n v="88356.992000000013"/>
    <n v="-21934.852452755797"/>
    <n v="37154.252388000001"/>
    <n v="47371.278778200001"/>
    <n v="-326.22329999999999"/>
    <n v="101042.40522"/>
    <n v="0"/>
    <n v="0"/>
    <n v="16944.494880000002"/>
    <n v="0"/>
    <n v="334700"/>
    <n v="66400"/>
    <n v="401100"/>
    <n v="3.7537537537537537E-3"/>
    <n v="0.99970000000000003"/>
    <n v="0.99819999999999998"/>
    <n v="1.0012000000000001"/>
    <n v="1.0007999999999999"/>
    <n v="1.0022"/>
    <n v="0.94971499999999998"/>
    <n v="0.95199221946633727"/>
    <n v="328400"/>
    <n v="0"/>
    <n v="328400"/>
    <n v="63100"/>
    <n v="391500"/>
    <n v="-2.3781212841854936E-2"/>
    <n v="-1.5822784810126582E-3"/>
    <n v="-2.0270270270270271E-2"/>
  </r>
  <r>
    <n v="2025"/>
    <s v="19133514422    "/>
    <n v="-1.6713133161521878"/>
    <n v="0.188"/>
    <n v="8185"/>
    <s v="2"/>
    <s v="RES"/>
    <s v="MX"/>
    <s v="11"/>
    <s v="259"/>
    <s v="CO"/>
    <x v="5"/>
    <s v="EX"/>
    <n v="0"/>
    <n v="3"/>
    <n v="3"/>
    <n v="2021"/>
    <n v="2021"/>
    <n v="1111"/>
    <n v="1126"/>
    <m/>
    <m/>
    <m/>
    <n v="0"/>
    <n v="2237"/>
    <n v="2500"/>
    <s v="N"/>
    <m/>
    <n v="455"/>
    <m/>
    <m/>
    <m/>
    <m/>
    <m/>
    <n v="446980"/>
    <n v="433571"/>
    <n v="0"/>
    <n v="0"/>
    <n v="63200"/>
    <n v="363000"/>
    <n v="426200"/>
    <n v="132535.48800000001"/>
    <n v="88356.992000000013"/>
    <n v="-21934.852452755797"/>
    <n v="32917.849192000001"/>
    <n v="47371.278778200001"/>
    <n v="-326.22329999999999"/>
    <n v="69337.932180000003"/>
    <n v="67087.511257999999"/>
    <n v="0"/>
    <n v="16061.969105"/>
    <n v="0"/>
    <n v="365000"/>
    <n v="66400"/>
    <n v="431400"/>
    <n v="1.2200844673862036E-2"/>
    <n v="0.99970000000000003"/>
    <n v="1.0019"/>
    <n v="1.0012000000000001"/>
    <n v="1.0008999999999999"/>
    <n v="1.0022"/>
    <n v="0.94971499999999998"/>
    <n v="0.95561641809327347"/>
    <n v="359100"/>
    <n v="0"/>
    <n v="359100"/>
    <n v="63100"/>
    <n v="422200"/>
    <n v="-1.0743801652892562E-2"/>
    <n v="-1.5822784810126582E-3"/>
    <n v="-9.385265133740028E-3"/>
  </r>
  <r>
    <n v="2025"/>
    <s v="19133541432    "/>
    <n v="-1.6660082639224947"/>
    <n v="0.189"/>
    <n v="8222"/>
    <s v="2"/>
    <s v="RES"/>
    <s v="MX"/>
    <s v="11"/>
    <s v="259"/>
    <s v="CO"/>
    <x v="4"/>
    <s v="EX"/>
    <n v="0"/>
    <n v="2"/>
    <n v="2"/>
    <n v="2022"/>
    <n v="2022"/>
    <n v="1403"/>
    <m/>
    <m/>
    <m/>
    <m/>
    <n v="0"/>
    <n v="1403"/>
    <n v="1500"/>
    <s v="S"/>
    <m/>
    <n v="640"/>
    <m/>
    <m/>
    <m/>
    <m/>
    <m/>
    <n v="292311"/>
    <n v="286465"/>
    <n v="0"/>
    <n v="0"/>
    <n v="63200"/>
    <n v="322500"/>
    <n v="385700"/>
    <n v="132535.48800000001"/>
    <n v="88356.992000000013"/>
    <n v="-21865.227244371537"/>
    <n v="37154.252388000001"/>
    <n v="47371.278778200001"/>
    <n v="-217.48220000000001"/>
    <n v="87561.76314000001"/>
    <n v="0"/>
    <n v="0"/>
    <n v="22592.65984"/>
    <n v="0"/>
    <n v="327000"/>
    <n v="66500"/>
    <n v="393500"/>
    <n v="2.0222971221156339E-2"/>
    <n v="0.99970000000000003"/>
    <n v="0.99819999999999998"/>
    <n v="1.0012000000000001"/>
    <n v="0.99519999999999997"/>
    <n v="1.0022"/>
    <n v="0.94971499999999998"/>
    <n v="0.94666532455325636"/>
    <n v="319900"/>
    <n v="0"/>
    <n v="319900"/>
    <n v="63100"/>
    <n v="383000"/>
    <n v="-8.0620155038759692E-3"/>
    <n v="-1.5822784810126582E-3"/>
    <n v="-7.0002592688618095E-3"/>
  </r>
  <r>
    <n v="2025"/>
    <s v="19120114509    "/>
    <n v="-1.6660082639224947"/>
    <n v="0.189"/>
    <n v="8228"/>
    <s v="2"/>
    <s v="RES"/>
    <s v="MX"/>
    <s v="11"/>
    <s v="259"/>
    <s v="CO"/>
    <x v="5"/>
    <s v="EX"/>
    <n v="0"/>
    <n v="2"/>
    <n v="2"/>
    <n v="2022"/>
    <n v="2022"/>
    <n v="1830"/>
    <m/>
    <m/>
    <m/>
    <m/>
    <n v="0"/>
    <n v="1830"/>
    <n v="2000"/>
    <s v="S"/>
    <m/>
    <n v="808"/>
    <m/>
    <m/>
    <m/>
    <m/>
    <m/>
    <n v="402064"/>
    <n v="394023"/>
    <n v="0"/>
    <n v="0"/>
    <n v="63200"/>
    <n v="344200"/>
    <n v="407400"/>
    <n v="132535.48800000001"/>
    <n v="88356.992000000013"/>
    <n v="-21865.227244371537"/>
    <n v="32917.849192000001"/>
    <n v="47371.278778200001"/>
    <n v="-217.48220000000001"/>
    <n v="114210.9954"/>
    <n v="0"/>
    <n v="0"/>
    <n v="28523.233048000002"/>
    <n v="0"/>
    <n v="355300"/>
    <n v="66500"/>
    <n v="421800"/>
    <n v="3.5346097201767304E-2"/>
    <n v="0.99970000000000003"/>
    <n v="1.0019"/>
    <n v="1.0012000000000001"/>
    <n v="1.0007999999999999"/>
    <n v="1.0022"/>
    <n v="0.94971499999999998"/>
    <n v="0.95552094237960661"/>
    <n v="349400"/>
    <n v="0"/>
    <n v="349400"/>
    <n v="63100"/>
    <n v="412500"/>
    <n v="1.5107495642068565E-2"/>
    <n v="-1.5822784810126582E-3"/>
    <n v="1.2518409425625921E-2"/>
  </r>
  <r>
    <n v="2025"/>
    <s v="19133514424    "/>
    <n v="-1.6660082639224947"/>
    <n v="0.189"/>
    <n v="8233"/>
    <s v="2"/>
    <s v="RES"/>
    <s v="MX"/>
    <s v="11"/>
    <s v="259"/>
    <s v="CO"/>
    <x v="5"/>
    <s v="EX"/>
    <n v="0"/>
    <n v="3"/>
    <n v="3"/>
    <n v="2021"/>
    <n v="2021"/>
    <n v="2010"/>
    <m/>
    <m/>
    <m/>
    <m/>
    <n v="0"/>
    <n v="2010"/>
    <n v="2500"/>
    <s v="S"/>
    <n v="1"/>
    <n v="424"/>
    <m/>
    <m/>
    <m/>
    <m/>
    <m/>
    <n v="424584"/>
    <n v="411846"/>
    <n v="0"/>
    <n v="0"/>
    <n v="63200"/>
    <n v="333700"/>
    <n v="396900"/>
    <n v="132535.48800000001"/>
    <n v="88356.992000000013"/>
    <n v="-21865.227244371537"/>
    <n v="32917.849192000001"/>
    <n v="47371.278778200001"/>
    <n v="-326.22329999999999"/>
    <n v="125444.86380000001"/>
    <n v="0"/>
    <n v="0"/>
    <n v="14967.637144"/>
    <n v="0"/>
    <n v="352900"/>
    <n v="66500"/>
    <n v="419400"/>
    <n v="5.6689342403628121E-2"/>
    <n v="0.99970000000000003"/>
    <n v="1.0019"/>
    <n v="1.0012000000000001"/>
    <n v="1.0008999999999999"/>
    <n v="1.0022"/>
    <n v="0.94971499999999998"/>
    <n v="0.95561641809327347"/>
    <n v="347000"/>
    <n v="0"/>
    <n v="347000"/>
    <n v="63100"/>
    <n v="410100"/>
    <n v="3.9856158225951455E-2"/>
    <n v="-1.5822784810126582E-3"/>
    <n v="3.3257747543461828E-2"/>
  </r>
  <r>
    <n v="2025"/>
    <s v="19120114511    "/>
    <n v="-1.6660082639224947"/>
    <n v="0.189"/>
    <n v="8220"/>
    <s v="2"/>
    <s v="RES"/>
    <s v="MX"/>
    <s v="11"/>
    <s v="259"/>
    <s v="RN"/>
    <x v="0"/>
    <s v="EX"/>
    <n v="0"/>
    <n v="2"/>
    <n v="2"/>
    <n v="2022"/>
    <n v="2022"/>
    <n v="1240"/>
    <m/>
    <m/>
    <m/>
    <m/>
    <n v="0"/>
    <n v="1240"/>
    <n v="1500"/>
    <s v="N"/>
    <m/>
    <n v="404"/>
    <m/>
    <m/>
    <m/>
    <m/>
    <m/>
    <n v="223614"/>
    <n v="219142"/>
    <n v="0"/>
    <n v="0"/>
    <n v="63200"/>
    <n v="285000"/>
    <n v="348200"/>
    <n v="132535.48800000001"/>
    <n v="88356.992000000013"/>
    <n v="-21865.227244371537"/>
    <n v="24371.765965999999"/>
    <n v="47371.278778200001"/>
    <n v="-217.48220000000001"/>
    <n v="77388.871200000009"/>
    <n v="0"/>
    <n v="0"/>
    <n v="14261.616524000001"/>
    <n v="0"/>
    <n v="295700"/>
    <n v="66500"/>
    <n v="362200"/>
    <n v="4.0206777713957496E-2"/>
    <n v="0.99970000000000003"/>
    <n v="0.99199999999999999"/>
    <n v="1.0012000000000001"/>
    <n v="0.99519999999999997"/>
    <n v="1.0022"/>
    <n v="0.94971499999999998"/>
    <n v="0.94078541570509944"/>
    <n v="287900"/>
    <n v="0"/>
    <n v="287900"/>
    <n v="63100"/>
    <n v="351000"/>
    <n v="1.0175438596491228E-2"/>
    <n v="-1.5822784810126582E-3"/>
    <n v="8.0413555427914993E-3"/>
  </r>
  <r>
    <n v="2025"/>
    <s v="19120141501    "/>
    <n v="-1.6607312068216509"/>
    <n v="0.19"/>
    <n v="8257"/>
    <s v="2"/>
    <s v="RES"/>
    <s v="MX"/>
    <s v="11"/>
    <s v="259"/>
    <s v="CO"/>
    <x v="5"/>
    <s v="VG"/>
    <n v="10"/>
    <n v="19"/>
    <n v="19"/>
    <n v="2005"/>
    <n v="2005"/>
    <n v="1158"/>
    <n v="1322"/>
    <m/>
    <m/>
    <m/>
    <n v="0"/>
    <n v="2480"/>
    <n v="2500"/>
    <s v="S"/>
    <m/>
    <m/>
    <n v="502"/>
    <m/>
    <m/>
    <m/>
    <m/>
    <n v="476396"/>
    <n v="433520"/>
    <n v="0"/>
    <n v="0"/>
    <n v="63200"/>
    <n v="366800"/>
    <n v="430000"/>
    <n v="132535.48800000001"/>
    <n v="88356.992000000013"/>
    <n v="-21795.969453044734"/>
    <n v="32917.849192000001"/>
    <n v="50438.379078999998"/>
    <n v="-2066.0808999999999"/>
    <n v="72271.22004"/>
    <n v="78765.266325999997"/>
    <n v="0"/>
    <n v="0"/>
    <n v="0"/>
    <n v="364900"/>
    <n v="66600"/>
    <n v="431500"/>
    <n v="3.4883720930232558E-3"/>
    <n v="0.99970000000000003"/>
    <n v="1.0019"/>
    <n v="1.0007999999999999"/>
    <n v="1.0008999999999999"/>
    <n v="0.99080000000000001"/>
    <n v="0.94971499999999998"/>
    <n v="0.94436885958806405"/>
    <n v="357500"/>
    <n v="0"/>
    <n v="357500"/>
    <n v="63200"/>
    <n v="420700"/>
    <n v="-2.5354416575790621E-2"/>
    <n v="0"/>
    <n v="-2.1627906976744184E-2"/>
  </r>
  <r>
    <n v="2025"/>
    <s v="19120144573    "/>
    <n v="-1.6607312068216509"/>
    <n v="0.19"/>
    <n v="8370"/>
    <s v="2"/>
    <s v="RES"/>
    <s v="MX"/>
    <s v="11"/>
    <s v="259"/>
    <s v="RN"/>
    <x v="5"/>
    <s v="VG"/>
    <n v="20"/>
    <n v="20"/>
    <n v="20"/>
    <n v="2004"/>
    <n v="2004"/>
    <n v="1380"/>
    <m/>
    <m/>
    <m/>
    <m/>
    <n v="0"/>
    <n v="1380"/>
    <n v="1500"/>
    <s v="B"/>
    <m/>
    <n v="428"/>
    <m/>
    <m/>
    <m/>
    <m/>
    <m/>
    <n v="329169"/>
    <n v="302835"/>
    <n v="0"/>
    <n v="0"/>
    <n v="63200"/>
    <n v="330200"/>
    <n v="393400"/>
    <n v="132535.48800000001"/>
    <n v="88356.992000000013"/>
    <n v="-21795.969453044734"/>
    <n v="32917.849192000001"/>
    <n v="50438.379078999998"/>
    <n v="-2174.8220000000001"/>
    <n v="86126.324399999998"/>
    <n v="0"/>
    <n v="0"/>
    <n v="15108.841268"/>
    <n v="0"/>
    <n v="315000"/>
    <n v="66600"/>
    <n v="381600"/>
    <n v="-2.9994916115912557E-2"/>
    <n v="0.99970000000000003"/>
    <n v="1.0019"/>
    <n v="1.0007999999999999"/>
    <n v="0.99519999999999997"/>
    <n v="1.0138"/>
    <n v="0.94971499999999998"/>
    <n v="0.96078812106155087"/>
    <n v="309800"/>
    <n v="0"/>
    <n v="309800"/>
    <n v="63200"/>
    <n v="373000"/>
    <n v="-6.1780738946093275E-2"/>
    <n v="0"/>
    <n v="-5.1855617691916621E-2"/>
  </r>
  <r>
    <n v="2025"/>
    <s v="19120141503    "/>
    <n v="-1.6607312068216509"/>
    <n v="0.19"/>
    <n v="8262"/>
    <s v="2"/>
    <s v="RES"/>
    <s v="MX"/>
    <s v="11"/>
    <s v="259"/>
    <s v="CO"/>
    <x v="5"/>
    <s v="VG"/>
    <n v="10"/>
    <n v="19"/>
    <n v="19"/>
    <n v="2005"/>
    <n v="2005"/>
    <n v="1158"/>
    <n v="1322"/>
    <m/>
    <m/>
    <m/>
    <n v="0"/>
    <n v="2480"/>
    <n v="2500"/>
    <s v="B"/>
    <n v="1"/>
    <n v="300"/>
    <n v="502"/>
    <m/>
    <m/>
    <m/>
    <m/>
    <n v="503193"/>
    <n v="457906"/>
    <n v="0"/>
    <n v="0"/>
    <n v="63200"/>
    <n v="379700"/>
    <n v="442900"/>
    <n v="132535.48800000001"/>
    <n v="88356.992000000013"/>
    <n v="-21795.969453044734"/>
    <n v="32917.849192000001"/>
    <n v="50438.379078999998"/>
    <n v="-2066.0808999999999"/>
    <n v="72271.22004"/>
    <n v="78765.266325999997"/>
    <n v="0"/>
    <n v="10590.309300000001"/>
    <n v="0"/>
    <n v="375500"/>
    <n v="66600"/>
    <n v="442100"/>
    <n v="-1.8062768119214269E-3"/>
    <n v="0.99970000000000003"/>
    <n v="1.0019"/>
    <n v="1.0007999999999999"/>
    <n v="1.0008999999999999"/>
    <n v="0.99080000000000001"/>
    <n v="0.94971499999999998"/>
    <n v="0.94436885958806405"/>
    <n v="368100"/>
    <n v="0"/>
    <n v="368100"/>
    <n v="63200"/>
    <n v="431300"/>
    <n v="-3.0550434553594942E-2"/>
    <n v="0"/>
    <n v="-2.6191013772860691E-2"/>
  </r>
  <r>
    <n v="2025"/>
    <s v="19120141485    "/>
    <n v="-1.6607312068216509"/>
    <n v="0.19"/>
    <n v="8443"/>
    <s v="2"/>
    <s v="RES"/>
    <s v="MX"/>
    <s v="11"/>
    <s v="259"/>
    <s v="CP"/>
    <x v="5"/>
    <s v="GD"/>
    <n v="10"/>
    <n v="19"/>
    <n v="19"/>
    <n v="2005"/>
    <n v="2005"/>
    <n v="1116"/>
    <n v="1116"/>
    <m/>
    <m/>
    <m/>
    <n v="0"/>
    <n v="2232"/>
    <n v="2500"/>
    <s v="B"/>
    <m/>
    <n v="440"/>
    <m/>
    <m/>
    <m/>
    <m/>
    <m/>
    <n v="439327"/>
    <n v="399788"/>
    <n v="0"/>
    <n v="0"/>
    <n v="63200"/>
    <n v="334500"/>
    <n v="397700"/>
    <n v="132535.48800000001"/>
    <n v="88356.992000000013"/>
    <n v="-21795.969453044734"/>
    <n v="32917.849192000001"/>
    <n v="30300.329274"/>
    <n v="-2066.0808999999999"/>
    <n v="69649.984080000009"/>
    <n v="66491.707427999994"/>
    <n v="0"/>
    <n v="15532.453640000002"/>
    <n v="0"/>
    <n v="345400"/>
    <n v="66600"/>
    <n v="412000"/>
    <n v="3.5956751320090519E-2"/>
    <n v="0.99970000000000003"/>
    <n v="1.0019"/>
    <n v="0.997"/>
    <n v="1.0008999999999999"/>
    <n v="0.99080000000000001"/>
    <n v="0.94971499999999998"/>
    <n v="0.94078312650809337"/>
    <n v="337500"/>
    <n v="0"/>
    <n v="337500"/>
    <n v="63200"/>
    <n v="400700"/>
    <n v="8.9686098654708519E-3"/>
    <n v="0"/>
    <n v="7.543374402816193E-3"/>
  </r>
  <r>
    <n v="2025"/>
    <s v="19120134454    "/>
    <n v="-1.6607312068216509"/>
    <n v="0.19"/>
    <n v="8207"/>
    <s v="2"/>
    <s v="RES"/>
    <s v="MX"/>
    <s v="11"/>
    <s v="259"/>
    <s v="CP"/>
    <x v="5"/>
    <s v="AV"/>
    <n v="20"/>
    <n v="29"/>
    <n v="29"/>
    <n v="1995"/>
    <n v="1995"/>
    <n v="1619"/>
    <m/>
    <m/>
    <m/>
    <m/>
    <n v="0"/>
    <n v="1619"/>
    <n v="2000"/>
    <s v="B"/>
    <m/>
    <n v="936"/>
    <m/>
    <m/>
    <m/>
    <m/>
    <m/>
    <n v="417848"/>
    <n v="359349"/>
    <n v="0"/>
    <n v="0"/>
    <n v="63200"/>
    <n v="292000"/>
    <n v="355200"/>
    <n v="132535.48800000001"/>
    <n v="88356.992000000013"/>
    <n v="-21795.969453044734"/>
    <n v="32917.849192000001"/>
    <n v="17761.121909000001"/>
    <n v="-3153.4919"/>
    <n v="101042.40522"/>
    <n v="0"/>
    <n v="0"/>
    <n v="33041.765016000005"/>
    <n v="0"/>
    <n v="314100"/>
    <n v="66600"/>
    <n v="380700"/>
    <n v="7.1790540540540543E-2"/>
    <n v="0.99970000000000003"/>
    <n v="1.0019"/>
    <n v="0.99680000000000002"/>
    <n v="1.0007999999999999"/>
    <n v="1.0138"/>
    <n v="0.94971499999999998"/>
    <n v="0.96233279649734105"/>
    <n v="309200"/>
    <n v="0"/>
    <n v="309200"/>
    <n v="63200"/>
    <n v="372400"/>
    <n v="5.8904109589041097E-2"/>
    <n v="0"/>
    <n v="4.8423423423423421E-2"/>
  </r>
  <r>
    <n v="2025"/>
    <s v="19120134456    "/>
    <n v="-1.6607312068216509"/>
    <n v="0.19"/>
    <n v="8216"/>
    <s v="2"/>
    <s v="RES"/>
    <s v="MX"/>
    <s v="11"/>
    <s v="259"/>
    <s v="CP"/>
    <x v="5"/>
    <s v="VG"/>
    <n v="20"/>
    <n v="24"/>
    <n v="24"/>
    <n v="2000"/>
    <n v="2000"/>
    <n v="1724"/>
    <m/>
    <m/>
    <m/>
    <m/>
    <n v="0"/>
    <n v="1724"/>
    <n v="2000"/>
    <s v="B"/>
    <n v="1"/>
    <n v="576"/>
    <m/>
    <m/>
    <m/>
    <m/>
    <m/>
    <n v="397039"/>
    <n v="357335"/>
    <n v="0"/>
    <n v="0"/>
    <n v="63200"/>
    <n v="316900"/>
    <n v="380100"/>
    <n v="132535.48800000001"/>
    <n v="88356.992000000013"/>
    <n v="-21795.969453044734"/>
    <n v="32917.849192000001"/>
    <n v="50438.379078999998"/>
    <n v="-2609.7864"/>
    <n v="107595.49512000001"/>
    <n v="0"/>
    <n v="0"/>
    <n v="20333.393856000002"/>
    <n v="0"/>
    <n v="341200"/>
    <n v="66600"/>
    <n v="407800"/>
    <n v="7.2875559063404372E-2"/>
    <n v="0.99970000000000003"/>
    <n v="1.0019"/>
    <n v="1.0007999999999999"/>
    <n v="1.0007999999999999"/>
    <n v="1.0138"/>
    <n v="0.94971499999999998"/>
    <n v="0.96619448508681682"/>
    <n v="336700"/>
    <n v="0"/>
    <n v="336700"/>
    <n v="63200"/>
    <n v="399900"/>
    <n v="6.2480277690123071E-2"/>
    <n v="0"/>
    <n v="5.209155485398579E-2"/>
  </r>
  <r>
    <n v="2025"/>
    <s v="19120141504    "/>
    <n v="-1.6607312068216509"/>
    <n v="0.19"/>
    <n v="8255"/>
    <s v="2"/>
    <s v="RES"/>
    <s v="MX"/>
    <s v="11"/>
    <s v="259"/>
    <s v="CO"/>
    <x v="5"/>
    <s v="VG"/>
    <n v="10"/>
    <n v="19"/>
    <n v="19"/>
    <n v="2005"/>
    <n v="2005"/>
    <n v="1158"/>
    <n v="1322"/>
    <m/>
    <m/>
    <m/>
    <n v="0"/>
    <n v="2480"/>
    <n v="2500"/>
    <s v="N"/>
    <n v="1"/>
    <n v="300"/>
    <n v="502"/>
    <m/>
    <m/>
    <m/>
    <m/>
    <n v="519514"/>
    <n v="472758"/>
    <n v="0"/>
    <n v="0"/>
    <n v="63200"/>
    <n v="401900"/>
    <n v="465100"/>
    <n v="132535.48800000001"/>
    <n v="88356.992000000013"/>
    <n v="-21795.969453044734"/>
    <n v="32917.849192000001"/>
    <n v="50438.379078999998"/>
    <n v="-2066.0808999999999"/>
    <n v="72271.22004"/>
    <n v="78765.266325999997"/>
    <n v="0"/>
    <n v="10590.309300000001"/>
    <n v="0"/>
    <n v="375500"/>
    <n v="66600"/>
    <n v="442100"/>
    <n v="-4.9451730810578368E-2"/>
    <n v="0.99970000000000003"/>
    <n v="1.0019"/>
    <n v="1.0007999999999999"/>
    <n v="1.0008999999999999"/>
    <n v="0.99080000000000001"/>
    <n v="0.94971499999999998"/>
    <n v="0.94436885958806405"/>
    <n v="368100"/>
    <n v="0"/>
    <n v="368100"/>
    <n v="63200"/>
    <n v="431300"/>
    <n v="-8.4100522518039317E-2"/>
    <n v="0"/>
    <n v="-7.2672543539023859E-2"/>
  </r>
  <r>
    <n v="2025"/>
    <s v="20120634432    "/>
    <n v="-1.6607312068216509"/>
    <n v="0.19"/>
    <n v="8140"/>
    <s v="2"/>
    <s v="RES"/>
    <s v="MX"/>
    <s v="11"/>
    <s v="259"/>
    <s v="CP"/>
    <x v="4"/>
    <s v="VG"/>
    <n v="10"/>
    <n v="11"/>
    <n v="11"/>
    <n v="2013"/>
    <n v="2013"/>
    <n v="1126"/>
    <n v="1634"/>
    <m/>
    <m/>
    <m/>
    <n v="0"/>
    <n v="2760"/>
    <n v="3000"/>
    <s v="N"/>
    <m/>
    <m/>
    <n v="657"/>
    <m/>
    <m/>
    <m/>
    <m/>
    <n v="463860"/>
    <n v="440667"/>
    <n v="0"/>
    <n v="0"/>
    <n v="63200"/>
    <n v="406400"/>
    <n v="469600"/>
    <n v="132535.48800000001"/>
    <n v="88356.992000000013"/>
    <n v="-21795.969453044734"/>
    <n v="37154.252388000001"/>
    <n v="50438.379078999998"/>
    <n v="-1196.1521"/>
    <n v="70274.087880000006"/>
    <n v="97354.345822000003"/>
    <n v="0"/>
    <n v="0"/>
    <n v="0"/>
    <n v="386600"/>
    <n v="66600"/>
    <n v="453200"/>
    <n v="-3.4923339011925042E-2"/>
    <n v="0.99970000000000003"/>
    <n v="0.99819999999999998"/>
    <n v="1.0007999999999999"/>
    <n v="1.0099"/>
    <n v="0.99080000000000001"/>
    <n v="0.94971499999999998"/>
    <n v="0.94934163873498945"/>
    <n v="379800"/>
    <n v="0"/>
    <n v="379800"/>
    <n v="63200"/>
    <n v="443000"/>
    <n v="-6.5452755905511806E-2"/>
    <n v="0"/>
    <n v="-5.6643952299829645E-2"/>
  </r>
  <r>
    <n v="2025"/>
    <s v="20120634437    "/>
    <n v="-1.6607312068216509"/>
    <n v="0.19"/>
    <n v="8146"/>
    <s v="2"/>
    <s v="RES"/>
    <s v="MX"/>
    <s v="11"/>
    <s v="259"/>
    <s v="CP"/>
    <x v="5"/>
    <s v="VG"/>
    <n v="10"/>
    <n v="11"/>
    <n v="11"/>
    <n v="2013"/>
    <n v="2013"/>
    <n v="1173"/>
    <n v="1322"/>
    <m/>
    <m/>
    <m/>
    <n v="0"/>
    <n v="2495"/>
    <n v="2500"/>
    <s v="N"/>
    <n v="1"/>
    <m/>
    <n v="488"/>
    <m/>
    <m/>
    <m/>
    <m/>
    <n v="486567"/>
    <n v="462239"/>
    <n v="0"/>
    <n v="0"/>
    <n v="63200"/>
    <n v="375300"/>
    <n v="438500"/>
    <n v="132535.48800000001"/>
    <n v="88356.992000000013"/>
    <n v="-21795.969453044734"/>
    <n v="32917.849192000001"/>
    <n v="50438.379078999998"/>
    <n v="-1196.1521"/>
    <n v="73207.375740000003"/>
    <n v="78765.266325999997"/>
    <n v="0"/>
    <n v="0"/>
    <n v="0"/>
    <n v="366700"/>
    <n v="66600"/>
    <n v="433300"/>
    <n v="-1.185860889395667E-2"/>
    <n v="0.99970000000000003"/>
    <n v="1.0019"/>
    <n v="1.0007999999999999"/>
    <n v="1.0008999999999999"/>
    <n v="0.99080000000000001"/>
    <n v="0.94971499999999998"/>
    <n v="0.94436885958806405"/>
    <n v="359300"/>
    <n v="0"/>
    <n v="359300"/>
    <n v="63200"/>
    <n v="422500"/>
    <n v="-4.2632560618172131E-2"/>
    <n v="0"/>
    <n v="-3.6488027366020526E-2"/>
  </r>
  <r>
    <n v="2025"/>
    <s v="19120114445    "/>
    <n v="-1.6607312068216509"/>
    <n v="0.19"/>
    <n v="8259"/>
    <s v="2"/>
    <s v="RES"/>
    <s v="MX"/>
    <s v="11"/>
    <s v="259"/>
    <s v="CO"/>
    <x v="5"/>
    <s v="EX"/>
    <n v="0"/>
    <n v="3"/>
    <n v="3"/>
    <n v="2021"/>
    <n v="2021"/>
    <n v="1810"/>
    <m/>
    <m/>
    <m/>
    <m/>
    <n v="0"/>
    <n v="1810"/>
    <n v="2000"/>
    <s v="N"/>
    <n v="1"/>
    <n v="426"/>
    <m/>
    <m/>
    <m/>
    <m/>
    <m/>
    <n v="405948"/>
    <n v="393770"/>
    <n v="0"/>
    <n v="0"/>
    <n v="63200"/>
    <n v="344800"/>
    <n v="408000"/>
    <n v="132535.48800000001"/>
    <n v="88356.992000000013"/>
    <n v="-21795.969453044734"/>
    <n v="32917.849192000001"/>
    <n v="47371.278778200001"/>
    <n v="-326.22329999999999"/>
    <n v="112962.78780000001"/>
    <n v="0"/>
    <n v="0"/>
    <n v="15038.239206"/>
    <n v="0"/>
    <n v="340500"/>
    <n v="66600"/>
    <n v="407100"/>
    <n v="-2.2058823529411764E-3"/>
    <n v="0.99970000000000003"/>
    <n v="1.0019"/>
    <n v="1.0012000000000001"/>
    <n v="1.0007999999999999"/>
    <n v="1.0022"/>
    <n v="0.94971499999999998"/>
    <n v="0.95552094237960661"/>
    <n v="334600"/>
    <n v="0"/>
    <n v="334600"/>
    <n v="63200"/>
    <n v="397800"/>
    <n v="-2.9582366589327145E-2"/>
    <n v="0"/>
    <n v="-2.5000000000000001E-2"/>
  </r>
  <r>
    <n v="2025"/>
    <s v="19120112481    "/>
    <n v="-1.6607312068216509"/>
    <n v="0.19"/>
    <n v="8280"/>
    <s v="2"/>
    <s v="RES"/>
    <s v="MX"/>
    <s v="11"/>
    <s v="259"/>
    <s v="RN"/>
    <x v="4"/>
    <s v="GD"/>
    <n v="10"/>
    <n v="17"/>
    <n v="17"/>
    <n v="2007"/>
    <n v="2007"/>
    <n v="1092"/>
    <m/>
    <m/>
    <m/>
    <m/>
    <n v="0"/>
    <n v="1092"/>
    <n v="1500"/>
    <s v="N"/>
    <m/>
    <n v="440"/>
    <m/>
    <m/>
    <m/>
    <m/>
    <m/>
    <n v="232141"/>
    <n v="213570"/>
    <n v="0"/>
    <n v="0"/>
    <n v="63200"/>
    <n v="278500"/>
    <n v="341700"/>
    <n v="132535.48800000001"/>
    <n v="88356.992000000013"/>
    <n v="-21795.969453044734"/>
    <n v="37154.252388000001"/>
    <n v="30300.329274"/>
    <n v="-1848.5987"/>
    <n v="68152.13496000001"/>
    <n v="0"/>
    <n v="0"/>
    <n v="15532.453640000002"/>
    <n v="0"/>
    <n v="281800"/>
    <n v="66600"/>
    <n v="348400"/>
    <n v="1.9607843137254902E-2"/>
    <n v="0.99970000000000003"/>
    <n v="0.99819999999999998"/>
    <n v="0.997"/>
    <n v="0.99519999999999997"/>
    <n v="0.99080000000000001"/>
    <n v="0.94971499999999998"/>
    <n v="0.93197097384222971"/>
    <n v="272800"/>
    <n v="0"/>
    <n v="272800"/>
    <n v="63200"/>
    <n v="336000"/>
    <n v="-2.0466786355475764E-2"/>
    <n v="0"/>
    <n v="-1.6681299385425813E-2"/>
  </r>
  <r>
    <n v="2025"/>
    <s v="19120144482    "/>
    <n v="-1.6607312068216509"/>
    <n v="0.19"/>
    <n v="8270"/>
    <s v="2"/>
    <s v="RES"/>
    <s v="MX"/>
    <s v="11"/>
    <s v="259"/>
    <s v="CO"/>
    <x v="5"/>
    <s v="VG"/>
    <n v="20"/>
    <n v="20"/>
    <n v="20"/>
    <n v="2004"/>
    <n v="2004"/>
    <n v="1158"/>
    <n v="1322"/>
    <m/>
    <m/>
    <m/>
    <n v="0"/>
    <n v="2480"/>
    <n v="2500"/>
    <s v="N"/>
    <m/>
    <m/>
    <n v="502"/>
    <m/>
    <m/>
    <m/>
    <m/>
    <n v="490259"/>
    <n v="451038"/>
    <n v="0"/>
    <n v="0"/>
    <n v="63200"/>
    <n v="365900"/>
    <n v="429100"/>
    <n v="132535.48800000001"/>
    <n v="88356.992000000013"/>
    <n v="-21795.969453044734"/>
    <n v="32917.849192000001"/>
    <n v="50438.379078999998"/>
    <n v="-2174.8220000000001"/>
    <n v="72271.22004"/>
    <n v="78765.266325999997"/>
    <n v="0"/>
    <n v="0"/>
    <n v="0"/>
    <n v="364800"/>
    <n v="66600"/>
    <n v="431400"/>
    <n v="5.3600559310184107E-3"/>
    <n v="0.99970000000000003"/>
    <n v="1.0019"/>
    <n v="1.0007999999999999"/>
    <n v="1.0008999999999999"/>
    <n v="1.0138"/>
    <n v="0.94971499999999998"/>
    <n v="0.9662910273015537"/>
    <n v="360300"/>
    <n v="0"/>
    <n v="360300"/>
    <n v="63200"/>
    <n v="423500"/>
    <n v="-1.5304728067778082E-2"/>
    <n v="0"/>
    <n v="-1.3050570962479609E-2"/>
  </r>
  <r>
    <n v="2025"/>
    <s v="19120141502    "/>
    <n v="-1.6607312068216509"/>
    <n v="0.19"/>
    <n v="8258"/>
    <s v="2"/>
    <s v="RES"/>
    <s v="MX"/>
    <s v="11"/>
    <s v="259"/>
    <s v="CO"/>
    <x v="5"/>
    <s v="VG"/>
    <n v="10"/>
    <n v="19"/>
    <n v="19"/>
    <n v="2005"/>
    <n v="2005"/>
    <n v="1116"/>
    <n v="1116"/>
    <m/>
    <m/>
    <m/>
    <n v="0"/>
    <n v="2232"/>
    <n v="2500"/>
    <s v="N"/>
    <n v="1"/>
    <n v="440"/>
    <m/>
    <m/>
    <m/>
    <m/>
    <m/>
    <n v="445974"/>
    <n v="405836"/>
    <n v="0"/>
    <n v="0"/>
    <n v="63200"/>
    <n v="350000"/>
    <n v="413200"/>
    <n v="132535.48800000001"/>
    <n v="88356.992000000013"/>
    <n v="-21795.969453044734"/>
    <n v="32917.849192000001"/>
    <n v="50438.379078999998"/>
    <n v="-2066.0808999999999"/>
    <n v="69649.984080000009"/>
    <n v="66491.707427999994"/>
    <n v="0"/>
    <n v="15532.453640000002"/>
    <n v="0"/>
    <n v="365500"/>
    <n v="66600"/>
    <n v="432100"/>
    <n v="4.5740561471442398E-2"/>
    <n v="0.99970000000000003"/>
    <n v="1.0019"/>
    <n v="1.0007999999999999"/>
    <n v="1.0008999999999999"/>
    <n v="0.99080000000000001"/>
    <n v="0.94971499999999998"/>
    <n v="0.94436885958806405"/>
    <n v="358100"/>
    <n v="0"/>
    <n v="358100"/>
    <n v="63200"/>
    <n v="421300"/>
    <n v="2.3142857142857142E-2"/>
    <n v="0"/>
    <n v="1.9603097773475315E-2"/>
  </r>
  <r>
    <n v="2025"/>
    <s v="19120131528    "/>
    <n v="-1.6607312068216509"/>
    <n v="0.19"/>
    <n v="8324"/>
    <s v="2"/>
    <s v="RES"/>
    <s v="MX"/>
    <s v="11"/>
    <s v="259"/>
    <s v="RN"/>
    <x v="0"/>
    <s v="AV"/>
    <n v="20"/>
    <n v="26"/>
    <n v="26"/>
    <n v="1998"/>
    <n v="1998"/>
    <n v="1304"/>
    <m/>
    <m/>
    <m/>
    <m/>
    <n v="0"/>
    <n v="1304"/>
    <n v="1500"/>
    <s v="N"/>
    <m/>
    <n v="322"/>
    <m/>
    <m/>
    <m/>
    <m/>
    <m/>
    <n v="238295"/>
    <n v="209700"/>
    <n v="0"/>
    <n v="0"/>
    <n v="63200"/>
    <n v="249300"/>
    <n v="312500"/>
    <n v="132535.48800000001"/>
    <n v="88356.992000000013"/>
    <n v="-21795.969453044734"/>
    <n v="24371.765965999999"/>
    <n v="17761.121909000001"/>
    <n v="-2827.2685999999999"/>
    <n v="81383.135520000011"/>
    <n v="0"/>
    <n v="0"/>
    <n v="11366.931982"/>
    <n v="0"/>
    <n v="264600"/>
    <n v="66600"/>
    <n v="331200"/>
    <n v="5.9839999999999997E-2"/>
    <n v="0.99970000000000003"/>
    <n v="0.99199999999999999"/>
    <n v="0.99680000000000002"/>
    <n v="0.99519999999999997"/>
    <n v="1.0138"/>
    <n v="0.94971499999999998"/>
    <n v="0.94749222109642439"/>
    <n v="257600"/>
    <n v="0"/>
    <n v="257600"/>
    <n v="63200"/>
    <n v="320800"/>
    <n v="3.3293221018852785E-2"/>
    <n v="0"/>
    <n v="2.656E-2"/>
  </r>
  <r>
    <n v="2025"/>
    <s v="20120634428    "/>
    <n v="-1.6607312068216509"/>
    <n v="0.19"/>
    <n v="8143"/>
    <s v="2"/>
    <s v="RES"/>
    <s v="MX"/>
    <s v="11"/>
    <s v="259"/>
    <s v="CP"/>
    <x v="5"/>
    <s v="VG"/>
    <n v="10"/>
    <n v="10"/>
    <n v="10"/>
    <n v="2014"/>
    <n v="2014"/>
    <n v="1995"/>
    <m/>
    <m/>
    <m/>
    <m/>
    <n v="0"/>
    <n v="1995"/>
    <n v="2000"/>
    <s v="N"/>
    <m/>
    <n v="441"/>
    <m/>
    <m/>
    <m/>
    <m/>
    <m/>
    <n v="418075"/>
    <n v="397171"/>
    <n v="0"/>
    <n v="0"/>
    <n v="63200"/>
    <n v="336500"/>
    <n v="399700"/>
    <n v="132535.48800000001"/>
    <n v="88356.992000000013"/>
    <n v="-21795.969453044734"/>
    <n v="32917.849192000001"/>
    <n v="50438.379078999998"/>
    <n v="-1087.4110000000001"/>
    <n v="124508.7081"/>
    <n v="0"/>
    <n v="0"/>
    <n v="15567.754671000001"/>
    <n v="0"/>
    <n v="354900"/>
    <n v="66600"/>
    <n v="421500"/>
    <n v="5.4540905679259448E-2"/>
    <n v="0.99970000000000003"/>
    <n v="1.0019"/>
    <n v="1.0007999999999999"/>
    <n v="1.0007999999999999"/>
    <n v="0.99080000000000001"/>
    <n v="0.94971499999999998"/>
    <n v="0.94427450761887755"/>
    <n v="347500"/>
    <n v="0"/>
    <n v="347500"/>
    <n v="63200"/>
    <n v="410700"/>
    <n v="3.2689450222882617E-2"/>
    <n v="0"/>
    <n v="2.7520640480360271E-2"/>
  </r>
  <r>
    <n v="2025"/>
    <s v="19120142448    "/>
    <n v="-1.6607312068216509"/>
    <n v="0.19"/>
    <n v="8218"/>
    <s v="2"/>
    <s v="RES"/>
    <s v="MX"/>
    <s v="11"/>
    <s v="259"/>
    <s v="RN"/>
    <x v="2"/>
    <s v="GD"/>
    <n v="20"/>
    <n v="29"/>
    <n v="29"/>
    <n v="1995"/>
    <n v="1995"/>
    <n v="1200"/>
    <m/>
    <m/>
    <m/>
    <m/>
    <n v="0"/>
    <n v="1200"/>
    <n v="1500"/>
    <s v="N"/>
    <m/>
    <m/>
    <m/>
    <m/>
    <m/>
    <m/>
    <m/>
    <n v="169388"/>
    <n v="147368"/>
    <n v="1590"/>
    <n v="0"/>
    <n v="63200"/>
    <n v="219100"/>
    <n v="282300"/>
    <n v="132535.48800000001"/>
    <n v="88356.992000000013"/>
    <n v="-21795.969453044734"/>
    <n v="-1240.8083630000001"/>
    <n v="30300.329274"/>
    <n v="-3153.4919"/>
    <n v="74892.456000000006"/>
    <n v="0"/>
    <n v="0"/>
    <n v="0"/>
    <n v="1600"/>
    <n v="233300"/>
    <n v="66600"/>
    <n v="301500"/>
    <n v="6.8012752391073322E-2"/>
    <n v="0.99970000000000003"/>
    <n v="1.0022"/>
    <n v="0.997"/>
    <n v="0.99519999999999997"/>
    <n v="1.0138"/>
    <n v="0.94971499999999998"/>
    <n v="0.95742664214082651"/>
    <n v="227700"/>
    <n v="1500"/>
    <n v="229200"/>
    <n v="63200"/>
    <n v="292400"/>
    <n v="4.6097672295755364E-2"/>
    <n v="0"/>
    <n v="3.5777541622387533E-2"/>
  </r>
  <r>
    <n v="2025"/>
    <s v="19120131505    "/>
    <n v="-1.6607312068216509"/>
    <n v="0.19"/>
    <n v="8271"/>
    <s v="2"/>
    <s v="RES"/>
    <s v="MX"/>
    <s v="11"/>
    <s v="259"/>
    <s v="RN"/>
    <x v="2"/>
    <s v="AV"/>
    <n v="50"/>
    <n v="50"/>
    <n v="45"/>
    <n v="1974"/>
    <n v="1979"/>
    <n v="1000"/>
    <m/>
    <m/>
    <m/>
    <m/>
    <n v="0"/>
    <n v="1000"/>
    <n v="1500"/>
    <s v="N"/>
    <m/>
    <n v="300"/>
    <m/>
    <m/>
    <m/>
    <m/>
    <m/>
    <n v="171436"/>
    <n v="132006"/>
    <n v="0"/>
    <n v="0"/>
    <n v="63200"/>
    <n v="198400"/>
    <n v="261600"/>
    <n v="132535.48800000001"/>
    <n v="88356.992000000013"/>
    <n v="-21795.969453044734"/>
    <n v="-1240.8083630000001"/>
    <n v="17761.121909000001"/>
    <n v="-4893.3495000000003"/>
    <n v="62410.380000000005"/>
    <n v="0"/>
    <n v="0"/>
    <n v="10590.309300000001"/>
    <n v="0"/>
    <n v="217200"/>
    <n v="66600"/>
    <n v="283800"/>
    <n v="8.4862385321100922E-2"/>
    <n v="0.99970000000000003"/>
    <n v="1.0022"/>
    <n v="0.99680000000000002"/>
    <n v="0.99519999999999997"/>
    <n v="1.0470999999999999"/>
    <n v="0.94971499999999998"/>
    <n v="0.98867659240030714"/>
    <n v="215700"/>
    <n v="0"/>
    <n v="215700"/>
    <n v="63200"/>
    <n v="278900"/>
    <n v="8.7197580645161296E-2"/>
    <n v="0"/>
    <n v="6.6131498470948014E-2"/>
  </r>
  <r>
    <n v="2025"/>
    <s v="19133511004    "/>
    <n v="-1.6607312068216509"/>
    <n v="0.19"/>
    <m/>
    <s v="2"/>
    <s v="RES"/>
    <s v="MX"/>
    <s v="11"/>
    <s v="259"/>
    <s v="TD"/>
    <x v="2"/>
    <s v="GD"/>
    <n v="80"/>
    <n v="84"/>
    <n v="52"/>
    <n v="1940"/>
    <n v="1972"/>
    <n v="1446"/>
    <m/>
    <m/>
    <m/>
    <m/>
    <n v="0"/>
    <n v="1446"/>
    <n v="1500"/>
    <s v="N"/>
    <m/>
    <m/>
    <m/>
    <m/>
    <m/>
    <m/>
    <m/>
    <n v="206672"/>
    <n v="144670"/>
    <n v="5854"/>
    <n v="0"/>
    <n v="63200"/>
    <n v="216600"/>
    <n v="279800"/>
    <n v="132535.48800000001"/>
    <n v="88356.992000000013"/>
    <n v="-21795.969453044734"/>
    <n v="-1240.8083630000001"/>
    <n v="30300.329274"/>
    <n v="-5654.5371999999998"/>
    <n v="90245.409480000002"/>
    <n v="0"/>
    <n v="0"/>
    <n v="0"/>
    <n v="5900"/>
    <n v="246200"/>
    <n v="66600"/>
    <n v="318700"/>
    <n v="0.1390278770550393"/>
    <n v="0.99970000000000003"/>
    <n v="1.0022"/>
    <n v="0.997"/>
    <n v="0.99519999999999997"/>
    <n v="1"/>
    <n v="0.94971499999999998"/>
    <n v="0.94439400487357117"/>
    <n v="238800"/>
    <n v="5600"/>
    <n v="244400"/>
    <n v="63200"/>
    <n v="307600"/>
    <n v="0.12834718374884579"/>
    <n v="0"/>
    <n v="9.935668334524661E-2"/>
  </r>
  <r>
    <n v="2025"/>
    <s v="19120134418    "/>
    <n v="-1.6607312068216509"/>
    <n v="0.19"/>
    <n v="8083"/>
    <s v="2"/>
    <s v="RES"/>
    <s v="MX"/>
    <s v="11"/>
    <s v="259"/>
    <s v="BG"/>
    <x v="1"/>
    <s v="FR"/>
    <n v="100"/>
    <n v="104"/>
    <n v="58"/>
    <n v="1920"/>
    <n v="1966"/>
    <n v="985"/>
    <m/>
    <m/>
    <m/>
    <m/>
    <n v="0"/>
    <n v="985"/>
    <n v="1000"/>
    <s v="N"/>
    <m/>
    <n v="240"/>
    <m/>
    <m/>
    <m/>
    <m/>
    <m/>
    <n v="146133"/>
    <n v="87680"/>
    <n v="0"/>
    <n v="0"/>
    <n v="63200"/>
    <n v="168500"/>
    <n v="231700"/>
    <n v="132535.48800000001"/>
    <n v="88356.992000000013"/>
    <n v="-21795.969453044734"/>
    <n v="0"/>
    <n v="0"/>
    <n v="-6306.9838"/>
    <n v="61474.224300000002"/>
    <n v="0"/>
    <n v="0"/>
    <n v="8472.247440000001"/>
    <n v="0"/>
    <n v="196200"/>
    <n v="66600"/>
    <n v="262800"/>
    <n v="0.1342252913249892"/>
    <n v="0.99970000000000003"/>
    <n v="1.0003"/>
    <n v="1"/>
    <n v="1"/>
    <n v="0.98240000000000005"/>
    <n v="0.94971499999999998"/>
    <n v="0.93327991600480009"/>
    <n v="187300"/>
    <n v="0"/>
    <n v="187300"/>
    <n v="63200"/>
    <n v="250500"/>
    <n v="0.11157270029673591"/>
    <n v="0"/>
    <n v="8.1139404402244278E-2"/>
  </r>
  <r>
    <n v="2025"/>
    <s v="19120131470    "/>
    <n v="-1.6607312068216509"/>
    <n v="0.19"/>
    <n v="8124"/>
    <s v="2"/>
    <s v="RES"/>
    <s v="MX"/>
    <s v="11"/>
    <s v="259"/>
    <s v="RN"/>
    <x v="4"/>
    <s v="GD"/>
    <n v="50"/>
    <n v="51"/>
    <n v="46"/>
    <n v="1973"/>
    <n v="1978"/>
    <n v="1920"/>
    <m/>
    <m/>
    <m/>
    <m/>
    <n v="0"/>
    <n v="1920"/>
    <n v="2000"/>
    <s v="N"/>
    <m/>
    <n v="288"/>
    <m/>
    <m/>
    <m/>
    <m/>
    <m/>
    <n v="370384"/>
    <n v="285196"/>
    <n v="3510"/>
    <n v="0"/>
    <n v="63200"/>
    <n v="288600"/>
    <n v="351800"/>
    <n v="132535.48800000001"/>
    <n v="88356.992000000013"/>
    <n v="-21795.969453044734"/>
    <n v="37154.252388000001"/>
    <n v="30300.329274"/>
    <n v="-5002.0906000000004"/>
    <n v="119827.9296"/>
    <n v="0"/>
    <n v="0"/>
    <n v="10166.696928000001"/>
    <n v="3500"/>
    <n v="325000"/>
    <n v="66600"/>
    <n v="395100"/>
    <n v="0.12308129619101763"/>
    <n v="0.99970000000000003"/>
    <n v="0.99819999999999998"/>
    <n v="0.997"/>
    <n v="1.0007999999999999"/>
    <n v="1.0470999999999999"/>
    <n v="0.94971499999999998"/>
    <n v="0.99047034582666849"/>
    <n v="323700"/>
    <n v="3300"/>
    <n v="327000"/>
    <n v="63200"/>
    <n v="390200"/>
    <n v="0.13305613305613306"/>
    <n v="0"/>
    <n v="0.10915292779988629"/>
  </r>
  <r>
    <n v="2025"/>
    <s v="19120131461    "/>
    <n v="-1.6607312068216509"/>
    <n v="0.19"/>
    <n v="8419"/>
    <s v="2"/>
    <s v="RES"/>
    <s v="MX"/>
    <s v="11"/>
    <s v="259"/>
    <s v="RN"/>
    <x v="1"/>
    <s v="GD"/>
    <n v="50"/>
    <n v="53"/>
    <n v="46"/>
    <n v="1971"/>
    <n v="1978"/>
    <n v="1300"/>
    <m/>
    <m/>
    <m/>
    <m/>
    <n v="0"/>
    <n v="1300"/>
    <n v="1500"/>
    <s v="N"/>
    <m/>
    <m/>
    <m/>
    <m/>
    <m/>
    <m/>
    <m/>
    <n v="181252"/>
    <n v="139564"/>
    <n v="0"/>
    <n v="0"/>
    <n v="63200"/>
    <n v="200400"/>
    <n v="263600"/>
    <n v="132535.48800000001"/>
    <n v="88356.992000000013"/>
    <n v="-21795.969453044734"/>
    <n v="0"/>
    <n v="30300.329274"/>
    <n v="-5002.0906000000004"/>
    <n v="81133.494000000006"/>
    <n v="0"/>
    <n v="0"/>
    <n v="0"/>
    <n v="0"/>
    <n v="239000"/>
    <n v="66600"/>
    <n v="305600"/>
    <n v="0.15933232169954475"/>
    <n v="0.99970000000000003"/>
    <n v="1.0003"/>
    <n v="0.997"/>
    <n v="0.99519999999999997"/>
    <n v="1.0470999999999999"/>
    <n v="0.94971499999999998"/>
    <n v="0.98700022449797165"/>
    <n v="237200"/>
    <n v="0"/>
    <n v="237200"/>
    <n v="63200"/>
    <n v="300400"/>
    <n v="0.18363273453093812"/>
    <n v="0"/>
    <n v="0.13960546282245828"/>
  </r>
  <r>
    <n v="2025"/>
    <s v="19120142609    "/>
    <n v="-1.6607312068216509"/>
    <n v="0.19"/>
    <n v="8411"/>
    <s v="2"/>
    <s v="RES"/>
    <s v="MX"/>
    <s v="11"/>
    <s v="259"/>
    <s v="BG"/>
    <x v="1"/>
    <s v="AV"/>
    <n v="100"/>
    <n v="109"/>
    <n v="61"/>
    <n v="1915"/>
    <n v="1963"/>
    <n v="872"/>
    <n v="280"/>
    <m/>
    <m/>
    <m/>
    <n v="0"/>
    <n v="1152"/>
    <n v="1500"/>
    <s v="N"/>
    <m/>
    <m/>
    <m/>
    <m/>
    <m/>
    <m/>
    <m/>
    <n v="161389"/>
    <n v="95220"/>
    <n v="0"/>
    <n v="0"/>
    <n v="63200"/>
    <n v="167600"/>
    <n v="230800"/>
    <n v="132535.48800000001"/>
    <n v="88356.992000000013"/>
    <n v="-21795.969453044734"/>
    <n v="0"/>
    <n v="17761.121909000001"/>
    <n v="-6633.2071000000005"/>
    <n v="54421.851360000001"/>
    <n v="16682.507239999999"/>
    <n v="0"/>
    <n v="0"/>
    <n v="0"/>
    <n v="214800"/>
    <n v="66600"/>
    <n v="281400"/>
    <n v="0.21923743500866552"/>
    <n v="0.99970000000000003"/>
    <n v="1.0003"/>
    <n v="0.99680000000000002"/>
    <n v="0.99519999999999997"/>
    <n v="0.98240000000000005"/>
    <n v="0.94971499999999998"/>
    <n v="0.92582801185627128"/>
    <n v="204900"/>
    <n v="0"/>
    <n v="204900"/>
    <n v="63200"/>
    <n v="268100"/>
    <n v="0.22255369928400956"/>
    <n v="0"/>
    <n v="0.16161178509532062"/>
  </r>
  <r>
    <n v="2025"/>
    <s v="19120114489    "/>
    <n v="-1.6554818509355071"/>
    <n v="0.191"/>
    <n v="8323"/>
    <s v="2"/>
    <s v="RES"/>
    <s v="MX"/>
    <s v="11"/>
    <s v="259"/>
    <s v="CO"/>
    <x v="5"/>
    <s v="EX"/>
    <n v="0"/>
    <n v="2"/>
    <n v="2"/>
    <n v="2022"/>
    <n v="2022"/>
    <n v="1842"/>
    <m/>
    <m/>
    <m/>
    <m/>
    <n v="0"/>
    <n v="1842"/>
    <n v="2000"/>
    <s v="N"/>
    <n v="1"/>
    <n v="656"/>
    <m/>
    <m/>
    <m/>
    <m/>
    <m/>
    <n v="405628"/>
    <n v="397515"/>
    <n v="0"/>
    <n v="0"/>
    <n v="63200"/>
    <n v="338200"/>
    <n v="401400"/>
    <n v="132535.48800000001"/>
    <n v="88356.992000000013"/>
    <n v="-21727.075221351744"/>
    <n v="32917.849192000001"/>
    <n v="47371.278778200001"/>
    <n v="-217.48220000000001"/>
    <n v="114959.91996"/>
    <n v="0"/>
    <n v="0"/>
    <n v="23157.476336"/>
    <n v="0"/>
    <n v="350700"/>
    <n v="66600"/>
    <n v="417300"/>
    <n v="3.9611360239162931E-2"/>
    <n v="0.99970000000000003"/>
    <n v="1.0019"/>
    <n v="1.0012000000000001"/>
    <n v="1.0007999999999999"/>
    <n v="1.0022"/>
    <n v="0.94971499999999998"/>
    <n v="0.95552094237960661"/>
    <n v="344800"/>
    <n v="0"/>
    <n v="344800"/>
    <n v="63300"/>
    <n v="408100"/>
    <n v="1.9515079834417505E-2"/>
    <n v="1.5822784810126582E-3"/>
    <n v="1.6691579471848531E-2"/>
  </r>
  <r>
    <n v="2025"/>
    <s v="20120632436    "/>
    <n v="-1.6554818509355071"/>
    <n v="0.191"/>
    <n v="8313"/>
    <s v="2"/>
    <s v="RES"/>
    <s v="MX"/>
    <s v="11"/>
    <s v="259"/>
    <s v="CP"/>
    <x v="5"/>
    <s v="VG"/>
    <n v="0"/>
    <n v="6"/>
    <n v="6"/>
    <n v="2018"/>
    <n v="2018"/>
    <n v="1749"/>
    <m/>
    <m/>
    <m/>
    <m/>
    <n v="0"/>
    <n v="1749"/>
    <n v="2000"/>
    <s v="N"/>
    <m/>
    <n v="441"/>
    <m/>
    <m/>
    <m/>
    <m/>
    <m/>
    <n v="374637"/>
    <n v="359652"/>
    <n v="0"/>
    <n v="0"/>
    <n v="63200"/>
    <n v="326600"/>
    <n v="389800"/>
    <n v="132535.48800000001"/>
    <n v="88356.992000000013"/>
    <n v="-21727.075221351744"/>
    <n v="32917.849192000001"/>
    <n v="50438.379078999998"/>
    <n v="-652.44659999999999"/>
    <n v="109155.75462000001"/>
    <n v="0"/>
    <n v="0"/>
    <n v="15567.754671000001"/>
    <n v="0"/>
    <n v="340000"/>
    <n v="66600"/>
    <n v="406600"/>
    <n v="4.3099025141098E-2"/>
    <n v="0.99970000000000003"/>
    <n v="1.0019"/>
    <n v="1.0007999999999999"/>
    <n v="1.0007999999999999"/>
    <n v="1.0022"/>
    <n v="0.94971499999999998"/>
    <n v="0.95513919210298648"/>
    <n v="334000"/>
    <n v="0"/>
    <n v="334000"/>
    <n v="63300"/>
    <n v="397300"/>
    <n v="2.2657685241886098E-2"/>
    <n v="1.5822784810126582E-3"/>
    <n v="1.9240636223704463E-2"/>
  </r>
  <r>
    <n v="2025"/>
    <s v="19133514423    "/>
    <n v="-1.6554818509355071"/>
    <n v="0.191"/>
    <n v="8300"/>
    <s v="2"/>
    <s v="RES"/>
    <s v="MX"/>
    <s v="11"/>
    <s v="259"/>
    <s v="CO"/>
    <x v="5"/>
    <s v="EX"/>
    <n v="0"/>
    <n v="3"/>
    <n v="3"/>
    <n v="2021"/>
    <n v="2021"/>
    <n v="1740"/>
    <m/>
    <m/>
    <m/>
    <m/>
    <n v="0"/>
    <n v="1740"/>
    <n v="2000"/>
    <s v="N"/>
    <m/>
    <n v="450"/>
    <m/>
    <m/>
    <m/>
    <m/>
    <m/>
    <n v="374705"/>
    <n v="363464"/>
    <n v="0"/>
    <n v="0"/>
    <n v="63200"/>
    <n v="323500"/>
    <n v="386700"/>
    <n v="132535.48800000001"/>
    <n v="88356.992000000013"/>
    <n v="-21727.075221351744"/>
    <n v="32917.849192000001"/>
    <n v="47371.278778200001"/>
    <n v="-326.22329999999999"/>
    <n v="108594.06120000001"/>
    <n v="0"/>
    <n v="0"/>
    <n v="15885.463950000001"/>
    <n v="0"/>
    <n v="337000"/>
    <n v="66600"/>
    <n v="403600"/>
    <n v="4.3703129040599947E-2"/>
    <n v="0.99970000000000003"/>
    <n v="1.0019"/>
    <n v="1.0012000000000001"/>
    <n v="1.0007999999999999"/>
    <n v="1.0022"/>
    <n v="0.94971499999999998"/>
    <n v="0.95552094237960661"/>
    <n v="331100"/>
    <n v="0"/>
    <n v="331100"/>
    <n v="63300"/>
    <n v="394400"/>
    <n v="2.349304482225657E-2"/>
    <n v="1.5822784810126582E-3"/>
    <n v="1.9912076545125421E-2"/>
  </r>
  <r>
    <n v="2025"/>
    <s v="19133541448    "/>
    <n v="-1.6502599069543555"/>
    <n v="0.192"/>
    <n v="8348"/>
    <s v="2"/>
    <s v="RES"/>
    <s v="MX"/>
    <s v="11"/>
    <s v="259"/>
    <s v="CO"/>
    <x v="5"/>
    <s v="EX"/>
    <n v="0"/>
    <n v="3"/>
    <n v="3"/>
    <n v="2021"/>
    <n v="2021"/>
    <n v="2010"/>
    <m/>
    <m/>
    <m/>
    <m/>
    <n v="0"/>
    <n v="2010"/>
    <n v="2500"/>
    <s v="N"/>
    <m/>
    <n v="664"/>
    <m/>
    <m/>
    <m/>
    <m/>
    <m/>
    <n v="438739"/>
    <n v="425577"/>
    <n v="0"/>
    <n v="0"/>
    <n v="63200"/>
    <n v="356900"/>
    <n v="420100"/>
    <n v="132535.48800000001"/>
    <n v="88356.992000000013"/>
    <n v="-21658.540752299094"/>
    <n v="32917.849192000001"/>
    <n v="47371.278778200001"/>
    <n v="-326.22329999999999"/>
    <n v="125444.86380000001"/>
    <n v="0"/>
    <n v="0"/>
    <n v="23439.884583999999"/>
    <n v="0"/>
    <n v="361400"/>
    <n v="66700"/>
    <n v="428100"/>
    <n v="1.9043084979766721E-2"/>
    <n v="0.99970000000000003"/>
    <n v="1.0019"/>
    <n v="1.0012000000000001"/>
    <n v="1.0008999999999999"/>
    <n v="1.0022"/>
    <n v="0.94971499999999998"/>
    <n v="0.95561641809327347"/>
    <n v="355500"/>
    <n v="0"/>
    <n v="355500"/>
    <n v="63300"/>
    <n v="418800"/>
    <n v="-3.922667413841412E-3"/>
    <n v="1.5822784810126582E-3"/>
    <n v="-3.0945013092120925E-3"/>
  </r>
  <r>
    <n v="2025"/>
    <s v="19133541449    "/>
    <n v="-1.6502599069543555"/>
    <n v="0.192"/>
    <n v="8366"/>
    <s v="2"/>
    <s v="RES"/>
    <s v="MX"/>
    <s v="11"/>
    <s v="259"/>
    <s v="CO"/>
    <x v="5"/>
    <s v="EX"/>
    <n v="0"/>
    <n v="3"/>
    <n v="3"/>
    <n v="2021"/>
    <n v="2021"/>
    <n v="2010"/>
    <m/>
    <m/>
    <m/>
    <m/>
    <n v="0"/>
    <n v="2010"/>
    <n v="2500"/>
    <s v="N"/>
    <m/>
    <n v="664"/>
    <m/>
    <m/>
    <m/>
    <m/>
    <m/>
    <n v="432745"/>
    <n v="419763"/>
    <n v="0"/>
    <n v="0"/>
    <n v="63200"/>
    <n v="347700"/>
    <n v="410900"/>
    <n v="132535.48800000001"/>
    <n v="88356.992000000013"/>
    <n v="-21658.540752299094"/>
    <n v="32917.849192000001"/>
    <n v="47371.278778200001"/>
    <n v="-326.22329999999999"/>
    <n v="125444.86380000001"/>
    <n v="0"/>
    <n v="0"/>
    <n v="23439.884583999999"/>
    <n v="0"/>
    <n v="361400"/>
    <n v="66700"/>
    <n v="428100"/>
    <n v="4.1859333171087858E-2"/>
    <n v="0.99970000000000003"/>
    <n v="1.0019"/>
    <n v="1.0012000000000001"/>
    <n v="1.0008999999999999"/>
    <n v="1.0022"/>
    <n v="0.94971499999999998"/>
    <n v="0.95561641809327347"/>
    <n v="355500"/>
    <n v="0"/>
    <n v="355500"/>
    <n v="63300"/>
    <n v="418800"/>
    <n v="2.2433132010353754E-2"/>
    <n v="1.5822784810126582E-3"/>
    <n v="1.9226089072767096E-2"/>
  </r>
  <r>
    <n v="2025"/>
    <s v="19133541440    "/>
    <n v="-1.6502599069543555"/>
    <n v="0.192"/>
    <n v="8363"/>
    <s v="2"/>
    <s v="RES"/>
    <s v="MX"/>
    <s v="11"/>
    <s v="259"/>
    <s v="CO"/>
    <x v="5"/>
    <s v="EX"/>
    <n v="0"/>
    <n v="3"/>
    <n v="3"/>
    <n v="2021"/>
    <n v="2021"/>
    <n v="2010"/>
    <m/>
    <m/>
    <m/>
    <m/>
    <n v="0"/>
    <n v="2010"/>
    <n v="2500"/>
    <s v="N"/>
    <n v="1"/>
    <n v="424"/>
    <m/>
    <m/>
    <m/>
    <m/>
    <m/>
    <n v="426736"/>
    <n v="413934"/>
    <n v="0"/>
    <n v="0"/>
    <n v="63200"/>
    <n v="337400"/>
    <n v="400600"/>
    <n v="132535.48800000001"/>
    <n v="88356.992000000013"/>
    <n v="-21658.540752299094"/>
    <n v="32917.849192000001"/>
    <n v="47371.278778200001"/>
    <n v="-326.22329999999999"/>
    <n v="125444.86380000001"/>
    <n v="0"/>
    <n v="0"/>
    <n v="14967.637144"/>
    <n v="0"/>
    <n v="352900"/>
    <n v="66700"/>
    <n v="419600"/>
    <n v="4.7428856714927609E-2"/>
    <n v="0.99970000000000003"/>
    <n v="1.0019"/>
    <n v="1.0012000000000001"/>
    <n v="1.0008999999999999"/>
    <n v="1.0022"/>
    <n v="0.94971499999999998"/>
    <n v="0.95561641809327347"/>
    <n v="347000"/>
    <n v="0"/>
    <n v="347000"/>
    <n v="63300"/>
    <n v="410300"/>
    <n v="2.8452874925903971E-2"/>
    <n v="1.5822784810126582E-3"/>
    <n v="2.4213679480778832E-2"/>
  </r>
  <r>
    <n v="2025"/>
    <s v="19120114470    "/>
    <n v="-1.6450650900772514"/>
    <n v="0.193"/>
    <n v="8387"/>
    <s v="2"/>
    <s v="RES"/>
    <s v="MX"/>
    <s v="11"/>
    <s v="259"/>
    <s v="CO"/>
    <x v="4"/>
    <s v="EX"/>
    <n v="0"/>
    <n v="2"/>
    <n v="2"/>
    <n v="2022"/>
    <n v="2022"/>
    <n v="1580"/>
    <m/>
    <m/>
    <m/>
    <m/>
    <n v="0"/>
    <n v="1580"/>
    <n v="2000"/>
    <s v="N"/>
    <n v="1"/>
    <n v="598"/>
    <m/>
    <m/>
    <m/>
    <m/>
    <m/>
    <n v="324106"/>
    <n v="317624"/>
    <n v="0"/>
    <n v="0"/>
    <n v="63200"/>
    <n v="334700"/>
    <n v="397900"/>
    <n v="132535.48800000001"/>
    <n v="88356.992000000013"/>
    <n v="-21590.362308067761"/>
    <n v="37154.252388000001"/>
    <n v="47371.278778200001"/>
    <n v="-217.48220000000001"/>
    <n v="98608.400399999999"/>
    <n v="0"/>
    <n v="0"/>
    <n v="21110.016538"/>
    <n v="0"/>
    <n v="336600"/>
    <n v="66800"/>
    <n v="403400"/>
    <n v="1.3822568484543855E-2"/>
    <n v="0.99970000000000003"/>
    <n v="0.99819999999999998"/>
    <n v="1.0012000000000001"/>
    <n v="1.0007999999999999"/>
    <n v="1.0022"/>
    <n v="0.94971499999999998"/>
    <n v="0.95199221946633727"/>
    <n v="330200"/>
    <n v="0"/>
    <n v="330200"/>
    <n v="63400"/>
    <n v="393600"/>
    <n v="-1.34448760083657E-2"/>
    <n v="3.1645569620253164E-3"/>
    <n v="-1.0806735360643378E-2"/>
  </r>
  <r>
    <n v="2025"/>
    <s v="20120634538    "/>
    <n v="-1.6450650900772514"/>
    <n v="0.193"/>
    <n v="8418"/>
    <s v="2"/>
    <s v="RES"/>
    <s v="MX"/>
    <s v="11"/>
    <s v="259"/>
    <s v="CP"/>
    <x v="5"/>
    <s v="VG"/>
    <n v="0"/>
    <n v="5"/>
    <n v="5"/>
    <n v="2019"/>
    <n v="2019"/>
    <n v="2025"/>
    <m/>
    <m/>
    <m/>
    <m/>
    <n v="0"/>
    <n v="2025"/>
    <n v="2500"/>
    <s v="N"/>
    <n v="1"/>
    <n v="640"/>
    <m/>
    <m/>
    <m/>
    <m/>
    <m/>
    <n v="436600"/>
    <n v="419136"/>
    <n v="0"/>
    <n v="0"/>
    <n v="63200"/>
    <n v="351600"/>
    <n v="414800"/>
    <n v="132535.48800000001"/>
    <n v="88356.992000000013"/>
    <n v="-21590.362308067761"/>
    <n v="32917.849192000001"/>
    <n v="50438.379078999998"/>
    <n v="-543.70550000000003"/>
    <n v="126381.01950000001"/>
    <n v="0"/>
    <n v="0"/>
    <n v="22592.65984"/>
    <n v="0"/>
    <n v="364300"/>
    <n v="66800"/>
    <n v="431100"/>
    <n v="3.9296046287367409E-2"/>
    <n v="0.99970000000000003"/>
    <n v="1.0019"/>
    <n v="1.0007999999999999"/>
    <n v="1.0008999999999999"/>
    <n v="1.0022"/>
    <n v="0.94971499999999998"/>
    <n v="0.95523462967214157"/>
    <n v="358400"/>
    <n v="0"/>
    <n v="358400"/>
    <n v="63400"/>
    <n v="421800"/>
    <n v="1.9340159271899887E-2"/>
    <n v="3.1645569620253164E-3"/>
    <n v="1.6875602700096432E-2"/>
  </r>
  <r>
    <n v="2025"/>
    <s v="19133541423    "/>
    <n v="-1.6450650900772514"/>
    <n v="0.193"/>
    <n v="8428"/>
    <s v="2"/>
    <s v="RES"/>
    <s v="MX"/>
    <s v="11"/>
    <s v="259"/>
    <s v="CO"/>
    <x v="5"/>
    <s v="EX"/>
    <n v="0"/>
    <n v="3"/>
    <n v="3"/>
    <n v="2021"/>
    <n v="2021"/>
    <n v="2010"/>
    <m/>
    <m/>
    <m/>
    <m/>
    <n v="0"/>
    <n v="2010"/>
    <n v="2500"/>
    <s v="N"/>
    <m/>
    <n v="424"/>
    <m/>
    <m/>
    <m/>
    <m/>
    <m/>
    <n v="422416"/>
    <n v="409744"/>
    <n v="0"/>
    <n v="0"/>
    <n v="63200"/>
    <n v="337400"/>
    <n v="400600"/>
    <n v="132535.48800000001"/>
    <n v="88356.992000000013"/>
    <n v="-21590.362308067761"/>
    <n v="32917.849192000001"/>
    <n v="47371.278778200001"/>
    <n v="-326.22329999999999"/>
    <n v="125444.86380000001"/>
    <n v="0"/>
    <n v="0"/>
    <n v="14967.637144"/>
    <n v="0"/>
    <n v="352900"/>
    <n v="66800"/>
    <n v="419700"/>
    <n v="4.7678482276585124E-2"/>
    <n v="0.99970000000000003"/>
    <n v="1.0019"/>
    <n v="1.0012000000000001"/>
    <n v="1.0008999999999999"/>
    <n v="1.0022"/>
    <n v="0.94971499999999998"/>
    <n v="0.95561641809327347"/>
    <n v="347000"/>
    <n v="0"/>
    <n v="347000"/>
    <n v="63400"/>
    <n v="410400"/>
    <n v="2.8452874925903971E-2"/>
    <n v="3.1645569620253164E-3"/>
    <n v="2.4463305042436344E-2"/>
  </r>
  <r>
    <n v="2025"/>
    <s v="19120114488    "/>
    <n v="-1.6398971199188088"/>
    <n v="0.19400000000000001"/>
    <n v="8461"/>
    <s v="2"/>
    <s v="RES"/>
    <s v="MX"/>
    <s v="11"/>
    <s v="259"/>
    <s v="CO"/>
    <x v="5"/>
    <s v="EX"/>
    <n v="0"/>
    <n v="2"/>
    <n v="2"/>
    <n v="2022"/>
    <n v="2022"/>
    <n v="1328"/>
    <n v="1686"/>
    <m/>
    <m/>
    <m/>
    <n v="0"/>
    <n v="3014"/>
    <n v="3500"/>
    <s v="S"/>
    <n v="1"/>
    <m/>
    <n v="460"/>
    <m/>
    <m/>
    <m/>
    <m/>
    <n v="569336"/>
    <n v="557949"/>
    <n v="0"/>
    <n v="0"/>
    <n v="63200"/>
    <n v="415200"/>
    <n v="478400"/>
    <n v="132535.48800000001"/>
    <n v="88356.992000000013"/>
    <n v="-21522.536208789941"/>
    <n v="32917.849192000001"/>
    <n v="47371.278778200001"/>
    <n v="-217.48220000000001"/>
    <n v="82880.98464000001"/>
    <n v="100452.525738"/>
    <n v="0"/>
    <n v="0"/>
    <n v="0"/>
    <n v="395900"/>
    <n v="66800"/>
    <n v="462700"/>
    <n v="-3.281772575250836E-2"/>
    <n v="0.99970000000000003"/>
    <n v="1.0019"/>
    <n v="1.0012000000000001"/>
    <n v="0.98509999999999998"/>
    <n v="1.0022"/>
    <n v="0.94971499999999998"/>
    <n v="0.94053125533388338"/>
    <n v="388100"/>
    <n v="0"/>
    <n v="388100"/>
    <n v="63500"/>
    <n v="451600"/>
    <n v="-6.5269749518304429E-2"/>
    <n v="4.7468354430379748E-3"/>
    <n v="-5.6020066889632104E-2"/>
  </r>
  <r>
    <n v="2025"/>
    <s v="19133541441    "/>
    <n v="-1.6347557204183902"/>
    <n v="0.19500000000000001"/>
    <n v="8505"/>
    <s v="2"/>
    <s v="RES"/>
    <s v="MX"/>
    <s v="11"/>
    <s v="259"/>
    <s v="CO"/>
    <x v="5"/>
    <s v="EX"/>
    <n v="0"/>
    <n v="3"/>
    <n v="3"/>
    <n v="2021"/>
    <n v="2021"/>
    <n v="1650"/>
    <n v="1346"/>
    <m/>
    <m/>
    <m/>
    <n v="0"/>
    <n v="2996"/>
    <n v="3000"/>
    <s v="S"/>
    <m/>
    <n v="660"/>
    <m/>
    <m/>
    <m/>
    <m/>
    <m/>
    <n v="577170"/>
    <n v="559855"/>
    <n v="0"/>
    <n v="0"/>
    <n v="64000"/>
    <n v="419500"/>
    <n v="483500"/>
    <n v="132535.48800000001"/>
    <n v="88356.992000000013"/>
    <n v="-21455.058831357208"/>
    <n v="32917.849192000001"/>
    <n v="47371.278778200001"/>
    <n v="-326.22329999999999"/>
    <n v="102977.12700000001"/>
    <n v="80195.195517999993"/>
    <n v="0"/>
    <n v="23298.68046"/>
    <n v="0"/>
    <n v="419000"/>
    <n v="66900"/>
    <n v="485900"/>
    <n v="4.9638055842812822E-3"/>
    <n v="0.99970000000000003"/>
    <n v="1.0019"/>
    <n v="1.0012000000000001"/>
    <n v="1.0099"/>
    <n v="1.0022"/>
    <n v="0.94971499999999998"/>
    <n v="0.96420923232330613"/>
    <n v="414200"/>
    <n v="0"/>
    <n v="414200"/>
    <n v="63500"/>
    <n v="477700"/>
    <n v="-1.263408820023838E-2"/>
    <n v="-7.8125E-3"/>
    <n v="-1.1995863495346433E-2"/>
  </r>
  <r>
    <n v="2025"/>
    <s v="19133541433    "/>
    <n v="-1.6347557204183902"/>
    <n v="0.19500000000000001"/>
    <n v="8515"/>
    <s v="2"/>
    <s v="RES"/>
    <s v="MX"/>
    <s v="11"/>
    <s v="259"/>
    <s v="CO"/>
    <x v="5"/>
    <s v="EX"/>
    <n v="0"/>
    <n v="3"/>
    <n v="3"/>
    <n v="2021"/>
    <n v="2021"/>
    <n v="2040"/>
    <m/>
    <m/>
    <m/>
    <m/>
    <n v="0"/>
    <n v="2040"/>
    <n v="2500"/>
    <s v="N"/>
    <n v="1"/>
    <n v="655"/>
    <m/>
    <m/>
    <m/>
    <m/>
    <m/>
    <n v="451091"/>
    <n v="437558"/>
    <n v="0"/>
    <n v="0"/>
    <n v="64000"/>
    <n v="362700"/>
    <n v="426700"/>
    <n v="132535.48800000001"/>
    <n v="88356.992000000013"/>
    <n v="-21455.058831357208"/>
    <n v="32917.849192000001"/>
    <n v="47371.278778200001"/>
    <n v="-326.22329999999999"/>
    <n v="127317.17520000001"/>
    <n v="0"/>
    <n v="0"/>
    <n v="23122.175305000001"/>
    <n v="0"/>
    <n v="362900"/>
    <n v="66900"/>
    <n v="429800"/>
    <n v="7.2650574173892665E-3"/>
    <n v="0.99970000000000003"/>
    <n v="1.0019"/>
    <n v="1.0012000000000001"/>
    <n v="1.0008999999999999"/>
    <n v="1.0022"/>
    <n v="0.94971499999999998"/>
    <n v="0.95561641809327347"/>
    <n v="357100"/>
    <n v="0"/>
    <n v="357100"/>
    <n v="63500"/>
    <n v="420600"/>
    <n v="-1.5439757375241246E-2"/>
    <n v="-7.8125E-3"/>
    <n v="-1.4295758143895007E-2"/>
  </r>
  <r>
    <n v="2025"/>
    <s v="19120114487    "/>
    <n v="-1.6245515502441485"/>
    <n v="0.19700000000000001"/>
    <n v="8561"/>
    <s v="2"/>
    <s v="RES"/>
    <s v="MX"/>
    <s v="11"/>
    <s v="259"/>
    <s v="CO"/>
    <x v="5"/>
    <s v="EX"/>
    <n v="0"/>
    <n v="2"/>
    <n v="2"/>
    <n v="2022"/>
    <n v="2022"/>
    <n v="1842"/>
    <m/>
    <m/>
    <m/>
    <m/>
    <n v="0"/>
    <n v="1842"/>
    <n v="2000"/>
    <s v="N"/>
    <n v="1"/>
    <n v="808"/>
    <m/>
    <m/>
    <m/>
    <m/>
    <m/>
    <n v="408393"/>
    <n v="400225"/>
    <n v="0"/>
    <n v="0"/>
    <n v="64000"/>
    <n v="344800"/>
    <n v="408800"/>
    <n v="132535.48800000001"/>
    <n v="88356.992000000013"/>
    <n v="-21321.136026451833"/>
    <n v="32917.849192000001"/>
    <n v="47371.278778200001"/>
    <n v="-217.48220000000001"/>
    <n v="114959.91996"/>
    <n v="0"/>
    <n v="0"/>
    <n v="28523.233048000002"/>
    <n v="0"/>
    <n v="356100"/>
    <n v="67000"/>
    <n v="423100"/>
    <n v="3.4980430528375732E-2"/>
    <n v="0.99970000000000003"/>
    <n v="1.0019"/>
    <n v="1.0012000000000001"/>
    <n v="1.0007999999999999"/>
    <n v="1.0022"/>
    <n v="0.94971499999999998"/>
    <n v="0.95552094237960661"/>
    <n v="350200"/>
    <n v="0"/>
    <n v="350200"/>
    <n v="63700"/>
    <n v="413900"/>
    <n v="1.5661252900232018E-2"/>
    <n v="-4.6874999999999998E-3"/>
    <n v="1.2475538160469667E-2"/>
  </r>
  <r>
    <n v="2025"/>
    <s v="19120114416    "/>
    <n v="-1.6094379124341003"/>
    <n v="0.2"/>
    <n v="8773"/>
    <s v="2"/>
    <s v="RES"/>
    <s v="MX"/>
    <s v="11"/>
    <s v="259"/>
    <s v="CP"/>
    <x v="5"/>
    <s v="VG"/>
    <n v="0"/>
    <n v="9"/>
    <n v="9"/>
    <n v="2015"/>
    <n v="2015"/>
    <n v="2079"/>
    <m/>
    <m/>
    <m/>
    <m/>
    <n v="0"/>
    <n v="2079"/>
    <n v="2500"/>
    <s v="S"/>
    <n v="1"/>
    <n v="1086"/>
    <m/>
    <m/>
    <m/>
    <m/>
    <m/>
    <n v="486806"/>
    <n v="467334"/>
    <n v="0"/>
    <n v="0"/>
    <n v="64000"/>
    <n v="377500"/>
    <n v="441500"/>
    <n v="132535.48800000001"/>
    <n v="88356.992000000013"/>
    <n v="-21122.779792355024"/>
    <n v="32917.849192000001"/>
    <n v="50438.379078999998"/>
    <n v="-978.66989999999998"/>
    <n v="129751.18002000001"/>
    <n v="0"/>
    <n v="0"/>
    <n v="38336.919666000002"/>
    <n v="0"/>
    <n v="383000"/>
    <n v="67200"/>
    <n v="450200"/>
    <n v="1.9705549263873159E-2"/>
    <n v="0.99970000000000003"/>
    <n v="1.0019"/>
    <n v="1.0007999999999999"/>
    <n v="1.0008999999999999"/>
    <n v="1.0022"/>
    <n v="0.94971499999999998"/>
    <n v="0.95523462967214157"/>
    <n v="377100"/>
    <n v="0"/>
    <n v="377100"/>
    <n v="63900"/>
    <n v="441000"/>
    <n v="-1.0596026490066225E-3"/>
    <n v="-1.5625000000000001E-3"/>
    <n v="-1.1325028312570782E-3"/>
  </r>
  <r>
    <n v="2025"/>
    <s v="19120141486    "/>
    <n v="-1.6094379124341003"/>
    <n v="0.2"/>
    <n v="8552"/>
    <s v="2"/>
    <s v="RES"/>
    <s v="MX"/>
    <s v="11"/>
    <s v="259"/>
    <s v="CO"/>
    <x v="5"/>
    <s v="GD"/>
    <n v="10"/>
    <n v="19"/>
    <n v="19"/>
    <n v="2005"/>
    <n v="2005"/>
    <n v="1116"/>
    <n v="1116"/>
    <m/>
    <m/>
    <m/>
    <n v="0"/>
    <n v="2232"/>
    <n v="2500"/>
    <s v="B"/>
    <m/>
    <n v="440"/>
    <m/>
    <m/>
    <m/>
    <m/>
    <m/>
    <n v="449012"/>
    <n v="408601"/>
    <n v="0"/>
    <n v="0"/>
    <n v="64000"/>
    <n v="334500"/>
    <n v="398500"/>
    <n v="132535.48800000001"/>
    <n v="88356.992000000013"/>
    <n v="-21122.779792355024"/>
    <n v="32917.849192000001"/>
    <n v="30300.329274"/>
    <n v="-2066.0808999999999"/>
    <n v="69649.984080000009"/>
    <n v="66491.707427999994"/>
    <n v="0"/>
    <n v="15532.453640000002"/>
    <n v="0"/>
    <n v="345400"/>
    <n v="67200"/>
    <n v="412600"/>
    <n v="3.5382685069008782E-2"/>
    <n v="0.99970000000000003"/>
    <n v="1.0019"/>
    <n v="0.997"/>
    <n v="1.0008999999999999"/>
    <n v="0.99080000000000001"/>
    <n v="0.94971499999999998"/>
    <n v="0.94078312650809337"/>
    <n v="337500"/>
    <n v="0"/>
    <n v="337500"/>
    <n v="63900"/>
    <n v="401400"/>
    <n v="8.9686098654708519E-3"/>
    <n v="-1.5625000000000001E-3"/>
    <n v="7.2772898368883314E-3"/>
  </r>
  <r>
    <n v="2025"/>
    <s v="19120134429    "/>
    <n v="-1.6094379124341003"/>
    <n v="0.2"/>
    <n v="8667"/>
    <s v="2"/>
    <s v="RES"/>
    <s v="MX"/>
    <s v="11"/>
    <s v="259"/>
    <s v="RN"/>
    <x v="5"/>
    <s v="AV"/>
    <n v="30"/>
    <n v="34"/>
    <n v="34"/>
    <n v="1990"/>
    <n v="1990"/>
    <n v="1803"/>
    <m/>
    <m/>
    <m/>
    <m/>
    <n v="0"/>
    <n v="1803"/>
    <n v="2000"/>
    <s v="B"/>
    <m/>
    <n v="750"/>
    <m/>
    <m/>
    <m/>
    <m/>
    <m/>
    <n v="433080"/>
    <n v="363787"/>
    <n v="0"/>
    <n v="0"/>
    <n v="64000"/>
    <n v="288500"/>
    <n v="352500"/>
    <n v="132535.48800000001"/>
    <n v="88356.992000000013"/>
    <n v="-21122.779792355024"/>
    <n v="32917.849192000001"/>
    <n v="17761.121909000001"/>
    <n v="-3697.1974"/>
    <n v="112525.91514000001"/>
    <n v="0"/>
    <n v="0"/>
    <n v="26475.773250000002"/>
    <n v="0"/>
    <n v="318500"/>
    <n v="67200"/>
    <n v="385700"/>
    <n v="9.4184397163120562E-2"/>
    <n v="0.99970000000000003"/>
    <n v="1.0019"/>
    <n v="0.99680000000000002"/>
    <n v="1.0007999999999999"/>
    <n v="0.95920000000000005"/>
    <n v="0.94971499999999998"/>
    <n v="0.91050465417266691"/>
    <n v="306700"/>
    <n v="0"/>
    <n v="306700"/>
    <n v="63900"/>
    <n v="370600"/>
    <n v="6.3084922010398614E-2"/>
    <n v="-1.5625000000000001E-3"/>
    <n v="5.1347517730496457E-2"/>
  </r>
  <r>
    <n v="2025"/>
    <s v="19120134433    "/>
    <n v="-1.6094379124341003"/>
    <n v="0.2"/>
    <n v="8805"/>
    <s v="2"/>
    <s v="RES"/>
    <s v="MX"/>
    <s v="11"/>
    <s v="259"/>
    <s v="CP"/>
    <x v="5"/>
    <s v="VG"/>
    <n v="30"/>
    <n v="32"/>
    <n v="32"/>
    <n v="1992"/>
    <n v="1992"/>
    <n v="1847"/>
    <m/>
    <m/>
    <m/>
    <m/>
    <n v="0"/>
    <n v="1847"/>
    <n v="2000"/>
    <s v="B"/>
    <m/>
    <n v="816"/>
    <m/>
    <m/>
    <m/>
    <m/>
    <m/>
    <n v="401557"/>
    <n v="349355"/>
    <n v="0"/>
    <n v="0"/>
    <n v="64000"/>
    <n v="322500"/>
    <n v="386500"/>
    <n v="132535.48800000001"/>
    <n v="88356.992000000013"/>
    <n v="-21122.779792355024"/>
    <n v="32917.849192000001"/>
    <n v="50438.379078999998"/>
    <n v="-3479.7152000000001"/>
    <n v="115271.97186000001"/>
    <n v="0"/>
    <n v="0"/>
    <n v="28805.641296000002"/>
    <n v="0"/>
    <n v="356500"/>
    <n v="67200"/>
    <n v="423700"/>
    <n v="9.6248382923673992E-2"/>
    <n v="0.99970000000000003"/>
    <n v="1.0019"/>
    <n v="1.0007999999999999"/>
    <n v="1.0007999999999999"/>
    <n v="0.95920000000000005"/>
    <n v="0.94971499999999998"/>
    <n v="0.91415836466292633"/>
    <n v="345100"/>
    <n v="0"/>
    <n v="345100"/>
    <n v="63900"/>
    <n v="409000"/>
    <n v="7.0077519379844966E-2"/>
    <n v="-1.5625000000000001E-3"/>
    <n v="5.8214747736093142E-2"/>
  </r>
  <r>
    <n v="2025"/>
    <s v="19120142532    "/>
    <n v="-1.6094379124341003"/>
    <n v="0.2"/>
    <n v="8882"/>
    <s v="2"/>
    <s v="RES"/>
    <s v="MX"/>
    <s v="11"/>
    <s v="259"/>
    <s v="CO"/>
    <x v="2"/>
    <s v="AV"/>
    <n v="100"/>
    <n v="109"/>
    <n v="61"/>
    <n v="1915"/>
    <n v="1963"/>
    <n v="1192"/>
    <n v="612"/>
    <n v="144"/>
    <m/>
    <m/>
    <n v="144"/>
    <n v="1804"/>
    <n v="2000"/>
    <s v="N"/>
    <m/>
    <m/>
    <m/>
    <m/>
    <m/>
    <m/>
    <m/>
    <n v="242998"/>
    <n v="143369"/>
    <n v="0"/>
    <n v="0"/>
    <n v="64000"/>
    <n v="213600"/>
    <n v="277600"/>
    <n v="132535.48800000001"/>
    <n v="88356.992000000013"/>
    <n v="-21122.779792355024"/>
    <n v="-1240.8083630000001"/>
    <n v="17761.121909000001"/>
    <n v="-6633.2071000000005"/>
    <n v="74393.172960000011"/>
    <n v="36463.194395999999"/>
    <n v="9012.4554239999998"/>
    <n v="0"/>
    <n v="0"/>
    <n v="262300"/>
    <n v="67200"/>
    <n v="329500"/>
    <n v="0.18695965417867436"/>
    <n v="0.99970000000000003"/>
    <n v="1.0022"/>
    <n v="0.99680000000000002"/>
    <n v="1.0007999999999999"/>
    <n v="0.98240000000000005"/>
    <n v="0.94971499999999998"/>
    <n v="0.93280609602201836"/>
    <n v="253400"/>
    <n v="0"/>
    <n v="253400"/>
    <n v="63900"/>
    <n v="317300"/>
    <n v="0.18632958801498128"/>
    <n v="-1.5625000000000001E-3"/>
    <n v="0.14301152737752162"/>
  </r>
  <r>
    <n v="2025"/>
    <s v="19120142504    "/>
    <n v="-1.6094379124341003"/>
    <n v="0.2"/>
    <n v="8595"/>
    <s v="2"/>
    <s v="RES"/>
    <s v="MX"/>
    <s v="11"/>
    <s v="259"/>
    <s v="RN"/>
    <x v="4"/>
    <s v="GD"/>
    <n v="70"/>
    <n v="74"/>
    <n v="51"/>
    <n v="1950"/>
    <n v="1973"/>
    <n v="2076"/>
    <m/>
    <n v="960"/>
    <m/>
    <m/>
    <n v="960"/>
    <n v="2076"/>
    <n v="2500"/>
    <s v="N"/>
    <m/>
    <n v="300"/>
    <m/>
    <m/>
    <m/>
    <m/>
    <m/>
    <n v="422365"/>
    <n v="299879"/>
    <n v="0"/>
    <n v="0"/>
    <n v="64000"/>
    <n v="283200"/>
    <n v="347200"/>
    <n v="132535.48800000001"/>
    <n v="88356.992000000013"/>
    <n v="-21122.779792355024"/>
    <n v="37154.252388000001"/>
    <n v="30300.329274"/>
    <n v="-5545.7961000000005"/>
    <n v="129563.94888000001"/>
    <n v="0"/>
    <n v="60083.036159999996"/>
    <n v="10590.309300000001"/>
    <n v="0"/>
    <n v="394700"/>
    <n v="67200"/>
    <n v="461900"/>
    <n v="0.33035714285714285"/>
    <n v="0.99970000000000003"/>
    <n v="0.99819999999999998"/>
    <n v="0.997"/>
    <n v="1.0008999999999999"/>
    <n v="1"/>
    <n v="0.94971499999999998"/>
    <n v="0.94601214180781479"/>
    <n v="387500"/>
    <n v="0"/>
    <n v="387500"/>
    <n v="63900"/>
    <n v="451400"/>
    <n v="0.3682909604519774"/>
    <n v="-1.5625000000000001E-3"/>
    <n v="0.30011520737327191"/>
  </r>
  <r>
    <n v="2025"/>
    <s v="20120634409    "/>
    <n v="-1.6094379124341003"/>
    <n v="0.2"/>
    <n v="8496"/>
    <s v="2"/>
    <s v="RES"/>
    <s v="MX"/>
    <s v="11"/>
    <s v="259"/>
    <s v="CP"/>
    <x v="4"/>
    <s v="VG"/>
    <n v="10"/>
    <n v="13"/>
    <n v="13"/>
    <n v="2011"/>
    <n v="2011"/>
    <n v="1126"/>
    <n v="1260"/>
    <m/>
    <m/>
    <m/>
    <n v="0"/>
    <n v="2386"/>
    <n v="2500"/>
    <s v="N"/>
    <n v="1"/>
    <n v="657"/>
    <m/>
    <m/>
    <m/>
    <m/>
    <m/>
    <n v="425421"/>
    <n v="404150"/>
    <n v="0"/>
    <n v="0"/>
    <n v="64000"/>
    <n v="388400"/>
    <n v="452400"/>
    <n v="132535.48800000001"/>
    <n v="88356.992000000013"/>
    <n v="-21122.779792355024"/>
    <n v="37154.252388000001"/>
    <n v="50438.379078999998"/>
    <n v="-1413.6342999999999"/>
    <n v="70274.087880000006"/>
    <n v="75071.282579999999"/>
    <n v="0"/>
    <n v="23192.777367000002"/>
    <n v="0"/>
    <n v="387300"/>
    <n v="67200"/>
    <n v="454500"/>
    <n v="4.6419098143236073E-3"/>
    <n v="0.99970000000000003"/>
    <n v="0.99819999999999998"/>
    <n v="1.0007999999999999"/>
    <n v="1.0008999999999999"/>
    <n v="0.99080000000000001"/>
    <n v="0.94971499999999998"/>
    <n v="0.94088132113065737"/>
    <n v="379400"/>
    <n v="0"/>
    <n v="379400"/>
    <n v="63900"/>
    <n v="443300"/>
    <n v="-2.3171987641606592E-2"/>
    <n v="-1.5625000000000001E-3"/>
    <n v="-2.0114942528735632E-2"/>
  </r>
  <r>
    <n v="2025"/>
    <s v="20120633514    "/>
    <n v="-1.6094379124341003"/>
    <n v="0.2"/>
    <n v="8609"/>
    <s v="2"/>
    <s v="RES"/>
    <s v="MX"/>
    <s v="11"/>
    <s v="259"/>
    <s v="RN"/>
    <x v="4"/>
    <s v="VG"/>
    <n v="10"/>
    <n v="14"/>
    <n v="14"/>
    <n v="2010"/>
    <n v="2010"/>
    <n v="1536"/>
    <m/>
    <m/>
    <m/>
    <m/>
    <n v="0"/>
    <n v="1536"/>
    <n v="2000"/>
    <s v="N"/>
    <m/>
    <n v="420"/>
    <m/>
    <m/>
    <m/>
    <m/>
    <m/>
    <n v="312514"/>
    <n v="293763"/>
    <n v="0"/>
    <n v="0"/>
    <n v="64000"/>
    <n v="326300"/>
    <n v="390300"/>
    <n v="132535.48800000001"/>
    <n v="88356.992000000013"/>
    <n v="-21122.779792355024"/>
    <n v="37154.252388000001"/>
    <n v="50438.379078999998"/>
    <n v="-1522.3754000000001"/>
    <n v="95862.343680000005"/>
    <n v="0"/>
    <n v="0"/>
    <n v="14826.43302"/>
    <n v="0"/>
    <n v="329300"/>
    <n v="67200"/>
    <n v="396500"/>
    <n v="1.5885216500128106E-2"/>
    <n v="0.99970000000000003"/>
    <n v="0.99819999999999998"/>
    <n v="1.0007999999999999"/>
    <n v="1.0007999999999999"/>
    <n v="0.99080000000000001"/>
    <n v="0.94971499999999998"/>
    <n v="0.9407873176017203"/>
    <n v="321400"/>
    <n v="0"/>
    <n v="321400"/>
    <n v="63900"/>
    <n v="385300"/>
    <n v="-1.5016855654305853E-2"/>
    <n v="-1.5625000000000001E-3"/>
    <n v="-1.2810658467845248E-2"/>
  </r>
  <r>
    <n v="2025"/>
    <s v="19120131418    "/>
    <n v="-1.6094379124341003"/>
    <n v="0.2"/>
    <n v="8530"/>
    <s v="2"/>
    <s v="RES"/>
    <s v="MX"/>
    <s v="11"/>
    <s v="259"/>
    <s v="RN"/>
    <x v="2"/>
    <s v="GD"/>
    <n v="30"/>
    <n v="35"/>
    <n v="35"/>
    <n v="1989"/>
    <n v="1989"/>
    <n v="1025"/>
    <m/>
    <m/>
    <m/>
    <m/>
    <n v="0"/>
    <n v="1025"/>
    <n v="1500"/>
    <s v="N"/>
    <m/>
    <n v="325"/>
    <m/>
    <m/>
    <m/>
    <m/>
    <m/>
    <n v="168889"/>
    <n v="143556"/>
    <n v="0"/>
    <n v="0"/>
    <n v="64000"/>
    <n v="223400"/>
    <n v="287400"/>
    <n v="132535.48800000001"/>
    <n v="88356.992000000013"/>
    <n v="-21122.779792355024"/>
    <n v="-1240.8083630000001"/>
    <n v="30300.329274"/>
    <n v="-3805.9385000000002"/>
    <n v="63970.639500000005"/>
    <n v="0"/>
    <n v="0"/>
    <n v="11472.835075000001"/>
    <n v="0"/>
    <n v="233200"/>
    <n v="67200"/>
    <n v="300400"/>
    <n v="4.5233124565066112E-2"/>
    <n v="0.99970000000000003"/>
    <n v="1.0022"/>
    <n v="0.997"/>
    <n v="0.99519999999999997"/>
    <n v="0.95920000000000005"/>
    <n v="0.94971499999999998"/>
    <n v="0.90586272947472957"/>
    <n v="220800"/>
    <n v="0"/>
    <n v="220800"/>
    <n v="63900"/>
    <n v="284700"/>
    <n v="-1.1638316920322292E-2"/>
    <n v="-1.5625000000000001E-3"/>
    <n v="-9.3945720250521916E-3"/>
  </r>
  <r>
    <n v="2025"/>
    <s v="20120633513    "/>
    <n v="-1.6094379124341003"/>
    <n v="0.2"/>
    <n v="8589"/>
    <s v="2"/>
    <s v="RES"/>
    <s v="MX"/>
    <s v="11"/>
    <s v="259"/>
    <s v="RN"/>
    <x v="4"/>
    <s v="GD"/>
    <n v="10"/>
    <n v="14"/>
    <n v="14"/>
    <n v="2010"/>
    <n v="2010"/>
    <n v="1694"/>
    <m/>
    <m/>
    <m/>
    <m/>
    <n v="0"/>
    <n v="1694"/>
    <n v="2000"/>
    <s v="N"/>
    <m/>
    <n v="462"/>
    <m/>
    <m/>
    <m/>
    <m/>
    <m/>
    <n v="328323"/>
    <n v="305340"/>
    <n v="0"/>
    <n v="0"/>
    <n v="64000"/>
    <n v="314700"/>
    <n v="378700"/>
    <n v="132535.48800000001"/>
    <n v="88356.992000000013"/>
    <n v="-21122.779792355024"/>
    <n v="37154.252388000001"/>
    <n v="30300.329274"/>
    <n v="-1522.3754000000001"/>
    <n v="105723.18372"/>
    <n v="0"/>
    <n v="0"/>
    <n v="16309.076322000001"/>
    <n v="0"/>
    <n v="320500"/>
    <n v="67200"/>
    <n v="387700"/>
    <n v="2.3765513599155005E-2"/>
    <n v="0.99970000000000003"/>
    <n v="0.99819999999999998"/>
    <n v="0.997"/>
    <n v="1.0007999999999999"/>
    <n v="0.99080000000000001"/>
    <n v="0.94971499999999998"/>
    <n v="0.93721518350211364"/>
    <n v="312200"/>
    <n v="0"/>
    <n v="312200"/>
    <n v="63900"/>
    <n v="376100"/>
    <n v="-7.9440737210041308E-3"/>
    <n v="-1.5625000000000001E-3"/>
    <n v="-6.8655928175336677E-3"/>
  </r>
  <r>
    <n v="2025"/>
    <s v="20120633531    "/>
    <n v="-1.6094379124341003"/>
    <n v="0.2"/>
    <n v="8703"/>
    <s v="2"/>
    <s v="RES"/>
    <s v="MX"/>
    <s v="11"/>
    <s v="259"/>
    <s v="CP"/>
    <x v="4"/>
    <s v="VG"/>
    <n v="10"/>
    <n v="14"/>
    <n v="14"/>
    <n v="2010"/>
    <n v="2010"/>
    <n v="1364"/>
    <m/>
    <m/>
    <m/>
    <m/>
    <n v="0"/>
    <n v="1364"/>
    <n v="1500"/>
    <s v="N"/>
    <m/>
    <n v="428"/>
    <m/>
    <m/>
    <m/>
    <m/>
    <m/>
    <n v="278459"/>
    <n v="261751"/>
    <n v="0"/>
    <n v="0"/>
    <n v="64000"/>
    <n v="310900"/>
    <n v="374900"/>
    <n v="132535.48800000001"/>
    <n v="88356.992000000013"/>
    <n v="-21122.779792355024"/>
    <n v="37154.252388000001"/>
    <n v="50438.379078999998"/>
    <n v="-1522.3754000000001"/>
    <n v="85127.758320000008"/>
    <n v="0"/>
    <n v="0"/>
    <n v="15108.841268"/>
    <n v="0"/>
    <n v="318800"/>
    <n v="67200"/>
    <n v="386000"/>
    <n v="2.9607895438783675E-2"/>
    <n v="0.99970000000000003"/>
    <n v="0.99819999999999998"/>
    <n v="1.0007999999999999"/>
    <n v="0.99519999999999997"/>
    <n v="0.99080000000000001"/>
    <n v="0.94971499999999998"/>
    <n v="0.93552311998124726"/>
    <n v="310300"/>
    <n v="0"/>
    <n v="310300"/>
    <n v="63900"/>
    <n v="374200"/>
    <n v="-1.9298809906722419E-3"/>
    <n v="-1.5625000000000001E-3"/>
    <n v="-1.8671645772205922E-3"/>
  </r>
  <r>
    <n v="2025"/>
    <s v="19120124401    "/>
    <n v="-1.6094379124341003"/>
    <n v="0.2"/>
    <n v="8829"/>
    <s v="2"/>
    <s v="RES"/>
    <s v="MX"/>
    <s v="11"/>
    <s v="259"/>
    <s v="CP"/>
    <x v="2"/>
    <s v="GD"/>
    <n v="30"/>
    <n v="31"/>
    <n v="31"/>
    <n v="1993"/>
    <n v="1993"/>
    <n v="864"/>
    <m/>
    <m/>
    <m/>
    <m/>
    <n v="0"/>
    <n v="864"/>
    <n v="1000"/>
    <s v="N"/>
    <m/>
    <n v="336"/>
    <m/>
    <m/>
    <m/>
    <m/>
    <m/>
    <n v="148257"/>
    <n v="127501"/>
    <n v="0"/>
    <n v="0"/>
    <n v="64000"/>
    <n v="214100"/>
    <n v="278100"/>
    <n v="132535.48800000001"/>
    <n v="88356.992000000013"/>
    <n v="-21122.779792355024"/>
    <n v="-1240.8083630000001"/>
    <n v="30300.329274"/>
    <n v="-3370.9740999999999"/>
    <n v="53922.568320000006"/>
    <n v="0"/>
    <n v="0"/>
    <n v="11861.146416000001"/>
    <n v="0"/>
    <n v="224000"/>
    <n v="67200"/>
    <n v="291200"/>
    <n v="4.7105357784969437E-2"/>
    <n v="0.99970000000000003"/>
    <n v="1.0022"/>
    <n v="0.997"/>
    <n v="1"/>
    <n v="0.95920000000000005"/>
    <n v="0.94971499999999998"/>
    <n v="0.91023184231785526"/>
    <n v="212100"/>
    <n v="0"/>
    <n v="212100"/>
    <n v="63900"/>
    <n v="276000"/>
    <n v="-9.3414292386735168E-3"/>
    <n v="-1.5625000000000001E-3"/>
    <n v="-7.551240560949299E-3"/>
  </r>
  <r>
    <n v="2025"/>
    <s v="19120131532    "/>
    <n v="-1.6094379124341003"/>
    <n v="0.2"/>
    <n v="8904"/>
    <s v="2"/>
    <s v="RES"/>
    <s v="MX"/>
    <s v="11"/>
    <s v="259"/>
    <s v="CO"/>
    <x v="4"/>
    <s v="GD"/>
    <n v="20"/>
    <n v="21"/>
    <n v="21"/>
    <n v="2003"/>
    <n v="2003"/>
    <n v="1548"/>
    <m/>
    <m/>
    <m/>
    <m/>
    <n v="0"/>
    <n v="1548"/>
    <n v="2000"/>
    <s v="N"/>
    <m/>
    <n v="420"/>
    <m/>
    <m/>
    <m/>
    <m/>
    <m/>
    <n v="303835"/>
    <n v="276490"/>
    <n v="0"/>
    <n v="0"/>
    <n v="64000"/>
    <n v="289300"/>
    <n v="353300"/>
    <n v="132535.48800000001"/>
    <n v="88356.992000000013"/>
    <n v="-21122.779792355024"/>
    <n v="37154.252388000001"/>
    <n v="30300.329274"/>
    <n v="-2283.5630999999998"/>
    <n v="96611.268240000005"/>
    <n v="0"/>
    <n v="0"/>
    <n v="14826.43302"/>
    <n v="0"/>
    <n v="309100"/>
    <n v="67200"/>
    <n v="376300"/>
    <n v="6.5100481177469569E-2"/>
    <n v="0.99970000000000003"/>
    <n v="0.99819999999999998"/>
    <n v="0.997"/>
    <n v="1.0007999999999999"/>
    <n v="1.0138"/>
    <n v="0.94971499999999998"/>
    <n v="0.95897128889225147"/>
    <n v="303700"/>
    <n v="0"/>
    <n v="303700"/>
    <n v="63900"/>
    <n v="367600"/>
    <n v="4.9775319737296923E-2"/>
    <n v="-1.5625000000000001E-3"/>
    <n v="4.0475516558165864E-2"/>
  </r>
  <r>
    <n v="2025"/>
    <s v="19120114411    "/>
    <n v="-1.6094379124341003"/>
    <n v="0.2"/>
    <m/>
    <s v="2"/>
    <s v="RES"/>
    <s v="MX"/>
    <s v="11"/>
    <s v="259"/>
    <s v="CO"/>
    <x v="2"/>
    <s v="GD"/>
    <n v="40"/>
    <n v="42"/>
    <n v="42"/>
    <n v="1982"/>
    <n v="1982"/>
    <n v="1024"/>
    <n v="384"/>
    <m/>
    <m/>
    <m/>
    <n v="0"/>
    <n v="1408"/>
    <n v="1500"/>
    <s v="N"/>
    <m/>
    <m/>
    <m/>
    <m/>
    <m/>
    <m/>
    <m/>
    <n v="190073"/>
    <n v="152058"/>
    <n v="0"/>
    <n v="0"/>
    <n v="64000"/>
    <n v="218500"/>
    <n v="282500"/>
    <n v="132535.48800000001"/>
    <n v="88356.992000000013"/>
    <n v="-21122.779792355024"/>
    <n v="-1240.8083630000001"/>
    <n v="30300.329274"/>
    <n v="-4567.1261999999997"/>
    <n v="63908.229120000004"/>
    <n v="22878.867072000001"/>
    <n v="0"/>
    <n v="0"/>
    <n v="0"/>
    <n v="243800"/>
    <n v="67200"/>
    <n v="311000"/>
    <n v="0.10088495575221239"/>
    <n v="0.99970000000000003"/>
    <n v="1.0022"/>
    <n v="0.997"/>
    <n v="0.99519999999999997"/>
    <n v="0.95689999999999997"/>
    <n v="0.94971499999999998"/>
    <n v="0.90369062326352023"/>
    <n v="231100"/>
    <n v="0"/>
    <n v="231100"/>
    <n v="63900"/>
    <n v="295000"/>
    <n v="5.7665903890160186E-2"/>
    <n v="-1.5625000000000001E-3"/>
    <n v="4.4247787610619468E-2"/>
  </r>
  <r>
    <n v="2025"/>
    <s v="19120143422    "/>
    <n v="-1.6094379124341003"/>
    <n v="0.2"/>
    <n v="8678"/>
    <s v="2"/>
    <s v="RES"/>
    <s v="MX"/>
    <s v="11"/>
    <s v="259"/>
    <s v="RN"/>
    <x v="5"/>
    <s v="VG"/>
    <n v="20"/>
    <n v="20"/>
    <n v="20"/>
    <n v="2004"/>
    <n v="2004"/>
    <n v="1652"/>
    <m/>
    <m/>
    <m/>
    <m/>
    <n v="0"/>
    <n v="1652"/>
    <n v="2000"/>
    <s v="N"/>
    <m/>
    <n v="576"/>
    <m/>
    <m/>
    <m/>
    <m/>
    <m/>
    <n v="368482"/>
    <n v="339003"/>
    <n v="6214"/>
    <n v="0"/>
    <n v="64000"/>
    <n v="318600"/>
    <n v="382600"/>
    <n v="132535.48800000001"/>
    <n v="88356.992000000013"/>
    <n v="-21122.779792355024"/>
    <n v="32917.849192000001"/>
    <n v="50438.379078999998"/>
    <n v="-2174.8220000000001"/>
    <n v="103101.94776000001"/>
    <n v="0"/>
    <n v="0"/>
    <n v="20333.393856000002"/>
    <n v="6200"/>
    <n v="337200"/>
    <n v="67200"/>
    <n v="410600"/>
    <n v="7.3183481442760059E-2"/>
    <n v="0.99970000000000003"/>
    <n v="1.0019"/>
    <n v="1.0007999999999999"/>
    <n v="1.0007999999999999"/>
    <n v="1.0138"/>
    <n v="0.94971499999999998"/>
    <n v="0.96619448508681682"/>
    <n v="332700"/>
    <n v="5900"/>
    <n v="338600"/>
    <n v="63900"/>
    <n v="402500"/>
    <n v="6.2774639045825489E-2"/>
    <n v="-1.5625000000000001E-3"/>
    <n v="5.2012545739675904E-2"/>
  </r>
  <r>
    <n v="2025"/>
    <s v="19120131508    "/>
    <n v="-1.6094379124341003"/>
    <n v="0.2"/>
    <n v="8673"/>
    <s v="2"/>
    <s v="RES"/>
    <s v="MX"/>
    <s v="11"/>
    <s v="259"/>
    <s v="TD"/>
    <x v="2"/>
    <s v="GD"/>
    <n v="80"/>
    <n v="89"/>
    <n v="53"/>
    <n v="1935"/>
    <n v="1971"/>
    <n v="1539"/>
    <m/>
    <m/>
    <m/>
    <m/>
    <n v="0"/>
    <n v="1539"/>
    <n v="2000"/>
    <s v="N"/>
    <m/>
    <m/>
    <m/>
    <m/>
    <m/>
    <m/>
    <m/>
    <n v="232468"/>
    <n v="160403"/>
    <n v="13143"/>
    <n v="0"/>
    <n v="64000"/>
    <n v="231000"/>
    <n v="295000"/>
    <n v="132535.48800000001"/>
    <n v="88356.992000000013"/>
    <n v="-21122.779792355024"/>
    <n v="-1240.8083630000001"/>
    <n v="30300.329274"/>
    <n v="-5763.2782999999999"/>
    <n v="96049.574820000009"/>
    <n v="0"/>
    <n v="0"/>
    <n v="0"/>
    <n v="13100"/>
    <n v="251900"/>
    <n v="67200"/>
    <n v="332200"/>
    <n v="0.12610169491525425"/>
    <n v="0.99970000000000003"/>
    <n v="1.0022"/>
    <n v="0.997"/>
    <n v="1.0007999999999999"/>
    <n v="1"/>
    <n v="0.94971499999999998"/>
    <n v="0.94970811904890473"/>
    <n v="245200"/>
    <n v="12500"/>
    <n v="257700"/>
    <n v="63900"/>
    <n v="321600"/>
    <n v="0.11558441558441558"/>
    <n v="-1.5625000000000001E-3"/>
    <n v="9.0169491525423723E-2"/>
  </r>
  <r>
    <n v="2025"/>
    <s v="19120142461    "/>
    <n v="-1.6094379124341003"/>
    <n v="0.2"/>
    <n v="8618"/>
    <s v="2"/>
    <s v="RES"/>
    <s v="MX"/>
    <s v="11"/>
    <s v="259"/>
    <s v="TD"/>
    <x v="2"/>
    <s v="AV"/>
    <n v="100"/>
    <n v="104"/>
    <n v="58"/>
    <n v="1920"/>
    <n v="1966"/>
    <n v="1616"/>
    <m/>
    <m/>
    <m/>
    <m/>
    <n v="0"/>
    <n v="1616"/>
    <n v="2000"/>
    <s v="N"/>
    <m/>
    <m/>
    <m/>
    <m/>
    <m/>
    <m/>
    <m/>
    <n v="223513"/>
    <n v="138578"/>
    <n v="12228"/>
    <n v="0"/>
    <n v="64000"/>
    <n v="211600"/>
    <n v="275600"/>
    <n v="132535.48800000001"/>
    <n v="88356.992000000013"/>
    <n v="-21122.779792355024"/>
    <n v="-1240.8083630000001"/>
    <n v="17761.121909000001"/>
    <n v="-6306.9838"/>
    <n v="100855.17408000001"/>
    <n v="0"/>
    <n v="0"/>
    <n v="0"/>
    <n v="12200"/>
    <n v="243600"/>
    <n v="67200"/>
    <n v="323000"/>
    <n v="0.17198838896952104"/>
    <n v="0.99970000000000003"/>
    <n v="1.0022"/>
    <n v="0.99680000000000002"/>
    <n v="1.0007999999999999"/>
    <n v="0.98240000000000005"/>
    <n v="0.94971499999999998"/>
    <n v="0.93280609602201836"/>
    <n v="234700"/>
    <n v="11600"/>
    <n v="246300"/>
    <n v="63900"/>
    <n v="310200"/>
    <n v="0.16398865784499056"/>
    <n v="-1.5625000000000001E-3"/>
    <n v="0.125544267053701"/>
  </r>
  <r>
    <n v="2025"/>
    <s v="19120131453    "/>
    <n v="-1.6094379124341003"/>
    <n v="0.2"/>
    <n v="8887"/>
    <s v="2"/>
    <s v="RES"/>
    <s v="MX"/>
    <s v="11"/>
    <s v="259"/>
    <s v="RN"/>
    <x v="0"/>
    <s v="AV"/>
    <n v="50"/>
    <n v="59"/>
    <n v="48"/>
    <n v="1965"/>
    <n v="1976"/>
    <n v="1278"/>
    <m/>
    <m/>
    <m/>
    <m/>
    <n v="0"/>
    <n v="1278"/>
    <n v="1500"/>
    <s v="N"/>
    <m/>
    <m/>
    <m/>
    <m/>
    <m/>
    <m/>
    <m/>
    <n v="208694"/>
    <n v="150260"/>
    <n v="8401"/>
    <n v="0"/>
    <n v="64000"/>
    <n v="212300"/>
    <n v="276300"/>
    <n v="132535.48800000001"/>
    <n v="88356.992000000013"/>
    <n v="-21122.779792355024"/>
    <n v="24371.765965999999"/>
    <n v="17761.121909000001"/>
    <n v="-5219.5727999999999"/>
    <n v="79760.465640000009"/>
    <n v="0"/>
    <n v="0"/>
    <n v="0"/>
    <n v="8400"/>
    <n v="249200"/>
    <n v="67200"/>
    <n v="324800"/>
    <n v="0.17553384002895403"/>
    <n v="0.99970000000000003"/>
    <n v="0.99199999999999999"/>
    <n v="0.99680000000000002"/>
    <n v="0.99519999999999997"/>
    <n v="1.0470999999999999"/>
    <n v="0.94971499999999998"/>
    <n v="0.9786142283587157"/>
    <n v="246400"/>
    <n v="8000"/>
    <n v="254400"/>
    <n v="63900"/>
    <n v="318300"/>
    <n v="0.19830428638718794"/>
    <n v="-1.5625000000000001E-3"/>
    <n v="0.15200868621064062"/>
  </r>
  <r>
    <n v="2025"/>
    <s v="19133541467    "/>
    <n v="-1.6044503709230613"/>
    <n v="0.20100000000000001"/>
    <n v="8744"/>
    <s v="2"/>
    <s v="RES"/>
    <s v="MX"/>
    <s v="11"/>
    <s v="259"/>
    <s v="CO"/>
    <x v="5"/>
    <s v="EX"/>
    <n v="0"/>
    <n v="3"/>
    <n v="3"/>
    <n v="2021"/>
    <n v="2021"/>
    <n v="2010"/>
    <m/>
    <m/>
    <m/>
    <m/>
    <n v="0"/>
    <n v="2010"/>
    <n v="2500"/>
    <s v="S"/>
    <n v="1"/>
    <n v="664"/>
    <m/>
    <m/>
    <m/>
    <m/>
    <m/>
    <n v="437065"/>
    <n v="423953"/>
    <n v="0"/>
    <n v="0"/>
    <n v="64000"/>
    <n v="347700"/>
    <n v="411700"/>
    <n v="132535.48800000001"/>
    <n v="88356.992000000013"/>
    <n v="-21057.321696563322"/>
    <n v="32917.849192000001"/>
    <n v="47371.278778200001"/>
    <n v="-326.22329999999999"/>
    <n v="125444.86380000001"/>
    <n v="0"/>
    <n v="0"/>
    <n v="23439.884583999999"/>
    <n v="0"/>
    <n v="361400"/>
    <n v="67300"/>
    <n v="428700"/>
    <n v="4.1292203060480932E-2"/>
    <n v="0.99970000000000003"/>
    <n v="1.0019"/>
    <n v="1.0012000000000001"/>
    <n v="1.0008999999999999"/>
    <n v="1.0022"/>
    <n v="0.94971499999999998"/>
    <n v="0.95561641809327347"/>
    <n v="355500"/>
    <n v="0"/>
    <n v="355500"/>
    <n v="63900"/>
    <n v="419400"/>
    <n v="2.2433132010353754E-2"/>
    <n v="-1.5625000000000001E-3"/>
    <n v="1.8702939033276657E-2"/>
  </r>
  <r>
    <n v="2025"/>
    <s v="19133514421    "/>
    <n v="-1.5994875815809322"/>
    <n v="0.20200000000000001"/>
    <n v="8817"/>
    <s v="2"/>
    <s v="RES"/>
    <s v="MX"/>
    <s v="11"/>
    <s v="259"/>
    <s v="CO"/>
    <x v="5"/>
    <s v="EX"/>
    <n v="0"/>
    <n v="3"/>
    <n v="3"/>
    <n v="2021"/>
    <n v="2021"/>
    <n v="1073"/>
    <n v="1331"/>
    <m/>
    <m/>
    <m/>
    <n v="0"/>
    <n v="2404"/>
    <n v="2500"/>
    <s v="N"/>
    <m/>
    <m/>
    <n v="707"/>
    <m/>
    <m/>
    <m/>
    <m/>
    <n v="481946"/>
    <n v="467488"/>
    <n v="0"/>
    <n v="0"/>
    <n v="64000"/>
    <n v="379000"/>
    <n v="443000"/>
    <n v="132535.48800000001"/>
    <n v="88356.992000000013"/>
    <n v="-20992.188456181841"/>
    <n v="32917.849192000001"/>
    <n v="47371.278778200001"/>
    <n v="-326.22329999999999"/>
    <n v="66966.337740000003"/>
    <n v="79301.489772999994"/>
    <n v="0"/>
    <n v="0"/>
    <n v="0"/>
    <n v="358800"/>
    <n v="67400"/>
    <n v="426200"/>
    <n v="-3.7923250564334085E-2"/>
    <n v="0.99970000000000003"/>
    <n v="1.0019"/>
    <n v="1.0012000000000001"/>
    <n v="1.0008999999999999"/>
    <n v="1.0022"/>
    <n v="0.94971499999999998"/>
    <n v="0.95561641809327347"/>
    <n v="352900"/>
    <n v="0"/>
    <n v="352900"/>
    <n v="64000"/>
    <n v="416900"/>
    <n v="-6.886543535620053E-2"/>
    <n v="0"/>
    <n v="-5.8916478555304741E-2"/>
  </r>
  <r>
    <n v="2025"/>
    <s v="19120114467    "/>
    <n v="-1.5702171992808192"/>
    <n v="0.20799999999999999"/>
    <n v="9068"/>
    <s v="2"/>
    <s v="RES"/>
    <s v="MX"/>
    <s v="11"/>
    <s v="259"/>
    <s v="CO"/>
    <x v="5"/>
    <s v="EX"/>
    <n v="0"/>
    <n v="2"/>
    <n v="2"/>
    <n v="2022"/>
    <n v="2022"/>
    <n v="918"/>
    <n v="1296"/>
    <m/>
    <m/>
    <m/>
    <n v="0"/>
    <n v="2214"/>
    <n v="2500"/>
    <s v="S"/>
    <m/>
    <m/>
    <n v="400"/>
    <m/>
    <m/>
    <m/>
    <m/>
    <n v="444317"/>
    <n v="435431"/>
    <n v="0"/>
    <n v="0"/>
    <n v="64600"/>
    <n v="366500"/>
    <n v="431100"/>
    <n v="132535.48800000001"/>
    <n v="88356.992000000013"/>
    <n v="-20608.034563082441"/>
    <n v="32917.849192000001"/>
    <n v="47371.278778200001"/>
    <n v="-217.48220000000001"/>
    <n v="57292.728840000003"/>
    <n v="77216.176368"/>
    <n v="0"/>
    <n v="0"/>
    <n v="0"/>
    <n v="347100"/>
    <n v="67700"/>
    <n v="414800"/>
    <n v="-3.7810252841568082E-2"/>
    <n v="0.99970000000000003"/>
    <n v="1.0019"/>
    <n v="1.0012000000000001"/>
    <n v="1.0008999999999999"/>
    <n v="1.0022"/>
    <n v="0.94971499999999998"/>
    <n v="0.95561641809327347"/>
    <n v="341200"/>
    <n v="0"/>
    <n v="341200"/>
    <n v="64300"/>
    <n v="405500"/>
    <n v="-6.9031377899045024E-2"/>
    <n v="-4.6439628482972135E-3"/>
    <n v="-5.9382973787984225E-2"/>
  </r>
  <r>
    <n v="2025"/>
    <s v="19120141480    "/>
    <n v="-1.5606477482646683"/>
    <n v="0.21"/>
    <n v="9331"/>
    <s v="2"/>
    <s v="RES"/>
    <s v="MX"/>
    <s v="11"/>
    <s v="259"/>
    <s v="CO"/>
    <x v="5"/>
    <s v="VG"/>
    <n v="10"/>
    <n v="19"/>
    <n v="19"/>
    <n v="2005"/>
    <n v="2005"/>
    <n v="1116"/>
    <n v="1116"/>
    <m/>
    <m/>
    <m/>
    <n v="0"/>
    <n v="2232"/>
    <n v="2500"/>
    <s v="S"/>
    <n v="1"/>
    <n v="440"/>
    <m/>
    <m/>
    <m/>
    <m/>
    <m/>
    <n v="449015"/>
    <n v="408604"/>
    <n v="0"/>
    <n v="0"/>
    <n v="64600"/>
    <n v="350000"/>
    <n v="414600"/>
    <n v="132535.48800000001"/>
    <n v="88356.992000000013"/>
    <n v="-20482.442016152701"/>
    <n v="32917.849192000001"/>
    <n v="50438.379078999998"/>
    <n v="-2066.0808999999999"/>
    <n v="69649.984080000009"/>
    <n v="66491.707427999994"/>
    <n v="0"/>
    <n v="15532.453640000002"/>
    <n v="0"/>
    <n v="365500"/>
    <n v="67900"/>
    <n v="433400"/>
    <n v="4.5344910757356485E-2"/>
    <n v="0.99970000000000003"/>
    <n v="1.0019"/>
    <n v="1.0007999999999999"/>
    <n v="1.0008999999999999"/>
    <n v="0.99080000000000001"/>
    <n v="0.94971499999999998"/>
    <n v="0.94436885958806405"/>
    <n v="358100"/>
    <n v="0"/>
    <n v="358100"/>
    <n v="64500"/>
    <n v="422600"/>
    <n v="2.3142857142857142E-2"/>
    <n v="-1.5479876160990713E-3"/>
    <n v="1.929570670525808E-2"/>
  </r>
  <r>
    <n v="2025"/>
    <s v="19120114404    "/>
    <n v="-1.5606477482646683"/>
    <n v="0.21"/>
    <n v="9214"/>
    <s v="2"/>
    <s v="RES"/>
    <s v="MX"/>
    <s v="11"/>
    <s v="259"/>
    <s v="CP"/>
    <x v="6"/>
    <s v="VG"/>
    <n v="10"/>
    <n v="19"/>
    <n v="19"/>
    <n v="2005"/>
    <n v="2005"/>
    <n v="1807"/>
    <m/>
    <m/>
    <m/>
    <m/>
    <n v="0"/>
    <n v="1807"/>
    <n v="2000"/>
    <s v="B"/>
    <n v="1"/>
    <n v="939"/>
    <m/>
    <m/>
    <m/>
    <m/>
    <m/>
    <n v="475549"/>
    <n v="442261"/>
    <n v="0"/>
    <n v="0"/>
    <n v="64600"/>
    <n v="369400"/>
    <n v="434000"/>
    <n v="132535.48800000001"/>
    <n v="88356.992000000013"/>
    <n v="-20482.442016152701"/>
    <n v="39366.494398000003"/>
    <n v="50438.379078999998"/>
    <n v="-2066.0808999999999"/>
    <n v="112775.55666"/>
    <n v="0"/>
    <n v="0"/>
    <n v="33147.668108999998"/>
    <n v="0"/>
    <n v="366200"/>
    <n v="67900"/>
    <n v="434100"/>
    <n v="2.304147465437788E-4"/>
    <n v="0.99970000000000003"/>
    <n v="0.99980000000000002"/>
    <n v="1.0007999999999999"/>
    <n v="1.0007999999999999"/>
    <n v="0.99080000000000001"/>
    <n v="0.94971499999999998"/>
    <n v="0.94229529166319359"/>
    <n v="358500"/>
    <n v="0"/>
    <n v="358500"/>
    <n v="64500"/>
    <n v="423000"/>
    <n v="-2.9507309149972929E-2"/>
    <n v="-1.5479876160990713E-3"/>
    <n v="-2.5345622119815669E-2"/>
  </r>
  <r>
    <n v="2025"/>
    <s v="19120141491    "/>
    <n v="-1.5606477482646683"/>
    <n v="0.21"/>
    <n v="9027"/>
    <s v="2"/>
    <s v="RES"/>
    <s v="MX"/>
    <s v="11"/>
    <s v="259"/>
    <s v="CO"/>
    <x v="5"/>
    <s v="VG"/>
    <n v="10"/>
    <n v="19"/>
    <n v="19"/>
    <n v="2005"/>
    <n v="2005"/>
    <n v="1116"/>
    <n v="1116"/>
    <m/>
    <m/>
    <m/>
    <n v="0"/>
    <n v="2232"/>
    <n v="2500"/>
    <s v="B"/>
    <m/>
    <n v="440"/>
    <m/>
    <m/>
    <m/>
    <m/>
    <m/>
    <n v="439327"/>
    <n v="399788"/>
    <n v="0"/>
    <n v="0"/>
    <n v="64600"/>
    <n v="350000"/>
    <n v="414600"/>
    <n v="132535.48800000001"/>
    <n v="88356.992000000013"/>
    <n v="-20482.442016152701"/>
    <n v="32917.849192000001"/>
    <n v="50438.379078999998"/>
    <n v="-2066.0808999999999"/>
    <n v="69649.984080000009"/>
    <n v="66491.707427999994"/>
    <n v="0"/>
    <n v="15532.453640000002"/>
    <n v="0"/>
    <n v="365500"/>
    <n v="67900"/>
    <n v="433400"/>
    <n v="4.5344910757356485E-2"/>
    <n v="0.99970000000000003"/>
    <n v="1.0019"/>
    <n v="1.0007999999999999"/>
    <n v="1.0008999999999999"/>
    <n v="0.99080000000000001"/>
    <n v="0.94971499999999998"/>
    <n v="0.94436885958806405"/>
    <n v="358100"/>
    <n v="0"/>
    <n v="358100"/>
    <n v="64500"/>
    <n v="422600"/>
    <n v="2.3142857142857142E-2"/>
    <n v="-1.5479876160990713E-3"/>
    <n v="1.929570670525808E-2"/>
  </r>
  <r>
    <n v="2025"/>
    <s v="19120113406    "/>
    <n v="-1.5606477482646683"/>
    <n v="0.21"/>
    <n v="9121"/>
    <s v="2"/>
    <s v="RES"/>
    <s v="MX"/>
    <s v="11"/>
    <s v="259"/>
    <s v="CP"/>
    <x v="4"/>
    <s v="GD"/>
    <n v="20"/>
    <n v="26"/>
    <n v="26"/>
    <n v="1998"/>
    <n v="1998"/>
    <n v="1650"/>
    <m/>
    <m/>
    <m/>
    <m/>
    <n v="0"/>
    <n v="1650"/>
    <n v="2000"/>
    <s v="B"/>
    <m/>
    <n v="528"/>
    <m/>
    <m/>
    <m/>
    <m/>
    <m/>
    <n v="322624"/>
    <n v="287135"/>
    <n v="0"/>
    <n v="0"/>
    <n v="64600"/>
    <n v="298800"/>
    <n v="363400"/>
    <n v="132535.48800000001"/>
    <n v="88356.992000000013"/>
    <n v="-20482.442016152701"/>
    <n v="37154.252388000001"/>
    <n v="30300.329274"/>
    <n v="-2827.2685999999999"/>
    <n v="102977.12700000001"/>
    <n v="0"/>
    <n v="0"/>
    <n v="18638.944368"/>
    <n v="0"/>
    <n v="318800"/>
    <n v="67900"/>
    <n v="386700"/>
    <n v="6.4116675839295548E-2"/>
    <n v="0.99970000000000003"/>
    <n v="0.99819999999999998"/>
    <n v="0.997"/>
    <n v="1.0007999999999999"/>
    <n v="1.0138"/>
    <n v="0.94971499999999998"/>
    <n v="0.95897128889225147"/>
    <n v="313300"/>
    <n v="0"/>
    <n v="313300"/>
    <n v="64500"/>
    <n v="377800"/>
    <n v="4.8527443105756358E-2"/>
    <n v="-1.5479876160990713E-3"/>
    <n v="3.962575674188222E-2"/>
  </r>
  <r>
    <n v="2025"/>
    <s v="19120134449    "/>
    <n v="-1.5606477482646683"/>
    <n v="0.21"/>
    <n v="8951"/>
    <s v="2"/>
    <s v="RES"/>
    <s v="MX"/>
    <s v="11"/>
    <s v="259"/>
    <s v="CP"/>
    <x v="5"/>
    <s v="GD"/>
    <n v="30"/>
    <n v="32"/>
    <n v="32"/>
    <n v="1992"/>
    <n v="1992"/>
    <n v="1861"/>
    <m/>
    <m/>
    <m/>
    <m/>
    <n v="0"/>
    <n v="1861"/>
    <n v="2000"/>
    <s v="B"/>
    <m/>
    <n v="816"/>
    <m/>
    <m/>
    <m/>
    <m/>
    <m/>
    <n v="416324"/>
    <n v="358039"/>
    <n v="0"/>
    <n v="0"/>
    <n v="64600"/>
    <n v="309300"/>
    <n v="373900"/>
    <n v="132535.48800000001"/>
    <n v="88356.992000000013"/>
    <n v="-20482.442016152701"/>
    <n v="32917.849192000001"/>
    <n v="30300.329274"/>
    <n v="-3479.7152000000001"/>
    <n v="116145.71718000001"/>
    <n v="0"/>
    <n v="0"/>
    <n v="28805.641296000002"/>
    <n v="0"/>
    <n v="337200"/>
    <n v="67900"/>
    <n v="405100"/>
    <n v="8.344477132923242E-2"/>
    <n v="0.99970000000000003"/>
    <n v="1.0019"/>
    <n v="0.997"/>
    <n v="1.0007999999999999"/>
    <n v="0.95920000000000005"/>
    <n v="0.94971499999999998"/>
    <n v="0.91068733969717985"/>
    <n v="325400"/>
    <n v="0"/>
    <n v="325400"/>
    <n v="64500"/>
    <n v="389900"/>
    <n v="5.2053022955059813E-2"/>
    <n v="-1.5479876160990713E-3"/>
    <n v="4.2792190425247394E-2"/>
  </r>
  <r>
    <n v="2025"/>
    <s v="19120134442    "/>
    <n v="-1.5606477482646683"/>
    <n v="0.21"/>
    <n v="9067"/>
    <s v="2"/>
    <s v="RES"/>
    <s v="MX"/>
    <s v="11"/>
    <s v="259"/>
    <s v="RN"/>
    <x v="5"/>
    <s v="GD"/>
    <n v="30"/>
    <n v="31"/>
    <n v="31"/>
    <n v="1993"/>
    <n v="1993"/>
    <n v="1773"/>
    <m/>
    <m/>
    <m/>
    <m/>
    <n v="0"/>
    <n v="1773"/>
    <n v="2000"/>
    <s v="B"/>
    <m/>
    <n v="585"/>
    <m/>
    <m/>
    <m/>
    <m/>
    <m/>
    <n v="380689"/>
    <n v="327393"/>
    <n v="0"/>
    <n v="0"/>
    <n v="64600"/>
    <n v="294200"/>
    <n v="358800"/>
    <n v="132535.48800000001"/>
    <n v="88356.992000000013"/>
    <n v="-20482.442016152701"/>
    <n v="32917.849192000001"/>
    <n v="30300.329274"/>
    <n v="-3370.9740999999999"/>
    <n v="110653.60374000001"/>
    <n v="0"/>
    <n v="0"/>
    <n v="20651.103135000001"/>
    <n v="0"/>
    <n v="323700"/>
    <n v="67900"/>
    <n v="391600"/>
    <n v="9.1415830546265328E-2"/>
    <n v="0.99970000000000003"/>
    <n v="1.0019"/>
    <n v="0.997"/>
    <n v="1.0007999999999999"/>
    <n v="0.95920000000000005"/>
    <n v="0.94971499999999998"/>
    <n v="0.91068733969717985"/>
    <n v="311900"/>
    <n v="0"/>
    <n v="311900"/>
    <n v="64500"/>
    <n v="376400"/>
    <n v="6.0163154316791298E-2"/>
    <n v="-1.5479876160990713E-3"/>
    <n v="4.9052396878483832E-2"/>
  </r>
  <r>
    <n v="2025"/>
    <s v="19120134450    "/>
    <n v="-1.5606477482646683"/>
    <n v="0.21"/>
    <n v="9211"/>
    <s v="2"/>
    <s v="RES"/>
    <s v="MX"/>
    <s v="11"/>
    <s v="259"/>
    <s v="CO"/>
    <x v="5"/>
    <s v="GD"/>
    <n v="30"/>
    <n v="30"/>
    <n v="30"/>
    <n v="1994"/>
    <n v="1994"/>
    <n v="2227"/>
    <m/>
    <m/>
    <m/>
    <m/>
    <n v="0"/>
    <n v="2227"/>
    <n v="2500"/>
    <s v="B"/>
    <m/>
    <n v="938"/>
    <m/>
    <m/>
    <m/>
    <m/>
    <m/>
    <n v="485897"/>
    <n v="417871"/>
    <n v="0"/>
    <n v="0"/>
    <n v="64600"/>
    <n v="332500"/>
    <n v="397100"/>
    <n v="132535.48800000001"/>
    <n v="88356.992000000013"/>
    <n v="-20482.442016152701"/>
    <n v="32917.849192000001"/>
    <n v="30300.329274"/>
    <n v="-3262.2330000000002"/>
    <n v="138987.91626"/>
    <n v="0"/>
    <n v="0"/>
    <n v="33112.367078000003"/>
    <n v="0"/>
    <n v="364600"/>
    <n v="67900"/>
    <n v="432500"/>
    <n v="8.9146310752958952E-2"/>
    <n v="0.99970000000000003"/>
    <n v="1.0019"/>
    <n v="0.997"/>
    <n v="1.0008999999999999"/>
    <n v="0.95920000000000005"/>
    <n v="0.94971499999999998"/>
    <n v="0.91077833563439969"/>
    <n v="352800"/>
    <n v="0"/>
    <n v="352800"/>
    <n v="64500"/>
    <n v="417300"/>
    <n v="6.1052631578947365E-2"/>
    <n v="-1.5479876160990713E-3"/>
    <n v="5.0868798791236465E-2"/>
  </r>
  <r>
    <n v="2025"/>
    <s v="19120113407    "/>
    <n v="-1.5606477482646683"/>
    <n v="0.21"/>
    <n v="9120"/>
    <s v="2"/>
    <s v="RES"/>
    <s v="MX"/>
    <s v="11"/>
    <s v="259"/>
    <s v="CP"/>
    <x v="4"/>
    <s v="GD"/>
    <n v="20"/>
    <n v="26"/>
    <n v="26"/>
    <n v="1998"/>
    <n v="1998"/>
    <n v="1650"/>
    <m/>
    <m/>
    <m/>
    <m/>
    <n v="0"/>
    <n v="1650"/>
    <n v="2000"/>
    <s v="B"/>
    <m/>
    <n v="528"/>
    <m/>
    <m/>
    <m/>
    <m/>
    <m/>
    <n v="324101"/>
    <n v="288450"/>
    <n v="0"/>
    <n v="0"/>
    <n v="64600"/>
    <n v="294500"/>
    <n v="359100"/>
    <n v="132535.48800000001"/>
    <n v="88356.992000000013"/>
    <n v="-20482.442016152701"/>
    <n v="37154.252388000001"/>
    <n v="30300.329274"/>
    <n v="-2827.2685999999999"/>
    <n v="102977.12700000001"/>
    <n v="0"/>
    <n v="0"/>
    <n v="18638.944368"/>
    <n v="0"/>
    <n v="318800"/>
    <n v="67900"/>
    <n v="386700"/>
    <n v="7.685881370091896E-2"/>
    <n v="0.99970000000000003"/>
    <n v="0.99819999999999998"/>
    <n v="0.997"/>
    <n v="1.0007999999999999"/>
    <n v="1.0138"/>
    <n v="0.94971499999999998"/>
    <n v="0.95897128889225147"/>
    <n v="313300"/>
    <n v="0"/>
    <n v="313300"/>
    <n v="64500"/>
    <n v="377800"/>
    <n v="6.3837011884550085E-2"/>
    <n v="-1.5479876160990713E-3"/>
    <n v="5.207463102199944E-2"/>
  </r>
  <r>
    <n v="2025"/>
    <s v="19120141505    "/>
    <n v="-1.5606477482646683"/>
    <n v="0.21"/>
    <n v="9169"/>
    <s v="2"/>
    <s v="RES"/>
    <s v="MX"/>
    <s v="11"/>
    <s v="259"/>
    <s v="CO"/>
    <x v="4"/>
    <s v="GD"/>
    <n v="10"/>
    <n v="19"/>
    <n v="19"/>
    <n v="2005"/>
    <n v="2005"/>
    <n v="1040"/>
    <n v="1040"/>
    <m/>
    <m/>
    <m/>
    <n v="0"/>
    <n v="2080"/>
    <n v="2500"/>
    <s v="N"/>
    <m/>
    <n v="440"/>
    <m/>
    <m/>
    <m/>
    <m/>
    <m/>
    <n v="370173"/>
    <n v="336857"/>
    <n v="0"/>
    <n v="0"/>
    <n v="64600"/>
    <n v="335600"/>
    <n v="400200"/>
    <n v="132535.48800000001"/>
    <n v="88356.992000000013"/>
    <n v="-20482.442016152701"/>
    <n v="37154.252388000001"/>
    <n v="30300.329274"/>
    <n v="-2066.0808999999999"/>
    <n v="64906.7952"/>
    <n v="61963.598319999997"/>
    <n v="0"/>
    <n v="15532.453640000002"/>
    <n v="0"/>
    <n v="340300"/>
    <n v="67900"/>
    <n v="408200"/>
    <n v="1.999000499750125E-2"/>
    <n v="0.99970000000000003"/>
    <n v="0.99819999999999998"/>
    <n v="0.997"/>
    <n v="1.0008999999999999"/>
    <n v="0.99080000000000001"/>
    <n v="0.94971499999999998"/>
    <n v="0.93730883010318289"/>
    <n v="332000"/>
    <n v="0"/>
    <n v="332000"/>
    <n v="64500"/>
    <n v="396500"/>
    <n v="-1.0727056019070322E-2"/>
    <n v="-1.5479876160990713E-3"/>
    <n v="-9.2453773113443279E-3"/>
  </r>
  <r>
    <n v="2025"/>
    <s v="19120112480    "/>
    <n v="-1.5606477482646683"/>
    <n v="0.21"/>
    <n v="9049"/>
    <s v="2"/>
    <s v="RES"/>
    <s v="MX"/>
    <s v="11"/>
    <s v="259"/>
    <s v="RN"/>
    <x v="4"/>
    <s v="VG"/>
    <n v="10"/>
    <n v="17"/>
    <n v="17"/>
    <n v="2007"/>
    <n v="2007"/>
    <n v="1738"/>
    <m/>
    <m/>
    <m/>
    <m/>
    <n v="0"/>
    <n v="1738"/>
    <n v="2000"/>
    <s v="N"/>
    <m/>
    <n v="440"/>
    <m/>
    <m/>
    <m/>
    <m/>
    <m/>
    <n v="326765"/>
    <n v="303891"/>
    <n v="0"/>
    <n v="0"/>
    <n v="64600"/>
    <n v="325800"/>
    <n v="390400"/>
    <n v="132535.48800000001"/>
    <n v="88356.992000000013"/>
    <n v="-20482.442016152701"/>
    <n v="37154.252388000001"/>
    <n v="50438.379078999998"/>
    <n v="-1848.5987"/>
    <n v="108469.24044000001"/>
    <n v="0"/>
    <n v="0"/>
    <n v="15532.453640000002"/>
    <n v="0"/>
    <n v="342300"/>
    <n v="67900"/>
    <n v="410200"/>
    <n v="5.0717213114754099E-2"/>
    <n v="0.99970000000000003"/>
    <n v="0.99819999999999998"/>
    <n v="1.0007999999999999"/>
    <n v="1.0007999999999999"/>
    <n v="0.99080000000000001"/>
    <n v="0.94971499999999998"/>
    <n v="0.9407873176017203"/>
    <n v="334400"/>
    <n v="0"/>
    <n v="334400"/>
    <n v="64500"/>
    <n v="398900"/>
    <n v="2.6396562308164517E-2"/>
    <n v="-1.5479876160990713E-3"/>
    <n v="2.1772540983606557E-2"/>
  </r>
  <r>
    <n v="2025"/>
    <s v="19120131537    "/>
    <n v="-1.5606477482646683"/>
    <n v="0.21"/>
    <n v="8993"/>
    <s v="2"/>
    <s v="RES"/>
    <s v="MX"/>
    <s v="11"/>
    <s v="259"/>
    <s v="RN"/>
    <x v="0"/>
    <s v="AV"/>
    <n v="30"/>
    <n v="30"/>
    <n v="30"/>
    <n v="1994"/>
    <n v="1994"/>
    <n v="1424"/>
    <m/>
    <m/>
    <m/>
    <m/>
    <n v="0"/>
    <n v="1424"/>
    <n v="1500"/>
    <s v="N"/>
    <m/>
    <m/>
    <m/>
    <m/>
    <m/>
    <m/>
    <m/>
    <n v="224457"/>
    <n v="190788"/>
    <n v="0"/>
    <n v="0"/>
    <n v="64600"/>
    <n v="237100"/>
    <n v="301700"/>
    <n v="132535.48800000001"/>
    <n v="88356.992000000013"/>
    <n v="-20482.442016152701"/>
    <n v="24371.765965999999"/>
    <n v="17761.121909000001"/>
    <n v="-3262.2330000000002"/>
    <n v="88872.381120000005"/>
    <n v="0"/>
    <n v="0"/>
    <n v="0"/>
    <n v="0"/>
    <n v="260300"/>
    <n v="67900"/>
    <n v="328200"/>
    <n v="8.7835598276433544E-2"/>
    <n v="0.99970000000000003"/>
    <n v="0.99199999999999999"/>
    <n v="0.99680000000000002"/>
    <n v="0.99519999999999997"/>
    <n v="0.95920000000000005"/>
    <n v="0.94971499999999998"/>
    <n v="0.89646334432401886"/>
    <n v="246600"/>
    <n v="0"/>
    <n v="246600"/>
    <n v="64500"/>
    <n v="311100"/>
    <n v="4.006748207507381E-2"/>
    <n v="-1.5479876160990713E-3"/>
    <n v="3.1156778256546239E-2"/>
  </r>
  <r>
    <n v="2025"/>
    <s v="19120131451    "/>
    <n v="-1.5606477482646683"/>
    <n v="0.21"/>
    <n v="9155"/>
    <s v="2"/>
    <s v="RES"/>
    <s v="MX"/>
    <s v="11"/>
    <s v="259"/>
    <s v="RN"/>
    <x v="0"/>
    <s v="GD"/>
    <n v="50"/>
    <n v="59"/>
    <n v="48"/>
    <n v="1965"/>
    <n v="1976"/>
    <n v="1812"/>
    <m/>
    <m/>
    <m/>
    <m/>
    <n v="0"/>
    <n v="1812"/>
    <n v="2000"/>
    <s v="N"/>
    <m/>
    <n v="784"/>
    <m/>
    <m/>
    <m/>
    <m/>
    <m/>
    <n v="309921"/>
    <n v="226242"/>
    <n v="0"/>
    <n v="0"/>
    <n v="64600"/>
    <n v="276600"/>
    <n v="341200"/>
    <n v="132535.48800000001"/>
    <n v="88356.992000000013"/>
    <n v="-20482.442016152701"/>
    <n v="24371.765965999999"/>
    <n v="30300.329274"/>
    <n v="-5219.5727999999999"/>
    <n v="113087.60856000001"/>
    <n v="0"/>
    <n v="0"/>
    <n v="27676.008304000003"/>
    <n v="0"/>
    <n v="322800"/>
    <n v="67900"/>
    <n v="390700"/>
    <n v="0.14507620164126611"/>
    <n v="0.99970000000000003"/>
    <n v="0.99199999999999999"/>
    <n v="0.997"/>
    <n v="1.0007999999999999"/>
    <n v="1.0470999999999999"/>
    <n v="0.94971499999999998"/>
    <n v="0.9843183561010368"/>
    <n v="320700"/>
    <n v="0"/>
    <n v="320700"/>
    <n v="64500"/>
    <n v="385200"/>
    <n v="0.15943600867678959"/>
    <n v="-1.5479876160990713E-3"/>
    <n v="0.12895662368112543"/>
  </r>
  <r>
    <n v="2025"/>
    <s v="19120131401    "/>
    <n v="-1.5606477482646683"/>
    <n v="0.21"/>
    <n v="9215"/>
    <s v="2"/>
    <s v="RES"/>
    <s v="MX"/>
    <s v="11"/>
    <s v="259"/>
    <s v="TD"/>
    <x v="1"/>
    <s v="GD"/>
    <n v="70"/>
    <n v="76"/>
    <n v="51"/>
    <n v="1948"/>
    <n v="1973"/>
    <n v="1248"/>
    <m/>
    <m/>
    <m/>
    <m/>
    <n v="0"/>
    <n v="1248"/>
    <n v="1500"/>
    <s v="N"/>
    <m/>
    <m/>
    <m/>
    <m/>
    <m/>
    <m/>
    <m/>
    <n v="171371"/>
    <n v="121673"/>
    <n v="7015"/>
    <n v="0"/>
    <n v="64600"/>
    <n v="198600"/>
    <n v="263200"/>
    <n v="132535.48800000001"/>
    <n v="88356.992000000013"/>
    <n v="-20482.442016152701"/>
    <n v="0"/>
    <n v="30300.329274"/>
    <n v="-5545.7961000000005"/>
    <n v="77888.154240000003"/>
    <n v="0"/>
    <n v="0"/>
    <n v="0"/>
    <n v="7000"/>
    <n v="235200"/>
    <n v="67900"/>
    <n v="310100"/>
    <n v="0.17819148936170212"/>
    <n v="0.99970000000000003"/>
    <n v="1.0003"/>
    <n v="0.997"/>
    <n v="0.99519999999999997"/>
    <n v="1"/>
    <n v="0.94971499999999998"/>
    <n v="0.94260359516566872"/>
    <n v="227600"/>
    <n v="6700"/>
    <n v="234300"/>
    <n v="64500"/>
    <n v="298800"/>
    <n v="0.1797583081570997"/>
    <n v="-1.5479876160990713E-3"/>
    <n v="0.13525835866261399"/>
  </r>
  <r>
    <n v="2025"/>
    <s v="19120131539    "/>
    <n v="-1.5606477482646683"/>
    <n v="0.21"/>
    <n v="9028"/>
    <s v="2"/>
    <s v="RES"/>
    <s v="MX"/>
    <s v="11"/>
    <s v="259"/>
    <s v="TD"/>
    <x v="1"/>
    <s v="GD"/>
    <n v="80"/>
    <n v="84"/>
    <n v="52"/>
    <n v="1940"/>
    <n v="1972"/>
    <n v="984"/>
    <m/>
    <m/>
    <m/>
    <m/>
    <n v="0"/>
    <n v="984"/>
    <n v="1000"/>
    <s v="N"/>
    <m/>
    <m/>
    <m/>
    <m/>
    <m/>
    <m/>
    <m/>
    <n v="140597"/>
    <n v="98418"/>
    <n v="2514"/>
    <n v="0"/>
    <n v="64600"/>
    <n v="182200"/>
    <n v="246800"/>
    <n v="132535.48800000001"/>
    <n v="88356.992000000013"/>
    <n v="-20482.442016152701"/>
    <n v="0"/>
    <n v="30300.329274"/>
    <n v="-5654.5371999999998"/>
    <n v="61411.813920000001"/>
    <n v="0"/>
    <n v="0"/>
    <n v="0"/>
    <n v="2500"/>
    <n v="218600"/>
    <n v="67900"/>
    <n v="289000"/>
    <n v="0.17098865478119935"/>
    <n v="0.99970000000000003"/>
    <n v="1.0003"/>
    <n v="0.997"/>
    <n v="1"/>
    <n v="1"/>
    <n v="0.94971499999999998"/>
    <n v="0.94714991475650001"/>
    <n v="211600"/>
    <n v="2400"/>
    <n v="214000"/>
    <n v="64500"/>
    <n v="278500"/>
    <n v="0.17453347969264543"/>
    <n v="-1.5479876160990713E-3"/>
    <n v="0.12844408427876824"/>
  </r>
  <r>
    <n v="2025"/>
    <s v="19120131417    "/>
    <n v="-1.5606477482646683"/>
    <n v="0.21"/>
    <n v="9051"/>
    <s v="2"/>
    <s v="RES"/>
    <s v="MX"/>
    <s v="11"/>
    <s v="259"/>
    <s v="TD"/>
    <x v="0"/>
    <s v="AV"/>
    <n v="80"/>
    <n v="84"/>
    <n v="52"/>
    <n v="1940"/>
    <n v="1972"/>
    <n v="1702"/>
    <m/>
    <m/>
    <m/>
    <m/>
    <n v="0"/>
    <n v="1702"/>
    <n v="2000"/>
    <s v="N"/>
    <m/>
    <m/>
    <m/>
    <m/>
    <m/>
    <m/>
    <m/>
    <n v="283519"/>
    <n v="192793"/>
    <n v="0"/>
    <n v="0"/>
    <n v="64600"/>
    <n v="222400"/>
    <n v="287000"/>
    <n v="132535.48800000001"/>
    <n v="88356.992000000013"/>
    <n v="-20482.442016152701"/>
    <n v="24371.765965999999"/>
    <n v="17761.121909000001"/>
    <n v="-5654.5371999999998"/>
    <n v="106222.46676000001"/>
    <n v="0"/>
    <n v="0"/>
    <n v="0"/>
    <n v="0"/>
    <n v="275200"/>
    <n v="67900"/>
    <n v="343100"/>
    <n v="0.19547038327526131"/>
    <n v="0.99970000000000003"/>
    <n v="0.99199999999999999"/>
    <n v="0.99680000000000002"/>
    <n v="1.0007999999999999"/>
    <n v="1"/>
    <n v="0.94971499999999998"/>
    <n v="0.93985378670776309"/>
    <n v="267300"/>
    <n v="0"/>
    <n v="267300"/>
    <n v="64500"/>
    <n v="331800"/>
    <n v="0.20188848920863309"/>
    <n v="-1.5479876160990713E-3"/>
    <n v="0.15609756097560976"/>
  </r>
  <r>
    <n v="2025"/>
    <s v="19120131452    "/>
    <n v="-1.5606477482646683"/>
    <n v="0.21"/>
    <n v="8947"/>
    <s v="2"/>
    <s v="RES"/>
    <s v="MX"/>
    <s v="11"/>
    <s v="259"/>
    <s v="RN"/>
    <x v="0"/>
    <s v="GD"/>
    <n v="60"/>
    <n v="64"/>
    <n v="49"/>
    <n v="1960"/>
    <n v="1975"/>
    <n v="1456"/>
    <m/>
    <m/>
    <m/>
    <m/>
    <n v="0"/>
    <n v="1456"/>
    <n v="1500"/>
    <s v="N"/>
    <m/>
    <m/>
    <m/>
    <m/>
    <m/>
    <m/>
    <m/>
    <n v="232831"/>
    <n v="167638"/>
    <n v="8721"/>
    <n v="0"/>
    <n v="64600"/>
    <n v="232000"/>
    <n v="296600"/>
    <n v="132535.48800000001"/>
    <n v="88356.992000000013"/>
    <n v="-20482.442016152701"/>
    <n v="24371.765965999999"/>
    <n v="30300.329274"/>
    <n v="-5328.3139000000001"/>
    <n v="90869.513279999999"/>
    <n v="0"/>
    <n v="0"/>
    <n v="0"/>
    <n v="8700"/>
    <n v="272700"/>
    <n v="67900"/>
    <n v="349300"/>
    <n v="0.17768037761294672"/>
    <n v="0.99970000000000003"/>
    <n v="0.99199999999999999"/>
    <n v="0.997"/>
    <n v="0.99519999999999997"/>
    <n v="1.0558000000000001"/>
    <n v="0.94971499999999998"/>
    <n v="0.98694318581396157"/>
    <n v="271000"/>
    <n v="8300"/>
    <n v="279300"/>
    <n v="64500"/>
    <n v="343800"/>
    <n v="0.20387931034482759"/>
    <n v="-1.5479876160990713E-3"/>
    <n v="0.15913688469318948"/>
  </r>
  <r>
    <n v="2025"/>
    <s v="19133541458    "/>
    <n v="-1.5371172508544744"/>
    <n v="0.215"/>
    <n v="9386"/>
    <s v="2"/>
    <s v="RES"/>
    <s v="MX"/>
    <s v="11"/>
    <s v="259"/>
    <s v="CO"/>
    <x v="5"/>
    <s v="EX"/>
    <n v="0"/>
    <n v="3"/>
    <n v="3"/>
    <n v="2021"/>
    <n v="2021"/>
    <n v="2026"/>
    <m/>
    <m/>
    <m/>
    <m/>
    <n v="0"/>
    <n v="2026"/>
    <n v="2500"/>
    <s v="S"/>
    <n v="1"/>
    <n v="664"/>
    <m/>
    <m/>
    <m/>
    <m/>
    <m/>
    <n v="440455"/>
    <n v="427241"/>
    <n v="0"/>
    <n v="0"/>
    <n v="65300"/>
    <n v="349000"/>
    <n v="414300"/>
    <n v="132535.48800000001"/>
    <n v="88356.992000000013"/>
    <n v="-20173.620214851646"/>
    <n v="32917.849192000001"/>
    <n v="47371.278778200001"/>
    <n v="-326.22329999999999"/>
    <n v="126443.42988000001"/>
    <n v="0"/>
    <n v="0"/>
    <n v="23439.884583999999"/>
    <n v="0"/>
    <n v="362400"/>
    <n v="68200"/>
    <n v="430600"/>
    <n v="3.9343470914796043E-2"/>
    <n v="0.99970000000000003"/>
    <n v="1.0019"/>
    <n v="1.0012000000000001"/>
    <n v="1.0008999999999999"/>
    <n v="1.0022"/>
    <n v="0.94971499999999998"/>
    <n v="0.95561641809327347"/>
    <n v="356500"/>
    <n v="0"/>
    <n v="356500"/>
    <n v="64800"/>
    <n v="421300"/>
    <n v="2.148997134670487E-2"/>
    <n v="-7.656967840735069E-3"/>
    <n v="1.6895969104513638E-2"/>
  </r>
  <r>
    <n v="2025"/>
    <s v="19133514420    "/>
    <n v="-1.5186835491656363"/>
    <n v="0.219"/>
    <n v="9558"/>
    <s v="2"/>
    <s v="RES"/>
    <s v="MX"/>
    <s v="11"/>
    <s v="259"/>
    <s v="CO"/>
    <x v="5"/>
    <s v="EX"/>
    <n v="0"/>
    <n v="3"/>
    <n v="3"/>
    <n v="2021"/>
    <n v="2021"/>
    <n v="1740"/>
    <m/>
    <m/>
    <m/>
    <m/>
    <n v="0"/>
    <n v="1740"/>
    <n v="2000"/>
    <s v="N"/>
    <m/>
    <n v="450"/>
    <m/>
    <m/>
    <m/>
    <m/>
    <m/>
    <n v="374705"/>
    <n v="363464"/>
    <n v="0"/>
    <n v="0"/>
    <n v="65300"/>
    <n v="323500"/>
    <n v="388800"/>
    <n v="132535.48800000001"/>
    <n v="88356.992000000013"/>
    <n v="-19931.690396669092"/>
    <n v="32917.849192000001"/>
    <n v="47371.278778200001"/>
    <n v="-326.22329999999999"/>
    <n v="108594.06120000001"/>
    <n v="0"/>
    <n v="0"/>
    <n v="15885.463950000001"/>
    <n v="0"/>
    <n v="337000"/>
    <n v="68400"/>
    <n v="405400"/>
    <n v="4.2695473251028807E-2"/>
    <n v="0.99970000000000003"/>
    <n v="1.0019"/>
    <n v="1.0012000000000001"/>
    <n v="1.0007999999999999"/>
    <n v="1.0022"/>
    <n v="0.94971499999999998"/>
    <n v="0.95552094237960661"/>
    <n v="331100"/>
    <n v="0"/>
    <n v="331100"/>
    <n v="65000"/>
    <n v="396100"/>
    <n v="2.349304482225657E-2"/>
    <n v="-4.5941807044410417E-3"/>
    <n v="1.8775720164609055E-2"/>
  </r>
  <r>
    <n v="2025"/>
    <s v="20120633407    "/>
    <n v="-1.5141277326297755"/>
    <n v="0.22"/>
    <n v="9729"/>
    <s v="2"/>
    <s v="RES"/>
    <s v="MX"/>
    <s v="11"/>
    <s v="259"/>
    <s v="CO"/>
    <x v="5"/>
    <s v="VG"/>
    <n v="10"/>
    <n v="15"/>
    <n v="15"/>
    <n v="2009"/>
    <n v="2009"/>
    <n v="1116"/>
    <n v="1116"/>
    <m/>
    <m/>
    <m/>
    <n v="0"/>
    <n v="2232"/>
    <n v="2500"/>
    <s v="S"/>
    <m/>
    <n v="716"/>
    <m/>
    <m/>
    <m/>
    <m/>
    <m/>
    <n v="453102"/>
    <n v="425916"/>
    <n v="0"/>
    <n v="0"/>
    <n v="65300"/>
    <n v="366900"/>
    <n v="432200"/>
    <n v="132535.48800000001"/>
    <n v="88356.992000000013"/>
    <n v="-19871.898398035348"/>
    <n v="32917.849192000001"/>
    <n v="50438.379078999998"/>
    <n v="-1631.1165000000001"/>
    <n v="69649.984080000009"/>
    <n v="66491.707427999994"/>
    <n v="0"/>
    <n v="25275.538196000001"/>
    <n v="0"/>
    <n v="375700"/>
    <n v="68500"/>
    <n v="444200"/>
    <n v="2.7764923646459973E-2"/>
    <n v="0.99970000000000003"/>
    <n v="1.0019"/>
    <n v="1.0007999999999999"/>
    <n v="1.0008999999999999"/>
    <n v="0.99080000000000001"/>
    <n v="0.94971499999999998"/>
    <n v="0.94436885958806405"/>
    <n v="368300"/>
    <n v="0"/>
    <n v="368300"/>
    <n v="65000"/>
    <n v="433300"/>
    <n v="3.8157536113382394E-3"/>
    <n v="-4.5941807044410417E-3"/>
    <n v="2.5451180009254974E-3"/>
  </r>
  <r>
    <n v="2025"/>
    <s v="19120131467    "/>
    <n v="-1.5141277326297755"/>
    <n v="0.22"/>
    <n v="9496"/>
    <s v="2"/>
    <s v="RES"/>
    <s v="MX"/>
    <s v="11"/>
    <s v="259"/>
    <s v="RN"/>
    <x v="0"/>
    <s v="GD"/>
    <n v="50"/>
    <n v="50"/>
    <n v="45"/>
    <n v="1974"/>
    <n v="1979"/>
    <n v="1436"/>
    <m/>
    <m/>
    <m/>
    <m/>
    <n v="0"/>
    <n v="1436"/>
    <n v="1500"/>
    <s v="S"/>
    <m/>
    <m/>
    <m/>
    <m/>
    <m/>
    <m/>
    <m/>
    <n v="231267"/>
    <n v="180388"/>
    <n v="0"/>
    <n v="0"/>
    <n v="65300"/>
    <n v="229300"/>
    <n v="294600"/>
    <n v="132535.48800000001"/>
    <n v="88356.992000000013"/>
    <n v="-19871.898398035348"/>
    <n v="24371.765965999999"/>
    <n v="30300.329274"/>
    <n v="-4893.3495000000003"/>
    <n v="89621.305680000005"/>
    <n v="0"/>
    <n v="0"/>
    <n v="0"/>
    <n v="0"/>
    <n v="271900"/>
    <n v="68500"/>
    <n v="340400"/>
    <n v="0.15546503733876443"/>
    <n v="0.99970000000000003"/>
    <n v="0.99199999999999999"/>
    <n v="0.997"/>
    <n v="0.99519999999999997"/>
    <n v="1.0470999999999999"/>
    <n v="0.94971499999999998"/>
    <n v="0.97881057952812944"/>
    <n v="269100"/>
    <n v="0"/>
    <n v="269100"/>
    <n v="65000"/>
    <n v="334100"/>
    <n v="0.17357174007849979"/>
    <n v="-4.5941807044410417E-3"/>
    <n v="0.13408010862186015"/>
  </r>
  <r>
    <n v="2025"/>
    <s v="19120134437    "/>
    <n v="-1.5141277326297755"/>
    <n v="0.22"/>
    <n v="9576"/>
    <s v="2"/>
    <s v="RES"/>
    <s v="MX"/>
    <s v="11"/>
    <s v="259"/>
    <s v="RN"/>
    <x v="5"/>
    <s v="GD"/>
    <n v="30"/>
    <n v="34"/>
    <n v="34"/>
    <n v="1990"/>
    <n v="1990"/>
    <n v="1575"/>
    <m/>
    <m/>
    <m/>
    <m/>
    <n v="0"/>
    <n v="1575"/>
    <n v="2000"/>
    <s v="B"/>
    <m/>
    <n v="600"/>
    <m/>
    <m/>
    <m/>
    <m/>
    <m/>
    <n v="371359"/>
    <n v="315655"/>
    <n v="0"/>
    <n v="0"/>
    <n v="65300"/>
    <n v="282400"/>
    <n v="347700"/>
    <n v="132535.48800000001"/>
    <n v="88356.992000000013"/>
    <n v="-19871.898398035348"/>
    <n v="32917.849192000001"/>
    <n v="30300.329274"/>
    <n v="-3697.1974"/>
    <n v="98296.348500000007"/>
    <n v="0"/>
    <n v="0"/>
    <n v="21180.618600000002"/>
    <n v="0"/>
    <n v="311500"/>
    <n v="68500"/>
    <n v="380000"/>
    <n v="9.2896174863387984E-2"/>
    <n v="0.99970000000000003"/>
    <n v="1.0019"/>
    <n v="0.997"/>
    <n v="1.0007999999999999"/>
    <n v="0.95920000000000005"/>
    <n v="0.94971499999999998"/>
    <n v="0.91068733969717985"/>
    <n v="299700"/>
    <n v="0"/>
    <n v="299700"/>
    <n v="65000"/>
    <n v="364700"/>
    <n v="6.1260623229461755E-2"/>
    <n v="-4.5941807044410417E-3"/>
    <n v="4.8892723612309459E-2"/>
  </r>
  <r>
    <n v="2025"/>
    <s v="19120134439    "/>
    <n v="-1.5141277326297755"/>
    <n v="0.22"/>
    <n v="9612"/>
    <s v="2"/>
    <s v="RES"/>
    <s v="MX"/>
    <s v="11"/>
    <s v="259"/>
    <s v="RN"/>
    <x v="5"/>
    <s v="GD"/>
    <n v="30"/>
    <n v="34"/>
    <n v="34"/>
    <n v="1990"/>
    <n v="1990"/>
    <n v="1814"/>
    <m/>
    <m/>
    <m/>
    <m/>
    <n v="0"/>
    <n v="1814"/>
    <n v="2000"/>
    <s v="B"/>
    <m/>
    <n v="576"/>
    <m/>
    <m/>
    <m/>
    <m/>
    <m/>
    <n v="406262"/>
    <n v="345323"/>
    <n v="0"/>
    <n v="0"/>
    <n v="65300"/>
    <n v="293100"/>
    <n v="358400"/>
    <n v="132535.48800000001"/>
    <n v="88356.992000000013"/>
    <n v="-19871.898398035348"/>
    <n v="32917.849192000001"/>
    <n v="30300.329274"/>
    <n v="-3697.1974"/>
    <n v="113212.42932000001"/>
    <n v="0"/>
    <n v="0"/>
    <n v="20333.393856000002"/>
    <n v="0"/>
    <n v="325600"/>
    <n v="68500"/>
    <n v="394100"/>
    <n v="9.9609375E-2"/>
    <n v="0.99970000000000003"/>
    <n v="1.0019"/>
    <n v="0.997"/>
    <n v="1.0007999999999999"/>
    <n v="0.95920000000000005"/>
    <n v="0.94971499999999998"/>
    <n v="0.91068733969717985"/>
    <n v="313800"/>
    <n v="0"/>
    <n v="313800"/>
    <n v="65000"/>
    <n v="378800"/>
    <n v="7.0624360286591609E-2"/>
    <n v="-4.5941807044410417E-3"/>
    <n v="5.6919642857142856E-2"/>
  </r>
  <r>
    <n v="2025"/>
    <s v="19120134438    "/>
    <n v="-1.5141277326297755"/>
    <n v="0.22"/>
    <n v="9781"/>
    <s v="2"/>
    <s v="RES"/>
    <s v="MX"/>
    <s v="11"/>
    <s v="259"/>
    <s v="RN"/>
    <x v="4"/>
    <s v="GD"/>
    <n v="40"/>
    <n v="45"/>
    <n v="44"/>
    <n v="1979"/>
    <n v="1980"/>
    <n v="1432"/>
    <m/>
    <m/>
    <m/>
    <m/>
    <n v="0"/>
    <n v="1432"/>
    <n v="1500"/>
    <s v="B"/>
    <m/>
    <n v="528"/>
    <m/>
    <m/>
    <m/>
    <m/>
    <m/>
    <n v="296502"/>
    <n v="234237"/>
    <n v="0"/>
    <n v="0"/>
    <n v="65300"/>
    <n v="267700"/>
    <n v="333000"/>
    <n v="132535.48800000001"/>
    <n v="88356.992000000013"/>
    <n v="-19871.898398035348"/>
    <n v="37154.252388000001"/>
    <n v="30300.329274"/>
    <n v="-4784.6084000000001"/>
    <n v="89371.66416"/>
    <n v="0"/>
    <n v="0"/>
    <n v="18638.944368"/>
    <n v="0"/>
    <n v="303200"/>
    <n v="68500"/>
    <n v="371700"/>
    <n v="0.11621621621621622"/>
    <n v="0.99970000000000003"/>
    <n v="0.99819999999999998"/>
    <n v="0.997"/>
    <n v="0.99519999999999997"/>
    <n v="0.95689999999999997"/>
    <n v="0.94971499999999998"/>
    <n v="0.90008379579090592"/>
    <n v="290000"/>
    <n v="0"/>
    <n v="290000"/>
    <n v="65000"/>
    <n v="355000"/>
    <n v="8.3302203959656332E-2"/>
    <n v="-4.5941807044410417E-3"/>
    <n v="6.6066066066066062E-2"/>
  </r>
  <r>
    <n v="2025"/>
    <s v="19120112453    "/>
    <n v="-1.5141277326297755"/>
    <n v="0.22"/>
    <n v="9729"/>
    <s v="2"/>
    <s v="RES"/>
    <s v="MX"/>
    <s v="11"/>
    <s v="259"/>
    <s v="CO"/>
    <x v="5"/>
    <s v="VG"/>
    <n v="10"/>
    <n v="17"/>
    <n v="17"/>
    <n v="2007"/>
    <n v="2007"/>
    <n v="1116"/>
    <n v="1116"/>
    <m/>
    <m/>
    <m/>
    <n v="0"/>
    <n v="2232"/>
    <n v="2500"/>
    <s v="N"/>
    <m/>
    <n v="440"/>
    <m/>
    <m/>
    <m/>
    <m/>
    <m/>
    <n v="465766"/>
    <n v="433162"/>
    <n v="0"/>
    <n v="0"/>
    <n v="65300"/>
    <n v="373900"/>
    <n v="439200"/>
    <n v="132535.48800000001"/>
    <n v="88356.992000000013"/>
    <n v="-19871.898398035348"/>
    <n v="32917.849192000001"/>
    <n v="50438.379078999998"/>
    <n v="-1848.5987"/>
    <n v="69649.984080000009"/>
    <n v="66491.707427999994"/>
    <n v="0"/>
    <n v="15532.453640000002"/>
    <n v="0"/>
    <n v="365700"/>
    <n v="68500"/>
    <n v="434200"/>
    <n v="-1.1384335154826957E-2"/>
    <n v="0.99970000000000003"/>
    <n v="1.0019"/>
    <n v="1.0007999999999999"/>
    <n v="1.0008999999999999"/>
    <n v="0.99080000000000001"/>
    <n v="0.94971499999999998"/>
    <n v="0.94436885958806405"/>
    <n v="358300"/>
    <n v="0"/>
    <n v="358300"/>
    <n v="65000"/>
    <n v="423300"/>
    <n v="-4.172238566461621E-2"/>
    <n v="-4.5941807044410417E-3"/>
    <n v="-3.6202185792349725E-2"/>
  </r>
  <r>
    <n v="2025"/>
    <s v="19120113499    "/>
    <n v="-1.5141277326297755"/>
    <n v="0.22"/>
    <n v="9726"/>
    <s v="2"/>
    <s v="RES"/>
    <s v="MX"/>
    <s v="11"/>
    <s v="259"/>
    <s v="CO"/>
    <x v="4"/>
    <s v="GD"/>
    <n v="10"/>
    <n v="18"/>
    <n v="18"/>
    <n v="2006"/>
    <n v="2006"/>
    <n v="1092"/>
    <m/>
    <m/>
    <m/>
    <m/>
    <n v="0"/>
    <n v="1092"/>
    <n v="1500"/>
    <s v="N"/>
    <m/>
    <n v="440"/>
    <m/>
    <m/>
    <m/>
    <m/>
    <m/>
    <n v="235640"/>
    <n v="214432"/>
    <n v="0"/>
    <n v="0"/>
    <n v="65300"/>
    <n v="277600"/>
    <n v="342900"/>
    <n v="132535.48800000001"/>
    <n v="88356.992000000013"/>
    <n v="-19871.898398035348"/>
    <n v="37154.252388000001"/>
    <n v="30300.329274"/>
    <n v="-1957.3398"/>
    <n v="68152.13496000001"/>
    <n v="0"/>
    <n v="0"/>
    <n v="15532.453640000002"/>
    <n v="0"/>
    <n v="281700"/>
    <n v="68500"/>
    <n v="350200"/>
    <n v="2.1289005540974047E-2"/>
    <n v="0.99970000000000003"/>
    <n v="0.99819999999999998"/>
    <n v="0.997"/>
    <n v="0.99519999999999997"/>
    <n v="0.99080000000000001"/>
    <n v="0.94971499999999998"/>
    <n v="0.93197097384222971"/>
    <n v="272700"/>
    <n v="0"/>
    <n v="272700"/>
    <n v="65000"/>
    <n v="337700"/>
    <n v="-1.7651296829971182E-2"/>
    <n v="-4.5941807044410417E-3"/>
    <n v="-1.5164771070282881E-2"/>
  </r>
  <r>
    <n v="2025"/>
    <s v="19120144438    "/>
    <n v="-1.5141277326297755"/>
    <n v="0.22"/>
    <n v="9508"/>
    <s v="2"/>
    <s v="RES"/>
    <s v="MX"/>
    <s v="11"/>
    <s v="259"/>
    <s v="RN"/>
    <x v="4"/>
    <s v="GD"/>
    <n v="20"/>
    <n v="20"/>
    <n v="20"/>
    <n v="2004"/>
    <n v="2004"/>
    <n v="1106"/>
    <m/>
    <m/>
    <m/>
    <m/>
    <n v="0"/>
    <n v="1106"/>
    <n v="1500"/>
    <s v="N"/>
    <m/>
    <n v="426"/>
    <m/>
    <m/>
    <m/>
    <m/>
    <m/>
    <n v="242090"/>
    <n v="220302"/>
    <n v="0"/>
    <n v="0"/>
    <n v="65300"/>
    <n v="275900"/>
    <n v="341200"/>
    <n v="132535.48800000001"/>
    <n v="88356.992000000013"/>
    <n v="-19871.898398035348"/>
    <n v="37154.252388000001"/>
    <n v="30300.329274"/>
    <n v="-2174.8220000000001"/>
    <n v="69025.880279999998"/>
    <n v="0"/>
    <n v="0"/>
    <n v="15038.239206"/>
    <n v="0"/>
    <n v="281900"/>
    <n v="68500"/>
    <n v="350400"/>
    <n v="2.6963657678780773E-2"/>
    <n v="0.99970000000000003"/>
    <n v="0.99819999999999998"/>
    <n v="0.997"/>
    <n v="0.99519999999999997"/>
    <n v="1.0138"/>
    <n v="0.94971499999999998"/>
    <n v="0.95360534243162343"/>
    <n v="275700"/>
    <n v="0"/>
    <n v="275700"/>
    <n v="65000"/>
    <n v="340700"/>
    <n v="-7.2490032620514677E-4"/>
    <n v="-4.5941807044410417E-3"/>
    <n v="-1.4654161781946073E-3"/>
  </r>
  <r>
    <n v="2025"/>
    <s v="19120141507    "/>
    <n v="-1.5141277326297755"/>
    <n v="0.22"/>
    <n v="9744"/>
    <s v="2"/>
    <s v="RES"/>
    <s v="MX"/>
    <s v="11"/>
    <s v="259"/>
    <s v="RN"/>
    <x v="4"/>
    <s v="VG"/>
    <n v="10"/>
    <n v="19"/>
    <n v="19"/>
    <n v="2005"/>
    <n v="2005"/>
    <n v="1380"/>
    <m/>
    <m/>
    <m/>
    <m/>
    <n v="0"/>
    <n v="1380"/>
    <n v="1500"/>
    <s v="N"/>
    <m/>
    <n v="428"/>
    <m/>
    <m/>
    <m/>
    <m/>
    <m/>
    <n v="275531"/>
    <n v="250733"/>
    <n v="0"/>
    <n v="0"/>
    <n v="65300"/>
    <n v="306000"/>
    <n v="371300"/>
    <n v="132535.48800000001"/>
    <n v="88356.992000000013"/>
    <n v="-19871.898398035348"/>
    <n v="37154.252388000001"/>
    <n v="50438.379078999998"/>
    <n v="-2066.0808999999999"/>
    <n v="86126.324399999998"/>
    <n v="0"/>
    <n v="0"/>
    <n v="15108.841268"/>
    <n v="0"/>
    <n v="319300"/>
    <n v="68500"/>
    <n v="387800"/>
    <n v="4.4438459466738488E-2"/>
    <n v="0.99970000000000003"/>
    <n v="0.99819999999999998"/>
    <n v="1.0007999999999999"/>
    <n v="0.99519999999999997"/>
    <n v="0.99080000000000001"/>
    <n v="0.94971499999999998"/>
    <n v="0.93552311998124726"/>
    <n v="310800"/>
    <n v="0"/>
    <n v="310800"/>
    <n v="65000"/>
    <n v="375800"/>
    <n v="1.5686274509803921E-2"/>
    <n v="-4.5941807044410417E-3"/>
    <n v="1.2119579854565042E-2"/>
  </r>
  <r>
    <n v="2025"/>
    <s v="19120142497    "/>
    <n v="-1.5141277326297755"/>
    <n v="0.22"/>
    <n v="9778"/>
    <s v="2"/>
    <s v="RES"/>
    <s v="MX"/>
    <s v="11"/>
    <s v="259"/>
    <s v="RN"/>
    <x v="2"/>
    <s v="GD"/>
    <n v="100"/>
    <n v="104"/>
    <n v="33"/>
    <n v="1920"/>
    <n v="1991"/>
    <n v="1430"/>
    <m/>
    <m/>
    <m/>
    <m/>
    <n v="0"/>
    <n v="1430"/>
    <n v="1500"/>
    <s v="N"/>
    <m/>
    <m/>
    <m/>
    <m/>
    <m/>
    <m/>
    <m/>
    <n v="212917"/>
    <n v="180979"/>
    <n v="0"/>
    <n v="0"/>
    <n v="65300"/>
    <n v="225500"/>
    <n v="290800"/>
    <n v="132535.48800000001"/>
    <n v="88356.992000000013"/>
    <n v="-19871.898398035348"/>
    <n v="-1240.8083630000001"/>
    <n v="30300.329274"/>
    <n v="-3588.4563000000003"/>
    <n v="89246.843399999998"/>
    <n v="0"/>
    <n v="0"/>
    <n v="0"/>
    <n v="0"/>
    <n v="247300"/>
    <n v="68500"/>
    <n v="315800"/>
    <n v="8.5969738651994504E-2"/>
    <n v="0.99970000000000003"/>
    <n v="1.0022"/>
    <n v="0.997"/>
    <n v="0.99519999999999997"/>
    <n v="0.98240000000000005"/>
    <n v="0.94971499999999998"/>
    <n v="0.92777267038779632"/>
    <n v="237700"/>
    <n v="0"/>
    <n v="237700"/>
    <n v="65000"/>
    <n v="302700"/>
    <n v="5.4101995565410198E-2"/>
    <n v="-4.5941807044410417E-3"/>
    <n v="4.0921595598349382E-2"/>
  </r>
  <r>
    <n v="2025"/>
    <s v="19120144403    "/>
    <n v="-1.5141277326297755"/>
    <n v="0.22"/>
    <n v="9374"/>
    <s v="2"/>
    <s v="RES"/>
    <s v="MX"/>
    <s v="11"/>
    <s v="259"/>
    <s v="TD"/>
    <x v="1"/>
    <s v="FR"/>
    <n v="70"/>
    <n v="79"/>
    <n v="52"/>
    <n v="1945"/>
    <n v="1972"/>
    <n v="1330"/>
    <m/>
    <m/>
    <m/>
    <m/>
    <n v="0"/>
    <n v="1330"/>
    <n v="1500"/>
    <s v="N"/>
    <m/>
    <n v="299"/>
    <m/>
    <m/>
    <m/>
    <m/>
    <m/>
    <n v="194190"/>
    <n v="128165"/>
    <n v="0"/>
    <n v="0"/>
    <n v="65300"/>
    <n v="193300"/>
    <n v="258600"/>
    <n v="132535.48800000001"/>
    <n v="88356.992000000013"/>
    <n v="-19871.898398035348"/>
    <n v="0"/>
    <n v="0"/>
    <n v="-5654.5371999999998"/>
    <n v="83005.805399999997"/>
    <n v="0"/>
    <n v="0"/>
    <n v="10555.008269"/>
    <n v="0"/>
    <n v="220400"/>
    <n v="68500"/>
    <n v="288900"/>
    <n v="0.11716937354988399"/>
    <n v="0.99970000000000003"/>
    <n v="1.0003"/>
    <n v="1"/>
    <n v="0.99519999999999997"/>
    <n v="1"/>
    <n v="0.94971499999999998"/>
    <n v="0.94543991491039991"/>
    <n v="213200"/>
    <n v="0"/>
    <n v="213200"/>
    <n v="65000"/>
    <n v="278200"/>
    <n v="0.10294878427315055"/>
    <n v="-4.5941807044410417E-3"/>
    <n v="7.5792730085073479E-2"/>
  </r>
  <r>
    <n v="2025"/>
    <s v="19120131462    "/>
    <n v="-1.5141277326297755"/>
    <n v="0.22"/>
    <n v="9590"/>
    <s v="2"/>
    <s v="RES"/>
    <s v="MX"/>
    <s v="11"/>
    <s v="259"/>
    <s v="RN"/>
    <x v="2"/>
    <s v="AV"/>
    <n v="50"/>
    <n v="53"/>
    <n v="46"/>
    <n v="1971"/>
    <n v="1978"/>
    <n v="891"/>
    <m/>
    <m/>
    <m/>
    <m/>
    <n v="0"/>
    <n v="891"/>
    <n v="1000"/>
    <s v="N"/>
    <m/>
    <n v="297"/>
    <m/>
    <m/>
    <m/>
    <m/>
    <m/>
    <n v="170793"/>
    <n v="129803"/>
    <n v="0"/>
    <n v="0"/>
    <n v="65300"/>
    <n v="193800"/>
    <n v="259100"/>
    <n v="132535.48800000001"/>
    <n v="88356.992000000013"/>
    <n v="-19871.898398035348"/>
    <n v="-1240.8083630000001"/>
    <n v="17761.121909000001"/>
    <n v="-5002.0906000000004"/>
    <n v="55607.648580000001"/>
    <n v="0"/>
    <n v="0"/>
    <n v="10484.406207"/>
    <n v="0"/>
    <n v="210100"/>
    <n v="68500"/>
    <n v="278600"/>
    <n v="7.5260517174835964E-2"/>
    <n v="0.99970000000000003"/>
    <n v="1.0022"/>
    <n v="0.99680000000000002"/>
    <n v="1"/>
    <n v="1.0470999999999999"/>
    <n v="0.94971499999999998"/>
    <n v="0.99344512901960136"/>
    <n v="209300"/>
    <n v="0"/>
    <n v="209300"/>
    <n v="65000"/>
    <n v="274300"/>
    <n v="7.9979360165118682E-2"/>
    <n v="-4.5941807044410417E-3"/>
    <n v="5.8664608259359319E-2"/>
  </r>
  <r>
    <n v="2025"/>
    <s v="19120131456    "/>
    <n v="-1.5141277326297755"/>
    <n v="0.22"/>
    <n v="9615"/>
    <s v="2"/>
    <s v="RES"/>
    <s v="MX"/>
    <s v="11"/>
    <s v="259"/>
    <s v="RN"/>
    <x v="0"/>
    <s v="AV"/>
    <n v="40"/>
    <n v="49"/>
    <n v="45"/>
    <n v="1975"/>
    <n v="1979"/>
    <n v="1486"/>
    <m/>
    <m/>
    <m/>
    <m/>
    <n v="0"/>
    <n v="1486"/>
    <n v="1500"/>
    <s v="N"/>
    <m/>
    <n v="312"/>
    <m/>
    <m/>
    <m/>
    <m/>
    <m/>
    <n v="261264"/>
    <n v="201173"/>
    <n v="0"/>
    <n v="0"/>
    <n v="65300"/>
    <n v="235800"/>
    <n v="301100"/>
    <n v="132535.48800000001"/>
    <n v="88356.992000000013"/>
    <n v="-19871.898398035348"/>
    <n v="24371.765965999999"/>
    <n v="17761.121909000001"/>
    <n v="-4893.3495000000003"/>
    <n v="92741.824680000005"/>
    <n v="0"/>
    <n v="0"/>
    <n v="11013.921672"/>
    <n v="0"/>
    <n v="273500"/>
    <n v="68500"/>
    <n v="342000"/>
    <n v="0.13583527067419462"/>
    <n v="0.99970000000000003"/>
    <n v="0.99199999999999999"/>
    <n v="0.99680000000000002"/>
    <n v="0.99519999999999997"/>
    <n v="0.95689999999999997"/>
    <n v="0.94971499999999998"/>
    <n v="0.89431377625485153"/>
    <n v="259500"/>
    <n v="0"/>
    <n v="259500"/>
    <n v="65000"/>
    <n v="324500"/>
    <n v="0.1005089058524173"/>
    <n v="-4.5941807044410417E-3"/>
    <n v="7.7715044835602792E-2"/>
  </r>
  <r>
    <n v="2025"/>
    <s v="19120131464    "/>
    <n v="-1.5141277326297755"/>
    <n v="0.22"/>
    <n v="9535"/>
    <s v="2"/>
    <s v="RES"/>
    <s v="MX"/>
    <s v="11"/>
    <s v="259"/>
    <s v="RN"/>
    <x v="2"/>
    <s v="AV"/>
    <n v="50"/>
    <n v="51"/>
    <n v="46"/>
    <n v="1973"/>
    <n v="1978"/>
    <n v="1050"/>
    <m/>
    <m/>
    <m/>
    <m/>
    <n v="0"/>
    <n v="1050"/>
    <n v="1500"/>
    <s v="N"/>
    <m/>
    <n v="300"/>
    <m/>
    <m/>
    <m/>
    <m/>
    <m/>
    <n v="172506"/>
    <n v="131105"/>
    <n v="0"/>
    <n v="0"/>
    <n v="65300"/>
    <n v="196800"/>
    <n v="262100"/>
    <n v="132535.48800000001"/>
    <n v="88356.992000000013"/>
    <n v="-19871.898398035348"/>
    <n v="-1240.8083630000001"/>
    <n v="17761.121909000001"/>
    <n v="-5002.0906000000004"/>
    <n v="65530.899000000005"/>
    <n v="0"/>
    <n v="0"/>
    <n v="10590.309300000001"/>
    <n v="0"/>
    <n v="220200"/>
    <n v="68500"/>
    <n v="288700"/>
    <n v="0.10148798168637925"/>
    <n v="0.99970000000000003"/>
    <n v="1.0022"/>
    <n v="0.99680000000000002"/>
    <n v="0.99519999999999997"/>
    <n v="1.0470999999999999"/>
    <n v="0.94971499999999998"/>
    <n v="0.98867659240030714"/>
    <n v="218700"/>
    <n v="0"/>
    <n v="218700"/>
    <n v="65000"/>
    <n v="283700"/>
    <n v="0.11128048780487805"/>
    <n v="-4.5941807044410417E-3"/>
    <n v="8.2411293399465846E-2"/>
  </r>
  <r>
    <n v="2025"/>
    <s v="19120131489    "/>
    <n v="-1.5141277326297755"/>
    <n v="0.22"/>
    <n v="9622"/>
    <s v="2"/>
    <s v="RES"/>
    <s v="MX"/>
    <s v="11"/>
    <s v="259"/>
    <s v="RN"/>
    <x v="2"/>
    <s v="GD"/>
    <n v="50"/>
    <n v="50"/>
    <n v="45"/>
    <n v="1974"/>
    <n v="1979"/>
    <n v="1300"/>
    <m/>
    <m/>
    <m/>
    <m/>
    <n v="0"/>
    <n v="1300"/>
    <n v="1500"/>
    <s v="N"/>
    <m/>
    <m/>
    <m/>
    <m/>
    <m/>
    <m/>
    <m/>
    <n v="190395"/>
    <n v="148508"/>
    <n v="4903"/>
    <n v="0"/>
    <n v="65300"/>
    <n v="212600"/>
    <n v="277900"/>
    <n v="132535.48800000001"/>
    <n v="88356.992000000013"/>
    <n v="-19871.898398035348"/>
    <n v="-1240.8083630000001"/>
    <n v="30300.329274"/>
    <n v="-4893.3495000000003"/>
    <n v="81133.494000000006"/>
    <n v="0"/>
    <n v="0"/>
    <n v="0"/>
    <n v="4900"/>
    <n v="237800"/>
    <n v="68500"/>
    <n v="311200"/>
    <n v="0.11982727599856063"/>
    <n v="0.99970000000000003"/>
    <n v="1.0022"/>
    <n v="0.997"/>
    <n v="0.99519999999999997"/>
    <n v="1.0470999999999999"/>
    <n v="0.94971499999999998"/>
    <n v="0.98887496250311624"/>
    <n v="236400"/>
    <n v="4700"/>
    <n v="241100"/>
    <n v="65000"/>
    <n v="306100"/>
    <n v="0.13405456255879586"/>
    <n v="-4.5941807044410417E-3"/>
    <n v="0.10147535084562792"/>
  </r>
  <r>
    <n v="2025"/>
    <s v="19120131484    "/>
    <n v="-1.5141277326297755"/>
    <n v="0.22"/>
    <n v="9369"/>
    <s v="2"/>
    <s v="RES"/>
    <s v="MX"/>
    <s v="11"/>
    <s v="259"/>
    <s v="RN"/>
    <x v="2"/>
    <s v="AV"/>
    <n v="50"/>
    <n v="50"/>
    <n v="45"/>
    <n v="1974"/>
    <n v="1979"/>
    <n v="1458"/>
    <m/>
    <m/>
    <m/>
    <m/>
    <n v="0"/>
    <n v="1458"/>
    <n v="1500"/>
    <s v="N"/>
    <m/>
    <m/>
    <m/>
    <m/>
    <m/>
    <m/>
    <m/>
    <n v="214873"/>
    <n v="165452"/>
    <n v="0"/>
    <n v="0"/>
    <n v="65300"/>
    <n v="204800"/>
    <n v="270100"/>
    <n v="132535.48800000001"/>
    <n v="88356.992000000013"/>
    <n v="-19871.898398035348"/>
    <n v="-1240.8083630000001"/>
    <n v="17761.121909000001"/>
    <n v="-4893.3495000000003"/>
    <n v="90994.334040000002"/>
    <n v="0"/>
    <n v="0"/>
    <n v="0"/>
    <n v="0"/>
    <n v="235200"/>
    <n v="68500"/>
    <n v="303700"/>
    <n v="0.12439837097371344"/>
    <n v="0.99970000000000003"/>
    <n v="1.0022"/>
    <n v="0.99680000000000002"/>
    <n v="0.99519999999999997"/>
    <n v="1.0470999999999999"/>
    <n v="0.94971499999999998"/>
    <n v="0.98867659240030714"/>
    <n v="233700"/>
    <n v="0"/>
    <n v="233700"/>
    <n v="65000"/>
    <n v="298700"/>
    <n v="0.14111328125"/>
    <n v="-4.5941807044410417E-3"/>
    <n v="0.10588670862643465"/>
  </r>
  <r>
    <n v="2025"/>
    <s v="19120131454    "/>
    <n v="-1.5141277326297755"/>
    <n v="0.22"/>
    <n v="9737"/>
    <s v="2"/>
    <s v="RES"/>
    <s v="MX"/>
    <s v="11"/>
    <s v="259"/>
    <s v="RN"/>
    <x v="0"/>
    <s v="GD"/>
    <n v="50"/>
    <n v="56"/>
    <n v="47"/>
    <n v="1968"/>
    <n v="1977"/>
    <n v="1399"/>
    <m/>
    <m/>
    <m/>
    <m/>
    <n v="0"/>
    <n v="1399"/>
    <n v="1500"/>
    <s v="N"/>
    <m/>
    <n v="230"/>
    <m/>
    <m/>
    <m/>
    <m/>
    <m/>
    <n v="247111"/>
    <n v="185333"/>
    <n v="33871"/>
    <n v="0"/>
    <n v="65300"/>
    <n v="266800"/>
    <n v="332100"/>
    <n v="132535.48800000001"/>
    <n v="88356.992000000013"/>
    <n v="-19871.898398035348"/>
    <n v="24371.765965999999"/>
    <n v="30300.329274"/>
    <n v="-5110.8316999999997"/>
    <n v="87312.121620000005"/>
    <n v="0"/>
    <n v="0"/>
    <n v="8119.2371300000004"/>
    <n v="33900"/>
    <n v="277500"/>
    <n v="68500"/>
    <n v="379900"/>
    <n v="0.14393255043661549"/>
    <n v="0.99970000000000003"/>
    <n v="0.99199999999999999"/>
    <n v="0.997"/>
    <n v="0.99519999999999997"/>
    <n v="1.0470999999999999"/>
    <n v="0.94971499999999998"/>
    <n v="0.97881057952812944"/>
    <n v="274700"/>
    <n v="32200"/>
    <n v="306900"/>
    <n v="65000"/>
    <n v="371900"/>
    <n v="0.15029985007496252"/>
    <n v="-4.5941807044410417E-3"/>
    <n v="0.11984342065642879"/>
  </r>
  <r>
    <n v="2025"/>
    <s v="19120131469    "/>
    <n v="-1.5141277326297755"/>
    <n v="0.22"/>
    <n v="9670"/>
    <s v="2"/>
    <s v="RES"/>
    <s v="MX"/>
    <s v="11"/>
    <s v="259"/>
    <s v="RN"/>
    <x v="0"/>
    <s v="AV"/>
    <n v="50"/>
    <n v="51"/>
    <n v="46"/>
    <n v="1973"/>
    <n v="1978"/>
    <n v="1323"/>
    <m/>
    <m/>
    <m/>
    <m/>
    <n v="0"/>
    <n v="1323"/>
    <n v="1500"/>
    <s v="N"/>
    <m/>
    <n v="336"/>
    <m/>
    <m/>
    <m/>
    <m/>
    <m/>
    <n v="223796"/>
    <n v="170085"/>
    <n v="0"/>
    <n v="0"/>
    <n v="65300"/>
    <n v="223700"/>
    <n v="289000"/>
    <n v="132535.48800000001"/>
    <n v="88356.992000000013"/>
    <n v="-19871.898398035348"/>
    <n v="24371.765965999999"/>
    <n v="17761.121909000001"/>
    <n v="-5002.0906000000004"/>
    <n v="82568.932740000004"/>
    <n v="0"/>
    <n v="0"/>
    <n v="11861.146416000001"/>
    <n v="0"/>
    <n v="264100"/>
    <n v="68500"/>
    <n v="332600"/>
    <n v="0.15086505190311419"/>
    <n v="0.99970000000000003"/>
    <n v="0.99199999999999999"/>
    <n v="0.99680000000000002"/>
    <n v="0.99519999999999997"/>
    <n v="1.0470999999999999"/>
    <n v="0.94971499999999998"/>
    <n v="0.9786142283587157"/>
    <n v="261300"/>
    <n v="0"/>
    <n v="261300"/>
    <n v="65000"/>
    <n v="326300"/>
    <n v="0.16808225301743407"/>
    <n v="-4.5941807044410417E-3"/>
    <n v="0.12906574394463668"/>
  </r>
  <r>
    <n v="2025"/>
    <s v="19120124411    "/>
    <n v="-1.5141277326297755"/>
    <n v="0.22"/>
    <n v="9515"/>
    <s v="2"/>
    <s v="RES"/>
    <s v="MX"/>
    <s v="11"/>
    <s v="259"/>
    <s v="CA"/>
    <x v="3"/>
    <s v="FR"/>
    <n v="80"/>
    <n v="86"/>
    <n v="86"/>
    <n v="1938"/>
    <n v="1938"/>
    <n v="1280"/>
    <m/>
    <m/>
    <m/>
    <m/>
    <n v="0"/>
    <n v="1280"/>
    <n v="1500"/>
    <s v="N"/>
    <m/>
    <m/>
    <m/>
    <m/>
    <m/>
    <m/>
    <m/>
    <n v="137279"/>
    <n v="72758"/>
    <n v="0"/>
    <n v="0"/>
    <n v="65300"/>
    <n v="141100"/>
    <n v="206400"/>
    <n v="132535.48800000001"/>
    <n v="88356.992000000013"/>
    <n v="-19871.898398035348"/>
    <n v="-9114.1675108666695"/>
    <n v="0"/>
    <n v="-9351.7345999999998"/>
    <n v="79885.286400000012"/>
    <n v="0"/>
    <n v="0"/>
    <n v="0"/>
    <n v="0"/>
    <n v="194000"/>
    <n v="68500"/>
    <n v="262500"/>
    <n v="0.27180232558139533"/>
    <n v="0.99970000000000003"/>
    <n v="1"/>
    <n v="1"/>
    <n v="0.99519999999999997"/>
    <n v="1"/>
    <n v="0.94971499999999998"/>
    <n v="0.94515636800000002"/>
    <n v="186700"/>
    <n v="0"/>
    <n v="186700"/>
    <n v="65000"/>
    <n v="251700"/>
    <n v="0.32317505315379164"/>
    <n v="-4.5941807044410417E-3"/>
    <n v="0.21947674418604651"/>
  </r>
  <r>
    <n v="2025"/>
    <s v="19120124410    "/>
    <n v="-1.5141277326297755"/>
    <n v="0.22"/>
    <n v="9515"/>
    <s v="2"/>
    <s v="RES"/>
    <s v="MX"/>
    <s v="11"/>
    <s v="259"/>
    <s v="CA"/>
    <x v="7"/>
    <s v="AV"/>
    <n v="100"/>
    <n v="104"/>
    <n v="58"/>
    <n v="1920"/>
    <n v="1966"/>
    <n v="528"/>
    <m/>
    <m/>
    <m/>
    <m/>
    <n v="0"/>
    <n v="528"/>
    <n v="1000"/>
    <s v="N"/>
    <m/>
    <m/>
    <m/>
    <m/>
    <m/>
    <m/>
    <m/>
    <n v="65606"/>
    <n v="40020"/>
    <n v="0"/>
    <n v="0"/>
    <n v="65300"/>
    <n v="111800"/>
    <n v="177100"/>
    <n v="132535.48800000001"/>
    <n v="88356.992000000013"/>
    <n v="-19871.898398035348"/>
    <n v="-18031.051255923801"/>
    <n v="17761.121909000001"/>
    <n v="-6306.9838"/>
    <n v="32952.680639999999"/>
    <n v="0"/>
    <n v="0"/>
    <n v="0"/>
    <n v="0"/>
    <n v="158900"/>
    <n v="68500"/>
    <n v="227400"/>
    <n v="0.28402032749858835"/>
    <n v="0.99970000000000003"/>
    <n v="1"/>
    <n v="0.99680000000000002"/>
    <n v="1"/>
    <n v="0.98240000000000005"/>
    <n v="0.94971499999999998"/>
    <n v="0.93001441594880008"/>
    <n v="149600"/>
    <n v="0"/>
    <n v="149600"/>
    <n v="65000"/>
    <n v="214600"/>
    <n v="0.33810375670840787"/>
    <n v="-4.5941807044410417E-3"/>
    <n v="0.21174477696216826"/>
  </r>
  <r>
    <n v="2025"/>
    <s v="19133541459    "/>
    <n v="-1.5095925774643841"/>
    <n v="0.221"/>
    <n v="9646"/>
    <s v="2"/>
    <s v="RES"/>
    <s v="MX"/>
    <s v="11"/>
    <s v="259"/>
    <s v="CO"/>
    <x v="5"/>
    <s v="EX"/>
    <n v="0"/>
    <n v="3"/>
    <n v="3"/>
    <n v="2021"/>
    <n v="2021"/>
    <n v="2010"/>
    <m/>
    <m/>
    <m/>
    <m/>
    <n v="0"/>
    <n v="2010"/>
    <n v="2500"/>
    <s v="S"/>
    <m/>
    <n v="664"/>
    <m/>
    <m/>
    <m/>
    <m/>
    <m/>
    <n v="437495"/>
    <n v="424370"/>
    <n v="0"/>
    <n v="0"/>
    <n v="65300"/>
    <n v="353200"/>
    <n v="418500"/>
    <n v="132535.48800000001"/>
    <n v="88356.992000000013"/>
    <n v="-19812.377565859944"/>
    <n v="32917.849192000001"/>
    <n v="47371.278778200001"/>
    <n v="-326.22329999999999"/>
    <n v="125444.86380000001"/>
    <n v="0"/>
    <n v="0"/>
    <n v="23439.884583999999"/>
    <n v="0"/>
    <n v="361400"/>
    <n v="68500"/>
    <n v="429900"/>
    <n v="2.7240143369175629E-2"/>
    <n v="0.99970000000000003"/>
    <n v="1.0019"/>
    <n v="1.0012000000000001"/>
    <n v="1.0008999999999999"/>
    <n v="1.0022"/>
    <n v="0.94971499999999998"/>
    <n v="0.95561641809327347"/>
    <n v="355500"/>
    <n v="0"/>
    <n v="355500"/>
    <n v="65100"/>
    <n v="420600"/>
    <n v="6.5118912797281995E-3"/>
    <n v="-3.0627871362940277E-3"/>
    <n v="5.017921146953405E-3"/>
  </r>
  <r>
    <n v="2025"/>
    <s v="19133514419    "/>
    <n v="-1.5095925774643841"/>
    <n v="0.221"/>
    <n v="9619"/>
    <s v="2"/>
    <s v="RES"/>
    <s v="MX"/>
    <s v="11"/>
    <s v="259"/>
    <s v="CO"/>
    <x v="5"/>
    <s v="EX"/>
    <n v="0"/>
    <n v="2"/>
    <n v="2"/>
    <n v="2022"/>
    <n v="2022"/>
    <n v="2010"/>
    <m/>
    <m/>
    <m/>
    <m/>
    <n v="0"/>
    <n v="2010"/>
    <n v="2500"/>
    <s v="S"/>
    <m/>
    <n v="664"/>
    <m/>
    <m/>
    <m/>
    <m/>
    <m/>
    <n v="439033"/>
    <n v="430252"/>
    <n v="0"/>
    <n v="0"/>
    <n v="65300"/>
    <n v="350500"/>
    <n v="415800"/>
    <n v="132535.48800000001"/>
    <n v="88356.992000000013"/>
    <n v="-19812.377565859944"/>
    <n v="32917.849192000001"/>
    <n v="47371.278778200001"/>
    <n v="-217.48220000000001"/>
    <n v="125444.86380000001"/>
    <n v="0"/>
    <n v="0"/>
    <n v="23439.884583999999"/>
    <n v="0"/>
    <n v="361500"/>
    <n v="68500"/>
    <n v="430000"/>
    <n v="3.4151034151034154E-2"/>
    <n v="0.99970000000000003"/>
    <n v="1.0019"/>
    <n v="1.0012000000000001"/>
    <n v="1.0008999999999999"/>
    <n v="1.0022"/>
    <n v="0.94971499999999998"/>
    <n v="0.95561641809327347"/>
    <n v="355600"/>
    <n v="0"/>
    <n v="355600"/>
    <n v="65100"/>
    <n v="420700"/>
    <n v="1.4550641940085592E-2"/>
    <n v="-3.0627871362940277E-3"/>
    <n v="1.1784511784511785E-2"/>
  </r>
  <r>
    <n v="2025"/>
    <s v="19120114510    "/>
    <n v="-1.5095925774643841"/>
    <n v="0.221"/>
    <n v="9614"/>
    <s v="2"/>
    <s v="RES"/>
    <s v="MX"/>
    <s v="11"/>
    <s v="259"/>
    <s v="CO"/>
    <x v="5"/>
    <s v="EX"/>
    <n v="0"/>
    <n v="2"/>
    <n v="2"/>
    <n v="2022"/>
    <n v="2022"/>
    <n v="1842"/>
    <m/>
    <m/>
    <m/>
    <m/>
    <n v="0"/>
    <n v="1842"/>
    <n v="2000"/>
    <s v="N"/>
    <n v="1"/>
    <n v="500"/>
    <m/>
    <m/>
    <m/>
    <m/>
    <m/>
    <n v="404051"/>
    <n v="395970"/>
    <n v="0"/>
    <n v="0"/>
    <n v="65300"/>
    <n v="345600"/>
    <n v="410900"/>
    <n v="132535.48800000001"/>
    <n v="88356.992000000013"/>
    <n v="-19812.377565859944"/>
    <n v="32917.849192000001"/>
    <n v="47371.278778200001"/>
    <n v="-217.48220000000001"/>
    <n v="114959.91996"/>
    <n v="0"/>
    <n v="0"/>
    <n v="17650.515500000001"/>
    <n v="0"/>
    <n v="345200"/>
    <n v="68500"/>
    <n v="413700"/>
    <n v="6.8143100511073255E-3"/>
    <n v="0.99970000000000003"/>
    <n v="1.0019"/>
    <n v="1.0012000000000001"/>
    <n v="1.0007999999999999"/>
    <n v="1.0022"/>
    <n v="0.94971499999999998"/>
    <n v="0.95552094237960661"/>
    <n v="339300"/>
    <n v="0"/>
    <n v="339300"/>
    <n v="65100"/>
    <n v="404400"/>
    <n v="-1.8229166666666668E-2"/>
    <n v="-3.0627871362940277E-3"/>
    <n v="-1.5818934047213434E-2"/>
  </r>
  <r>
    <n v="2025"/>
    <s v="20120634491    "/>
    <n v="-1.5095925774643841"/>
    <n v="0.221"/>
    <n v="9640"/>
    <s v="2"/>
    <s v="RES"/>
    <s v="MX"/>
    <s v="11"/>
    <s v="259"/>
    <s v="CP"/>
    <x v="5"/>
    <s v="EX"/>
    <n v="0"/>
    <n v="4"/>
    <n v="4"/>
    <n v="2020"/>
    <n v="2020"/>
    <n v="2025"/>
    <m/>
    <m/>
    <m/>
    <m/>
    <n v="0"/>
    <n v="2025"/>
    <n v="2500"/>
    <s v="N"/>
    <m/>
    <n v="640"/>
    <m/>
    <m/>
    <m/>
    <m/>
    <m/>
    <n v="440883"/>
    <n v="427657"/>
    <n v="0"/>
    <n v="0"/>
    <n v="65300"/>
    <n v="353200"/>
    <n v="418500"/>
    <n v="132535.48800000001"/>
    <n v="88356.992000000013"/>
    <n v="-19812.377565859944"/>
    <n v="32917.849192000001"/>
    <n v="47371.278778200001"/>
    <n v="-434.96440000000001"/>
    <n v="126381.01950000001"/>
    <n v="0"/>
    <n v="0"/>
    <n v="22592.65984"/>
    <n v="0"/>
    <n v="361400"/>
    <n v="68500"/>
    <n v="429900"/>
    <n v="2.7240143369175629E-2"/>
    <n v="0.99970000000000003"/>
    <n v="1.0019"/>
    <n v="1.0012000000000001"/>
    <n v="1.0008999999999999"/>
    <n v="1.0022"/>
    <n v="0.94971499999999998"/>
    <n v="0.95561641809327347"/>
    <n v="355500"/>
    <n v="0"/>
    <n v="355500"/>
    <n v="65100"/>
    <n v="420600"/>
    <n v="6.5118912797281995E-3"/>
    <n v="-3.0627871362940277E-3"/>
    <n v="5.017921146953405E-3"/>
  </r>
  <r>
    <n v="2025"/>
    <s v="19120114463    "/>
    <n v="-1.487220279709851"/>
    <n v="0.22600000000000001"/>
    <n v="9865"/>
    <s v="2"/>
    <s v="RES"/>
    <s v="MX"/>
    <s v="11"/>
    <s v="259"/>
    <s v="CO"/>
    <x v="5"/>
    <s v="EX"/>
    <n v="0"/>
    <n v="3"/>
    <n v="3"/>
    <n v="2021"/>
    <n v="2021"/>
    <n v="930"/>
    <n v="1296"/>
    <m/>
    <m/>
    <m/>
    <n v="0"/>
    <n v="2226"/>
    <n v="2500"/>
    <s v="B"/>
    <n v="1"/>
    <n v="288"/>
    <n v="480"/>
    <m/>
    <m/>
    <m/>
    <m/>
    <n v="465950"/>
    <n v="451972"/>
    <n v="0"/>
    <n v="0"/>
    <n v="65900"/>
    <n v="370700"/>
    <n v="436600"/>
    <n v="132535.48800000001"/>
    <n v="88356.992000000013"/>
    <n v="-19518.756348621871"/>
    <n v="32917.849192000001"/>
    <n v="47371.278778200001"/>
    <n v="-326.22329999999999"/>
    <n v="58041.653400000003"/>
    <n v="77216.176368"/>
    <n v="0"/>
    <n v="10166.696928000001"/>
    <n v="0"/>
    <n v="357900"/>
    <n v="68800"/>
    <n v="426700"/>
    <n v="-2.2675217590471829E-2"/>
    <n v="0.99970000000000003"/>
    <n v="1.0019"/>
    <n v="1.0012000000000001"/>
    <n v="1.0008999999999999"/>
    <n v="1.0022"/>
    <n v="0.94971499999999998"/>
    <n v="0.95561641809327347"/>
    <n v="352000"/>
    <n v="0"/>
    <n v="352000"/>
    <n v="65400"/>
    <n v="417400"/>
    <n v="-5.0445103857566766E-2"/>
    <n v="-7.5872534142640367E-3"/>
    <n v="-4.3976179569399906E-2"/>
  </r>
  <r>
    <n v="2025"/>
    <s v="20120634535    "/>
    <n v="-1.4740332754278973"/>
    <n v="0.22900000000000001"/>
    <n v="9986"/>
    <s v="2"/>
    <s v="RES"/>
    <s v="MX"/>
    <s v="11"/>
    <s v="259"/>
    <s v="CP"/>
    <x v="4"/>
    <s v="VG"/>
    <n v="0"/>
    <n v="5"/>
    <n v="5"/>
    <n v="2019"/>
    <n v="2019"/>
    <n v="1550"/>
    <m/>
    <m/>
    <m/>
    <m/>
    <n v="0"/>
    <n v="1550"/>
    <n v="2000"/>
    <s v="N"/>
    <m/>
    <n v="420"/>
    <m/>
    <m/>
    <m/>
    <m/>
    <m/>
    <n v="307865"/>
    <n v="295550"/>
    <n v="0"/>
    <n v="0"/>
    <n v="65900"/>
    <n v="330500"/>
    <n v="396400"/>
    <n v="132535.48800000001"/>
    <n v="88356.992000000013"/>
    <n v="-19345.685871397138"/>
    <n v="37154.252388000001"/>
    <n v="50438.379078999998"/>
    <n v="-543.70550000000003"/>
    <n v="96736.089000000007"/>
    <n v="0"/>
    <n v="0"/>
    <n v="14826.43302"/>
    <n v="0"/>
    <n v="331100"/>
    <n v="69000"/>
    <n v="400100"/>
    <n v="9.3340060544904145E-3"/>
    <n v="0.99970000000000003"/>
    <n v="0.99819999999999998"/>
    <n v="1.0007999999999999"/>
    <n v="1.0007999999999999"/>
    <n v="1.0022"/>
    <n v="0.94971499999999998"/>
    <n v="0.95161187898712574"/>
    <n v="324700"/>
    <n v="0"/>
    <n v="324700"/>
    <n v="65500"/>
    <n v="390200"/>
    <n v="-1.7549167927382755E-2"/>
    <n v="-6.0698027314112293E-3"/>
    <n v="-1.5640766902119071E-2"/>
  </r>
  <r>
    <n v="2025"/>
    <s v="19120134434    "/>
    <n v="-1.4696759700589417"/>
    <n v="0.23"/>
    <n v="10210"/>
    <s v="2"/>
    <s v="RES"/>
    <s v="MX"/>
    <s v="11"/>
    <s v="259"/>
    <s v="CP"/>
    <x v="5"/>
    <s v="VG"/>
    <n v="30"/>
    <n v="31"/>
    <n v="31"/>
    <n v="1993"/>
    <n v="1993"/>
    <n v="1743"/>
    <m/>
    <m/>
    <m/>
    <m/>
    <n v="0"/>
    <n v="1743"/>
    <n v="2000"/>
    <s v="B"/>
    <n v="1"/>
    <n v="918"/>
    <m/>
    <m/>
    <m/>
    <m/>
    <m/>
    <n v="442636"/>
    <n v="385093"/>
    <n v="0"/>
    <n v="0"/>
    <n v="65900"/>
    <n v="336900"/>
    <n v="402800"/>
    <n v="132535.48800000001"/>
    <n v="88356.992000000013"/>
    <n v="-19288.499197039939"/>
    <n v="32917.849192000001"/>
    <n v="50438.379078999998"/>
    <n v="-3370.9740999999999"/>
    <n v="108781.29234"/>
    <n v="0"/>
    <n v="0"/>
    <n v="32406.346458"/>
    <n v="0"/>
    <n v="353700"/>
    <n v="69100"/>
    <n v="422800"/>
    <n v="4.9652432969215489E-2"/>
    <n v="0.99970000000000003"/>
    <n v="1.0019"/>
    <n v="1.0007999999999999"/>
    <n v="1.0007999999999999"/>
    <n v="0.95920000000000005"/>
    <n v="0.94971499999999998"/>
    <n v="0.91415836466292633"/>
    <n v="342300"/>
    <n v="0"/>
    <n v="342300"/>
    <n v="65600"/>
    <n v="407900"/>
    <n v="1.6028495102404273E-2"/>
    <n v="-4.552352048558422E-3"/>
    <n v="1.2661370407149951E-2"/>
  </r>
  <r>
    <n v="2025"/>
    <s v="19120134440    "/>
    <n v="-1.4696759700589417"/>
    <n v="0.23"/>
    <n v="10076"/>
    <s v="2"/>
    <s v="RES"/>
    <s v="MX"/>
    <s v="11"/>
    <s v="259"/>
    <s v="CP"/>
    <x v="5"/>
    <s v="GD"/>
    <n v="30"/>
    <n v="33"/>
    <n v="33"/>
    <n v="1991"/>
    <n v="1991"/>
    <n v="2041"/>
    <m/>
    <m/>
    <m/>
    <m/>
    <n v="0"/>
    <n v="2041"/>
    <n v="2500"/>
    <s v="B"/>
    <m/>
    <n v="576"/>
    <m/>
    <m/>
    <m/>
    <m/>
    <m/>
    <n v="461349"/>
    <n v="392147"/>
    <n v="0"/>
    <n v="0"/>
    <n v="65900"/>
    <n v="305100"/>
    <n v="371000"/>
    <n v="132535.48800000001"/>
    <n v="88356.992000000013"/>
    <n v="-19288.499197039939"/>
    <n v="32917.849192000001"/>
    <n v="30300.329274"/>
    <n v="-3588.4563000000003"/>
    <n v="127379.58558000001"/>
    <n v="0"/>
    <n v="0"/>
    <n v="20333.393856000002"/>
    <n v="0"/>
    <n v="339900"/>
    <n v="69100"/>
    <n v="409000"/>
    <n v="0.10242587601078167"/>
    <n v="0.99970000000000003"/>
    <n v="1.0019"/>
    <n v="0.997"/>
    <n v="1.0008999999999999"/>
    <n v="0.95920000000000005"/>
    <n v="0.94971499999999998"/>
    <n v="0.91077833563439969"/>
    <n v="328100"/>
    <n v="0"/>
    <n v="328100"/>
    <n v="65600"/>
    <n v="393700"/>
    <n v="7.5385119632907241E-2"/>
    <n v="-4.552352048558422E-3"/>
    <n v="6.1185983827493261E-2"/>
  </r>
  <r>
    <n v="2025"/>
    <s v="19120142510    "/>
    <n v="-1.4696759700589417"/>
    <n v="0.23"/>
    <n v="10008"/>
    <s v="2"/>
    <s v="RES"/>
    <s v="MX"/>
    <s v="11"/>
    <s v="259"/>
    <s v="TD"/>
    <x v="1"/>
    <s v="AV"/>
    <n v="80"/>
    <n v="83"/>
    <n v="52"/>
    <n v="1941"/>
    <n v="1972"/>
    <n v="968"/>
    <m/>
    <n v="100"/>
    <m/>
    <m/>
    <n v="100"/>
    <n v="968"/>
    <n v="1000"/>
    <s v="N"/>
    <m/>
    <m/>
    <m/>
    <m/>
    <m/>
    <m/>
    <m/>
    <n v="142489"/>
    <n v="96893"/>
    <n v="10254"/>
    <n v="0"/>
    <n v="65900"/>
    <n v="171300"/>
    <n v="237200"/>
    <n v="132535.48800000001"/>
    <n v="88356.992000000013"/>
    <n v="-19288.499197039939"/>
    <n v="0"/>
    <n v="17761.121909000001"/>
    <n v="-5654.5371999999998"/>
    <n v="60413.247840000004"/>
    <n v="0"/>
    <n v="6258.6495999999997"/>
    <n v="0"/>
    <n v="10300"/>
    <n v="211300"/>
    <n v="69100"/>
    <n v="290700"/>
    <n v="0.22554806070826308"/>
    <n v="0.99970000000000003"/>
    <n v="1.0003"/>
    <n v="0.99680000000000002"/>
    <n v="1"/>
    <n v="1"/>
    <n v="0.94971499999999998"/>
    <n v="0.94695991477359998"/>
    <n v="204300"/>
    <n v="9700"/>
    <n v="214000"/>
    <n v="65600"/>
    <n v="279600"/>
    <n v="0.24927028604786924"/>
    <n v="-4.552352048558422E-3"/>
    <n v="0.17875210792580101"/>
  </r>
  <r>
    <n v="2025"/>
    <s v="19120113042    "/>
    <n v="-1.4696759700589417"/>
    <n v="0.23"/>
    <n v="10215"/>
    <s v="2"/>
    <s v="RES"/>
    <s v="MX"/>
    <s v="11"/>
    <s v="259"/>
    <s v="CO"/>
    <x v="0"/>
    <s v="GD"/>
    <n v="110"/>
    <n v="114"/>
    <n v="66"/>
    <n v="1910"/>
    <n v="1958"/>
    <n v="1341"/>
    <n v="648"/>
    <n v="144"/>
    <m/>
    <m/>
    <n v="144"/>
    <n v="1989"/>
    <n v="2000"/>
    <s v="N"/>
    <m/>
    <m/>
    <m/>
    <m/>
    <m/>
    <m/>
    <m/>
    <n v="293097"/>
    <n v="167065"/>
    <n v="28507"/>
    <n v="0"/>
    <n v="65900"/>
    <n v="270400"/>
    <n v="336300"/>
    <n v="132535.48800000001"/>
    <n v="88356.992000000013"/>
    <n v="-19288.499197039939"/>
    <n v="24371.765965999999"/>
    <n v="30300.329274"/>
    <n v="-7176.9126000000006"/>
    <n v="83692.31958000001"/>
    <n v="38608.088184"/>
    <n v="9012.4554239999998"/>
    <n v="0"/>
    <n v="28500"/>
    <n v="311300"/>
    <n v="69100"/>
    <n v="408900"/>
    <n v="0.21587867975022301"/>
    <n v="0.99970000000000003"/>
    <n v="0.99199999999999999"/>
    <n v="0.997"/>
    <n v="1.0007999999999999"/>
    <n v="1"/>
    <n v="0.94971499999999998"/>
    <n v="0.9400423609025278"/>
    <n v="303400"/>
    <n v="27100"/>
    <n v="330500"/>
    <n v="65600"/>
    <n v="396100"/>
    <n v="0.22226331360946747"/>
    <n v="-4.552352048558422E-3"/>
    <n v="0.17781742491822777"/>
  </r>
  <r>
    <n v="2025"/>
    <s v="20120634537    "/>
    <n v="-1.4696759700589417"/>
    <n v="0.23"/>
    <n v="10030"/>
    <s v="2"/>
    <s v="RES"/>
    <s v="MX"/>
    <s v="11"/>
    <s v="259"/>
    <s v="CP"/>
    <x v="4"/>
    <s v="VG"/>
    <n v="0"/>
    <n v="5"/>
    <n v="5"/>
    <n v="2019"/>
    <n v="2019"/>
    <n v="1102"/>
    <n v="1360"/>
    <m/>
    <m/>
    <m/>
    <n v="0"/>
    <n v="2462"/>
    <n v="2500"/>
    <s v="N"/>
    <m/>
    <m/>
    <n v="520"/>
    <m/>
    <m/>
    <m/>
    <m/>
    <n v="420707"/>
    <n v="403879"/>
    <n v="0"/>
    <n v="0"/>
    <n v="65900"/>
    <n v="394500"/>
    <n v="460400"/>
    <n v="132535.48800000001"/>
    <n v="88356.992000000013"/>
    <n v="-19288.499197039939"/>
    <n v="37154.252388000001"/>
    <n v="50438.379078999998"/>
    <n v="-543.70550000000003"/>
    <n v="68776.238760000007"/>
    <n v="81029.320879999999"/>
    <n v="0"/>
    <n v="0"/>
    <n v="0"/>
    <n v="369400"/>
    <n v="69100"/>
    <n v="438500"/>
    <n v="-4.7567332754126848E-2"/>
    <n v="0.99970000000000003"/>
    <n v="0.99819999999999998"/>
    <n v="1.0007999999999999"/>
    <n v="1.0008999999999999"/>
    <n v="1.0022"/>
    <n v="0.94971499999999998"/>
    <n v="0.95170696410692857"/>
    <n v="363000"/>
    <n v="0"/>
    <n v="363000"/>
    <n v="65600"/>
    <n v="428600"/>
    <n v="-7.9847908745247151E-2"/>
    <n v="-4.552352048558422E-3"/>
    <n v="-6.9070373588184186E-2"/>
  </r>
  <r>
    <n v="2025"/>
    <s v="19120113560    "/>
    <n v="-1.4696759700589417"/>
    <n v="0.23"/>
    <n v="9835"/>
    <s v="2"/>
    <s v="RES"/>
    <s v="MX"/>
    <s v="11"/>
    <s v="259"/>
    <s v="CO"/>
    <x v="5"/>
    <s v="VG"/>
    <n v="10"/>
    <n v="18"/>
    <n v="18"/>
    <n v="2006"/>
    <n v="2006"/>
    <n v="1158"/>
    <n v="1332"/>
    <m/>
    <m/>
    <m/>
    <n v="0"/>
    <n v="2490"/>
    <n v="2500"/>
    <s v="N"/>
    <m/>
    <m/>
    <n v="502"/>
    <m/>
    <m/>
    <m/>
    <m/>
    <n v="489457"/>
    <n v="450300"/>
    <n v="0"/>
    <n v="0"/>
    <n v="65900"/>
    <n v="368200"/>
    <n v="434100"/>
    <n v="132535.48800000001"/>
    <n v="88356.992000000013"/>
    <n v="-19288.499197039939"/>
    <n v="32917.849192000001"/>
    <n v="50438.379078999998"/>
    <n v="-1957.3398"/>
    <n v="72271.22004"/>
    <n v="79361.070156000002"/>
    <n v="0"/>
    <n v="0"/>
    <n v="0"/>
    <n v="365600"/>
    <n v="69100"/>
    <n v="434700"/>
    <n v="1.38217000691085E-3"/>
    <n v="0.99970000000000003"/>
    <n v="1.0019"/>
    <n v="1.0007999999999999"/>
    <n v="1.0008999999999999"/>
    <n v="0.99080000000000001"/>
    <n v="0.94971499999999998"/>
    <n v="0.94436885958806405"/>
    <n v="358200"/>
    <n v="0"/>
    <n v="358200"/>
    <n v="65600"/>
    <n v="423800"/>
    <n v="-2.7159152634437807E-2"/>
    <n v="-4.552352048558422E-3"/>
    <n v="-2.3727251785302925E-2"/>
  </r>
  <r>
    <n v="2025"/>
    <s v="19120113408    "/>
    <n v="-1.4696759700589417"/>
    <n v="0.23"/>
    <n v="9807"/>
    <s v="2"/>
    <s v="RES"/>
    <s v="MX"/>
    <s v="11"/>
    <s v="259"/>
    <s v="CP"/>
    <x v="4"/>
    <s v="AV"/>
    <n v="20"/>
    <n v="27"/>
    <n v="27"/>
    <n v="1997"/>
    <n v="1997"/>
    <n v="1776"/>
    <m/>
    <m/>
    <m/>
    <m/>
    <n v="0"/>
    <n v="1776"/>
    <n v="2000"/>
    <s v="N"/>
    <m/>
    <n v="624"/>
    <m/>
    <m/>
    <m/>
    <m/>
    <m/>
    <n v="350789"/>
    <n v="308694"/>
    <n v="2681"/>
    <n v="0"/>
    <n v="65900"/>
    <n v="320100"/>
    <n v="386000"/>
    <n v="132535.48800000001"/>
    <n v="88356.992000000013"/>
    <n v="-19288.499197039939"/>
    <n v="37154.252388000001"/>
    <n v="17761.121909000001"/>
    <n v="-2936.0097000000001"/>
    <n v="110840.83488000001"/>
    <n v="0"/>
    <n v="0"/>
    <n v="22027.843344000001"/>
    <n v="2700"/>
    <n v="317400"/>
    <n v="69100"/>
    <n v="389200"/>
    <n v="8.2901554404145074E-3"/>
    <n v="0.99970000000000003"/>
    <n v="0.99819999999999998"/>
    <n v="0.99680000000000002"/>
    <n v="1.0007999999999999"/>
    <n v="1.0138"/>
    <n v="0.94971499999999998"/>
    <n v="0.95877891752035749"/>
    <n v="311900"/>
    <n v="2500"/>
    <n v="314400"/>
    <n v="65600"/>
    <n v="380000"/>
    <n v="-1.780693533270853E-2"/>
    <n v="-4.552352048558422E-3"/>
    <n v="-1.5544041450777202E-2"/>
  </r>
  <r>
    <n v="2025"/>
    <s v="19120112484    "/>
    <n v="-1.4696759700589417"/>
    <n v="0.23"/>
    <n v="9938"/>
    <s v="2"/>
    <s v="RES"/>
    <s v="MX"/>
    <s v="11"/>
    <s v="259"/>
    <s v="RN"/>
    <x v="4"/>
    <s v="GD"/>
    <n v="10"/>
    <n v="17"/>
    <n v="17"/>
    <n v="2007"/>
    <n v="2007"/>
    <n v="1076"/>
    <m/>
    <m/>
    <m/>
    <m/>
    <n v="0"/>
    <n v="1076"/>
    <n v="1500"/>
    <s v="N"/>
    <m/>
    <n v="440"/>
    <m/>
    <m/>
    <m/>
    <m/>
    <m/>
    <n v="227876"/>
    <n v="209646"/>
    <n v="0"/>
    <n v="0"/>
    <n v="65900"/>
    <n v="275300"/>
    <n v="341200"/>
    <n v="132535.48800000001"/>
    <n v="88356.992000000013"/>
    <n v="-19288.499197039939"/>
    <n v="37154.252388000001"/>
    <n v="30300.329274"/>
    <n v="-1848.5987"/>
    <n v="67153.568880000006"/>
    <n v="0"/>
    <n v="0"/>
    <n v="15532.453640000002"/>
    <n v="0"/>
    <n v="280800"/>
    <n v="69100"/>
    <n v="349900"/>
    <n v="2.5498241500586168E-2"/>
    <n v="0.99970000000000003"/>
    <n v="0.99819999999999998"/>
    <n v="0.997"/>
    <n v="0.99519999999999997"/>
    <n v="0.99080000000000001"/>
    <n v="0.94971499999999998"/>
    <n v="0.93197097384222971"/>
    <n v="271800"/>
    <n v="0"/>
    <n v="271800"/>
    <n v="65600"/>
    <n v="337400"/>
    <n v="-1.2713403559752997E-2"/>
    <n v="-4.552352048558422E-3"/>
    <n v="-1.1137162954279016E-2"/>
  </r>
  <r>
    <n v="2025"/>
    <s v="20120634534    "/>
    <n v="-1.4696759700589417"/>
    <n v="0.23"/>
    <n v="10020"/>
    <s v="2"/>
    <s v="RES"/>
    <s v="MX"/>
    <s v="11"/>
    <s v="259"/>
    <s v="CP"/>
    <x v="4"/>
    <s v="EX"/>
    <n v="0"/>
    <n v="4"/>
    <n v="4"/>
    <n v="2020"/>
    <n v="2020"/>
    <n v="1550"/>
    <m/>
    <m/>
    <m/>
    <m/>
    <n v="0"/>
    <n v="1550"/>
    <n v="2000"/>
    <s v="N"/>
    <m/>
    <n v="420"/>
    <m/>
    <m/>
    <m/>
    <m/>
    <m/>
    <n v="302851"/>
    <n v="293765"/>
    <n v="0"/>
    <n v="0"/>
    <n v="65900"/>
    <n v="316900"/>
    <n v="382800"/>
    <n v="132535.48800000001"/>
    <n v="88356.992000000013"/>
    <n v="-19288.499197039939"/>
    <n v="37154.252388000001"/>
    <n v="47371.278778200001"/>
    <n v="-434.96440000000001"/>
    <n v="96736.089000000007"/>
    <n v="0"/>
    <n v="0"/>
    <n v="14826.43302"/>
    <n v="0"/>
    <n v="328200"/>
    <n v="69100"/>
    <n v="397300"/>
    <n v="3.787878787878788E-2"/>
    <n v="0.99970000000000003"/>
    <n v="0.99819999999999998"/>
    <n v="1.0012000000000001"/>
    <n v="1.0007999999999999"/>
    <n v="1.0022"/>
    <n v="0.94971499999999998"/>
    <n v="0.95199221946633727"/>
    <n v="321800"/>
    <n v="0"/>
    <n v="321800"/>
    <n v="65600"/>
    <n v="387400"/>
    <n v="1.5462290943515304E-2"/>
    <n v="-4.552352048558422E-3"/>
    <n v="1.2016718913270637E-2"/>
  </r>
  <r>
    <n v="2025"/>
    <s v="20120634415    "/>
    <n v="-1.4696759700589417"/>
    <n v="0.23"/>
    <n v="9884"/>
    <s v="2"/>
    <s v="RES"/>
    <s v="MX"/>
    <s v="11"/>
    <s v="259"/>
    <s v="CP"/>
    <x v="5"/>
    <s v="VG"/>
    <n v="10"/>
    <n v="11"/>
    <n v="11"/>
    <n v="2013"/>
    <n v="2013"/>
    <n v="1593"/>
    <n v="1252"/>
    <m/>
    <m/>
    <m/>
    <n v="0"/>
    <n v="2845"/>
    <n v="3000"/>
    <s v="N"/>
    <n v="1"/>
    <n v="706"/>
    <m/>
    <m/>
    <m/>
    <m/>
    <m/>
    <n v="575083"/>
    <n v="546329"/>
    <n v="0"/>
    <n v="0"/>
    <n v="65900"/>
    <n v="400400"/>
    <n v="466300"/>
    <n v="132535.48800000001"/>
    <n v="88356.992000000013"/>
    <n v="-19288.499197039939"/>
    <n v="32917.849192000001"/>
    <n v="50438.379078999998"/>
    <n v="-1196.1521"/>
    <n v="99419.735339999999"/>
    <n v="74594.639515999996"/>
    <n v="0"/>
    <n v="24922.527886"/>
    <n v="0"/>
    <n v="413600"/>
    <n v="69100"/>
    <n v="482700"/>
    <n v="3.5170491100150116E-2"/>
    <n v="0.99970000000000003"/>
    <n v="1.0019"/>
    <n v="1.0007999999999999"/>
    <n v="1.0099"/>
    <n v="0.99080000000000001"/>
    <n v="0.94971499999999998"/>
    <n v="0.95286053681485272"/>
    <n v="407400"/>
    <n v="0"/>
    <n v="407400"/>
    <n v="65600"/>
    <n v="473000"/>
    <n v="1.7482517482517484E-2"/>
    <n v="-4.552352048558422E-3"/>
    <n v="1.4368432339695475E-2"/>
  </r>
  <r>
    <n v="2025"/>
    <s v="19120134446    "/>
    <n v="-1.4696759700589417"/>
    <n v="0.23"/>
    <n v="9822"/>
    <s v="2"/>
    <s v="RES"/>
    <s v="MX"/>
    <s v="11"/>
    <s v="259"/>
    <s v="TD"/>
    <x v="2"/>
    <s v="AV"/>
    <n v="100"/>
    <n v="104"/>
    <n v="58"/>
    <n v="1920"/>
    <n v="1966"/>
    <n v="1010"/>
    <m/>
    <m/>
    <m/>
    <m/>
    <n v="0"/>
    <n v="1010"/>
    <n v="1500"/>
    <s v="N"/>
    <m/>
    <m/>
    <m/>
    <m/>
    <m/>
    <m/>
    <m/>
    <n v="153988"/>
    <n v="95473"/>
    <n v="0"/>
    <n v="0"/>
    <n v="65900"/>
    <n v="171200"/>
    <n v="237100"/>
    <n v="132535.48800000001"/>
    <n v="88356.992000000013"/>
    <n v="-19288.499197039939"/>
    <n v="-1240.8083630000001"/>
    <n v="17761.121909000001"/>
    <n v="-6306.9838"/>
    <n v="63034.483800000002"/>
    <n v="0"/>
    <n v="0"/>
    <n v="0"/>
    <n v="0"/>
    <n v="205800"/>
    <n v="69100"/>
    <n v="274900"/>
    <n v="0.15942640236187264"/>
    <n v="0.99970000000000003"/>
    <n v="1.0022"/>
    <n v="0.99680000000000002"/>
    <n v="0.99519999999999997"/>
    <n v="0.98240000000000005"/>
    <n v="0.94971499999999998"/>
    <n v="0.92758655751510066"/>
    <n v="196200"/>
    <n v="0"/>
    <n v="196200"/>
    <n v="65600"/>
    <n v="261800"/>
    <n v="0.14602803738317757"/>
    <n v="-4.552352048558422E-3"/>
    <n v="0.10417545339519191"/>
  </r>
  <r>
    <n v="2025"/>
    <s v="19120131468    "/>
    <n v="-1.4696759700589417"/>
    <n v="0.23"/>
    <n v="9878"/>
    <s v="2"/>
    <s v="RES"/>
    <s v="MX"/>
    <s v="11"/>
    <s v="259"/>
    <s v="RN"/>
    <x v="1"/>
    <s v="AV"/>
    <n v="50"/>
    <n v="52"/>
    <n v="46"/>
    <n v="1972"/>
    <n v="1978"/>
    <n v="1344"/>
    <m/>
    <m/>
    <m/>
    <m/>
    <n v="0"/>
    <n v="1344"/>
    <n v="1500"/>
    <s v="N"/>
    <m/>
    <m/>
    <m/>
    <m/>
    <m/>
    <m/>
    <m/>
    <n v="180522"/>
    <n v="137197"/>
    <n v="0"/>
    <n v="0"/>
    <n v="65900"/>
    <n v="198600"/>
    <n v="264500"/>
    <n v="132535.48800000001"/>
    <n v="88356.992000000013"/>
    <n v="-19288.499197039939"/>
    <n v="0"/>
    <n v="17761.121909000001"/>
    <n v="-5002.0906000000004"/>
    <n v="83879.550719999999"/>
    <n v="0"/>
    <n v="0"/>
    <n v="0"/>
    <n v="0"/>
    <n v="229200"/>
    <n v="69100"/>
    <n v="298300"/>
    <n v="0.1277882797731569"/>
    <n v="0.99970000000000003"/>
    <n v="1.0003"/>
    <n v="0.99680000000000002"/>
    <n v="0.99519999999999997"/>
    <n v="1.0470999999999999"/>
    <n v="0.94971499999999998"/>
    <n v="0.98680223047099103"/>
    <n v="227400"/>
    <n v="0"/>
    <n v="227400"/>
    <n v="65600"/>
    <n v="293000"/>
    <n v="0.14501510574018128"/>
    <n v="-4.552352048558422E-3"/>
    <n v="0.10775047258979206"/>
  </r>
  <r>
    <n v="2025"/>
    <s v="19120131400    "/>
    <n v="-1.4696759700589417"/>
    <n v="0.23"/>
    <n v="9924"/>
    <s v="2"/>
    <s v="RES"/>
    <s v="MX"/>
    <s v="11"/>
    <s v="259"/>
    <s v="RN"/>
    <x v="4"/>
    <s v="GD"/>
    <n v="50"/>
    <n v="53"/>
    <n v="46"/>
    <n v="1971"/>
    <n v="1978"/>
    <n v="1688"/>
    <m/>
    <m/>
    <m/>
    <m/>
    <n v="0"/>
    <n v="1688"/>
    <n v="2000"/>
    <s v="N"/>
    <m/>
    <n v="276"/>
    <m/>
    <m/>
    <m/>
    <m/>
    <m/>
    <n v="316290"/>
    <n v="243543"/>
    <n v="0"/>
    <n v="0"/>
    <n v="65900"/>
    <n v="267600"/>
    <n v="333500"/>
    <n v="132535.48800000001"/>
    <n v="88356.992000000013"/>
    <n v="-19288.499197039939"/>
    <n v="37154.252388000001"/>
    <n v="30300.329274"/>
    <n v="-5002.0906000000004"/>
    <n v="105348.72144000001"/>
    <n v="0"/>
    <n v="0"/>
    <n v="9743.0845559999998"/>
    <n v="0"/>
    <n v="310100"/>
    <n v="69100"/>
    <n v="379200"/>
    <n v="0.13703148425787107"/>
    <n v="0.99970000000000003"/>
    <n v="0.99819999999999998"/>
    <n v="0.997"/>
    <n v="1.0007999999999999"/>
    <n v="1.0470999999999999"/>
    <n v="0.94971499999999998"/>
    <n v="0.99047034582666849"/>
    <n v="308800"/>
    <n v="0"/>
    <n v="308800"/>
    <n v="65600"/>
    <n v="374400"/>
    <n v="0.15396113602391628"/>
    <n v="-4.552352048558422E-3"/>
    <n v="0.12263868065967017"/>
  </r>
  <r>
    <n v="2025"/>
    <s v="19120143004    "/>
    <n v="-1.4696759700589417"/>
    <n v="0.23"/>
    <n v="10137"/>
    <s v="2"/>
    <s v="RES"/>
    <s v="MX"/>
    <s v="11"/>
    <s v="259"/>
    <s v="RN"/>
    <x v="1"/>
    <s v="AV"/>
    <n v="70"/>
    <n v="79"/>
    <n v="52"/>
    <n v="1945"/>
    <n v="1972"/>
    <n v="1208"/>
    <m/>
    <m/>
    <m/>
    <m/>
    <n v="0"/>
    <n v="1208"/>
    <n v="1500"/>
    <s v="N"/>
    <m/>
    <m/>
    <m/>
    <m/>
    <m/>
    <m/>
    <m/>
    <n v="167367"/>
    <n v="113810"/>
    <n v="0"/>
    <n v="0"/>
    <n v="65900"/>
    <n v="174300"/>
    <n v="240200"/>
    <n v="132535.48800000001"/>
    <n v="88356.992000000013"/>
    <n v="-19288.499197039939"/>
    <n v="0"/>
    <n v="17761.121909000001"/>
    <n v="-5654.5371999999998"/>
    <n v="75391.73904"/>
    <n v="0"/>
    <n v="0"/>
    <n v="0"/>
    <n v="0"/>
    <n v="220000"/>
    <n v="69100"/>
    <n v="289100"/>
    <n v="0.20358034970857619"/>
    <n v="0.99970000000000003"/>
    <n v="1.0003"/>
    <n v="0.99680000000000002"/>
    <n v="0.99519999999999997"/>
    <n v="1"/>
    <n v="0.94971499999999998"/>
    <n v="0.9424145071826866"/>
    <n v="212400"/>
    <n v="0"/>
    <n v="212400"/>
    <n v="65600"/>
    <n v="278000"/>
    <n v="0.21858864027538727"/>
    <n v="-4.552352048558422E-3"/>
    <n v="0.15736885928393005"/>
  </r>
  <r>
    <n v="2025"/>
    <s v="20120634536    "/>
    <n v="-1.4653375684603434"/>
    <n v="0.23100000000000001"/>
    <n v="10045"/>
    <s v="2"/>
    <s v="RES"/>
    <s v="MX"/>
    <s v="11"/>
    <s v="259"/>
    <s v="CP"/>
    <x v="5"/>
    <s v="VG"/>
    <n v="0"/>
    <n v="5"/>
    <n v="5"/>
    <n v="2019"/>
    <n v="2019"/>
    <n v="2013"/>
    <m/>
    <m/>
    <m/>
    <m/>
    <n v="0"/>
    <n v="2013"/>
    <n v="2500"/>
    <s v="N"/>
    <m/>
    <n v="428"/>
    <m/>
    <m/>
    <m/>
    <m/>
    <m/>
    <n v="424739"/>
    <n v="407749"/>
    <n v="0"/>
    <n v="0"/>
    <n v="65900"/>
    <n v="341500"/>
    <n v="407400"/>
    <n v="132535.48800000001"/>
    <n v="88356.992000000013"/>
    <n v="-19231.560621833021"/>
    <n v="32917.849192000001"/>
    <n v="50438.379078999998"/>
    <n v="-543.70550000000003"/>
    <n v="125632.09494000001"/>
    <n v="0"/>
    <n v="0"/>
    <n v="15108.841268"/>
    <n v="0"/>
    <n v="356100"/>
    <n v="69100"/>
    <n v="425200"/>
    <n v="4.3691703485517916E-2"/>
    <n v="0.99970000000000003"/>
    <n v="1.0019"/>
    <n v="1.0007999999999999"/>
    <n v="1.0008999999999999"/>
    <n v="1.0022"/>
    <n v="0.94971499999999998"/>
    <n v="0.95523462967214157"/>
    <n v="350200"/>
    <n v="0"/>
    <n v="350200"/>
    <n v="65600"/>
    <n v="415800"/>
    <n v="2.5475841874084918E-2"/>
    <n v="-4.552352048558422E-3"/>
    <n v="2.0618556701030927E-2"/>
  </r>
  <r>
    <n v="2025"/>
    <s v="20120634528    "/>
    <n v="-1.4567168254164364"/>
    <n v="0.23300000000000001"/>
    <n v="10141"/>
    <s v="2"/>
    <s v="RES"/>
    <s v="MX"/>
    <s v="11"/>
    <s v="259"/>
    <s v="CP"/>
    <x v="4"/>
    <s v="VG"/>
    <n v="0"/>
    <n v="5"/>
    <n v="5"/>
    <n v="2019"/>
    <n v="2019"/>
    <n v="1098"/>
    <n v="1508"/>
    <m/>
    <m/>
    <m/>
    <n v="0"/>
    <n v="2606"/>
    <n v="3000"/>
    <s v="S"/>
    <m/>
    <n v="240"/>
    <n v="484"/>
    <m/>
    <m/>
    <m/>
    <m/>
    <n v="447885"/>
    <n v="429970"/>
    <n v="0"/>
    <n v="0"/>
    <n v="65900"/>
    <n v="401700"/>
    <n v="467600"/>
    <n v="132535.48800000001"/>
    <n v="88356.992000000013"/>
    <n v="-19118.419222866269"/>
    <n v="37154.252388000001"/>
    <n v="50438.379078999998"/>
    <n v="-543.70550000000003"/>
    <n v="68526.597240000003"/>
    <n v="89847.217563999991"/>
    <n v="0"/>
    <n v="8472.247440000001"/>
    <n v="0"/>
    <n v="386400"/>
    <n v="69200"/>
    <n v="455600"/>
    <n v="-2.5662959794696322E-2"/>
    <n v="0.99970000000000003"/>
    <n v="0.99819999999999998"/>
    <n v="1.0007999999999999"/>
    <n v="1.0099"/>
    <n v="1.0022"/>
    <n v="0.94971499999999998"/>
    <n v="0.96026462488918685"/>
    <n v="381200"/>
    <n v="0"/>
    <n v="381200"/>
    <n v="65800"/>
    <n v="447000"/>
    <n v="-5.103310928553647E-2"/>
    <n v="-1.5174506828528073E-3"/>
    <n v="-4.4054747647562016E-2"/>
  </r>
  <r>
    <n v="2025"/>
    <s v="20120634507    "/>
    <n v="-1.4567168254164364"/>
    <n v="0.23300000000000001"/>
    <n v="10141"/>
    <s v="2"/>
    <s v="RES"/>
    <s v="MX"/>
    <s v="11"/>
    <s v="259"/>
    <s v="CP"/>
    <x v="4"/>
    <s v="VG"/>
    <n v="0"/>
    <n v="5"/>
    <n v="5"/>
    <n v="2019"/>
    <n v="2019"/>
    <n v="780"/>
    <n v="1080"/>
    <m/>
    <m/>
    <m/>
    <n v="0"/>
    <n v="1860"/>
    <n v="2000"/>
    <s v="N"/>
    <m/>
    <m/>
    <n v="420"/>
    <m/>
    <m/>
    <m/>
    <m/>
    <n v="321528"/>
    <n v="308667"/>
    <n v="0"/>
    <n v="0"/>
    <n v="65900"/>
    <n v="343500"/>
    <n v="409400"/>
    <n v="132535.48800000001"/>
    <n v="88356.992000000013"/>
    <n v="-19118.419222866269"/>
    <n v="37154.252388000001"/>
    <n v="50438.379078999998"/>
    <n v="-543.70550000000003"/>
    <n v="48680.096400000002"/>
    <n v="64346.81364"/>
    <n v="0"/>
    <n v="0"/>
    <n v="0"/>
    <n v="332600"/>
    <n v="69200"/>
    <n v="401800"/>
    <n v="-1.8563751831949193E-2"/>
    <n v="0.99970000000000003"/>
    <n v="0.99819999999999998"/>
    <n v="1.0007999999999999"/>
    <n v="1.0007999999999999"/>
    <n v="1.0022"/>
    <n v="0.94971499999999998"/>
    <n v="0.95161187898712574"/>
    <n v="326200"/>
    <n v="0"/>
    <n v="326200"/>
    <n v="65800"/>
    <n v="392000"/>
    <n v="-5.0363901018922852E-2"/>
    <n v="-1.5174506828528073E-3"/>
    <n v="-4.2501221299462627E-2"/>
  </r>
  <r>
    <n v="2025"/>
    <s v="20120634508    "/>
    <n v="-1.4567168254164364"/>
    <n v="0.23300000000000001"/>
    <n v="10141"/>
    <s v="2"/>
    <s v="RES"/>
    <s v="MX"/>
    <s v="11"/>
    <s v="259"/>
    <s v="CP"/>
    <x v="5"/>
    <s v="VG"/>
    <n v="0"/>
    <n v="5"/>
    <n v="5"/>
    <n v="2019"/>
    <n v="2019"/>
    <n v="2075"/>
    <m/>
    <m/>
    <m/>
    <m/>
    <n v="0"/>
    <n v="2075"/>
    <n v="2500"/>
    <s v="N"/>
    <n v="1"/>
    <n v="620"/>
    <m/>
    <m/>
    <m/>
    <m/>
    <m/>
    <n v="457714"/>
    <n v="439405"/>
    <n v="0"/>
    <n v="0"/>
    <n v="65900"/>
    <n v="378800"/>
    <n v="444700"/>
    <n v="132535.48800000001"/>
    <n v="88356.992000000013"/>
    <n v="-19118.419222866269"/>
    <n v="32917.849192000001"/>
    <n v="50438.379078999998"/>
    <n v="-543.70550000000003"/>
    <n v="129501.53850000001"/>
    <n v="0"/>
    <n v="0"/>
    <n v="21886.639220000001"/>
    <n v="0"/>
    <n v="366700"/>
    <n v="69200"/>
    <n v="435900"/>
    <n v="-1.9788621542612999E-2"/>
    <n v="0.99970000000000003"/>
    <n v="1.0019"/>
    <n v="1.0007999999999999"/>
    <n v="1.0008999999999999"/>
    <n v="1.0022"/>
    <n v="0.94971499999999998"/>
    <n v="0.95523462967214157"/>
    <n v="360800"/>
    <n v="0"/>
    <n v="360800"/>
    <n v="65800"/>
    <n v="426600"/>
    <n v="-4.7518479408658922E-2"/>
    <n v="-1.5174506828528073E-3"/>
    <n v="-4.0701596581965371E-2"/>
  </r>
  <r>
    <n v="2025"/>
    <s v="20120634521    "/>
    <n v="-1.4567168254164364"/>
    <n v="0.23300000000000001"/>
    <n v="10141"/>
    <s v="2"/>
    <s v="RES"/>
    <s v="MX"/>
    <s v="11"/>
    <s v="259"/>
    <s v="CP"/>
    <x v="5"/>
    <s v="VG"/>
    <n v="0"/>
    <n v="5"/>
    <n v="5"/>
    <n v="2019"/>
    <n v="2019"/>
    <n v="1836"/>
    <m/>
    <m/>
    <m/>
    <m/>
    <n v="0"/>
    <n v="1836"/>
    <n v="2000"/>
    <s v="N"/>
    <m/>
    <n v="420"/>
    <m/>
    <m/>
    <m/>
    <m/>
    <m/>
    <n v="399044"/>
    <n v="383082"/>
    <n v="0"/>
    <n v="0"/>
    <n v="65900"/>
    <n v="340100"/>
    <n v="406000"/>
    <n v="132535.48800000001"/>
    <n v="88356.992000000013"/>
    <n v="-19118.419222866269"/>
    <n v="32917.849192000001"/>
    <n v="50438.379078999998"/>
    <n v="-543.70550000000003"/>
    <n v="114585.45768000001"/>
    <n v="0"/>
    <n v="0"/>
    <n v="14826.43302"/>
    <n v="0"/>
    <n v="344800"/>
    <n v="69200"/>
    <n v="414000"/>
    <n v="1.9704433497536946E-2"/>
    <n v="0.99970000000000003"/>
    <n v="1.0019"/>
    <n v="1.0007999999999999"/>
    <n v="1.0007999999999999"/>
    <n v="1.0022"/>
    <n v="0.94971499999999998"/>
    <n v="0.95513919210298648"/>
    <n v="338800"/>
    <n v="0"/>
    <n v="338800"/>
    <n v="65800"/>
    <n v="404600"/>
    <n v="-3.8224051749485444E-3"/>
    <n v="-1.5174506828528073E-3"/>
    <n v="-3.4482758620689655E-3"/>
  </r>
  <r>
    <n v="2025"/>
    <s v="19133541431    "/>
    <n v="-1.4524341636244356"/>
    <n v="0.23400000000000001"/>
    <n v="10201"/>
    <s v="2"/>
    <s v="RES"/>
    <s v="MX"/>
    <s v="11"/>
    <s v="259"/>
    <s v="CO"/>
    <x v="5"/>
    <s v="EX"/>
    <n v="0"/>
    <n v="3"/>
    <n v="3"/>
    <n v="2021"/>
    <n v="2021"/>
    <n v="1111"/>
    <n v="1126"/>
    <m/>
    <m/>
    <m/>
    <n v="0"/>
    <n v="2237"/>
    <n v="2500"/>
    <s v="S"/>
    <m/>
    <n v="455"/>
    <m/>
    <m/>
    <m/>
    <m/>
    <m/>
    <n v="451707"/>
    <n v="438156"/>
    <n v="40975"/>
    <n v="0"/>
    <n v="65900"/>
    <n v="407000"/>
    <n v="472900"/>
    <n v="132535.48800000001"/>
    <n v="88356.992000000013"/>
    <n v="-19062.212194773616"/>
    <n v="32917.849192000001"/>
    <n v="47371.278778200001"/>
    <n v="-326.22329999999999"/>
    <n v="69337.932180000003"/>
    <n v="67087.511257999999"/>
    <n v="0"/>
    <n v="16061.969105"/>
    <n v="41000"/>
    <n v="365000"/>
    <n v="69300"/>
    <n v="475300"/>
    <n v="5.0750687248889825E-3"/>
    <n v="0.99970000000000003"/>
    <n v="1.0019"/>
    <n v="1.0012000000000001"/>
    <n v="1.0008999999999999"/>
    <n v="1.0022"/>
    <n v="0.94971499999999998"/>
    <n v="0.95561641809327347"/>
    <n v="359100"/>
    <n v="38900"/>
    <n v="398000"/>
    <n v="65800"/>
    <n v="463800"/>
    <n v="-2.2113022113022112E-2"/>
    <n v="-1.5174506828528073E-3"/>
    <n v="-1.9242968915204061E-2"/>
  </r>
  <r>
    <n v="2025"/>
    <s v="19120114464    "/>
    <n v="-1.4524341636244356"/>
    <n v="0.23400000000000001"/>
    <n v="10184"/>
    <s v="2"/>
    <s v="RES"/>
    <s v="MX"/>
    <s v="11"/>
    <s v="259"/>
    <s v="CO"/>
    <x v="4"/>
    <s v="EX"/>
    <n v="0"/>
    <n v="3"/>
    <n v="3"/>
    <n v="2021"/>
    <n v="2021"/>
    <n v="1388"/>
    <m/>
    <m/>
    <m/>
    <m/>
    <n v="0"/>
    <n v="1388"/>
    <n v="1500"/>
    <s v="N"/>
    <m/>
    <n v="400"/>
    <m/>
    <m/>
    <m/>
    <m/>
    <m/>
    <n v="286809"/>
    <n v="278205"/>
    <n v="0"/>
    <n v="0"/>
    <n v="65900"/>
    <n v="325700"/>
    <n v="391600"/>
    <n v="132535.48800000001"/>
    <n v="88356.992000000013"/>
    <n v="-19062.212194773616"/>
    <n v="37154.252388000001"/>
    <n v="47371.278778200001"/>
    <n v="-326.22329999999999"/>
    <n v="86625.607440000007"/>
    <n v="0"/>
    <n v="0"/>
    <n v="14120.412400000001"/>
    <n v="0"/>
    <n v="317500"/>
    <n v="69300"/>
    <n v="386800"/>
    <n v="-1.2257405515832482E-2"/>
    <n v="0.99970000000000003"/>
    <n v="0.99819999999999998"/>
    <n v="1.0012000000000001"/>
    <n v="0.99519999999999997"/>
    <n v="1.0022"/>
    <n v="0.94971499999999998"/>
    <n v="0.94666532455325636"/>
    <n v="310400"/>
    <n v="0"/>
    <n v="310400"/>
    <n v="65800"/>
    <n v="376200"/>
    <n v="-4.6975744550199573E-2"/>
    <n v="-1.5174506828528073E-3"/>
    <n v="-3.9325842696629212E-2"/>
  </r>
  <r>
    <n v="2025"/>
    <s v="19133541450    "/>
    <n v="-1.4524341636244356"/>
    <n v="0.23400000000000001"/>
    <n v="10202"/>
    <s v="2"/>
    <s v="RES"/>
    <s v="MX"/>
    <s v="11"/>
    <s v="259"/>
    <s v="CO"/>
    <x v="5"/>
    <s v="EX"/>
    <n v="0"/>
    <n v="3"/>
    <n v="3"/>
    <n v="2021"/>
    <n v="2021"/>
    <n v="2298"/>
    <m/>
    <m/>
    <m/>
    <m/>
    <n v="0"/>
    <n v="2298"/>
    <n v="2500"/>
    <s v="N"/>
    <m/>
    <n v="678"/>
    <m/>
    <m/>
    <m/>
    <m/>
    <m/>
    <n v="499786"/>
    <n v="484792"/>
    <n v="0"/>
    <n v="0"/>
    <n v="65900"/>
    <n v="386700"/>
    <n v="452600"/>
    <n v="132535.48800000001"/>
    <n v="88356.992000000013"/>
    <n v="-19062.212194773616"/>
    <n v="32917.849192000001"/>
    <n v="47371.278778200001"/>
    <n v="-326.22329999999999"/>
    <n v="143419.05324000001"/>
    <n v="0"/>
    <n v="0"/>
    <n v="23934.099018000001"/>
    <n v="0"/>
    <n v="379900"/>
    <n v="69300"/>
    <n v="449200"/>
    <n v="-7.5121520106053909E-3"/>
    <n v="0.99970000000000003"/>
    <n v="1.0019"/>
    <n v="1.0012000000000001"/>
    <n v="1.0008999999999999"/>
    <n v="1.0022"/>
    <n v="0.94971499999999998"/>
    <n v="0.95561641809327347"/>
    <n v="374000"/>
    <n v="0"/>
    <n v="374000"/>
    <n v="65800"/>
    <n v="439800"/>
    <n v="-3.2841996379622443E-2"/>
    <n v="-1.5174506828528073E-3"/>
    <n v="-2.8281042863455591E-2"/>
  </r>
  <r>
    <n v="2025"/>
    <s v="19120141509    "/>
    <n v="-1.4271163556401458"/>
    <n v="0.24"/>
    <n v="10323"/>
    <s v="2"/>
    <s v="RES"/>
    <s v="MX"/>
    <s v="11"/>
    <s v="259"/>
    <s v="RN"/>
    <x v="5"/>
    <s v="VG"/>
    <n v="10"/>
    <n v="19"/>
    <n v="19"/>
    <n v="2005"/>
    <n v="2005"/>
    <n v="1380"/>
    <m/>
    <m/>
    <m/>
    <m/>
    <n v="0"/>
    <n v="1380"/>
    <n v="1500"/>
    <s v="S"/>
    <n v="1"/>
    <n v="428"/>
    <m/>
    <m/>
    <m/>
    <m/>
    <m/>
    <n v="313845"/>
    <n v="285599"/>
    <n v="0"/>
    <n v="0"/>
    <n v="66500"/>
    <n v="301600"/>
    <n v="368100"/>
    <n v="132535.48800000001"/>
    <n v="88356.992000000013"/>
    <n v="-18729.933155771436"/>
    <n v="32917.849192000001"/>
    <n v="50438.379078999998"/>
    <n v="-2066.0808999999999"/>
    <n v="86126.324399999998"/>
    <n v="0"/>
    <n v="0"/>
    <n v="15108.841268"/>
    <n v="0"/>
    <n v="315100"/>
    <n v="69600"/>
    <n v="384700"/>
    <n v="4.5096441184460746E-2"/>
    <n v="0.99970000000000003"/>
    <n v="1.0019"/>
    <n v="1.0007999999999999"/>
    <n v="0.99519999999999997"/>
    <n v="0.99080000000000001"/>
    <n v="0.94971499999999998"/>
    <n v="0.93899079734443147"/>
    <n v="307000"/>
    <n v="0"/>
    <n v="307000"/>
    <n v="66100"/>
    <n v="373100"/>
    <n v="1.790450928381963E-2"/>
    <n v="-6.0150375939849628E-3"/>
    <n v="1.3583265417006248E-2"/>
  </r>
  <r>
    <n v="2025"/>
    <s v="20120634414    "/>
    <n v="-1.4271163556401458"/>
    <n v="0.24"/>
    <n v="10548"/>
    <s v="2"/>
    <s v="RES"/>
    <s v="MX"/>
    <s v="11"/>
    <s v="259"/>
    <s v="RN"/>
    <x v="5"/>
    <s v="VG"/>
    <n v="10"/>
    <n v="12"/>
    <n v="12"/>
    <n v="2012"/>
    <n v="2012"/>
    <n v="2144"/>
    <m/>
    <m/>
    <m/>
    <m/>
    <n v="0"/>
    <n v="2144"/>
    <n v="2500"/>
    <s v="S"/>
    <n v="1"/>
    <n v="700"/>
    <m/>
    <m/>
    <m/>
    <m/>
    <m/>
    <n v="458259"/>
    <n v="435346"/>
    <n v="0"/>
    <n v="0"/>
    <n v="66500"/>
    <n v="349900"/>
    <n v="416400"/>
    <n v="132535.48800000001"/>
    <n v="88356.992000000013"/>
    <n v="-18729.933155771436"/>
    <n v="32917.849192000001"/>
    <n v="50438.379078999998"/>
    <n v="-1304.8932"/>
    <n v="133807.85472"/>
    <n v="0"/>
    <n v="0"/>
    <n v="24710.721700000002"/>
    <n v="0"/>
    <n v="373100"/>
    <n v="69600"/>
    <n v="442700"/>
    <n v="6.3160422670509128E-2"/>
    <n v="0.99970000000000003"/>
    <n v="1.0019"/>
    <n v="1.0007999999999999"/>
    <n v="1.0008999999999999"/>
    <n v="0.99080000000000001"/>
    <n v="0.94971499999999998"/>
    <n v="0.94436885958806405"/>
    <n v="365700"/>
    <n v="0"/>
    <n v="365700"/>
    <n v="66100"/>
    <n v="431800"/>
    <n v="4.5155758788225205E-2"/>
    <n v="-6.0150375939849628E-3"/>
    <n v="3.6983669548511046E-2"/>
  </r>
  <r>
    <n v="2025"/>
    <s v="19120141506    "/>
    <n v="-1.4271163556401458"/>
    <n v="0.24"/>
    <n v="10566"/>
    <s v="2"/>
    <s v="RES"/>
    <s v="MX"/>
    <s v="11"/>
    <s v="259"/>
    <s v="CP"/>
    <x v="5"/>
    <s v="VG"/>
    <n v="10"/>
    <n v="19"/>
    <n v="19"/>
    <n v="2005"/>
    <n v="2005"/>
    <n v="2154"/>
    <m/>
    <m/>
    <m/>
    <m/>
    <n v="0"/>
    <n v="2154"/>
    <n v="2500"/>
    <s v="B"/>
    <n v="1"/>
    <n v="730"/>
    <m/>
    <m/>
    <m/>
    <m/>
    <m/>
    <n v="459402"/>
    <n v="418056"/>
    <n v="0"/>
    <n v="0"/>
    <n v="66500"/>
    <n v="347200"/>
    <n v="413700"/>
    <n v="132535.48800000001"/>
    <n v="88356.992000000013"/>
    <n v="-18729.933155771436"/>
    <n v="32917.849192000001"/>
    <n v="50438.379078999998"/>
    <n v="-2066.0808999999999"/>
    <n v="134431.95852000001"/>
    <n v="0"/>
    <n v="0"/>
    <n v="25769.752630000003"/>
    <n v="0"/>
    <n v="374000"/>
    <n v="69600"/>
    <n v="443600"/>
    <n v="7.2274595117234705E-2"/>
    <n v="0.99970000000000003"/>
    <n v="1.0019"/>
    <n v="1.0007999999999999"/>
    <n v="1.0008999999999999"/>
    <n v="0.99080000000000001"/>
    <n v="0.94971499999999998"/>
    <n v="0.94436885958806405"/>
    <n v="366700"/>
    <n v="0"/>
    <n v="366700"/>
    <n v="66100"/>
    <n v="432800"/>
    <n v="5.6163594470046083E-2"/>
    <n v="-6.0150375939849628E-3"/>
    <n v="4.6168721295624847E-2"/>
  </r>
  <r>
    <n v="2025"/>
    <s v="19120131481    "/>
    <n v="-1.4271163556401458"/>
    <n v="0.24"/>
    <n v="10485"/>
    <s v="2"/>
    <s v="RES"/>
    <s v="MX"/>
    <s v="11"/>
    <s v="259"/>
    <s v="RN"/>
    <x v="0"/>
    <s v="AV"/>
    <n v="50"/>
    <n v="50"/>
    <n v="45"/>
    <n v="1974"/>
    <n v="1979"/>
    <n v="1125"/>
    <m/>
    <m/>
    <m/>
    <m/>
    <n v="0"/>
    <n v="1125"/>
    <n v="1500"/>
    <s v="B"/>
    <n v="1"/>
    <n v="300"/>
    <m/>
    <m/>
    <m/>
    <m/>
    <m/>
    <n v="207643"/>
    <n v="159885"/>
    <n v="0"/>
    <n v="0"/>
    <n v="66500"/>
    <n v="220700"/>
    <n v="287200"/>
    <n v="132535.48800000001"/>
    <n v="88356.992000000013"/>
    <n v="-18729.933155771436"/>
    <n v="24371.765965999999"/>
    <n v="17761.121909000001"/>
    <n v="-4893.3495000000003"/>
    <n v="70211.677500000005"/>
    <n v="0"/>
    <n v="0"/>
    <n v="10590.309300000001"/>
    <n v="0"/>
    <n v="250600"/>
    <n v="69600"/>
    <n v="320200"/>
    <n v="0.1149025069637883"/>
    <n v="0.99970000000000003"/>
    <n v="0.99199999999999999"/>
    <n v="0.99680000000000002"/>
    <n v="0.99519999999999997"/>
    <n v="1.0470999999999999"/>
    <n v="0.94971499999999998"/>
    <n v="0.9786142283587157"/>
    <n v="247700"/>
    <n v="0"/>
    <n v="247700"/>
    <n v="66100"/>
    <n v="313800"/>
    <n v="0.12233801540552787"/>
    <n v="-6.0150375939849628E-3"/>
    <n v="9.2618384401114209E-2"/>
  </r>
  <r>
    <n v="2025"/>
    <s v="19120113405    "/>
    <n v="-1.4271163556401458"/>
    <n v="0.24"/>
    <n v="10398"/>
    <s v="2"/>
    <s v="RES"/>
    <s v="MX"/>
    <s v="11"/>
    <s v="259"/>
    <s v="BG"/>
    <x v="1"/>
    <s v="GD"/>
    <n v="60"/>
    <n v="64"/>
    <n v="49"/>
    <n v="1960"/>
    <n v="1975"/>
    <n v="952"/>
    <n v="260"/>
    <n v="476"/>
    <m/>
    <m/>
    <n v="476"/>
    <n v="1212"/>
    <n v="1500"/>
    <s v="N"/>
    <m/>
    <m/>
    <m/>
    <m/>
    <m/>
    <m/>
    <m/>
    <n v="187144"/>
    <n v="134744"/>
    <n v="8032"/>
    <n v="0"/>
    <n v="66500"/>
    <n v="201600"/>
    <n v="268100"/>
    <n v="132535.48800000001"/>
    <n v="88356.992000000013"/>
    <n v="-18729.933155771436"/>
    <n v="0"/>
    <n v="30300.329274"/>
    <n v="-5328.3139000000001"/>
    <n v="59414.681760000007"/>
    <n v="15490.899579999999"/>
    <n v="29791.172095999998"/>
    <n v="0"/>
    <n v="8000"/>
    <n v="262200"/>
    <n v="69600"/>
    <n v="339800"/>
    <n v="0.26743752331219695"/>
    <n v="0.99970000000000003"/>
    <n v="1.0003"/>
    <n v="0.997"/>
    <n v="0.99519999999999997"/>
    <n v="1.0558000000000001"/>
    <n v="0.94971499999999998"/>
    <n v="0.9952008757759131"/>
    <n v="261600"/>
    <n v="7600"/>
    <n v="269200"/>
    <n v="66100"/>
    <n v="335300"/>
    <n v="0.33531746031746029"/>
    <n v="-6.0150375939849628E-3"/>
    <n v="0.25065274151436029"/>
  </r>
  <r>
    <n v="2025"/>
    <s v="19133511011    "/>
    <n v="-1.4271163556401458"/>
    <n v="0.24"/>
    <m/>
    <s v="2"/>
    <s v="RES"/>
    <s v="MX"/>
    <s v="11"/>
    <s v="259"/>
    <s v="TD"/>
    <x v="4"/>
    <s v="AV"/>
    <n v="70"/>
    <n v="79"/>
    <n v="52"/>
    <n v="1945"/>
    <n v="1972"/>
    <n v="1158"/>
    <m/>
    <n v="1158"/>
    <m/>
    <n v="1158"/>
    <n v="0"/>
    <n v="2316"/>
    <n v="2500"/>
    <s v="N"/>
    <m/>
    <m/>
    <m/>
    <m/>
    <m/>
    <m/>
    <m/>
    <n v="343595"/>
    <n v="233645"/>
    <n v="24455"/>
    <n v="0"/>
    <n v="66500"/>
    <n v="241300"/>
    <n v="307800"/>
    <n v="132535.48800000001"/>
    <n v="88356.992000000013"/>
    <n v="-18729.933155771436"/>
    <n v="37154.252388000001"/>
    <n v="17761.121909000001"/>
    <n v="-5654.5371999999998"/>
    <n v="72271.22004"/>
    <n v="0"/>
    <n v="72475.16236799999"/>
    <n v="0"/>
    <n v="24500"/>
    <n v="326500"/>
    <n v="69600"/>
    <n v="420600"/>
    <n v="0.3664717348927875"/>
    <n v="0.99970000000000003"/>
    <n v="0.99819999999999998"/>
    <n v="0.99680000000000002"/>
    <n v="1.0008999999999999"/>
    <n v="1"/>
    <n v="0.94971499999999998"/>
    <n v="0.94582237006422254"/>
    <n v="319400"/>
    <n v="23200"/>
    <n v="342600"/>
    <n v="66100"/>
    <n v="408700"/>
    <n v="0.41980936593452134"/>
    <n v="-6.0150375939849628E-3"/>
    <n v="0.32781026640675764"/>
  </r>
  <r>
    <n v="2025"/>
    <s v="19120143012    "/>
    <n v="-1.4271163556401458"/>
    <n v="0.24"/>
    <n v="10540"/>
    <s v="2"/>
    <s v="RES"/>
    <s v="MX"/>
    <s v="11"/>
    <s v="259"/>
    <s v="RN"/>
    <x v="4"/>
    <s v="AV"/>
    <n v="10"/>
    <n v="12"/>
    <n v="12"/>
    <n v="2012"/>
    <n v="2012"/>
    <n v="1948"/>
    <m/>
    <m/>
    <m/>
    <m/>
    <n v="0"/>
    <n v="1948"/>
    <n v="2000"/>
    <s v="N"/>
    <m/>
    <m/>
    <m/>
    <m/>
    <m/>
    <m/>
    <m/>
    <n v="353598"/>
    <n v="332382"/>
    <n v="35523"/>
    <n v="0"/>
    <n v="66500"/>
    <n v="355800"/>
    <n v="422300"/>
    <n v="132535.48800000001"/>
    <n v="88356.992000000013"/>
    <n v="-18729.933155771436"/>
    <n v="37154.252388000001"/>
    <n v="17761.121909000001"/>
    <n v="-1304.8932"/>
    <n v="121575.42024000001"/>
    <n v="0"/>
    <n v="0"/>
    <n v="0"/>
    <n v="35500"/>
    <n v="307700"/>
    <n v="69600"/>
    <n v="412800"/>
    <n v="-2.2495856026521429E-2"/>
    <n v="0.99970000000000003"/>
    <n v="0.99819999999999998"/>
    <n v="0.99680000000000002"/>
    <n v="1.0007999999999999"/>
    <n v="0.99080000000000001"/>
    <n v="0.94971499999999998"/>
    <n v="0.93702717644423961"/>
    <n v="299400"/>
    <n v="33700"/>
    <n v="333100"/>
    <n v="66100"/>
    <n v="399200"/>
    <n v="-6.3799887577290618E-2"/>
    <n v="-6.0150375939849628E-3"/>
    <n v="-5.4700449917120531E-2"/>
  </r>
  <r>
    <n v="2025"/>
    <s v="19133514429    "/>
    <n v="-1.4271163556401458"/>
    <n v="0.24"/>
    <n v="10438"/>
    <s v="2"/>
    <s v="RES"/>
    <s v="MX"/>
    <s v="11"/>
    <s v="259"/>
    <s v="CO"/>
    <x v="4"/>
    <s v="EX"/>
    <n v="0"/>
    <n v="3"/>
    <n v="3"/>
    <n v="2021"/>
    <n v="2021"/>
    <n v="1257"/>
    <n v="1451"/>
    <m/>
    <m/>
    <m/>
    <n v="0"/>
    <n v="2708"/>
    <n v="3000"/>
    <s v="N"/>
    <n v="1"/>
    <m/>
    <n v="438"/>
    <m/>
    <m/>
    <m/>
    <m/>
    <n v="459837"/>
    <n v="446042"/>
    <n v="0"/>
    <n v="0"/>
    <n v="66500"/>
    <n v="397900"/>
    <n v="464400"/>
    <n v="132535.48800000001"/>
    <n v="88356.992000000013"/>
    <n v="-18729.933155771436"/>
    <n v="37154.252388000001"/>
    <n v="47371.278778200001"/>
    <n v="-326.22329999999999"/>
    <n v="78449.847659999999"/>
    <n v="86451.135733000003"/>
    <n v="0"/>
    <n v="0"/>
    <n v="0"/>
    <n v="381600"/>
    <n v="69600"/>
    <n v="451200"/>
    <n v="-2.8423772609819122E-2"/>
    <n v="0.99970000000000003"/>
    <n v="0.99819999999999998"/>
    <n v="1.0012000000000001"/>
    <n v="1.0099"/>
    <n v="1.0022"/>
    <n v="0.94971499999999998"/>
    <n v="0.96064842370009407"/>
    <n v="376400"/>
    <n v="0"/>
    <n v="376400"/>
    <n v="66100"/>
    <n v="442500"/>
    <n v="-5.4033676803216892E-2"/>
    <n v="-6.0150375939849628E-3"/>
    <n v="-4.7157622739018086E-2"/>
  </r>
  <r>
    <n v="2025"/>
    <s v="19120131474    "/>
    <n v="-1.4271163556401458"/>
    <n v="0.24"/>
    <n v="10666"/>
    <s v="2"/>
    <s v="RES"/>
    <s v="MX"/>
    <s v="11"/>
    <s v="259"/>
    <s v="RN"/>
    <x v="4"/>
    <s v="GD"/>
    <n v="10"/>
    <n v="10"/>
    <n v="10"/>
    <n v="2014"/>
    <n v="2014"/>
    <n v="1128"/>
    <m/>
    <m/>
    <m/>
    <m/>
    <n v="0"/>
    <n v="1128"/>
    <n v="1500"/>
    <s v="N"/>
    <m/>
    <n v="264"/>
    <m/>
    <m/>
    <m/>
    <m/>
    <m/>
    <n v="229846"/>
    <n v="216055"/>
    <n v="2651"/>
    <n v="0"/>
    <n v="66500"/>
    <n v="274200"/>
    <n v="340700"/>
    <n v="132535.48800000001"/>
    <n v="88356.992000000013"/>
    <n v="-18729.933155771436"/>
    <n v="37154.252388000001"/>
    <n v="30300.329274"/>
    <n v="-1087.4110000000001"/>
    <n v="70398.908640000009"/>
    <n v="0"/>
    <n v="0"/>
    <n v="9319.4721840000002"/>
    <n v="2700"/>
    <n v="278600"/>
    <n v="69600"/>
    <n v="350900"/>
    <n v="2.9938362195479896E-2"/>
    <n v="0.99970000000000003"/>
    <n v="0.99819999999999998"/>
    <n v="0.997"/>
    <n v="0.99519999999999997"/>
    <n v="0.99080000000000001"/>
    <n v="0.94971499999999998"/>
    <n v="0.93197097384222971"/>
    <n v="269600"/>
    <n v="2500"/>
    <n v="272100"/>
    <n v="66100"/>
    <n v="338200"/>
    <n v="-7.658643326039387E-3"/>
    <n v="-6.0150375939849628E-3"/>
    <n v="-7.3378338714411503E-3"/>
  </r>
  <r>
    <n v="2025"/>
    <s v="19120144574    "/>
    <n v="-1.4271163556401458"/>
    <n v="0.24"/>
    <n v="10609"/>
    <s v="2"/>
    <s v="RES"/>
    <s v="MX"/>
    <s v="11"/>
    <s v="259"/>
    <s v="RN"/>
    <x v="4"/>
    <s v="VG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277753"/>
    <n v="255533"/>
    <n v="0"/>
    <n v="0"/>
    <n v="66500"/>
    <n v="305100"/>
    <n v="371600"/>
    <n v="132535.48800000001"/>
    <n v="88356.992000000013"/>
    <n v="-18729.933155771436"/>
    <n v="37154.252388000001"/>
    <n v="50438.379078999998"/>
    <n v="-2174.8220000000001"/>
    <n v="86126.324399999998"/>
    <n v="0"/>
    <n v="0"/>
    <n v="15108.841268"/>
    <n v="0"/>
    <n v="319200"/>
    <n v="69600"/>
    <n v="388800"/>
    <n v="4.6286329386437029E-2"/>
    <n v="0.99970000000000003"/>
    <n v="0.99819999999999998"/>
    <n v="1.0007999999999999"/>
    <n v="0.99519999999999997"/>
    <n v="1.0138"/>
    <n v="0.94971499999999998"/>
    <n v="0.95723994654520439"/>
    <n v="313500"/>
    <n v="0"/>
    <n v="313500"/>
    <n v="66100"/>
    <n v="379600"/>
    <n v="2.7531956735496559E-2"/>
    <n v="-6.0150375939849628E-3"/>
    <n v="2.1528525296017224E-2"/>
  </r>
  <r>
    <n v="2025"/>
    <s v="19120144423    "/>
    <n v="-1.4271163556401458"/>
    <n v="0.24"/>
    <n v="10595"/>
    <s v="2"/>
    <s v="RES"/>
    <s v="MX"/>
    <s v="11"/>
    <s v="259"/>
    <s v="RN"/>
    <x v="5"/>
    <s v="VG"/>
    <n v="20"/>
    <n v="20"/>
    <n v="20"/>
    <n v="2004"/>
    <n v="2004"/>
    <n v="1380"/>
    <m/>
    <m/>
    <m/>
    <m/>
    <n v="0"/>
    <n v="1380"/>
    <n v="1500"/>
    <s v="N"/>
    <m/>
    <n v="428"/>
    <m/>
    <m/>
    <m/>
    <m/>
    <m/>
    <n v="311438"/>
    <n v="286523"/>
    <n v="0"/>
    <n v="0"/>
    <n v="66500"/>
    <n v="300700"/>
    <n v="367200"/>
    <n v="132535.48800000001"/>
    <n v="88356.992000000013"/>
    <n v="-18729.933155771436"/>
    <n v="32917.849192000001"/>
    <n v="50438.379078999998"/>
    <n v="-2174.8220000000001"/>
    <n v="86126.324399999998"/>
    <n v="0"/>
    <n v="0"/>
    <n v="15108.841268"/>
    <n v="0"/>
    <n v="315000"/>
    <n v="69600"/>
    <n v="384600"/>
    <n v="4.7385620915032678E-2"/>
    <n v="0.99970000000000003"/>
    <n v="1.0019"/>
    <n v="1.0007999999999999"/>
    <n v="0.99519999999999997"/>
    <n v="1.0138"/>
    <n v="0.94971499999999998"/>
    <n v="0.96078812106155087"/>
    <n v="309800"/>
    <n v="0"/>
    <n v="309800"/>
    <n v="66100"/>
    <n v="375900"/>
    <n v="3.026272031925507E-2"/>
    <n v="-6.0150375939849628E-3"/>
    <n v="2.3692810457516339E-2"/>
  </r>
  <r>
    <n v="2025"/>
    <s v="19120131457    "/>
    <n v="-1.4271163556401458"/>
    <n v="0.24"/>
    <n v="10486"/>
    <s v="2"/>
    <s v="RES"/>
    <s v="MX"/>
    <s v="11"/>
    <s v="259"/>
    <s v="RN"/>
    <x v="2"/>
    <s v="GD"/>
    <n v="40"/>
    <n v="49"/>
    <n v="45"/>
    <n v="1975"/>
    <n v="1979"/>
    <n v="936"/>
    <m/>
    <m/>
    <m/>
    <m/>
    <n v="0"/>
    <n v="936"/>
    <n v="1000"/>
    <s v="N"/>
    <m/>
    <n v="312"/>
    <m/>
    <m/>
    <m/>
    <m/>
    <m/>
    <n v="170774"/>
    <n v="133204"/>
    <n v="15913"/>
    <n v="0"/>
    <n v="66500"/>
    <n v="221800"/>
    <n v="288300"/>
    <n v="132535.48800000001"/>
    <n v="88356.992000000013"/>
    <n v="-18729.933155771436"/>
    <n v="-1240.8083630000001"/>
    <n v="30300.329274"/>
    <n v="-4893.3495000000003"/>
    <n v="58416.115680000003"/>
    <n v="0"/>
    <n v="0"/>
    <n v="11013.921672"/>
    <n v="15900"/>
    <n v="226100"/>
    <n v="69600"/>
    <n v="311600"/>
    <n v="8.0818591744710372E-2"/>
    <n v="0.99970000000000003"/>
    <n v="1.0022"/>
    <n v="0.997"/>
    <n v="1"/>
    <n v="0.95689999999999997"/>
    <n v="0.94971499999999998"/>
    <n v="0.90804925971012895"/>
    <n v="213900"/>
    <n v="15100"/>
    <n v="229000"/>
    <n v="66100"/>
    <n v="295100"/>
    <n v="3.2461677186654644E-2"/>
    <n v="-6.0150375939849628E-3"/>
    <n v="2.3586541796739507E-2"/>
  </r>
  <r>
    <n v="2025"/>
    <s v="19120131466    "/>
    <n v="-1.4271163556401458"/>
    <n v="0.24"/>
    <n v="10291"/>
    <s v="2"/>
    <s v="RES"/>
    <s v="MX"/>
    <s v="11"/>
    <s v="259"/>
    <s v="RN"/>
    <x v="2"/>
    <s v="AV"/>
    <n v="40"/>
    <n v="49"/>
    <n v="45"/>
    <n v="1975"/>
    <n v="1979"/>
    <n v="1248"/>
    <m/>
    <m/>
    <m/>
    <m/>
    <n v="0"/>
    <n v="1248"/>
    <n v="1500"/>
    <s v="N"/>
    <m/>
    <m/>
    <m/>
    <m/>
    <m/>
    <m/>
    <m/>
    <n v="185009"/>
    <n v="142457"/>
    <n v="26118"/>
    <n v="0"/>
    <n v="66500"/>
    <n v="221000"/>
    <n v="287500"/>
    <n v="132535.48800000001"/>
    <n v="88356.992000000013"/>
    <n v="-18729.933155771436"/>
    <n v="-1240.8083630000001"/>
    <n v="17761.121909000001"/>
    <n v="-4893.3495000000003"/>
    <n v="77888.154240000003"/>
    <n v="0"/>
    <n v="0"/>
    <n v="0"/>
    <n v="26100"/>
    <n v="222100"/>
    <n v="69600"/>
    <n v="317800"/>
    <n v="0.10539130434782609"/>
    <n v="0.99970000000000003"/>
    <n v="1.0022"/>
    <n v="0.99680000000000002"/>
    <n v="0.99519999999999997"/>
    <n v="0.95689999999999997"/>
    <n v="0.94971499999999998"/>
    <n v="0.90350934129295579"/>
    <n v="209300"/>
    <n v="24800"/>
    <n v="234100"/>
    <n v="66100"/>
    <n v="300200"/>
    <n v="5.9276018099547509E-2"/>
    <n v="-6.0150375939849628E-3"/>
    <n v="4.4173913043478258E-2"/>
  </r>
  <r>
    <n v="2025"/>
    <s v="19120131482    "/>
    <n v="-1.4271163556401458"/>
    <n v="0.24"/>
    <n v="10457"/>
    <s v="2"/>
    <s v="RES"/>
    <s v="MX"/>
    <s v="11"/>
    <s v="259"/>
    <s v="RN"/>
    <x v="2"/>
    <s v="AV"/>
    <n v="50"/>
    <n v="50"/>
    <n v="45"/>
    <n v="1974"/>
    <n v="1979"/>
    <n v="1410"/>
    <m/>
    <m/>
    <m/>
    <m/>
    <n v="0"/>
    <n v="1410"/>
    <n v="1500"/>
    <s v="N"/>
    <m/>
    <m/>
    <m/>
    <m/>
    <m/>
    <m/>
    <m/>
    <n v="203144"/>
    <n v="156421"/>
    <n v="0"/>
    <n v="0"/>
    <n v="66500"/>
    <n v="209200"/>
    <n v="275700"/>
    <n v="132535.48800000001"/>
    <n v="88356.992000000013"/>
    <n v="-18729.933155771436"/>
    <n v="-1240.8083630000001"/>
    <n v="17761.121909000001"/>
    <n v="-4893.3495000000003"/>
    <n v="87998.635800000004"/>
    <n v="0"/>
    <n v="0"/>
    <n v="0"/>
    <n v="0"/>
    <n v="232200"/>
    <n v="69600"/>
    <n v="301800"/>
    <n v="9.4668117519042444E-2"/>
    <n v="0.99970000000000003"/>
    <n v="1.0022"/>
    <n v="0.99680000000000002"/>
    <n v="0.99519999999999997"/>
    <n v="1.0470999999999999"/>
    <n v="0.94971499999999998"/>
    <n v="0.98867659240030714"/>
    <n v="230700"/>
    <n v="0"/>
    <n v="230700"/>
    <n v="66100"/>
    <n v="296800"/>
    <n v="0.10277246653919694"/>
    <n v="-6.0150375939849628E-3"/>
    <n v="7.6532462821907871E-2"/>
  </r>
  <r>
    <n v="2025"/>
    <s v="19120131486    "/>
    <n v="-1.4271163556401458"/>
    <n v="0.24"/>
    <n v="10561"/>
    <s v="2"/>
    <s v="RES"/>
    <s v="MX"/>
    <s v="11"/>
    <s v="259"/>
    <s v="RN"/>
    <x v="2"/>
    <s v="AV"/>
    <n v="50"/>
    <n v="50"/>
    <n v="45"/>
    <n v="1974"/>
    <n v="1979"/>
    <n v="1000"/>
    <m/>
    <m/>
    <m/>
    <m/>
    <n v="0"/>
    <n v="1000"/>
    <n v="1500"/>
    <s v="N"/>
    <m/>
    <n v="288"/>
    <m/>
    <m/>
    <m/>
    <m/>
    <m/>
    <n v="167141"/>
    <n v="128699"/>
    <n v="0"/>
    <n v="0"/>
    <n v="66500"/>
    <n v="194800"/>
    <n v="261300"/>
    <n v="132535.48800000001"/>
    <n v="88356.992000000013"/>
    <n v="-18729.933155771436"/>
    <n v="-1240.8083630000001"/>
    <n v="17761.121909000001"/>
    <n v="-4893.3495000000003"/>
    <n v="62410.380000000005"/>
    <n v="0"/>
    <n v="0"/>
    <n v="10166.696928000001"/>
    <n v="0"/>
    <n v="216700"/>
    <n v="69600"/>
    <n v="286300"/>
    <n v="9.5675468809797173E-2"/>
    <n v="0.99970000000000003"/>
    <n v="1.0022"/>
    <n v="0.99680000000000002"/>
    <n v="0.99519999999999997"/>
    <n v="1.0470999999999999"/>
    <n v="0.94971499999999998"/>
    <n v="0.98867659240030714"/>
    <n v="215200"/>
    <n v="0"/>
    <n v="215200"/>
    <n v="66100"/>
    <n v="281300"/>
    <n v="0.10472279260780287"/>
    <n v="-6.0150375939849628E-3"/>
    <n v="7.6540375047837728E-2"/>
  </r>
  <r>
    <n v="2025"/>
    <s v="19120131495    "/>
    <n v="-1.4271163556401458"/>
    <n v="0.24"/>
    <n v="10498"/>
    <s v="2"/>
    <s v="RES"/>
    <s v="MX"/>
    <s v="11"/>
    <s v="259"/>
    <s v="RN"/>
    <x v="2"/>
    <s v="AV"/>
    <n v="50"/>
    <n v="50"/>
    <n v="45"/>
    <n v="1974"/>
    <n v="1979"/>
    <n v="1050"/>
    <m/>
    <m/>
    <m/>
    <m/>
    <n v="0"/>
    <n v="1050"/>
    <n v="1500"/>
    <s v="N"/>
    <m/>
    <n v="288"/>
    <m/>
    <m/>
    <m/>
    <m/>
    <m/>
    <n v="171826"/>
    <n v="132306"/>
    <n v="321"/>
    <n v="0"/>
    <n v="66500"/>
    <n v="197500"/>
    <n v="264000"/>
    <n v="132535.48800000001"/>
    <n v="88356.992000000013"/>
    <n v="-18729.933155771436"/>
    <n v="-1240.8083630000001"/>
    <n v="17761.121909000001"/>
    <n v="-4893.3495000000003"/>
    <n v="65530.899000000005"/>
    <n v="0"/>
    <n v="0"/>
    <n v="10166.696928000001"/>
    <n v="300"/>
    <n v="219900"/>
    <n v="69600"/>
    <n v="289800"/>
    <n v="9.7727272727272732E-2"/>
    <n v="0.99970000000000003"/>
    <n v="1.0022"/>
    <n v="0.99680000000000002"/>
    <n v="0.99519999999999997"/>
    <n v="1.0470999999999999"/>
    <n v="0.94971499999999998"/>
    <n v="0.98867659240030714"/>
    <n v="218400"/>
    <n v="300"/>
    <n v="218700"/>
    <n v="66100"/>
    <n v="284800"/>
    <n v="0.10734177215189873"/>
    <n v="-6.0150375939849628E-3"/>
    <n v="7.8787878787878782E-2"/>
  </r>
  <r>
    <n v="2025"/>
    <s v="19120131465    "/>
    <n v="-1.4271163556401458"/>
    <n v="0.24"/>
    <n v="10601"/>
    <s v="2"/>
    <s v="RES"/>
    <s v="MX"/>
    <s v="11"/>
    <s v="259"/>
    <s v="RN"/>
    <x v="2"/>
    <s v="AV"/>
    <n v="50"/>
    <n v="52"/>
    <n v="46"/>
    <n v="1972"/>
    <n v="1978"/>
    <n v="1056"/>
    <m/>
    <m/>
    <m/>
    <m/>
    <n v="0"/>
    <n v="1056"/>
    <n v="1500"/>
    <s v="N"/>
    <m/>
    <n v="288"/>
    <m/>
    <m/>
    <m/>
    <m/>
    <m/>
    <n v="180976"/>
    <n v="137542"/>
    <n v="0"/>
    <n v="0"/>
    <n v="66500"/>
    <n v="196600"/>
    <n v="263100"/>
    <n v="132535.48800000001"/>
    <n v="88356.992000000013"/>
    <n v="-18729.933155771436"/>
    <n v="-1240.8083630000001"/>
    <n v="17761.121909000001"/>
    <n v="-5002.0906000000004"/>
    <n v="65905.361279999997"/>
    <n v="0"/>
    <n v="0"/>
    <n v="10166.696928000001"/>
    <n v="0"/>
    <n v="220100"/>
    <n v="69600"/>
    <n v="289700"/>
    <n v="0.10110224249334854"/>
    <n v="0.99970000000000003"/>
    <n v="1.0022"/>
    <n v="0.99680000000000002"/>
    <n v="0.99519999999999997"/>
    <n v="1.0470999999999999"/>
    <n v="0.94971499999999998"/>
    <n v="0.98867659240030714"/>
    <n v="218600"/>
    <n v="0"/>
    <n v="218600"/>
    <n v="66100"/>
    <n v="284700"/>
    <n v="0.11190233977619532"/>
    <n v="-6.0150375939849628E-3"/>
    <n v="8.2098061573546183E-2"/>
  </r>
  <r>
    <n v="2025"/>
    <s v="19120131459    "/>
    <n v="-1.4271163556401458"/>
    <n v="0.24"/>
    <n v="10657"/>
    <s v="2"/>
    <s v="RES"/>
    <s v="MX"/>
    <s v="11"/>
    <s v="259"/>
    <s v="RN"/>
    <x v="4"/>
    <s v="AV"/>
    <n v="50"/>
    <n v="56"/>
    <n v="47"/>
    <n v="1968"/>
    <n v="1977"/>
    <n v="1512"/>
    <m/>
    <m/>
    <m/>
    <m/>
    <n v="0"/>
    <n v="1512"/>
    <n v="2000"/>
    <s v="N"/>
    <m/>
    <m/>
    <m/>
    <m/>
    <m/>
    <m/>
    <m/>
    <n v="286746"/>
    <n v="212192"/>
    <n v="0"/>
    <n v="0"/>
    <n v="66500"/>
    <n v="245900"/>
    <n v="312400"/>
    <n v="132535.48800000001"/>
    <n v="88356.992000000013"/>
    <n v="-18729.933155771436"/>
    <n v="37154.252388000001"/>
    <n v="17761.121909000001"/>
    <n v="-5110.8316999999997"/>
    <n v="94364.494560000006"/>
    <n v="0"/>
    <n v="0"/>
    <n v="0"/>
    <n v="0"/>
    <n v="276700"/>
    <n v="69600"/>
    <n v="346300"/>
    <n v="0.10851472471190782"/>
    <n v="0.99970000000000003"/>
    <n v="0.99819999999999998"/>
    <n v="0.99680000000000002"/>
    <n v="1.0007999999999999"/>
    <n v="1.0470999999999999"/>
    <n v="0.94971499999999998"/>
    <n v="0.99027165568708442"/>
    <n v="275400"/>
    <n v="0"/>
    <n v="275400"/>
    <n v="66100"/>
    <n v="341500"/>
    <n v="0.11996746644977634"/>
    <n v="-6.0150375939849628E-3"/>
    <n v="9.314980793854033E-2"/>
  </r>
  <r>
    <n v="2025"/>
    <s v="19120131463    "/>
    <n v="-1.4271163556401458"/>
    <n v="0.24"/>
    <n v="10238"/>
    <s v="2"/>
    <s v="RES"/>
    <s v="MX"/>
    <s v="11"/>
    <s v="259"/>
    <s v="RN"/>
    <x v="2"/>
    <s v="AV"/>
    <n v="50"/>
    <n v="51"/>
    <n v="46"/>
    <n v="1973"/>
    <n v="1978"/>
    <n v="1350"/>
    <m/>
    <m/>
    <m/>
    <m/>
    <n v="0"/>
    <n v="1350"/>
    <n v="1500"/>
    <s v="N"/>
    <m/>
    <m/>
    <m/>
    <m/>
    <m/>
    <m/>
    <m/>
    <n v="201559"/>
    <n v="153185"/>
    <n v="0"/>
    <n v="0"/>
    <n v="66500"/>
    <n v="198600"/>
    <n v="265100"/>
    <n v="132535.48800000001"/>
    <n v="88356.992000000013"/>
    <n v="-18729.933155771436"/>
    <n v="-1240.8083630000001"/>
    <n v="17761.121909000001"/>
    <n v="-5002.0906000000004"/>
    <n v="84254.013000000006"/>
    <n v="0"/>
    <n v="0"/>
    <n v="0"/>
    <n v="0"/>
    <n v="228300"/>
    <n v="69600"/>
    <n v="297900"/>
    <n v="0.12372689551112788"/>
    <n v="0.99970000000000003"/>
    <n v="1.0022"/>
    <n v="0.99680000000000002"/>
    <n v="0.99519999999999997"/>
    <n v="1.0470999999999999"/>
    <n v="0.94971499999999998"/>
    <n v="0.98867659240030714"/>
    <n v="226800"/>
    <n v="0"/>
    <n v="226800"/>
    <n v="66100"/>
    <n v="292900"/>
    <n v="0.1419939577039275"/>
    <n v="-6.0150375939849628E-3"/>
    <n v="0.10486608826857789"/>
  </r>
  <r>
    <n v="2025"/>
    <s v="19120131444    "/>
    <n v="-1.4271163556401458"/>
    <n v="0.24"/>
    <n v="10602"/>
    <s v="2"/>
    <s v="RES"/>
    <s v="MX"/>
    <s v="11"/>
    <s v="259"/>
    <s v="RN"/>
    <x v="1"/>
    <s v="GD"/>
    <n v="50"/>
    <n v="53"/>
    <n v="46"/>
    <n v="1971"/>
    <n v="1978"/>
    <n v="1056"/>
    <m/>
    <m/>
    <m/>
    <m/>
    <n v="0"/>
    <n v="1056"/>
    <n v="1500"/>
    <s v="N"/>
    <m/>
    <n v="264"/>
    <m/>
    <m/>
    <m/>
    <m/>
    <m/>
    <n v="164267"/>
    <n v="126486"/>
    <n v="0"/>
    <n v="0"/>
    <n v="66500"/>
    <n v="198200"/>
    <n v="264700"/>
    <n v="132535.48800000001"/>
    <n v="88356.992000000013"/>
    <n v="-18729.933155771436"/>
    <n v="0"/>
    <n v="30300.329274"/>
    <n v="-5002.0906000000004"/>
    <n v="65905.361279999997"/>
    <n v="0"/>
    <n v="0"/>
    <n v="9319.4721840000002"/>
    <n v="0"/>
    <n v="233100"/>
    <n v="69600"/>
    <n v="302700"/>
    <n v="0.14355874574990554"/>
    <n v="0.99970000000000003"/>
    <n v="1.0003"/>
    <n v="0.997"/>
    <n v="0.99519999999999997"/>
    <n v="1.0470999999999999"/>
    <n v="0.94971499999999998"/>
    <n v="0.98700022449797165"/>
    <n v="231300"/>
    <n v="0"/>
    <n v="231300"/>
    <n v="66100"/>
    <n v="297400"/>
    <n v="0.16700302724520685"/>
    <n v="-6.0150375939849628E-3"/>
    <n v="0.12353607857952399"/>
  </r>
  <r>
    <n v="2025"/>
    <s v="19120142512    "/>
    <n v="-1.4271163556401458"/>
    <n v="0.24"/>
    <n v="10546"/>
    <s v="2"/>
    <s v="RES"/>
    <s v="MX"/>
    <s v="11"/>
    <s v="259"/>
    <s v="TD"/>
    <x v="1"/>
    <s v="GD"/>
    <n v="90"/>
    <n v="94"/>
    <n v="54"/>
    <n v="1930"/>
    <n v="1970"/>
    <n v="1178"/>
    <m/>
    <m/>
    <m/>
    <m/>
    <n v="0"/>
    <n v="1178"/>
    <n v="1500"/>
    <s v="N"/>
    <m/>
    <m/>
    <m/>
    <m/>
    <m/>
    <m/>
    <m/>
    <n v="176033"/>
    <n v="119702"/>
    <n v="60818"/>
    <n v="0"/>
    <n v="66500"/>
    <n v="240100"/>
    <n v="306600"/>
    <n v="132535.48800000001"/>
    <n v="88356.992000000013"/>
    <n v="-18729.933155771436"/>
    <n v="0"/>
    <n v="30300.329274"/>
    <n v="-5872.0194000000001"/>
    <n v="73519.427640000009"/>
    <n v="0"/>
    <n v="0"/>
    <n v="0"/>
    <n v="60800"/>
    <n v="230500"/>
    <n v="69600"/>
    <n v="360900"/>
    <n v="0.1771037181996086"/>
    <n v="0.99970000000000003"/>
    <n v="1.0003"/>
    <n v="0.997"/>
    <n v="0.99519999999999997"/>
    <n v="0.99960000000000004"/>
    <n v="0.94971499999999998"/>
    <n v="0.94222655372760256"/>
    <n v="222800"/>
    <n v="57800"/>
    <n v="280600"/>
    <n v="66100"/>
    <n v="346700"/>
    <n v="0.16867971678467306"/>
    <n v="-6.0150375939849628E-3"/>
    <n v="0.13078930202217873"/>
  </r>
  <r>
    <n v="2025"/>
    <s v="19120131429    "/>
    <n v="-1.4271163556401458"/>
    <n v="0.24"/>
    <n v="10432"/>
    <s v="2"/>
    <s v="RES"/>
    <s v="MX"/>
    <s v="11"/>
    <s v="259"/>
    <s v="RN"/>
    <x v="0"/>
    <s v="GD"/>
    <n v="50"/>
    <n v="51"/>
    <n v="46"/>
    <n v="1973"/>
    <n v="1978"/>
    <n v="1272"/>
    <m/>
    <m/>
    <m/>
    <m/>
    <n v="0"/>
    <n v="1272"/>
    <n v="1500"/>
    <s v="N"/>
    <m/>
    <m/>
    <m/>
    <m/>
    <m/>
    <m/>
    <m/>
    <n v="208448"/>
    <n v="160505"/>
    <n v="10327"/>
    <n v="0"/>
    <n v="66500"/>
    <n v="227100"/>
    <n v="293600"/>
    <n v="132535.48800000001"/>
    <n v="88356.992000000013"/>
    <n v="-18729.933155771436"/>
    <n v="24371.765965999999"/>
    <n v="30300.329274"/>
    <n v="-5002.0906000000004"/>
    <n v="79386.003360000002"/>
    <n v="0"/>
    <n v="0"/>
    <n v="0"/>
    <n v="10300"/>
    <n v="261600"/>
    <n v="69600"/>
    <n v="341500"/>
    <n v="0.16314713896457766"/>
    <n v="0.99970000000000003"/>
    <n v="0.99199999999999999"/>
    <n v="0.997"/>
    <n v="0.99519999999999997"/>
    <n v="1.0470999999999999"/>
    <n v="0.94971499999999998"/>
    <n v="0.97881057952812944"/>
    <n v="258800"/>
    <n v="9800"/>
    <n v="268600"/>
    <n v="66100"/>
    <n v="334700"/>
    <n v="0.18273888154997797"/>
    <n v="-6.0150375939849628E-3"/>
    <n v="0.13998637602179836"/>
  </r>
  <r>
    <n v="2025"/>
    <s v="19120131458    "/>
    <n v="-1.4271163556401458"/>
    <n v="0.24"/>
    <n v="10549"/>
    <s v="2"/>
    <s v="RES"/>
    <s v="MX"/>
    <s v="11"/>
    <s v="259"/>
    <s v="TD"/>
    <x v="1"/>
    <s v="GD"/>
    <n v="50"/>
    <n v="54"/>
    <n v="47"/>
    <n v="1970"/>
    <n v="1977"/>
    <n v="888"/>
    <m/>
    <m/>
    <m/>
    <m/>
    <n v="0"/>
    <n v="888"/>
    <n v="1000"/>
    <s v="N"/>
    <m/>
    <m/>
    <m/>
    <m/>
    <m/>
    <m/>
    <m/>
    <n v="133040"/>
    <n v="99780"/>
    <n v="0"/>
    <n v="0"/>
    <n v="66500"/>
    <n v="174400"/>
    <n v="240900"/>
    <n v="132535.48800000001"/>
    <n v="88356.992000000013"/>
    <n v="-18729.933155771436"/>
    <n v="0"/>
    <n v="30300.329274"/>
    <n v="-5110.8316999999997"/>
    <n v="55420.417440000005"/>
    <n v="0"/>
    <n v="0"/>
    <n v="0"/>
    <n v="0"/>
    <n v="213100"/>
    <n v="69600"/>
    <n v="282700"/>
    <n v="0.17351598173515981"/>
    <n v="0.99970000000000003"/>
    <n v="1.0003"/>
    <n v="0.997"/>
    <n v="1"/>
    <n v="1.0470999999999999"/>
    <n v="0.94971499999999998"/>
    <n v="0.99176067574153104"/>
    <n v="212100"/>
    <n v="0"/>
    <n v="212100"/>
    <n v="66100"/>
    <n v="278200"/>
    <n v="0.2161697247706422"/>
    <n v="-6.0150375939849628E-3"/>
    <n v="0.15483603154836031"/>
  </r>
  <r>
    <n v="2025"/>
    <s v="19120144575    "/>
    <n v="-1.3862943611198906"/>
    <n v="0.25"/>
    <n v="10844"/>
    <s v="2"/>
    <s v="RES"/>
    <s v="MX"/>
    <s v="11"/>
    <s v="259"/>
    <s v="RN"/>
    <x v="4"/>
    <s v="GD"/>
    <n v="20"/>
    <n v="20"/>
    <n v="20"/>
    <n v="2004"/>
    <n v="2004"/>
    <n v="1690"/>
    <m/>
    <m/>
    <m/>
    <m/>
    <n v="0"/>
    <n v="1690"/>
    <n v="2000"/>
    <s v="S"/>
    <m/>
    <n v="466"/>
    <m/>
    <m/>
    <m/>
    <m/>
    <m/>
    <n v="330383"/>
    <n v="300649"/>
    <n v="0"/>
    <n v="0"/>
    <n v="67100"/>
    <n v="309300"/>
    <n v="376400"/>
    <n v="132535.48800000001"/>
    <n v="88356.992000000013"/>
    <n v="-18194.172195827363"/>
    <n v="37154.252388000001"/>
    <n v="30300.329274"/>
    <n v="-2174.8220000000001"/>
    <n v="105473.54220000001"/>
    <n v="0"/>
    <n v="0"/>
    <n v="16450.280446000001"/>
    <n v="0"/>
    <n v="319700"/>
    <n v="70200"/>
    <n v="389900"/>
    <n v="3.5866099893730075E-2"/>
    <n v="0.99970000000000003"/>
    <n v="0.99819999999999998"/>
    <n v="0.997"/>
    <n v="1.0007999999999999"/>
    <n v="1.0138"/>
    <n v="0.94971499999999998"/>
    <n v="0.95897128889225147"/>
    <n v="314300"/>
    <n v="0"/>
    <n v="314300"/>
    <n v="66600"/>
    <n v="380900"/>
    <n v="1.6165535079211122E-2"/>
    <n v="-7.4515648286140089E-3"/>
    <n v="1.1955366631243358E-2"/>
  </r>
  <r>
    <n v="2025"/>
    <s v="19120134441    "/>
    <n v="-1.3862943611198906"/>
    <n v="0.25"/>
    <n v="11034"/>
    <s v="2"/>
    <s v="RES"/>
    <s v="MX"/>
    <s v="11"/>
    <s v="259"/>
    <s v="CP"/>
    <x v="6"/>
    <s v="GD"/>
    <n v="40"/>
    <n v="43"/>
    <n v="43"/>
    <n v="1981"/>
    <n v="1981"/>
    <n v="2754"/>
    <m/>
    <m/>
    <m/>
    <m/>
    <n v="0"/>
    <n v="2754"/>
    <n v="3000"/>
    <s v="B"/>
    <m/>
    <n v="552"/>
    <m/>
    <m/>
    <m/>
    <m/>
    <m/>
    <n v="625807"/>
    <n v="506904"/>
    <n v="0"/>
    <n v="0"/>
    <n v="67100"/>
    <n v="358700"/>
    <n v="425800"/>
    <n v="132535.48800000001"/>
    <n v="88356.992000000013"/>
    <n v="-18194.172195827363"/>
    <n v="39366.494398000003"/>
    <n v="30300.329274"/>
    <n v="-4675.8672999999999"/>
    <n v="171878.18652000002"/>
    <n v="0"/>
    <n v="0"/>
    <n v="19486.169112"/>
    <n v="0"/>
    <n v="388900"/>
    <n v="70200"/>
    <n v="459100"/>
    <n v="7.8205730389854386E-2"/>
    <n v="0.99970000000000003"/>
    <n v="0.99980000000000002"/>
    <n v="0.997"/>
    <n v="1.0099"/>
    <n v="0.95689999999999997"/>
    <n v="0.94971499999999998"/>
    <n v="0.91484288524424551"/>
    <n v="377600"/>
    <n v="0"/>
    <n v="377600"/>
    <n v="66600"/>
    <n v="444200"/>
    <n v="5.2690270420964594E-2"/>
    <n v="-7.4515648286140089E-3"/>
    <n v="4.3212775951150778E-2"/>
  </r>
  <r>
    <n v="2025"/>
    <s v="19120141508    "/>
    <n v="-1.3862943611198906"/>
    <n v="0.25"/>
    <n v="10881"/>
    <s v="2"/>
    <s v="RES"/>
    <s v="MX"/>
    <s v="11"/>
    <s v="259"/>
    <s v="RN"/>
    <x v="4"/>
    <s v="GD"/>
    <n v="10"/>
    <n v="19"/>
    <n v="19"/>
    <n v="2005"/>
    <n v="2005"/>
    <n v="1380"/>
    <m/>
    <m/>
    <m/>
    <m/>
    <n v="0"/>
    <n v="1380"/>
    <n v="1500"/>
    <s v="N"/>
    <m/>
    <n v="668"/>
    <m/>
    <m/>
    <m/>
    <m/>
    <m/>
    <n v="291703"/>
    <n v="265450"/>
    <n v="0"/>
    <n v="0"/>
    <n v="67100"/>
    <n v="313600"/>
    <n v="380700"/>
    <n v="132535.48800000001"/>
    <n v="88356.992000000013"/>
    <n v="-18194.172195827363"/>
    <n v="37154.252388000001"/>
    <n v="30300.329274"/>
    <n v="-2066.0808999999999"/>
    <n v="86126.324399999998"/>
    <n v="0"/>
    <n v="0"/>
    <n v="23581.088708000003"/>
    <n v="0"/>
    <n v="307600"/>
    <n v="70200"/>
    <n v="377800"/>
    <n v="-7.6175466246388235E-3"/>
    <n v="0.99970000000000003"/>
    <n v="0.99819999999999998"/>
    <n v="0.997"/>
    <n v="0.99519999999999997"/>
    <n v="0.99080000000000001"/>
    <n v="0.94971499999999998"/>
    <n v="0.93197097384222971"/>
    <n v="298600"/>
    <n v="0"/>
    <n v="298600"/>
    <n v="66600"/>
    <n v="365200"/>
    <n v="-4.7831632653061222E-2"/>
    <n v="-7.4515648286140089E-3"/>
    <n v="-4.0714473338586812E-2"/>
  </r>
  <r>
    <n v="2025"/>
    <s v="19120131427    "/>
    <n v="-1.3862943611198906"/>
    <n v="0.25"/>
    <n v="11064"/>
    <s v="2"/>
    <s v="RES"/>
    <s v="MX"/>
    <s v="11"/>
    <s v="259"/>
    <s v="RN"/>
    <x v="2"/>
    <s v="FR"/>
    <n v="40"/>
    <n v="46"/>
    <n v="44"/>
    <n v="1978"/>
    <n v="1980"/>
    <n v="1242"/>
    <m/>
    <m/>
    <m/>
    <m/>
    <n v="0"/>
    <n v="1242"/>
    <n v="1500"/>
    <s v="N"/>
    <n v="1"/>
    <m/>
    <m/>
    <m/>
    <m/>
    <m/>
    <m/>
    <n v="203504"/>
    <n v="156698"/>
    <n v="0"/>
    <n v="0"/>
    <n v="67100"/>
    <n v="195200"/>
    <n v="262300"/>
    <n v="132535.48800000001"/>
    <n v="88356.992000000013"/>
    <n v="-18194.172195827363"/>
    <n v="-1240.8083630000001"/>
    <n v="0"/>
    <n v="-4784.6084000000001"/>
    <n v="77513.691960000011"/>
    <n v="0"/>
    <n v="0"/>
    <n v="0"/>
    <n v="0"/>
    <n v="204000"/>
    <n v="70200"/>
    <n v="274200"/>
    <n v="4.5367899351887155E-2"/>
    <n v="0.99970000000000003"/>
    <n v="1.0022"/>
    <n v="1"/>
    <n v="0.99519999999999997"/>
    <n v="0.95689999999999997"/>
    <n v="0.94971499999999998"/>
    <n v="0.90640985282198616"/>
    <n v="191600"/>
    <n v="0"/>
    <n v="191600"/>
    <n v="66600"/>
    <n v="258200"/>
    <n v="-1.8442622950819672E-2"/>
    <n v="-7.4515648286140089E-3"/>
    <n v="-1.5630956919557758E-2"/>
  </r>
  <r>
    <n v="2025"/>
    <s v="19120131472    "/>
    <n v="-1.3862943611198906"/>
    <n v="0.25"/>
    <n v="10747"/>
    <s v="2"/>
    <s v="RES"/>
    <s v="MX"/>
    <s v="11"/>
    <s v="259"/>
    <s v="RN"/>
    <x v="2"/>
    <s v="GD"/>
    <n v="40"/>
    <n v="49"/>
    <n v="45"/>
    <n v="1975"/>
    <n v="1979"/>
    <n v="1350"/>
    <m/>
    <m/>
    <m/>
    <m/>
    <n v="0"/>
    <n v="1350"/>
    <n v="1500"/>
    <s v="N"/>
    <m/>
    <m/>
    <m/>
    <m/>
    <m/>
    <m/>
    <m/>
    <n v="200678"/>
    <n v="156529"/>
    <n v="7767"/>
    <n v="0"/>
    <n v="67100"/>
    <n v="226700"/>
    <n v="293800"/>
    <n v="132535.48800000001"/>
    <n v="88356.992000000013"/>
    <n v="-18194.172195827363"/>
    <n v="-1240.8083630000001"/>
    <n v="30300.329274"/>
    <n v="-4893.3495000000003"/>
    <n v="84254.013000000006"/>
    <n v="0"/>
    <n v="0"/>
    <n v="0"/>
    <n v="7800"/>
    <n v="241000"/>
    <n v="70200"/>
    <n v="319000"/>
    <n v="8.5772634445200821E-2"/>
    <n v="0.99970000000000003"/>
    <n v="1.0022"/>
    <n v="0.997"/>
    <n v="0.99519999999999997"/>
    <n v="0.95689999999999997"/>
    <n v="0.94971499999999998"/>
    <n v="0.90369062326352023"/>
    <n v="228200"/>
    <n v="7400"/>
    <n v="235600"/>
    <n v="66600"/>
    <n v="302200"/>
    <n v="3.9258932509925008E-2"/>
    <n v="-7.4515648286140089E-3"/>
    <n v="2.8590878148400271E-2"/>
  </r>
  <r>
    <n v="2025"/>
    <s v="19120131471    "/>
    <n v="-1.3862943611198906"/>
    <n v="0.25"/>
    <n v="10846"/>
    <s v="2"/>
    <s v="RES"/>
    <s v="MX"/>
    <s v="11"/>
    <s v="259"/>
    <s v="RN"/>
    <x v="2"/>
    <s v="GD"/>
    <n v="40"/>
    <n v="47"/>
    <n v="45"/>
    <n v="1977"/>
    <n v="1979"/>
    <n v="1040"/>
    <m/>
    <m/>
    <m/>
    <m/>
    <n v="0"/>
    <n v="1040"/>
    <n v="1500"/>
    <s v="N"/>
    <m/>
    <m/>
    <m/>
    <m/>
    <m/>
    <m/>
    <m/>
    <n v="162977"/>
    <n v="127122"/>
    <n v="20915"/>
    <n v="0"/>
    <n v="67100"/>
    <n v="219600"/>
    <n v="286700"/>
    <n v="132535.48800000001"/>
    <n v="88356.992000000013"/>
    <n v="-18194.172195827363"/>
    <n v="-1240.8083630000001"/>
    <n v="30300.329274"/>
    <n v="-4893.3495000000003"/>
    <n v="64906.7952"/>
    <n v="0"/>
    <n v="0"/>
    <n v="0"/>
    <n v="20900"/>
    <n v="221600"/>
    <n v="70200"/>
    <n v="312700"/>
    <n v="9.068712940355772E-2"/>
    <n v="0.99970000000000003"/>
    <n v="1.0022"/>
    <n v="0.997"/>
    <n v="0.99519999999999997"/>
    <n v="0.95689999999999997"/>
    <n v="0.94971499999999998"/>
    <n v="0.90369062326352023"/>
    <n v="208800"/>
    <n v="19900"/>
    <n v="228700"/>
    <n v="66600"/>
    <n v="295300"/>
    <n v="4.1438979963570127E-2"/>
    <n v="-7.4515648286140089E-3"/>
    <n v="2.9996512033484479E-2"/>
  </r>
  <r>
    <n v="2025"/>
    <s v="19120131428    "/>
    <n v="-1.3862943611198906"/>
    <n v="0.25"/>
    <n v="10679"/>
    <s v="2"/>
    <s v="RES"/>
    <s v="MX"/>
    <s v="11"/>
    <s v="259"/>
    <s v="RN"/>
    <x v="2"/>
    <s v="GD"/>
    <n v="40"/>
    <n v="48"/>
    <n v="45"/>
    <n v="1976"/>
    <n v="1979"/>
    <n v="1248"/>
    <m/>
    <m/>
    <m/>
    <m/>
    <n v="0"/>
    <n v="1248"/>
    <n v="1500"/>
    <s v="N"/>
    <m/>
    <m/>
    <m/>
    <m/>
    <m/>
    <m/>
    <m/>
    <n v="184259"/>
    <n v="143722"/>
    <n v="0"/>
    <n v="0"/>
    <n v="67100"/>
    <n v="212300"/>
    <n v="279400"/>
    <n v="132535.48800000001"/>
    <n v="88356.992000000013"/>
    <n v="-18194.172195827363"/>
    <n v="-1240.8083630000001"/>
    <n v="30300.329274"/>
    <n v="-4893.3495000000003"/>
    <n v="77888.154240000003"/>
    <n v="0"/>
    <n v="0"/>
    <n v="0"/>
    <n v="0"/>
    <n v="234600"/>
    <n v="70200"/>
    <n v="304800"/>
    <n v="9.0909090909090912E-2"/>
    <n v="0.99970000000000003"/>
    <n v="1.0022"/>
    <n v="0.997"/>
    <n v="0.99519999999999997"/>
    <n v="0.95689999999999997"/>
    <n v="0.94971499999999998"/>
    <n v="0.90369062326352023"/>
    <n v="221800"/>
    <n v="0"/>
    <n v="221800"/>
    <n v="66600"/>
    <n v="288400"/>
    <n v="4.4747998115873766E-2"/>
    <n v="-7.4515648286140089E-3"/>
    <n v="3.2211882605583393E-2"/>
  </r>
  <r>
    <n v="2025"/>
    <s v="19120131483    "/>
    <n v="-1.3862943611198906"/>
    <n v="0.25"/>
    <n v="10747"/>
    <s v="2"/>
    <s v="RES"/>
    <s v="MX"/>
    <s v="11"/>
    <s v="259"/>
    <s v="RN"/>
    <x v="2"/>
    <s v="AV"/>
    <n v="50"/>
    <n v="50"/>
    <n v="45"/>
    <n v="1974"/>
    <n v="1979"/>
    <n v="1350"/>
    <m/>
    <m/>
    <m/>
    <m/>
    <n v="0"/>
    <n v="1350"/>
    <n v="1500"/>
    <s v="N"/>
    <m/>
    <m/>
    <m/>
    <m/>
    <m/>
    <m/>
    <m/>
    <n v="211880"/>
    <n v="163148"/>
    <n v="18501"/>
    <n v="0"/>
    <n v="67100"/>
    <n v="232100"/>
    <n v="299200"/>
    <n v="132535.48800000001"/>
    <n v="88356.992000000013"/>
    <n v="-18194.172195827363"/>
    <n v="-1240.8083630000001"/>
    <n v="17761.121909000001"/>
    <n v="-4893.3495000000003"/>
    <n v="84254.013000000006"/>
    <n v="0"/>
    <n v="0"/>
    <n v="0"/>
    <n v="18500"/>
    <n v="228400"/>
    <n v="70200"/>
    <n v="317100"/>
    <n v="5.9826203208556153E-2"/>
    <n v="0.99970000000000003"/>
    <n v="1.0022"/>
    <n v="0.99680000000000002"/>
    <n v="0.99519999999999997"/>
    <n v="1.0470999999999999"/>
    <n v="0.94971499999999998"/>
    <n v="0.98867659240030714"/>
    <n v="226900"/>
    <n v="17600"/>
    <n v="244500"/>
    <n v="66600"/>
    <n v="311100"/>
    <n v="5.3425247738043947E-2"/>
    <n v="-7.4515648286140089E-3"/>
    <n v="3.9772727272727272E-2"/>
  </r>
  <r>
    <n v="2025"/>
    <s v="19120131501    "/>
    <n v="-1.3862943611198906"/>
    <n v="0.25"/>
    <n v="10681"/>
    <s v="2"/>
    <s v="RES"/>
    <s v="MX"/>
    <s v="11"/>
    <s v="259"/>
    <s v="RN"/>
    <x v="2"/>
    <s v="AV"/>
    <n v="40"/>
    <n v="46"/>
    <n v="44"/>
    <n v="1978"/>
    <n v="1980"/>
    <n v="1300"/>
    <m/>
    <m/>
    <m/>
    <m/>
    <n v="0"/>
    <n v="1300"/>
    <n v="1500"/>
    <s v="N"/>
    <m/>
    <n v="325"/>
    <m/>
    <m/>
    <m/>
    <m/>
    <m/>
    <n v="211398"/>
    <n v="164890"/>
    <n v="2145"/>
    <n v="0"/>
    <n v="67100"/>
    <n v="213700"/>
    <n v="280800"/>
    <n v="132535.48800000001"/>
    <n v="88356.992000000013"/>
    <n v="-18194.172195827363"/>
    <n v="-1240.8083630000001"/>
    <n v="17761.121909000001"/>
    <n v="-4784.6084000000001"/>
    <n v="81133.494000000006"/>
    <n v="0"/>
    <n v="0"/>
    <n v="11472.835075000001"/>
    <n v="2100"/>
    <n v="236900"/>
    <n v="70200"/>
    <n v="309200"/>
    <n v="0.10113960113960115"/>
    <n v="0.99970000000000003"/>
    <n v="1.0022"/>
    <n v="0.99680000000000002"/>
    <n v="0.99519999999999997"/>
    <n v="0.95689999999999997"/>
    <n v="0.94971499999999998"/>
    <n v="0.90350934129295579"/>
    <n v="224100"/>
    <n v="2000"/>
    <n v="226100"/>
    <n v="66600"/>
    <n v="292700"/>
    <n v="5.8025269068788021E-2"/>
    <n v="-7.4515648286140089E-3"/>
    <n v="4.2378917378917379E-2"/>
  </r>
  <r>
    <n v="2025"/>
    <s v="19120131506    "/>
    <n v="-1.3862943611198906"/>
    <n v="0.25"/>
    <n v="10945"/>
    <s v="2"/>
    <s v="RES"/>
    <s v="MX"/>
    <s v="11"/>
    <s v="259"/>
    <s v="RN"/>
    <x v="0"/>
    <s v="GD"/>
    <n v="40"/>
    <n v="43"/>
    <n v="43"/>
    <n v="1981"/>
    <n v="1981"/>
    <n v="1000"/>
    <m/>
    <m/>
    <m/>
    <m/>
    <n v="0"/>
    <n v="1000"/>
    <n v="1500"/>
    <s v="N"/>
    <m/>
    <m/>
    <m/>
    <m/>
    <m/>
    <m/>
    <m/>
    <n v="185388"/>
    <n v="146457"/>
    <n v="31806"/>
    <n v="0"/>
    <n v="67100"/>
    <n v="247100"/>
    <n v="314200"/>
    <n v="132535.48800000001"/>
    <n v="88356.992000000013"/>
    <n v="-18194.172195827363"/>
    <n v="24371.765965999999"/>
    <n v="30300.329274"/>
    <n v="-4675.8672999999999"/>
    <n v="62410.380000000005"/>
    <n v="0"/>
    <n v="0"/>
    <n v="0"/>
    <n v="31800"/>
    <n v="244900"/>
    <n v="70200"/>
    <n v="346900"/>
    <n v="0.10407383831954169"/>
    <n v="0.99970000000000003"/>
    <n v="0.99199999999999999"/>
    <n v="0.997"/>
    <n v="0.99519999999999997"/>
    <n v="0.95689999999999997"/>
    <n v="0.94971499999999998"/>
    <n v="0.89449321320835362"/>
    <n v="231000"/>
    <n v="30200"/>
    <n v="261200"/>
    <n v="66600"/>
    <n v="327800"/>
    <n v="5.7061918251719954E-2"/>
    <n v="-7.4515648286140089E-3"/>
    <n v="4.3284532145130492E-2"/>
  </r>
  <r>
    <n v="2025"/>
    <s v="19120131490    "/>
    <n v="-1.3862943611198906"/>
    <n v="0.25"/>
    <n v="11098"/>
    <s v="2"/>
    <s v="RES"/>
    <s v="MX"/>
    <s v="11"/>
    <s v="259"/>
    <s v="RN"/>
    <x v="2"/>
    <s v="AV"/>
    <n v="50"/>
    <n v="50"/>
    <n v="45"/>
    <n v="1974"/>
    <n v="1979"/>
    <n v="1025"/>
    <m/>
    <m/>
    <m/>
    <m/>
    <n v="0"/>
    <n v="1025"/>
    <n v="1500"/>
    <s v="N"/>
    <n v="1"/>
    <n v="288"/>
    <m/>
    <m/>
    <m/>
    <m/>
    <m/>
    <n v="177394"/>
    <n v="136593"/>
    <n v="0"/>
    <n v="0"/>
    <n v="67100"/>
    <n v="202100"/>
    <n v="269200"/>
    <n v="132535.48800000001"/>
    <n v="88356.992000000013"/>
    <n v="-18194.172195827363"/>
    <n v="-1240.8083630000001"/>
    <n v="17761.121909000001"/>
    <n v="-4893.3495000000003"/>
    <n v="63970.639500000005"/>
    <n v="0"/>
    <n v="0"/>
    <n v="10166.696928000001"/>
    <n v="0"/>
    <n v="218300"/>
    <n v="70200"/>
    <n v="288500"/>
    <n v="7.1693907875185731E-2"/>
    <n v="0.99970000000000003"/>
    <n v="1.0022"/>
    <n v="0.99680000000000002"/>
    <n v="0.99519999999999997"/>
    <n v="1.0470999999999999"/>
    <n v="0.94971499999999998"/>
    <n v="0.98867659240030714"/>
    <n v="216800"/>
    <n v="0"/>
    <n v="216800"/>
    <n v="66600"/>
    <n v="283400"/>
    <n v="7.2736269173676399E-2"/>
    <n v="-7.4515648286140089E-3"/>
    <n v="5.274888558692422E-2"/>
  </r>
  <r>
    <n v="2025"/>
    <s v="19120131488    "/>
    <n v="-1.3862943611198906"/>
    <n v="0.25"/>
    <n v="11078"/>
    <s v="2"/>
    <s v="RES"/>
    <s v="MX"/>
    <s v="11"/>
    <s v="259"/>
    <s v="RN"/>
    <x v="2"/>
    <s v="AV"/>
    <n v="50"/>
    <n v="50"/>
    <n v="45"/>
    <n v="1974"/>
    <n v="1979"/>
    <n v="1025"/>
    <m/>
    <m/>
    <m/>
    <m/>
    <n v="0"/>
    <n v="1025"/>
    <n v="1500"/>
    <s v="N"/>
    <m/>
    <n v="288"/>
    <m/>
    <m/>
    <m/>
    <m/>
    <m/>
    <n v="174086"/>
    <n v="134046"/>
    <n v="0"/>
    <n v="0"/>
    <n v="67100"/>
    <n v="200900"/>
    <n v="268000"/>
    <n v="132535.48800000001"/>
    <n v="88356.992000000013"/>
    <n v="-18194.172195827363"/>
    <n v="-1240.8083630000001"/>
    <n v="17761.121909000001"/>
    <n v="-4893.3495000000003"/>
    <n v="63970.639500000005"/>
    <n v="0"/>
    <n v="0"/>
    <n v="10166.696928000001"/>
    <n v="0"/>
    <n v="218300"/>
    <n v="70200"/>
    <n v="288500"/>
    <n v="7.6492537313432835E-2"/>
    <n v="0.99970000000000003"/>
    <n v="1.0022"/>
    <n v="0.99680000000000002"/>
    <n v="0.99519999999999997"/>
    <n v="1.0470999999999999"/>
    <n v="0.94971499999999998"/>
    <n v="0.98867659240030714"/>
    <n v="216800"/>
    <n v="0"/>
    <n v="216800"/>
    <n v="66600"/>
    <n v="283400"/>
    <n v="7.914385266301642E-2"/>
    <n v="-7.4515648286140089E-3"/>
    <n v="5.7462686567164176E-2"/>
  </r>
  <r>
    <n v="2025"/>
    <s v="19120131460    "/>
    <n v="-1.3862943611198906"/>
    <n v="0.25"/>
    <n v="10862"/>
    <s v="2"/>
    <s v="RES"/>
    <s v="MX"/>
    <s v="11"/>
    <s v="259"/>
    <s v="RN"/>
    <x v="2"/>
    <s v="AV"/>
    <n v="40"/>
    <n v="48"/>
    <n v="45"/>
    <n v="1976"/>
    <n v="1979"/>
    <n v="1404"/>
    <m/>
    <m/>
    <m/>
    <m/>
    <n v="0"/>
    <n v="1404"/>
    <n v="1500"/>
    <s v="N"/>
    <m/>
    <m/>
    <m/>
    <m/>
    <m/>
    <m/>
    <m/>
    <n v="205608"/>
    <n v="158318"/>
    <n v="0"/>
    <n v="0"/>
    <n v="67100"/>
    <n v="202100"/>
    <n v="269200"/>
    <n v="132535.48800000001"/>
    <n v="88356.992000000013"/>
    <n v="-18194.172195827363"/>
    <n v="-1240.8083630000001"/>
    <n v="17761.121909000001"/>
    <n v="-4893.3495000000003"/>
    <n v="87624.173520000011"/>
    <n v="0"/>
    <n v="0"/>
    <n v="0"/>
    <n v="0"/>
    <n v="231800"/>
    <n v="70200"/>
    <n v="302000"/>
    <n v="0.12184249628528974"/>
    <n v="0.99970000000000003"/>
    <n v="1.0022"/>
    <n v="0.99680000000000002"/>
    <n v="0.99519999999999997"/>
    <n v="0.95689999999999997"/>
    <n v="0.94971499999999998"/>
    <n v="0.90350934129295579"/>
    <n v="219000"/>
    <n v="0"/>
    <n v="219000"/>
    <n v="66600"/>
    <n v="285600"/>
    <n v="8.3621969322117767E-2"/>
    <n v="-7.4515648286140089E-3"/>
    <n v="6.0921248142644872E-2"/>
  </r>
  <r>
    <n v="2025"/>
    <s v="19120131475    "/>
    <n v="-1.3862943611198906"/>
    <n v="0.25"/>
    <n v="10857"/>
    <s v="2"/>
    <s v="RES"/>
    <s v="MX"/>
    <s v="11"/>
    <s v="259"/>
    <s v="RN"/>
    <x v="2"/>
    <s v="AV"/>
    <n v="50"/>
    <n v="50"/>
    <n v="45"/>
    <n v="1974"/>
    <n v="1979"/>
    <n v="1458"/>
    <m/>
    <m/>
    <m/>
    <m/>
    <n v="0"/>
    <n v="1458"/>
    <n v="1500"/>
    <s v="N"/>
    <m/>
    <n v="348"/>
    <m/>
    <m/>
    <m/>
    <m/>
    <m/>
    <n v="221462"/>
    <n v="170526"/>
    <n v="0"/>
    <n v="0"/>
    <n v="67100"/>
    <n v="219800"/>
    <n v="286900"/>
    <n v="132535.48800000001"/>
    <n v="88356.992000000013"/>
    <n v="-18194.172195827363"/>
    <n v="-1240.8083630000001"/>
    <n v="17761.121909000001"/>
    <n v="-4893.3495000000003"/>
    <n v="90994.334040000002"/>
    <n v="0"/>
    <n v="0"/>
    <n v="12284.758788000001"/>
    <n v="0"/>
    <n v="247400"/>
    <n v="70200"/>
    <n v="317600"/>
    <n v="0.10700592540955037"/>
    <n v="0.99970000000000003"/>
    <n v="1.0022"/>
    <n v="0.99680000000000002"/>
    <n v="0.99519999999999997"/>
    <n v="1.0470999999999999"/>
    <n v="0.94971499999999998"/>
    <n v="0.98867659240030714"/>
    <n v="245900"/>
    <n v="0"/>
    <n v="245900"/>
    <n v="66600"/>
    <n v="312500"/>
    <n v="0.11874431301182893"/>
    <n v="-7.4515648286140089E-3"/>
    <n v="8.9229696758452423E-2"/>
  </r>
  <r>
    <n v="2025"/>
    <s v="19120131492    "/>
    <n v="-1.3862943611198906"/>
    <n v="0.25"/>
    <n v="10808"/>
    <s v="2"/>
    <s v="RES"/>
    <s v="MX"/>
    <s v="11"/>
    <s v="259"/>
    <s v="RN"/>
    <x v="0"/>
    <s v="GD"/>
    <n v="50"/>
    <n v="50"/>
    <n v="45"/>
    <n v="1974"/>
    <n v="1979"/>
    <n v="1032"/>
    <m/>
    <m/>
    <m/>
    <m/>
    <n v="0"/>
    <n v="1032"/>
    <n v="1500"/>
    <s v="N"/>
    <m/>
    <n v="288"/>
    <m/>
    <m/>
    <m/>
    <m/>
    <m/>
    <n v="188794"/>
    <n v="147259"/>
    <n v="0"/>
    <n v="0"/>
    <n v="67100"/>
    <n v="227300"/>
    <n v="294400"/>
    <n v="132535.48800000001"/>
    <n v="88356.992000000013"/>
    <n v="-18194.172195827363"/>
    <n v="24371.765965999999"/>
    <n v="30300.329274"/>
    <n v="-4893.3495000000003"/>
    <n v="64407.512160000006"/>
    <n v="0"/>
    <n v="0"/>
    <n v="10166.696928000001"/>
    <n v="0"/>
    <n v="256900"/>
    <n v="70200"/>
    <n v="327100"/>
    <n v="0.11107336956521739"/>
    <n v="0.99970000000000003"/>
    <n v="0.99199999999999999"/>
    <n v="0.997"/>
    <n v="0.99519999999999997"/>
    <n v="1.0470999999999999"/>
    <n v="0.94971499999999998"/>
    <n v="0.97881057952812944"/>
    <n v="254100"/>
    <n v="0"/>
    <n v="254100"/>
    <n v="66600"/>
    <n v="320700"/>
    <n v="0.11790585129784426"/>
    <n v="-7.4515648286140089E-3"/>
    <n v="8.9334239130434784E-2"/>
  </r>
  <r>
    <n v="2025"/>
    <s v="19120131480    "/>
    <n v="-1.3862943611198906"/>
    <n v="0.25"/>
    <n v="10812"/>
    <s v="2"/>
    <s v="RES"/>
    <s v="MX"/>
    <s v="11"/>
    <s v="259"/>
    <s v="RN"/>
    <x v="0"/>
    <s v="GD"/>
    <n v="50"/>
    <n v="51"/>
    <n v="46"/>
    <n v="1973"/>
    <n v="1978"/>
    <n v="1110"/>
    <m/>
    <m/>
    <m/>
    <m/>
    <n v="0"/>
    <n v="1110"/>
    <n v="1500"/>
    <s v="N"/>
    <m/>
    <n v="300"/>
    <m/>
    <m/>
    <m/>
    <m/>
    <m/>
    <n v="204048"/>
    <n v="157117"/>
    <n v="0"/>
    <n v="0"/>
    <n v="67100"/>
    <n v="229900"/>
    <n v="297000"/>
    <n v="132535.48800000001"/>
    <n v="88356.992000000013"/>
    <n v="-18194.172195827363"/>
    <n v="24371.765965999999"/>
    <n v="30300.329274"/>
    <n v="-5002.0906000000004"/>
    <n v="69275.521800000002"/>
    <n v="0"/>
    <n v="0"/>
    <n v="10590.309300000001"/>
    <n v="0"/>
    <n v="262100"/>
    <n v="70200"/>
    <n v="332300"/>
    <n v="0.11885521885521885"/>
    <n v="0.99970000000000003"/>
    <n v="0.99199999999999999"/>
    <n v="0.997"/>
    <n v="0.99519999999999997"/>
    <n v="1.0470999999999999"/>
    <n v="0.94971499999999998"/>
    <n v="0.97881057952812944"/>
    <n v="259300"/>
    <n v="0"/>
    <n v="259300"/>
    <n v="66600"/>
    <n v="325900"/>
    <n v="0.12788168769030014"/>
    <n v="-7.4515648286140089E-3"/>
    <n v="9.7306397306397313E-2"/>
  </r>
  <r>
    <n v="2025"/>
    <s v="19120131473    "/>
    <n v="-1.3862943611198906"/>
    <n v="0.25"/>
    <n v="10691"/>
    <s v="2"/>
    <s v="RES"/>
    <s v="MX"/>
    <s v="11"/>
    <s v="259"/>
    <s v="RN"/>
    <x v="1"/>
    <s v="GD"/>
    <n v="50"/>
    <n v="51"/>
    <n v="46"/>
    <n v="1973"/>
    <n v="1978"/>
    <n v="1000"/>
    <m/>
    <m/>
    <m/>
    <m/>
    <n v="0"/>
    <n v="1000"/>
    <n v="1500"/>
    <s v="N"/>
    <m/>
    <n v="288"/>
    <m/>
    <m/>
    <m/>
    <m/>
    <m/>
    <n v="151248"/>
    <n v="116461"/>
    <n v="0"/>
    <n v="0"/>
    <n v="67100"/>
    <n v="197800"/>
    <n v="264900"/>
    <n v="132535.48800000001"/>
    <n v="88356.992000000013"/>
    <n v="-18194.172195827363"/>
    <n v="0"/>
    <n v="30300.329274"/>
    <n v="-5002.0906000000004"/>
    <n v="62410.380000000005"/>
    <n v="0"/>
    <n v="0"/>
    <n v="10166.696928000001"/>
    <n v="0"/>
    <n v="230400"/>
    <n v="70200"/>
    <n v="300600"/>
    <n v="0.13476783691959229"/>
    <n v="0.99970000000000003"/>
    <n v="1.0003"/>
    <n v="0.997"/>
    <n v="0.99519999999999997"/>
    <n v="1.0470999999999999"/>
    <n v="0.94971499999999998"/>
    <n v="0.98700022449797165"/>
    <n v="228700"/>
    <n v="0"/>
    <n v="228700"/>
    <n v="66600"/>
    <n v="295300"/>
    <n v="0.15621840242669363"/>
    <n v="-7.4515648286140089E-3"/>
    <n v="0.11476028690071725"/>
  </r>
  <r>
    <n v="2025"/>
    <s v="19120131479    "/>
    <n v="-1.3862943611198906"/>
    <n v="0.25"/>
    <n v="11079"/>
    <s v="2"/>
    <s v="RES"/>
    <s v="MX"/>
    <s v="11"/>
    <s v="259"/>
    <s v="RN"/>
    <x v="0"/>
    <s v="AV"/>
    <n v="50"/>
    <n v="51"/>
    <n v="46"/>
    <n v="1973"/>
    <n v="1978"/>
    <n v="1528"/>
    <m/>
    <m/>
    <m/>
    <m/>
    <n v="0"/>
    <n v="1528"/>
    <n v="2000"/>
    <s v="N"/>
    <m/>
    <n v="288"/>
    <m/>
    <m/>
    <m/>
    <m/>
    <m/>
    <n v="258539"/>
    <n v="196490"/>
    <n v="0"/>
    <n v="0"/>
    <n v="67100"/>
    <n v="231700"/>
    <n v="298800"/>
    <n v="132535.48800000001"/>
    <n v="88356.992000000013"/>
    <n v="-18194.172195827363"/>
    <n v="24371.765965999999"/>
    <n v="17761.121909000001"/>
    <n v="-5002.0906000000004"/>
    <n v="95363.060640000011"/>
    <n v="0"/>
    <n v="0"/>
    <n v="10166.696928000001"/>
    <n v="0"/>
    <n v="275200"/>
    <n v="70200"/>
    <n v="345400"/>
    <n v="0.15595716198125836"/>
    <n v="0.99970000000000003"/>
    <n v="0.99199999999999999"/>
    <n v="0.99680000000000002"/>
    <n v="1.0007999999999999"/>
    <n v="1.0470999999999999"/>
    <n v="0.94971499999999998"/>
    <n v="0.98412090006169861"/>
    <n v="273100"/>
    <n v="0"/>
    <n v="273100"/>
    <n v="66600"/>
    <n v="339700"/>
    <n v="0.17867932671558048"/>
    <n v="-7.4515648286140089E-3"/>
    <n v="0.13688085676037484"/>
  </r>
  <r>
    <n v="2025"/>
    <s v="19120143412    "/>
    <n v="-1.3862943611198906"/>
    <n v="0.25"/>
    <n v="10869"/>
    <s v="2"/>
    <s v="RES"/>
    <s v="MX"/>
    <s v="11"/>
    <s v="259"/>
    <s v="TD"/>
    <x v="3"/>
    <s v="GD"/>
    <n v="80"/>
    <n v="83"/>
    <n v="52"/>
    <n v="1941"/>
    <n v="1972"/>
    <n v="1242"/>
    <m/>
    <m/>
    <m/>
    <m/>
    <n v="0"/>
    <n v="1242"/>
    <n v="1500"/>
    <s v="N"/>
    <m/>
    <m/>
    <m/>
    <m/>
    <m/>
    <m/>
    <m/>
    <n v="156399"/>
    <n v="109479"/>
    <n v="5158"/>
    <n v="0"/>
    <n v="67100"/>
    <n v="179700"/>
    <n v="246800"/>
    <n v="132535.48800000001"/>
    <n v="88356.992000000013"/>
    <n v="-18194.172195827363"/>
    <n v="-9114.1675108666695"/>
    <n v="30300.329274"/>
    <n v="-5654.5371999999998"/>
    <n v="77513.691960000011"/>
    <n v="0"/>
    <n v="0"/>
    <n v="0"/>
    <n v="5200"/>
    <n v="225600"/>
    <n v="70200"/>
    <n v="301000"/>
    <n v="0.21961102106969205"/>
    <n v="0.99970000000000003"/>
    <n v="1"/>
    <n v="0.997"/>
    <n v="0.99519999999999997"/>
    <n v="1"/>
    <n v="0.94971499999999998"/>
    <n v="0.9423208988959999"/>
    <n v="217900"/>
    <n v="4900"/>
    <n v="222800"/>
    <n v="66600"/>
    <n v="289400"/>
    <n v="0.23984418475236505"/>
    <n v="-7.4515648286140089E-3"/>
    <n v="0.17260940032414912"/>
  </r>
  <r>
    <n v="2025"/>
    <s v="19120131426    "/>
    <n v="-1.3470736479666092"/>
    <n v="0.26"/>
    <n v="11290"/>
    <s v="2"/>
    <s v="RES"/>
    <s v="MX"/>
    <s v="11"/>
    <s v="259"/>
    <s v="RN"/>
    <x v="0"/>
    <s v="AV"/>
    <n v="40"/>
    <n v="47"/>
    <n v="45"/>
    <n v="1977"/>
    <n v="1979"/>
    <n v="1296"/>
    <m/>
    <m/>
    <m/>
    <m/>
    <n v="0"/>
    <n v="1296"/>
    <n v="1500"/>
    <s v="B"/>
    <m/>
    <m/>
    <m/>
    <m/>
    <m/>
    <m/>
    <m/>
    <n v="209853"/>
    <n v="161587"/>
    <n v="0"/>
    <n v="0"/>
    <n v="67600"/>
    <n v="212500"/>
    <n v="280100"/>
    <n v="132535.48800000001"/>
    <n v="88356.992000000013"/>
    <n v="-17679.426966554776"/>
    <n v="24371.765965999999"/>
    <n v="17761.121909000001"/>
    <n v="-4893.3495000000003"/>
    <n v="80883.852480000001"/>
    <n v="0"/>
    <n v="0"/>
    <n v="0"/>
    <n v="0"/>
    <n v="250700"/>
    <n v="70700"/>
    <n v="321400"/>
    <n v="0.14744734023563014"/>
    <n v="0.99970000000000003"/>
    <n v="0.99199999999999999"/>
    <n v="0.99680000000000002"/>
    <n v="0.99519999999999997"/>
    <n v="0.95689999999999997"/>
    <n v="0.94971499999999998"/>
    <n v="0.89431377625485153"/>
    <n v="236700"/>
    <n v="0"/>
    <n v="236700"/>
    <n v="67100"/>
    <n v="303800"/>
    <n v="0.11388235294117648"/>
    <n v="-7.3964497041420114E-3"/>
    <n v="8.4612638343448773E-2"/>
  </r>
  <r>
    <n v="2025"/>
    <s v="19120142451    "/>
    <n v="-1.3470736479666092"/>
    <n v="0.26"/>
    <n v="11504"/>
    <s v="2"/>
    <s v="RES"/>
    <s v="MX"/>
    <s v="11"/>
    <s v="259"/>
    <s v="CO"/>
    <x v="0"/>
    <s v="AV"/>
    <n v="110"/>
    <n v="119"/>
    <n v="71"/>
    <n v="1905"/>
    <n v="1953"/>
    <n v="1288"/>
    <n v="788"/>
    <n v="315"/>
    <m/>
    <m/>
    <n v="315"/>
    <n v="2076"/>
    <n v="2500"/>
    <s v="N"/>
    <m/>
    <m/>
    <m/>
    <m/>
    <m/>
    <m/>
    <m/>
    <n v="320558"/>
    <n v="176307"/>
    <n v="2738"/>
    <n v="0"/>
    <n v="67600"/>
    <n v="240700"/>
    <n v="308300"/>
    <n v="132535.48800000001"/>
    <n v="88356.992000000013"/>
    <n v="-17679.426966554776"/>
    <n v="24371.765965999999"/>
    <n v="17761.121909000001"/>
    <n v="-7720.6181000000006"/>
    <n v="80384.569440000007"/>
    <n v="46949.341803999996"/>
    <n v="19714.74624"/>
    <n v="0"/>
    <n v="2700"/>
    <n v="314000"/>
    <n v="70700"/>
    <n v="387400"/>
    <n v="0.25656827765163803"/>
    <n v="0.99970000000000003"/>
    <n v="0.99199999999999999"/>
    <n v="0.99680000000000002"/>
    <n v="1.0008999999999999"/>
    <n v="1"/>
    <n v="0.94971499999999998"/>
    <n v="0.93994769695823355"/>
    <n v="306000"/>
    <n v="2600"/>
    <n v="308600"/>
    <n v="67100"/>
    <n v="375700"/>
    <n v="0.28209389281262981"/>
    <n v="-7.3964497041420114E-3"/>
    <n v="0.21861822899772948"/>
  </r>
  <r>
    <n v="2025"/>
    <s v="20120633408    "/>
    <n v="-1.3470736479666092"/>
    <n v="0.26"/>
    <n v="11302"/>
    <s v="2"/>
    <s v="RES"/>
    <s v="MX"/>
    <s v="11"/>
    <s v="259"/>
    <s v="CP"/>
    <x v="5"/>
    <s v="VG"/>
    <n v="10"/>
    <n v="16"/>
    <n v="16"/>
    <n v="2008"/>
    <n v="2008"/>
    <n v="1173"/>
    <n v="1322"/>
    <m/>
    <m/>
    <m/>
    <n v="0"/>
    <n v="2495"/>
    <n v="2500"/>
    <s v="N"/>
    <m/>
    <m/>
    <n v="488"/>
    <m/>
    <m/>
    <m/>
    <m/>
    <n v="478406"/>
    <n v="444918"/>
    <n v="0"/>
    <n v="0"/>
    <n v="67600"/>
    <n v="369600"/>
    <n v="437200"/>
    <n v="132535.48800000001"/>
    <n v="88356.992000000013"/>
    <n v="-17679.426966554776"/>
    <n v="32917.849192000001"/>
    <n v="50438.379078999998"/>
    <n v="-1739.8576"/>
    <n v="73207.375740000003"/>
    <n v="78765.266325999997"/>
    <n v="0"/>
    <n v="0"/>
    <n v="0"/>
    <n v="366100"/>
    <n v="70700"/>
    <n v="436800"/>
    <n v="-9.1491308325709062E-4"/>
    <n v="0.99970000000000003"/>
    <n v="1.0019"/>
    <n v="1.0007999999999999"/>
    <n v="1.0008999999999999"/>
    <n v="0.99080000000000001"/>
    <n v="0.94971499999999998"/>
    <n v="0.94436885958806405"/>
    <n v="358800"/>
    <n v="0"/>
    <n v="358800"/>
    <n v="67100"/>
    <n v="425900"/>
    <n v="-2.922077922077922E-2"/>
    <n v="-7.3964497041420114E-3"/>
    <n v="-2.584629460201281E-2"/>
  </r>
  <r>
    <n v="2025"/>
    <s v="19120131477    "/>
    <n v="-1.3470736479666092"/>
    <n v="0.26"/>
    <n v="11453"/>
    <s v="2"/>
    <s v="RES"/>
    <s v="MX"/>
    <s v="11"/>
    <s v="259"/>
    <s v="RN"/>
    <x v="2"/>
    <s v="AV"/>
    <n v="50"/>
    <n v="50"/>
    <n v="45"/>
    <n v="1974"/>
    <n v="1979"/>
    <n v="1350"/>
    <m/>
    <m/>
    <m/>
    <m/>
    <n v="0"/>
    <n v="1350"/>
    <n v="1500"/>
    <s v="N"/>
    <m/>
    <m/>
    <m/>
    <m/>
    <m/>
    <m/>
    <m/>
    <n v="207066"/>
    <n v="159441"/>
    <n v="0"/>
    <n v="0"/>
    <n v="67600"/>
    <n v="210800"/>
    <n v="278400"/>
    <n v="132535.48800000001"/>
    <n v="88356.992000000013"/>
    <n v="-17679.426966554776"/>
    <n v="-1240.8083630000001"/>
    <n v="17761.121909000001"/>
    <n v="-4893.3495000000003"/>
    <n v="84254.013000000006"/>
    <n v="0"/>
    <n v="0"/>
    <n v="0"/>
    <n v="0"/>
    <n v="228400"/>
    <n v="70700"/>
    <n v="299100"/>
    <n v="7.4353448275862072E-2"/>
    <n v="0.99970000000000003"/>
    <n v="1.0022"/>
    <n v="0.99680000000000002"/>
    <n v="0.99519999999999997"/>
    <n v="1.0470999999999999"/>
    <n v="0.94971499999999998"/>
    <n v="0.98867659240030714"/>
    <n v="226900"/>
    <n v="0"/>
    <n v="226900"/>
    <n v="67100"/>
    <n v="294000"/>
    <n v="7.6375711574952557E-2"/>
    <n v="-7.3964497041420114E-3"/>
    <n v="5.6034482758620691E-2"/>
  </r>
  <r>
    <n v="2025"/>
    <s v="19120131493    "/>
    <n v="-1.3470736479666092"/>
    <n v="0.26"/>
    <n v="11313"/>
    <s v="2"/>
    <s v="RES"/>
    <s v="MX"/>
    <s v="11"/>
    <s v="259"/>
    <s v="RN"/>
    <x v="2"/>
    <s v="GD"/>
    <n v="50"/>
    <n v="50"/>
    <n v="45"/>
    <n v="1974"/>
    <n v="1979"/>
    <n v="1100"/>
    <m/>
    <m/>
    <m/>
    <m/>
    <n v="0"/>
    <n v="1100"/>
    <n v="1500"/>
    <s v="N"/>
    <m/>
    <n v="300"/>
    <m/>
    <m/>
    <m/>
    <m/>
    <m/>
    <n v="184252"/>
    <n v="143717"/>
    <n v="0"/>
    <n v="0"/>
    <n v="67600"/>
    <n v="215700"/>
    <n v="283300"/>
    <n v="132535.48800000001"/>
    <n v="88356.992000000013"/>
    <n v="-17679.426966554776"/>
    <n v="-1240.8083630000001"/>
    <n v="30300.329274"/>
    <n v="-4893.3495000000003"/>
    <n v="68651.418000000005"/>
    <n v="0"/>
    <n v="0"/>
    <n v="10590.309300000001"/>
    <n v="0"/>
    <n v="235900"/>
    <n v="70700"/>
    <n v="306600"/>
    <n v="8.2244969996470171E-2"/>
    <n v="0.99970000000000003"/>
    <n v="1.0022"/>
    <n v="0.997"/>
    <n v="0.99519999999999997"/>
    <n v="1.0470999999999999"/>
    <n v="0.94971499999999998"/>
    <n v="0.98887496250311624"/>
    <n v="234500"/>
    <n v="0"/>
    <n v="234500"/>
    <n v="67100"/>
    <n v="301600"/>
    <n v="8.7158089939731107E-2"/>
    <n v="-7.3964497041420114E-3"/>
    <n v="6.4595834804094601E-2"/>
  </r>
  <r>
    <n v="2025"/>
    <s v="19120131485    "/>
    <n v="-1.3470736479666092"/>
    <n v="0.26"/>
    <n v="11276"/>
    <s v="2"/>
    <s v="RES"/>
    <s v="MX"/>
    <s v="11"/>
    <s v="259"/>
    <s v="RN"/>
    <x v="2"/>
    <s v="AV"/>
    <n v="50"/>
    <n v="50"/>
    <n v="45"/>
    <n v="1974"/>
    <n v="1979"/>
    <n v="1068"/>
    <m/>
    <m/>
    <m/>
    <m/>
    <n v="0"/>
    <n v="1068"/>
    <n v="1500"/>
    <s v="N"/>
    <m/>
    <n v="264"/>
    <m/>
    <m/>
    <m/>
    <m/>
    <m/>
    <n v="165916"/>
    <n v="127755"/>
    <n v="0"/>
    <n v="0"/>
    <n v="67600"/>
    <n v="197100"/>
    <n v="264700"/>
    <n v="132535.48800000001"/>
    <n v="88356.992000000013"/>
    <n v="-17679.426966554776"/>
    <n v="-1240.8083630000001"/>
    <n v="17761.121909000001"/>
    <n v="-4893.3495000000003"/>
    <n v="66654.285839999997"/>
    <n v="0"/>
    <n v="0"/>
    <n v="9319.4721840000002"/>
    <n v="0"/>
    <n v="220100"/>
    <n v="70700"/>
    <n v="290800"/>
    <n v="9.8602191159803551E-2"/>
    <n v="0.99970000000000003"/>
    <n v="1.0022"/>
    <n v="0.99680000000000002"/>
    <n v="0.99519999999999997"/>
    <n v="1.0470999999999999"/>
    <n v="0.94971499999999998"/>
    <n v="0.98867659240030714"/>
    <n v="218600"/>
    <n v="0"/>
    <n v="218600"/>
    <n v="67100"/>
    <n v="285700"/>
    <n v="0.10908168442415017"/>
    <n v="-7.3964497041420114E-3"/>
    <n v="7.9335096335474128E-2"/>
  </r>
  <r>
    <n v="2025"/>
    <s v="19120131487    "/>
    <n v="-1.3470736479666092"/>
    <n v="0.26"/>
    <n v="11433"/>
    <s v="2"/>
    <s v="RES"/>
    <s v="MX"/>
    <s v="11"/>
    <s v="259"/>
    <s v="RN"/>
    <x v="2"/>
    <s v="AV"/>
    <n v="50"/>
    <n v="50"/>
    <n v="45"/>
    <n v="1974"/>
    <n v="1979"/>
    <n v="1332"/>
    <m/>
    <m/>
    <m/>
    <m/>
    <n v="0"/>
    <n v="1332"/>
    <n v="1500"/>
    <s v="N"/>
    <m/>
    <m/>
    <m/>
    <m/>
    <m/>
    <m/>
    <m/>
    <n v="207161"/>
    <n v="159514"/>
    <n v="0"/>
    <n v="0"/>
    <n v="67600"/>
    <n v="198600"/>
    <n v="266200"/>
    <n v="132535.48800000001"/>
    <n v="88356.992000000013"/>
    <n v="-17679.426966554776"/>
    <n v="-1240.8083630000001"/>
    <n v="17761.121909000001"/>
    <n v="-4893.3495000000003"/>
    <n v="83130.62616"/>
    <n v="0"/>
    <n v="0"/>
    <n v="0"/>
    <n v="0"/>
    <n v="227300"/>
    <n v="70700"/>
    <n v="298000"/>
    <n v="0.11945905334335086"/>
    <n v="0.99970000000000003"/>
    <n v="1.0022"/>
    <n v="0.99680000000000002"/>
    <n v="0.99519999999999997"/>
    <n v="1.0470999999999999"/>
    <n v="0.94971499999999998"/>
    <n v="0.98867659240030714"/>
    <n v="225800"/>
    <n v="0"/>
    <n v="225800"/>
    <n v="67100"/>
    <n v="292900"/>
    <n v="0.13695871097683787"/>
    <n v="-7.3964497041420114E-3"/>
    <n v="0.10030052592036064"/>
  </r>
  <r>
    <n v="2025"/>
    <s v="19120131491    "/>
    <n v="-1.3470736479666092"/>
    <n v="0.26"/>
    <n v="11192"/>
    <s v="2"/>
    <s v="RES"/>
    <s v="MX"/>
    <s v="11"/>
    <s v="259"/>
    <s v="RN"/>
    <x v="0"/>
    <s v="GD"/>
    <n v="50"/>
    <n v="50"/>
    <n v="45"/>
    <n v="1974"/>
    <n v="1979"/>
    <n v="1493"/>
    <m/>
    <m/>
    <m/>
    <m/>
    <n v="0"/>
    <n v="1493"/>
    <n v="1500"/>
    <s v="N"/>
    <m/>
    <m/>
    <m/>
    <m/>
    <m/>
    <m/>
    <m/>
    <n v="236792"/>
    <n v="184698"/>
    <n v="1998"/>
    <n v="0"/>
    <n v="67600"/>
    <n v="235300"/>
    <n v="302900"/>
    <n v="132535.48800000001"/>
    <n v="88356.992000000013"/>
    <n v="-17679.426966554776"/>
    <n v="24371.765965999999"/>
    <n v="30300.329274"/>
    <n v="-4893.3495000000003"/>
    <n v="93178.697339999999"/>
    <n v="0"/>
    <n v="0"/>
    <n v="0"/>
    <n v="2000"/>
    <n v="275500"/>
    <n v="70700"/>
    <n v="348200"/>
    <n v="0.14955430835259162"/>
    <n v="0.99970000000000003"/>
    <n v="0.99199999999999999"/>
    <n v="0.997"/>
    <n v="0.99519999999999997"/>
    <n v="1.0470999999999999"/>
    <n v="0.94971499999999998"/>
    <n v="0.97881057952812944"/>
    <n v="272700"/>
    <n v="1900"/>
    <n v="274600"/>
    <n v="67100"/>
    <n v="341700"/>
    <n v="0.16702082447938801"/>
    <n v="-7.3964497041420114E-3"/>
    <n v="0.12809508088478044"/>
  </r>
  <r>
    <n v="2025"/>
    <s v="19120131478    "/>
    <n v="-1.3470736479666092"/>
    <n v="0.26"/>
    <n v="11309"/>
    <s v="2"/>
    <s v="RES"/>
    <s v="MX"/>
    <s v="11"/>
    <s v="259"/>
    <s v="RN"/>
    <x v="4"/>
    <s v="GD"/>
    <n v="50"/>
    <n v="50"/>
    <n v="45"/>
    <n v="1974"/>
    <n v="1979"/>
    <n v="1966"/>
    <m/>
    <m/>
    <m/>
    <m/>
    <n v="0"/>
    <n v="1966"/>
    <n v="2000"/>
    <s v="N"/>
    <m/>
    <m/>
    <m/>
    <m/>
    <m/>
    <m/>
    <m/>
    <n v="347991"/>
    <n v="271433"/>
    <n v="5373"/>
    <n v="0"/>
    <n v="67600"/>
    <n v="274800"/>
    <n v="342400"/>
    <n v="132535.48800000001"/>
    <n v="88356.992000000013"/>
    <n v="-17679.426966554776"/>
    <n v="37154.252388000001"/>
    <n v="30300.329274"/>
    <n v="-4893.3495000000003"/>
    <n v="122698.80708000001"/>
    <n v="0"/>
    <n v="0"/>
    <n v="0"/>
    <n v="5400"/>
    <n v="317800"/>
    <n v="70700"/>
    <n v="393900"/>
    <n v="0.15040887850467291"/>
    <n v="0.99970000000000003"/>
    <n v="0.99819999999999998"/>
    <n v="0.997"/>
    <n v="1.0007999999999999"/>
    <n v="1.0470999999999999"/>
    <n v="0.94971499999999998"/>
    <n v="0.99047034582666849"/>
    <n v="316500"/>
    <n v="5100"/>
    <n v="321600"/>
    <n v="67100"/>
    <n v="388700"/>
    <n v="0.1703056768558952"/>
    <n v="-7.3964497041420114E-3"/>
    <n v="0.13522196261682243"/>
  </r>
  <r>
    <n v="2025"/>
    <s v="19120131476    "/>
    <n v="-1.3470736479666092"/>
    <n v="0.26"/>
    <n v="11199"/>
    <s v="2"/>
    <s v="RES"/>
    <s v="MX"/>
    <s v="11"/>
    <s v="259"/>
    <s v="RN"/>
    <x v="0"/>
    <s v="GD"/>
    <n v="50"/>
    <n v="51"/>
    <n v="46"/>
    <n v="1973"/>
    <n v="1978"/>
    <n v="1411"/>
    <m/>
    <m/>
    <m/>
    <m/>
    <n v="0"/>
    <n v="1411"/>
    <n v="1500"/>
    <s v="N"/>
    <m/>
    <m/>
    <m/>
    <m/>
    <m/>
    <m/>
    <m/>
    <n v="220712"/>
    <n v="169948"/>
    <n v="0"/>
    <n v="0"/>
    <n v="67600"/>
    <n v="226800"/>
    <n v="294400"/>
    <n v="132535.48800000001"/>
    <n v="88356.992000000013"/>
    <n v="-17679.426966554776"/>
    <n v="24371.765965999999"/>
    <n v="30300.329274"/>
    <n v="-5002.0906000000004"/>
    <n v="88061.046180000005"/>
    <n v="0"/>
    <n v="0"/>
    <n v="0"/>
    <n v="0"/>
    <n v="270300"/>
    <n v="70700"/>
    <n v="341000"/>
    <n v="0.15828804347826086"/>
    <n v="0.99970000000000003"/>
    <n v="0.99199999999999999"/>
    <n v="0.997"/>
    <n v="0.99519999999999997"/>
    <n v="1.0470999999999999"/>
    <n v="0.94971499999999998"/>
    <n v="0.97881057952812944"/>
    <n v="267500"/>
    <n v="0"/>
    <n v="267500"/>
    <n v="67100"/>
    <n v="334600"/>
    <n v="0.17945326278659612"/>
    <n v="-7.3964497041420114E-3"/>
    <n v="0.13654891304347827"/>
  </r>
  <r>
    <n v="2025"/>
    <s v="19120131448    "/>
    <n v="-1.3470736479666092"/>
    <n v="0.26"/>
    <n v="11205"/>
    <s v="2"/>
    <s v="RES"/>
    <s v="MX"/>
    <s v="11"/>
    <s v="259"/>
    <s v="RN"/>
    <x v="1"/>
    <s v="AV"/>
    <n v="50"/>
    <n v="51"/>
    <n v="46"/>
    <n v="1973"/>
    <n v="1978"/>
    <n v="1375"/>
    <m/>
    <m/>
    <m/>
    <m/>
    <n v="0"/>
    <n v="1375"/>
    <n v="1500"/>
    <s v="N"/>
    <n v="1"/>
    <m/>
    <m/>
    <m/>
    <m/>
    <m/>
    <m/>
    <n v="188186"/>
    <n v="143021"/>
    <n v="0"/>
    <n v="0"/>
    <n v="67600"/>
    <n v="192200"/>
    <n v="259800"/>
    <n v="132535.48800000001"/>
    <n v="88356.992000000013"/>
    <n v="-17679.426966554776"/>
    <n v="0"/>
    <n v="17761.121909000001"/>
    <n v="-5002.0906000000004"/>
    <n v="85814.272500000006"/>
    <n v="0"/>
    <n v="0"/>
    <n v="0"/>
    <n v="0"/>
    <n v="231100"/>
    <n v="70700"/>
    <n v="301800"/>
    <n v="0.16166281755196305"/>
    <n v="0.99970000000000003"/>
    <n v="1.0003"/>
    <n v="0.99680000000000002"/>
    <n v="0.99519999999999997"/>
    <n v="1.0470999999999999"/>
    <n v="0.94971499999999998"/>
    <n v="0.98680223047099103"/>
    <n v="229400"/>
    <n v="0"/>
    <n v="229400"/>
    <n v="67100"/>
    <n v="296500"/>
    <n v="0.19354838709677419"/>
    <n v="-7.3964497041420114E-3"/>
    <n v="0.14126250962278675"/>
  </r>
  <r>
    <n v="2025"/>
    <s v="20120634490    "/>
    <n v="-1.3394107752210402"/>
    <n v="0.26200000000000001"/>
    <n v="11422"/>
    <s v="2"/>
    <s v="RES"/>
    <s v="MX"/>
    <s v="11"/>
    <s v="259"/>
    <s v="CP"/>
    <x v="5"/>
    <s v="EX"/>
    <n v="0"/>
    <n v="4"/>
    <n v="4"/>
    <n v="2020"/>
    <n v="2020"/>
    <n v="1126"/>
    <n v="1126"/>
    <m/>
    <m/>
    <m/>
    <n v="0"/>
    <n v="2252"/>
    <n v="2500"/>
    <s v="N"/>
    <m/>
    <n v="440"/>
    <m/>
    <m/>
    <m/>
    <m/>
    <m/>
    <n v="450514"/>
    <n v="436999"/>
    <n v="0"/>
    <n v="0"/>
    <n v="67600"/>
    <n v="351700"/>
    <n v="419300"/>
    <n v="132535.48800000001"/>
    <n v="88356.992000000013"/>
    <n v="-17578.856964859777"/>
    <n v="32917.849192000001"/>
    <n v="47371.278778200001"/>
    <n v="-434.96440000000001"/>
    <n v="70274.087880000006"/>
    <n v="67087.511257999999"/>
    <n v="0"/>
    <n v="15532.453640000002"/>
    <n v="0"/>
    <n v="365300"/>
    <n v="70800"/>
    <n v="436100"/>
    <n v="4.006677796327212E-2"/>
    <n v="0.99970000000000003"/>
    <n v="1.0019"/>
    <n v="1.0012000000000001"/>
    <n v="1.0008999999999999"/>
    <n v="1.0022"/>
    <n v="0.94971499999999998"/>
    <n v="0.95561641809327347"/>
    <n v="359400"/>
    <n v="0"/>
    <n v="359400"/>
    <n v="67200"/>
    <n v="426600"/>
    <n v="2.1893659368780211E-2"/>
    <n v="-5.9171597633136093E-3"/>
    <n v="1.7409968995945622E-2"/>
  </r>
  <r>
    <n v="2025"/>
    <s v="19120131450    "/>
    <n v="-1.3093333199837622"/>
    <n v="0.27"/>
    <n v="11897"/>
    <s v="2"/>
    <s v="RES"/>
    <s v="MX"/>
    <s v="11"/>
    <s v="259"/>
    <s v="CO"/>
    <x v="2"/>
    <s v="AV"/>
    <n v="50"/>
    <n v="52"/>
    <n v="46"/>
    <n v="1972"/>
    <n v="1978"/>
    <n v="1000"/>
    <m/>
    <m/>
    <m/>
    <m/>
    <n v="0"/>
    <n v="1000"/>
    <n v="1500"/>
    <s v="N"/>
    <m/>
    <n v="300"/>
    <m/>
    <m/>
    <m/>
    <m/>
    <m/>
    <n v="163158"/>
    <n v="124000"/>
    <n v="0"/>
    <n v="0"/>
    <n v="68200"/>
    <n v="199900"/>
    <n v="268100"/>
    <n v="132535.48800000001"/>
    <n v="88356.992000000013"/>
    <n v="-17184.11078746261"/>
    <n v="-1240.8083630000001"/>
    <n v="17761.121909000001"/>
    <n v="-5002.0906000000004"/>
    <n v="62410.380000000005"/>
    <n v="0"/>
    <n v="0"/>
    <n v="10590.309300000001"/>
    <n v="0"/>
    <n v="217100"/>
    <n v="71200"/>
    <n v="288300"/>
    <n v="7.534502051473331E-2"/>
    <n v="0.99970000000000003"/>
    <n v="1.0022"/>
    <n v="0.99680000000000002"/>
    <n v="0.99519999999999997"/>
    <n v="1.0470999999999999"/>
    <n v="0.94971499999999998"/>
    <n v="0.98867659240030714"/>
    <n v="215600"/>
    <n v="0"/>
    <n v="215600"/>
    <n v="67600"/>
    <n v="283200"/>
    <n v="7.8539269634817402E-2"/>
    <n v="-8.7976539589442824E-3"/>
    <n v="5.632226781051846E-2"/>
  </r>
  <r>
    <n v="2025"/>
    <s v="19120142456    "/>
    <n v="-1.3093333199837622"/>
    <n v="0.27"/>
    <n v="11722"/>
    <s v="2"/>
    <s v="RES"/>
    <s v="MX"/>
    <s v="11"/>
    <s v="259"/>
    <s v="CO"/>
    <x v="0"/>
    <s v="GD"/>
    <n v="90"/>
    <n v="99"/>
    <n v="56"/>
    <n v="1925"/>
    <n v="1968"/>
    <n v="1161"/>
    <n v="280"/>
    <m/>
    <m/>
    <m/>
    <n v="0"/>
    <n v="1441"/>
    <n v="1500"/>
    <s v="N"/>
    <n v="1"/>
    <m/>
    <m/>
    <m/>
    <m/>
    <m/>
    <m/>
    <n v="219989"/>
    <n v="145193"/>
    <n v="19759"/>
    <n v="0"/>
    <n v="68200"/>
    <n v="235900"/>
    <n v="304100"/>
    <n v="132535.48800000001"/>
    <n v="88356.992000000013"/>
    <n v="-17184.11078746261"/>
    <n v="24371.765965999999"/>
    <n v="30300.329274"/>
    <n v="-6089.5016000000005"/>
    <n v="72458.451180000004"/>
    <n v="16682.507239999999"/>
    <n v="0"/>
    <n v="0"/>
    <n v="19800"/>
    <n v="270300"/>
    <n v="71200"/>
    <n v="361300"/>
    <n v="0.18809602104570866"/>
    <n v="0.99970000000000003"/>
    <n v="0.99199999999999999"/>
    <n v="0.997"/>
    <n v="0.99519999999999997"/>
    <n v="0.99960000000000004"/>
    <n v="0.94971499999999998"/>
    <n v="0.93440841877214997"/>
    <n v="261600"/>
    <n v="18800"/>
    <n v="280400"/>
    <n v="67600"/>
    <n v="348000"/>
    <n v="0.18863925392115302"/>
    <n v="-8.7976539589442824E-3"/>
    <n v="0.14436040776060508"/>
  </r>
  <r>
    <n v="2025"/>
    <s v="19120113004    "/>
    <n v="-1.3093333199837622"/>
    <n v="0.27"/>
    <n v="11711"/>
    <s v="2"/>
    <s v="RES"/>
    <s v="MX"/>
    <s v="11"/>
    <s v="259"/>
    <s v="RN"/>
    <x v="0"/>
    <s v="AV"/>
    <n v="50"/>
    <n v="53"/>
    <n v="46"/>
    <n v="1971"/>
    <n v="1978"/>
    <n v="1404"/>
    <m/>
    <m/>
    <m/>
    <m/>
    <n v="0"/>
    <n v="1404"/>
    <n v="1500"/>
    <s v="N"/>
    <m/>
    <m/>
    <m/>
    <m/>
    <m/>
    <m/>
    <m/>
    <n v="241537"/>
    <n v="183568"/>
    <n v="0"/>
    <n v="0"/>
    <n v="68200"/>
    <n v="213200"/>
    <n v="281400"/>
    <n v="132535.48800000001"/>
    <n v="88356.992000000013"/>
    <n v="-17184.11078746261"/>
    <n v="24371.765965999999"/>
    <n v="17761.121909000001"/>
    <n v="-5002.0906000000004"/>
    <n v="87624.173520000011"/>
    <n v="0"/>
    <n v="0"/>
    <n v="0"/>
    <n v="0"/>
    <n v="257300"/>
    <n v="71200"/>
    <n v="328500"/>
    <n v="0.1673773987206823"/>
    <n v="0.99970000000000003"/>
    <n v="0.99199999999999999"/>
    <n v="0.99680000000000002"/>
    <n v="0.99519999999999997"/>
    <n v="1.0470999999999999"/>
    <n v="0.94971499999999998"/>
    <n v="0.9786142283587157"/>
    <n v="254500"/>
    <n v="0"/>
    <n v="254500"/>
    <n v="67600"/>
    <n v="322100"/>
    <n v="0.19371482176360225"/>
    <n v="-8.7976539589442824E-3"/>
    <n v="0.14463397299218195"/>
  </r>
  <r>
    <n v="2025"/>
    <s v="19120143403    "/>
    <n v="-1.3093333199837622"/>
    <n v="0.27"/>
    <n v="11864"/>
    <s v="2"/>
    <s v="RES"/>
    <s v="MX"/>
    <s v="11"/>
    <s v="259"/>
    <s v="BG"/>
    <x v="1"/>
    <s v="AV"/>
    <n v="100"/>
    <n v="104"/>
    <n v="58"/>
    <n v="1920"/>
    <n v="1966"/>
    <n v="860"/>
    <n v="260"/>
    <m/>
    <m/>
    <m/>
    <n v="0"/>
    <n v="1120"/>
    <n v="1500"/>
    <s v="N"/>
    <m/>
    <m/>
    <m/>
    <m/>
    <m/>
    <m/>
    <m/>
    <n v="151329"/>
    <n v="93824"/>
    <n v="35369"/>
    <n v="0"/>
    <n v="68200"/>
    <n v="196500"/>
    <n v="264700"/>
    <n v="132535.48800000001"/>
    <n v="88356.992000000013"/>
    <n v="-17184.11078746261"/>
    <n v="0"/>
    <n v="17761.121909000001"/>
    <n v="-6306.9838"/>
    <n v="53672.926800000001"/>
    <n v="15490.899579999999"/>
    <n v="0"/>
    <n v="0"/>
    <n v="35400"/>
    <n v="213200"/>
    <n v="71200"/>
    <n v="319800"/>
    <n v="0.20816018133736305"/>
    <n v="0.99970000000000003"/>
    <n v="1.0003"/>
    <n v="0.99680000000000002"/>
    <n v="0.99519999999999997"/>
    <n v="0.98240000000000005"/>
    <n v="0.94971499999999998"/>
    <n v="0.92582801185627128"/>
    <n v="203300"/>
    <n v="33600"/>
    <n v="236900"/>
    <n v="67600"/>
    <n v="304500"/>
    <n v="0.20559796437659034"/>
    <n v="-8.7976539589442824E-3"/>
    <n v="0.15035889686437476"/>
  </r>
  <r>
    <n v="2025"/>
    <s v="19120134444    "/>
    <n v="-1.3093333199837622"/>
    <n v="0.27"/>
    <n v="11700"/>
    <s v="2"/>
    <s v="RES"/>
    <s v="MX"/>
    <s v="11"/>
    <s v="259"/>
    <s v="TD"/>
    <x v="1"/>
    <s v="AV"/>
    <n v="90"/>
    <n v="94"/>
    <n v="54"/>
    <n v="1930"/>
    <n v="1970"/>
    <n v="1080"/>
    <m/>
    <m/>
    <m/>
    <m/>
    <n v="0"/>
    <n v="1080"/>
    <n v="1500"/>
    <s v="N"/>
    <m/>
    <m/>
    <m/>
    <m/>
    <m/>
    <m/>
    <m/>
    <n v="149593"/>
    <n v="98731"/>
    <n v="18949"/>
    <n v="0"/>
    <n v="68200"/>
    <n v="182700"/>
    <n v="250900"/>
    <n v="132535.48800000001"/>
    <n v="88356.992000000013"/>
    <n v="-17184.11078746261"/>
    <n v="0"/>
    <n v="17761.121909000001"/>
    <n v="-5872.0194000000001"/>
    <n v="67403.210400000011"/>
    <n v="0"/>
    <n v="0"/>
    <n v="0"/>
    <n v="18900"/>
    <n v="211800"/>
    <n v="71200"/>
    <n v="301900"/>
    <n v="0.20326823435631725"/>
    <n v="0.99970000000000003"/>
    <n v="1.0003"/>
    <n v="0.99680000000000002"/>
    <n v="0.99519999999999997"/>
    <n v="0.99960000000000004"/>
    <n v="0.94971499999999998"/>
    <n v="0.94203754137981355"/>
    <n v="204100"/>
    <n v="18000"/>
    <n v="222100"/>
    <n v="67600"/>
    <n v="289700"/>
    <n v="0.21565407772304324"/>
    <n v="-8.7976539589442824E-3"/>
    <n v="0.15464328417696294"/>
  </r>
  <r>
    <n v="2025"/>
    <s v="19120142529    "/>
    <n v="-1.2729656758128873"/>
    <n v="0.28000000000000003"/>
    <n v="12073"/>
    <s v="2"/>
    <s v="RES"/>
    <s v="MX"/>
    <s v="11"/>
    <s v="259"/>
    <s v="TD"/>
    <x v="0"/>
    <s v="AV"/>
    <n v="60"/>
    <n v="69"/>
    <n v="50"/>
    <n v="1955"/>
    <n v="1974"/>
    <n v="1240"/>
    <m/>
    <m/>
    <m/>
    <m/>
    <n v="0"/>
    <n v="1240"/>
    <n v="1500"/>
    <s v="B"/>
    <m/>
    <n v="320"/>
    <m/>
    <m/>
    <m/>
    <m/>
    <m/>
    <n v="219020"/>
    <n v="153314"/>
    <n v="0"/>
    <n v="0"/>
    <n v="68700"/>
    <n v="224600"/>
    <n v="293300"/>
    <n v="132535.48800000001"/>
    <n v="88356.992000000013"/>
    <n v="-16706.81015135027"/>
    <n v="24371.765965999999"/>
    <n v="17761.121909000001"/>
    <n v="-5437.0550000000003"/>
    <n v="77388.871200000009"/>
    <n v="0"/>
    <n v="0"/>
    <n v="11296.32992"/>
    <n v="0"/>
    <n v="257900"/>
    <n v="71700"/>
    <n v="329600"/>
    <n v="0.12376406409819297"/>
    <n v="0.99970000000000003"/>
    <n v="0.99199999999999999"/>
    <n v="0.99680000000000002"/>
    <n v="0.99519999999999997"/>
    <n v="1.0558000000000001"/>
    <n v="0.94971499999999998"/>
    <n v="0.98674520322904413"/>
    <n v="256200"/>
    <n v="0"/>
    <n v="256200"/>
    <n v="68000"/>
    <n v="324200"/>
    <n v="0.14069456812110417"/>
    <n v="-1.0189228529839884E-2"/>
    <n v="0.10535288100920559"/>
  </r>
  <r>
    <n v="2025"/>
    <s v="19120142530    "/>
    <n v="-1.2729656758128873"/>
    <n v="0.28000000000000003"/>
    <n v="12018"/>
    <s v="2"/>
    <s v="RES"/>
    <s v="MX"/>
    <s v="11"/>
    <s v="259"/>
    <s v="TD"/>
    <x v="0"/>
    <s v="GD"/>
    <n v="60"/>
    <n v="66"/>
    <n v="50"/>
    <n v="1958"/>
    <n v="1974"/>
    <n v="1904"/>
    <m/>
    <m/>
    <m/>
    <m/>
    <n v="0"/>
    <n v="1904"/>
    <n v="2000"/>
    <s v="B"/>
    <m/>
    <m/>
    <m/>
    <m/>
    <m/>
    <m/>
    <m/>
    <n v="310113"/>
    <n v="223281"/>
    <n v="11109"/>
    <n v="0"/>
    <n v="68700"/>
    <n v="258800"/>
    <n v="327500"/>
    <n v="132535.48800000001"/>
    <n v="88356.992000000013"/>
    <n v="-16706.81015135027"/>
    <n v="24371.765965999999"/>
    <n v="30300.329274"/>
    <n v="-5437.0550000000003"/>
    <n v="118829.36352000001"/>
    <n v="0"/>
    <n v="0"/>
    <n v="0"/>
    <n v="11100"/>
    <n v="300600"/>
    <n v="71700"/>
    <n v="383400"/>
    <n v="0.17068702290076335"/>
    <n v="0.99970000000000003"/>
    <n v="0.99199999999999999"/>
    <n v="0.997"/>
    <n v="1.0007999999999999"/>
    <n v="1.0558000000000001"/>
    <n v="0.94971499999999998"/>
    <n v="0.99249672464088878"/>
    <n v="299600"/>
    <n v="10600"/>
    <n v="310200"/>
    <n v="68000"/>
    <n v="378200"/>
    <n v="0.19860896445131376"/>
    <n v="-1.0189228529839884E-2"/>
    <n v="0.1548091603053435"/>
  </r>
  <r>
    <n v="2025"/>
    <s v="19120143016    "/>
    <n v="-1.2729656758128873"/>
    <n v="0.28000000000000003"/>
    <n v="12075"/>
    <s v="2"/>
    <s v="RES"/>
    <s v="MX"/>
    <s v="11"/>
    <s v="259"/>
    <s v="RN"/>
    <x v="2"/>
    <s v="GD"/>
    <n v="60"/>
    <n v="64"/>
    <n v="49"/>
    <n v="1960"/>
    <n v="1975"/>
    <n v="1008"/>
    <m/>
    <n v="168"/>
    <m/>
    <n v="168"/>
    <n v="0"/>
    <n v="1176"/>
    <n v="1500"/>
    <s v="N"/>
    <m/>
    <m/>
    <m/>
    <m/>
    <m/>
    <m/>
    <m/>
    <n v="208416"/>
    <n v="150060"/>
    <n v="20288"/>
    <n v="0"/>
    <n v="68700"/>
    <n v="208000"/>
    <n v="276700"/>
    <n v="132535.48800000001"/>
    <n v="88356.992000000013"/>
    <n v="-16706.81015135027"/>
    <n v="-1240.8083630000001"/>
    <n v="30300.329274"/>
    <n v="-5328.3139000000001"/>
    <n v="62909.663040000007"/>
    <n v="0"/>
    <n v="10514.531327999999"/>
    <n v="0"/>
    <n v="20300"/>
    <n v="229700"/>
    <n v="71700"/>
    <n v="321700"/>
    <n v="0.16263100831225152"/>
    <n v="0.99970000000000003"/>
    <n v="1.0022"/>
    <n v="0.997"/>
    <n v="0.99519999999999997"/>
    <n v="1.0558000000000001"/>
    <n v="0.94971499999999998"/>
    <n v="0.99709119034551652"/>
    <n v="229300"/>
    <n v="19300"/>
    <n v="248600"/>
    <n v="68000"/>
    <n v="316600"/>
    <n v="0.19519230769230769"/>
    <n v="-1.0189228529839884E-2"/>
    <n v="0.14419949403686302"/>
  </r>
  <r>
    <n v="2025"/>
    <s v="19120143401    "/>
    <n v="-1.2729656758128873"/>
    <n v="0.28000000000000003"/>
    <n v="12000"/>
    <s v="2"/>
    <s v="RES"/>
    <s v="MX"/>
    <s v="11"/>
    <s v="259"/>
    <s v="TD"/>
    <x v="0"/>
    <s v="AV"/>
    <n v="90"/>
    <n v="94"/>
    <n v="54"/>
    <n v="1930"/>
    <n v="1970"/>
    <n v="1520"/>
    <m/>
    <n v="1140"/>
    <m/>
    <m/>
    <n v="1140"/>
    <n v="1520"/>
    <n v="2000"/>
    <s v="N"/>
    <m/>
    <m/>
    <m/>
    <m/>
    <m/>
    <m/>
    <m/>
    <n v="283524"/>
    <n v="187126"/>
    <n v="29122"/>
    <n v="0"/>
    <n v="68700"/>
    <n v="244700"/>
    <n v="313400"/>
    <n v="132535.48800000001"/>
    <n v="88356.992000000013"/>
    <n v="-16706.81015135027"/>
    <n v="24371.765965999999"/>
    <n v="17761.121909000001"/>
    <n v="-5872.0194000000001"/>
    <n v="94863.777600000001"/>
    <n v="0"/>
    <n v="71348.605439999999"/>
    <n v="0"/>
    <n v="29100"/>
    <n v="335000"/>
    <n v="71700"/>
    <n v="435800"/>
    <n v="0.39055520102105934"/>
    <n v="0.99970000000000003"/>
    <n v="0.99199999999999999"/>
    <n v="0.99680000000000002"/>
    <n v="1.0007999999999999"/>
    <n v="0.99960000000000004"/>
    <n v="0.94971499999999998"/>
    <n v="0.93947784519307997"/>
    <n v="327000"/>
    <n v="27700"/>
    <n v="354700"/>
    <n v="68000"/>
    <n v="422700"/>
    <n v="0.4495300367797303"/>
    <n v="-1.0189228529839884E-2"/>
    <n v="0.34875558391831524"/>
  </r>
  <r>
    <n v="2025"/>
    <s v="19120142506    "/>
    <n v="-1.2729656758128873"/>
    <n v="0.28000000000000003"/>
    <n v="12000"/>
    <s v="2"/>
    <s v="RES"/>
    <s v="MX"/>
    <s v="11"/>
    <s v="259"/>
    <s v="RN"/>
    <x v="0"/>
    <s v="GD"/>
    <n v="20"/>
    <n v="27"/>
    <n v="27"/>
    <n v="1997"/>
    <n v="1997"/>
    <n v="1408"/>
    <m/>
    <m/>
    <m/>
    <m/>
    <n v="0"/>
    <n v="1408"/>
    <n v="1500"/>
    <s v="N"/>
    <m/>
    <m/>
    <m/>
    <m/>
    <m/>
    <m/>
    <m/>
    <n v="236694"/>
    <n v="208291"/>
    <n v="3929"/>
    <n v="0"/>
    <n v="68700"/>
    <n v="251900"/>
    <n v="320600"/>
    <n v="132535.48800000001"/>
    <n v="88356.992000000013"/>
    <n v="-16706.81015135027"/>
    <n v="24371.765965999999"/>
    <n v="30300.329274"/>
    <n v="-2936.0097000000001"/>
    <n v="87873.815040000001"/>
    <n v="0"/>
    <n v="0"/>
    <n v="0"/>
    <n v="3900"/>
    <n v="272100"/>
    <n v="71700"/>
    <n v="347700"/>
    <n v="8.4529008109794135E-2"/>
    <n v="0.99970000000000003"/>
    <n v="0.99199999999999999"/>
    <n v="0.997"/>
    <n v="0.99519999999999997"/>
    <n v="1.0138"/>
    <n v="0.94971499999999998"/>
    <n v="0.94768232788235862"/>
    <n v="265200"/>
    <n v="3700"/>
    <n v="268900"/>
    <n v="68000"/>
    <n v="336900"/>
    <n v="6.7487098054783645E-2"/>
    <n v="-1.0189228529839884E-2"/>
    <n v="5.0842170929507172E-2"/>
  </r>
  <r>
    <n v="2025"/>
    <s v="19120113003    "/>
    <n v="-1.2729656758128873"/>
    <n v="0.28000000000000003"/>
    <n v="12259"/>
    <s v="2"/>
    <s v="RES"/>
    <s v="MX"/>
    <s v="11"/>
    <s v="400"/>
    <s v="CO"/>
    <x v="2"/>
    <s v="AV"/>
    <n v="110"/>
    <n v="114"/>
    <n v="66"/>
    <n v="1910"/>
    <n v="1958"/>
    <n v="712"/>
    <n v="448"/>
    <m/>
    <m/>
    <m/>
    <n v="0"/>
    <n v="1160"/>
    <n v="1500"/>
    <s v="N"/>
    <m/>
    <m/>
    <m/>
    <m/>
    <m/>
    <m/>
    <m/>
    <n v="186744"/>
    <n v="102709"/>
    <n v="9725"/>
    <n v="0"/>
    <n v="68700"/>
    <n v="197400"/>
    <n v="266100"/>
    <n v="132535.48800000001"/>
    <n v="88356.992000000013"/>
    <n v="-16706.81015135027"/>
    <n v="-1240.8083630000001"/>
    <n v="17761.121909000001"/>
    <n v="-7176.9126000000006"/>
    <n v="44436.190560000003"/>
    <n v="26692.011584"/>
    <n v="0"/>
    <n v="0"/>
    <n v="9700"/>
    <n v="213000"/>
    <n v="71700"/>
    <n v="294400"/>
    <n v="0.10635099586621571"/>
    <n v="0.99970000000000003"/>
    <n v="1.0022"/>
    <n v="0.99680000000000002"/>
    <n v="0.99519999999999997"/>
    <n v="1"/>
    <n v="0.94971499999999998"/>
    <n v="0.94420455773116918"/>
    <n v="205600"/>
    <n v="9200"/>
    <n v="214800"/>
    <n v="68000"/>
    <n v="282800"/>
    <n v="8.8145896656534953E-2"/>
    <n v="-1.0189228529839884E-2"/>
    <n v="6.2758361518226224E-2"/>
  </r>
  <r>
    <n v="2025"/>
    <s v="19120131424    "/>
    <n v="-1.2729656758128873"/>
    <n v="0.28000000000000003"/>
    <m/>
    <s v="2"/>
    <s v="RES"/>
    <s v="MX"/>
    <s v="11"/>
    <s v="259"/>
    <s v="TD"/>
    <x v="2"/>
    <s v="VG"/>
    <n v="70"/>
    <n v="79"/>
    <n v="52"/>
    <n v="1945"/>
    <n v="1972"/>
    <n v="1352"/>
    <m/>
    <m/>
    <m/>
    <m/>
    <n v="0"/>
    <n v="1352"/>
    <n v="1500"/>
    <s v="N"/>
    <m/>
    <m/>
    <m/>
    <m/>
    <m/>
    <m/>
    <m/>
    <n v="205294"/>
    <n v="145759"/>
    <n v="45695"/>
    <n v="0"/>
    <n v="68700"/>
    <n v="266600"/>
    <n v="335300"/>
    <n v="132535.48800000001"/>
    <n v="88356.992000000013"/>
    <n v="-16706.81015135027"/>
    <n v="-1240.8083630000001"/>
    <n v="50438.379078999998"/>
    <n v="-5654.5371999999998"/>
    <n v="84378.833760000009"/>
    <n v="0"/>
    <n v="0"/>
    <n v="0"/>
    <n v="45700"/>
    <n v="260500"/>
    <n v="71700"/>
    <n v="377900"/>
    <n v="0.12705040262451536"/>
    <n v="0.99970000000000003"/>
    <n v="1.0022"/>
    <n v="1.0007999999999999"/>
    <n v="0.99519999999999997"/>
    <n v="1"/>
    <n v="0.94971499999999998"/>
    <n v="0.94799350057920762"/>
    <n v="253600"/>
    <n v="43400"/>
    <n v="297000"/>
    <n v="68000"/>
    <n v="365000"/>
    <n v="0.1140285071267817"/>
    <n v="-1.0189228529839884E-2"/>
    <n v="8.8577393379063521E-2"/>
  </r>
  <r>
    <n v="2025"/>
    <s v="19120143409    "/>
    <n v="-1.2729656758128873"/>
    <n v="0.28000000000000003"/>
    <n v="12138"/>
    <s v="2"/>
    <s v="RES"/>
    <s v="MX"/>
    <s v="11"/>
    <s v="259"/>
    <s v="TD"/>
    <x v="2"/>
    <s v="AV"/>
    <n v="60"/>
    <n v="67"/>
    <n v="50"/>
    <n v="1957"/>
    <n v="1974"/>
    <n v="1242"/>
    <m/>
    <m/>
    <m/>
    <m/>
    <n v="0"/>
    <n v="1242"/>
    <n v="1500"/>
    <s v="N"/>
    <m/>
    <m/>
    <m/>
    <m/>
    <m/>
    <m/>
    <m/>
    <n v="198569"/>
    <n v="138998"/>
    <n v="6903"/>
    <n v="0"/>
    <n v="68700"/>
    <n v="195600"/>
    <n v="264300"/>
    <n v="132535.48800000001"/>
    <n v="88356.992000000013"/>
    <n v="-16706.81015135027"/>
    <n v="-1240.8083630000001"/>
    <n v="17761.121909000001"/>
    <n v="-5437.0550000000003"/>
    <n v="77513.691960000011"/>
    <n v="0"/>
    <n v="0"/>
    <n v="0"/>
    <n v="6900"/>
    <n v="221100"/>
    <n v="71700"/>
    <n v="299700"/>
    <n v="0.13393870601589103"/>
    <n v="0.99970000000000003"/>
    <n v="1.0022"/>
    <n v="0.99680000000000002"/>
    <n v="0.99519999999999997"/>
    <n v="1.0558000000000001"/>
    <n v="0.94971499999999998"/>
    <n v="0.9968911720525685"/>
    <n v="220700"/>
    <n v="6600"/>
    <n v="227300"/>
    <n v="68000"/>
    <n v="295300"/>
    <n v="0.16206543967280163"/>
    <n v="-1.0189228529839884E-2"/>
    <n v="0.1172909572455543"/>
  </r>
  <r>
    <n v="2025"/>
    <s v="19120131542    "/>
    <n v="-1.2729656758128873"/>
    <n v="0.28000000000000003"/>
    <n v="12197"/>
    <s v="2"/>
    <s v="RES"/>
    <s v="MX"/>
    <s v="11"/>
    <s v="259"/>
    <s v="TD"/>
    <x v="2"/>
    <s v="GD"/>
    <n v="60"/>
    <n v="69"/>
    <n v="50"/>
    <n v="1955"/>
    <n v="1974"/>
    <n v="861"/>
    <m/>
    <m/>
    <m/>
    <m/>
    <n v="0"/>
    <n v="861"/>
    <n v="1000"/>
    <s v="N"/>
    <m/>
    <m/>
    <m/>
    <m/>
    <m/>
    <m/>
    <m/>
    <n v="134238"/>
    <n v="96651"/>
    <n v="10125"/>
    <n v="0"/>
    <n v="68700"/>
    <n v="191200"/>
    <n v="259900"/>
    <n v="132535.48800000001"/>
    <n v="88356.992000000013"/>
    <n v="-16706.81015135027"/>
    <n v="-1240.8083630000001"/>
    <n v="30300.329274"/>
    <n v="-5437.0550000000003"/>
    <n v="53735.337180000002"/>
    <n v="0"/>
    <n v="0"/>
    <n v="0"/>
    <n v="10100"/>
    <n v="209900"/>
    <n v="71700"/>
    <n v="291700"/>
    <n v="0.12235475182762601"/>
    <n v="0.99970000000000003"/>
    <n v="1.0022"/>
    <n v="0.997"/>
    <n v="1"/>
    <n v="1.0558000000000001"/>
    <n v="0.94971499999999998"/>
    <n v="1.0019003118423599"/>
    <n v="210100"/>
    <n v="9600"/>
    <n v="219700"/>
    <n v="68000"/>
    <n v="287700"/>
    <n v="0.14905857740585773"/>
    <n v="-1.0189228529839884E-2"/>
    <n v="0.10696421700654098"/>
  </r>
  <r>
    <n v="2025"/>
    <s v="19120142409    "/>
    <n v="-1.2729656758128873"/>
    <n v="0.28000000000000003"/>
    <n v="12231"/>
    <s v="2"/>
    <s v="RES"/>
    <s v="MX"/>
    <s v="11"/>
    <s v="259"/>
    <s v="FH"/>
    <x v="1"/>
    <s v="AV"/>
    <n v="110"/>
    <n v="114"/>
    <n v="66"/>
    <n v="1910"/>
    <n v="1958"/>
    <n v="1428"/>
    <n v="784"/>
    <m/>
    <m/>
    <m/>
    <n v="0"/>
    <n v="2212"/>
    <n v="2500"/>
    <s v="N"/>
    <m/>
    <m/>
    <m/>
    <m/>
    <m/>
    <m/>
    <m/>
    <n v="280897"/>
    <n v="154493"/>
    <n v="27250"/>
    <n v="0"/>
    <n v="68700"/>
    <n v="251600"/>
    <n v="320300"/>
    <n v="132535.48800000001"/>
    <n v="88356.992000000013"/>
    <n v="-16706.81015135027"/>
    <n v="0"/>
    <n v="17761.121909000001"/>
    <n v="-7176.9126000000006"/>
    <n v="89122.02264000001"/>
    <n v="46711.020272000002"/>
    <n v="0"/>
    <n v="0"/>
    <n v="27300"/>
    <n v="279000"/>
    <n v="71700"/>
    <n v="378000"/>
    <n v="0.18014361536059945"/>
    <n v="0.99970000000000003"/>
    <n v="1.0003"/>
    <n v="0.99680000000000002"/>
    <n v="1.0008999999999999"/>
    <n v="1"/>
    <n v="0.94971499999999998"/>
    <n v="0.94781217869689605"/>
    <n v="272000"/>
    <n v="25900"/>
    <n v="297900"/>
    <n v="68000"/>
    <n v="365900"/>
    <n v="0.18402225755166932"/>
    <n v="-1.0189228529839884E-2"/>
    <n v="0.14236653137683422"/>
  </r>
  <r>
    <n v="2025"/>
    <s v="19120141014    "/>
    <n v="-1.2729656758128873"/>
    <n v="0.28000000000000003"/>
    <m/>
    <s v="2"/>
    <s v="RES"/>
    <s v="MX"/>
    <s v="11"/>
    <s v="259"/>
    <s v="RN"/>
    <x v="0"/>
    <s v="GD"/>
    <n v="60"/>
    <n v="64"/>
    <n v="49"/>
    <n v="1960"/>
    <n v="1975"/>
    <n v="1204"/>
    <m/>
    <m/>
    <m/>
    <m/>
    <n v="0"/>
    <n v="1204"/>
    <n v="1500"/>
    <s v="N"/>
    <m/>
    <m/>
    <m/>
    <m/>
    <m/>
    <m/>
    <m/>
    <n v="201774"/>
    <n v="145277"/>
    <n v="10436"/>
    <n v="0"/>
    <n v="68700"/>
    <n v="221200"/>
    <n v="289900"/>
    <n v="132535.48800000001"/>
    <n v="88356.992000000013"/>
    <n v="-16706.81015135027"/>
    <n v="24371.765965999999"/>
    <n v="30300.329274"/>
    <n v="-5328.3139000000001"/>
    <n v="75142.09752000001"/>
    <n v="0"/>
    <n v="0"/>
    <n v="0"/>
    <n v="10400"/>
    <n v="257000"/>
    <n v="71700"/>
    <n v="339100"/>
    <n v="0.16971369437737152"/>
    <n v="0.99970000000000003"/>
    <n v="0.99199999999999999"/>
    <n v="0.997"/>
    <n v="0.99519999999999997"/>
    <n v="1.0558000000000001"/>
    <n v="0.94971499999999998"/>
    <n v="0.98694318581396157"/>
    <n v="255300"/>
    <n v="9900"/>
    <n v="265200"/>
    <n v="68000"/>
    <n v="333200"/>
    <n v="0.19891500904159132"/>
    <n v="-1.0189228529839884E-2"/>
    <n v="0.14936184891341842"/>
  </r>
  <r>
    <n v="2025"/>
    <s v="19120142496    "/>
    <n v="-1.2378743560016174"/>
    <n v="0.28999999999999998"/>
    <n v="12803"/>
    <s v="2"/>
    <s v="RES"/>
    <s v="MX"/>
    <s v="11"/>
    <s v="259"/>
    <s v="TD"/>
    <x v="2"/>
    <s v="AV"/>
    <n v="100"/>
    <n v="104"/>
    <n v="58"/>
    <n v="1920"/>
    <n v="1966"/>
    <n v="1104"/>
    <m/>
    <m/>
    <n v="299"/>
    <m/>
    <n v="0"/>
    <n v="1403"/>
    <n v="1500"/>
    <s v="N"/>
    <n v="1"/>
    <m/>
    <m/>
    <m/>
    <m/>
    <m/>
    <m/>
    <n v="218270"/>
    <n v="135327"/>
    <n v="0"/>
    <n v="0"/>
    <n v="69200"/>
    <n v="175800"/>
    <n v="245000"/>
    <n v="132535.48800000001"/>
    <n v="88356.992000000013"/>
    <n v="-16246.260405833504"/>
    <n v="-1240.8083630000001"/>
    <n v="17761.121909000001"/>
    <n v="-6306.9838"/>
    <n v="68901.05952000001"/>
    <n v="0"/>
    <n v="0"/>
    <n v="0"/>
    <n v="0"/>
    <n v="211600"/>
    <n v="72100"/>
    <n v="283700"/>
    <n v="0.15795918367346939"/>
    <n v="0.99970000000000003"/>
    <n v="1.0022"/>
    <n v="0.99680000000000002"/>
    <n v="0.99519999999999997"/>
    <n v="0.98240000000000005"/>
    <n v="0.94971499999999998"/>
    <n v="0.92758655751510066"/>
    <n v="202100"/>
    <n v="0"/>
    <n v="202100"/>
    <n v="68500"/>
    <n v="270600"/>
    <n v="0.1496018202502844"/>
    <n v="-1.0115606936416185E-2"/>
    <n v="0.10448979591836735"/>
  </r>
  <r>
    <n v="2025"/>
    <s v="19120114402    "/>
    <n v="-1.2039728043259361"/>
    <n v="0.3"/>
    <n v="12874"/>
    <s v="2"/>
    <s v="RES"/>
    <s v="MX"/>
    <s v="11"/>
    <s v="259"/>
    <s v="CP"/>
    <x v="5"/>
    <s v="VG"/>
    <n v="10"/>
    <n v="19"/>
    <n v="19"/>
    <n v="2005"/>
    <n v="2005"/>
    <n v="2121"/>
    <m/>
    <m/>
    <m/>
    <m/>
    <n v="0"/>
    <n v="2121"/>
    <n v="2500"/>
    <s v="B"/>
    <m/>
    <n v="1248"/>
    <m/>
    <m/>
    <m/>
    <m/>
    <m/>
    <n v="503885"/>
    <n v="458535"/>
    <n v="16722"/>
    <n v="0"/>
    <n v="69600"/>
    <n v="388100"/>
    <n v="457700"/>
    <n v="132535.48800000001"/>
    <n v="88356.992000000013"/>
    <n v="-15801.325559243774"/>
    <n v="32917.849192000001"/>
    <n v="50438.379078999998"/>
    <n v="-2066.0808999999999"/>
    <n v="132372.41598000002"/>
    <n v="0"/>
    <n v="0"/>
    <n v="44055.686688000002"/>
    <n v="16700"/>
    <n v="390300"/>
    <n v="72600"/>
    <n v="479600"/>
    <n v="4.7847935328818002E-2"/>
    <n v="0.99970000000000003"/>
    <n v="1.0019"/>
    <n v="1.0007999999999999"/>
    <n v="1.0008999999999999"/>
    <n v="0.99080000000000001"/>
    <n v="0.94971499999999998"/>
    <n v="0.94436885958806405"/>
    <n v="382900"/>
    <n v="15900"/>
    <n v="398800"/>
    <n v="68900"/>
    <n v="467700"/>
    <n v="2.7570213862406597E-2"/>
    <n v="-1.0057471264367816E-2"/>
    <n v="2.1848372296263928E-2"/>
  </r>
  <r>
    <n v="2025"/>
    <s v="19120141492    "/>
    <n v="-1.1711829815029451"/>
    <n v="0.31"/>
    <n v="13700"/>
    <s v="2"/>
    <s v="RES"/>
    <s v="MX"/>
    <s v="11"/>
    <s v="259"/>
    <s v="CP"/>
    <x v="5"/>
    <s v="GD"/>
    <n v="10"/>
    <n v="19"/>
    <n v="19"/>
    <n v="2005"/>
    <n v="2005"/>
    <n v="2154"/>
    <m/>
    <m/>
    <m/>
    <m/>
    <n v="0"/>
    <n v="2154"/>
    <n v="2500"/>
    <s v="N"/>
    <n v="1"/>
    <n v="730"/>
    <m/>
    <m/>
    <m/>
    <m/>
    <m/>
    <n v="459402"/>
    <n v="418056"/>
    <n v="0"/>
    <n v="0"/>
    <n v="70100"/>
    <n v="331700"/>
    <n v="401800"/>
    <n v="132535.48800000001"/>
    <n v="88356.992000000013"/>
    <n v="-15370.981398981714"/>
    <n v="32917.849192000001"/>
    <n v="30300.329274"/>
    <n v="-2066.0808999999999"/>
    <n v="134431.95852000001"/>
    <n v="0"/>
    <n v="0"/>
    <n v="25769.752630000003"/>
    <n v="0"/>
    <n v="353900"/>
    <n v="73000"/>
    <n v="426900"/>
    <n v="6.2468889995022397E-2"/>
    <n v="0.99970000000000003"/>
    <n v="1.0019"/>
    <n v="0.997"/>
    <n v="1.0008999999999999"/>
    <n v="0.99080000000000001"/>
    <n v="0.94971499999999998"/>
    <n v="0.94078312650809337"/>
    <n v="346000"/>
    <n v="0"/>
    <n v="346000"/>
    <n v="69300"/>
    <n v="415300"/>
    <n v="4.3111245100994872E-2"/>
    <n v="-1.1412268188302425E-2"/>
    <n v="3.3598805375808859E-2"/>
  </r>
  <r>
    <n v="2025"/>
    <s v="19120113032    "/>
    <n v="-1.1711829815029451"/>
    <n v="0.31"/>
    <n v="13412"/>
    <s v="2"/>
    <s v="RES"/>
    <s v="MX"/>
    <s v="11"/>
    <s v="259"/>
    <s v="RN"/>
    <x v="0"/>
    <s v="GD"/>
    <n v="40"/>
    <n v="45"/>
    <n v="44"/>
    <n v="1979"/>
    <n v="1980"/>
    <n v="1693"/>
    <m/>
    <m/>
    <m/>
    <m/>
    <n v="0"/>
    <n v="1693"/>
    <n v="2000"/>
    <s v="N"/>
    <m/>
    <n v="308"/>
    <m/>
    <m/>
    <m/>
    <m/>
    <m/>
    <n v="289519"/>
    <n v="228720"/>
    <n v="18491"/>
    <n v="0"/>
    <n v="70100"/>
    <n v="273500"/>
    <n v="343600"/>
    <n v="132535.48800000001"/>
    <n v="88356.992000000013"/>
    <n v="-15370.981398981714"/>
    <n v="24371.765965999999"/>
    <n v="30300.329274"/>
    <n v="-4784.6084000000001"/>
    <n v="105660.77334"/>
    <n v="0"/>
    <n v="0"/>
    <n v="10872.717548000001"/>
    <n v="18500"/>
    <n v="299000"/>
    <n v="73000"/>
    <n v="390500"/>
    <n v="0.13649592549476136"/>
    <n v="0.99970000000000003"/>
    <n v="0.99199999999999999"/>
    <n v="0.997"/>
    <n v="1.0007999999999999"/>
    <n v="0.95689999999999997"/>
    <n v="0.94971499999999998"/>
    <n v="0.89952653514762881"/>
    <n v="285600"/>
    <n v="17600"/>
    <n v="303200"/>
    <n v="69300"/>
    <n v="372500"/>
    <n v="0.10859232175502742"/>
    <n v="-1.1412268188302425E-2"/>
    <n v="8.4109429569266592E-2"/>
  </r>
  <r>
    <n v="2025"/>
    <s v="20120634494    "/>
    <n v="-1.1679623668029029"/>
    <n v="0.311"/>
    <n v="13534"/>
    <s v="2"/>
    <s v="RES"/>
    <s v="MX"/>
    <s v="11"/>
    <s v="259"/>
    <s v="CP"/>
    <x v="5"/>
    <s v="VG"/>
    <n v="0"/>
    <n v="5"/>
    <n v="5"/>
    <n v="2019"/>
    <n v="2019"/>
    <n v="1708"/>
    <m/>
    <m/>
    <m/>
    <m/>
    <n v="0"/>
    <n v="1708"/>
    <n v="2000"/>
    <s v="N"/>
    <m/>
    <n v="420"/>
    <m/>
    <m/>
    <m/>
    <m/>
    <m/>
    <n v="368496"/>
    <n v="353756"/>
    <n v="0"/>
    <n v="0"/>
    <n v="70100"/>
    <n v="328300"/>
    <n v="398400"/>
    <n v="132535.48800000001"/>
    <n v="88356.992000000013"/>
    <n v="-15328.713017841041"/>
    <n v="32917.849192000001"/>
    <n v="50438.379078999998"/>
    <n v="-543.70550000000003"/>
    <n v="106596.92904"/>
    <n v="0"/>
    <n v="0"/>
    <n v="14826.43302"/>
    <n v="0"/>
    <n v="336800"/>
    <n v="73000"/>
    <n v="409800"/>
    <n v="2.86144578313253E-2"/>
    <n v="0.99970000000000003"/>
    <n v="1.0019"/>
    <n v="1.0007999999999999"/>
    <n v="1.0007999999999999"/>
    <n v="1.0022"/>
    <n v="0.94971499999999998"/>
    <n v="0.95513919210298648"/>
    <n v="330800"/>
    <n v="0"/>
    <n v="330800"/>
    <n v="69400"/>
    <n v="400200"/>
    <n v="7.6149862930246729E-3"/>
    <n v="-9.9857346647646214E-3"/>
    <n v="4.5180722891566263E-3"/>
  </r>
  <r>
    <n v="2025"/>
    <s v="19120134435    "/>
    <n v="-1.1394342831883648"/>
    <n v="0.32"/>
    <n v="14127"/>
    <s v="2"/>
    <s v="RES"/>
    <s v="MX"/>
    <s v="11"/>
    <s v="259"/>
    <s v="CP"/>
    <x v="4"/>
    <s v="VG"/>
    <n v="0"/>
    <n v="5"/>
    <n v="5"/>
    <n v="2019"/>
    <n v="2019"/>
    <n v="1896"/>
    <m/>
    <m/>
    <m/>
    <m/>
    <n v="0"/>
    <n v="1896"/>
    <n v="2000"/>
    <s v="N"/>
    <n v="1"/>
    <n v="484"/>
    <m/>
    <m/>
    <m/>
    <m/>
    <m/>
    <n v="377190"/>
    <n v="362102"/>
    <n v="0"/>
    <n v="0"/>
    <n v="70500"/>
    <n v="371600"/>
    <n v="442100"/>
    <n v="132535.48800000001"/>
    <n v="88356.992000000013"/>
    <n v="-14954.301290969002"/>
    <n v="37154.252388000001"/>
    <n v="50438.379078999998"/>
    <n v="-543.70550000000003"/>
    <n v="118330.08048"/>
    <n v="0"/>
    <n v="0"/>
    <n v="17085.699004000002"/>
    <n v="0"/>
    <n v="355000"/>
    <n v="73400"/>
    <n v="428400"/>
    <n v="-3.098846414838272E-2"/>
    <n v="0.99970000000000003"/>
    <n v="0.99819999999999998"/>
    <n v="1.0007999999999999"/>
    <n v="1.0007999999999999"/>
    <n v="1.0022"/>
    <n v="0.94971499999999998"/>
    <n v="0.95161187898712574"/>
    <n v="348600"/>
    <n v="0"/>
    <n v="348600"/>
    <n v="69700"/>
    <n v="418300"/>
    <n v="-6.1894510226049512E-2"/>
    <n v="-1.1347517730496455E-2"/>
    <n v="-5.3833974213978737E-2"/>
  </r>
  <r>
    <n v="2025"/>
    <s v="19120131449    "/>
    <n v="-1.1394342831883648"/>
    <n v="0.32"/>
    <n v="13850"/>
    <s v="2"/>
    <s v="RES"/>
    <s v="MX"/>
    <s v="11"/>
    <s v="259"/>
    <s v="RN"/>
    <x v="2"/>
    <s v="AV"/>
    <n v="50"/>
    <n v="53"/>
    <n v="46"/>
    <n v="1971"/>
    <n v="1978"/>
    <n v="972"/>
    <m/>
    <m/>
    <m/>
    <m/>
    <n v="0"/>
    <n v="972"/>
    <n v="1000"/>
    <s v="N"/>
    <m/>
    <n v="324"/>
    <m/>
    <m/>
    <m/>
    <m/>
    <m/>
    <n v="171634"/>
    <n v="130442"/>
    <n v="45320"/>
    <n v="0"/>
    <n v="70500"/>
    <n v="236900"/>
    <n v="307400"/>
    <n v="132535.48800000001"/>
    <n v="88356.992000000013"/>
    <n v="-14954.301290969002"/>
    <n v="-1240.8083630000001"/>
    <n v="17761.121909000001"/>
    <n v="-5002.0906000000004"/>
    <n v="60662.889360000001"/>
    <n v="0"/>
    <n v="0"/>
    <n v="11437.534044"/>
    <n v="45300"/>
    <n v="216200"/>
    <n v="73400"/>
    <n v="334900"/>
    <n v="8.9459986987638254E-2"/>
    <n v="0.99970000000000003"/>
    <n v="1.0022"/>
    <n v="0.99680000000000002"/>
    <n v="1"/>
    <n v="1.0470999999999999"/>
    <n v="0.94971499999999998"/>
    <n v="0.99344512901960136"/>
    <n v="215300"/>
    <n v="43000"/>
    <n v="258300"/>
    <n v="69700"/>
    <n v="328000"/>
    <n v="9.0333474039679187E-2"/>
    <n v="-1.1347517730496455E-2"/>
    <n v="6.7013662979830843E-2"/>
  </r>
  <r>
    <n v="2025"/>
    <s v="19120143014    "/>
    <n v="-1.1394342831883648"/>
    <n v="0.32"/>
    <n v="14000"/>
    <s v="2"/>
    <s v="RES"/>
    <s v="MX"/>
    <s v="11"/>
    <s v="259"/>
    <s v="CO"/>
    <x v="0"/>
    <s v="GD"/>
    <n v="90"/>
    <n v="99"/>
    <n v="56"/>
    <n v="1925"/>
    <n v="1968"/>
    <n v="1616"/>
    <n v="320"/>
    <m/>
    <m/>
    <m/>
    <n v="0"/>
    <n v="1936"/>
    <n v="2000"/>
    <s v="N"/>
    <m/>
    <m/>
    <m/>
    <m/>
    <m/>
    <m/>
    <m/>
    <n v="322625"/>
    <n v="212933"/>
    <n v="2351"/>
    <n v="0"/>
    <n v="70500"/>
    <n v="247600"/>
    <n v="318100"/>
    <n v="132535.48800000001"/>
    <n v="88356.992000000013"/>
    <n v="-14954.301290969002"/>
    <n v="24371.765965999999"/>
    <n v="30300.329274"/>
    <n v="-6089.5016000000005"/>
    <n v="100855.17408000001"/>
    <n v="19065.722559999998"/>
    <n v="0"/>
    <n v="0"/>
    <n v="2400"/>
    <n v="301000"/>
    <n v="73400"/>
    <n v="376800"/>
    <n v="0.18453316567117259"/>
    <n v="0.99970000000000003"/>
    <n v="0.99199999999999999"/>
    <n v="0.997"/>
    <n v="1.0007999999999999"/>
    <n v="0.99960000000000004"/>
    <n v="0.94971499999999998"/>
    <n v="0.93966634395816684"/>
    <n v="293000"/>
    <n v="2200"/>
    <n v="295200"/>
    <n v="69700"/>
    <n v="364900"/>
    <n v="0.19224555735056542"/>
    <n v="-1.1347517730496455E-2"/>
    <n v="0.14712354605469977"/>
  </r>
  <r>
    <n v="2025"/>
    <s v="20120631002    "/>
    <n v="-1.1086626245216111"/>
    <n v="0.33"/>
    <n v="14301"/>
    <s v="2"/>
    <s v="RES"/>
    <s v="MX"/>
    <s v="11"/>
    <s v=""/>
    <s v="TD"/>
    <x v="1"/>
    <s v="AV"/>
    <n v="90"/>
    <n v="94"/>
    <n v="54"/>
    <n v="1930"/>
    <n v="1970"/>
    <n v="1404"/>
    <m/>
    <n v="816"/>
    <m/>
    <m/>
    <n v="816"/>
    <n v="1404"/>
    <n v="1500"/>
    <s v="N"/>
    <m/>
    <m/>
    <m/>
    <m/>
    <m/>
    <m/>
    <m/>
    <n v="207718"/>
    <n v="137094"/>
    <n v="6927"/>
    <n v="0"/>
    <n v="71000"/>
    <n v="188000"/>
    <n v="259000"/>
    <n v="132535.48800000001"/>
    <n v="88356.992000000013"/>
    <n v="-14550.444164924096"/>
    <n v="0"/>
    <n v="17761.121909000001"/>
    <n v="-5872.0194000000001"/>
    <n v="87624.173520000011"/>
    <n v="0"/>
    <n v="51070.580735999996"/>
    <n v="0"/>
    <n v="6900"/>
    <n v="283100"/>
    <n v="73800"/>
    <n v="363800"/>
    <n v="0.40463320463320462"/>
    <n v="0.99970000000000003"/>
    <n v="1.0003"/>
    <n v="0.99680000000000002"/>
    <n v="0.99519999999999997"/>
    <n v="0.99960000000000004"/>
    <n v="0.94971499999999998"/>
    <n v="0.94203754137981355"/>
    <n v="275400"/>
    <n v="6600"/>
    <n v="282000"/>
    <n v="70100"/>
    <n v="352100"/>
    <n v="0.5"/>
    <n v="-1.2676056338028169E-2"/>
    <n v="0.35945945945945945"/>
  </r>
  <r>
    <n v="2025"/>
    <s v="19120131441    "/>
    <n v="-1.1086626245216111"/>
    <n v="0.33"/>
    <n v="14573"/>
    <s v="2"/>
    <s v="RES"/>
    <s v="MX"/>
    <s v="11"/>
    <s v="259"/>
    <s v="RN"/>
    <x v="2"/>
    <s v="AV"/>
    <n v="50"/>
    <n v="50"/>
    <n v="45"/>
    <n v="1974"/>
    <n v="1979"/>
    <n v="960"/>
    <m/>
    <m/>
    <m/>
    <m/>
    <n v="0"/>
    <n v="960"/>
    <n v="1000"/>
    <s v="N"/>
    <m/>
    <m/>
    <m/>
    <m/>
    <m/>
    <m/>
    <m/>
    <n v="148452"/>
    <n v="114308"/>
    <n v="0"/>
    <n v="0"/>
    <n v="71000"/>
    <n v="184500"/>
    <n v="255500"/>
    <n v="132535.48800000001"/>
    <n v="88356.992000000013"/>
    <n v="-14550.444164924096"/>
    <n v="-1240.8083630000001"/>
    <n v="17761.121909000001"/>
    <n v="-4893.3495000000003"/>
    <n v="59913.964800000002"/>
    <n v="0"/>
    <n v="0"/>
    <n v="0"/>
    <n v="0"/>
    <n v="204100"/>
    <n v="73800"/>
    <n v="277900"/>
    <n v="8.7671232876712329E-2"/>
    <n v="0.99970000000000003"/>
    <n v="1.0022"/>
    <n v="0.99680000000000002"/>
    <n v="1"/>
    <n v="1.0470999999999999"/>
    <n v="0.94971499999999998"/>
    <n v="0.99344512901960136"/>
    <n v="203200"/>
    <n v="0"/>
    <n v="203200"/>
    <n v="70100"/>
    <n v="273300"/>
    <n v="0.1013550135501355"/>
    <n v="-1.2676056338028169E-2"/>
    <n v="6.9667318982387469E-2"/>
  </r>
  <r>
    <n v="2025"/>
    <s v="19120113040    "/>
    <n v="-1.0788096613719298"/>
    <n v="0.34"/>
    <n v="14626"/>
    <s v="2"/>
    <s v="RES"/>
    <s v="MX"/>
    <s v="11"/>
    <s v="259"/>
    <s v="BG"/>
    <x v="2"/>
    <s v="PR"/>
    <n v="80"/>
    <n v="84"/>
    <n v="52"/>
    <n v="1940"/>
    <n v="1972"/>
    <n v="936"/>
    <n v="340"/>
    <n v="864"/>
    <m/>
    <n v="432"/>
    <n v="432"/>
    <n v="1708"/>
    <n v="2000"/>
    <s v="N"/>
    <m/>
    <m/>
    <m/>
    <m/>
    <m/>
    <m/>
    <m/>
    <n v="228026"/>
    <n v="148217"/>
    <n v="7987"/>
    <n v="0"/>
    <n v="71400"/>
    <n v="181100"/>
    <n v="252500"/>
    <n v="132535.48800000001"/>
    <n v="88356.992000000013"/>
    <n v="-14158.644293746507"/>
    <n v="-1240.8083630000001"/>
    <n v="-9051.7226098799892"/>
    <n v="-5654.5371999999998"/>
    <n v="58416.115680000003"/>
    <n v="20257.33022"/>
    <n v="54074.732543999999"/>
    <n v="0"/>
    <n v="8000"/>
    <n v="249300"/>
    <n v="74200"/>
    <n v="331500"/>
    <n v="0.31287128712871287"/>
    <n v="0.99970000000000003"/>
    <n v="1.0022"/>
    <n v="1"/>
    <n v="1.0007999999999999"/>
    <n v="1"/>
    <n v="0.94971499999999998"/>
    <n v="0.95256581649839989"/>
    <n v="243000"/>
    <n v="7600"/>
    <n v="250600"/>
    <n v="70500"/>
    <n v="321100"/>
    <n v="0.3837658752070679"/>
    <n v="-1.2605042016806723E-2"/>
    <n v="0.2716831683168317"/>
  </r>
  <r>
    <n v="2025"/>
    <s v="19120131446    "/>
    <n v="-1.0788096613719298"/>
    <n v="0.34"/>
    <n v="14786"/>
    <s v="2"/>
    <s v="RES"/>
    <s v="MX"/>
    <s v="11"/>
    <s v="259"/>
    <s v="RN"/>
    <x v="2"/>
    <s v="AV"/>
    <n v="50"/>
    <n v="51"/>
    <n v="46"/>
    <n v="1973"/>
    <n v="1978"/>
    <n v="1075"/>
    <m/>
    <m/>
    <m/>
    <m/>
    <n v="0"/>
    <n v="1075"/>
    <n v="1500"/>
    <s v="N"/>
    <m/>
    <n v="300"/>
    <m/>
    <m/>
    <m/>
    <m/>
    <m/>
    <n v="175236"/>
    <n v="133179"/>
    <n v="0"/>
    <n v="0"/>
    <n v="71400"/>
    <n v="198100"/>
    <n v="269500"/>
    <n v="132535.48800000001"/>
    <n v="88356.992000000013"/>
    <n v="-14158.644293746507"/>
    <n v="-1240.8083630000001"/>
    <n v="17761.121909000001"/>
    <n v="-5002.0906000000004"/>
    <n v="67091.158500000005"/>
    <n v="0"/>
    <n v="0"/>
    <n v="10590.309300000001"/>
    <n v="0"/>
    <n v="221700"/>
    <n v="74200"/>
    <n v="295900"/>
    <n v="9.7959183673469383E-2"/>
    <n v="0.99970000000000003"/>
    <n v="1.0022"/>
    <n v="0.99680000000000002"/>
    <n v="0.99519999999999997"/>
    <n v="1.0470999999999999"/>
    <n v="0.94971499999999998"/>
    <n v="0.98867659240030714"/>
    <n v="220200"/>
    <n v="0"/>
    <n v="220200"/>
    <n v="70500"/>
    <n v="290700"/>
    <n v="0.11155981827359919"/>
    <n v="-1.2605042016806723E-2"/>
    <n v="7.866419294990723E-2"/>
  </r>
  <r>
    <n v="2025"/>
    <s v="19133511006    "/>
    <n v="-1.0788096613719298"/>
    <n v="0.34"/>
    <m/>
    <s v="2"/>
    <s v="RES"/>
    <s v="MX"/>
    <s v="11"/>
    <s v="259"/>
    <s v="BG"/>
    <x v="0"/>
    <s v="FR"/>
    <n v="90"/>
    <n v="94"/>
    <n v="54"/>
    <n v="1930"/>
    <n v="1970"/>
    <n v="1835"/>
    <m/>
    <m/>
    <m/>
    <m/>
    <n v="0"/>
    <n v="1835"/>
    <n v="2000"/>
    <s v="N"/>
    <m/>
    <m/>
    <m/>
    <m/>
    <m/>
    <m/>
    <m/>
    <n v="273203"/>
    <n v="180314"/>
    <n v="14516"/>
    <n v="0"/>
    <n v="71400"/>
    <n v="239400"/>
    <n v="310800"/>
    <n v="132535.48800000001"/>
    <n v="88356.992000000013"/>
    <n v="-14158.644293746507"/>
    <n v="24371.765965999999"/>
    <n v="0"/>
    <n v="-5872.0194000000001"/>
    <n v="114523.04730000001"/>
    <n v="0"/>
    <n v="0"/>
    <n v="0"/>
    <n v="14500"/>
    <n v="265600"/>
    <n v="74200"/>
    <n v="354300"/>
    <n v="0.13996138996138996"/>
    <n v="0.99970000000000003"/>
    <n v="0.99199999999999999"/>
    <n v="1"/>
    <n v="1.0007999999999999"/>
    <n v="0.99960000000000004"/>
    <n v="0.94971499999999998"/>
    <n v="0.94249382543447036"/>
    <n v="257900"/>
    <n v="13800"/>
    <n v="271700"/>
    <n v="70500"/>
    <n v="342200"/>
    <n v="0.13492063492063491"/>
    <n v="-1.2605042016806723E-2"/>
    <n v="0.10102960102960103"/>
  </r>
  <r>
    <n v="2025"/>
    <s v="19120113028    "/>
    <n v="-1.0788096613719298"/>
    <n v="0.34"/>
    <n v="14833"/>
    <s v="2"/>
    <s v="RES"/>
    <s v="MX"/>
    <s v="11"/>
    <s v="259"/>
    <s v="BG"/>
    <x v="3"/>
    <s v="AV"/>
    <n v="90"/>
    <n v="94"/>
    <n v="54"/>
    <n v="1930"/>
    <n v="1970"/>
    <n v="692"/>
    <m/>
    <m/>
    <m/>
    <m/>
    <n v="0"/>
    <n v="692"/>
    <n v="1000"/>
    <s v="N"/>
    <m/>
    <m/>
    <m/>
    <m/>
    <m/>
    <m/>
    <m/>
    <n v="100053"/>
    <n v="66035"/>
    <n v="0"/>
    <n v="0"/>
    <n v="71400"/>
    <n v="135300"/>
    <n v="206700"/>
    <n v="132535.48800000001"/>
    <n v="88356.992000000013"/>
    <n v="-14158.644293746507"/>
    <n v="-9114.1675108666695"/>
    <n v="17761.121909000001"/>
    <n v="-5872.0194000000001"/>
    <n v="43187.982960000001"/>
    <n v="0"/>
    <n v="0"/>
    <n v="0"/>
    <n v="0"/>
    <n v="178500"/>
    <n v="74200"/>
    <n v="252700"/>
    <n v="0.22254475084663763"/>
    <n v="0.99970000000000003"/>
    <n v="1"/>
    <n v="0.99680000000000002"/>
    <n v="1"/>
    <n v="0.99960000000000004"/>
    <n v="0.94971499999999998"/>
    <n v="0.94629724163520013"/>
    <n v="171400"/>
    <n v="0"/>
    <n v="171400"/>
    <n v="70500"/>
    <n v="241900"/>
    <n v="0.26681448632668142"/>
    <n v="-1.2605042016806723E-2"/>
    <n v="0.17029511369134009"/>
  </r>
  <r>
    <n v="2025"/>
    <s v="19120114406    "/>
    <n v="-1.0498221244986778"/>
    <n v="0.35"/>
    <n v="15367"/>
    <s v="2"/>
    <s v="RES"/>
    <s v="MX"/>
    <s v="11"/>
    <s v="259"/>
    <s v="CP"/>
    <x v="6"/>
    <s v="GD"/>
    <n v="10"/>
    <n v="17"/>
    <n v="17"/>
    <n v="2007"/>
    <n v="2007"/>
    <n v="2155"/>
    <m/>
    <m/>
    <m/>
    <m/>
    <n v="0"/>
    <n v="2155"/>
    <n v="2500"/>
    <s v="B"/>
    <n v="1"/>
    <n v="964"/>
    <m/>
    <m/>
    <m/>
    <m/>
    <m/>
    <n v="528804"/>
    <n v="491788"/>
    <n v="0"/>
    <n v="0"/>
    <n v="71800"/>
    <n v="388600"/>
    <n v="460400"/>
    <n v="132535.48800000001"/>
    <n v="88356.992000000013"/>
    <n v="-13778.202554822612"/>
    <n v="39366.494398000003"/>
    <n v="30300.329274"/>
    <n v="-1848.5987"/>
    <n v="134494.3689"/>
    <n v="0"/>
    <n v="0"/>
    <n v="34030.193884"/>
    <n v="0"/>
    <n v="368900"/>
    <n v="74600"/>
    <n v="443500"/>
    <n v="-3.6707211120764555E-2"/>
    <n v="0.99970000000000003"/>
    <n v="0.99980000000000002"/>
    <n v="0.997"/>
    <n v="1.0008999999999999"/>
    <n v="0.99080000000000001"/>
    <n v="0.94971499999999998"/>
    <n v="0.93881122854854959"/>
    <n v="360800"/>
    <n v="0"/>
    <n v="360800"/>
    <n v="70800"/>
    <n v="431600"/>
    <n v="-7.1538857436953165E-2"/>
    <n v="-1.3927576601671309E-2"/>
    <n v="-6.2554300608166816E-2"/>
  </r>
  <r>
    <n v="2025"/>
    <s v="19120134436    "/>
    <n v="-1.0498221244986778"/>
    <n v="0.35"/>
    <n v="15038"/>
    <s v="2"/>
    <s v="RES"/>
    <s v="MX"/>
    <s v="11"/>
    <s v="259"/>
    <s v="RN"/>
    <x v="8"/>
    <s v="AV"/>
    <n v="40"/>
    <n v="49"/>
    <n v="45"/>
    <n v="1975"/>
    <n v="1979"/>
    <n v="3653"/>
    <m/>
    <m/>
    <m/>
    <m/>
    <n v="0"/>
    <n v="3653"/>
    <n v="4000"/>
    <s v="B"/>
    <m/>
    <n v="997"/>
    <m/>
    <m/>
    <m/>
    <m/>
    <m/>
    <n v="934494"/>
    <n v="738250"/>
    <n v="14335"/>
    <n v="0"/>
    <n v="71800"/>
    <n v="434100"/>
    <n v="505900"/>
    <n v="132535.48800000001"/>
    <n v="88356.992000000013"/>
    <n v="-13778.202554822612"/>
    <n v="53304.018704533402"/>
    <n v="17761.121909000001"/>
    <n v="-4893.3495000000003"/>
    <n v="227985.11814000001"/>
    <n v="0"/>
    <n v="0"/>
    <n v="35195.127907000002"/>
    <n v="14300"/>
    <n v="461900"/>
    <n v="74600"/>
    <n v="550800"/>
    <n v="8.8752717928444358E-2"/>
    <n v="0.99970000000000003"/>
    <n v="1"/>
    <n v="0.99680000000000002"/>
    <n v="1"/>
    <n v="0.95689999999999997"/>
    <n v="0.94971499999999998"/>
    <n v="0.90587418019279997"/>
    <n v="449400"/>
    <n v="13600"/>
    <n v="463000"/>
    <n v="70800"/>
    <n v="533800"/>
    <n v="6.6574521999539282E-2"/>
    <n v="-1.3927576601671309E-2"/>
    <n v="5.5149238980035577E-2"/>
  </r>
  <r>
    <n v="2025"/>
    <s v="19120131447    "/>
    <n v="-1.0498221244986778"/>
    <n v="0.35"/>
    <n v="15143"/>
    <s v="2"/>
    <s v="RES"/>
    <s v="MX"/>
    <s v="11"/>
    <s v="259"/>
    <s v="RN"/>
    <x v="2"/>
    <s v="AV"/>
    <n v="50"/>
    <n v="51"/>
    <n v="46"/>
    <n v="1973"/>
    <n v="1978"/>
    <n v="1055"/>
    <m/>
    <m/>
    <m/>
    <m/>
    <n v="0"/>
    <n v="1055"/>
    <n v="1500"/>
    <s v="N"/>
    <m/>
    <n v="300"/>
    <m/>
    <m/>
    <m/>
    <m/>
    <m/>
    <n v="178871"/>
    <n v="135942"/>
    <n v="36871"/>
    <n v="0"/>
    <n v="71800"/>
    <n v="228700"/>
    <n v="300500"/>
    <n v="132535.48800000001"/>
    <n v="88356.992000000013"/>
    <n v="-13778.202554822612"/>
    <n v="-1240.8083630000001"/>
    <n v="17761.121909000001"/>
    <n v="-5002.0906000000004"/>
    <n v="65842.950900000011"/>
    <n v="0"/>
    <n v="0"/>
    <n v="10590.309300000001"/>
    <n v="36900"/>
    <n v="220500"/>
    <n v="74600"/>
    <n v="332000"/>
    <n v="0.1048252911813644"/>
    <n v="0.99970000000000003"/>
    <n v="1.0022"/>
    <n v="0.99680000000000002"/>
    <n v="0.99519999999999997"/>
    <n v="1.0470999999999999"/>
    <n v="0.94971499999999998"/>
    <n v="0.98867659240030714"/>
    <n v="219000"/>
    <n v="35000"/>
    <n v="254000"/>
    <n v="70800"/>
    <n v="324800"/>
    <n v="0.11062527328377787"/>
    <n v="-1.3927576601671309E-2"/>
    <n v="8.0865224625623955E-2"/>
  </r>
  <r>
    <n v="2025"/>
    <s v="19120131512    "/>
    <n v="-1.0498221244986778"/>
    <n v="0.35"/>
    <n v="15172"/>
    <s v="2"/>
    <s v="RES"/>
    <s v="MX"/>
    <s v="11"/>
    <s v="259"/>
    <s v="BG"/>
    <x v="3"/>
    <s v="AV"/>
    <n v="80"/>
    <n v="89"/>
    <n v="53"/>
    <n v="1935"/>
    <n v="1971"/>
    <n v="739"/>
    <m/>
    <m/>
    <m/>
    <m/>
    <n v="0"/>
    <n v="739"/>
    <n v="1000"/>
    <s v="N"/>
    <m/>
    <m/>
    <m/>
    <m/>
    <m/>
    <m/>
    <m/>
    <n v="104376"/>
    <n v="69932"/>
    <n v="2244"/>
    <n v="0"/>
    <n v="71800"/>
    <n v="140400"/>
    <n v="212200"/>
    <n v="132535.48800000001"/>
    <n v="88356.992000000013"/>
    <n v="-13778.202554822612"/>
    <n v="-9114.1675108666695"/>
    <n v="17761.121909000001"/>
    <n v="-5763.2782999999999"/>
    <n v="46121.270820000005"/>
    <n v="0"/>
    <n v="0"/>
    <n v="0"/>
    <n v="2200"/>
    <n v="181500"/>
    <n v="74600"/>
    <n v="258300"/>
    <n v="0.2172478793590952"/>
    <n v="0.99970000000000003"/>
    <n v="1"/>
    <n v="0.99680000000000002"/>
    <n v="1"/>
    <n v="1"/>
    <n v="0.94971499999999998"/>
    <n v="0.94667591200000001"/>
    <n v="174500"/>
    <n v="2100"/>
    <n v="176600"/>
    <n v="70800"/>
    <n v="247400"/>
    <n v="0.25783475783475784"/>
    <n v="-1.3927576601671309E-2"/>
    <n v="0.16588124410933083"/>
  </r>
  <r>
    <n v="2025"/>
    <s v="19120113027    "/>
    <n v="-1.0216512475319814"/>
    <n v="0.36"/>
    <n v="15672"/>
    <s v="2"/>
    <s v="RES"/>
    <s v="MX"/>
    <s v="11"/>
    <s v="259"/>
    <s v="RN"/>
    <x v="0"/>
    <s v="GD"/>
    <n v="20"/>
    <n v="29"/>
    <n v="29"/>
    <n v="1995"/>
    <n v="1995"/>
    <n v="1088"/>
    <m/>
    <m/>
    <m/>
    <m/>
    <n v="0"/>
    <n v="1088"/>
    <n v="1500"/>
    <s v="N"/>
    <m/>
    <n v="312"/>
    <m/>
    <m/>
    <m/>
    <m/>
    <m/>
    <n v="188734"/>
    <n v="164199"/>
    <n v="0"/>
    <n v="0"/>
    <n v="72200"/>
    <n v="239000"/>
    <n v="311200"/>
    <n v="132535.48800000001"/>
    <n v="88356.992000000013"/>
    <n v="-13408.478922660182"/>
    <n v="24371.765965999999"/>
    <n v="30300.329274"/>
    <n v="-3153.4919"/>
    <n v="67902.493440000006"/>
    <n v="0"/>
    <n v="0"/>
    <n v="11013.921672"/>
    <n v="0"/>
    <n v="263000"/>
    <n v="74900"/>
    <n v="337900"/>
    <n v="8.5796915167095117E-2"/>
    <n v="0.99970000000000003"/>
    <n v="0.99199999999999999"/>
    <n v="0.997"/>
    <n v="0.99519999999999997"/>
    <n v="1.0138"/>
    <n v="0.94971499999999998"/>
    <n v="0.94768232788235862"/>
    <n v="256000"/>
    <n v="0"/>
    <n v="256000"/>
    <n v="71200"/>
    <n v="327200"/>
    <n v="7.1129707112970716E-2"/>
    <n v="-1.3850415512465374E-2"/>
    <n v="5.1413881748071981E-2"/>
  </r>
  <r>
    <n v="2025"/>
    <s v="19120131442    "/>
    <n v="-1.0216512475319814"/>
    <n v="0.36"/>
    <n v="15603"/>
    <s v="2"/>
    <s v="RES"/>
    <s v="MX"/>
    <s v="11"/>
    <s v="259"/>
    <s v="RN"/>
    <x v="1"/>
    <s v="AV"/>
    <n v="50"/>
    <n v="50"/>
    <n v="45"/>
    <n v="1974"/>
    <n v="1979"/>
    <n v="1300"/>
    <m/>
    <m/>
    <m/>
    <m/>
    <n v="0"/>
    <n v="1300"/>
    <n v="1500"/>
    <s v="N"/>
    <m/>
    <m/>
    <m/>
    <m/>
    <m/>
    <m/>
    <m/>
    <n v="178353"/>
    <n v="137332"/>
    <n v="0"/>
    <n v="0"/>
    <n v="72200"/>
    <n v="185100"/>
    <n v="257300"/>
    <n v="132535.48800000001"/>
    <n v="88356.992000000013"/>
    <n v="-13408.478922660182"/>
    <n v="0"/>
    <n v="17761.121909000001"/>
    <n v="-4893.3495000000003"/>
    <n v="81133.494000000006"/>
    <n v="0"/>
    <n v="0"/>
    <n v="0"/>
    <n v="0"/>
    <n v="226500"/>
    <n v="74900"/>
    <n v="301400"/>
    <n v="0.1713952584531675"/>
    <n v="0.99970000000000003"/>
    <n v="1.0003"/>
    <n v="0.99680000000000002"/>
    <n v="0.99519999999999997"/>
    <n v="1.0470999999999999"/>
    <n v="0.94971499999999998"/>
    <n v="0.98680223047099103"/>
    <n v="224800"/>
    <n v="0"/>
    <n v="224800"/>
    <n v="71200"/>
    <n v="296000"/>
    <n v="0.2144786601836845"/>
    <n v="-1.3850415512465374E-2"/>
    <n v="0.15040808394869801"/>
  </r>
  <r>
    <n v="2025"/>
    <s v="19120134443    "/>
    <n v="-0.9942522733438669"/>
    <n v="0.37"/>
    <n v="15936"/>
    <s v="2"/>
    <s v="RES"/>
    <s v="MX"/>
    <s v="11"/>
    <s v="259"/>
    <s v="RN"/>
    <x v="4"/>
    <s v="GD"/>
    <n v="40"/>
    <n v="44"/>
    <n v="44"/>
    <n v="1980"/>
    <n v="1980"/>
    <n v="1898"/>
    <m/>
    <m/>
    <m/>
    <m/>
    <n v="0"/>
    <n v="1898"/>
    <n v="2000"/>
    <s v="B"/>
    <m/>
    <m/>
    <m/>
    <m/>
    <m/>
    <m/>
    <m/>
    <n v="342966"/>
    <n v="270943"/>
    <n v="82558"/>
    <n v="0"/>
    <n v="72600"/>
    <n v="341100"/>
    <n v="413700"/>
    <n v="132535.48800000001"/>
    <n v="88356.992000000013"/>
    <n v="-13048.885990344652"/>
    <n v="37154.252388000001"/>
    <n v="30300.329274"/>
    <n v="-4784.6084000000001"/>
    <n v="118454.90124000001"/>
    <n v="0"/>
    <n v="0"/>
    <n v="0"/>
    <n v="82600"/>
    <n v="313700"/>
    <n v="75300"/>
    <n v="471600"/>
    <n v="0.13995649021029732"/>
    <n v="0.99970000000000003"/>
    <n v="0.99819999999999998"/>
    <n v="0.997"/>
    <n v="1.0007999999999999"/>
    <n v="0.95689999999999997"/>
    <n v="0.94971499999999998"/>
    <n v="0.9051485759923017"/>
    <n v="301100"/>
    <n v="78400"/>
    <n v="379500"/>
    <n v="71500"/>
    <n v="451000"/>
    <n v="0.11257695690413369"/>
    <n v="-1.5151515151515152E-2"/>
    <n v="9.0161953106115536E-2"/>
  </r>
  <r>
    <n v="2025"/>
    <s v="19133541412    "/>
    <n v="-0.9942522733438669"/>
    <n v="0.37"/>
    <m/>
    <s v="2"/>
    <s v="RES"/>
    <s v="MX"/>
    <s v="11"/>
    <s v="259"/>
    <s v="RN"/>
    <x v="5"/>
    <s v="VG"/>
    <n v="10"/>
    <n v="17"/>
    <n v="17"/>
    <n v="2007"/>
    <n v="2007"/>
    <n v="1812"/>
    <m/>
    <m/>
    <m/>
    <m/>
    <n v="0"/>
    <n v="1812"/>
    <n v="2000"/>
    <s v="N"/>
    <m/>
    <n v="528"/>
    <m/>
    <m/>
    <m/>
    <m/>
    <m/>
    <n v="432786"/>
    <n v="402491"/>
    <n v="35673"/>
    <n v="0"/>
    <n v="72600"/>
    <n v="371700"/>
    <n v="444300"/>
    <n v="132535.48800000001"/>
    <n v="88356.992000000013"/>
    <n v="-13048.885990344652"/>
    <n v="32917.849192000001"/>
    <n v="50438.379078999998"/>
    <n v="-1848.5987"/>
    <n v="113087.60856000001"/>
    <n v="0"/>
    <n v="0"/>
    <n v="18638.944368"/>
    <n v="35700"/>
    <n v="345800"/>
    <n v="75300"/>
    <n v="456800"/>
    <n v="2.8134143596668916E-2"/>
    <n v="0.99970000000000003"/>
    <n v="1.0019"/>
    <n v="1.0007999999999999"/>
    <n v="1.0007999999999999"/>
    <n v="0.99080000000000001"/>
    <n v="0.94971499999999998"/>
    <n v="0.94427450761887755"/>
    <n v="338400"/>
    <n v="33900"/>
    <n v="372300"/>
    <n v="71500"/>
    <n v="443800"/>
    <n v="1.6142050040355124E-3"/>
    <n v="-1.5151515151515152E-2"/>
    <n v="-1.1253657438667567E-3"/>
  </r>
  <r>
    <n v="2025"/>
    <s v="19133541411    "/>
    <n v="-0.96758402626170559"/>
    <n v="0.38"/>
    <m/>
    <s v="2"/>
    <s v="RES"/>
    <s v="MX"/>
    <s v="11"/>
    <s v="259"/>
    <s v="FH"/>
    <x v="1"/>
    <s v="AV"/>
    <n v="120"/>
    <n v="122"/>
    <n v="74"/>
    <n v="1902"/>
    <n v="1950"/>
    <n v="1120"/>
    <n v="416"/>
    <m/>
    <m/>
    <m/>
    <n v="0"/>
    <n v="1536"/>
    <n v="2000"/>
    <s v="N"/>
    <m/>
    <m/>
    <m/>
    <m/>
    <m/>
    <m/>
    <m/>
    <n v="190115"/>
    <n v="104563"/>
    <n v="42965"/>
    <n v="0"/>
    <n v="73000"/>
    <n v="209400"/>
    <n v="282400"/>
    <n v="132535.48800000001"/>
    <n v="88356.992000000013"/>
    <n v="-12698.883355131054"/>
    <n v="0"/>
    <n v="17761.121909000001"/>
    <n v="-8046.8414000000002"/>
    <n v="69899.625599999999"/>
    <n v="24785.439328"/>
    <n v="0"/>
    <n v="0"/>
    <n v="43000"/>
    <n v="236900"/>
    <n v="75700"/>
    <n v="355600"/>
    <n v="0.25920679886685555"/>
    <n v="0.99970000000000003"/>
    <n v="1.0003"/>
    <n v="0.99680000000000002"/>
    <n v="1.0007999999999999"/>
    <n v="0.96709999999999996"/>
    <n v="0.94971499999999998"/>
    <n v="0.91653757752441034"/>
    <n v="225900"/>
    <n v="40800"/>
    <n v="266700"/>
    <n v="71900"/>
    <n v="338600"/>
    <n v="0.27363896848137537"/>
    <n v="-1.5068493150684932E-2"/>
    <n v="0.19900849858356939"/>
  </r>
  <r>
    <n v="2025"/>
    <s v="19120134448    "/>
    <n v="-0.94160853985844495"/>
    <n v="0.39"/>
    <n v="16800"/>
    <s v="2"/>
    <s v="RES"/>
    <s v="MX"/>
    <s v="11"/>
    <s v="259"/>
    <s v="TD"/>
    <x v="5"/>
    <s v="GD"/>
    <n v="60"/>
    <n v="65"/>
    <n v="50"/>
    <n v="1959"/>
    <n v="1974"/>
    <n v="1531"/>
    <m/>
    <m/>
    <m/>
    <m/>
    <n v="0"/>
    <n v="1531"/>
    <n v="2000"/>
    <s v="N"/>
    <m/>
    <m/>
    <m/>
    <m/>
    <m/>
    <m/>
    <m/>
    <n v="373345"/>
    <n v="268808"/>
    <n v="34511"/>
    <n v="0"/>
    <n v="73300"/>
    <n v="282900"/>
    <n v="356200"/>
    <n v="132535.48800000001"/>
    <n v="88356.992000000013"/>
    <n v="-12357.972733443527"/>
    <n v="32917.849192000001"/>
    <n v="30300.329274"/>
    <n v="-5437.0550000000003"/>
    <n v="95550.29178"/>
    <n v="0"/>
    <n v="0"/>
    <n v="0"/>
    <n v="34500"/>
    <n v="285900"/>
    <n v="76000"/>
    <n v="396400"/>
    <n v="0.1128579449747333"/>
    <n v="0.99970000000000003"/>
    <n v="1.0019"/>
    <n v="0.997"/>
    <n v="1.0007999999999999"/>
    <n v="1.0558000000000001"/>
    <n v="0.94971499999999998"/>
    <n v="1.0024016818726882"/>
    <n v="286200"/>
    <n v="32800"/>
    <n v="319000"/>
    <n v="72200"/>
    <n v="391200"/>
    <n v="0.12760692824319547"/>
    <n v="-1.5006821282401092E-2"/>
    <n v="9.8259404828747898E-2"/>
  </r>
  <r>
    <n v="2025"/>
    <s v="19120131443    "/>
    <n v="-0.94160853985844495"/>
    <n v="0.39"/>
    <n v="17008"/>
    <s v="2"/>
    <s v="RES"/>
    <s v="MX"/>
    <s v="11"/>
    <s v="259"/>
    <s v="RN"/>
    <x v="2"/>
    <s v="AV"/>
    <n v="50"/>
    <n v="53"/>
    <n v="46"/>
    <n v="1971"/>
    <n v="1978"/>
    <n v="1320"/>
    <m/>
    <m/>
    <m/>
    <m/>
    <n v="0"/>
    <n v="1320"/>
    <n v="1500"/>
    <s v="N"/>
    <m/>
    <m/>
    <m/>
    <m/>
    <m/>
    <m/>
    <m/>
    <n v="170394"/>
    <n v="129499"/>
    <n v="0"/>
    <n v="0"/>
    <n v="73300"/>
    <n v="173200"/>
    <n v="246500"/>
    <n v="132535.48800000001"/>
    <n v="88356.992000000013"/>
    <n v="-12357.972733443527"/>
    <n v="-1240.8083630000001"/>
    <n v="17761.121909000001"/>
    <n v="-5002.0906000000004"/>
    <n v="82381.7016"/>
    <n v="0"/>
    <n v="0"/>
    <n v="0"/>
    <n v="0"/>
    <n v="226400"/>
    <n v="76000"/>
    <n v="302400"/>
    <n v="0.22677484787018257"/>
    <n v="0.99970000000000003"/>
    <n v="1.0022"/>
    <n v="0.99680000000000002"/>
    <n v="0.99519999999999997"/>
    <n v="1.0470999999999999"/>
    <n v="0.94971499999999998"/>
    <n v="0.98867659240030714"/>
    <n v="224900"/>
    <n v="0"/>
    <n v="224900"/>
    <n v="72200"/>
    <n v="297100"/>
    <n v="0.2984988452655889"/>
    <n v="-1.5006821282401092E-2"/>
    <n v="0.20527383367139959"/>
  </r>
  <r>
    <n v="2025"/>
    <s v="19120114405    "/>
    <n v="-0.916290731874155"/>
    <n v="0.4"/>
    <n v="17236"/>
    <s v="2"/>
    <s v="RES"/>
    <s v="MX"/>
    <s v="11"/>
    <s v="259"/>
    <s v="CP"/>
    <x v="6"/>
    <s v="VG"/>
    <n v="10"/>
    <n v="14"/>
    <n v="14"/>
    <n v="2010"/>
    <n v="2010"/>
    <n v="2556"/>
    <m/>
    <m/>
    <m/>
    <m/>
    <n v="0"/>
    <n v="2556"/>
    <n v="3000"/>
    <s v="B"/>
    <n v="1"/>
    <n v="1031"/>
    <m/>
    <m/>
    <m/>
    <m/>
    <m/>
    <n v="620988"/>
    <n v="589939"/>
    <n v="13362"/>
    <n v="0"/>
    <n v="73700"/>
    <n v="433400"/>
    <n v="507100"/>
    <n v="132535.48800000001"/>
    <n v="88356.992000000013"/>
    <n v="-12025.693694441341"/>
    <n v="39366.494398000003"/>
    <n v="50438.379078999998"/>
    <n v="-1522.3754000000001"/>
    <n v="159520.93128000002"/>
    <n v="0"/>
    <n v="0"/>
    <n v="36395.362960999999"/>
    <n v="13400"/>
    <n v="416700"/>
    <n v="76300"/>
    <n v="506400"/>
    <n v="-1.3803983435219877E-3"/>
    <n v="0.99970000000000003"/>
    <n v="0.99980000000000002"/>
    <n v="1.0007999999999999"/>
    <n v="1.0099"/>
    <n v="0.99080000000000001"/>
    <n v="0.94971499999999998"/>
    <n v="0.95086332439114651"/>
    <n v="410200"/>
    <n v="12700"/>
    <n v="422900"/>
    <n v="72500"/>
    <n v="495400"/>
    <n v="-2.4227041993539457E-2"/>
    <n v="-1.6282225237449117E-2"/>
    <n v="-2.3072372313153223E-2"/>
  </r>
  <r>
    <n v="2025"/>
    <s v="20120634540    "/>
    <n v="-0.90881871703545403"/>
    <n v="0.40300000000000002"/>
    <n v="17571"/>
    <s v="2"/>
    <s v="RES"/>
    <s v="MX"/>
    <s v="11"/>
    <s v="259"/>
    <s v="CP"/>
    <x v="5"/>
    <s v="EX"/>
    <n v="0"/>
    <n v="4"/>
    <n v="4"/>
    <n v="2020"/>
    <n v="2020"/>
    <n v="2129"/>
    <m/>
    <m/>
    <m/>
    <m/>
    <n v="0"/>
    <n v="2129"/>
    <n v="2500"/>
    <s v="S"/>
    <m/>
    <n v="618"/>
    <m/>
    <m/>
    <m/>
    <m/>
    <m/>
    <n v="441720"/>
    <n v="428468"/>
    <n v="62510"/>
    <n v="0"/>
    <n v="73700"/>
    <n v="413600"/>
    <n v="487300"/>
    <n v="132535.48800000001"/>
    <n v="88356.992000000013"/>
    <n v="-11927.628573181468"/>
    <n v="32917.849192000001"/>
    <n v="47371.278778200001"/>
    <n v="-434.96440000000001"/>
    <n v="132871.69902"/>
    <n v="0"/>
    <n v="0"/>
    <n v="21816.037158000003"/>
    <n v="62500"/>
    <n v="367100"/>
    <n v="76400"/>
    <n v="506000"/>
    <n v="3.8374717832957109E-2"/>
    <n v="0.99970000000000003"/>
    <n v="1.0019"/>
    <n v="1.0012000000000001"/>
    <n v="1.0008999999999999"/>
    <n v="1.0022"/>
    <n v="0.94971499999999998"/>
    <n v="0.95561641809327347"/>
    <n v="361200"/>
    <n v="59400"/>
    <n v="420600"/>
    <n v="72600"/>
    <n v="493200"/>
    <n v="1.6924564796905222E-2"/>
    <n v="-1.4925373134328358E-2"/>
    <n v="1.2107531294890211E-2"/>
  </r>
  <r>
    <n v="2025"/>
    <s v="19120142528    "/>
    <n v="-0.89159811928378363"/>
    <n v="0.41"/>
    <n v="17771"/>
    <s v="2"/>
    <s v="RES"/>
    <s v="MX"/>
    <s v="11"/>
    <s v="259"/>
    <s v="TD"/>
    <x v="1"/>
    <s v="AV"/>
    <n v="70"/>
    <n v="74"/>
    <n v="51"/>
    <n v="1950"/>
    <n v="1973"/>
    <n v="1496"/>
    <m/>
    <m/>
    <m/>
    <m/>
    <n v="0"/>
    <n v="1496"/>
    <n v="1500"/>
    <s v="N"/>
    <m/>
    <m/>
    <m/>
    <m/>
    <m/>
    <m/>
    <m/>
    <n v="200131"/>
    <n v="138090"/>
    <n v="27756"/>
    <n v="0"/>
    <n v="74000"/>
    <n v="213500"/>
    <n v="287500"/>
    <n v="132535.48800000001"/>
    <n v="88356.992000000013"/>
    <n v="-11701.619920476667"/>
    <n v="0"/>
    <n v="17761.121909000001"/>
    <n v="-5545.7961000000005"/>
    <n v="93365.928480000002"/>
    <n v="0"/>
    <n v="0"/>
    <n v="0"/>
    <n v="27800"/>
    <n v="238100"/>
    <n v="76700"/>
    <n v="342600"/>
    <n v="0.19165217391304348"/>
    <n v="0.99970000000000003"/>
    <n v="1.0003"/>
    <n v="0.99680000000000002"/>
    <n v="0.99519999999999997"/>
    <n v="1"/>
    <n v="0.94971499999999998"/>
    <n v="0.9424145071826866"/>
    <n v="230500"/>
    <n v="26400"/>
    <n v="256900"/>
    <n v="72800"/>
    <n v="329700"/>
    <n v="0.20327868852459016"/>
    <n v="-1.6216216216216217E-2"/>
    <n v="0.14678260869565218"/>
  </r>
  <r>
    <n v="2025"/>
    <s v="19133511008    "/>
    <n v="-0.86750056770472306"/>
    <n v="0.42"/>
    <n v="18097"/>
    <s v="2"/>
    <s v="RES"/>
    <s v="MX"/>
    <s v="11"/>
    <s v="259"/>
    <s v="CO"/>
    <x v="0"/>
    <s v="AV"/>
    <n v="70"/>
    <n v="74"/>
    <n v="51"/>
    <n v="1950"/>
    <n v="1973"/>
    <n v="812"/>
    <n v="336"/>
    <n v="609"/>
    <m/>
    <m/>
    <n v="609"/>
    <n v="1148"/>
    <n v="1500"/>
    <s v="N"/>
    <m/>
    <m/>
    <m/>
    <m/>
    <m/>
    <m/>
    <m/>
    <n v="202467"/>
    <n v="139702"/>
    <n v="32393"/>
    <n v="0"/>
    <n v="74400"/>
    <n v="225900"/>
    <n v="300300"/>
    <n v="132535.48800000001"/>
    <n v="88356.992000000013"/>
    <n v="-11385.355918239018"/>
    <n v="24371.765965999999"/>
    <n v="17761.121909000001"/>
    <n v="-5545.7961000000005"/>
    <n v="50677.228560000003"/>
    <n v="20019.008687999998"/>
    <n v="38115.176063999999"/>
    <n v="0"/>
    <n v="32400"/>
    <n v="277900"/>
    <n v="77000"/>
    <n v="387300"/>
    <n v="0.28971028971028973"/>
    <n v="0.99970000000000003"/>
    <n v="0.99199999999999999"/>
    <n v="0.99680000000000002"/>
    <n v="0.99519999999999997"/>
    <n v="1"/>
    <n v="0.94971499999999998"/>
    <n v="0.93459481268142075"/>
    <n v="269300"/>
    <n v="30800"/>
    <n v="300100"/>
    <n v="73100"/>
    <n v="373200"/>
    <n v="0.3284639220894201"/>
    <n v="-1.7473118279569891E-2"/>
    <n v="0.24275724275724275"/>
  </r>
  <r>
    <n v="2025"/>
    <s v="19133511009    "/>
    <n v="-0.86750056770472306"/>
    <n v="0.42"/>
    <n v="18211"/>
    <s v="2"/>
    <s v="RES"/>
    <s v="MX"/>
    <s v="11"/>
    <s v="259"/>
    <s v="TD"/>
    <x v="0"/>
    <s v="GD"/>
    <n v="80"/>
    <n v="85"/>
    <n v="53"/>
    <n v="1939"/>
    <n v="1971"/>
    <n v="754"/>
    <m/>
    <n v="754"/>
    <m/>
    <n v="226"/>
    <n v="528"/>
    <n v="980"/>
    <n v="1000"/>
    <s v="N"/>
    <m/>
    <m/>
    <m/>
    <m/>
    <m/>
    <m/>
    <m/>
    <n v="178318"/>
    <n v="123039"/>
    <n v="6873"/>
    <n v="0"/>
    <n v="74400"/>
    <n v="193800"/>
    <n v="268200"/>
    <n v="132535.48800000001"/>
    <n v="88356.992000000013"/>
    <n v="-11385.355918239018"/>
    <n v="24371.765965999999"/>
    <n v="30300.329274"/>
    <n v="-5763.2782999999999"/>
    <n v="47057.426520000001"/>
    <n v="0"/>
    <n v="47190.217983999995"/>
    <n v="0"/>
    <n v="6900"/>
    <n v="275700"/>
    <n v="77000"/>
    <n v="359600"/>
    <n v="0.34079045488441462"/>
    <n v="0.99970000000000003"/>
    <n v="0.99199999999999999"/>
    <n v="0.997"/>
    <n v="1"/>
    <n v="1"/>
    <n v="0.94971499999999998"/>
    <n v="0.93929092815999993"/>
    <n v="267600"/>
    <n v="6500"/>
    <n v="274100"/>
    <n v="73100"/>
    <n v="347200"/>
    <n v="0.41434468524251805"/>
    <n v="-1.7473118279569891E-2"/>
    <n v="0.29455630126771065"/>
  </r>
  <r>
    <n v="2025"/>
    <s v="20120623411    "/>
    <n v="-0.86750056770472306"/>
    <n v="0.42"/>
    <m/>
    <s v="2"/>
    <s v="RES"/>
    <s v="MX"/>
    <s v="11"/>
    <s v="259"/>
    <s v="TD"/>
    <x v="0"/>
    <s v="GD"/>
    <n v="110"/>
    <n v="114"/>
    <n v="66"/>
    <n v="1910"/>
    <n v="1958"/>
    <n v="1345"/>
    <n v="400"/>
    <n v="1069"/>
    <m/>
    <n v="1069"/>
    <n v="0"/>
    <n v="2814"/>
    <n v="3000"/>
    <s v="N"/>
    <m/>
    <m/>
    <m/>
    <m/>
    <m/>
    <m/>
    <m/>
    <n v="339998"/>
    <n v="193799"/>
    <n v="42600"/>
    <n v="0"/>
    <n v="74400"/>
    <n v="267500"/>
    <n v="341900"/>
    <n v="132535.48800000001"/>
    <n v="88356.992000000013"/>
    <n v="-11385.355918239018"/>
    <n v="24371.765965999999"/>
    <n v="30300.329274"/>
    <n v="-7176.9126000000006"/>
    <n v="83941.9611"/>
    <n v="23832.153200000001"/>
    <n v="66904.964223999996"/>
    <n v="0"/>
    <n v="42600"/>
    <n v="354700"/>
    <n v="77000"/>
    <n v="474300"/>
    <n v="0.38724773325533784"/>
    <n v="0.99970000000000003"/>
    <n v="0.99199999999999999"/>
    <n v="0.997"/>
    <n v="1.0099"/>
    <n v="1"/>
    <n v="0.94971499999999998"/>
    <n v="0.94858990834878398"/>
    <n v="347900"/>
    <n v="40500"/>
    <n v="388400"/>
    <n v="73100"/>
    <n v="461500"/>
    <n v="0.45196261682242989"/>
    <n v="-1.7473118279569891E-2"/>
    <n v="0.34980988593155893"/>
  </r>
  <r>
    <n v="2025"/>
    <s v="19120134430    "/>
    <n v="-0.84397007029452897"/>
    <n v="0.43"/>
    <n v="18775"/>
    <s v="2"/>
    <s v="RES"/>
    <s v="MX"/>
    <s v="11"/>
    <s v="259"/>
    <s v="CP"/>
    <x v="5"/>
    <s v="VG"/>
    <n v="30"/>
    <n v="31"/>
    <n v="31"/>
    <n v="1993"/>
    <n v="1993"/>
    <n v="2079"/>
    <m/>
    <m/>
    <m/>
    <m/>
    <n v="0"/>
    <n v="2079"/>
    <n v="2500"/>
    <s v="B"/>
    <n v="1"/>
    <n v="576"/>
    <m/>
    <m/>
    <m/>
    <m/>
    <m/>
    <n v="461919"/>
    <n v="401870"/>
    <n v="0"/>
    <n v="0"/>
    <n v="74700"/>
    <n v="324400"/>
    <n v="399100"/>
    <n v="132535.48800000001"/>
    <n v="88356.992000000013"/>
    <n v="-11076.534116937963"/>
    <n v="32917.849192000001"/>
    <n v="50438.379078999998"/>
    <n v="-3370.9740999999999"/>
    <n v="129751.18002000001"/>
    <n v="0"/>
    <n v="0"/>
    <n v="20333.393856000002"/>
    <n v="0"/>
    <n v="362600"/>
    <n v="77300"/>
    <n v="439900"/>
    <n v="0.1022300175394638"/>
    <n v="0.99970000000000003"/>
    <n v="1.0019"/>
    <n v="1.0007999999999999"/>
    <n v="1.0008999999999999"/>
    <n v="0.95920000000000005"/>
    <n v="0.94971499999999998"/>
    <n v="0.91424970742518274"/>
    <n v="351200"/>
    <n v="0"/>
    <n v="351200"/>
    <n v="73400"/>
    <n v="424600"/>
    <n v="8.2614056720098639E-2"/>
    <n v="-1.7402945113788489E-2"/>
    <n v="6.3893760962164869E-2"/>
  </r>
  <r>
    <n v="2025"/>
    <s v="19120141009    "/>
    <n v="-0.84397007029452897"/>
    <n v="0.43"/>
    <n v="18878"/>
    <s v="2"/>
    <s v="RES"/>
    <s v="MX"/>
    <s v="11"/>
    <s v="259"/>
    <s v="TD"/>
    <x v="0"/>
    <s v="GD"/>
    <n v="100"/>
    <n v="104"/>
    <n v="58"/>
    <n v="1920"/>
    <n v="1966"/>
    <n v="1036"/>
    <m/>
    <n v="1036"/>
    <m/>
    <n v="1036"/>
    <n v="0"/>
    <n v="2072"/>
    <n v="2500"/>
    <s v="N"/>
    <m/>
    <m/>
    <m/>
    <m/>
    <m/>
    <m/>
    <m/>
    <n v="274874"/>
    <n v="175919"/>
    <n v="20191"/>
    <n v="0"/>
    <n v="74700"/>
    <n v="220600"/>
    <n v="295300"/>
    <n v="132535.48800000001"/>
    <n v="88356.992000000013"/>
    <n v="-11076.534116937963"/>
    <n v="24371.765965999999"/>
    <n v="30300.329274"/>
    <n v="-6306.9838"/>
    <n v="64657.153680000003"/>
    <n v="0"/>
    <n v="64839.609855999995"/>
    <n v="0"/>
    <n v="20200"/>
    <n v="310400"/>
    <n v="77300"/>
    <n v="407900"/>
    <n v="0.38130714527599052"/>
    <n v="0.99970000000000003"/>
    <n v="0.99199999999999999"/>
    <n v="0.997"/>
    <n v="1.0008999999999999"/>
    <n v="0.98240000000000005"/>
    <n v="0.94971499999999998"/>
    <n v="0.92358989129142577"/>
    <n v="300300"/>
    <n v="19200"/>
    <n v="319500"/>
    <n v="73400"/>
    <n v="392900"/>
    <n v="0.44832275611967359"/>
    <n v="-1.7402945113788489E-2"/>
    <n v="0.33051134439552998"/>
  </r>
  <r>
    <n v="2025"/>
    <s v="19120131445    "/>
    <n v="-0.84397007029452897"/>
    <n v="0.43"/>
    <n v="18924"/>
    <s v="2"/>
    <s v="RES"/>
    <s v="MX"/>
    <s v="11"/>
    <s v="259"/>
    <s v="RN"/>
    <x v="1"/>
    <s v="FR"/>
    <n v="50"/>
    <n v="52"/>
    <n v="46"/>
    <n v="1972"/>
    <n v="1978"/>
    <n v="1400"/>
    <m/>
    <m/>
    <m/>
    <m/>
    <n v="0"/>
    <n v="1400"/>
    <n v="1500"/>
    <s v="N"/>
    <m/>
    <m/>
    <m/>
    <m/>
    <m/>
    <m/>
    <m/>
    <n v="195429"/>
    <n v="146572"/>
    <n v="0"/>
    <n v="0"/>
    <n v="74700"/>
    <n v="189200"/>
    <n v="263900"/>
    <n v="132535.48800000001"/>
    <n v="88356.992000000013"/>
    <n v="-11076.534116937963"/>
    <n v="0"/>
    <n v="0"/>
    <n v="-5002.0906000000004"/>
    <n v="87374.532000000007"/>
    <n v="0"/>
    <n v="0"/>
    <n v="0"/>
    <n v="0"/>
    <n v="214900"/>
    <n v="77300"/>
    <n v="292200"/>
    <n v="0.10723758999621069"/>
    <n v="0.99970000000000003"/>
    <n v="1.0003"/>
    <n v="1"/>
    <n v="0.99519999999999997"/>
    <n v="1.0470999999999999"/>
    <n v="0.94971499999999998"/>
    <n v="0.98997013490267971"/>
    <n v="213600"/>
    <n v="0"/>
    <n v="213600"/>
    <n v="73400"/>
    <n v="287000"/>
    <n v="0.12896405919661733"/>
    <n v="-1.7402945113788489E-2"/>
    <n v="8.7533156498673742E-2"/>
  </r>
  <r>
    <n v="2025"/>
    <s v="19120131541    "/>
    <n v="-0.82098055206983023"/>
    <n v="0.44"/>
    <n v="19089"/>
    <s v="2"/>
    <s v="RES"/>
    <s v="MX"/>
    <s v="11"/>
    <s v="259"/>
    <s v="CP"/>
    <x v="0"/>
    <s v="VG"/>
    <n v="10"/>
    <n v="15"/>
    <n v="15"/>
    <n v="2009"/>
    <n v="2009"/>
    <n v="1310"/>
    <m/>
    <m/>
    <m/>
    <m/>
    <n v="0"/>
    <n v="1310"/>
    <n v="1500"/>
    <s v="N"/>
    <m/>
    <n v="484"/>
    <m/>
    <m/>
    <m/>
    <m/>
    <m/>
    <n v="223657"/>
    <n v="210238"/>
    <n v="0"/>
    <n v="0"/>
    <n v="75000"/>
    <n v="288800"/>
    <n v="363800"/>
    <n v="132535.48800000001"/>
    <n v="88356.992000000013"/>
    <n v="-10774.812300121666"/>
    <n v="24371.765965999999"/>
    <n v="50438.379078999998"/>
    <n v="-1631.1165000000001"/>
    <n v="81757.597800000003"/>
    <n v="0"/>
    <n v="0"/>
    <n v="17085.699004000002"/>
    <n v="0"/>
    <n v="304600"/>
    <n v="77600"/>
    <n v="382200"/>
    <n v="5.0577240241891148E-2"/>
    <n v="0.99970000000000003"/>
    <n v="0.99199999999999999"/>
    <n v="1.0007999999999999"/>
    <n v="0.99519999999999997"/>
    <n v="0.99080000000000001"/>
    <n v="0.94971499999999998"/>
    <n v="0.92971241737266797"/>
    <n v="295200"/>
    <n v="0"/>
    <n v="295200"/>
    <n v="73700"/>
    <n v="368900"/>
    <n v="2.2160664819944598E-2"/>
    <n v="-1.7333333333333333E-2"/>
    <n v="1.4018691588785047E-2"/>
  </r>
  <r>
    <n v="2025"/>
    <s v="19120131500    "/>
    <n v="-0.79850769621777162"/>
    <n v="0.45"/>
    <n v="19694"/>
    <s v="2"/>
    <s v="RES"/>
    <s v="MX"/>
    <s v="11"/>
    <s v="259"/>
    <s v="RN"/>
    <x v="0"/>
    <s v="AV"/>
    <n v="50"/>
    <n v="50"/>
    <n v="45"/>
    <n v="1974"/>
    <n v="1979"/>
    <n v="1404"/>
    <m/>
    <m/>
    <m/>
    <m/>
    <n v="0"/>
    <n v="1404"/>
    <n v="1500"/>
    <s v="N"/>
    <m/>
    <n v="714"/>
    <m/>
    <m/>
    <m/>
    <m/>
    <m/>
    <n v="262691"/>
    <n v="202272"/>
    <n v="0"/>
    <n v="0"/>
    <n v="75300"/>
    <n v="246100"/>
    <n v="321400"/>
    <n v="132535.48800000001"/>
    <n v="88356.992000000013"/>
    <n v="-10479.871326132521"/>
    <n v="24371.765965999999"/>
    <n v="17761.121909000001"/>
    <n v="-4893.3495000000003"/>
    <n v="87624.173520000011"/>
    <n v="0"/>
    <n v="0"/>
    <n v="25204.936134"/>
    <n v="0"/>
    <n v="282600"/>
    <n v="77900"/>
    <n v="360500"/>
    <n v="0.12165525824517735"/>
    <n v="0.99970000000000003"/>
    <n v="0.99199999999999999"/>
    <n v="0.99680000000000002"/>
    <n v="0.99519999999999997"/>
    <n v="1.0470999999999999"/>
    <n v="0.94971499999999998"/>
    <n v="0.9786142283587157"/>
    <n v="279800"/>
    <n v="0"/>
    <n v="279800"/>
    <n v="74000"/>
    <n v="353800"/>
    <n v="0.13693620479479887"/>
    <n v="-1.7264276228419653E-2"/>
    <n v="0.10080896079651525"/>
  </r>
  <r>
    <n v="2025"/>
    <s v="19120144583    "/>
    <n v="-0.79850769621777162"/>
    <n v="0.45"/>
    <m/>
    <s v="2"/>
    <s v="RES"/>
    <s v="MX"/>
    <s v="11"/>
    <s v="259"/>
    <s v="TD"/>
    <x v="1"/>
    <s v="AV"/>
    <n v="60"/>
    <n v="64"/>
    <n v="49"/>
    <n v="1960"/>
    <n v="1975"/>
    <n v="991"/>
    <m/>
    <m/>
    <m/>
    <m/>
    <n v="0"/>
    <n v="991"/>
    <n v="1000"/>
    <s v="N"/>
    <m/>
    <m/>
    <m/>
    <m/>
    <m/>
    <m/>
    <m/>
    <n v="187408"/>
    <n v="133060"/>
    <n v="11846"/>
    <n v="0"/>
    <n v="75300"/>
    <n v="176500"/>
    <n v="251800"/>
    <n v="132535.48800000001"/>
    <n v="88356.992000000013"/>
    <n v="-10479.871326132521"/>
    <n v="0"/>
    <n v="17761.121909000001"/>
    <n v="-5328.3139000000001"/>
    <n v="61848.686580000001"/>
    <n v="0"/>
    <n v="0"/>
    <n v="0"/>
    <n v="11800"/>
    <n v="206800"/>
    <n v="77900"/>
    <n v="296500"/>
    <n v="0.17752184273232724"/>
    <n v="0.99970000000000003"/>
    <n v="1.0003"/>
    <n v="0.99680000000000002"/>
    <n v="1"/>
    <n v="1.0558000000000001"/>
    <n v="0.94971499999999998"/>
    <n v="0.999800278017967"/>
    <n v="206800"/>
    <n v="11300"/>
    <n v="218100"/>
    <n v="74000"/>
    <n v="292100"/>
    <n v="0.23569405099150142"/>
    <n v="-1.7264276228419653E-2"/>
    <n v="0.16004765687053216"/>
  </r>
  <r>
    <n v="2025"/>
    <s v="19120143003    "/>
    <n v="-0.77652878949899629"/>
    <n v="0.46"/>
    <n v="20047"/>
    <s v="2"/>
    <s v="RES"/>
    <s v="MX"/>
    <s v="11"/>
    <s v="259"/>
    <s v="RN"/>
    <x v="2"/>
    <s v="AV"/>
    <n v="50"/>
    <n v="54"/>
    <n v="47"/>
    <n v="1970"/>
    <n v="1977"/>
    <n v="1520"/>
    <m/>
    <m/>
    <m/>
    <m/>
    <n v="0"/>
    <n v="1520"/>
    <n v="2000"/>
    <s v="N"/>
    <m/>
    <m/>
    <m/>
    <m/>
    <m/>
    <m/>
    <m/>
    <n v="225389"/>
    <n v="166788"/>
    <n v="8771"/>
    <n v="0"/>
    <n v="75600"/>
    <n v="213500"/>
    <n v="289100"/>
    <n v="132535.48800000001"/>
    <n v="88356.992000000013"/>
    <n v="-10191.413099126255"/>
    <n v="-1240.8083630000001"/>
    <n v="17761.121909000001"/>
    <n v="-5110.8316999999997"/>
    <n v="94863.777600000001"/>
    <n v="0"/>
    <n v="0"/>
    <n v="0"/>
    <n v="8800"/>
    <n v="238800"/>
    <n v="78200"/>
    <n v="325800"/>
    <n v="0.12694569353164994"/>
    <n v="0.99970000000000003"/>
    <n v="1.0022"/>
    <n v="0.99680000000000002"/>
    <n v="1.0007999999999999"/>
    <n v="1.0470999999999999"/>
    <n v="0.94971499999999998"/>
    <n v="0.9942398851228168"/>
    <n v="238000"/>
    <n v="8300"/>
    <n v="246300"/>
    <n v="74200"/>
    <n v="320500"/>
    <n v="0.15362997658079625"/>
    <n v="-1.8518518518518517E-2"/>
    <n v="0.10861293670010377"/>
  </r>
  <r>
    <n v="2025"/>
    <s v="19120114401    "/>
    <n v="-0.75502258427803282"/>
    <n v="0.47"/>
    <n v="20331"/>
    <s v="2"/>
    <s v="RES"/>
    <s v="MX"/>
    <s v="11"/>
    <s v="259"/>
    <s v="CP"/>
    <x v="5"/>
    <s v="VG"/>
    <n v="20"/>
    <n v="20"/>
    <n v="20"/>
    <n v="2004"/>
    <n v="2004"/>
    <n v="1750"/>
    <m/>
    <m/>
    <m/>
    <m/>
    <n v="0"/>
    <n v="1750"/>
    <n v="2000"/>
    <s v="B"/>
    <m/>
    <n v="1272"/>
    <m/>
    <m/>
    <m/>
    <m/>
    <m/>
    <n v="444326"/>
    <n v="408780"/>
    <n v="6047"/>
    <n v="0"/>
    <n v="75900"/>
    <n v="356300"/>
    <n v="432200"/>
    <n v="132535.48800000001"/>
    <n v="88356.992000000013"/>
    <n v="-9909.1587583144556"/>
    <n v="32917.849192000001"/>
    <n v="50438.379078999998"/>
    <n v="-2174.8220000000001"/>
    <n v="109218.16500000001"/>
    <n v="0"/>
    <n v="0"/>
    <n v="44902.911432000001"/>
    <n v="6000"/>
    <n v="367800"/>
    <n v="78400"/>
    <n v="452200"/>
    <n v="4.6274872744099957E-2"/>
    <n v="0.99970000000000003"/>
    <n v="1.0019"/>
    <n v="1.0007999999999999"/>
    <n v="1.0007999999999999"/>
    <n v="1.0138"/>
    <n v="0.94971499999999998"/>
    <n v="0.96619448508681682"/>
    <n v="363400"/>
    <n v="5700"/>
    <n v="369100"/>
    <n v="74500"/>
    <n v="443600"/>
    <n v="3.5924782486668541E-2"/>
    <n v="-1.844532279314888E-2"/>
    <n v="2.6376677464136973E-2"/>
  </r>
  <r>
    <n v="2025"/>
    <s v="19120131540    "/>
    <n v="-0.75502258427803282"/>
    <n v="0.47"/>
    <n v="20526"/>
    <s v="2"/>
    <s v="RES"/>
    <s v="MX"/>
    <s v="11"/>
    <s v="259"/>
    <s v="TD"/>
    <x v="2"/>
    <s v="GD"/>
    <n v="100"/>
    <n v="104"/>
    <n v="58"/>
    <n v="1920"/>
    <n v="1966"/>
    <n v="912"/>
    <m/>
    <m/>
    <m/>
    <m/>
    <n v="0"/>
    <n v="912"/>
    <n v="1000"/>
    <s v="N"/>
    <m/>
    <m/>
    <m/>
    <m/>
    <m/>
    <m/>
    <m/>
    <n v="143922"/>
    <n v="92110"/>
    <n v="37556"/>
    <n v="0"/>
    <n v="75900"/>
    <n v="209900"/>
    <n v="285800"/>
    <n v="132535.48800000001"/>
    <n v="88356.992000000013"/>
    <n v="-9909.1587583144556"/>
    <n v="-1240.8083630000001"/>
    <n v="30300.329274"/>
    <n v="-6306.9838"/>
    <n v="56918.266560000004"/>
    <n v="0"/>
    <n v="0"/>
    <n v="0"/>
    <n v="37600"/>
    <n v="212200"/>
    <n v="78400"/>
    <n v="328200"/>
    <n v="0.14835549335199441"/>
    <n v="0.99970000000000003"/>
    <n v="1.0022"/>
    <n v="0.997"/>
    <n v="1"/>
    <n v="0.98240000000000005"/>
    <n v="0.94971499999999998"/>
    <n v="0.93224745818709454"/>
    <n v="203200"/>
    <n v="35700"/>
    <n v="238900"/>
    <n v="74500"/>
    <n v="313400"/>
    <n v="0.13816102906145783"/>
    <n v="-1.844532279314888E-2"/>
    <n v="9.6571028691392585E-2"/>
  </r>
  <r>
    <n v="2025"/>
    <s v="19120113010    "/>
    <n v="-0.75502258427803282"/>
    <n v="0.47"/>
    <n v="20465"/>
    <s v="2"/>
    <s v="RES"/>
    <s v="MX"/>
    <s v="11"/>
    <s v="259"/>
    <s v="BG"/>
    <x v="3"/>
    <s v="AV"/>
    <n v="110"/>
    <n v="114"/>
    <n v="66"/>
    <n v="1910"/>
    <n v="1958"/>
    <n v="766"/>
    <n v="224"/>
    <m/>
    <m/>
    <m/>
    <n v="0"/>
    <n v="990"/>
    <n v="1000"/>
    <s v="N"/>
    <m/>
    <m/>
    <m/>
    <m/>
    <m/>
    <m/>
    <m/>
    <n v="138045"/>
    <n v="75925"/>
    <n v="4558"/>
    <n v="0"/>
    <n v="75900"/>
    <n v="144300"/>
    <n v="220200"/>
    <n v="132535.48800000001"/>
    <n v="88356.992000000013"/>
    <n v="-9909.1587583144556"/>
    <n v="-9114.1675108666695"/>
    <n v="17761.121909000001"/>
    <n v="-7176.9126000000006"/>
    <n v="47806.35108"/>
    <n v="13346.005792"/>
    <n v="0"/>
    <n v="0"/>
    <n v="4600"/>
    <n v="195200"/>
    <n v="78400"/>
    <n v="278200"/>
    <n v="0.2633969118982743"/>
    <n v="0.99970000000000003"/>
    <n v="1"/>
    <n v="0.99680000000000002"/>
    <n v="1"/>
    <n v="1"/>
    <n v="0.94971499999999998"/>
    <n v="0.94667591200000001"/>
    <n v="188100"/>
    <n v="4300"/>
    <n v="192400"/>
    <n v="74500"/>
    <n v="266900"/>
    <n v="0.33333333333333331"/>
    <n v="-1.844532279314888E-2"/>
    <n v="0.21207992733878292"/>
  </r>
  <r>
    <n v="2025"/>
    <s v="19120212402    "/>
    <n v="-0.69314718055994529"/>
    <n v="0.5"/>
    <n v="21948"/>
    <s v="2"/>
    <s v="RES"/>
    <s v="MX"/>
    <s v="11"/>
    <s v="259"/>
    <s v="RN"/>
    <x v="2"/>
    <s v="FR"/>
    <n v="60"/>
    <n v="64"/>
    <n v="49"/>
    <n v="1960"/>
    <n v="1975"/>
    <n v="1344"/>
    <m/>
    <m/>
    <m/>
    <m/>
    <n v="0"/>
    <n v="1344"/>
    <n v="1500"/>
    <s v="N"/>
    <m/>
    <m/>
    <m/>
    <m/>
    <m/>
    <m/>
    <m/>
    <n v="209200"/>
    <n v="146440"/>
    <n v="0"/>
    <n v="0"/>
    <n v="76800"/>
    <n v="195700"/>
    <n v="272500"/>
    <n v="132535.48800000001"/>
    <n v="88356.992000000013"/>
    <n v="-9097.0860979136814"/>
    <n v="-1240.8083630000001"/>
    <n v="0"/>
    <n v="-5328.3139000000001"/>
    <n v="83879.550719999999"/>
    <n v="0"/>
    <n v="0"/>
    <n v="0"/>
    <n v="0"/>
    <n v="209800"/>
    <n v="79300"/>
    <n v="289100"/>
    <n v="6.0917431192660548E-2"/>
    <n v="0.99970000000000003"/>
    <n v="1.0022"/>
    <n v="1"/>
    <n v="0.99519999999999997"/>
    <n v="1.0558000000000001"/>
    <n v="0.94971499999999998"/>
    <n v="1.0000914647397356"/>
    <n v="209900"/>
    <n v="0"/>
    <n v="209900"/>
    <n v="75300"/>
    <n v="285200"/>
    <n v="7.2560040878896268E-2"/>
    <n v="-1.953125E-2"/>
    <n v="4.6605504587155962E-2"/>
  </r>
  <r>
    <n v="2025"/>
    <s v="19133624009    "/>
    <n v="-0.69314718055994529"/>
    <n v="0.5"/>
    <m/>
    <s v="2"/>
    <s v="RES"/>
    <s v="MX"/>
    <s v="11"/>
    <s v="259"/>
    <s v="RN"/>
    <x v="0"/>
    <s v="AV"/>
    <n v="50"/>
    <n v="52"/>
    <n v="46"/>
    <n v="1972"/>
    <n v="1978"/>
    <n v="1587"/>
    <m/>
    <m/>
    <m/>
    <m/>
    <n v="0"/>
    <n v="1587"/>
    <n v="2000"/>
    <s v="N"/>
    <m/>
    <m/>
    <m/>
    <m/>
    <m/>
    <m/>
    <m/>
    <n v="248383"/>
    <n v="188771"/>
    <n v="24222"/>
    <n v="0"/>
    <n v="76800"/>
    <n v="242900"/>
    <n v="319700"/>
    <n v="132535.48800000001"/>
    <n v="88356.992000000013"/>
    <n v="-9097.0860979136814"/>
    <n v="24371.765965999999"/>
    <n v="17761.121909000001"/>
    <n v="-5002.0906000000004"/>
    <n v="99045.273060000007"/>
    <n v="0"/>
    <n v="0"/>
    <n v="0"/>
    <n v="24200"/>
    <n v="268700"/>
    <n v="79300"/>
    <n v="372200"/>
    <n v="0.16421645292461684"/>
    <n v="0.99970000000000003"/>
    <n v="0.99199999999999999"/>
    <n v="0.99680000000000002"/>
    <n v="1.0007999999999999"/>
    <n v="1.0470999999999999"/>
    <n v="0.94971499999999998"/>
    <n v="0.98412090006169861"/>
    <n v="266600"/>
    <n v="23000"/>
    <n v="289600"/>
    <n v="75300"/>
    <n v="364900"/>
    <n v="0.19226018937834499"/>
    <n v="-1.953125E-2"/>
    <n v="0.14138254613700343"/>
  </r>
  <r>
    <n v="2025"/>
    <s v="19120213014    "/>
    <n v="-0.67334455326376563"/>
    <n v="0.51"/>
    <n v="22170"/>
    <s v="2"/>
    <s v="RES"/>
    <s v="MX"/>
    <s v="11"/>
    <s v="259"/>
    <s v="RN"/>
    <x v="4"/>
    <s v="GD"/>
    <n v="40"/>
    <n v="46"/>
    <n v="44"/>
    <n v="1978"/>
    <n v="1980"/>
    <n v="1573"/>
    <m/>
    <m/>
    <m/>
    <m/>
    <n v="0"/>
    <n v="1573"/>
    <n v="2000"/>
    <s v="S"/>
    <m/>
    <n v="464"/>
    <m/>
    <m/>
    <m/>
    <m/>
    <m/>
    <n v="339926"/>
    <n v="268542"/>
    <n v="22533"/>
    <n v="0"/>
    <n v="77100"/>
    <n v="302800"/>
    <n v="379900"/>
    <n v="132535.48800000001"/>
    <n v="88356.992000000013"/>
    <n v="-8837.1900606352574"/>
    <n v="37154.252388000001"/>
    <n v="30300.329274"/>
    <n v="-4784.6084000000001"/>
    <n v="98171.527740000005"/>
    <n v="0"/>
    <n v="0"/>
    <n v="16379.678384000001"/>
    <n v="22500"/>
    <n v="309800"/>
    <n v="79500"/>
    <n v="411800"/>
    <n v="8.3969465648854963E-2"/>
    <n v="0.99970000000000003"/>
    <n v="0.99819999999999998"/>
    <n v="0.997"/>
    <n v="1.0007999999999999"/>
    <n v="0.95689999999999997"/>
    <n v="0.94971499999999998"/>
    <n v="0.9051485759923017"/>
    <n v="297200"/>
    <n v="21400"/>
    <n v="318600"/>
    <n v="75500"/>
    <n v="394100"/>
    <n v="5.2179656538969617E-2"/>
    <n v="-2.0752269779507133E-2"/>
    <n v="3.7378257436167413E-2"/>
  </r>
  <r>
    <n v="2025"/>
    <s v="19120141493    "/>
    <n v="-0.65392646740666394"/>
    <n v="0.52"/>
    <n v="22841"/>
    <s v="2"/>
    <s v="RES"/>
    <s v="MX"/>
    <s v="11"/>
    <s v="259"/>
    <s v="FH"/>
    <x v="2"/>
    <s v="GD"/>
    <n v="120"/>
    <n v="124"/>
    <n v="76"/>
    <n v="1900"/>
    <n v="1948"/>
    <n v="1214"/>
    <n v="418"/>
    <m/>
    <m/>
    <m/>
    <n v="0"/>
    <n v="1632"/>
    <n v="2000"/>
    <s v="S"/>
    <m/>
    <m/>
    <m/>
    <m/>
    <m/>
    <m/>
    <m/>
    <n v="227599"/>
    <n v="129731"/>
    <n v="29009"/>
    <n v="0"/>
    <n v="77300"/>
    <n v="233500"/>
    <n v="310800"/>
    <n v="132535.48800000001"/>
    <n v="88356.992000000013"/>
    <n v="-8582.3408686410949"/>
    <n v="-1240.8083630000001"/>
    <n v="30300.329274"/>
    <n v="-8264.3235999999997"/>
    <n v="75766.201320000007"/>
    <n v="24904.600093999998"/>
    <n v="0"/>
    <n v="0"/>
    <n v="29000"/>
    <n v="254000"/>
    <n v="79800"/>
    <n v="362800"/>
    <n v="0.16731016731016732"/>
    <n v="0.99970000000000003"/>
    <n v="1.0022"/>
    <n v="0.997"/>
    <n v="1.0007999999999999"/>
    <n v="0.96709999999999996"/>
    <n v="0.94971499999999998"/>
    <n v="0.9184627219321958"/>
    <n v="243200"/>
    <n v="27600"/>
    <n v="270800"/>
    <n v="75800"/>
    <n v="346600"/>
    <n v="0.15974304068522485"/>
    <n v="-1.9404915912031046E-2"/>
    <n v="0.11518661518661519"/>
  </r>
  <r>
    <n v="2025"/>
    <s v="19120214010    "/>
    <n v="-0.6348782724359695"/>
    <n v="0.53"/>
    <n v="23290"/>
    <s v="2"/>
    <s v="RES"/>
    <s v="MX"/>
    <s v="11"/>
    <s v="259"/>
    <s v="CO"/>
    <x v="2"/>
    <s v="FR"/>
    <n v="90"/>
    <n v="94"/>
    <n v="54"/>
    <n v="1930"/>
    <n v="1970"/>
    <n v="816"/>
    <n v="326"/>
    <m/>
    <m/>
    <m/>
    <n v="0"/>
    <n v="1142"/>
    <n v="1500"/>
    <s v="N"/>
    <m/>
    <n v="330"/>
    <m/>
    <m/>
    <m/>
    <m/>
    <m/>
    <n v="189295"/>
    <n v="121149"/>
    <n v="0"/>
    <n v="0"/>
    <n v="77600"/>
    <n v="197400"/>
    <n v="275000"/>
    <n v="132535.48800000001"/>
    <n v="88356.992000000013"/>
    <n v="-8332.3462433751156"/>
    <n v="-1240.8083630000001"/>
    <n v="0"/>
    <n v="-5872.0194000000001"/>
    <n v="50926.870080000001"/>
    <n v="19423.204858000001"/>
    <n v="0"/>
    <n v="11649.34023"/>
    <n v="0"/>
    <n v="207400"/>
    <n v="80000"/>
    <n v="287400"/>
    <n v="4.5090909090909091E-2"/>
    <n v="0.99970000000000003"/>
    <n v="1.0022"/>
    <n v="1"/>
    <n v="0.99519999999999997"/>
    <n v="0.99960000000000004"/>
    <n v="0.94971499999999998"/>
    <n v="0.94685681772479613"/>
    <n v="200400"/>
    <n v="0"/>
    <n v="200400"/>
    <n v="76000"/>
    <n v="276400"/>
    <n v="1.5197568389057751E-2"/>
    <n v="-2.0618556701030927E-2"/>
    <n v="5.0909090909090913E-3"/>
  </r>
  <r>
    <n v="2025"/>
    <s v="20120631005    "/>
    <n v="-0.59783700075562041"/>
    <n v="0.55000000000000004"/>
    <n v="23908"/>
    <s v="2"/>
    <s v="RES"/>
    <s v="MX"/>
    <s v="11"/>
    <s v=""/>
    <s v="FH"/>
    <x v="3"/>
    <s v="AV"/>
    <n v="100"/>
    <n v="109"/>
    <n v="61"/>
    <n v="1915"/>
    <n v="1963"/>
    <n v="1104"/>
    <n v="200"/>
    <n v="840"/>
    <m/>
    <m/>
    <n v="840"/>
    <n v="1304"/>
    <n v="1500"/>
    <s v="N"/>
    <m/>
    <m/>
    <m/>
    <m/>
    <m/>
    <m/>
    <m/>
    <n v="188117"/>
    <n v="110989"/>
    <n v="32848"/>
    <n v="0"/>
    <n v="78100"/>
    <n v="198500"/>
    <n v="276600"/>
    <n v="132535.48800000001"/>
    <n v="88356.992000000013"/>
    <n v="-7846.204703594005"/>
    <n v="-9114.1675108666695"/>
    <n v="17761.121909000001"/>
    <n v="-6633.2071000000005"/>
    <n v="68901.05952000001"/>
    <n v="11916.0766"/>
    <n v="52572.656639999994"/>
    <n v="0"/>
    <n v="32800"/>
    <n v="267900"/>
    <n v="80500"/>
    <n v="381200"/>
    <n v="0.3781634128705712"/>
    <n v="0.99970000000000003"/>
    <n v="1"/>
    <n v="0.99680000000000002"/>
    <n v="0.99519999999999997"/>
    <n v="0.98240000000000005"/>
    <n v="0.94971499999999998"/>
    <n v="0.92555034675224579"/>
    <n v="258100"/>
    <n v="31200"/>
    <n v="289300"/>
    <n v="76500"/>
    <n v="365800"/>
    <n v="0.4574307304785894"/>
    <n v="-2.0486555697823303E-2"/>
    <n v="0.32248734634851772"/>
  </r>
  <r>
    <n v="2025"/>
    <s v="19133642013    "/>
    <n v="-0.57981849525294205"/>
    <n v="0.56000000000000005"/>
    <m/>
    <s v="2"/>
    <s v="RES"/>
    <s v="MX"/>
    <s v="11"/>
    <s v="259"/>
    <s v="TD"/>
    <x v="2"/>
    <s v="GD"/>
    <n v="100"/>
    <n v="104"/>
    <n v="58"/>
    <n v="1920"/>
    <n v="1966"/>
    <n v="1418"/>
    <m/>
    <m/>
    <m/>
    <m/>
    <n v="0"/>
    <n v="1418"/>
    <n v="1500"/>
    <s v="N"/>
    <m/>
    <m/>
    <m/>
    <m/>
    <m/>
    <m/>
    <m/>
    <n v="214116"/>
    <n v="137034"/>
    <n v="25619"/>
    <n v="0"/>
    <n v="78400"/>
    <n v="237900"/>
    <n v="316300"/>
    <n v="132535.48800000001"/>
    <n v="88356.992000000013"/>
    <n v="-7609.7240534365874"/>
    <n v="-1240.8083630000001"/>
    <n v="30300.329274"/>
    <n v="-6306.9838"/>
    <n v="88497.918839999998"/>
    <n v="0"/>
    <n v="0"/>
    <n v="0"/>
    <n v="25600"/>
    <n v="243800"/>
    <n v="80700"/>
    <n v="350100"/>
    <n v="0.10686057540309832"/>
    <n v="0.99970000000000003"/>
    <n v="1.0022"/>
    <n v="0.997"/>
    <n v="0.99519999999999997"/>
    <n v="0.98240000000000005"/>
    <n v="0.94971499999999998"/>
    <n v="0.92777267038779632"/>
    <n v="234200"/>
    <n v="24300"/>
    <n v="258500"/>
    <n v="76700"/>
    <n v="335200"/>
    <n v="8.6591004623791504E-2"/>
    <n v="-2.1683673469387755E-2"/>
    <n v="5.9753398672146699E-2"/>
  </r>
  <r>
    <n v="2025"/>
    <s v="19133513002    "/>
    <n v="-0.56211891815354131"/>
    <n v="0.56999999999999995"/>
    <n v="24636"/>
    <s v="2"/>
    <s v="RES"/>
    <s v="MX"/>
    <s v="11"/>
    <s v="259"/>
    <s v="BG"/>
    <x v="2"/>
    <s v="GD"/>
    <n v="110"/>
    <n v="114"/>
    <n v="66"/>
    <n v="1910"/>
    <n v="1958"/>
    <n v="1065"/>
    <m/>
    <m/>
    <m/>
    <m/>
    <n v="0"/>
    <n v="1065"/>
    <n v="1500"/>
    <s v="B"/>
    <m/>
    <m/>
    <m/>
    <m/>
    <m/>
    <m/>
    <m/>
    <n v="175042"/>
    <n v="99774"/>
    <n v="26317"/>
    <n v="0"/>
    <n v="78600"/>
    <n v="206600"/>
    <n v="285200"/>
    <n v="132535.48800000001"/>
    <n v="88356.992000000013"/>
    <n v="-7377.4291220198038"/>
    <n v="-1240.8083630000001"/>
    <n v="30300.329274"/>
    <n v="-7176.9126000000006"/>
    <n v="66467.054700000008"/>
    <n v="0"/>
    <n v="0"/>
    <n v="0"/>
    <n v="26300"/>
    <n v="220900"/>
    <n v="81000"/>
    <n v="328200"/>
    <n v="0.15077138849929875"/>
    <n v="0.99970000000000003"/>
    <n v="1.0022"/>
    <n v="0.997"/>
    <n v="0.99519999999999997"/>
    <n v="1"/>
    <n v="0.94971499999999998"/>
    <n v="0.94439400487357117"/>
    <n v="213500"/>
    <n v="25000"/>
    <n v="238500"/>
    <n v="76900"/>
    <n v="315400"/>
    <n v="0.15440464666021297"/>
    <n v="-2.1628498727735368E-2"/>
    <n v="0.10589060308555399"/>
  </r>
  <r>
    <n v="2025"/>
    <s v="19120113043    "/>
    <n v="-0.54472717544167215"/>
    <n v="0.57999999999999996"/>
    <n v="25274"/>
    <s v="2"/>
    <s v="RES"/>
    <s v="MX"/>
    <s v="11"/>
    <s v="259"/>
    <s v="CO"/>
    <x v="4"/>
    <s v="GD"/>
    <n v="110"/>
    <n v="114"/>
    <n v="66"/>
    <n v="1910"/>
    <n v="1958"/>
    <n v="1848"/>
    <n v="1300"/>
    <n v="1624"/>
    <m/>
    <n v="500"/>
    <n v="1124"/>
    <n v="3648"/>
    <n v="4000"/>
    <s v="N"/>
    <m/>
    <m/>
    <m/>
    <m/>
    <m/>
    <m/>
    <m/>
    <n v="586230"/>
    <n v="334151"/>
    <n v="21440"/>
    <n v="0"/>
    <n v="78900"/>
    <n v="345000"/>
    <n v="423900"/>
    <n v="132535.48800000001"/>
    <n v="88356.992000000013"/>
    <n v="-7149.1743079198222"/>
    <n v="37154.252388000001"/>
    <n v="30300.329274"/>
    <n v="-7176.9126000000006"/>
    <n v="115334.38224000001"/>
    <n v="77454.497900000002"/>
    <n v="101640.46950399999"/>
    <n v="0"/>
    <n v="21400"/>
    <n v="487200"/>
    <n v="81200"/>
    <n v="589800"/>
    <n v="0.39136588818117479"/>
    <n v="0.99970000000000003"/>
    <n v="0.99819999999999998"/>
    <n v="0.997"/>
    <n v="1"/>
    <n v="1"/>
    <n v="0.94971499999999998"/>
    <n v="0.94516149646100001"/>
    <n v="480000"/>
    <n v="20400"/>
    <n v="500400"/>
    <n v="77100"/>
    <n v="577500"/>
    <n v="0.45043478260869563"/>
    <n v="-2.2813688212927757E-2"/>
    <n v="0.36234961075725408"/>
  </r>
  <r>
    <n v="2025"/>
    <s v="19120124003    "/>
    <n v="-0.51082562376599072"/>
    <n v="0.6"/>
    <n v="26308"/>
    <s v="2"/>
    <s v="RES"/>
    <s v="MX"/>
    <s v="11"/>
    <s v="259"/>
    <s v="TD"/>
    <x v="0"/>
    <s v="AV"/>
    <n v="70"/>
    <n v="72"/>
    <n v="51"/>
    <n v="1952"/>
    <n v="1973"/>
    <n v="984"/>
    <m/>
    <m/>
    <m/>
    <m/>
    <n v="0"/>
    <n v="984"/>
    <n v="1000"/>
    <s v="S"/>
    <m/>
    <m/>
    <m/>
    <m/>
    <m/>
    <m/>
    <m/>
    <n v="165839"/>
    <n v="114429"/>
    <n v="10699"/>
    <n v="0"/>
    <n v="79400"/>
    <n v="204900"/>
    <n v="284300"/>
    <n v="132535.48800000001"/>
    <n v="88356.992000000013"/>
    <n v="-6704.2394613300912"/>
    <n v="24371.765965999999"/>
    <n v="17761.121909000001"/>
    <n v="-5545.7961000000005"/>
    <n v="61411.813920000001"/>
    <n v="0"/>
    <n v="0"/>
    <n v="0"/>
    <n v="10700"/>
    <n v="230500"/>
    <n v="81700"/>
    <n v="322900"/>
    <n v="0.13577207175518818"/>
    <n v="0.99970000000000003"/>
    <n v="0.99199999999999999"/>
    <n v="0.99680000000000002"/>
    <n v="1"/>
    <n v="1"/>
    <n v="0.94971499999999998"/>
    <n v="0.93910250470400003"/>
    <n v="222500"/>
    <n v="10200"/>
    <n v="232700"/>
    <n v="77500"/>
    <n v="310200"/>
    <n v="0.13567593948267448"/>
    <n v="-2.3929471032745592E-2"/>
    <n v="9.1100949701020048E-2"/>
  </r>
  <r>
    <n v="2025"/>
    <s v="19133511002    "/>
    <n v="-0.51082562376599072"/>
    <n v="0.6"/>
    <m/>
    <s v="2"/>
    <s v="RES"/>
    <s v="MX"/>
    <s v="11"/>
    <s v="259"/>
    <s v="TD"/>
    <x v="1"/>
    <s v="AV"/>
    <n v="120"/>
    <n v="123"/>
    <n v="75"/>
    <n v="1901"/>
    <n v="1949"/>
    <n v="888"/>
    <m/>
    <n v="888"/>
    <m/>
    <m/>
    <n v="888"/>
    <n v="888"/>
    <n v="1000"/>
    <s v="N"/>
    <m/>
    <m/>
    <m/>
    <m/>
    <m/>
    <m/>
    <m/>
    <n v="163238"/>
    <n v="89781"/>
    <n v="14172"/>
    <n v="0"/>
    <n v="79400"/>
    <n v="154800"/>
    <n v="234200"/>
    <n v="132535.48800000001"/>
    <n v="88356.992000000013"/>
    <n v="-6704.2394613300912"/>
    <n v="0"/>
    <n v="17761.121909000001"/>
    <n v="-8155.5825000000004"/>
    <n v="55420.417440000005"/>
    <n v="0"/>
    <n v="55576.808447999996"/>
    <n v="0"/>
    <n v="14200"/>
    <n v="253100"/>
    <n v="81700"/>
    <n v="349000"/>
    <n v="0.49017933390264729"/>
    <n v="0.99970000000000003"/>
    <n v="1.0003"/>
    <n v="0.99680000000000002"/>
    <n v="1"/>
    <n v="0.96709999999999996"/>
    <n v="0.94971499999999998"/>
    <n v="0.91580493357754844"/>
    <n v="242000"/>
    <n v="13500"/>
    <n v="255500"/>
    <n v="77500"/>
    <n v="333000"/>
    <n v="0.65051679586563305"/>
    <n v="-2.3929471032745592E-2"/>
    <n v="0.42186165670367209"/>
  </r>
  <r>
    <n v="2025"/>
    <s v="19133541409    "/>
    <n v="-0.4780358009429998"/>
    <n v="0.62"/>
    <m/>
    <s v="2"/>
    <s v="RES"/>
    <s v="MX"/>
    <s v="11"/>
    <s v="259"/>
    <s v="CP"/>
    <x v="5"/>
    <s v="GD"/>
    <n v="20"/>
    <n v="26"/>
    <n v="26"/>
    <n v="1998"/>
    <n v="1998"/>
    <n v="2434"/>
    <m/>
    <m/>
    <m/>
    <m/>
    <n v="0"/>
    <n v="2434"/>
    <n v="2500"/>
    <s v="N"/>
    <m/>
    <n v="784"/>
    <m/>
    <m/>
    <m/>
    <m/>
    <m/>
    <n v="508353"/>
    <n v="452434"/>
    <n v="0"/>
    <n v="0"/>
    <n v="79800"/>
    <n v="354400"/>
    <n v="434200"/>
    <n v="132535.48800000001"/>
    <n v="88356.992000000013"/>
    <n v="-6273.8953010680316"/>
    <n v="32917.849192000001"/>
    <n v="30300.329274"/>
    <n v="-2827.2685999999999"/>
    <n v="151906.86492000002"/>
    <n v="0"/>
    <n v="0"/>
    <n v="27676.008304000003"/>
    <n v="0"/>
    <n v="372500"/>
    <n v="82100"/>
    <n v="454600"/>
    <n v="4.6982957162597878E-2"/>
    <n v="0.99970000000000003"/>
    <n v="1.0019"/>
    <n v="0.997"/>
    <n v="1.0008999999999999"/>
    <n v="1.0138"/>
    <n v="0.94971499999999998"/>
    <n v="0.96262205657438948"/>
    <n v="367600"/>
    <n v="0"/>
    <n v="367600"/>
    <n v="78000"/>
    <n v="445600"/>
    <n v="3.724604966139955E-2"/>
    <n v="-2.2556390977443608E-2"/>
    <n v="2.62551819438047E-2"/>
  </r>
  <r>
    <n v="2025"/>
    <s v="19120134029    "/>
    <n v="-0.46203545959655867"/>
    <n v="0.63"/>
    <n v="27514"/>
    <s v="2"/>
    <s v="RES"/>
    <s v="MX"/>
    <s v="11"/>
    <s v="259"/>
    <s v="TD"/>
    <x v="0"/>
    <s v="AV"/>
    <n v="70"/>
    <n v="75"/>
    <n v="51"/>
    <n v="1949"/>
    <n v="1973"/>
    <n v="777"/>
    <m/>
    <m/>
    <m/>
    <m/>
    <n v="0"/>
    <n v="777"/>
    <n v="1000"/>
    <s v="N"/>
    <m/>
    <m/>
    <m/>
    <m/>
    <m/>
    <m/>
    <m/>
    <n v="141675"/>
    <n v="97756"/>
    <n v="4766"/>
    <n v="0"/>
    <n v="80000"/>
    <n v="184000"/>
    <n v="264000"/>
    <n v="132535.48800000001"/>
    <n v="88356.992000000013"/>
    <n v="-6063.9016851277665"/>
    <n v="24371.765965999999"/>
    <n v="17761.121909000001"/>
    <n v="-5545.7961000000005"/>
    <n v="48492.865260000006"/>
    <n v="0"/>
    <n v="0"/>
    <n v="0"/>
    <n v="4800"/>
    <n v="217600"/>
    <n v="82300"/>
    <n v="304700"/>
    <n v="0.15416666666666667"/>
    <n v="0.99970000000000003"/>
    <n v="0.99199999999999999"/>
    <n v="0.99680000000000002"/>
    <n v="1"/>
    <n v="1"/>
    <n v="0.94971499999999998"/>
    <n v="0.93910250470400003"/>
    <n v="209500"/>
    <n v="4500"/>
    <n v="214000"/>
    <n v="78200"/>
    <n v="292200"/>
    <n v="0.16304347826086957"/>
    <n v="-2.2499999999999999E-2"/>
    <n v="0.10681818181818181"/>
  </r>
  <r>
    <n v="2025"/>
    <s v="19133632401    "/>
    <n v="-0.43078291609245423"/>
    <n v="0.65"/>
    <n v="28215"/>
    <s v="2"/>
    <s v="RES"/>
    <s v="MX"/>
    <s v="11"/>
    <s v="259"/>
    <s v="SE"/>
    <x v="4"/>
    <s v="AV"/>
    <n v="50"/>
    <n v="51"/>
    <n v="46"/>
    <n v="1973"/>
    <n v="1978"/>
    <n v="1086"/>
    <m/>
    <n v="1086"/>
    <m/>
    <n v="1086"/>
    <n v="0"/>
    <n v="2172"/>
    <n v="2500"/>
    <s v="N"/>
    <m/>
    <m/>
    <m/>
    <m/>
    <m/>
    <m/>
    <m/>
    <n v="344855"/>
    <n v="262090"/>
    <n v="19813"/>
    <n v="0"/>
    <n v="80500"/>
    <n v="234200"/>
    <n v="314700"/>
    <n v="132535.48800000001"/>
    <n v="88356.992000000013"/>
    <n v="-5653.7332721134353"/>
    <n v="37154.252388000001"/>
    <n v="17761.121909000001"/>
    <n v="-5002.0906000000004"/>
    <n v="67777.672680000003"/>
    <n v="0"/>
    <n v="67968.934655999998"/>
    <n v="0"/>
    <n v="19800"/>
    <n v="318200"/>
    <n v="82700"/>
    <n v="420700"/>
    <n v="0.33682872577057515"/>
    <n v="0.99970000000000003"/>
    <n v="0.99819999999999998"/>
    <n v="0.99680000000000002"/>
    <n v="1.0008999999999999"/>
    <n v="1.0470999999999999"/>
    <n v="0.94971499999999998"/>
    <n v="0.99037060369424734"/>
    <n v="316900"/>
    <n v="18800"/>
    <n v="335700"/>
    <n v="78500"/>
    <n v="414200"/>
    <n v="0.43339026473099912"/>
    <n v="-2.4844720496894408E-2"/>
    <n v="0.3161741340959644"/>
  </r>
  <r>
    <n v="2025"/>
    <s v="19133511017    "/>
    <n v="-0.43078291609245423"/>
    <n v="0.65"/>
    <m/>
    <s v="2"/>
    <s v="RES"/>
    <s v="MX"/>
    <s v="11"/>
    <s v="259"/>
    <s v="RN"/>
    <x v="1"/>
    <s v="AV"/>
    <n v="80"/>
    <n v="86"/>
    <n v="53"/>
    <n v="1938"/>
    <n v="1971"/>
    <n v="1242"/>
    <m/>
    <m/>
    <m/>
    <m/>
    <n v="0"/>
    <n v="1242"/>
    <n v="1500"/>
    <s v="N"/>
    <m/>
    <m/>
    <m/>
    <m/>
    <m/>
    <m/>
    <m/>
    <n v="177217"/>
    <n v="118735"/>
    <n v="16502"/>
    <n v="0"/>
    <n v="80500"/>
    <n v="189300"/>
    <n v="269800"/>
    <n v="132535.48800000001"/>
    <n v="88356.992000000013"/>
    <n v="-5653.7332721134353"/>
    <n v="0"/>
    <n v="17761.121909000001"/>
    <n v="-5763.2782999999999"/>
    <n v="77513.691960000011"/>
    <n v="0"/>
    <n v="0"/>
    <n v="0"/>
    <n v="16500"/>
    <n v="222000"/>
    <n v="82700"/>
    <n v="321200"/>
    <n v="0.1905114899925871"/>
    <n v="0.99970000000000003"/>
    <n v="1.0003"/>
    <n v="0.99680000000000002"/>
    <n v="0.99519999999999997"/>
    <n v="1"/>
    <n v="0.94971499999999998"/>
    <n v="0.9424145071826866"/>
    <n v="214400"/>
    <n v="15700"/>
    <n v="230100"/>
    <n v="78500"/>
    <n v="308600"/>
    <n v="0.21553090332805072"/>
    <n v="-2.4844720496894408E-2"/>
    <n v="0.14381022979985175"/>
  </r>
  <r>
    <n v="2025"/>
    <s v="19120134025    "/>
    <n v="-0.41551544396166579"/>
    <n v="0.66"/>
    <n v="28891"/>
    <s v="2"/>
    <s v="RES"/>
    <s v="MX"/>
    <s v="11"/>
    <s v="259"/>
    <s v="TD"/>
    <x v="5"/>
    <s v="VG"/>
    <n v="10"/>
    <n v="16"/>
    <n v="16"/>
    <n v="2008"/>
    <n v="2008"/>
    <n v="1880"/>
    <m/>
    <m/>
    <m/>
    <m/>
    <n v="0"/>
    <n v="1880"/>
    <n v="2000"/>
    <s v="N"/>
    <m/>
    <n v="484"/>
    <m/>
    <m/>
    <m/>
    <m/>
    <m/>
    <n v="428550"/>
    <n v="398552"/>
    <n v="63780"/>
    <n v="0"/>
    <n v="80700"/>
    <n v="424000"/>
    <n v="504700"/>
    <n v="132535.48800000001"/>
    <n v="88356.992000000013"/>
    <n v="-5453.3580670104138"/>
    <n v="32917.849192000001"/>
    <n v="50438.379078999998"/>
    <n v="-1739.8576"/>
    <n v="117331.5144"/>
    <n v="0"/>
    <n v="0"/>
    <n v="17085.699004000002"/>
    <n v="63800"/>
    <n v="348600"/>
    <n v="82900"/>
    <n v="495300"/>
    <n v="-1.8624925698434713E-2"/>
    <n v="0.99970000000000003"/>
    <n v="1.0019"/>
    <n v="1.0007999999999999"/>
    <n v="1.0007999999999999"/>
    <n v="0.99080000000000001"/>
    <n v="0.94971499999999998"/>
    <n v="0.94427450761887755"/>
    <n v="341200"/>
    <n v="60600"/>
    <n v="401800"/>
    <n v="78700"/>
    <n v="480500"/>
    <n v="-5.2358490566037738E-2"/>
    <n v="-2.4783147459727387E-2"/>
    <n v="-4.7949276798097878E-2"/>
  </r>
  <r>
    <n v="2025"/>
    <s v="19133512005    "/>
    <n v="-0.41551544396166579"/>
    <n v="0.66"/>
    <n v="28797"/>
    <s v="2"/>
    <s v="RES"/>
    <s v="MX"/>
    <s v="11"/>
    <s v="259"/>
    <s v="RN"/>
    <x v="0"/>
    <s v="AV"/>
    <n v="60"/>
    <n v="63"/>
    <n v="49"/>
    <n v="1961"/>
    <n v="1975"/>
    <n v="1344"/>
    <m/>
    <m/>
    <m/>
    <m/>
    <n v="0"/>
    <n v="1344"/>
    <n v="1500"/>
    <s v="N"/>
    <m/>
    <n v="672"/>
    <m/>
    <m/>
    <m/>
    <m/>
    <m/>
    <n v="260628"/>
    <n v="185046"/>
    <n v="17711"/>
    <n v="0"/>
    <n v="80700"/>
    <n v="251900"/>
    <n v="332600"/>
    <n v="132535.48800000001"/>
    <n v="88356.992000000013"/>
    <n v="-5453.3580670104138"/>
    <n v="24371.765965999999"/>
    <n v="17761.121909000001"/>
    <n v="-5328.3139000000001"/>
    <n v="83879.550719999999"/>
    <n v="0"/>
    <n v="0"/>
    <n v="23722.292832000003"/>
    <n v="17700"/>
    <n v="276900"/>
    <n v="82900"/>
    <n v="377500"/>
    <n v="0.13499699338544799"/>
    <n v="0.99970000000000003"/>
    <n v="0.99199999999999999"/>
    <n v="0.99680000000000002"/>
    <n v="0.99519999999999997"/>
    <n v="1.0558000000000001"/>
    <n v="0.94971499999999998"/>
    <n v="0.98674520322904413"/>
    <n v="275200"/>
    <n v="16800"/>
    <n v="292000"/>
    <n v="78700"/>
    <n v="370700"/>
    <n v="0.15919015482334259"/>
    <n v="-2.4783147459727387E-2"/>
    <n v="0.11455201443174985"/>
  </r>
  <r>
    <n v="2025"/>
    <s v="19120213017    "/>
    <n v="-0.35667494393873245"/>
    <n v="0.7"/>
    <n v="30468"/>
    <s v="2"/>
    <s v="RES"/>
    <s v="MX"/>
    <s v="11"/>
    <s v="259"/>
    <s v="RN"/>
    <x v="5"/>
    <s v="GD"/>
    <n v="40"/>
    <n v="43"/>
    <n v="43"/>
    <n v="1981"/>
    <n v="1981"/>
    <n v="1672"/>
    <m/>
    <m/>
    <m/>
    <m/>
    <n v="0"/>
    <n v="1672"/>
    <n v="2000"/>
    <s v="S"/>
    <m/>
    <n v="524"/>
    <m/>
    <m/>
    <m/>
    <m/>
    <m/>
    <n v="369513"/>
    <n v="291915"/>
    <n v="19168"/>
    <n v="0"/>
    <n v="81500"/>
    <n v="292500"/>
    <n v="374000"/>
    <n v="132535.48800000001"/>
    <n v="88356.992000000013"/>
    <n v="-4681.1164569089287"/>
    <n v="32917.849192000001"/>
    <n v="30300.329274"/>
    <n v="-4675.8672999999999"/>
    <n v="104350.15536"/>
    <n v="0"/>
    <n v="0"/>
    <n v="18497.740244000001"/>
    <n v="19200"/>
    <n v="313900"/>
    <n v="83700"/>
    <n v="416800"/>
    <n v="0.11443850267379679"/>
    <n v="0.99970000000000003"/>
    <n v="1.0019"/>
    <n v="0.997"/>
    <n v="1.0007999999999999"/>
    <n v="0.95689999999999997"/>
    <n v="0.94971499999999998"/>
    <n v="0.90850366488347722"/>
    <n v="301800"/>
    <n v="18200"/>
    <n v="320000"/>
    <n v="79500"/>
    <n v="399500"/>
    <n v="9.4017094017094016E-2"/>
    <n v="-2.4539877300613498E-2"/>
    <n v="6.8181818181818177E-2"/>
  </r>
  <r>
    <n v="2025"/>
    <s v="19120114412    "/>
    <n v="-0.35667494393873245"/>
    <n v="0.7"/>
    <n v="30440"/>
    <s v="2"/>
    <s v="RES"/>
    <s v="MX"/>
    <s v="11"/>
    <s v="259"/>
    <s v="RN"/>
    <x v="5"/>
    <s v="AV"/>
    <n v="50"/>
    <n v="51"/>
    <n v="46"/>
    <n v="1973"/>
    <n v="1978"/>
    <n v="2784"/>
    <m/>
    <m/>
    <m/>
    <m/>
    <n v="0"/>
    <n v="2784"/>
    <n v="3000"/>
    <s v="S"/>
    <m/>
    <n v="676"/>
    <m/>
    <m/>
    <m/>
    <m/>
    <m/>
    <n v="609059"/>
    <n v="462885"/>
    <n v="23745"/>
    <n v="0"/>
    <n v="81500"/>
    <n v="341500"/>
    <n v="423000"/>
    <n v="132535.48800000001"/>
    <n v="88356.992000000013"/>
    <n v="-4681.1164569089287"/>
    <n v="32917.849192000001"/>
    <n v="17761.121909000001"/>
    <n v="-5002.0906000000004"/>
    <n v="173750.49792000002"/>
    <n v="0"/>
    <n v="0"/>
    <n v="23863.496956000003"/>
    <n v="23700"/>
    <n v="375800"/>
    <n v="83700"/>
    <n v="483200"/>
    <n v="0.14231678486997637"/>
    <n v="0.99970000000000003"/>
    <n v="1.0019"/>
    <n v="0.99680000000000002"/>
    <n v="1.0099"/>
    <n v="1.0470999999999999"/>
    <n v="0.94971499999999998"/>
    <n v="1.0029799124375467"/>
    <n v="376200"/>
    <n v="22600"/>
    <n v="398800"/>
    <n v="79500"/>
    <n v="478300"/>
    <n v="0.16778916544655931"/>
    <n v="-2.4539877300613498E-2"/>
    <n v="0.13073286052009456"/>
  </r>
  <r>
    <n v="2025"/>
    <s v="19120214009    "/>
    <n v="-0.3285040669720361"/>
    <n v="0.72"/>
    <n v="31175"/>
    <s v="2"/>
    <s v="RES"/>
    <s v="MX"/>
    <s v="11"/>
    <s v="259"/>
    <s v="RN"/>
    <x v="0"/>
    <s v="FR"/>
    <n v="50"/>
    <n v="53"/>
    <n v="46"/>
    <n v="1971"/>
    <n v="1978"/>
    <n v="1211"/>
    <m/>
    <m/>
    <m/>
    <m/>
    <n v="0"/>
    <n v="1211"/>
    <n v="1500"/>
    <s v="N"/>
    <m/>
    <m/>
    <m/>
    <m/>
    <m/>
    <m/>
    <m/>
    <n v="206589"/>
    <n v="154942"/>
    <n v="26778"/>
    <n v="0"/>
    <n v="81900"/>
    <n v="229200"/>
    <n v="311100"/>
    <n v="132535.48800000001"/>
    <n v="88356.992000000013"/>
    <n v="-4311.3928247465001"/>
    <n v="24371.765965999999"/>
    <n v="0"/>
    <n v="-5002.0906000000004"/>
    <n v="75578.970180000004"/>
    <n v="0"/>
    <n v="0"/>
    <n v="0"/>
    <n v="26800"/>
    <n v="227500"/>
    <n v="84000"/>
    <n v="338300"/>
    <n v="8.7431693989071038E-2"/>
    <n v="0.99970000000000003"/>
    <n v="0.99199999999999999"/>
    <n v="1"/>
    <n v="0.99519999999999997"/>
    <n v="1.0470999999999999"/>
    <n v="0.94971499999999998"/>
    <n v="0.9817558470693375"/>
    <n v="225100"/>
    <n v="25400"/>
    <n v="250500"/>
    <n v="79800"/>
    <n v="330300"/>
    <n v="9.293193717277487E-2"/>
    <n v="-2.564102564102564E-2"/>
    <n v="6.1716489874638382E-2"/>
  </r>
  <r>
    <n v="2025"/>
    <s v="19133513401    "/>
    <n v="-0.30110509278392161"/>
    <n v="0.74"/>
    <m/>
    <s v="2"/>
    <s v="RES"/>
    <s v="MX"/>
    <s v="11"/>
    <s v="259"/>
    <s v="RN"/>
    <x v="4"/>
    <s v="FR"/>
    <n v="30"/>
    <n v="39"/>
    <n v="39"/>
    <n v="1985"/>
    <n v="1985"/>
    <n v="1638"/>
    <m/>
    <m/>
    <m/>
    <m/>
    <n v="0"/>
    <n v="1638"/>
    <n v="2000"/>
    <s v="N"/>
    <m/>
    <m/>
    <m/>
    <m/>
    <m/>
    <m/>
    <m/>
    <n v="311275"/>
    <n v="245907"/>
    <n v="0"/>
    <n v="0"/>
    <n v="82300"/>
    <n v="248200"/>
    <n v="330500"/>
    <n v="132535.48800000001"/>
    <n v="88356.992000000013"/>
    <n v="-3951.7998924309709"/>
    <n v="37154.252388000001"/>
    <n v="0"/>
    <n v="-4240.9029"/>
    <n v="102228.20244000001"/>
    <n v="0"/>
    <n v="0"/>
    <n v="0"/>
    <n v="0"/>
    <n v="267700"/>
    <n v="84400"/>
    <n v="352100"/>
    <n v="6.5355521936459909E-2"/>
    <n v="0.99970000000000003"/>
    <n v="0.99819999999999998"/>
    <n v="1"/>
    <n v="1.0007999999999999"/>
    <n v="0.95920000000000005"/>
    <n v="0.94971499999999998"/>
    <n v="0.91005434958005571"/>
    <n v="255800"/>
    <n v="0"/>
    <n v="255800"/>
    <n v="80200"/>
    <n v="336000"/>
    <n v="3.0620467365028204E-2"/>
    <n v="-2.551640340218712E-2"/>
    <n v="1.6641452344931921E-2"/>
  </r>
  <r>
    <n v="2025"/>
    <s v="19120114016    "/>
    <n v="-0.2744368457017603"/>
    <n v="0.76"/>
    <m/>
    <s v="2"/>
    <s v="RES"/>
    <s v="MX"/>
    <s v="11"/>
    <s v="259"/>
    <s v="CO"/>
    <x v="3"/>
    <s v="FR"/>
    <n v="120"/>
    <n v="123"/>
    <n v="75"/>
    <n v="1901"/>
    <n v="1949"/>
    <n v="990"/>
    <n v="300"/>
    <m/>
    <m/>
    <m/>
    <n v="0"/>
    <n v="1290"/>
    <n v="1500"/>
    <s v="N"/>
    <m/>
    <m/>
    <m/>
    <m/>
    <m/>
    <m/>
    <m/>
    <n v="162657"/>
    <n v="86208"/>
    <n v="48359"/>
    <n v="0"/>
    <n v="82700"/>
    <n v="201100"/>
    <n v="283800"/>
    <n v="132535.48800000001"/>
    <n v="88356.992000000013"/>
    <n v="-3601.7972572173726"/>
    <n v="-9114.1675108666695"/>
    <n v="0"/>
    <n v="-8155.5825000000004"/>
    <n v="61786.2762"/>
    <n v="17874.1149"/>
    <n v="0"/>
    <n v="0"/>
    <n v="48400"/>
    <n v="194900"/>
    <n v="84800"/>
    <n v="328100"/>
    <n v="0.15609584214235378"/>
    <n v="0.99970000000000003"/>
    <n v="1"/>
    <n v="1"/>
    <n v="0.99519999999999997"/>
    <n v="0.96709999999999996"/>
    <n v="0.94971499999999998"/>
    <n v="0.91406072349279999"/>
    <n v="183500"/>
    <n v="45900"/>
    <n v="229400"/>
    <n v="80500"/>
    <n v="309900"/>
    <n v="0.14072600696171059"/>
    <n v="-2.6602176541717048E-2"/>
    <n v="9.1966173361522199E-2"/>
  </r>
  <r>
    <n v="2025"/>
    <s v="19133614011    "/>
    <n v="-0.2744368457017603"/>
    <n v="0.76"/>
    <n v="33119"/>
    <s v="2"/>
    <s v="RES"/>
    <s v="MX"/>
    <s v="11"/>
    <s v="259"/>
    <s v="CO"/>
    <x v="1"/>
    <s v="AV"/>
    <n v="100"/>
    <n v="109"/>
    <n v="61"/>
    <n v="1915"/>
    <n v="1963"/>
    <n v="1227"/>
    <n v="684"/>
    <m/>
    <m/>
    <m/>
    <n v="0"/>
    <n v="1911"/>
    <n v="2000"/>
    <s v="N"/>
    <m/>
    <m/>
    <m/>
    <m/>
    <m/>
    <m/>
    <m/>
    <n v="232856"/>
    <n v="137385"/>
    <n v="8662"/>
    <n v="0"/>
    <n v="82700"/>
    <n v="227200"/>
    <n v="309900"/>
    <n v="132535.48800000001"/>
    <n v="88356.992000000013"/>
    <n v="-3601.7972572173726"/>
    <n v="0"/>
    <n v="17761.121909000001"/>
    <n v="-6633.2071000000005"/>
    <n v="76577.536260000008"/>
    <n v="40752.981972000001"/>
    <n v="0"/>
    <n v="0"/>
    <n v="8700"/>
    <n v="261000"/>
    <n v="84800"/>
    <n v="354500"/>
    <n v="0.14391739270732495"/>
    <n v="0.99970000000000003"/>
    <n v="1.0003"/>
    <n v="0.99680000000000002"/>
    <n v="1.0007999999999999"/>
    <n v="0.98240000000000005"/>
    <n v="0.94971499999999998"/>
    <n v="0.9310376550098034"/>
    <n v="251900"/>
    <n v="8200"/>
    <n v="260100"/>
    <n v="80500"/>
    <n v="340600"/>
    <n v="0.144806338028169"/>
    <n v="-2.6602176541717048E-2"/>
    <n v="9.9064214262665373E-2"/>
  </r>
  <r>
    <n v="2025"/>
    <s v="19133511005    "/>
    <n v="-0.24846135929849961"/>
    <n v="0.78"/>
    <n v="33997"/>
    <s v="2"/>
    <s v="RES"/>
    <s v="MX"/>
    <s v="11"/>
    <s v="259"/>
    <s v="RN"/>
    <x v="5"/>
    <s v="GD"/>
    <n v="50"/>
    <n v="54"/>
    <n v="47"/>
    <n v="1970"/>
    <n v="1977"/>
    <n v="2110"/>
    <m/>
    <n v="1438"/>
    <m/>
    <n v="1438"/>
    <n v="0"/>
    <n v="3548"/>
    <n v="4000"/>
    <s v="B"/>
    <m/>
    <m/>
    <n v="640"/>
    <m/>
    <m/>
    <m/>
    <m/>
    <n v="655919"/>
    <n v="491939"/>
    <n v="13661"/>
    <n v="0"/>
    <n v="83000"/>
    <n v="358600"/>
    <n v="441600"/>
    <n v="132535.48800000001"/>
    <n v="88356.992000000013"/>
    <n v="-3260.8866355298437"/>
    <n v="32917.849192000001"/>
    <n v="30300.329274"/>
    <n v="-5110.8316999999997"/>
    <n v="131685.90180000002"/>
    <n v="0"/>
    <n v="89999.381247999991"/>
    <n v="0"/>
    <n v="13700"/>
    <n v="412300"/>
    <n v="85100"/>
    <n v="511100"/>
    <n v="0.15738224637681159"/>
    <n v="0.99970000000000003"/>
    <n v="1.0019"/>
    <n v="0.997"/>
    <n v="1"/>
    <n v="1.0470999999999999"/>
    <n v="0.94971499999999998"/>
    <n v="0.99334701692036376"/>
    <n v="411400"/>
    <n v="13000"/>
    <n v="424400"/>
    <n v="80800"/>
    <n v="505200"/>
    <n v="0.18349135527049637"/>
    <n v="-2.6506024096385541E-2"/>
    <n v="0.14402173913043478"/>
  </r>
  <r>
    <n v="2025"/>
    <s v="19133644409    "/>
    <n v="-0.22314355131420971"/>
    <n v="0.8"/>
    <m/>
    <s v="2"/>
    <s v="RES"/>
    <s v="MX"/>
    <s v="11"/>
    <s v="259"/>
    <s v="FH"/>
    <x v="3"/>
    <s v="FR"/>
    <n v="110"/>
    <n v="114"/>
    <n v="66"/>
    <n v="1910"/>
    <n v="1958"/>
    <n v="884"/>
    <n v="516"/>
    <m/>
    <m/>
    <m/>
    <n v="0"/>
    <n v="1400"/>
    <n v="1500"/>
    <s v="N"/>
    <m/>
    <m/>
    <m/>
    <m/>
    <m/>
    <m/>
    <m/>
    <n v="168201"/>
    <n v="89147"/>
    <n v="5595"/>
    <n v="0"/>
    <n v="83400"/>
    <n v="174500"/>
    <n v="257900"/>
    <n v="132535.48800000001"/>
    <n v="88356.992000000013"/>
    <n v="-2928.60759652766"/>
    <n v="-9114.1675108666695"/>
    <n v="0"/>
    <n v="-7176.9126000000006"/>
    <n v="55170.77592"/>
    <n v="30743.477628000001"/>
    <n v="0"/>
    <n v="0"/>
    <n v="5600"/>
    <n v="202200"/>
    <n v="85400"/>
    <n v="293200"/>
    <n v="0.13687475765800697"/>
    <n v="0.99970000000000003"/>
    <n v="1"/>
    <n v="1"/>
    <n v="0.99519999999999997"/>
    <n v="1"/>
    <n v="0.94971499999999998"/>
    <n v="0.94515636800000002"/>
    <n v="194900"/>
    <n v="5300"/>
    <n v="200200"/>
    <n v="81100"/>
    <n v="281300"/>
    <n v="0.14727793696275071"/>
    <n v="-2.7577937649880094E-2"/>
    <n v="9.0732842186894147E-2"/>
  </r>
  <r>
    <n v="2025"/>
    <s v="19133411406    "/>
    <n v="-0.19845093872383832"/>
    <n v="0.82"/>
    <n v="35600"/>
    <s v="2"/>
    <s v="RES"/>
    <s v="MX"/>
    <s v="11"/>
    <s v=""/>
    <s v="CP"/>
    <x v="5"/>
    <s v="VG"/>
    <n v="30"/>
    <n v="32"/>
    <n v="32"/>
    <n v="1992"/>
    <n v="1992"/>
    <n v="2357"/>
    <m/>
    <m/>
    <m/>
    <m/>
    <n v="0"/>
    <n v="2357"/>
    <n v="2500"/>
    <s v="N"/>
    <m/>
    <n v="588"/>
    <m/>
    <m/>
    <m/>
    <m/>
    <m/>
    <n v="482414"/>
    <n v="419700"/>
    <n v="0"/>
    <n v="0"/>
    <n v="83700"/>
    <n v="337600"/>
    <n v="421300"/>
    <n v="132535.48800000001"/>
    <n v="88356.992000000013"/>
    <n v="-2604.5338225629844"/>
    <n v="32917.849192000001"/>
    <n v="50438.379078999998"/>
    <n v="-3479.7152000000001"/>
    <n v="147101.26566"/>
    <n v="0"/>
    <n v="0"/>
    <n v="20757.006228000002"/>
    <n v="0"/>
    <n v="380300"/>
    <n v="85800"/>
    <n v="466100"/>
    <n v="0.10633752670306196"/>
    <n v="0.99970000000000003"/>
    <n v="1.0019"/>
    <n v="1.0007999999999999"/>
    <n v="1.0008999999999999"/>
    <n v="0.95920000000000005"/>
    <n v="0.94971499999999998"/>
    <n v="0.91424970742518274"/>
    <n v="368900"/>
    <n v="0"/>
    <n v="368900"/>
    <n v="81400"/>
    <n v="450300"/>
    <n v="9.2713270142180101E-2"/>
    <n v="-2.7479091995221028E-2"/>
    <n v="6.8834559696178493E-2"/>
  </r>
  <r>
    <n v="2025"/>
    <s v="19120124001    "/>
    <n v="-0.15082288973458366"/>
    <n v="0.86"/>
    <n v="37351"/>
    <s v="2"/>
    <s v="RES"/>
    <s v="MX"/>
    <s v="11"/>
    <s v="259"/>
    <s v="CO"/>
    <x v="4"/>
    <s v="AV"/>
    <n v="50"/>
    <n v="59"/>
    <n v="48"/>
    <n v="1965"/>
    <n v="1976"/>
    <n v="1650"/>
    <n v="720"/>
    <n v="360"/>
    <m/>
    <m/>
    <n v="360"/>
    <n v="2370"/>
    <n v="2500"/>
    <s v="B"/>
    <m/>
    <m/>
    <m/>
    <m/>
    <m/>
    <m/>
    <m/>
    <n v="398793"/>
    <n v="287131"/>
    <n v="66472"/>
    <n v="0"/>
    <n v="84400"/>
    <n v="342700"/>
    <n v="427100"/>
    <n v="132535.48800000001"/>
    <n v="88356.992000000013"/>
    <n v="-1979.4480190242807"/>
    <n v="37154.252388000001"/>
    <n v="17761.121909000001"/>
    <n v="-5219.5727999999999"/>
    <n v="102977.12700000001"/>
    <n v="42897.875759999995"/>
    <n v="22531.138559999999"/>
    <n v="0"/>
    <n v="66500"/>
    <n v="350600"/>
    <n v="86400"/>
    <n v="503500"/>
    <n v="0.1788808241629595"/>
    <n v="0.99970000000000003"/>
    <n v="0.99819999999999998"/>
    <n v="0.99680000000000002"/>
    <n v="1.0008999999999999"/>
    <n v="1.0470999999999999"/>
    <n v="0.94971499999999998"/>
    <n v="0.99037060369424734"/>
    <n v="349400"/>
    <n v="63100"/>
    <n v="412500"/>
    <n v="82000"/>
    <n v="494500"/>
    <n v="0.2036766851473592"/>
    <n v="-2.843601895734597E-2"/>
    <n v="0.15780847576679935"/>
  </r>
  <r>
    <n v="2025"/>
    <s v="19133644410    "/>
    <n v="-0.10536051565782628"/>
    <n v="0.9"/>
    <m/>
    <s v="2"/>
    <s v="RES"/>
    <s v="MX"/>
    <s v="11"/>
    <s v="259"/>
    <s v="CP"/>
    <x v="5"/>
    <s v="EX"/>
    <n v="0"/>
    <n v="0"/>
    <n v="0"/>
    <n v="2024"/>
    <n v="2024"/>
    <n v="2868"/>
    <m/>
    <n v="2868"/>
    <m/>
    <m/>
    <n v="2868"/>
    <n v="2868"/>
    <n v="3000"/>
    <s v="S"/>
    <n v="1"/>
    <n v="840"/>
    <m/>
    <m/>
    <m/>
    <m/>
    <m/>
    <n v="643276"/>
    <n v="643276"/>
    <n v="249741"/>
    <n v="0"/>
    <n v="85000"/>
    <n v="495800"/>
    <n v="580800"/>
    <n v="132535.48800000001"/>
    <n v="88356.992000000013"/>
    <n v="-1382.7852282188383"/>
    <n v="32917.849192000001"/>
    <n v="47371.278778200001"/>
    <n v="0"/>
    <n v="178992.96984000001"/>
    <n v="0"/>
    <n v="179498.07052799998"/>
    <n v="29652.866040000001"/>
    <n v="249700"/>
    <n v="601000"/>
    <n v="87000"/>
    <n v="937700"/>
    <n v="0.61449724517906334"/>
    <n v="0.99970000000000003"/>
    <n v="1.0019"/>
    <n v="1.0012000000000001"/>
    <n v="1.0099"/>
    <n v="1.0022"/>
    <n v="0.94971499999999998"/>
    <n v="0.96420923232330613"/>
    <n v="596200"/>
    <n v="237200"/>
    <n v="833400"/>
    <n v="82600"/>
    <n v="916000"/>
    <n v="0.68091972569584513"/>
    <n v="-2.823529411764706E-2"/>
    <n v="0"/>
  </r>
  <r>
    <n v="2025"/>
    <s v="19133541005    "/>
    <n v="-0.10536051565782628"/>
    <n v="0.9"/>
    <n v="39098"/>
    <s v="2"/>
    <s v="RES"/>
    <s v="MX"/>
    <s v="11"/>
    <s v="259"/>
    <s v="RN"/>
    <x v="5"/>
    <s v="AV"/>
    <n v="60"/>
    <n v="63"/>
    <n v="49"/>
    <n v="1961"/>
    <n v="1975"/>
    <n v="2440"/>
    <m/>
    <m/>
    <m/>
    <m/>
    <n v="0"/>
    <n v="2440"/>
    <n v="2500"/>
    <s v="N"/>
    <m/>
    <m/>
    <m/>
    <m/>
    <m/>
    <m/>
    <m/>
    <n v="521914"/>
    <n v="370559"/>
    <n v="38560"/>
    <n v="0"/>
    <n v="85000"/>
    <n v="317000"/>
    <n v="402000"/>
    <n v="132535.48800000001"/>
    <n v="88356.992000000013"/>
    <n v="-1382.7852282188383"/>
    <n v="32917.849192000001"/>
    <n v="17761.121909000001"/>
    <n v="-5328.3139000000001"/>
    <n v="152281.3272"/>
    <n v="0"/>
    <n v="0"/>
    <n v="0"/>
    <n v="38600"/>
    <n v="330200"/>
    <n v="87000"/>
    <n v="455800"/>
    <n v="0.13383084577114429"/>
    <n v="0.99970000000000003"/>
    <n v="1.0019"/>
    <n v="0.99680000000000002"/>
    <n v="1.0008999999999999"/>
    <n v="1.0558000000000001"/>
    <n v="0.94971499999999998"/>
    <n v="1.0023007382334224"/>
    <n v="330500"/>
    <n v="36600"/>
    <n v="367100"/>
    <n v="82600"/>
    <n v="449700"/>
    <n v="0.1580441640378549"/>
    <n v="-2.823529411764706E-2"/>
    <n v="0.11865671641791045"/>
  </r>
  <r>
    <n v="2025"/>
    <s v="20120632005    "/>
    <n v="-9.431067947124129E-2"/>
    <n v="0.91"/>
    <n v="39612"/>
    <s v="2"/>
    <s v="RES"/>
    <s v="MX"/>
    <s v="11"/>
    <s v="259"/>
    <s v="FH"/>
    <x v="1"/>
    <s v="GD"/>
    <n v="120"/>
    <n v="123"/>
    <n v="21"/>
    <n v="1901"/>
    <n v="2003"/>
    <n v="1036"/>
    <n v="590"/>
    <m/>
    <m/>
    <m/>
    <n v="0"/>
    <n v="1626"/>
    <n v="2000"/>
    <s v="N"/>
    <m/>
    <m/>
    <m/>
    <m/>
    <m/>
    <m/>
    <m/>
    <n v="215175"/>
    <n v="195809"/>
    <n v="12264"/>
    <n v="0"/>
    <n v="85200"/>
    <n v="250400"/>
    <n v="335600"/>
    <n v="132535.48800000001"/>
    <n v="88356.992000000013"/>
    <n v="-1237.763631108681"/>
    <n v="0"/>
    <n v="30300.329274"/>
    <n v="-2283.5630999999998"/>
    <n v="64657.153680000003"/>
    <n v="35152.425969999997"/>
    <n v="0"/>
    <n v="0"/>
    <n v="12300"/>
    <n v="260400"/>
    <n v="87100"/>
    <n v="359800"/>
    <n v="7.2109654350417163E-2"/>
    <n v="0.99970000000000003"/>
    <n v="1.0003"/>
    <n v="0.997"/>
    <n v="1.0007999999999999"/>
    <n v="0.96709999999999996"/>
    <n v="0.94971499999999998"/>
    <n v="0.9167214735070599"/>
    <n v="249300"/>
    <n v="11600"/>
    <n v="260900"/>
    <n v="82700"/>
    <n v="343600"/>
    <n v="4.1932907348242815E-2"/>
    <n v="-2.9342723004694836E-2"/>
    <n v="2.3837902264600714E-2"/>
  </r>
  <r>
    <n v="2025"/>
    <s v="19120214017    "/>
    <n v="-9.431067947124129E-2"/>
    <n v="0.91"/>
    <m/>
    <s v="2"/>
    <s v="RES"/>
    <s v="MX"/>
    <s v="11"/>
    <s v="259"/>
    <s v="TD"/>
    <x v="2"/>
    <s v="AV"/>
    <n v="90"/>
    <n v="94"/>
    <n v="54"/>
    <n v="1930"/>
    <n v="1970"/>
    <n v="1182"/>
    <m/>
    <m/>
    <m/>
    <m/>
    <n v="0"/>
    <n v="1182"/>
    <n v="1500"/>
    <s v="N"/>
    <m/>
    <m/>
    <m/>
    <m/>
    <m/>
    <m/>
    <m/>
    <n v="174102"/>
    <n v="114907"/>
    <n v="14252"/>
    <n v="0"/>
    <n v="85200"/>
    <n v="195300"/>
    <n v="280500"/>
    <n v="132535.48800000001"/>
    <n v="88356.992000000013"/>
    <n v="-1237.763631108681"/>
    <n v="-1240.8083630000001"/>
    <n v="17761.121909000001"/>
    <n v="-5872.0194000000001"/>
    <n v="73769.069159999999"/>
    <n v="0"/>
    <n v="0"/>
    <n v="0"/>
    <n v="14300"/>
    <n v="217000"/>
    <n v="87100"/>
    <n v="318400"/>
    <n v="0.13511586452762922"/>
    <n v="0.99970000000000003"/>
    <n v="1.0022"/>
    <n v="0.99680000000000002"/>
    <n v="0.99519999999999997"/>
    <n v="0.99960000000000004"/>
    <n v="0.94971499999999998"/>
    <n v="0.94382687590807679"/>
    <n v="209500"/>
    <n v="13500"/>
    <n v="223000"/>
    <n v="82700"/>
    <n v="305700"/>
    <n v="0.14183307731694828"/>
    <n v="-2.9342723004694836E-2"/>
    <n v="8.9839572192513373E-2"/>
  </r>
  <r>
    <n v="2025"/>
    <s v="19133512006    "/>
    <n v="-8.3381608939051013E-2"/>
    <n v="0.92"/>
    <m/>
    <s v="2"/>
    <s v="RES"/>
    <s v="MX"/>
    <s v="11"/>
    <s v="259"/>
    <s v="FH"/>
    <x v="2"/>
    <s v="PR"/>
    <n v="110"/>
    <n v="118"/>
    <n v="70"/>
    <n v="1906"/>
    <n v="1954"/>
    <n v="1166"/>
    <n v="960"/>
    <m/>
    <m/>
    <m/>
    <n v="0"/>
    <n v="2126"/>
    <n v="2500"/>
    <s v="N"/>
    <m/>
    <m/>
    <m/>
    <m/>
    <m/>
    <m/>
    <m/>
    <n v="259442"/>
    <n v="132315"/>
    <n v="24843"/>
    <n v="0"/>
    <n v="85300"/>
    <n v="224700"/>
    <n v="310000"/>
    <n v="132535.48800000001"/>
    <n v="88356.992000000013"/>
    <n v="-1094.3270012125749"/>
    <n v="-1240.8083630000001"/>
    <n v="-9051.7226098799892"/>
    <n v="-7611.8770000000004"/>
    <n v="72770.50308000001"/>
    <n v="57197.167679999999"/>
    <n v="0"/>
    <n v="0"/>
    <n v="24800"/>
    <n v="244600"/>
    <n v="87300"/>
    <n v="356700"/>
    <n v="0.15064516129032257"/>
    <n v="0.99970000000000003"/>
    <n v="1.0022"/>
    <n v="1"/>
    <n v="1.0008999999999999"/>
    <n v="1"/>
    <n v="0.94971499999999998"/>
    <n v="0.95266099693569994"/>
    <n v="238300"/>
    <n v="23600"/>
    <n v="261900"/>
    <n v="82900"/>
    <n v="344800"/>
    <n v="0.16555407209612816"/>
    <n v="-2.8135990621336461E-2"/>
    <n v="0.11225806451612903"/>
  </r>
  <r>
    <n v="2025"/>
    <s v="20133133401    "/>
    <n v="-7.2570692834835374E-2"/>
    <n v="0.93"/>
    <n v="40599"/>
    <s v="2"/>
    <s v="RES"/>
    <s v="MX"/>
    <s v="11"/>
    <s v=""/>
    <s v="CO"/>
    <x v="4"/>
    <s v="AV"/>
    <n v="60"/>
    <n v="64"/>
    <n v="49"/>
    <n v="1960"/>
    <n v="1975"/>
    <n v="1204"/>
    <n v="528"/>
    <n v="340"/>
    <m/>
    <m/>
    <n v="340"/>
    <n v="1732"/>
    <n v="2000"/>
    <s v="S"/>
    <n v="1"/>
    <m/>
    <m/>
    <m/>
    <m/>
    <m/>
    <m/>
    <n v="330459"/>
    <n v="234626"/>
    <n v="62267"/>
    <n v="0"/>
    <n v="85500"/>
    <n v="301600"/>
    <n v="387100"/>
    <n v="132535.48800000001"/>
    <n v="88356.992000000013"/>
    <n v="-952.44106795677942"/>
    <n v="37154.252388000001"/>
    <n v="17761.121909000001"/>
    <n v="-5328.3139000000001"/>
    <n v="75142.09752000001"/>
    <n v="31458.442223999999"/>
    <n v="21279.408639999998"/>
    <n v="0"/>
    <n v="62300"/>
    <n v="310000"/>
    <n v="87400"/>
    <n v="459700"/>
    <n v="0.18754843709635752"/>
    <n v="0.99970000000000003"/>
    <n v="0.99819999999999998"/>
    <n v="0.99680000000000002"/>
    <n v="1.0007999999999999"/>
    <n v="1.0558000000000001"/>
    <n v="0.94971499999999998"/>
    <n v="0.99849948818109435"/>
    <n v="309800"/>
    <n v="59100"/>
    <n v="368900"/>
    <n v="83000"/>
    <n v="451900"/>
    <n v="0.22314323607427056"/>
    <n v="-2.9239766081871343E-2"/>
    <n v="0.1673986050116249"/>
  </r>
  <r>
    <n v="2025"/>
    <s v="19133534004    "/>
    <n v="-4.0821994520255166E-2"/>
    <n v="0.96"/>
    <n v="41827"/>
    <s v="2"/>
    <s v="RES"/>
    <s v="MX"/>
    <s v="11"/>
    <s v="259"/>
    <s v="RN"/>
    <x v="0"/>
    <s v="GD"/>
    <n v="50"/>
    <n v="54"/>
    <n v="47"/>
    <n v="1970"/>
    <n v="1977"/>
    <n v="1584"/>
    <m/>
    <m/>
    <m/>
    <m/>
    <n v="0"/>
    <n v="1584"/>
    <n v="2000"/>
    <s v="N"/>
    <m/>
    <m/>
    <m/>
    <m/>
    <m/>
    <m/>
    <m/>
    <n v="281734"/>
    <n v="211301"/>
    <n v="27608"/>
    <n v="0"/>
    <n v="85900"/>
    <n v="256300"/>
    <n v="342200"/>
    <n v="132535.48800000001"/>
    <n v="88356.992000000013"/>
    <n v="-535.76095994406978"/>
    <n v="24371.765965999999"/>
    <n v="30300.329274"/>
    <n v="-5110.8316999999997"/>
    <n v="98858.041920000003"/>
    <n v="0"/>
    <n v="0"/>
    <n v="0"/>
    <n v="27600"/>
    <n v="281000"/>
    <n v="87800"/>
    <n v="396400"/>
    <n v="0.15838690824079485"/>
    <n v="0.99970000000000003"/>
    <n v="0.99199999999999999"/>
    <n v="0.997"/>
    <n v="1.0007999999999999"/>
    <n v="1.0470999999999999"/>
    <n v="0.94971499999999998"/>
    <n v="0.9843183561010368"/>
    <n v="278900"/>
    <n v="26200"/>
    <n v="305100"/>
    <n v="83400"/>
    <n v="388500"/>
    <n v="0.19040187280530629"/>
    <n v="-2.9103608847497089E-2"/>
    <n v="0.13530099357101111"/>
  </r>
  <r>
    <n v="2025"/>
    <s v="20120622405    "/>
    <n v="-3.0459207484708574E-2"/>
    <n v="0.97"/>
    <m/>
    <s v="2"/>
    <s v="RES"/>
    <s v="MX"/>
    <s v="11"/>
    <s v="259"/>
    <s v="RN"/>
    <x v="0"/>
    <s v="AV"/>
    <n v="10"/>
    <n v="10"/>
    <n v="10"/>
    <n v="2014"/>
    <n v="2014"/>
    <n v="1496"/>
    <m/>
    <m/>
    <m/>
    <m/>
    <n v="0"/>
    <n v="1496"/>
    <n v="1500"/>
    <s v="N"/>
    <m/>
    <n v="1320"/>
    <m/>
    <m/>
    <m/>
    <m/>
    <m/>
    <n v="303323"/>
    <n v="285124"/>
    <n v="0"/>
    <n v="0"/>
    <n v="86100"/>
    <n v="377100"/>
    <n v="463200"/>
    <n v="132535.48800000001"/>
    <n v="88356.992000000013"/>
    <n v="-399.75641643491792"/>
    <n v="24371.765965999999"/>
    <n v="17761.121909000001"/>
    <n v="-1087.4110000000001"/>
    <n v="93365.928480000002"/>
    <n v="0"/>
    <n v="0"/>
    <n v="46597.360919999999"/>
    <n v="0"/>
    <n v="313500"/>
    <n v="88000"/>
    <n v="401500"/>
    <n v="-0.13320379965457685"/>
    <n v="0.99970000000000003"/>
    <n v="0.99199999999999999"/>
    <n v="0.99680000000000002"/>
    <n v="0.99519999999999997"/>
    <n v="0.99080000000000001"/>
    <n v="0.94971499999999998"/>
    <n v="0.92599654040475177"/>
    <n v="303700"/>
    <n v="0"/>
    <n v="303700"/>
    <n v="83500"/>
    <n v="387200"/>
    <n v="-0.19464333068151685"/>
    <n v="-3.0197444831591175E-2"/>
    <n v="-0.16407599309153714"/>
  </r>
  <r>
    <n v="2025"/>
    <s v="19133613003    "/>
    <n v="-3.0459207484708574E-2"/>
    <n v="0.97"/>
    <n v="42464"/>
    <s v="2"/>
    <s v="RES"/>
    <s v="MX"/>
    <s v="11"/>
    <s v="259"/>
    <s v="CO"/>
    <x v="0"/>
    <s v="AV"/>
    <n v="50"/>
    <n v="52"/>
    <n v="46"/>
    <n v="1972"/>
    <n v="1978"/>
    <n v="1144"/>
    <n v="440"/>
    <m/>
    <m/>
    <m/>
    <n v="0"/>
    <n v="1584"/>
    <n v="2000"/>
    <s v="N"/>
    <m/>
    <m/>
    <m/>
    <m/>
    <m/>
    <m/>
    <m/>
    <n v="258272"/>
    <n v="196287"/>
    <n v="32546"/>
    <n v="0"/>
    <n v="86100"/>
    <n v="252400"/>
    <n v="338500"/>
    <n v="132535.48800000001"/>
    <n v="88356.992000000013"/>
    <n v="-399.75641643491792"/>
    <n v="24371.765965999999"/>
    <n v="17761.121909000001"/>
    <n v="-5002.0906000000004"/>
    <n v="71397.474719999998"/>
    <n v="26215.36852"/>
    <n v="0"/>
    <n v="0"/>
    <n v="32500"/>
    <n v="267300"/>
    <n v="88000"/>
    <n v="387800"/>
    <n v="0.14564254062038404"/>
    <n v="0.99970000000000003"/>
    <n v="0.99199999999999999"/>
    <n v="0.99680000000000002"/>
    <n v="1.0007999999999999"/>
    <n v="1.0470999999999999"/>
    <n v="0.94971499999999998"/>
    <n v="0.98412090006169861"/>
    <n v="265200"/>
    <n v="30900"/>
    <n v="296100"/>
    <n v="83500"/>
    <n v="379600"/>
    <n v="0.17313787638668779"/>
    <n v="-3.0197444831591175E-2"/>
    <n v="0.12141802067946825"/>
  </r>
  <r>
    <n v="2025"/>
    <s v="19133643004    "/>
    <n v="-2.0202707317519466E-2"/>
    <n v="0.98"/>
    <n v="42499"/>
    <s v="2"/>
    <s v="RES"/>
    <s v="MX"/>
    <s v="11"/>
    <s v="259"/>
    <s v="RN"/>
    <x v="4"/>
    <s v="GD"/>
    <n v="40"/>
    <n v="41"/>
    <n v="34"/>
    <n v="1983"/>
    <n v="1990"/>
    <n v="2274"/>
    <m/>
    <m/>
    <m/>
    <m/>
    <n v="0"/>
    <n v="2274"/>
    <n v="2500"/>
    <s v="N"/>
    <m/>
    <m/>
    <m/>
    <m/>
    <m/>
    <m/>
    <m/>
    <n v="437842"/>
    <n v="372166"/>
    <n v="18362"/>
    <n v="0"/>
    <n v="86200"/>
    <n v="327100"/>
    <n v="413300"/>
    <n v="132535.48800000001"/>
    <n v="88356.992000000013"/>
    <n v="-265.14681590417439"/>
    <n v="37154.252388000001"/>
    <n v="30300.329274"/>
    <n v="-3697.1974"/>
    <n v="141921.20412000001"/>
    <n v="0"/>
    <n v="0"/>
    <n v="0"/>
    <n v="18400"/>
    <n v="338200"/>
    <n v="88100"/>
    <n v="444700"/>
    <n v="7.5973868860391966E-2"/>
    <n v="0.99970000000000003"/>
    <n v="0.99819999999999998"/>
    <n v="0.997"/>
    <n v="1.0008999999999999"/>
    <n v="0.95689999999999997"/>
    <n v="0.94971499999999998"/>
    <n v="0.90523901849589805"/>
    <n v="325700"/>
    <n v="17400"/>
    <n v="343100"/>
    <n v="83700"/>
    <n v="426800"/>
    <n v="4.8914704983185571E-2"/>
    <n v="-2.9002320185614848E-2"/>
    <n v="3.2663924510041131E-2"/>
  </r>
  <r>
    <n v="2025"/>
    <s v="19133613401    "/>
    <n v="0"/>
    <n v="1"/>
    <n v="43563"/>
    <s v="2"/>
    <s v="RES"/>
    <s v="MX"/>
    <s v="11"/>
    <s v="259"/>
    <s v="CP"/>
    <x v="4"/>
    <s v="GD"/>
    <n v="0"/>
    <n v="6"/>
    <n v="6"/>
    <n v="2018"/>
    <n v="2018"/>
    <n v="2592"/>
    <m/>
    <m/>
    <n v="486"/>
    <m/>
    <n v="0"/>
    <n v="3078"/>
    <n v="3500"/>
    <s v="S"/>
    <m/>
    <n v="576"/>
    <m/>
    <m/>
    <m/>
    <m/>
    <m/>
    <n v="521279"/>
    <n v="500428"/>
    <n v="9883"/>
    <n v="0"/>
    <n v="86500"/>
    <n v="383300"/>
    <n v="469800"/>
    <n v="132535.48800000001"/>
    <n v="88356.992000000013"/>
    <n v="0"/>
    <n v="37154.252388000001"/>
    <n v="30300.329274"/>
    <n v="-652.44659999999999"/>
    <n v="161767.70496"/>
    <n v="0"/>
    <n v="0"/>
    <n v="20333.393856000002"/>
    <n v="9900"/>
    <n v="381400"/>
    <n v="88400"/>
    <n v="479700"/>
    <n v="2.1072796934865901E-2"/>
    <n v="0.99970000000000003"/>
    <n v="0.99819999999999998"/>
    <n v="0.997"/>
    <n v="0.98509999999999998"/>
    <n v="1.0022"/>
    <n v="0.94971499999999998"/>
    <n v="0.9331269630620912"/>
    <n v="372600"/>
    <n v="9400"/>
    <n v="382000"/>
    <n v="83900"/>
    <n v="465900"/>
    <n v="-3.3915992695016956E-3"/>
    <n v="-3.0057803468208091E-2"/>
    <n v="-8.3014048531289911E-3"/>
  </r>
  <r>
    <n v="2025"/>
    <s v="19120213008    "/>
    <n v="0"/>
    <n v="1"/>
    <n v="43514"/>
    <s v="2"/>
    <s v="RES"/>
    <s v="MX"/>
    <s v="11"/>
    <s v="259"/>
    <s v="RN"/>
    <x v="0"/>
    <s v="GD"/>
    <n v="50"/>
    <n v="56"/>
    <n v="47"/>
    <n v="1968"/>
    <n v="1977"/>
    <n v="1472"/>
    <m/>
    <m/>
    <m/>
    <m/>
    <n v="0"/>
    <n v="1472"/>
    <n v="1500"/>
    <s v="B"/>
    <m/>
    <n v="484"/>
    <m/>
    <m/>
    <m/>
    <m/>
    <m/>
    <n v="249953"/>
    <n v="187465"/>
    <n v="0"/>
    <n v="0"/>
    <n v="86500"/>
    <n v="247900"/>
    <n v="334400"/>
    <n v="132535.48800000001"/>
    <n v="88356.992000000013"/>
    <n v="0"/>
    <n v="24371.765965999999"/>
    <n v="30300.329274"/>
    <n v="-5110.8316999999997"/>
    <n v="91868.079360000003"/>
    <n v="0"/>
    <n v="0"/>
    <n v="17085.699004000002"/>
    <n v="0"/>
    <n v="291100"/>
    <n v="88400"/>
    <n v="379500"/>
    <n v="0.13486842105263158"/>
    <n v="0.99970000000000003"/>
    <n v="0.99199999999999999"/>
    <n v="0.997"/>
    <n v="0.99519999999999997"/>
    <n v="1.0470999999999999"/>
    <n v="0.94971499999999998"/>
    <n v="0.97881057952812944"/>
    <n v="288200"/>
    <n v="0"/>
    <n v="288200"/>
    <n v="83900"/>
    <n v="372100"/>
    <n v="0.16256555062525213"/>
    <n v="-3.0057803468208091E-2"/>
    <n v="0.11273923444976076"/>
  </r>
  <r>
    <n v="2025"/>
    <s v="19133513405    "/>
    <n v="0"/>
    <n v="1"/>
    <m/>
    <s v="2"/>
    <s v="RES"/>
    <s v="MX"/>
    <s v="11"/>
    <s v="259"/>
    <s v="FH"/>
    <x v="0"/>
    <s v="AV"/>
    <n v="120"/>
    <n v="123"/>
    <n v="75"/>
    <n v="1901"/>
    <n v="1949"/>
    <n v="878"/>
    <n v="736"/>
    <n v="400"/>
    <m/>
    <n v="0"/>
    <n v="400"/>
    <n v="1614"/>
    <n v="2000"/>
    <s v="N"/>
    <m/>
    <m/>
    <m/>
    <m/>
    <m/>
    <m/>
    <m/>
    <n v="262460"/>
    <n v="144353"/>
    <n v="1857"/>
    <n v="0"/>
    <n v="86500"/>
    <n v="210200"/>
    <n v="296700"/>
    <n v="132535.48800000001"/>
    <n v="88356.992000000013"/>
    <n v="0"/>
    <n v="24371.765965999999"/>
    <n v="17761.121909000001"/>
    <n v="-8155.5825000000004"/>
    <n v="54796.31364"/>
    <n v="43851.161887999995"/>
    <n v="25034.598399999999"/>
    <n v="0"/>
    <n v="1900"/>
    <n v="290200"/>
    <n v="88400"/>
    <n v="380500"/>
    <n v="0.28244017526120663"/>
    <n v="0.99970000000000003"/>
    <n v="0.99199999999999999"/>
    <n v="0.99680000000000002"/>
    <n v="1.0007999999999999"/>
    <n v="0.96709999999999996"/>
    <n v="0.94971499999999998"/>
    <n v="0.90893259712507768"/>
    <n v="278100"/>
    <n v="1800"/>
    <n v="279900"/>
    <n v="83900"/>
    <n v="363800"/>
    <n v="0.33158896289248335"/>
    <n v="-3.0057803468208091E-2"/>
    <n v="0.22615436467812605"/>
  </r>
  <r>
    <n v="2025"/>
    <s v="19133614408    "/>
    <n v="0"/>
    <n v="1"/>
    <m/>
    <s v="2"/>
    <s v="RES"/>
    <s v="MX"/>
    <s v="11"/>
    <s v="259"/>
    <s v="CU"/>
    <x v="6"/>
    <s v="VG"/>
    <n v="0"/>
    <n v="5"/>
    <n v="5"/>
    <n v="2019"/>
    <n v="2019"/>
    <n v="3018"/>
    <m/>
    <m/>
    <m/>
    <m/>
    <n v="0"/>
    <n v="3018"/>
    <n v="3500"/>
    <s v="N"/>
    <n v="1"/>
    <n v="1752"/>
    <m/>
    <m/>
    <m/>
    <m/>
    <m/>
    <n v="741253"/>
    <n v="719015"/>
    <n v="0"/>
    <n v="0"/>
    <n v="86500"/>
    <n v="523100"/>
    <n v="609600"/>
    <n v="132535.48800000001"/>
    <n v="88356.992000000013"/>
    <n v="0"/>
    <n v="39366.494398000003"/>
    <n v="50438.379078999998"/>
    <n v="-543.70550000000003"/>
    <n v="188354.52684000001"/>
    <n v="0"/>
    <n v="0"/>
    <n v="61847.406312000006"/>
    <n v="0"/>
    <n v="472000"/>
    <n v="88400"/>
    <n v="560400"/>
    <n v="-8.070866141732283E-2"/>
    <n v="0.99970000000000003"/>
    <n v="0.99980000000000002"/>
    <n v="1.0007999999999999"/>
    <n v="0.98509999999999998"/>
    <n v="1.0022"/>
    <n v="0.94971499999999998"/>
    <n v="0.93818491131540716"/>
    <n v="463800"/>
    <n v="0"/>
    <n v="463800"/>
    <n v="83900"/>
    <n v="547700"/>
    <n v="-0.11336264576562799"/>
    <n v="-3.0057803468208091E-2"/>
    <n v="-0.10154199475065617"/>
  </r>
  <r>
    <n v="2025"/>
    <s v="19133613403    "/>
    <n v="0"/>
    <n v="1"/>
    <n v="43561"/>
    <s v="2"/>
    <s v="RES"/>
    <s v="MX"/>
    <s v="11"/>
    <s v="259"/>
    <s v="CP"/>
    <x v="5"/>
    <s v="VG"/>
    <n v="0"/>
    <n v="6"/>
    <n v="6"/>
    <n v="2018"/>
    <n v="2018"/>
    <n v="2232"/>
    <m/>
    <m/>
    <m/>
    <m/>
    <n v="0"/>
    <n v="2232"/>
    <n v="2500"/>
    <s v="N"/>
    <m/>
    <n v="528"/>
    <m/>
    <m/>
    <m/>
    <m/>
    <m/>
    <n v="466079"/>
    <n v="447436"/>
    <n v="9790"/>
    <n v="0"/>
    <n v="86500"/>
    <n v="364100"/>
    <n v="450600"/>
    <n v="132535.48800000001"/>
    <n v="88356.992000000013"/>
    <n v="0"/>
    <n v="32917.849192000001"/>
    <n v="50438.379078999998"/>
    <n v="-652.44659999999999"/>
    <n v="139299.96816000002"/>
    <n v="0"/>
    <n v="0"/>
    <n v="18638.944368"/>
    <n v="9800"/>
    <n v="373200"/>
    <n v="88400"/>
    <n v="471400"/>
    <n v="4.61606746560142E-2"/>
    <n v="0.99970000000000003"/>
    <n v="1.0019"/>
    <n v="1.0007999999999999"/>
    <n v="1.0008999999999999"/>
    <n v="1.0022"/>
    <n v="0.94971499999999998"/>
    <n v="0.95523462967214157"/>
    <n v="367200"/>
    <n v="9300"/>
    <n v="376500"/>
    <n v="83900"/>
    <n v="460400"/>
    <n v="3.4056577863224392E-2"/>
    <n v="-3.0057803468208091E-2"/>
    <n v="2.1748779405237461E-2"/>
  </r>
  <r>
    <n v="2025"/>
    <s v="19120214405    "/>
    <n v="0"/>
    <n v="1"/>
    <m/>
    <s v="2"/>
    <s v="RES"/>
    <s v="MX"/>
    <s v="11"/>
    <s v="259"/>
    <s v="OT"/>
    <x v="4"/>
    <s v="VG"/>
    <n v="20"/>
    <n v="23"/>
    <n v="23"/>
    <n v="2001"/>
    <n v="2001"/>
    <n v="1164"/>
    <n v="528"/>
    <m/>
    <m/>
    <m/>
    <n v="0"/>
    <n v="1692"/>
    <n v="2000"/>
    <s v="N"/>
    <m/>
    <n v="1236"/>
    <m/>
    <m/>
    <m/>
    <m/>
    <m/>
    <n v="344006"/>
    <n v="313045"/>
    <n v="2414"/>
    <n v="0"/>
    <n v="86500"/>
    <n v="350400"/>
    <n v="436900"/>
    <n v="132535.48800000001"/>
    <n v="88356.992000000013"/>
    <n v="0"/>
    <n v="37154.252388000001"/>
    <n v="50438.379078999998"/>
    <n v="-2501.0453000000002"/>
    <n v="72645.682320000007"/>
    <n v="31458.442223999999"/>
    <n v="0"/>
    <n v="43632.074316000006"/>
    <n v="2400"/>
    <n v="365400"/>
    <n v="88400"/>
    <n v="456200"/>
    <n v="4.4174868390936144E-2"/>
    <n v="0.99970000000000003"/>
    <n v="0.99819999999999998"/>
    <n v="1.0007999999999999"/>
    <n v="1.0007999999999999"/>
    <n v="1.0138"/>
    <n v="0.94971499999999998"/>
    <n v="0.96262634495823995"/>
    <n v="360400"/>
    <n v="2300"/>
    <n v="362700"/>
    <n v="83900"/>
    <n v="446600"/>
    <n v="3.5102739726027399E-2"/>
    <n v="-3.0057803468208091E-2"/>
    <n v="2.2201876859693295E-2"/>
  </r>
  <r>
    <n v="2025"/>
    <s v="19133641401    "/>
    <n v="0"/>
    <n v="1"/>
    <m/>
    <s v="2"/>
    <s v="RES"/>
    <s v="MX"/>
    <s v="11"/>
    <s v="400"/>
    <s v="FH"/>
    <x v="1"/>
    <s v="AV"/>
    <n v="110"/>
    <n v="114"/>
    <n v="66"/>
    <n v="1910"/>
    <n v="1958"/>
    <n v="942"/>
    <n v="634"/>
    <m/>
    <m/>
    <m/>
    <n v="0"/>
    <n v="1576"/>
    <n v="2000"/>
    <s v="N"/>
    <m/>
    <m/>
    <m/>
    <m/>
    <m/>
    <m/>
    <m/>
    <n v="197046"/>
    <n v="108375"/>
    <n v="2834"/>
    <n v="0"/>
    <n v="86500"/>
    <n v="185800"/>
    <n v="272300"/>
    <n v="132535.48800000001"/>
    <n v="88356.992000000013"/>
    <n v="0"/>
    <n v="0"/>
    <n v="17761.121909000001"/>
    <n v="-7176.9126000000006"/>
    <n v="58790.577960000002"/>
    <n v="37773.962822000001"/>
    <n v="0"/>
    <n v="0"/>
    <n v="2800"/>
    <n v="239700"/>
    <n v="88400"/>
    <n v="330900"/>
    <n v="0.21520381931692986"/>
    <n v="0.99970000000000003"/>
    <n v="1.0003"/>
    <n v="0.99680000000000002"/>
    <n v="1.0007999999999999"/>
    <n v="1"/>
    <n v="0.94971499999999998"/>
    <n v="0.94771748270541878"/>
    <n v="232800"/>
    <n v="2700"/>
    <n v="235500"/>
    <n v="83900"/>
    <n v="319400"/>
    <n v="0.26749192680301398"/>
    <n v="-3.0057803468208091E-2"/>
    <n v="0.17297098788101359"/>
  </r>
  <r>
    <n v="2025"/>
    <s v="19120111401    "/>
    <n v="9.950330853168092E-3"/>
    <n v="1.01"/>
    <n v="43940"/>
    <s v="2"/>
    <s v="RES"/>
    <s v="MX"/>
    <s v="11"/>
    <s v="259"/>
    <s v="RN"/>
    <x v="5"/>
    <s v="GD"/>
    <n v="20"/>
    <n v="26"/>
    <n v="26"/>
    <n v="1998"/>
    <n v="1998"/>
    <n v="1628"/>
    <m/>
    <m/>
    <m/>
    <m/>
    <n v="0"/>
    <n v="1628"/>
    <n v="2000"/>
    <s v="B"/>
    <m/>
    <n v="668"/>
    <m/>
    <m/>
    <m/>
    <m/>
    <m/>
    <n v="368208"/>
    <n v="327705"/>
    <n v="0"/>
    <n v="0"/>
    <n v="86600"/>
    <n v="295100"/>
    <n v="381700"/>
    <n v="132535.48800000001"/>
    <n v="88356.992000000013"/>
    <n v="130.5913361731819"/>
    <n v="32917.849192000001"/>
    <n v="30300.329274"/>
    <n v="-2827.2685999999999"/>
    <n v="101604.09864000001"/>
    <n v="0"/>
    <n v="0"/>
    <n v="23581.088708000003"/>
    <n v="0"/>
    <n v="318100"/>
    <n v="88500"/>
    <n v="406600"/>
    <n v="6.523447733822374E-2"/>
    <n v="0.99970000000000003"/>
    <n v="1.0019"/>
    <n v="0.997"/>
    <n v="1.0007999999999999"/>
    <n v="1.0138"/>
    <n v="0.94971499999999998"/>
    <n v="0.96252588092681512"/>
    <n v="313100"/>
    <n v="0"/>
    <n v="313100"/>
    <n v="84000"/>
    <n v="397100"/>
    <n v="6.0996272450016945E-2"/>
    <n v="-3.0023094688221709E-2"/>
    <n v="4.0345821325648415E-2"/>
  </r>
  <r>
    <n v="2025"/>
    <s v="19133513403    "/>
    <n v="1.980262729617973E-2"/>
    <n v="1.02"/>
    <n v="44549"/>
    <s v="2"/>
    <s v="RES"/>
    <s v="MX"/>
    <s v="11"/>
    <s v="259"/>
    <s v="CO"/>
    <x v="0"/>
    <s v="GD"/>
    <n v="120"/>
    <n v="124"/>
    <n v="76"/>
    <n v="1900"/>
    <n v="1948"/>
    <n v="1440"/>
    <n v="560"/>
    <n v="180"/>
    <m/>
    <m/>
    <n v="180"/>
    <n v="2000"/>
    <n v="2500"/>
    <s v="N"/>
    <m/>
    <m/>
    <m/>
    <m/>
    <m/>
    <m/>
    <m/>
    <n v="332373"/>
    <n v="189453"/>
    <n v="10703"/>
    <n v="0"/>
    <n v="86800"/>
    <n v="239100"/>
    <n v="325900"/>
    <n v="132535.48800000001"/>
    <n v="88356.992000000013"/>
    <n v="259.89603727842484"/>
    <n v="24371.765965999999"/>
    <n v="30300.329274"/>
    <n v="-8264.3235999999997"/>
    <n v="89870.94720000001"/>
    <n v="33365.014479999998"/>
    <n v="11265.56928"/>
    <n v="0"/>
    <n v="10700"/>
    <n v="313400"/>
    <n v="88600"/>
    <n v="412700"/>
    <n v="0.2663393679042651"/>
    <n v="0.99970000000000003"/>
    <n v="0.99199999999999999"/>
    <n v="0.997"/>
    <n v="1.0008999999999999"/>
    <n v="0.96709999999999996"/>
    <n v="0.94971499999999998"/>
    <n v="0.90920580605449697"/>
    <n v="301400"/>
    <n v="10200"/>
    <n v="311600"/>
    <n v="84200"/>
    <n v="395800"/>
    <n v="0.30322040987034715"/>
    <n v="-2.9953917050691243E-2"/>
    <n v="0.21448297023626881"/>
  </r>
  <r>
    <n v="2025"/>
    <s v="19133514405    "/>
    <n v="1.980262729617973E-2"/>
    <n v="1.02"/>
    <n v="44414"/>
    <s v="2"/>
    <s v="RES"/>
    <s v="MX"/>
    <s v="11"/>
    <s v="259"/>
    <s v="FH"/>
    <x v="3"/>
    <s v="GD"/>
    <n v="110"/>
    <n v="114"/>
    <n v="66"/>
    <n v="1910"/>
    <n v="1958"/>
    <n v="1081"/>
    <n v="406"/>
    <m/>
    <m/>
    <m/>
    <n v="0"/>
    <n v="1487"/>
    <n v="1500"/>
    <s v="N"/>
    <m/>
    <m/>
    <m/>
    <m/>
    <m/>
    <m/>
    <m/>
    <n v="182064"/>
    <n v="103776"/>
    <n v="27994"/>
    <n v="0"/>
    <n v="86800"/>
    <n v="201100"/>
    <n v="287900"/>
    <n v="132535.48800000001"/>
    <n v="88356.992000000013"/>
    <n v="259.89603727842484"/>
    <n v="-9114.1675108666695"/>
    <n v="30300.329274"/>
    <n v="-7176.9126000000006"/>
    <n v="67465.620779999997"/>
    <n v="24189.635498"/>
    <n v="0"/>
    <n v="0"/>
    <n v="28000"/>
    <n v="238200"/>
    <n v="88600"/>
    <n v="354800"/>
    <n v="0.23237235151094129"/>
    <n v="0.99970000000000003"/>
    <n v="1"/>
    <n v="0.997"/>
    <n v="0.99519999999999997"/>
    <n v="1"/>
    <n v="0.94971499999999998"/>
    <n v="0.9423208988959999"/>
    <n v="230600"/>
    <n v="26600"/>
    <n v="257200"/>
    <n v="84200"/>
    <n v="341400"/>
    <n v="0.27896568871208355"/>
    <n v="-2.9953917050691243E-2"/>
    <n v="0.18582841264327893"/>
  </r>
  <r>
    <n v="2025"/>
    <s v="19133511015    "/>
    <n v="2.9558802241544429E-2"/>
    <n v="1.03"/>
    <n v="44782"/>
    <s v="2"/>
    <s v="RES"/>
    <s v="MX"/>
    <s v="11"/>
    <s v="259"/>
    <s v="TD"/>
    <x v="1"/>
    <s v="AV"/>
    <n v="100"/>
    <n v="104"/>
    <n v="58"/>
    <n v="1920"/>
    <n v="1966"/>
    <n v="1102"/>
    <m/>
    <n v="780"/>
    <m/>
    <m/>
    <n v="780"/>
    <n v="1102"/>
    <n v="1500"/>
    <s v="N"/>
    <m/>
    <m/>
    <m/>
    <m/>
    <m/>
    <m/>
    <m/>
    <n v="180965"/>
    <n v="114008"/>
    <n v="135645"/>
    <n v="0"/>
    <n v="86900"/>
    <n v="301800"/>
    <n v="388700"/>
    <n v="132535.48800000001"/>
    <n v="88356.992000000013"/>
    <n v="387.93920899354862"/>
    <n v="0"/>
    <n v="17761.121909000001"/>
    <n v="-6306.9838"/>
    <n v="68776.238760000007"/>
    <n v="0"/>
    <n v="48817.46688"/>
    <n v="0"/>
    <n v="135600"/>
    <n v="261600"/>
    <n v="88700"/>
    <n v="485900"/>
    <n v="0.25006431695394904"/>
    <n v="0.99970000000000003"/>
    <n v="1.0003"/>
    <n v="0.99680000000000002"/>
    <n v="0.99519999999999997"/>
    <n v="0.98240000000000005"/>
    <n v="0.94971499999999998"/>
    <n v="0.92582801185627128"/>
    <n v="251800"/>
    <n v="128800"/>
    <n v="380600"/>
    <n v="84300"/>
    <n v="464900"/>
    <n v="0.26110006626905236"/>
    <n v="-2.9919447640966629E-2"/>
    <n v="0.19603807563673784"/>
  </r>
  <r>
    <n v="2025"/>
    <s v="19120111006    "/>
    <n v="3.9220713153281329E-2"/>
    <n v="1.04"/>
    <n v="45382"/>
    <s v="2"/>
    <s v="RES"/>
    <s v="MX"/>
    <s v="11"/>
    <s v="259"/>
    <s v="CP"/>
    <x v="5"/>
    <s v="VG"/>
    <n v="30"/>
    <n v="31"/>
    <n v="31"/>
    <n v="1993"/>
    <n v="1993"/>
    <n v="1863"/>
    <m/>
    <m/>
    <m/>
    <m/>
    <n v="0"/>
    <n v="1863"/>
    <n v="2000"/>
    <s v="B"/>
    <m/>
    <n v="576"/>
    <m/>
    <m/>
    <m/>
    <m/>
    <m/>
    <n v="415483"/>
    <n v="361470"/>
    <n v="95193"/>
    <n v="0"/>
    <n v="87100"/>
    <n v="424500"/>
    <n v="511600"/>
    <n v="132535.48800000001"/>
    <n v="88356.992000000013"/>
    <n v="514.74522927258636"/>
    <n v="32917.849192000001"/>
    <n v="50438.379078999998"/>
    <n v="-3370.9740999999999"/>
    <n v="116270.53794000001"/>
    <n v="0"/>
    <n v="0"/>
    <n v="20333.393856000002"/>
    <n v="95200"/>
    <n v="349100"/>
    <n v="88900"/>
    <n v="533200"/>
    <n v="4.2220484753713837E-2"/>
    <n v="0.99970000000000003"/>
    <n v="1.0019"/>
    <n v="1.0007999999999999"/>
    <n v="1.0007999999999999"/>
    <n v="0.95920000000000005"/>
    <n v="0.94971499999999998"/>
    <n v="0.91415836466292633"/>
    <n v="337700"/>
    <n v="90400"/>
    <n v="428100"/>
    <n v="84400"/>
    <n v="512500"/>
    <n v="8.4805653710247342E-3"/>
    <n v="-3.0998851894374284E-2"/>
    <n v="1.7591868647380765E-3"/>
  </r>
  <r>
    <n v="2025"/>
    <s v="20120643403    "/>
    <n v="3.9220713153281329E-2"/>
    <n v="1.04"/>
    <n v="45385"/>
    <s v="2"/>
    <s v="RES"/>
    <s v="MX"/>
    <s v="11"/>
    <s v="259"/>
    <s v="FH"/>
    <x v="4"/>
    <s v="AV"/>
    <n v="90"/>
    <n v="94"/>
    <n v="59"/>
    <n v="1930"/>
    <n v="1965"/>
    <n v="1285"/>
    <n v="321"/>
    <n v="1285"/>
    <m/>
    <m/>
    <n v="1285"/>
    <n v="1606"/>
    <n v="2000"/>
    <s v="N"/>
    <n v="2"/>
    <m/>
    <m/>
    <m/>
    <m/>
    <m/>
    <m/>
    <n v="346041"/>
    <n v="211085"/>
    <n v="13843"/>
    <n v="0"/>
    <n v="87100"/>
    <n v="242100"/>
    <n v="329200"/>
    <n v="132535.48800000001"/>
    <n v="88356.992000000013"/>
    <n v="514.74522927258636"/>
    <n v="37154.252388000001"/>
    <n v="17761.121909000001"/>
    <n v="-6415.7249000000002"/>
    <n v="80197.338300000003"/>
    <n v="19125.302942999999"/>
    <n v="80423.647360000003"/>
    <n v="0"/>
    <n v="13800"/>
    <n v="360800"/>
    <n v="88900"/>
    <n v="463500"/>
    <n v="0.40795868772782501"/>
    <n v="0.99970000000000003"/>
    <n v="0.99819999999999998"/>
    <n v="0.99680000000000002"/>
    <n v="1.0007999999999999"/>
    <n v="0.99960000000000004"/>
    <n v="0.94971499999999998"/>
    <n v="0.94534958172553696"/>
    <n v="353500"/>
    <n v="13100"/>
    <n v="366600"/>
    <n v="84400"/>
    <n v="451000"/>
    <n v="0.51425030978934327"/>
    <n v="-3.0998851894374284E-2"/>
    <n v="0.36998784933171325"/>
  </r>
  <r>
    <n v="2025"/>
    <s v="19133534003    "/>
    <n v="3.9220713153281329E-2"/>
    <n v="1.04"/>
    <n v="45259"/>
    <s v="2"/>
    <s v="RES"/>
    <s v="MX"/>
    <s v="11"/>
    <s v="259"/>
    <s v="TD"/>
    <x v="2"/>
    <s v="AV"/>
    <n v="90"/>
    <n v="93"/>
    <n v="54"/>
    <n v="1931"/>
    <n v="1970"/>
    <n v="1240"/>
    <n v="230"/>
    <m/>
    <m/>
    <m/>
    <n v="0"/>
    <n v="1470"/>
    <n v="1500"/>
    <s v="N"/>
    <m/>
    <m/>
    <m/>
    <m/>
    <m/>
    <m/>
    <m/>
    <n v="207509"/>
    <n v="136956"/>
    <n v="1567"/>
    <n v="0"/>
    <n v="87100"/>
    <n v="207200"/>
    <n v="294300"/>
    <n v="132535.48800000001"/>
    <n v="88356.992000000013"/>
    <n v="514.74522927258636"/>
    <n v="-1240.8083630000001"/>
    <n v="17761.121909000001"/>
    <n v="-5872.0194000000001"/>
    <n v="77388.871200000009"/>
    <n v="13703.488089999999"/>
    <n v="0"/>
    <n v="0"/>
    <n v="1600"/>
    <n v="234300"/>
    <n v="88900"/>
    <n v="324800"/>
    <n v="0.1036357458375807"/>
    <n v="0.99970000000000003"/>
    <n v="1.0022"/>
    <n v="0.99680000000000002"/>
    <n v="0.99519999999999997"/>
    <n v="0.99960000000000004"/>
    <n v="0.94971499999999998"/>
    <n v="0.94382687590807679"/>
    <n v="226800"/>
    <n v="1500"/>
    <n v="228300"/>
    <n v="84400"/>
    <n v="312700"/>
    <n v="0.10183397683397684"/>
    <n v="-3.0998851894374284E-2"/>
    <n v="6.2521236833163435E-2"/>
  </r>
  <r>
    <n v="2025"/>
    <s v="19133541004    "/>
    <n v="3.9220713153281329E-2"/>
    <n v="1.04"/>
    <n v="45126"/>
    <s v="2"/>
    <s v="RES"/>
    <s v="MX"/>
    <s v="11"/>
    <s v="259"/>
    <s v="RN"/>
    <x v="5"/>
    <s v="AV"/>
    <n v="60"/>
    <n v="63"/>
    <n v="49"/>
    <n v="1961"/>
    <n v="1975"/>
    <n v="2008"/>
    <m/>
    <m/>
    <m/>
    <m/>
    <n v="0"/>
    <n v="2008"/>
    <n v="2500"/>
    <s v="N"/>
    <m/>
    <m/>
    <m/>
    <m/>
    <m/>
    <m/>
    <m/>
    <n v="486664"/>
    <n v="345531"/>
    <n v="20249"/>
    <n v="0"/>
    <n v="87100"/>
    <n v="289500"/>
    <n v="376600"/>
    <n v="132535.48800000001"/>
    <n v="88356.992000000013"/>
    <n v="514.74522927258636"/>
    <n v="32917.849192000001"/>
    <n v="17761.121909000001"/>
    <n v="-5328.3139000000001"/>
    <n v="125320.04304"/>
    <n v="0"/>
    <n v="0"/>
    <n v="0"/>
    <n v="20200"/>
    <n v="303200"/>
    <n v="88900"/>
    <n v="412300"/>
    <n v="9.4795539033457249E-2"/>
    <n v="0.99970000000000003"/>
    <n v="1.0019"/>
    <n v="0.99680000000000002"/>
    <n v="1.0008999999999999"/>
    <n v="1.0558000000000001"/>
    <n v="0.94971499999999998"/>
    <n v="1.0023007382334224"/>
    <n v="303500"/>
    <n v="19200"/>
    <n v="322700"/>
    <n v="84400"/>
    <n v="407100"/>
    <n v="0.1146804835924007"/>
    <n v="-3.0998851894374284E-2"/>
    <n v="8.0987785448751987E-2"/>
  </r>
  <r>
    <n v="2025"/>
    <s v="19133512405    "/>
    <n v="4.8790164169432049E-2"/>
    <n v="1.05"/>
    <m/>
    <s v="2"/>
    <s v="RES"/>
    <s v="MX"/>
    <s v="11"/>
    <s v="259"/>
    <s v="CO"/>
    <x v="0"/>
    <s v="AV"/>
    <n v="20"/>
    <n v="27"/>
    <n v="27"/>
    <n v="1997"/>
    <n v="1997"/>
    <n v="1176"/>
    <n v="1176"/>
    <m/>
    <m/>
    <m/>
    <n v="0"/>
    <n v="2352"/>
    <n v="2500"/>
    <s v="N"/>
    <m/>
    <n v="850"/>
    <m/>
    <m/>
    <m/>
    <m/>
    <m/>
    <n v="355687"/>
    <n v="309448"/>
    <n v="45450"/>
    <n v="0"/>
    <n v="87200"/>
    <n v="358800"/>
    <n v="446000"/>
    <n v="132535.48800000001"/>
    <n v="88356.992000000013"/>
    <n v="640.33777620232456"/>
    <n v="24371.765965999999"/>
    <n v="17761.121909000001"/>
    <n v="-2936.0097000000001"/>
    <n v="73394.606880000007"/>
    <n v="70066.530407999991"/>
    <n v="0"/>
    <n v="30005.876350000002"/>
    <n v="45500"/>
    <n v="345200"/>
    <n v="89000"/>
    <n v="479700"/>
    <n v="7.5560538116591927E-2"/>
    <n v="0.99970000000000003"/>
    <n v="0.99199999999999999"/>
    <n v="0.99680000000000002"/>
    <n v="1.0008999999999999"/>
    <n v="1.0138"/>
    <n v="0.94971499999999998"/>
    <n v="0.95291897517625712"/>
    <n v="339000"/>
    <n v="43200"/>
    <n v="382200"/>
    <n v="84500"/>
    <n v="466700"/>
    <n v="6.5217391304347824E-2"/>
    <n v="-3.096330275229358E-2"/>
    <n v="4.6412556053811657E-2"/>
  </r>
  <r>
    <n v="2025"/>
    <s v="19133633004    "/>
    <n v="4.8790164169432049E-2"/>
    <n v="1.05"/>
    <n v="45928"/>
    <s v="2"/>
    <s v="RES"/>
    <s v="MX"/>
    <s v="11"/>
    <s v="259"/>
    <s v="RN"/>
    <x v="2"/>
    <s v="GD"/>
    <n v="60"/>
    <n v="62"/>
    <n v="49"/>
    <n v="1962"/>
    <n v="1975"/>
    <n v="1276"/>
    <m/>
    <m/>
    <m/>
    <m/>
    <n v="0"/>
    <n v="1276"/>
    <n v="1500"/>
    <s v="N"/>
    <m/>
    <m/>
    <m/>
    <m/>
    <m/>
    <m/>
    <m/>
    <n v="191744"/>
    <n v="138056"/>
    <n v="0"/>
    <n v="0"/>
    <n v="87200"/>
    <n v="203600"/>
    <n v="290800"/>
    <n v="132535.48800000001"/>
    <n v="88356.992000000013"/>
    <n v="640.33777620232456"/>
    <n v="-1240.8083630000001"/>
    <n v="30300.329274"/>
    <n v="-5328.3139000000001"/>
    <n v="79635.644880000007"/>
    <n v="0"/>
    <n v="0"/>
    <n v="0"/>
    <n v="0"/>
    <n v="235900"/>
    <n v="89000"/>
    <n v="324900"/>
    <n v="0.1172627235213205"/>
    <n v="0.99970000000000003"/>
    <n v="1.0022"/>
    <n v="0.997"/>
    <n v="0.99519999999999997"/>
    <n v="1.0558000000000001"/>
    <n v="0.94971499999999998"/>
    <n v="0.99709119034551652"/>
    <n v="235500"/>
    <n v="0"/>
    <n v="235500"/>
    <n v="84500"/>
    <n v="320000"/>
    <n v="0.15667976424361493"/>
    <n v="-3.096330275229358E-2"/>
    <n v="0.10041265474552957"/>
  </r>
  <r>
    <n v="2025"/>
    <s v="19133543402    "/>
    <n v="4.8790164169432049E-2"/>
    <n v="1.05"/>
    <n v="45631"/>
    <s v="2"/>
    <s v="RES"/>
    <s v="MX"/>
    <s v="11"/>
    <s v="259"/>
    <s v="FH"/>
    <x v="3"/>
    <s v="AV"/>
    <n v="100"/>
    <n v="109"/>
    <n v="49"/>
    <n v="1915"/>
    <n v="1975"/>
    <n v="1008"/>
    <n v="384"/>
    <m/>
    <m/>
    <m/>
    <n v="0"/>
    <n v="1392"/>
    <n v="1500"/>
    <s v="N"/>
    <m/>
    <m/>
    <m/>
    <m/>
    <m/>
    <m/>
    <m/>
    <n v="187375"/>
    <n v="133036"/>
    <n v="0"/>
    <n v="0"/>
    <n v="87200"/>
    <n v="176200"/>
    <n v="263400"/>
    <n v="132535.48800000001"/>
    <n v="88356.992000000013"/>
    <n v="640.33777620232456"/>
    <n v="-9114.1675108666695"/>
    <n v="17761.121909000001"/>
    <n v="-5328.3139000000001"/>
    <n v="62909.663040000007"/>
    <n v="22878.867072000001"/>
    <n v="0"/>
    <n v="0"/>
    <n v="0"/>
    <n v="221600"/>
    <n v="89000"/>
    <n v="310600"/>
    <n v="0.1791951404707669"/>
    <n v="0.99970000000000003"/>
    <n v="1"/>
    <n v="0.99680000000000002"/>
    <n v="0.99519999999999997"/>
    <n v="0.98240000000000005"/>
    <n v="0.94971499999999998"/>
    <n v="0.92555034675224579"/>
    <n v="211800"/>
    <n v="0"/>
    <n v="211800"/>
    <n v="84500"/>
    <n v="296300"/>
    <n v="0.20204313280363223"/>
    <n v="-3.096330275229358E-2"/>
    <n v="0.1249050873196659"/>
  </r>
  <r>
    <n v="2025"/>
    <s v="20133133402    "/>
    <n v="7.6961041136128394E-2"/>
    <n v="1.08"/>
    <n v="47167"/>
    <s v="2"/>
    <s v="RES"/>
    <s v="MX"/>
    <s v="11"/>
    <s v=""/>
    <s v="RN"/>
    <x v="5"/>
    <s v="GD"/>
    <n v="10"/>
    <n v="15"/>
    <n v="15"/>
    <n v="2009"/>
    <n v="2009"/>
    <n v="1942"/>
    <m/>
    <m/>
    <m/>
    <m/>
    <n v="0"/>
    <n v="1942"/>
    <n v="2000"/>
    <s v="S"/>
    <n v="1"/>
    <n v="624"/>
    <m/>
    <m/>
    <m/>
    <m/>
    <m/>
    <n v="444995"/>
    <n v="413845"/>
    <n v="36806"/>
    <n v="0"/>
    <n v="87600"/>
    <n v="352100"/>
    <n v="439700"/>
    <n v="132535.48800000001"/>
    <n v="88356.992000000013"/>
    <n v="1010.0614083647538"/>
    <n v="32917.849192000001"/>
    <n v="30300.329274"/>
    <n v="-1631.1165000000001"/>
    <n v="121200.95796"/>
    <n v="0"/>
    <n v="0"/>
    <n v="22027.843344000001"/>
    <n v="36800"/>
    <n v="337400"/>
    <n v="89400"/>
    <n v="463600"/>
    <n v="5.4355242210598134E-2"/>
    <n v="0.99970000000000003"/>
    <n v="1.0019"/>
    <n v="0.997"/>
    <n v="1.0007999999999999"/>
    <n v="0.99080000000000001"/>
    <n v="0.94971499999999998"/>
    <n v="0.94068913278978916"/>
    <n v="329500"/>
    <n v="35000"/>
    <n v="364500"/>
    <n v="84900"/>
    <n v="449400"/>
    <n v="3.5217267821641578E-2"/>
    <n v="-3.0821917808219176E-2"/>
    <n v="2.2060495792585854E-2"/>
  </r>
  <r>
    <n v="2025"/>
    <s v="19120144006    "/>
    <n v="7.6961041136128394E-2"/>
    <n v="1.08"/>
    <n v="46915"/>
    <s v="2"/>
    <s v="RES"/>
    <s v="MX"/>
    <s v="11"/>
    <s v="259"/>
    <s v="CO"/>
    <x v="0"/>
    <s v="AV"/>
    <n v="100"/>
    <n v="104"/>
    <n v="58"/>
    <n v="1920"/>
    <n v="1966"/>
    <n v="974"/>
    <n v="896"/>
    <m/>
    <m/>
    <m/>
    <n v="0"/>
    <n v="1870"/>
    <n v="2000"/>
    <s v="N"/>
    <m/>
    <m/>
    <m/>
    <m/>
    <m/>
    <m/>
    <m/>
    <n v="271956"/>
    <n v="168613"/>
    <n v="22745"/>
    <n v="0"/>
    <n v="87600"/>
    <n v="262700"/>
    <n v="350300"/>
    <n v="132535.48800000001"/>
    <n v="88356.992000000013"/>
    <n v="1010.0614083647538"/>
    <n v="24371.765965999999"/>
    <n v="17761.121909000001"/>
    <n v="-6306.9838"/>
    <n v="60787.710120000003"/>
    <n v="53384.023168"/>
    <n v="0"/>
    <n v="0"/>
    <n v="22700"/>
    <n v="282500"/>
    <n v="89400"/>
    <n v="394600"/>
    <n v="0.12646303168712533"/>
    <n v="0.99970000000000003"/>
    <n v="0.99199999999999999"/>
    <n v="0.99680000000000002"/>
    <n v="1.0007999999999999"/>
    <n v="0.98240000000000005"/>
    <n v="0.94971499999999998"/>
    <n v="0.92331236006170647"/>
    <n v="272400"/>
    <n v="21600"/>
    <n v="294000"/>
    <n v="84900"/>
    <n v="378900"/>
    <n v="0.11914731633041492"/>
    <n v="-3.0821917808219176E-2"/>
    <n v="8.1644304881530114E-2"/>
  </r>
  <r>
    <n v="2025"/>
    <s v="19133512402    "/>
    <n v="9.5310179804324935E-2"/>
    <n v="1.1000000000000001"/>
    <n v="48001"/>
    <s v="2"/>
    <s v="RES"/>
    <s v="MX"/>
    <s v="11"/>
    <s v="259"/>
    <s v="CO"/>
    <x v="5"/>
    <s v="VG"/>
    <n v="30"/>
    <n v="31"/>
    <n v="31"/>
    <n v="1993"/>
    <n v="1993"/>
    <n v="1081"/>
    <n v="822"/>
    <m/>
    <m/>
    <m/>
    <n v="0"/>
    <n v="1903"/>
    <n v="2000"/>
    <s v="B"/>
    <m/>
    <n v="910"/>
    <m/>
    <m/>
    <m/>
    <m/>
    <m/>
    <n v="442067"/>
    <n v="384598"/>
    <n v="0"/>
    <n v="0"/>
    <n v="87800"/>
    <n v="359800"/>
    <n v="447600"/>
    <n v="132535.48800000001"/>
    <n v="88356.992000000013"/>
    <n v="1250.8813943196776"/>
    <n v="32917.849192000001"/>
    <n v="50438.379078999998"/>
    <n v="-3370.9740999999999"/>
    <n v="67465.620779999997"/>
    <n v="48975.074825999996"/>
    <n v="0"/>
    <n v="32123.93821"/>
    <n v="0"/>
    <n v="361100"/>
    <n v="89600"/>
    <n v="450700"/>
    <n v="6.9258266309204647E-3"/>
    <n v="0.99970000000000003"/>
    <n v="1.0019"/>
    <n v="1.0007999999999999"/>
    <n v="1.0007999999999999"/>
    <n v="0.95920000000000005"/>
    <n v="0.94971499999999998"/>
    <n v="0.91415836466292633"/>
    <n v="349700"/>
    <n v="0"/>
    <n v="349700"/>
    <n v="85100"/>
    <n v="434800"/>
    <n v="-2.8071150639244025E-2"/>
    <n v="-3.0751708428246014E-2"/>
    <n v="-2.8596961572832886E-2"/>
  </r>
  <r>
    <n v="2025"/>
    <s v="19133512403    "/>
    <n v="9.5310179804324935E-2"/>
    <n v="1.1000000000000001"/>
    <n v="48001"/>
    <s v="2"/>
    <s v="RES"/>
    <s v="MX"/>
    <s v="11"/>
    <s v="259"/>
    <s v="CO"/>
    <x v="5"/>
    <s v="VG"/>
    <n v="20"/>
    <n v="29"/>
    <n v="29"/>
    <n v="1995"/>
    <n v="1995"/>
    <n v="1240"/>
    <n v="1226"/>
    <m/>
    <m/>
    <m/>
    <n v="0"/>
    <n v="2466"/>
    <n v="2500"/>
    <s v="N"/>
    <m/>
    <m/>
    <n v="368"/>
    <m/>
    <m/>
    <m/>
    <m/>
    <n v="488659"/>
    <n v="425133"/>
    <n v="44382"/>
    <n v="0"/>
    <n v="87800"/>
    <n v="397700"/>
    <n v="485500"/>
    <n v="132535.48800000001"/>
    <n v="88356.992000000013"/>
    <n v="1250.8813943196776"/>
    <n v="32917.849192000001"/>
    <n v="50438.379078999998"/>
    <n v="-3153.4919"/>
    <n v="77388.871200000009"/>
    <n v="73045.549557999999"/>
    <n v="0"/>
    <n v="0"/>
    <n v="44400"/>
    <n v="363200"/>
    <n v="89600"/>
    <n v="497200"/>
    <n v="2.4098867147270855E-2"/>
    <n v="0.99970000000000003"/>
    <n v="1.0019"/>
    <n v="1.0007999999999999"/>
    <n v="1.0008999999999999"/>
    <n v="1.0138"/>
    <n v="0.94971499999999998"/>
    <n v="0.9662910273015537"/>
    <n v="358700"/>
    <n v="42200"/>
    <n v="400900"/>
    <n v="85100"/>
    <n v="486000"/>
    <n v="8.0462660296706061E-3"/>
    <n v="-3.0751708428246014E-2"/>
    <n v="1.0298661174047373E-3"/>
  </r>
  <r>
    <n v="2025"/>
    <s v="19120123007    "/>
    <n v="9.5310179804324935E-2"/>
    <n v="1.1000000000000001"/>
    <n v="48040"/>
    <s v="2"/>
    <s v="RES"/>
    <s v="MX"/>
    <s v="11"/>
    <s v="259"/>
    <s v="CO"/>
    <x v="2"/>
    <s v="FR"/>
    <n v="80"/>
    <n v="84"/>
    <n v="52"/>
    <n v="1940"/>
    <n v="1972"/>
    <n v="1968"/>
    <n v="378"/>
    <m/>
    <m/>
    <m/>
    <n v="0"/>
    <n v="2346"/>
    <n v="2500"/>
    <s v="N"/>
    <m/>
    <m/>
    <m/>
    <m/>
    <m/>
    <m/>
    <m/>
    <n v="290166"/>
    <n v="191510"/>
    <n v="33873"/>
    <n v="0"/>
    <n v="87800"/>
    <n v="286000"/>
    <n v="373800"/>
    <n v="132535.48800000001"/>
    <n v="88356.992000000013"/>
    <n v="1250.8813943196776"/>
    <n v="-1240.8083630000001"/>
    <n v="0"/>
    <n v="-5654.5371999999998"/>
    <n v="122823.62784"/>
    <n v="22521.384773999998"/>
    <n v="0"/>
    <n v="0"/>
    <n v="33900"/>
    <n v="271000"/>
    <n v="89600"/>
    <n v="394500"/>
    <n v="5.5377207062600318E-2"/>
    <n v="0.99970000000000003"/>
    <n v="1.0022"/>
    <n v="1"/>
    <n v="1.0008999999999999"/>
    <n v="1"/>
    <n v="0.94971499999999998"/>
    <n v="0.95266099693569994"/>
    <n v="264700"/>
    <n v="32200"/>
    <n v="296900"/>
    <n v="85100"/>
    <n v="382000"/>
    <n v="3.8111888111888113E-2"/>
    <n v="-3.0751708428246014E-2"/>
    <n v="2.1936864633493848E-2"/>
  </r>
  <r>
    <n v="2025"/>
    <s v="19120214020    "/>
    <n v="9.5310179804324935E-2"/>
    <n v="1.1000000000000001"/>
    <n v="47830"/>
    <s v="2"/>
    <s v="RES"/>
    <s v="MX"/>
    <s v="11"/>
    <s v="259"/>
    <s v="TD"/>
    <x v="3"/>
    <s v="AV"/>
    <n v="50"/>
    <n v="59"/>
    <n v="48"/>
    <n v="1965"/>
    <n v="1976"/>
    <n v="1195"/>
    <m/>
    <m/>
    <m/>
    <m/>
    <n v="0"/>
    <n v="1195"/>
    <n v="1500"/>
    <s v="N"/>
    <m/>
    <m/>
    <m/>
    <m/>
    <m/>
    <m/>
    <m/>
    <n v="149898"/>
    <n v="107927"/>
    <n v="12254"/>
    <n v="0"/>
    <n v="87800"/>
    <n v="175700"/>
    <n v="263500"/>
    <n v="132535.48800000001"/>
    <n v="88356.992000000013"/>
    <n v="1250.8813943196776"/>
    <n v="-9114.1675108666695"/>
    <n v="17761.121909000001"/>
    <n v="-5219.5727999999999"/>
    <n v="74580.4041"/>
    <n v="0"/>
    <n v="0"/>
    <n v="0"/>
    <n v="12300"/>
    <n v="210500"/>
    <n v="89600"/>
    <n v="312400"/>
    <n v="0.18557874762808349"/>
    <n v="0.99970000000000003"/>
    <n v="1"/>
    <n v="0.99680000000000002"/>
    <n v="0.99519999999999997"/>
    <n v="1.0470999999999999"/>
    <n v="0.94971499999999998"/>
    <n v="0.98650627858741491"/>
    <n v="208800"/>
    <n v="11600"/>
    <n v="220400"/>
    <n v="85100"/>
    <n v="305500"/>
    <n v="0.25441092771770063"/>
    <n v="-3.0751708428246014E-2"/>
    <n v="0.15939278937381404"/>
  </r>
  <r>
    <n v="2025"/>
    <s v="19133512401    "/>
    <n v="0.10436001532424286"/>
    <n v="1.1100000000000001"/>
    <n v="48287"/>
    <s v="2"/>
    <s v="RES"/>
    <s v="MX"/>
    <s v="11"/>
    <s v="259"/>
    <s v="CO"/>
    <x v="5"/>
    <s v="VG"/>
    <n v="30"/>
    <n v="31"/>
    <n v="31"/>
    <n v="1993"/>
    <n v="1993"/>
    <n v="1108"/>
    <n v="1020"/>
    <m/>
    <m/>
    <m/>
    <n v="0"/>
    <n v="2128"/>
    <n v="2500"/>
    <s v="N"/>
    <m/>
    <n v="896"/>
    <m/>
    <m/>
    <m/>
    <m/>
    <m/>
    <n v="460825"/>
    <n v="400918"/>
    <n v="0"/>
    <n v="0"/>
    <n v="88000"/>
    <n v="356400"/>
    <n v="444400"/>
    <n v="132535.48800000001"/>
    <n v="88356.992000000013"/>
    <n v="1369.6543406802823"/>
    <n v="32917.849192000001"/>
    <n v="50438.379078999998"/>
    <n v="-3370.9740999999999"/>
    <n v="69150.70104"/>
    <n v="60771.990659999996"/>
    <n v="0"/>
    <n v="31629.723776000003"/>
    <n v="0"/>
    <n v="374100"/>
    <n v="89700"/>
    <n v="463800"/>
    <n v="4.3654365436543656E-2"/>
    <n v="0.99970000000000003"/>
    <n v="1.0019"/>
    <n v="1.0007999999999999"/>
    <n v="1.0008999999999999"/>
    <n v="0.95920000000000005"/>
    <n v="0.94971499999999998"/>
    <n v="0.91424970742518274"/>
    <n v="362700"/>
    <n v="0"/>
    <n v="362700"/>
    <n v="85200"/>
    <n v="447900"/>
    <n v="1.7676767676767676E-2"/>
    <n v="-3.1818181818181815E-2"/>
    <n v="7.8757875787578754E-3"/>
  </r>
  <r>
    <n v="2025"/>
    <s v="19133511007    "/>
    <n v="0.11332868530700327"/>
    <n v="1.1200000000000001"/>
    <n v="48585"/>
    <s v="2"/>
    <s v="RES"/>
    <s v="MX"/>
    <s v="11"/>
    <s v="259"/>
    <s v="FH"/>
    <x v="0"/>
    <s v="AV"/>
    <n v="120"/>
    <n v="121"/>
    <n v="49"/>
    <n v="1903"/>
    <n v="1975"/>
    <n v="2060"/>
    <n v="896"/>
    <m/>
    <m/>
    <m/>
    <n v="0"/>
    <n v="2956"/>
    <n v="3000"/>
    <s v="N"/>
    <m/>
    <m/>
    <m/>
    <m/>
    <m/>
    <m/>
    <m/>
    <n v="397102"/>
    <n v="281942"/>
    <n v="0"/>
    <n v="0"/>
    <n v="88100"/>
    <n v="309900"/>
    <n v="398000"/>
    <n v="132535.48800000001"/>
    <n v="88356.992000000013"/>
    <n v="1487.3620444770945"/>
    <n v="24371.765965999999"/>
    <n v="17761.121909000001"/>
    <n v="-5328.3139000000001"/>
    <n v="128565.38280000001"/>
    <n v="53384.023168"/>
    <n v="0"/>
    <n v="0"/>
    <n v="0"/>
    <n v="351300"/>
    <n v="89800"/>
    <n v="441100"/>
    <n v="0.10829145728643216"/>
    <n v="0.99970000000000003"/>
    <n v="0.99199999999999999"/>
    <n v="0.99680000000000002"/>
    <n v="1.0099"/>
    <n v="0.96709999999999996"/>
    <n v="0.94971499999999998"/>
    <n v="0.91719727201900081"/>
    <n v="340300"/>
    <n v="0"/>
    <n v="340300"/>
    <n v="85300"/>
    <n v="425600"/>
    <n v="9.8096160051629563E-2"/>
    <n v="-3.1782065834279227E-2"/>
    <n v="6.9346733668341709E-2"/>
  </r>
  <r>
    <n v="2025"/>
    <s v="19120222401    "/>
    <n v="0.11332868530700327"/>
    <n v="1.1200000000000001"/>
    <m/>
    <s v="2"/>
    <s v="RES"/>
    <s v="MX"/>
    <s v="11"/>
    <s v="259"/>
    <s v="TD"/>
    <x v="2"/>
    <s v="AV"/>
    <n v="90"/>
    <n v="94"/>
    <n v="54"/>
    <n v="1930"/>
    <n v="1970"/>
    <n v="1560"/>
    <m/>
    <m/>
    <m/>
    <m/>
    <n v="0"/>
    <n v="1560"/>
    <n v="2000"/>
    <s v="N"/>
    <m/>
    <m/>
    <m/>
    <m/>
    <m/>
    <m/>
    <m/>
    <n v="235297"/>
    <n v="155296"/>
    <n v="8803"/>
    <n v="0"/>
    <n v="88100"/>
    <n v="209200"/>
    <n v="297300"/>
    <n v="132535.48800000001"/>
    <n v="88356.992000000013"/>
    <n v="1487.3620444770945"/>
    <n v="-1240.8083630000001"/>
    <n v="17761.121909000001"/>
    <n v="-5872.0194000000001"/>
    <n v="97360.192800000004"/>
    <n v="0"/>
    <n v="0"/>
    <n v="0"/>
    <n v="8800"/>
    <n v="240500"/>
    <n v="89800"/>
    <n v="339100"/>
    <n v="0.14059872182980154"/>
    <n v="0.99970000000000003"/>
    <n v="1.0022"/>
    <n v="0.99680000000000002"/>
    <n v="1.0007999999999999"/>
    <n v="0.99960000000000004"/>
    <n v="0.94971499999999998"/>
    <n v="0.94913779884325078"/>
    <n v="233800"/>
    <n v="8400"/>
    <n v="242200"/>
    <n v="85300"/>
    <n v="327500"/>
    <n v="0.15774378585086041"/>
    <n v="-3.1782065834279227E-2"/>
    <n v="0.10158089471913892"/>
  </r>
  <r>
    <n v="2025"/>
    <s v="19133512404    "/>
    <n v="0.16551443847757333"/>
    <n v="1.18"/>
    <n v="51270"/>
    <s v="2"/>
    <s v="RES"/>
    <s v="MX"/>
    <s v="11"/>
    <s v="259"/>
    <s v="CO"/>
    <x v="6"/>
    <s v="AV"/>
    <n v="30"/>
    <n v="31"/>
    <n v="27"/>
    <n v="1993"/>
    <n v="1997"/>
    <n v="1147"/>
    <n v="1483"/>
    <m/>
    <m/>
    <m/>
    <n v="0"/>
    <n v="2630"/>
    <n v="3000"/>
    <s v="B"/>
    <m/>
    <m/>
    <n v="704"/>
    <m/>
    <m/>
    <m/>
    <m/>
    <n v="587477"/>
    <n v="522855"/>
    <n v="0"/>
    <n v="0"/>
    <n v="88800"/>
    <n v="369500"/>
    <n v="458300"/>
    <n v="132535.48800000001"/>
    <n v="88356.992000000013"/>
    <n v="2172.2646207144235"/>
    <n v="39366.494398000003"/>
    <n v="17761.121909000001"/>
    <n v="-2936.0097000000001"/>
    <n v="71584.705860000002"/>
    <n v="88357.707989000002"/>
    <n v="0"/>
    <n v="0"/>
    <n v="0"/>
    <n v="346700"/>
    <n v="90500"/>
    <n v="437200"/>
    <n v="-4.6039711979053023E-2"/>
    <n v="0.99970000000000003"/>
    <n v="0.99980000000000002"/>
    <n v="0.99680000000000002"/>
    <n v="1.0099"/>
    <n v="0.95920000000000005"/>
    <n v="0.94971499999999998"/>
    <n v="0.9168578367358281"/>
    <n v="335700"/>
    <n v="0"/>
    <n v="335700"/>
    <n v="86000"/>
    <n v="421700"/>
    <n v="-9.1474966170500674E-2"/>
    <n v="-3.1531531531531529E-2"/>
    <n v="-7.986035348025311E-2"/>
  </r>
  <r>
    <n v="2025"/>
    <s v="19120214008    "/>
    <n v="0.18232155679395459"/>
    <n v="1.2"/>
    <n v="52437"/>
    <s v="2"/>
    <s v="RES"/>
    <s v="MX"/>
    <s v="11"/>
    <s v="259"/>
    <s v="TD"/>
    <x v="2"/>
    <s v="AV"/>
    <n v="80"/>
    <n v="84"/>
    <n v="52"/>
    <n v="1940"/>
    <n v="1972"/>
    <n v="1500"/>
    <m/>
    <m/>
    <m/>
    <m/>
    <n v="0"/>
    <n v="1500"/>
    <n v="2000"/>
    <s v="N"/>
    <m/>
    <m/>
    <m/>
    <m/>
    <m/>
    <m/>
    <m/>
    <n v="212765"/>
    <n v="144680"/>
    <n v="40982"/>
    <n v="0"/>
    <n v="89100"/>
    <n v="235700"/>
    <n v="324800"/>
    <n v="132535.48800000001"/>
    <n v="88356.992000000013"/>
    <n v="2392.8466365835911"/>
    <n v="-1240.8083630000001"/>
    <n v="17761.121909000001"/>
    <n v="-5654.5371999999998"/>
    <n v="93615.57"/>
    <n v="0"/>
    <n v="0"/>
    <n v="0"/>
    <n v="41000"/>
    <n v="237000"/>
    <n v="90700"/>
    <n v="368700"/>
    <n v="0.13516009852216748"/>
    <n v="0.99970000000000003"/>
    <n v="1.0022"/>
    <n v="0.99680000000000002"/>
    <n v="1.0007999999999999"/>
    <n v="1"/>
    <n v="0.94971499999999998"/>
    <n v="0.94951760588560497"/>
    <n v="230300"/>
    <n v="38900"/>
    <n v="269200"/>
    <n v="86200"/>
    <n v="355400"/>
    <n v="0.14212982605006363"/>
    <n v="-3.2547699214365879E-2"/>
    <n v="9.4211822660098518E-2"/>
  </r>
  <r>
    <n v="2025"/>
    <s v="20133133003    "/>
    <n v="0.19885085874516517"/>
    <n v="1.22"/>
    <n v="53293"/>
    <s v="2"/>
    <s v="RES"/>
    <s v="MX"/>
    <s v="11"/>
    <s v=""/>
    <s v="CP"/>
    <x v="5"/>
    <s v="GD"/>
    <n v="20"/>
    <n v="26"/>
    <n v="26"/>
    <n v="1998"/>
    <n v="1998"/>
    <n v="2423"/>
    <m/>
    <m/>
    <m/>
    <m/>
    <n v="0"/>
    <n v="2423"/>
    <n v="2500"/>
    <s v="N"/>
    <n v="1"/>
    <n v="702"/>
    <m/>
    <m/>
    <m/>
    <m/>
    <m/>
    <n v="516739"/>
    <n v="459898"/>
    <n v="32367"/>
    <n v="0"/>
    <n v="89300"/>
    <n v="368900"/>
    <n v="458200"/>
    <n v="132535.48800000001"/>
    <n v="88356.992000000013"/>
    <n v="2609.7825012972048"/>
    <n v="32917.849192000001"/>
    <n v="30300.329274"/>
    <n v="-2827.2685999999999"/>
    <n v="151220.35073999999"/>
    <n v="0"/>
    <n v="0"/>
    <n v="24781.323762"/>
    <n v="32400"/>
    <n v="368900"/>
    <n v="91000"/>
    <n v="492300"/>
    <n v="7.4421649934526407E-2"/>
    <n v="0.99970000000000003"/>
    <n v="1.0019"/>
    <n v="0.997"/>
    <n v="1.0008999999999999"/>
    <n v="1.0138"/>
    <n v="0.94971499999999998"/>
    <n v="0.96262205657438948"/>
    <n v="364000"/>
    <n v="30700"/>
    <n v="394700"/>
    <n v="86400"/>
    <n v="481100"/>
    <n v="6.9937652480346973E-2"/>
    <n v="-3.2474804031354984E-2"/>
    <n v="4.9978175469227414E-2"/>
  </r>
  <r>
    <n v="2025"/>
    <s v="19133511018    "/>
    <n v="0.19885085874516517"/>
    <n v="1.22"/>
    <m/>
    <s v="2"/>
    <s v="RES"/>
    <s v="MX"/>
    <s v="11"/>
    <s v="259"/>
    <s v="RN"/>
    <x v="1"/>
    <s v="AV"/>
    <n v="50"/>
    <n v="57"/>
    <n v="48"/>
    <n v="1967"/>
    <n v="1976"/>
    <n v="1040"/>
    <m/>
    <m/>
    <m/>
    <m/>
    <n v="0"/>
    <n v="1040"/>
    <n v="1500"/>
    <s v="N"/>
    <m/>
    <m/>
    <m/>
    <m/>
    <m/>
    <m/>
    <m/>
    <n v="152545"/>
    <n v="109832"/>
    <n v="13858"/>
    <n v="0"/>
    <n v="89300"/>
    <n v="181700"/>
    <n v="271000"/>
    <n v="132535.48800000001"/>
    <n v="88356.992000000013"/>
    <n v="2609.7825012972048"/>
    <n v="0"/>
    <n v="17761.121909000001"/>
    <n v="-5219.5727999999999"/>
    <n v="64906.7952"/>
    <n v="0"/>
    <n v="0"/>
    <n v="0"/>
    <n v="13900"/>
    <n v="210000"/>
    <n v="91000"/>
    <n v="314900"/>
    <n v="0.16199261992619926"/>
    <n v="0.99970000000000003"/>
    <n v="1.0003"/>
    <n v="0.99680000000000002"/>
    <n v="0.99519999999999997"/>
    <n v="1.0470999999999999"/>
    <n v="0.94971499999999998"/>
    <n v="0.98680223047099103"/>
    <n v="208200"/>
    <n v="13200"/>
    <n v="221400"/>
    <n v="86400"/>
    <n v="307800"/>
    <n v="0.21849201981287836"/>
    <n v="-3.2474804031354984E-2"/>
    <n v="0.13579335793357933"/>
  </r>
  <r>
    <n v="2025"/>
    <s v="19133641006    "/>
    <n v="0.20701416938432612"/>
    <n v="1.23"/>
    <n v="53653"/>
    <s v="2"/>
    <s v="RES"/>
    <s v="MX"/>
    <s v="91"/>
    <s v="256"/>
    <s v="RN"/>
    <x v="0"/>
    <s v="EX"/>
    <n v="0"/>
    <n v="0"/>
    <n v="0"/>
    <n v="2024"/>
    <n v="2024"/>
    <n v="2576"/>
    <m/>
    <m/>
    <m/>
    <m/>
    <n v="0"/>
    <n v="2576"/>
    <n v="3000"/>
    <s v="N"/>
    <m/>
    <m/>
    <m/>
    <m/>
    <m/>
    <m/>
    <n v="0"/>
    <m/>
    <m/>
    <n v="0"/>
    <n v="0"/>
    <n v="89400"/>
    <n v="0"/>
    <n v="89400"/>
    <n v="132535.48800000001"/>
    <n v="88356.992000000013"/>
    <n v="2716.9204105482686"/>
    <n v="24371.765965999999"/>
    <n v="47371.278778200001"/>
    <n v="0"/>
    <n v="160769.13888000001"/>
    <n v="0"/>
    <n v="0"/>
    <n v="0"/>
    <n v="0"/>
    <n v="365000"/>
    <n v="91100"/>
    <n v="456100"/>
    <n v="4.1017897091722597"/>
    <n v="0.99970000000000003"/>
    <n v="0.99199999999999999"/>
    <n v="1.0012000000000001"/>
    <n v="1.0099"/>
    <n v="1.0022"/>
    <n v="0.94971499999999998"/>
    <n v="0.95468166330444115"/>
    <n v="359000"/>
    <n v="0"/>
    <n v="359000"/>
    <n v="86500"/>
    <n v="445500"/>
    <n v="0"/>
    <n v="-3.2438478747203577E-2"/>
    <n v="0"/>
  </r>
  <r>
    <n v="2025"/>
    <s v="20120643401    "/>
    <n v="0.23111172096338664"/>
    <n v="1.26"/>
    <m/>
    <s v="2"/>
    <s v="RES"/>
    <s v="MX"/>
    <s v="11"/>
    <s v="259"/>
    <s v="CP"/>
    <x v="5"/>
    <s v="VG"/>
    <n v="30"/>
    <n v="30"/>
    <n v="30"/>
    <n v="1994"/>
    <n v="1994"/>
    <n v="1984"/>
    <m/>
    <m/>
    <m/>
    <m/>
    <n v="0"/>
    <n v="1984"/>
    <n v="2000"/>
    <s v="B"/>
    <m/>
    <n v="528"/>
    <m/>
    <m/>
    <m/>
    <m/>
    <m/>
    <n v="415355"/>
    <n v="361359"/>
    <n v="5811"/>
    <n v="0"/>
    <n v="89700"/>
    <n v="323600"/>
    <n v="413300"/>
    <n v="132535.48800000001"/>
    <n v="88356.992000000013"/>
    <n v="3033.1844127859154"/>
    <n v="32917.849192000001"/>
    <n v="50438.379078999998"/>
    <n v="-3262.2330000000002"/>
    <n v="123822.19392000001"/>
    <n v="0"/>
    <n v="0"/>
    <n v="18638.944368"/>
    <n v="5800"/>
    <n v="355100"/>
    <n v="91400"/>
    <n v="452300"/>
    <n v="9.4362448584563274E-2"/>
    <n v="0.99970000000000003"/>
    <n v="1.0019"/>
    <n v="1.0007999999999999"/>
    <n v="1.0007999999999999"/>
    <n v="0.95920000000000005"/>
    <n v="0.94971499999999998"/>
    <n v="0.91415836466292633"/>
    <n v="343700"/>
    <n v="5500"/>
    <n v="349200"/>
    <n v="86800"/>
    <n v="436000"/>
    <n v="7.9110012360939425E-2"/>
    <n v="-3.2329988851727984E-2"/>
    <n v="5.4923784176143235E-2"/>
  </r>
  <r>
    <n v="2025"/>
    <s v="20120643402    "/>
    <n v="0.23111172096338664"/>
    <n v="1.26"/>
    <m/>
    <s v="2"/>
    <s v="RES"/>
    <s v="MX"/>
    <s v="11"/>
    <s v="259"/>
    <s v="FH"/>
    <x v="3"/>
    <s v="AV"/>
    <n v="100"/>
    <n v="104"/>
    <n v="58"/>
    <n v="1920"/>
    <n v="1966"/>
    <n v="1104"/>
    <n v="456"/>
    <n v="364"/>
    <m/>
    <m/>
    <n v="364"/>
    <n v="1560"/>
    <n v="2000"/>
    <s v="N"/>
    <m/>
    <m/>
    <m/>
    <m/>
    <m/>
    <m/>
    <m/>
    <n v="213926"/>
    <n v="132634"/>
    <n v="3761"/>
    <n v="0"/>
    <n v="89700"/>
    <n v="180000"/>
    <n v="269700"/>
    <n v="132535.48800000001"/>
    <n v="88356.992000000013"/>
    <n v="3033.1844127859154"/>
    <n v="-9114.1675108666695"/>
    <n v="17761.121909000001"/>
    <n v="-6306.9838"/>
    <n v="68901.05952000001"/>
    <n v="27168.654648"/>
    <n v="22781.484543999999"/>
    <n v="0"/>
    <n v="3800"/>
    <n v="253700"/>
    <n v="91400"/>
    <n v="348900"/>
    <n v="0.29365962180200222"/>
    <n v="0.99970000000000003"/>
    <n v="1"/>
    <n v="0.99680000000000002"/>
    <n v="1.0007999999999999"/>
    <n v="0.98240000000000005"/>
    <n v="0.94971499999999998"/>
    <n v="0.93075842748155901"/>
    <n v="244500"/>
    <n v="3600"/>
    <n v="248100"/>
    <n v="86800"/>
    <n v="334900"/>
    <n v="0.37833333333333335"/>
    <n v="-3.2329988851727984E-2"/>
    <n v="0.2417500926955877"/>
  </r>
  <r>
    <n v="2025"/>
    <s v="19120213018    "/>
    <n v="0.24686007793152581"/>
    <n v="1.28"/>
    <n v="55597"/>
    <s v="2"/>
    <s v="RES"/>
    <s v="MX"/>
    <s v="11"/>
    <s v="259"/>
    <s v="FH"/>
    <x v="4"/>
    <s v="AV"/>
    <n v="120"/>
    <n v="124"/>
    <n v="50"/>
    <n v="1900"/>
    <n v="1974"/>
    <n v="1137"/>
    <n v="932"/>
    <m/>
    <m/>
    <m/>
    <n v="0"/>
    <n v="2069"/>
    <n v="2500"/>
    <s v="N"/>
    <m/>
    <m/>
    <m/>
    <m/>
    <m/>
    <m/>
    <m/>
    <n v="389501"/>
    <n v="272651"/>
    <n v="53757"/>
    <n v="0"/>
    <n v="90000"/>
    <n v="314400"/>
    <n v="404400"/>
    <n v="132535.48800000001"/>
    <n v="88356.992000000013"/>
    <n v="3239.870904858361"/>
    <n v="37154.252388000001"/>
    <n v="17761.121909000001"/>
    <n v="-5437.0550000000003"/>
    <n v="70960.602060000005"/>
    <n v="55528.916956000001"/>
    <n v="0"/>
    <n v="0"/>
    <n v="53800"/>
    <n v="308500"/>
    <n v="91600"/>
    <n v="453900"/>
    <n v="0.12240356083086053"/>
    <n v="0.99970000000000003"/>
    <n v="0.99819999999999998"/>
    <n v="0.99680000000000002"/>
    <n v="1.0008999999999999"/>
    <n v="0.96709999999999996"/>
    <n v="0.94971499999999998"/>
    <n v="0.91470481408910964"/>
    <n v="297200"/>
    <n v="51100"/>
    <n v="348300"/>
    <n v="87000"/>
    <n v="435300"/>
    <n v="0.10782442748091603"/>
    <n v="-3.3333333333333333E-2"/>
    <n v="7.6409495548961426E-2"/>
  </r>
  <r>
    <n v="2025"/>
    <s v="20120634003    "/>
    <n v="0.27763173659827955"/>
    <n v="1.32"/>
    <n v="57583"/>
    <s v="2"/>
    <s v="RES"/>
    <s v="MX"/>
    <s v="11"/>
    <s v="259"/>
    <s v="FH"/>
    <x v="2"/>
    <s v="GD"/>
    <n v="100"/>
    <n v="104"/>
    <n v="58"/>
    <n v="1920"/>
    <n v="1966"/>
    <n v="1386"/>
    <n v="936"/>
    <n v="1080"/>
    <m/>
    <m/>
    <n v="1080"/>
    <n v="2322"/>
    <n v="2500"/>
    <s v="N"/>
    <n v="2"/>
    <m/>
    <m/>
    <m/>
    <m/>
    <m/>
    <m/>
    <n v="321224"/>
    <n v="205583"/>
    <n v="0"/>
    <n v="0"/>
    <n v="90400"/>
    <n v="252100"/>
    <n v="342500"/>
    <n v="132535.48800000001"/>
    <n v="88356.992000000013"/>
    <n v="3643.728030903269"/>
    <n v="-1240.8083630000001"/>
    <n v="30300.329274"/>
    <n v="-6306.9838"/>
    <n v="86500.786680000005"/>
    <n v="55767.238487999995"/>
    <n v="67593.415679999991"/>
    <n v="0"/>
    <n v="0"/>
    <n v="365100"/>
    <n v="92000"/>
    <n v="457100"/>
    <n v="0.33459854014598539"/>
    <n v="0.99970000000000003"/>
    <n v="1.0022"/>
    <n v="0.997"/>
    <n v="1.0008999999999999"/>
    <n v="0.98240000000000005"/>
    <n v="0.94971499999999998"/>
    <n v="0.93308648089946278"/>
    <n v="356300"/>
    <n v="0"/>
    <n v="356300"/>
    <n v="87400"/>
    <n v="443700"/>
    <n v="0.41332804442681476"/>
    <n v="-3.3185840707964605E-2"/>
    <n v="0.29547445255474453"/>
  </r>
  <r>
    <n v="2025"/>
    <s v="19133411407    "/>
    <n v="0.28517894223366247"/>
    <n v="1.33"/>
    <n v="58033"/>
    <s v="2"/>
    <s v="RES"/>
    <s v="MX"/>
    <s v="11"/>
    <s v="259"/>
    <s v="RN"/>
    <x v="0"/>
    <s v="AV"/>
    <n v="60"/>
    <n v="64"/>
    <n v="49"/>
    <n v="1960"/>
    <n v="1975"/>
    <n v="1993"/>
    <m/>
    <n v="1253"/>
    <m/>
    <m/>
    <n v="1253"/>
    <n v="1993"/>
    <n v="2000"/>
    <s v="N"/>
    <m/>
    <n v="780"/>
    <m/>
    <m/>
    <m/>
    <m/>
    <m/>
    <n v="382342"/>
    <n v="271463"/>
    <n v="52527"/>
    <n v="0"/>
    <n v="90500"/>
    <n v="341100"/>
    <n v="431600"/>
    <n v="132535.48800000001"/>
    <n v="88356.992000000013"/>
    <n v="3742.7799803150433"/>
    <n v="24371.765965999999"/>
    <n v="17761.121909000001"/>
    <n v="-5328.3139000000001"/>
    <n v="124383.88734"/>
    <n v="0"/>
    <n v="78420.879487999991"/>
    <n v="27534.804180000003"/>
    <n v="52500"/>
    <n v="399700"/>
    <n v="92100"/>
    <n v="544300"/>
    <n v="0.26112140871177014"/>
    <n v="0.99970000000000003"/>
    <n v="0.99199999999999999"/>
    <n v="0.99680000000000002"/>
    <n v="1.0007999999999999"/>
    <n v="1.0558000000000001"/>
    <n v="0.94971499999999998"/>
    <n v="0.99229762800605636"/>
    <n v="398700"/>
    <n v="49900"/>
    <n v="448600"/>
    <n v="87500"/>
    <n v="536100"/>
    <n v="0.3151568454998534"/>
    <n v="-3.3149171270718231E-2"/>
    <n v="0.24212233549582948"/>
  </r>
  <r>
    <n v="2025"/>
    <s v="19133614407    "/>
    <n v="0.28517894223366247"/>
    <n v="1.33"/>
    <m/>
    <s v="2"/>
    <s v="RES"/>
    <s v="MX"/>
    <s v="11"/>
    <s v="259"/>
    <s v="CP"/>
    <x v="6"/>
    <s v="VG"/>
    <n v="0"/>
    <n v="6"/>
    <n v="6"/>
    <n v="2018"/>
    <n v="2018"/>
    <n v="2631"/>
    <n v="1102"/>
    <m/>
    <m/>
    <m/>
    <n v="0"/>
    <n v="3733"/>
    <n v="4000"/>
    <s v="N"/>
    <m/>
    <n v="1092"/>
    <m/>
    <m/>
    <m/>
    <m/>
    <m/>
    <n v="799134"/>
    <n v="775160"/>
    <n v="0"/>
    <n v="0"/>
    <n v="90500"/>
    <n v="531600"/>
    <n v="622100"/>
    <n v="132535.48800000001"/>
    <n v="88356.992000000013"/>
    <n v="3742.7799803150433"/>
    <n v="39366.494398000003"/>
    <n v="50438.379078999998"/>
    <n v="-652.44659999999999"/>
    <n v="164201.70978"/>
    <n v="65657.582066000003"/>
    <n v="0"/>
    <n v="38548.725852000003"/>
    <n v="0"/>
    <n v="490100"/>
    <n v="92100"/>
    <n v="582200"/>
    <n v="-6.4137598456839737E-2"/>
    <n v="0.99970000000000003"/>
    <n v="0.99980000000000002"/>
    <n v="1.0007999999999999"/>
    <n v="1"/>
    <n v="1.0022"/>
    <n v="0.94971499999999998"/>
    <n v="0.95237530333510012"/>
    <n v="483800"/>
    <n v="0"/>
    <n v="483800"/>
    <n v="87500"/>
    <n v="571300"/>
    <n v="-8.991723100075244E-2"/>
    <n v="-3.3149171270718231E-2"/>
    <n v="-8.1658897283394954E-2"/>
  </r>
  <r>
    <n v="2025"/>
    <s v="19133511405    "/>
    <n v="0.29266961396282004"/>
    <n v="1.34"/>
    <n v="105851"/>
    <s v="2"/>
    <s v="RES"/>
    <s v="MX"/>
    <s v="11"/>
    <s v="259"/>
    <s v="SL"/>
    <x v="5"/>
    <s v="GD"/>
    <n v="40"/>
    <n v="48"/>
    <n v="45"/>
    <n v="1976"/>
    <n v="1979"/>
    <n v="1296"/>
    <m/>
    <n v="672"/>
    <m/>
    <n v="672"/>
    <n v="0"/>
    <n v="1968"/>
    <n v="2000"/>
    <s v="S"/>
    <m/>
    <n v="864"/>
    <m/>
    <m/>
    <m/>
    <m/>
    <m/>
    <n v="441524"/>
    <n v="344389"/>
    <n v="127930"/>
    <n v="0"/>
    <n v="90600"/>
    <n v="382900"/>
    <n v="473500"/>
    <n v="132535.48800000001"/>
    <n v="88356.992000000013"/>
    <n v="3841.0899605941322"/>
    <n v="32917.849192000001"/>
    <n v="30300.329274"/>
    <n v="-4893.3495000000003"/>
    <n v="80883.852480000001"/>
    <n v="0"/>
    <n v="42058.125311999996"/>
    <n v="30500.090784"/>
    <n v="127900"/>
    <n v="344300"/>
    <n v="92200"/>
    <n v="564400"/>
    <n v="0.19197465681098205"/>
    <n v="0.99970000000000003"/>
    <n v="1.0019"/>
    <n v="0.997"/>
    <n v="1.0007999999999999"/>
    <n v="0.95689999999999997"/>
    <n v="0.94971499999999998"/>
    <n v="0.90850366488347722"/>
    <n v="332200"/>
    <n v="121500"/>
    <n v="453700"/>
    <n v="87600"/>
    <n v="541300"/>
    <n v="0.18490467484983025"/>
    <n v="-3.3112582781456956E-2"/>
    <n v="0.14318901795142555"/>
  </r>
  <r>
    <n v="2025"/>
    <s v="19133641408    "/>
    <n v="0.3148107398400336"/>
    <n v="1.37"/>
    <m/>
    <s v="2"/>
    <s v="RES"/>
    <s v="MX"/>
    <s v="11"/>
    <s v="259"/>
    <s v="CO"/>
    <x v="5"/>
    <s v="EX"/>
    <n v="0"/>
    <n v="2"/>
    <n v="2"/>
    <n v="2022"/>
    <n v="2022"/>
    <n v="2552"/>
    <m/>
    <m/>
    <m/>
    <m/>
    <n v="0"/>
    <n v="2552"/>
    <n v="3000"/>
    <s v="N"/>
    <n v="1"/>
    <n v="876"/>
    <m/>
    <m/>
    <m/>
    <m/>
    <m/>
    <n v="623679"/>
    <n v="611205"/>
    <n v="0"/>
    <n v="0"/>
    <n v="90900"/>
    <n v="505500"/>
    <n v="596400"/>
    <n v="132535.48800000001"/>
    <n v="88356.992000000013"/>
    <n v="4131.6772039080897"/>
    <n v="32917.849192000001"/>
    <n v="47371.278778200001"/>
    <n v="-217.48220000000001"/>
    <n v="159271.28976000001"/>
    <n v="0"/>
    <n v="0"/>
    <n v="30923.703156000003"/>
    <n v="0"/>
    <n v="402800"/>
    <n v="92500"/>
    <n v="495300"/>
    <n v="-0.16951710261569417"/>
    <n v="0.99970000000000003"/>
    <n v="1.0019"/>
    <n v="1.0012000000000001"/>
    <n v="1.0099"/>
    <n v="1.0022"/>
    <n v="0.94971499999999998"/>
    <n v="0.96420923232330613"/>
    <n v="398100"/>
    <n v="0"/>
    <n v="398100"/>
    <n v="87800"/>
    <n v="485900"/>
    <n v="-0.21246290801186943"/>
    <n v="-3.4103410341034104E-2"/>
    <n v="-0.18527833668678739"/>
  </r>
  <r>
    <n v="2025"/>
    <s v="19133641007    "/>
    <n v="0.3148107398400336"/>
    <n v="1.37"/>
    <n v="59724"/>
    <s v="2"/>
    <s v="RES"/>
    <s v="MX"/>
    <s v="11"/>
    <s v="259"/>
    <s v="RN"/>
    <x v="5"/>
    <s v="GD"/>
    <n v="50"/>
    <n v="53"/>
    <n v="46"/>
    <n v="1971"/>
    <n v="1978"/>
    <n v="2593"/>
    <m/>
    <m/>
    <m/>
    <m/>
    <n v="0"/>
    <n v="2593"/>
    <n v="3000"/>
    <s v="N"/>
    <n v="1"/>
    <n v="483"/>
    <m/>
    <m/>
    <m/>
    <m/>
    <m/>
    <n v="566825"/>
    <n v="436455"/>
    <n v="0"/>
    <n v="0"/>
    <n v="90900"/>
    <n v="318000"/>
    <n v="408900"/>
    <n v="132535.48800000001"/>
    <n v="88356.992000000013"/>
    <n v="4131.6772039080897"/>
    <n v="32917.849192000001"/>
    <n v="30300.329274"/>
    <n v="-5002.0906000000004"/>
    <n v="161830.11534000002"/>
    <n v="0"/>
    <n v="0"/>
    <n v="17050.397972999999"/>
    <n v="0"/>
    <n v="369600"/>
    <n v="92500"/>
    <n v="462100"/>
    <n v="0.13010516018586452"/>
    <n v="0.99970000000000003"/>
    <n v="1.0019"/>
    <n v="0.997"/>
    <n v="1.0099"/>
    <n v="1.0470999999999999"/>
    <n v="0.94971499999999998"/>
    <n v="1.0031811523878755"/>
    <n v="370100"/>
    <n v="0"/>
    <n v="370100"/>
    <n v="87800"/>
    <n v="457900"/>
    <n v="0.16383647798742138"/>
    <n v="-3.4103410341034104E-2"/>
    <n v="0.11983370017119101"/>
  </r>
  <r>
    <n v="2025"/>
    <s v="19133622401    "/>
    <n v="0.33647223662121289"/>
    <n v="1.4"/>
    <m/>
    <s v="2"/>
    <s v="RES"/>
    <s v="MX"/>
    <s v="11"/>
    <s v="259"/>
    <s v="TD"/>
    <x v="1"/>
    <s v="AV"/>
    <n v="110"/>
    <n v="114"/>
    <n v="66"/>
    <n v="1910"/>
    <n v="1958"/>
    <n v="1064"/>
    <m/>
    <n v="1064"/>
    <m/>
    <n v="0"/>
    <n v="1064"/>
    <n v="1064"/>
    <n v="1500"/>
    <s v="N"/>
    <m/>
    <m/>
    <m/>
    <m/>
    <m/>
    <m/>
    <m/>
    <n v="197283"/>
    <n v="108506"/>
    <n v="9996"/>
    <n v="0"/>
    <n v="91200"/>
    <n v="175500"/>
    <n v="266700"/>
    <n v="132535.48800000001"/>
    <n v="88356.992000000013"/>
    <n v="4415.9696410047536"/>
    <n v="0"/>
    <n v="17761.121909000001"/>
    <n v="-7176.9126000000006"/>
    <n v="66404.644320000007"/>
    <n v="0"/>
    <n v="66592.031743999993"/>
    <n v="0"/>
    <n v="10000"/>
    <n v="276100"/>
    <n v="92800"/>
    <n v="378900"/>
    <n v="0.42069741282339707"/>
    <n v="0.99970000000000003"/>
    <n v="1.0003"/>
    <n v="0.99680000000000002"/>
    <n v="0.99519999999999997"/>
    <n v="1"/>
    <n v="0.94971499999999998"/>
    <n v="0.9424145071826866"/>
    <n v="268500"/>
    <n v="9500"/>
    <n v="278000"/>
    <n v="88100"/>
    <n v="366100"/>
    <n v="0.58404558404558404"/>
    <n v="-3.399122807017544E-2"/>
    <n v="0.37270341207349084"/>
  </r>
  <r>
    <n v="2025"/>
    <s v="20120622401    "/>
    <n v="0.35767444427181588"/>
    <n v="1.43"/>
    <m/>
    <s v="2"/>
    <s v="RES"/>
    <s v="MX"/>
    <s v="11"/>
    <s v="259"/>
    <s v="CP"/>
    <x v="6"/>
    <s v="VG"/>
    <n v="20"/>
    <n v="24"/>
    <n v="24"/>
    <n v="2000"/>
    <n v="2000"/>
    <n v="2650"/>
    <m/>
    <m/>
    <m/>
    <m/>
    <n v="0"/>
    <n v="2650"/>
    <n v="3000"/>
    <s v="S"/>
    <m/>
    <n v="1156"/>
    <m/>
    <m/>
    <m/>
    <m/>
    <m/>
    <n v="614016"/>
    <n v="564895"/>
    <n v="38356"/>
    <n v="0"/>
    <n v="91500"/>
    <n v="449400"/>
    <n v="540900"/>
    <n v="132535.48800000001"/>
    <n v="88356.992000000013"/>
    <n v="4694.2342201199226"/>
    <n v="39366.494398000003"/>
    <n v="50438.379078999998"/>
    <n v="-2609.7864"/>
    <n v="165387.50700000001"/>
    <n v="0"/>
    <n v="0"/>
    <n v="40807.991836000001"/>
    <n v="38400"/>
    <n v="425900"/>
    <n v="93100"/>
    <n v="557400"/>
    <n v="3.0504714364947311E-2"/>
    <n v="0.99970000000000003"/>
    <n v="0.99980000000000002"/>
    <n v="1.0007999999999999"/>
    <n v="1.0099"/>
    <n v="1.0138"/>
    <n v="0.94971499999999998"/>
    <n v="0.97293625178415843"/>
    <n v="422300"/>
    <n v="36400"/>
    <n v="458700"/>
    <n v="88400"/>
    <n v="547100"/>
    <n v="2.069425901201602E-2"/>
    <n v="-3.3879781420765025E-2"/>
    <n v="1.1462377518949898E-2"/>
  </r>
  <r>
    <n v="2025"/>
    <s v="19133541008    "/>
    <n v="0.36464311358790924"/>
    <n v="1.44"/>
    <n v="62845"/>
    <s v="2"/>
    <s v="RES"/>
    <s v="MX"/>
    <s v="11"/>
    <s v="259"/>
    <s v="RN"/>
    <x v="0"/>
    <s v="AV"/>
    <n v="50"/>
    <n v="52"/>
    <n v="46"/>
    <n v="1972"/>
    <n v="1978"/>
    <n v="1170"/>
    <m/>
    <m/>
    <m/>
    <m/>
    <n v="0"/>
    <n v="1170"/>
    <n v="1500"/>
    <s v="N"/>
    <m/>
    <n v="734"/>
    <m/>
    <m/>
    <m/>
    <m/>
    <m/>
    <n v="242549"/>
    <n v="184337"/>
    <n v="0"/>
    <n v="0"/>
    <n v="91600"/>
    <n v="233400"/>
    <n v="325000"/>
    <n v="132535.48800000001"/>
    <n v="88356.992000000013"/>
    <n v="4785.6932731671823"/>
    <n v="24371.765965999999"/>
    <n v="17761.121909000001"/>
    <n v="-5002.0906000000004"/>
    <n v="73020.1446"/>
    <n v="0"/>
    <n v="0"/>
    <n v="25910.956754000003"/>
    <n v="0"/>
    <n v="268600"/>
    <n v="93100"/>
    <n v="361700"/>
    <n v="0.11292307692307692"/>
    <n v="0.99970000000000003"/>
    <n v="0.99199999999999999"/>
    <n v="0.99680000000000002"/>
    <n v="0.99519999999999997"/>
    <n v="1.0470999999999999"/>
    <n v="0.94971499999999998"/>
    <n v="0.9786142283587157"/>
    <n v="265800"/>
    <n v="0"/>
    <n v="265800"/>
    <n v="88500"/>
    <n v="354300"/>
    <n v="0.13881748071979436"/>
    <n v="-3.384279475982533E-2"/>
    <n v="9.0153846153846154E-2"/>
  </r>
  <r>
    <n v="2025"/>
    <s v="19120214022    "/>
    <n v="0.37156355643248301"/>
    <n v="1.45"/>
    <m/>
    <s v="2"/>
    <s v="RES"/>
    <s v="MX"/>
    <s v="11"/>
    <s v="259"/>
    <s v="BG"/>
    <x v="0"/>
    <s v="GD"/>
    <n v="70"/>
    <n v="78"/>
    <n v="52"/>
    <n v="1946"/>
    <n v="1972"/>
    <n v="1650"/>
    <m/>
    <m/>
    <m/>
    <m/>
    <n v="0"/>
    <n v="1650"/>
    <n v="2000"/>
    <s v="N"/>
    <n v="1"/>
    <m/>
    <m/>
    <m/>
    <m/>
    <m/>
    <m/>
    <n v="262342"/>
    <n v="183639"/>
    <n v="38270"/>
    <n v="0"/>
    <n v="91700"/>
    <n v="263800"/>
    <n v="355500"/>
    <n v="132535.48800000001"/>
    <n v="88356.992000000013"/>
    <n v="4876.5193865215215"/>
    <n v="24371.765965999999"/>
    <n v="30300.329274"/>
    <n v="-5654.5371999999998"/>
    <n v="102977.12700000001"/>
    <n v="0"/>
    <n v="0"/>
    <n v="0"/>
    <n v="38300"/>
    <n v="284500"/>
    <n v="93200"/>
    <n v="416000"/>
    <n v="0.17018284106891701"/>
    <n v="0.99970000000000003"/>
    <n v="0.99199999999999999"/>
    <n v="0.997"/>
    <n v="1.0007999999999999"/>
    <n v="1"/>
    <n v="0.94971499999999998"/>
    <n v="0.9400423609025278"/>
    <n v="276600"/>
    <n v="36300"/>
    <n v="312900"/>
    <n v="88500"/>
    <n v="401400"/>
    <n v="0.18612585291887793"/>
    <n v="-3.4896401308615051E-2"/>
    <n v="0.12911392405063291"/>
  </r>
  <r>
    <n v="2025"/>
    <s v="19133411005    "/>
    <n v="0.48242614924429278"/>
    <n v="1.62"/>
    <n v="70623"/>
    <s v="2"/>
    <s v="RES"/>
    <s v="MX"/>
    <s v="11"/>
    <s v=""/>
    <s v="FH"/>
    <x v="0"/>
    <s v="AV"/>
    <n v="110"/>
    <n v="119"/>
    <n v="71"/>
    <n v="1905"/>
    <n v="1953"/>
    <n v="1450"/>
    <n v="1520"/>
    <n v="730"/>
    <m/>
    <m/>
    <n v="730"/>
    <n v="2970"/>
    <n v="3000"/>
    <s v="N"/>
    <m/>
    <m/>
    <m/>
    <m/>
    <m/>
    <m/>
    <m/>
    <n v="462910"/>
    <n v="254601"/>
    <n v="12798"/>
    <n v="0"/>
    <n v="93300"/>
    <n v="329600"/>
    <n v="422900"/>
    <n v="132535.48800000001"/>
    <n v="88356.992000000013"/>
    <n v="6331.5156414760058"/>
    <n v="24371.765965999999"/>
    <n v="17761.121909000001"/>
    <n v="-7720.6181000000006"/>
    <n v="90495.051000000007"/>
    <n v="90562.182159999997"/>
    <n v="45688.142079999998"/>
    <n v="0"/>
    <n v="12800"/>
    <n v="393700"/>
    <n v="94700"/>
    <n v="501200"/>
    <n v="0.18515015370063845"/>
    <n v="0.99970000000000003"/>
    <n v="0.99199999999999999"/>
    <n v="0.99680000000000002"/>
    <n v="1.0099"/>
    <n v="1"/>
    <n v="0.94971499999999998"/>
    <n v="0.94839961950056961"/>
    <n v="386900"/>
    <n v="12200"/>
    <n v="399100"/>
    <n v="89900"/>
    <n v="489000"/>
    <n v="0.2108616504854369"/>
    <n v="-3.6441586280814578E-2"/>
    <n v="0.15630172617640103"/>
  </r>
  <r>
    <n v="2025"/>
    <s v="20120622406    "/>
    <n v="0.50077528791248915"/>
    <n v="1.65"/>
    <m/>
    <s v="2"/>
    <s v="RES"/>
    <s v="MX"/>
    <s v="11"/>
    <s v="259"/>
    <s v="CP"/>
    <x v="5"/>
    <s v="VG"/>
    <n v="10"/>
    <n v="15"/>
    <n v="15"/>
    <n v="2009"/>
    <n v="2009"/>
    <n v="2692"/>
    <m/>
    <m/>
    <m/>
    <m/>
    <n v="0"/>
    <n v="2692"/>
    <n v="3000"/>
    <s v="N"/>
    <m/>
    <n v="1456"/>
    <m/>
    <m/>
    <m/>
    <m/>
    <m/>
    <n v="582875"/>
    <n v="547903"/>
    <n v="56987"/>
    <n v="0"/>
    <n v="93500"/>
    <n v="454600"/>
    <n v="548100"/>
    <n v="132535.48800000001"/>
    <n v="88356.992000000013"/>
    <n v="6572.3356274309272"/>
    <n v="32917.849192000001"/>
    <n v="50438.379078999998"/>
    <n v="-1631.1165000000001"/>
    <n v="168008.74296"/>
    <n v="0"/>
    <n v="0"/>
    <n v="51398.301136000002"/>
    <n v="57000"/>
    <n v="433700"/>
    <n v="94900"/>
    <n v="585600"/>
    <n v="6.8418171866447733E-2"/>
    <n v="0.99970000000000003"/>
    <n v="1.0019"/>
    <n v="1.0007999999999999"/>
    <n v="1.0099"/>
    <n v="0.99080000000000001"/>
    <n v="0.94971499999999998"/>
    <n v="0.95286053681485272"/>
    <n v="427400"/>
    <n v="54100"/>
    <n v="481500"/>
    <n v="90200"/>
    <n v="571700"/>
    <n v="5.9172899252089746E-2"/>
    <n v="-3.5294117647058823E-2"/>
    <n v="4.3057836161284439E-2"/>
  </r>
  <r>
    <n v="2025"/>
    <s v="19133521400    "/>
    <n v="0.50681760236845186"/>
    <n v="1.66"/>
    <m/>
    <s v="2"/>
    <s v="RES"/>
    <s v="MX"/>
    <s v="11"/>
    <s v=""/>
    <s v="CP"/>
    <x v="8"/>
    <s v="VG"/>
    <n v="0"/>
    <n v="6"/>
    <n v="6"/>
    <n v="2018"/>
    <n v="2018"/>
    <n v="3416"/>
    <m/>
    <m/>
    <n v="392"/>
    <m/>
    <n v="0"/>
    <n v="3808"/>
    <n v="4000"/>
    <s v="S"/>
    <n v="1"/>
    <n v="956"/>
    <m/>
    <m/>
    <m/>
    <m/>
    <m/>
    <n v="863358"/>
    <n v="837457"/>
    <n v="0"/>
    <n v="0"/>
    <n v="93600"/>
    <n v="504800"/>
    <n v="598400"/>
    <n v="132535.48800000001"/>
    <n v="88356.992000000013"/>
    <n v="6651.6369019339227"/>
    <n v="53304.018704533402"/>
    <n v="50438.379078999998"/>
    <n v="-652.44659999999999"/>
    <n v="213193.85808000001"/>
    <n v="0"/>
    <n v="0"/>
    <n v="33747.785636000001"/>
    <n v="0"/>
    <n v="482600"/>
    <n v="95000"/>
    <n v="577600"/>
    <n v="-3.4759358288770054E-2"/>
    <n v="0.99970000000000003"/>
    <n v="1"/>
    <n v="1.0007999999999999"/>
    <n v="1"/>
    <n v="1.0022"/>
    <n v="0.94971499999999998"/>
    <n v="0.95256581649839989"/>
    <n v="476300"/>
    <n v="0"/>
    <n v="476300"/>
    <n v="90200"/>
    <n v="566500"/>
    <n v="-5.6458003169572106E-2"/>
    <n v="-3.6324786324786328E-2"/>
    <n v="-5.3308823529411763E-2"/>
  </r>
  <r>
    <n v="2025"/>
    <s v="19120112485    "/>
    <n v="0.53062825106217038"/>
    <n v="1.7"/>
    <m/>
    <s v="2"/>
    <s v="RES"/>
    <s v="MX"/>
    <s v="11"/>
    <s v="259"/>
    <s v="CP"/>
    <x v="5"/>
    <s v="VG"/>
    <n v="20"/>
    <n v="29"/>
    <n v="29"/>
    <n v="1995"/>
    <n v="1995"/>
    <n v="2883"/>
    <m/>
    <m/>
    <m/>
    <m/>
    <n v="0"/>
    <n v="2883"/>
    <n v="3000"/>
    <s v="B"/>
    <m/>
    <m/>
    <m/>
    <m/>
    <m/>
    <m/>
    <m/>
    <n v="598782"/>
    <n v="520940"/>
    <n v="48061"/>
    <n v="0"/>
    <n v="93900"/>
    <n v="383600"/>
    <n v="477500"/>
    <n v="132535.48800000001"/>
    <n v="88356.992000000013"/>
    <n v="6964.1354986085153"/>
    <n v="32917.849192000001"/>
    <n v="50438.379078999998"/>
    <n v="-3153.4919"/>
    <n v="179929.12554000001"/>
    <n v="0"/>
    <n v="0"/>
    <n v="0"/>
    <n v="48100"/>
    <n v="392700"/>
    <n v="95300"/>
    <n v="536100"/>
    <n v="0.12272251308900524"/>
    <n v="0.99970000000000003"/>
    <n v="1.0019"/>
    <n v="1.0007999999999999"/>
    <n v="1.0099"/>
    <n v="1.0138"/>
    <n v="0.94971499999999998"/>
    <n v="0.97497982662787419"/>
    <n v="389400"/>
    <n v="45600"/>
    <n v="435000"/>
    <n v="90500"/>
    <n v="525500"/>
    <n v="0.13399374348279458"/>
    <n v="-3.6208732694355698E-2"/>
    <n v="0.10052356020942409"/>
  </r>
  <r>
    <n v="2025"/>
    <s v="19133542401    "/>
    <n v="0.55961578793542266"/>
    <n v="1.75"/>
    <m/>
    <s v="2"/>
    <s v="RES"/>
    <s v="MX"/>
    <s v="11"/>
    <s v="259"/>
    <s v="CO"/>
    <x v="4"/>
    <s v="GD"/>
    <n v="10"/>
    <n v="19"/>
    <n v="19"/>
    <n v="2005"/>
    <n v="2005"/>
    <n v="1248"/>
    <n v="1248"/>
    <m/>
    <m/>
    <m/>
    <n v="0"/>
    <n v="2496"/>
    <n v="2500"/>
    <s v="N"/>
    <m/>
    <m/>
    <m/>
    <m/>
    <m/>
    <m/>
    <m/>
    <n v="392775"/>
    <n v="357425"/>
    <n v="152266"/>
    <n v="0"/>
    <n v="94300"/>
    <n v="458500"/>
    <n v="552800"/>
    <n v="132535.48800000001"/>
    <n v="88356.992000000013"/>
    <n v="7344.5772375324141"/>
    <n v="37154.252388000001"/>
    <n v="30300.329274"/>
    <n v="-2066.0808999999999"/>
    <n v="77888.154240000003"/>
    <n v="74356.317983999994"/>
    <n v="0"/>
    <n v="0"/>
    <n v="152300"/>
    <n v="350200"/>
    <n v="95700"/>
    <n v="598200"/>
    <n v="8.2127351664254708E-2"/>
    <n v="0.99970000000000003"/>
    <n v="0.99819999999999998"/>
    <n v="0.997"/>
    <n v="1.0008999999999999"/>
    <n v="0.99080000000000001"/>
    <n v="0.94971499999999998"/>
    <n v="0.93730883010318289"/>
    <n v="341900"/>
    <n v="144600"/>
    <n v="486500"/>
    <n v="90900"/>
    <n v="577400"/>
    <n v="6.1068702290076333E-2"/>
    <n v="-3.6055143160127257E-2"/>
    <n v="4.4500723589001444E-2"/>
  </r>
  <r>
    <n v="2025"/>
    <s v="20120643405    "/>
    <n v="0.57661336430399379"/>
    <n v="1.78"/>
    <m/>
    <s v="2"/>
    <s v="RES"/>
    <s v="MX"/>
    <s v="11"/>
    <s v="259"/>
    <s v="FH"/>
    <x v="0"/>
    <s v="AV"/>
    <n v="100"/>
    <n v="104"/>
    <n v="58"/>
    <n v="1920"/>
    <n v="1966"/>
    <n v="1008"/>
    <n v="664"/>
    <n v="780"/>
    <m/>
    <m/>
    <n v="780"/>
    <n v="1672"/>
    <n v="2000"/>
    <s v="N"/>
    <m/>
    <m/>
    <m/>
    <m/>
    <m/>
    <m/>
    <m/>
    <n v="282829"/>
    <n v="175354"/>
    <n v="40843"/>
    <n v="0"/>
    <n v="94600"/>
    <n v="259200"/>
    <n v="353800"/>
    <n v="132535.48800000001"/>
    <n v="88356.992000000013"/>
    <n v="7567.6588860155562"/>
    <n v="24371.765965999999"/>
    <n v="17761.121909000001"/>
    <n v="-6306.9838"/>
    <n v="62909.663040000007"/>
    <n v="39561.374312"/>
    <n v="48817.46688"/>
    <n v="0"/>
    <n v="40800"/>
    <n v="319600"/>
    <n v="95900"/>
    <n v="456300"/>
    <n v="0.28971170152628606"/>
    <n v="0.99970000000000003"/>
    <n v="0.99199999999999999"/>
    <n v="0.99680000000000002"/>
    <n v="1.0007999999999999"/>
    <n v="0.98240000000000005"/>
    <n v="0.94971499999999998"/>
    <n v="0.92331236006170647"/>
    <n v="309500"/>
    <n v="38800"/>
    <n v="348300"/>
    <n v="91100"/>
    <n v="439400"/>
    <n v="0.34375"/>
    <n v="-3.699788583509514E-2"/>
    <n v="0.24194460146975694"/>
  </r>
  <r>
    <n v="2025"/>
    <s v="19120221003    "/>
    <n v="0.61518563909023349"/>
    <n v="1.85"/>
    <n v="80769"/>
    <s v="2"/>
    <s v="RES"/>
    <s v="MX"/>
    <s v="11"/>
    <s v="259"/>
    <s v="TD"/>
    <x v="1"/>
    <s v="GD"/>
    <n v="110"/>
    <n v="117"/>
    <n v="69"/>
    <n v="1907"/>
    <n v="1955"/>
    <n v="1734"/>
    <m/>
    <m/>
    <m/>
    <m/>
    <n v="0"/>
    <n v="1734"/>
    <n v="2000"/>
    <s v="N"/>
    <m/>
    <m/>
    <m/>
    <m/>
    <m/>
    <m/>
    <m/>
    <n v="226928"/>
    <n v="129349"/>
    <n v="35979"/>
    <n v="0"/>
    <n v="95100"/>
    <n v="227000"/>
    <n v="322100"/>
    <n v="132535.48800000001"/>
    <n v="88356.992000000013"/>
    <n v="8073.8938020103724"/>
    <n v="0"/>
    <n v="30300.329274"/>
    <n v="-7503.1359000000002"/>
    <n v="108219.59892"/>
    <n v="0"/>
    <n v="0"/>
    <n v="0"/>
    <n v="36000"/>
    <n v="263600"/>
    <n v="96400"/>
    <n v="396000"/>
    <n v="0.22943185346165787"/>
    <n v="0.99970000000000003"/>
    <n v="1.0003"/>
    <n v="0.997"/>
    <n v="1.0007999999999999"/>
    <n v="1"/>
    <n v="0.94971499999999998"/>
    <n v="0.94790763468830508"/>
    <n v="256600"/>
    <n v="34200"/>
    <n v="290800"/>
    <n v="91600"/>
    <n v="382400"/>
    <n v="0.28105726872246695"/>
    <n v="-3.6803364879074658E-2"/>
    <n v="0.18720894132257063"/>
  </r>
  <r>
    <n v="2025"/>
    <s v="19133614008    "/>
    <n v="0.62593843086649537"/>
    <n v="1.87"/>
    <n v="81614"/>
    <s v="2"/>
    <s v="RES"/>
    <s v="MX"/>
    <s v="11"/>
    <s v="259"/>
    <s v="CP"/>
    <x v="8"/>
    <s v="VG"/>
    <n v="0"/>
    <n v="6"/>
    <n v="6"/>
    <n v="2018"/>
    <n v="2018"/>
    <n v="2936"/>
    <m/>
    <m/>
    <m/>
    <m/>
    <n v="0"/>
    <n v="2936"/>
    <n v="3000"/>
    <s v="S"/>
    <n v="1"/>
    <n v="720"/>
    <m/>
    <m/>
    <m/>
    <m/>
    <m/>
    <n v="731165"/>
    <n v="709230"/>
    <n v="0"/>
    <n v="0"/>
    <n v="95300"/>
    <n v="456200"/>
    <n v="551500"/>
    <n v="132535.48800000001"/>
    <n v="88356.992000000013"/>
    <n v="8215.0168929281936"/>
    <n v="53304.018704533402"/>
    <n v="50438.379078999998"/>
    <n v="-652.44659999999999"/>
    <n v="183236.87568"/>
    <n v="0"/>
    <n v="0"/>
    <n v="25416.742320000001"/>
    <n v="0"/>
    <n v="444300"/>
    <n v="96600"/>
    <n v="540900"/>
    <n v="-1.9220308250226654E-2"/>
    <n v="0.99970000000000003"/>
    <n v="1"/>
    <n v="1.0007999999999999"/>
    <n v="1.0099"/>
    <n v="1.0022"/>
    <n v="0.94971499999999998"/>
    <n v="0.96199621808173397"/>
    <n v="439200"/>
    <n v="0"/>
    <n v="439200"/>
    <n v="91700"/>
    <n v="530900"/>
    <n v="-3.7264357737834285E-2"/>
    <n v="-3.7775445960125921E-2"/>
    <n v="-3.7352674524025388E-2"/>
  </r>
  <r>
    <n v="2025"/>
    <s v="19133514404    "/>
    <n v="0.636576829071551"/>
    <n v="1.89"/>
    <n v="82480"/>
    <s v="2"/>
    <s v="RES"/>
    <s v="MX"/>
    <s v="11"/>
    <s v="259"/>
    <s v="CP"/>
    <x v="5"/>
    <s v="VG"/>
    <n v="20"/>
    <n v="21"/>
    <n v="21"/>
    <n v="2003"/>
    <n v="2003"/>
    <n v="2385"/>
    <m/>
    <m/>
    <m/>
    <m/>
    <n v="0"/>
    <n v="2385"/>
    <n v="2500"/>
    <s v="B"/>
    <m/>
    <n v="600"/>
    <m/>
    <m/>
    <m/>
    <m/>
    <m/>
    <n v="519905"/>
    <n v="478313"/>
    <n v="0"/>
    <n v="0"/>
    <n v="95400"/>
    <n v="351100"/>
    <n v="446500"/>
    <n v="132535.48800000001"/>
    <n v="88356.992000000013"/>
    <n v="8354.6386458971665"/>
    <n v="32917.849192000001"/>
    <n v="50438.379078999998"/>
    <n v="-2283.5630999999998"/>
    <n v="148848.75630000001"/>
    <n v="0"/>
    <n v="0"/>
    <n v="21180.618600000002"/>
    <n v="0"/>
    <n v="383600"/>
    <n v="96700"/>
    <n v="480300"/>
    <n v="7.5699888017917133E-2"/>
    <n v="0.99970000000000003"/>
    <n v="1.0019"/>
    <n v="1.0007999999999999"/>
    <n v="1.0008999999999999"/>
    <n v="1.0138"/>
    <n v="0.94971499999999998"/>
    <n v="0.9662910273015537"/>
    <n v="379200"/>
    <n v="0"/>
    <n v="379200"/>
    <n v="91800"/>
    <n v="471000"/>
    <n v="8.0034178296781541E-2"/>
    <n v="-3.7735849056603772E-2"/>
    <n v="5.4871220604703244E-2"/>
  </r>
  <r>
    <n v="2025"/>
    <s v="19133511403    "/>
    <n v="0.67294447324242579"/>
    <n v="1.96"/>
    <n v="85174"/>
    <s v="2"/>
    <s v="RES"/>
    <s v="MX"/>
    <s v="11"/>
    <s v="259"/>
    <s v="CP"/>
    <x v="5"/>
    <s v="GD"/>
    <n v="20"/>
    <n v="26"/>
    <n v="26"/>
    <n v="1998"/>
    <n v="1998"/>
    <n v="1511"/>
    <m/>
    <n v="624"/>
    <m/>
    <n v="624"/>
    <n v="0"/>
    <n v="2135"/>
    <n v="2500"/>
    <s v="N"/>
    <m/>
    <n v="806"/>
    <m/>
    <m/>
    <m/>
    <m/>
    <m/>
    <n v="453627"/>
    <n v="403728"/>
    <n v="67757"/>
    <n v="0"/>
    <n v="95900"/>
    <n v="379800"/>
    <n v="475700"/>
    <n v="132535.48800000001"/>
    <n v="88356.992000000013"/>
    <n v="8831.9392820095072"/>
    <n v="32917.849192000001"/>
    <n v="30300.329274"/>
    <n v="-2827.2685999999999"/>
    <n v="94302.084180000005"/>
    <n v="0"/>
    <n v="39053.973504000001"/>
    <n v="28452.630986"/>
    <n v="67800"/>
    <n v="354700"/>
    <n v="97200"/>
    <n v="519700"/>
    <n v="9.2495270128232082E-2"/>
    <n v="0.99970000000000003"/>
    <n v="1.0019"/>
    <n v="0.997"/>
    <n v="1.0008999999999999"/>
    <n v="1.0138"/>
    <n v="0.94971499999999998"/>
    <n v="0.96262205657438948"/>
    <n v="349800"/>
    <n v="64300"/>
    <n v="414100"/>
    <n v="92300"/>
    <n v="506400"/>
    <n v="9.0310689836756192E-2"/>
    <n v="-3.7539103232533892E-2"/>
    <n v="6.4536472566743747E-2"/>
  </r>
  <r>
    <n v="2025"/>
    <s v="19133644413    "/>
    <n v="0.67294447324242579"/>
    <n v="1.96"/>
    <m/>
    <s v="2"/>
    <s v="RES"/>
    <s v="MX"/>
    <s v="11"/>
    <s v="259"/>
    <s v="CP"/>
    <x v="5"/>
    <s v="VG"/>
    <n v="0"/>
    <n v="6"/>
    <n v="6"/>
    <n v="2018"/>
    <n v="2018"/>
    <n v="2296"/>
    <m/>
    <m/>
    <m/>
    <m/>
    <n v="0"/>
    <n v="2296"/>
    <n v="2500"/>
    <s v="N"/>
    <n v="1"/>
    <n v="576"/>
    <m/>
    <m/>
    <m/>
    <m/>
    <m/>
    <n v="503699"/>
    <n v="483551"/>
    <n v="0"/>
    <n v="0"/>
    <n v="95900"/>
    <n v="381500"/>
    <n v="477400"/>
    <n v="132535.48800000001"/>
    <n v="88356.992000000013"/>
    <n v="8831.9392820095072"/>
    <n v="32917.849192000001"/>
    <n v="50438.379078999998"/>
    <n v="-652.44659999999999"/>
    <n v="143294.23248000001"/>
    <n v="0"/>
    <n v="0"/>
    <n v="20333.393856000002"/>
    <n v="0"/>
    <n v="378900"/>
    <n v="97200"/>
    <n v="476100"/>
    <n v="-2.7230833682446586E-3"/>
    <n v="0.99970000000000003"/>
    <n v="1.0019"/>
    <n v="1.0007999999999999"/>
    <n v="1.0008999999999999"/>
    <n v="1.0022"/>
    <n v="0.94971499999999998"/>
    <n v="0.95523462967214157"/>
    <n v="372900"/>
    <n v="0"/>
    <n v="372900"/>
    <n v="92300"/>
    <n v="465200"/>
    <n v="-2.2542595019659238E-2"/>
    <n v="-3.7539103232533892E-2"/>
    <n v="-2.5555090071219103E-2"/>
  </r>
  <r>
    <n v="2025"/>
    <s v="20121022407    "/>
    <n v="0.69314718055994529"/>
    <n v="2"/>
    <m/>
    <s v="2"/>
    <s v="RES"/>
    <s v="MX"/>
    <s v="11"/>
    <s v="331"/>
    <s v="CU"/>
    <x v="9"/>
    <s v="VG"/>
    <n v="10"/>
    <n v="17"/>
    <n v="17"/>
    <n v="2007"/>
    <n v="2007"/>
    <n v="2445"/>
    <n v="1153"/>
    <m/>
    <m/>
    <m/>
    <n v="0"/>
    <n v="3598"/>
    <n v="4000"/>
    <s v="S"/>
    <m/>
    <n v="941"/>
    <m/>
    <m/>
    <n v="66"/>
    <m/>
    <m/>
    <n v="1122272"/>
    <n v="707031"/>
    <n v="88848"/>
    <n v="0"/>
    <n v="65000"/>
    <n v="726900"/>
    <n v="791900"/>
    <n v="132535.48800000001"/>
    <n v="88356.992000000013"/>
    <n v="9097.0860979136814"/>
    <n v="71137.786194647706"/>
    <n v="50438.379078999998"/>
    <n v="-1848.5987"/>
    <n v="152593.37910000002"/>
    <n v="68696.181599000003"/>
    <n v="0"/>
    <n v="33218.270171000004"/>
    <n v="88800"/>
    <n v="506800"/>
    <n v="97500"/>
    <n v="693100"/>
    <n v="-0.12476322768026266"/>
    <n v="0.99970000000000003"/>
    <n v="1"/>
    <n v="1.0007999999999999"/>
    <n v="1"/>
    <n v="0.99080000000000001"/>
    <n v="0.94971499999999998"/>
    <n v="0.94173040409759978"/>
    <n v="499000"/>
    <n v="84400"/>
    <n v="583400"/>
    <n v="92600"/>
    <n v="676000"/>
    <n v="-0.19741367450818545"/>
    <n v="0.42461538461538462"/>
    <n v="-0.14635686324030811"/>
  </r>
  <r>
    <n v="2025"/>
    <s v="19133632402    "/>
    <n v="0.69314718055994529"/>
    <n v="2"/>
    <m/>
    <s v="2"/>
    <s v="RES"/>
    <s v="MX"/>
    <s v="11"/>
    <s v="259"/>
    <s v="CP"/>
    <x v="4"/>
    <s v="GD"/>
    <n v="20"/>
    <n v="27"/>
    <n v="27"/>
    <n v="1997"/>
    <n v="1997"/>
    <n v="1861"/>
    <m/>
    <m/>
    <m/>
    <m/>
    <n v="0"/>
    <n v="1861"/>
    <n v="2000"/>
    <s v="B"/>
    <n v="1"/>
    <m/>
    <m/>
    <m/>
    <m/>
    <m/>
    <m/>
    <n v="325573"/>
    <n v="286504"/>
    <n v="57879"/>
    <n v="0"/>
    <n v="96200"/>
    <n v="331900"/>
    <n v="428100"/>
    <n v="132535.48800000001"/>
    <n v="88356.992000000013"/>
    <n v="9097.0860979136814"/>
    <n v="37154.252388000001"/>
    <n v="30300.329274"/>
    <n v="-2936.0097000000001"/>
    <n v="116145.71718000001"/>
    <n v="0"/>
    <n v="0"/>
    <n v="0"/>
    <n v="57900"/>
    <n v="313200"/>
    <n v="97500"/>
    <n v="468600"/>
    <n v="9.4604064470918015E-2"/>
    <n v="0.99970000000000003"/>
    <n v="0.99819999999999998"/>
    <n v="0.997"/>
    <n v="1.0007999999999999"/>
    <n v="1.0138"/>
    <n v="0.94971499999999998"/>
    <n v="0.95897128889225147"/>
    <n v="307800"/>
    <n v="55000"/>
    <n v="362800"/>
    <n v="92600"/>
    <n v="455400"/>
    <n v="9.3100331425128052E-2"/>
    <n v="-3.7422037422037424E-2"/>
    <n v="6.3770147161878066E-2"/>
  </r>
  <r>
    <n v="2025"/>
    <s v="19133623401    "/>
    <n v="0.69314718055994529"/>
    <n v="2"/>
    <m/>
    <s v="2"/>
    <s v="RES"/>
    <s v="MX"/>
    <s v="11"/>
    <s v="259"/>
    <s v="FH"/>
    <x v="0"/>
    <s v="AV"/>
    <n v="80"/>
    <n v="89"/>
    <n v="53"/>
    <n v="1935"/>
    <n v="1971"/>
    <n v="1120"/>
    <n v="746"/>
    <m/>
    <m/>
    <m/>
    <n v="0"/>
    <n v="1866"/>
    <n v="2000"/>
    <s v="N"/>
    <m/>
    <m/>
    <m/>
    <m/>
    <m/>
    <m/>
    <m/>
    <n v="279461"/>
    <n v="187239"/>
    <n v="13428"/>
    <n v="0"/>
    <n v="96200"/>
    <n v="258600"/>
    <n v="354800"/>
    <n v="132535.48800000001"/>
    <n v="88356.992000000013"/>
    <n v="9097.0860979136814"/>
    <n v="24371.765965999999"/>
    <n v="17761.121909000001"/>
    <n v="-5763.2782999999999"/>
    <n v="69899.625599999999"/>
    <n v="44446.965717999999"/>
    <n v="0"/>
    <n v="0"/>
    <n v="13400"/>
    <n v="283300"/>
    <n v="97500"/>
    <n v="394200"/>
    <n v="0.11104847801578353"/>
    <n v="0.99970000000000003"/>
    <n v="0.99199999999999999"/>
    <n v="0.99680000000000002"/>
    <n v="1.0007999999999999"/>
    <n v="1"/>
    <n v="0.94971499999999998"/>
    <n v="0.93985378670776309"/>
    <n v="275300"/>
    <n v="12800"/>
    <n v="288100"/>
    <n v="92600"/>
    <n v="380700"/>
    <n v="0.11407579273008507"/>
    <n v="-3.7422037422037424E-2"/>
    <n v="7.2998872604284101E-2"/>
  </r>
  <r>
    <n v="2025"/>
    <s v="19120212406    "/>
    <n v="0.70803579305369591"/>
    <n v="2.0299999999999998"/>
    <m/>
    <s v="2"/>
    <s v="RES"/>
    <s v="MX"/>
    <s v="11"/>
    <s v="259"/>
    <s v="RN"/>
    <x v="4"/>
    <s v="AV"/>
    <n v="40"/>
    <n v="46"/>
    <n v="44"/>
    <n v="1978"/>
    <n v="1980"/>
    <n v="1848"/>
    <m/>
    <m/>
    <m/>
    <m/>
    <n v="0"/>
    <n v="1848"/>
    <n v="2000"/>
    <s v="N"/>
    <m/>
    <n v="984"/>
    <m/>
    <m/>
    <m/>
    <m/>
    <m/>
    <n v="370869"/>
    <n v="289278"/>
    <n v="7615"/>
    <n v="0"/>
    <n v="96400"/>
    <n v="302700"/>
    <n v="399100"/>
    <n v="132535.48800000001"/>
    <n v="88356.992000000013"/>
    <n v="9292.4890275262751"/>
    <n v="37154.252388000001"/>
    <n v="17761.121909000001"/>
    <n v="-4784.6084000000001"/>
    <n v="115334.38224000001"/>
    <n v="0"/>
    <n v="0"/>
    <n v="34736.214504000003"/>
    <n v="7600"/>
    <n v="332700"/>
    <n v="97600"/>
    <n v="437900"/>
    <n v="9.721874216988223E-2"/>
    <n v="0.99970000000000003"/>
    <n v="0.99819999999999998"/>
    <n v="0.99680000000000002"/>
    <n v="1.0007999999999999"/>
    <n v="0.95689999999999997"/>
    <n v="0.94971499999999998"/>
    <n v="0.90496700155378773"/>
    <n v="320100"/>
    <n v="7200"/>
    <n v="327300"/>
    <n v="92700"/>
    <n v="420000"/>
    <n v="8.126858275520317E-2"/>
    <n v="-3.8381742738589214E-2"/>
    <n v="5.2367827612127285E-2"/>
  </r>
  <r>
    <n v="2025"/>
    <s v="20120643404    "/>
    <n v="0.70803579305369591"/>
    <n v="2.0299999999999998"/>
    <m/>
    <s v="2"/>
    <s v="RES"/>
    <s v="MX"/>
    <s v="11"/>
    <s v=""/>
    <s v="CA"/>
    <x v="1"/>
    <s v="AV"/>
    <n v="90"/>
    <n v="94"/>
    <n v="94"/>
    <n v="1930"/>
    <n v="1930"/>
    <n v="648"/>
    <m/>
    <m/>
    <m/>
    <m/>
    <n v="0"/>
    <n v="648"/>
    <n v="1000"/>
    <s v="N"/>
    <m/>
    <m/>
    <m/>
    <m/>
    <m/>
    <m/>
    <m/>
    <n v="78177"/>
    <n v="42997"/>
    <n v="4509"/>
    <n v="0"/>
    <n v="96400"/>
    <n v="113100"/>
    <n v="209500"/>
    <n v="132535.48800000001"/>
    <n v="88356.992000000013"/>
    <n v="9292.4890275262751"/>
    <n v="0"/>
    <n v="17761.121909000001"/>
    <n v="-10221.663399999999"/>
    <n v="40441.926240000001"/>
    <n v="0"/>
    <n v="0"/>
    <n v="0"/>
    <n v="4500"/>
    <n v="180500"/>
    <n v="97600"/>
    <n v="282600"/>
    <n v="0.34892601431980907"/>
    <n v="0.99970000000000003"/>
    <n v="1.0003"/>
    <n v="0.99680000000000002"/>
    <n v="1"/>
    <n v="0.99960000000000004"/>
    <n v="0.94971499999999998"/>
    <n v="0.94658113080769057"/>
    <n v="173400"/>
    <n v="4300"/>
    <n v="177700"/>
    <n v="92700"/>
    <n v="270400"/>
    <n v="0.57117595048629533"/>
    <n v="-3.8381742738589214E-2"/>
    <n v="0.29069212410501194"/>
  </r>
  <r>
    <n v="2025"/>
    <s v="19133411002    "/>
    <n v="0.71294980785612505"/>
    <n v="2.04"/>
    <n v="88952"/>
    <s v="2"/>
    <s v="RES"/>
    <s v="MX"/>
    <s v="11"/>
    <s v="181"/>
    <s v="TD"/>
    <x v="2"/>
    <s v="AV"/>
    <n v="90"/>
    <n v="94"/>
    <n v="54"/>
    <n v="1930"/>
    <n v="1970"/>
    <n v="1514"/>
    <m/>
    <n v="96"/>
    <m/>
    <m/>
    <n v="96"/>
    <n v="1514"/>
    <n v="2000"/>
    <s v="N"/>
    <m/>
    <m/>
    <m/>
    <m/>
    <m/>
    <m/>
    <m/>
    <n v="212282"/>
    <n v="140106"/>
    <n v="11940"/>
    <n v="0"/>
    <n v="96500"/>
    <n v="210100"/>
    <n v="306600"/>
    <n v="132535.48800000001"/>
    <n v="88356.992000000013"/>
    <n v="9356.9821351921073"/>
    <n v="-1240.8083630000001"/>
    <n v="17761.121909000001"/>
    <n v="-5872.0194000000001"/>
    <n v="94489.315320000009"/>
    <n v="0"/>
    <n v="6008.3036159999992"/>
    <n v="0"/>
    <n v="11900"/>
    <n v="243700"/>
    <n v="97700"/>
    <n v="353300"/>
    <n v="0.15231572080887149"/>
    <n v="0.99970000000000003"/>
    <n v="1.0022"/>
    <n v="0.99680000000000002"/>
    <n v="1.0007999999999999"/>
    <n v="0.99960000000000004"/>
    <n v="0.94971499999999998"/>
    <n v="0.94913779884325078"/>
    <n v="236900"/>
    <n v="11300"/>
    <n v="248200"/>
    <n v="92800"/>
    <n v="341000"/>
    <n v="0.18134221799143266"/>
    <n v="-3.8341968911917101E-2"/>
    <n v="0.11219830397912589"/>
  </r>
  <r>
    <n v="2025"/>
    <s v="19133624013    "/>
    <n v="0.72270598280148979"/>
    <n v="2.06"/>
    <n v="89856"/>
    <s v="2"/>
    <s v="RES"/>
    <s v="MX"/>
    <s v="11"/>
    <s v="259"/>
    <s v="CP"/>
    <x v="5"/>
    <s v="VG"/>
    <n v="10"/>
    <n v="14"/>
    <n v="14"/>
    <n v="2010"/>
    <n v="2010"/>
    <n v="2251"/>
    <m/>
    <m/>
    <m/>
    <m/>
    <n v="0"/>
    <n v="2251"/>
    <n v="2500"/>
    <s v="N"/>
    <n v="1"/>
    <n v="704"/>
    <m/>
    <m/>
    <m/>
    <m/>
    <m/>
    <n v="496695"/>
    <n v="466893"/>
    <n v="4759"/>
    <n v="0"/>
    <n v="96600"/>
    <n v="372800"/>
    <n v="469400"/>
    <n v="132535.48800000001"/>
    <n v="88356.992000000013"/>
    <n v="9485.0253069072314"/>
    <n v="32917.849192000001"/>
    <n v="50438.379078999998"/>
    <n v="-1522.3754000000001"/>
    <n v="140485.76538"/>
    <n v="0"/>
    <n v="0"/>
    <n v="24851.925824000002"/>
    <n v="4800"/>
    <n v="379700"/>
    <n v="97800"/>
    <n v="482300"/>
    <n v="2.748189177673626E-2"/>
    <n v="0.99970000000000003"/>
    <n v="1.0019"/>
    <n v="1.0007999999999999"/>
    <n v="1.0008999999999999"/>
    <n v="0.99080000000000001"/>
    <n v="0.94971499999999998"/>
    <n v="0.94436885958806405"/>
    <n v="372300"/>
    <n v="4500"/>
    <n v="376800"/>
    <n v="92900"/>
    <n v="469700"/>
    <n v="1.0729613733905579E-2"/>
    <n v="-3.8302277432712216E-2"/>
    <n v="6.3911376224968044E-4"/>
  </r>
  <r>
    <n v="2025"/>
    <s v="19133624011    "/>
    <n v="0.73236789371322664"/>
    <n v="2.08"/>
    <n v="90597"/>
    <s v="2"/>
    <s v="RES"/>
    <s v="MX"/>
    <s v="11"/>
    <s v="259"/>
    <s v="RN"/>
    <x v="0"/>
    <s v="GD"/>
    <n v="50"/>
    <n v="53"/>
    <n v="46"/>
    <n v="1971"/>
    <n v="1978"/>
    <n v="1984"/>
    <m/>
    <m/>
    <m/>
    <m/>
    <n v="0"/>
    <n v="1984"/>
    <n v="2000"/>
    <s v="N"/>
    <m/>
    <m/>
    <m/>
    <m/>
    <m/>
    <m/>
    <m/>
    <n v="305487"/>
    <n v="235225"/>
    <n v="8183"/>
    <n v="0"/>
    <n v="96800"/>
    <n v="267500"/>
    <n v="364300"/>
    <n v="132535.48800000001"/>
    <n v="88356.992000000013"/>
    <n v="9611.831327186268"/>
    <n v="24371.765965999999"/>
    <n v="30300.329274"/>
    <n v="-5002.0906000000004"/>
    <n v="123822.19392000001"/>
    <n v="0"/>
    <n v="0"/>
    <n v="0"/>
    <n v="8200"/>
    <n v="306000"/>
    <n v="98000"/>
    <n v="412200"/>
    <n v="0.1314850398023607"/>
    <n v="0.99970000000000003"/>
    <n v="0.99199999999999999"/>
    <n v="0.997"/>
    <n v="1.0007999999999999"/>
    <n v="1.0470999999999999"/>
    <n v="0.94971499999999998"/>
    <n v="0.9843183561010368"/>
    <n v="303900"/>
    <n v="7800"/>
    <n v="311700"/>
    <n v="93000"/>
    <n v="404700"/>
    <n v="0.16523364485981309"/>
    <n v="-3.9256198347107439E-2"/>
    <n v="0.1108976118583585"/>
  </r>
  <r>
    <n v="2025"/>
    <s v="19120213016    "/>
    <n v="0.73716406597671957"/>
    <n v="2.09"/>
    <n v="91008"/>
    <s v="2"/>
    <s v="RES"/>
    <s v="MX"/>
    <s v="11"/>
    <s v="259"/>
    <s v="CP"/>
    <x v="5"/>
    <s v="GD"/>
    <n v="30"/>
    <n v="34"/>
    <n v="34"/>
    <n v="1990"/>
    <n v="1990"/>
    <n v="1769"/>
    <m/>
    <m/>
    <m/>
    <m/>
    <n v="0"/>
    <n v="1769"/>
    <n v="2000"/>
    <s v="N"/>
    <m/>
    <n v="986"/>
    <m/>
    <m/>
    <m/>
    <m/>
    <m/>
    <n v="416398"/>
    <n v="353938"/>
    <n v="0"/>
    <n v="0"/>
    <n v="96800"/>
    <n v="322200"/>
    <n v="419000"/>
    <n v="132535.48800000001"/>
    <n v="88356.992000000013"/>
    <n v="9674.7778315436462"/>
    <n v="32917.849192000001"/>
    <n v="30300.329274"/>
    <n v="-3697.1974"/>
    <n v="110403.96222"/>
    <n v="0"/>
    <n v="0"/>
    <n v="34806.816566000001"/>
    <n v="0"/>
    <n v="337300"/>
    <n v="98000"/>
    <n v="435300"/>
    <n v="3.8902147971360379E-2"/>
    <n v="0.99970000000000003"/>
    <n v="1.0019"/>
    <n v="0.997"/>
    <n v="1.0007999999999999"/>
    <n v="0.95920000000000005"/>
    <n v="0.94971499999999998"/>
    <n v="0.91068733969717985"/>
    <n v="325400"/>
    <n v="0"/>
    <n v="325400"/>
    <n v="93100"/>
    <n v="418500"/>
    <n v="9.9317194289261328E-3"/>
    <n v="-3.8223140495867766E-2"/>
    <n v="-1.1933174224343676E-3"/>
  </r>
  <r>
    <n v="2025"/>
    <s v="19120213404    "/>
    <n v="0.82417544296634937"/>
    <n v="2.2799999999999998"/>
    <n v="99438"/>
    <s v="2"/>
    <s v="RES"/>
    <s v="MX"/>
    <s v="11"/>
    <s v="400"/>
    <s v="CO"/>
    <x v="2"/>
    <s v="GD"/>
    <n v="100"/>
    <n v="104"/>
    <n v="58"/>
    <n v="1920"/>
    <n v="1966"/>
    <n v="966"/>
    <n v="250"/>
    <m/>
    <m/>
    <m/>
    <n v="0"/>
    <n v="1216"/>
    <n v="1500"/>
    <s v="N"/>
    <m/>
    <m/>
    <m/>
    <m/>
    <m/>
    <m/>
    <m/>
    <n v="189926"/>
    <n v="121553"/>
    <n v="3740"/>
    <n v="0"/>
    <n v="98100"/>
    <n v="197100"/>
    <n v="295200"/>
    <n v="132535.48800000001"/>
    <n v="88356.992000000013"/>
    <n v="10816.743073807562"/>
    <n v="-1240.8083630000001"/>
    <n v="30300.329274"/>
    <n v="-6306.9838"/>
    <n v="60288.427080000001"/>
    <n v="14895.095749999999"/>
    <n v="0"/>
    <n v="0"/>
    <n v="3700"/>
    <n v="230500"/>
    <n v="99200"/>
    <n v="333400"/>
    <n v="0.12940379403794039"/>
    <n v="0.99970000000000003"/>
    <n v="1.0022"/>
    <n v="0.997"/>
    <n v="0.99519999999999997"/>
    <n v="0.98240000000000005"/>
    <n v="0.94971499999999998"/>
    <n v="0.92777267038779632"/>
    <n v="220900"/>
    <n v="3600"/>
    <n v="224500"/>
    <n v="94200"/>
    <n v="318700"/>
    <n v="0.13901572805682394"/>
    <n v="-3.9755351681957186E-2"/>
    <n v="7.9607046070460707E-2"/>
  </r>
  <r>
    <n v="2025"/>
    <s v="19120222411    "/>
    <n v="0.84156718567821853"/>
    <n v="2.3199999999999998"/>
    <m/>
    <s v="2"/>
    <s v="RES"/>
    <s v="MX"/>
    <s v="11"/>
    <s v="259"/>
    <s v="CO"/>
    <x v="0"/>
    <s v="AV"/>
    <n v="50"/>
    <n v="54"/>
    <n v="47"/>
    <n v="1970"/>
    <n v="1977"/>
    <n v="1360"/>
    <n v="1360"/>
    <m/>
    <m/>
    <m/>
    <n v="0"/>
    <n v="2720"/>
    <n v="3000"/>
    <s v="N"/>
    <m/>
    <m/>
    <m/>
    <m/>
    <m/>
    <m/>
    <m/>
    <n v="397668"/>
    <n v="294274"/>
    <n v="57563"/>
    <n v="0"/>
    <n v="98300"/>
    <n v="383300"/>
    <n v="481600"/>
    <n v="132535.48800000001"/>
    <n v="88356.992000000013"/>
    <n v="11044.997887907542"/>
    <n v="24371.765965999999"/>
    <n v="17761.121909000001"/>
    <n v="-5110.8316999999997"/>
    <n v="84878.116800000003"/>
    <n v="81029.320879999999"/>
    <n v="0"/>
    <n v="0"/>
    <n v="57600"/>
    <n v="335500"/>
    <n v="99400"/>
    <n v="492500"/>
    <n v="2.2632890365448504E-2"/>
    <n v="0.99970000000000003"/>
    <n v="0.99199999999999999"/>
    <n v="0.99680000000000002"/>
    <n v="1.0099"/>
    <n v="1.0470999999999999"/>
    <n v="0.94971499999999998"/>
    <n v="0.99306924157904641"/>
    <n v="334500"/>
    <n v="54700"/>
    <n v="389200"/>
    <n v="94400"/>
    <n v="483600"/>
    <n v="1.5392642838507697E-2"/>
    <n v="-3.9674465920651068E-2"/>
    <n v="4.152823920265781E-3"/>
  </r>
  <r>
    <n v="2025"/>
    <s v="19133614405    "/>
    <n v="0.85441532815606758"/>
    <n v="2.35"/>
    <m/>
    <s v="2"/>
    <s v="RES"/>
    <s v="MX"/>
    <s v="11"/>
    <s v="259"/>
    <s v="RN"/>
    <x v="4"/>
    <s v="GD"/>
    <n v="10"/>
    <n v="16"/>
    <n v="16"/>
    <n v="2008"/>
    <n v="2008"/>
    <n v="2112"/>
    <m/>
    <m/>
    <m/>
    <m/>
    <n v="0"/>
    <n v="2112"/>
    <n v="2500"/>
    <s v="N"/>
    <m/>
    <n v="528"/>
    <m/>
    <m/>
    <m/>
    <m/>
    <m/>
    <n v="401094"/>
    <n v="369006"/>
    <n v="60077"/>
    <n v="0"/>
    <n v="98500"/>
    <n v="386700"/>
    <n v="485200"/>
    <n v="132535.48800000001"/>
    <n v="88356.992000000013"/>
    <n v="11213.621034040569"/>
    <n v="37154.252388000001"/>
    <n v="30300.329274"/>
    <n v="-1739.8576"/>
    <n v="131810.72255999999"/>
    <n v="0"/>
    <n v="0"/>
    <n v="18638.944368"/>
    <n v="60100"/>
    <n v="348700"/>
    <n v="99600"/>
    <n v="508400"/>
    <n v="4.7815333882934873E-2"/>
    <n v="0.99970000000000003"/>
    <n v="0.99819999999999998"/>
    <n v="0.997"/>
    <n v="1.0008999999999999"/>
    <n v="0.99080000000000001"/>
    <n v="0.94971499999999998"/>
    <n v="0.93730883010318289"/>
    <n v="340400"/>
    <n v="57100"/>
    <n v="397500"/>
    <n v="94600"/>
    <n v="492100"/>
    <n v="2.7928626842513578E-2"/>
    <n v="-3.9593908629441621E-2"/>
    <n v="1.4220939818631493E-2"/>
  </r>
  <r>
    <n v="2025"/>
    <s v="20120642006    "/>
    <n v="0.85441532815606758"/>
    <n v="2.35"/>
    <n v="102501"/>
    <s v="2"/>
    <s v="RES"/>
    <s v="MX"/>
    <s v="11"/>
    <s v="259"/>
    <s v="FH"/>
    <x v="1"/>
    <s v="AV"/>
    <n v="100"/>
    <n v="104"/>
    <n v="58"/>
    <n v="1920"/>
    <n v="1966"/>
    <n v="1100"/>
    <n v="576"/>
    <m/>
    <m/>
    <m/>
    <n v="0"/>
    <n v="1676"/>
    <n v="2000"/>
    <s v="N"/>
    <m/>
    <m/>
    <m/>
    <m/>
    <m/>
    <m/>
    <m/>
    <n v="213346"/>
    <n v="132275"/>
    <n v="10659"/>
    <n v="0"/>
    <n v="98500"/>
    <n v="204200"/>
    <n v="302700"/>
    <n v="132535.48800000001"/>
    <n v="88356.992000000013"/>
    <n v="11213.621034040569"/>
    <n v="0"/>
    <n v="17761.121909000001"/>
    <n v="-6306.9838"/>
    <n v="68651.418000000005"/>
    <n v="34318.300607999998"/>
    <n v="0"/>
    <n v="0"/>
    <n v="10700"/>
    <n v="247000"/>
    <n v="99600"/>
    <n v="357300"/>
    <n v="0.18037661050545095"/>
    <n v="0.99970000000000003"/>
    <n v="1.0003"/>
    <n v="0.99680000000000002"/>
    <n v="1.0007999999999999"/>
    <n v="0.98240000000000005"/>
    <n v="0.94971499999999998"/>
    <n v="0.9310376550098034"/>
    <n v="237800"/>
    <n v="10100"/>
    <n v="247900"/>
    <n v="94600"/>
    <n v="342500"/>
    <n v="0.21400587659157688"/>
    <n v="-3.9593908629441621E-2"/>
    <n v="0.13148331681532871"/>
  </r>
  <r>
    <n v="2025"/>
    <s v="19133614406    "/>
    <n v="0.87546873735389985"/>
    <n v="2.4"/>
    <m/>
    <s v="2"/>
    <s v="RES"/>
    <s v="MX"/>
    <s v="11"/>
    <s v="331"/>
    <s v="CU"/>
    <x v="10"/>
    <s v="EX"/>
    <n v="0"/>
    <n v="2"/>
    <n v="2"/>
    <n v="2022"/>
    <n v="2022"/>
    <n v="3300"/>
    <n v="1623"/>
    <m/>
    <m/>
    <m/>
    <n v="0"/>
    <n v="4923"/>
    <n v="5000"/>
    <s v="S"/>
    <n v="1"/>
    <n v="956"/>
    <m/>
    <m/>
    <m/>
    <m/>
    <m/>
    <n v="1293944"/>
    <n v="1293944"/>
    <n v="67511"/>
    <n v="0"/>
    <n v="98800"/>
    <n v="637900"/>
    <n v="736700"/>
    <n v="132535.48800000001"/>
    <n v="88356.992000000013"/>
    <n v="11489.932734497272"/>
    <n v="62220.902449590503"/>
    <n v="47371.278778200001"/>
    <n v="-217.48220000000001"/>
    <n v="205954.25400000002"/>
    <n v="96698.961608999991"/>
    <n v="0"/>
    <n v="33747.785636000001"/>
    <n v="67500"/>
    <n v="578300"/>
    <n v="99800"/>
    <n v="745600"/>
    <n v="1.2080901316682503E-2"/>
    <n v="0.99970000000000003"/>
    <n v="1"/>
    <n v="1.0012000000000001"/>
    <n v="1"/>
    <n v="1.0022"/>
    <n v="0.94971499999999998"/>
    <n v="0.95294653824760001"/>
    <n v="572100"/>
    <n v="64100"/>
    <n v="636200"/>
    <n v="94800"/>
    <n v="731000"/>
    <n v="-2.6649945132465906E-3"/>
    <n v="-4.048582995951417E-2"/>
    <n v="-7.7372064612460977E-3"/>
  </r>
  <r>
    <n v="2025"/>
    <s v="19120213406    "/>
    <n v="0.89199803930511046"/>
    <n v="2.44"/>
    <m/>
    <s v="2"/>
    <s v="RES"/>
    <s v="MX"/>
    <s v="11"/>
    <s v="259"/>
    <s v="CO"/>
    <x v="2"/>
    <s v="AV"/>
    <n v="140"/>
    <n v="144"/>
    <n v="89"/>
    <n v="1880"/>
    <n v="1935"/>
    <n v="740"/>
    <n v="384"/>
    <m/>
    <m/>
    <m/>
    <n v="0"/>
    <n v="1124"/>
    <n v="1500"/>
    <s v="N"/>
    <m/>
    <m/>
    <m/>
    <m/>
    <m/>
    <m/>
    <m/>
    <n v="159800"/>
    <n v="87890"/>
    <n v="2577"/>
    <n v="0"/>
    <n v="99000"/>
    <n v="155900"/>
    <n v="254900"/>
    <n v="132535.48800000001"/>
    <n v="88356.992000000013"/>
    <n v="11706.868599210886"/>
    <n v="-1240.8083630000001"/>
    <n v="17761.121909000001"/>
    <n v="-9677.9578999999994"/>
    <n v="46183.681199999999"/>
    <n v="22878.867072000001"/>
    <n v="0"/>
    <n v="0"/>
    <n v="2600"/>
    <n v="208400"/>
    <n v="100100"/>
    <n v="311100"/>
    <n v="0.22047861906630051"/>
    <n v="0.99970000000000003"/>
    <n v="1.0022"/>
    <n v="0.99680000000000002"/>
    <n v="0.99519999999999997"/>
    <n v="1"/>
    <n v="0.94971499999999998"/>
    <n v="0.94420455773116918"/>
    <n v="201000"/>
    <n v="2400"/>
    <n v="203400"/>
    <n v="95000"/>
    <n v="298400"/>
    <n v="0.30468248877485565"/>
    <n v="-4.0404040404040407E-2"/>
    <n v="0.17065515888583757"/>
  </r>
  <r>
    <n v="2025"/>
    <s v="20120613002    "/>
    <n v="0.90421815063988586"/>
    <n v="2.4700000000000002"/>
    <n v="107610"/>
    <s v="2"/>
    <s v="RES"/>
    <s v="MX"/>
    <s v="11"/>
    <s v="259"/>
    <s v="FH"/>
    <x v="0"/>
    <s v="GD"/>
    <n v="120"/>
    <n v="123"/>
    <n v="75"/>
    <n v="1901"/>
    <n v="1949"/>
    <n v="1186"/>
    <n v="756"/>
    <n v="320"/>
    <m/>
    <m/>
    <n v="320"/>
    <n v="1942"/>
    <n v="2000"/>
    <s v="N"/>
    <m/>
    <m/>
    <m/>
    <m/>
    <m/>
    <m/>
    <m/>
    <n v="314478"/>
    <n v="179252"/>
    <n v="54487"/>
    <n v="0"/>
    <n v="99200"/>
    <n v="275900"/>
    <n v="375100"/>
    <n v="132535.48800000001"/>
    <n v="88356.992000000013"/>
    <n v="11867.249263024218"/>
    <n v="24371.765965999999"/>
    <n v="30300.329274"/>
    <n v="-8155.5825000000004"/>
    <n v="74018.710680000004"/>
    <n v="45042.769547999997"/>
    <n v="20027.67872"/>
    <n v="0"/>
    <n v="54500"/>
    <n v="318100"/>
    <n v="100200"/>
    <n v="472800"/>
    <n v="0.26046387629965345"/>
    <n v="0.99970000000000003"/>
    <n v="0.99199999999999999"/>
    <n v="0.997"/>
    <n v="1.0007999999999999"/>
    <n v="0.96709999999999996"/>
    <n v="0.94971499999999998"/>
    <n v="0.90911496722883456"/>
    <n v="306100"/>
    <n v="51700"/>
    <n v="357800"/>
    <n v="95200"/>
    <n v="453000"/>
    <n v="0.29684668358100763"/>
    <n v="-4.0322580645161289E-2"/>
    <n v="0.20767795254598773"/>
  </r>
  <r>
    <n v="2025"/>
    <s v="19133641403    "/>
    <n v="0.94778939893352609"/>
    <n v="2.58"/>
    <m/>
    <s v="2"/>
    <s v="RES"/>
    <s v="MX"/>
    <s v="11"/>
    <s v="259"/>
    <s v="RN"/>
    <x v="5"/>
    <s v="GD"/>
    <n v="50"/>
    <n v="59"/>
    <n v="48"/>
    <n v="1965"/>
    <n v="1976"/>
    <n v="1561"/>
    <m/>
    <m/>
    <m/>
    <m/>
    <n v="0"/>
    <n v="1561"/>
    <n v="2000"/>
    <s v="N"/>
    <m/>
    <m/>
    <m/>
    <m/>
    <m/>
    <m/>
    <m/>
    <n v="362431"/>
    <n v="264575"/>
    <n v="18549"/>
    <n v="0"/>
    <n v="99800"/>
    <n v="259200"/>
    <n v="359000"/>
    <n v="132535.48800000001"/>
    <n v="88356.992000000013"/>
    <n v="12439.092312000654"/>
    <n v="32917.849192000001"/>
    <n v="30300.329274"/>
    <n v="-5219.5727999999999"/>
    <n v="97422.603180000006"/>
    <n v="0"/>
    <n v="0"/>
    <n v="0"/>
    <n v="18500"/>
    <n v="288000"/>
    <n v="100800"/>
    <n v="407300"/>
    <n v="0.13454038997214485"/>
    <n v="0.99970000000000003"/>
    <n v="1.0019"/>
    <n v="0.997"/>
    <n v="1.0007999999999999"/>
    <n v="1.0470999999999999"/>
    <n v="0.94971499999999998"/>
    <n v="0.9941416945339"/>
    <n v="287200"/>
    <n v="17600"/>
    <n v="304800"/>
    <n v="95700"/>
    <n v="400500"/>
    <n v="0.17592592592592593"/>
    <n v="-4.1082164328657314E-2"/>
    <n v="0.11559888579387187"/>
  </r>
  <r>
    <n v="2025"/>
    <s v="19120214014    "/>
    <n v="0.99325177301028345"/>
    <n v="2.7"/>
    <n v="117537"/>
    <s v="2"/>
    <s v="RES"/>
    <s v="MX"/>
    <s v="11"/>
    <s v="259"/>
    <s v="RN"/>
    <x v="0"/>
    <s v="GD"/>
    <n v="40"/>
    <n v="48"/>
    <n v="45"/>
    <n v="1976"/>
    <n v="1979"/>
    <n v="1344"/>
    <m/>
    <m/>
    <m/>
    <m/>
    <n v="0"/>
    <n v="1344"/>
    <n v="1500"/>
    <s v="N"/>
    <m/>
    <m/>
    <m/>
    <m/>
    <m/>
    <m/>
    <m/>
    <n v="221657"/>
    <n v="172892"/>
    <n v="36852"/>
    <n v="0"/>
    <n v="100400"/>
    <n v="273500"/>
    <n v="373900"/>
    <n v="132535.48800000001"/>
    <n v="88356.992000000013"/>
    <n v="13035.755102806097"/>
    <n v="24371.765965999999"/>
    <n v="30300.329274"/>
    <n v="-4893.3495000000003"/>
    <n v="83879.550719999999"/>
    <n v="0"/>
    <n v="0"/>
    <n v="0"/>
    <n v="36900"/>
    <n v="266200"/>
    <n v="101400"/>
    <n v="404500"/>
    <n v="8.1840064188285641E-2"/>
    <n v="0.99970000000000003"/>
    <n v="0.99199999999999999"/>
    <n v="0.997"/>
    <n v="0.99519999999999997"/>
    <n v="0.95689999999999997"/>
    <n v="0.94971499999999998"/>
    <n v="0.89449321320835362"/>
    <n v="252200"/>
    <n v="35000"/>
    <n v="287200"/>
    <n v="96300"/>
    <n v="383500"/>
    <n v="5.0091407678244972E-2"/>
    <n v="-4.0836653386454182E-2"/>
    <n v="2.5675314255148435E-2"/>
  </r>
  <r>
    <n v="2025"/>
    <s v="19120222403    "/>
    <n v="1.0152306797290584"/>
    <n v="2.76"/>
    <m/>
    <s v="2"/>
    <s v="RES"/>
    <s v="MX"/>
    <s v="11"/>
    <s v="259"/>
    <s v="CO"/>
    <x v="1"/>
    <s v="GD"/>
    <n v="80"/>
    <n v="84"/>
    <n v="52"/>
    <n v="1940"/>
    <n v="1972"/>
    <n v="1008"/>
    <n v="1088"/>
    <m/>
    <m/>
    <m/>
    <n v="0"/>
    <n v="2096"/>
    <n v="2500"/>
    <s v="N"/>
    <m/>
    <m/>
    <m/>
    <m/>
    <m/>
    <m/>
    <m/>
    <n v="257991"/>
    <n v="180594"/>
    <n v="54260"/>
    <n v="0"/>
    <n v="100700"/>
    <n v="281500"/>
    <n v="382200"/>
    <n v="132535.48800000001"/>
    <n v="88356.992000000013"/>
    <n v="13324.213329812355"/>
    <n v="0"/>
    <n v="30300.329274"/>
    <n v="-5654.5371999999998"/>
    <n v="62909.663040000007"/>
    <n v="64823.456703999997"/>
    <n v="0"/>
    <n v="0"/>
    <n v="54300"/>
    <n v="284900"/>
    <n v="101700"/>
    <n v="440900"/>
    <n v="0.15358451072736787"/>
    <n v="0.99970000000000003"/>
    <n v="1.0003"/>
    <n v="0.997"/>
    <n v="1.0008999999999999"/>
    <n v="1"/>
    <n v="0.94971499999999998"/>
    <n v="0.9480023496797807"/>
    <n v="278000"/>
    <n v="51500"/>
    <n v="329500"/>
    <n v="96600"/>
    <n v="426100"/>
    <n v="0.17051509769094139"/>
    <n v="-4.0714995034756701E-2"/>
    <n v="0.11486132914704343"/>
  </r>
  <r>
    <n v="2025"/>
    <s v="19133412401    "/>
    <n v="1.0224509277025455"/>
    <n v="2.78"/>
    <n v="121150"/>
    <s v="2"/>
    <s v="RES"/>
    <s v="MX"/>
    <s v="11"/>
    <s v=""/>
    <s v="FH"/>
    <x v="4"/>
    <s v="GD"/>
    <n v="120"/>
    <n v="121"/>
    <n v="73"/>
    <n v="1903"/>
    <n v="1951"/>
    <n v="1218"/>
    <n v="986"/>
    <m/>
    <m/>
    <m/>
    <n v="0"/>
    <n v="2204"/>
    <n v="2500"/>
    <s v="N"/>
    <m/>
    <m/>
    <m/>
    <m/>
    <m/>
    <m/>
    <m/>
    <n v="413200"/>
    <n v="235524"/>
    <n v="41810"/>
    <n v="0"/>
    <n v="100800"/>
    <n v="343500"/>
    <n v="444300"/>
    <n v="132535.48800000001"/>
    <n v="88356.992000000013"/>
    <n v="13418.974181916001"/>
    <n v="37154.252388000001"/>
    <n v="30300.329274"/>
    <n v="-7938.1003000000001"/>
    <n v="76015.842839999998"/>
    <n v="58746.257637999995"/>
    <n v="0"/>
    <n v="0"/>
    <n v="41800"/>
    <n v="326800"/>
    <n v="101800"/>
    <n v="470400"/>
    <n v="5.8744091829844698E-2"/>
    <n v="0.99970000000000003"/>
    <n v="0.99819999999999998"/>
    <n v="0.997"/>
    <n v="1.0008999999999999"/>
    <n v="0.96709999999999996"/>
    <n v="0.94971499999999998"/>
    <n v="0.91488834234233762"/>
    <n v="315500"/>
    <n v="39700"/>
    <n v="355200"/>
    <n v="96700"/>
    <n v="451900"/>
    <n v="3.4061135371179038E-2"/>
    <n v="-4.0674603174603176E-2"/>
    <n v="1.7105559306774702E-2"/>
  </r>
  <r>
    <n v="2025"/>
    <s v="19133622003    "/>
    <n v="1.0681530811834012"/>
    <n v="2.91"/>
    <n v="126812"/>
    <s v="2"/>
    <s v="RES"/>
    <s v="MX"/>
    <s v="11"/>
    <s v="259"/>
    <s v="TD"/>
    <x v="4"/>
    <s v="GD"/>
    <n v="90"/>
    <n v="99"/>
    <n v="56"/>
    <n v="1925"/>
    <n v="1968"/>
    <n v="2092"/>
    <n v="660"/>
    <n v="224"/>
    <m/>
    <m/>
    <n v="224"/>
    <n v="2752"/>
    <n v="3000"/>
    <s v="N"/>
    <m/>
    <m/>
    <m/>
    <m/>
    <m/>
    <m/>
    <m/>
    <n v="475217"/>
    <n v="313643"/>
    <n v="57759"/>
    <n v="0"/>
    <n v="101500"/>
    <n v="352200"/>
    <n v="453700"/>
    <n v="132535.48800000001"/>
    <n v="88356.992000000013"/>
    <n v="14018.783914590018"/>
    <n v="37154.252388000001"/>
    <n v="30300.329274"/>
    <n v="-6089.5016000000005"/>
    <n v="130562.51496"/>
    <n v="39323.052779999998"/>
    <n v="14019.375103999999"/>
    <n v="0"/>
    <n v="57800"/>
    <n v="377800"/>
    <n v="102400"/>
    <n v="538000"/>
    <n v="0.18580559841304828"/>
    <n v="0.99970000000000003"/>
    <n v="0.99819999999999998"/>
    <n v="0.997"/>
    <n v="1.0099"/>
    <n v="0.99960000000000004"/>
    <n v="0.94971499999999998"/>
    <n v="0.95413678783785361"/>
    <n v="371700"/>
    <n v="54900"/>
    <n v="426600"/>
    <n v="97200"/>
    <n v="523800"/>
    <n v="0.21124361158432708"/>
    <n v="-4.2364532019704436E-2"/>
    <n v="0.15450738373374476"/>
  </r>
  <r>
    <n v="2025"/>
    <s v="19121134401    "/>
    <n v="1.0986122886681098"/>
    <n v="3"/>
    <m/>
    <s v="2"/>
    <s v="RES"/>
    <s v="MX"/>
    <s v="83"/>
    <s v="331"/>
    <s v="CP"/>
    <x v="8"/>
    <s v="GD"/>
    <n v="10"/>
    <n v="17"/>
    <n v="17"/>
    <n v="2007"/>
    <n v="2007"/>
    <n v="3143"/>
    <m/>
    <m/>
    <m/>
    <m/>
    <n v="0"/>
    <n v="3143"/>
    <n v="3500"/>
    <s v="S"/>
    <m/>
    <n v="999"/>
    <m/>
    <m/>
    <m/>
    <m/>
    <m/>
    <n v="768355"/>
    <n v="722254"/>
    <n v="106556"/>
    <n v="500"/>
    <n v="56600"/>
    <n v="574800"/>
    <n v="631900"/>
    <n v="132535.48800000001"/>
    <n v="88356.992000000013"/>
    <n v="14418.540331024935"/>
    <n v="53304.018704533402"/>
    <n v="30300.329274"/>
    <n v="-1848.5987"/>
    <n v="196155.82434000002"/>
    <n v="0"/>
    <n v="0"/>
    <n v="35265.729969"/>
    <n v="106600"/>
    <n v="445700"/>
    <n v="102800"/>
    <n v="655100"/>
    <n v="3.6714670042728277E-2"/>
    <n v="0.99970000000000003"/>
    <n v="1"/>
    <n v="0.997"/>
    <n v="0.98509999999999998"/>
    <n v="0.99080000000000001"/>
    <n v="0.94971499999999998"/>
    <n v="0.92417618426590342"/>
    <n v="435700"/>
    <n v="101200"/>
    <n v="536900"/>
    <n v="97600"/>
    <n v="634500"/>
    <n v="-6.5935977731384834E-2"/>
    <n v="0.72438162544169615"/>
    <n v="4.1145750909954105E-3"/>
  </r>
  <r>
    <n v="2025"/>
    <s v="19133541405    "/>
    <n v="1.1184149159642893"/>
    <n v="3.06"/>
    <n v="133086"/>
    <s v="2"/>
    <s v="RES"/>
    <s v="MX"/>
    <s v="11"/>
    <s v="259"/>
    <s v="RN"/>
    <x v="4"/>
    <s v="GD"/>
    <n v="40"/>
    <n v="49"/>
    <n v="45"/>
    <n v="1975"/>
    <n v="1979"/>
    <n v="1386"/>
    <m/>
    <m/>
    <m/>
    <m/>
    <n v="0"/>
    <n v="1386"/>
    <n v="1500"/>
    <s v="B"/>
    <m/>
    <n v="598"/>
    <m/>
    <m/>
    <m/>
    <m/>
    <m/>
    <n v="290929"/>
    <n v="226925"/>
    <n v="56534"/>
    <n v="0"/>
    <n v="102200"/>
    <n v="316100"/>
    <n v="418300"/>
    <n v="132535.48800000001"/>
    <n v="88356.992000000013"/>
    <n v="14678.436368303357"/>
    <n v="37154.252388000001"/>
    <n v="30300.329274"/>
    <n v="-4893.3495000000003"/>
    <n v="86500.786680000005"/>
    <n v="0"/>
    <n v="0"/>
    <n v="21110.016538"/>
    <n v="56500"/>
    <n v="302700"/>
    <n v="103000"/>
    <n v="462200"/>
    <n v="0.10494860148218982"/>
    <n v="0.99970000000000003"/>
    <n v="0.99819999999999998"/>
    <n v="0.997"/>
    <n v="0.99519999999999997"/>
    <n v="0.95689999999999997"/>
    <n v="0.94971499999999998"/>
    <n v="0.90008379579090592"/>
    <n v="289500"/>
    <n v="53700"/>
    <n v="343200"/>
    <n v="97900"/>
    <n v="441100"/>
    <n v="8.5732363176210066E-2"/>
    <n v="-4.2074363992172209E-2"/>
    <n v="5.4506335166148695E-2"/>
  </r>
  <r>
    <n v="2025"/>
    <s v="19120222002    "/>
    <n v="1.2119409739751128"/>
    <n v="3.36"/>
    <n v="146332"/>
    <s v="2"/>
    <s v="RES"/>
    <s v="MX"/>
    <s v="11"/>
    <s v="181"/>
    <s v="RN"/>
    <x v="0"/>
    <s v="GD"/>
    <n v="40"/>
    <n v="44"/>
    <n v="44"/>
    <n v="1980"/>
    <n v="1980"/>
    <n v="1276"/>
    <m/>
    <m/>
    <m/>
    <m/>
    <n v="0"/>
    <n v="1276"/>
    <n v="1500"/>
    <s v="N"/>
    <m/>
    <m/>
    <m/>
    <m/>
    <m/>
    <m/>
    <m/>
    <n v="216754"/>
    <n v="171236"/>
    <n v="32522"/>
    <n v="0"/>
    <n v="103500"/>
    <n v="255300"/>
    <n v="358800"/>
    <n v="132535.48800000001"/>
    <n v="88356.992000000013"/>
    <n v="15905.902375502026"/>
    <n v="24371.765965999999"/>
    <n v="30300.329274"/>
    <n v="-4784.6084000000001"/>
    <n v="79635.644880000007"/>
    <n v="0"/>
    <n v="0"/>
    <n v="0"/>
    <n v="32500"/>
    <n v="262100"/>
    <n v="104300"/>
    <n v="398900"/>
    <n v="0.11176142697881829"/>
    <n v="0.99970000000000003"/>
    <n v="0.99199999999999999"/>
    <n v="0.997"/>
    <n v="0.99519999999999997"/>
    <n v="0.95689999999999997"/>
    <n v="0.94971499999999998"/>
    <n v="0.89449321320835362"/>
    <n v="248100"/>
    <n v="30900"/>
    <n v="279000"/>
    <n v="99000"/>
    <n v="378000"/>
    <n v="9.2831962397179793E-2"/>
    <n v="-4.3478260869565216E-2"/>
    <n v="5.3511705685618728E-2"/>
  </r>
  <r>
    <n v="2025"/>
    <s v="19133641407    "/>
    <n v="1.235471471385307"/>
    <n v="3.44"/>
    <m/>
    <s v="2"/>
    <s v="RES"/>
    <s v="MX"/>
    <s v="11"/>
    <s v="259"/>
    <s v="RN"/>
    <x v="0"/>
    <s v="AV"/>
    <n v="50"/>
    <n v="55"/>
    <n v="47"/>
    <n v="1969"/>
    <n v="1977"/>
    <n v="2250"/>
    <m/>
    <m/>
    <m/>
    <m/>
    <n v="0"/>
    <n v="2250"/>
    <n v="2500"/>
    <s v="N"/>
    <m/>
    <m/>
    <m/>
    <m/>
    <m/>
    <m/>
    <m/>
    <n v="410671"/>
    <n v="303897"/>
    <n v="61157"/>
    <n v="0"/>
    <n v="103800"/>
    <n v="314000"/>
    <n v="417800"/>
    <n v="132535.48800000001"/>
    <n v="88356.992000000013"/>
    <n v="16214.724176803084"/>
    <n v="24371.765965999999"/>
    <n v="17761.121909000001"/>
    <n v="-5110.8316999999997"/>
    <n v="140423.35500000001"/>
    <n v="0"/>
    <n v="0"/>
    <n v="0"/>
    <n v="61200"/>
    <n v="310000"/>
    <n v="104600"/>
    <n v="475800"/>
    <n v="0.13882240306366683"/>
    <n v="0.99970000000000003"/>
    <n v="0.99199999999999999"/>
    <n v="0.99680000000000002"/>
    <n v="1.0008999999999999"/>
    <n v="1.0470999999999999"/>
    <n v="0.94971499999999998"/>
    <n v="0.9842192334849662"/>
    <n v="307900"/>
    <n v="58100"/>
    <n v="366000"/>
    <n v="99300"/>
    <n v="465300"/>
    <n v="0.16560509554140126"/>
    <n v="-4.3352601156069363E-2"/>
    <n v="0.11369076112972715"/>
  </r>
  <r>
    <n v="2025"/>
    <s v="19120212403    "/>
    <n v="1.2584609896100056"/>
    <n v="3.52"/>
    <n v="153267"/>
    <s v="2"/>
    <s v="RES"/>
    <s v="MX"/>
    <s v="11"/>
    <s v="259"/>
    <s v="CP"/>
    <x v="5"/>
    <s v="VG"/>
    <n v="0"/>
    <n v="8"/>
    <n v="8"/>
    <n v="2016"/>
    <n v="2016"/>
    <n v="2468"/>
    <m/>
    <m/>
    <m/>
    <m/>
    <n v="0"/>
    <n v="2468"/>
    <n v="2500"/>
    <s v="N"/>
    <m/>
    <m/>
    <m/>
    <m/>
    <m/>
    <m/>
    <m/>
    <n v="419687"/>
    <n v="402900"/>
    <n v="39416"/>
    <n v="0"/>
    <n v="104100"/>
    <n v="354900"/>
    <n v="459000"/>
    <n v="132535.48800000001"/>
    <n v="88356.992000000013"/>
    <n v="16516.445993619378"/>
    <n v="32917.849192000001"/>
    <n v="50438.379078999998"/>
    <n v="-869.92880000000002"/>
    <n v="154028.81784"/>
    <n v="0"/>
    <n v="0"/>
    <n v="0"/>
    <n v="39400"/>
    <n v="369100"/>
    <n v="104900"/>
    <n v="513400"/>
    <n v="0.11851851851851852"/>
    <n v="0.99970000000000003"/>
    <n v="1.0019"/>
    <n v="1.0007999999999999"/>
    <n v="1.0008999999999999"/>
    <n v="1.0022"/>
    <n v="0.94971499999999998"/>
    <n v="0.95523462967214157"/>
    <n v="363100"/>
    <n v="37400"/>
    <n v="400500"/>
    <n v="99600"/>
    <n v="500100"/>
    <n v="0.12848689771766694"/>
    <n v="-4.3227665706051875E-2"/>
    <n v="8.954248366013072E-2"/>
  </r>
  <r>
    <n v="2025"/>
    <s v="19120222412    "/>
    <n v="1.2864740258376797"/>
    <n v="3.62"/>
    <n v="157680"/>
    <s v="2"/>
    <s v="RES"/>
    <s v="MX"/>
    <s v="11"/>
    <s v="259"/>
    <s v="CO"/>
    <x v="5"/>
    <s v="GD"/>
    <n v="40"/>
    <n v="46"/>
    <n v="44"/>
    <n v="1978"/>
    <n v="1980"/>
    <n v="2424"/>
    <n v="1470"/>
    <m/>
    <m/>
    <m/>
    <n v="0"/>
    <n v="3894"/>
    <n v="4000"/>
    <s v="N"/>
    <n v="1"/>
    <m/>
    <m/>
    <m/>
    <m/>
    <m/>
    <m/>
    <n v="675282"/>
    <n v="533473"/>
    <n v="50808"/>
    <n v="0"/>
    <n v="104500"/>
    <n v="411100"/>
    <n v="515600"/>
    <n v="132535.48800000001"/>
    <n v="88356.992000000013"/>
    <n v="16884.098073256002"/>
    <n v="32917.849192000001"/>
    <n v="30300.329274"/>
    <n v="-4784.6084000000001"/>
    <n v="151282.76112000001"/>
    <n v="87583.163009999989"/>
    <n v="0"/>
    <n v="0"/>
    <n v="50800"/>
    <n v="429800"/>
    <n v="105200"/>
    <n v="585800"/>
    <n v="0.13615205585725368"/>
    <n v="0.99970000000000003"/>
    <n v="1.0019"/>
    <n v="0.997"/>
    <n v="1"/>
    <n v="0.95689999999999997"/>
    <n v="0.94971499999999998"/>
    <n v="0.90777744292913387"/>
    <n v="417600"/>
    <n v="48300"/>
    <n v="465900"/>
    <n v="99900"/>
    <n v="565800"/>
    <n v="0.13330090002432499"/>
    <n v="-4.4019138755980861E-2"/>
    <n v="9.7362296353762603E-2"/>
  </r>
  <r>
    <n v="2025"/>
    <s v="19120221004    "/>
    <n v="1.3190856114264407"/>
    <n v="3.74"/>
    <n v="162969"/>
    <s v="2"/>
    <s v="RES"/>
    <s v="MX"/>
    <s v="11"/>
    <s v="259"/>
    <s v="RN"/>
    <x v="2"/>
    <s v="AV"/>
    <n v="40"/>
    <n v="45"/>
    <n v="44"/>
    <n v="1979"/>
    <n v="1980"/>
    <n v="2106"/>
    <m/>
    <m/>
    <m/>
    <m/>
    <n v="0"/>
    <n v="2106"/>
    <n v="2500"/>
    <s v="N"/>
    <m/>
    <m/>
    <m/>
    <m/>
    <m/>
    <m/>
    <m/>
    <n v="266249"/>
    <n v="207674"/>
    <n v="3710"/>
    <n v="0"/>
    <n v="105000"/>
    <n v="240500"/>
    <n v="345500"/>
    <n v="132535.48800000001"/>
    <n v="88356.992000000013"/>
    <n v="17312.102990841875"/>
    <n v="-1240.8083630000001"/>
    <n v="17761.121909000001"/>
    <n v="-4784.6084000000001"/>
    <n v="131436.26028000002"/>
    <n v="0"/>
    <n v="0"/>
    <n v="0"/>
    <n v="3700"/>
    <n v="275700"/>
    <n v="105700"/>
    <n v="385100"/>
    <n v="0.114616497829233"/>
    <n v="0.99970000000000003"/>
    <n v="1.0022"/>
    <n v="0.99680000000000002"/>
    <n v="1.0008999999999999"/>
    <n v="0.95689999999999997"/>
    <n v="0.94971499999999998"/>
    <n v="0.90868418378227434"/>
    <n v="263600"/>
    <n v="3500"/>
    <n v="267100"/>
    <n v="100400"/>
    <n v="367500"/>
    <n v="0.11060291060291061"/>
    <n v="-4.3809523809523812E-2"/>
    <n v="6.3675832127351659E-2"/>
  </r>
  <r>
    <n v="2025"/>
    <s v="19120214403    "/>
    <n v="1.3376291891386096"/>
    <n v="3.81"/>
    <m/>
    <s v="2"/>
    <s v="RES"/>
    <s v="MX"/>
    <s v="11"/>
    <s v="259"/>
    <s v="FH"/>
    <x v="0"/>
    <s v="AV"/>
    <n v="90"/>
    <n v="94"/>
    <n v="54"/>
    <n v="1930"/>
    <n v="1970"/>
    <n v="1276"/>
    <n v="300"/>
    <m/>
    <m/>
    <m/>
    <n v="0"/>
    <n v="1576"/>
    <n v="2000"/>
    <s v="N"/>
    <m/>
    <m/>
    <m/>
    <m/>
    <m/>
    <m/>
    <m/>
    <n v="234983"/>
    <n v="155089"/>
    <n v="21118"/>
    <n v="0"/>
    <n v="105200"/>
    <n v="237300"/>
    <n v="342500"/>
    <n v="132535.48800000001"/>
    <n v="88356.992000000013"/>
    <n v="17555.474857224825"/>
    <n v="24371.765965999999"/>
    <n v="17761.121909000001"/>
    <n v="-5872.0194000000001"/>
    <n v="79635.644880000007"/>
    <n v="17874.1149"/>
    <n v="0"/>
    <n v="0"/>
    <n v="21100"/>
    <n v="266300"/>
    <n v="105900"/>
    <n v="393300"/>
    <n v="0.14832116788321167"/>
    <n v="0.99970000000000003"/>
    <n v="0.99199999999999999"/>
    <n v="0.99680000000000002"/>
    <n v="1.0007999999999999"/>
    <n v="0.99960000000000004"/>
    <n v="0.94971499999999998"/>
    <n v="0.93947784519307997"/>
    <n v="258300"/>
    <n v="20100"/>
    <n v="278400"/>
    <n v="100600"/>
    <n v="379000"/>
    <n v="0.1731984829329962"/>
    <n v="-4.3726235741444866E-2"/>
    <n v="0.10656934306569343"/>
  </r>
  <r>
    <n v="2025"/>
    <s v="19133644003    "/>
    <n v="1.3428648031925547"/>
    <n v="3.83"/>
    <n v="166986"/>
    <s v="2"/>
    <s v="RES"/>
    <s v="MX"/>
    <s v="11"/>
    <s v="259"/>
    <s v="RN"/>
    <x v="0"/>
    <s v="AV"/>
    <n v="50"/>
    <n v="51"/>
    <n v="46"/>
    <n v="1973"/>
    <n v="1978"/>
    <n v="1494"/>
    <m/>
    <m/>
    <m/>
    <m/>
    <n v="0"/>
    <n v="1494"/>
    <n v="1500"/>
    <s v="B"/>
    <m/>
    <m/>
    <m/>
    <m/>
    <m/>
    <m/>
    <m/>
    <n v="254046"/>
    <n v="193075"/>
    <n v="5040"/>
    <n v="0"/>
    <n v="105300"/>
    <n v="236500"/>
    <n v="341800"/>
    <n v="132535.48800000001"/>
    <n v="88356.992000000013"/>
    <n v="17624.188736700915"/>
    <n v="24371.765965999999"/>
    <n v="17761.121909000001"/>
    <n v="-5002.0906000000004"/>
    <n v="93241.10772"/>
    <n v="0"/>
    <n v="0"/>
    <n v="0"/>
    <n v="5000"/>
    <n v="262900"/>
    <n v="106000"/>
    <n v="373900"/>
    <n v="9.3914569923932129E-2"/>
    <n v="0.99970000000000003"/>
    <n v="0.99199999999999999"/>
    <n v="0.99680000000000002"/>
    <n v="0.99519999999999997"/>
    <n v="1.0470999999999999"/>
    <n v="0.94971499999999998"/>
    <n v="0.9786142283587157"/>
    <n v="260100"/>
    <n v="4800"/>
    <n v="264900"/>
    <n v="100700"/>
    <n v="365600"/>
    <n v="0.1200845665961945"/>
    <n v="-4.3684710351377019E-2"/>
    <n v="6.9631363370392038E-2"/>
  </r>
  <r>
    <n v="2025"/>
    <s v="19120111402    "/>
    <n v="1.5432981099295553"/>
    <n v="4.68"/>
    <m/>
    <s v="2"/>
    <s v="RES"/>
    <s v="MX"/>
    <s v="11"/>
    <s v="259"/>
    <s v="RN"/>
    <x v="1"/>
    <s v="AV"/>
    <n v="100"/>
    <n v="104"/>
    <n v="63"/>
    <n v="1920"/>
    <n v="1961"/>
    <n v="1360"/>
    <m/>
    <n v="748"/>
    <m/>
    <n v="748"/>
    <n v="0"/>
    <n v="2108"/>
    <n v="2500"/>
    <s v="N"/>
    <m/>
    <m/>
    <m/>
    <m/>
    <m/>
    <m/>
    <m/>
    <n v="251568"/>
    <n v="143394"/>
    <n v="59453"/>
    <n v="0"/>
    <n v="108100"/>
    <n v="222700"/>
    <n v="330800"/>
    <n v="132535.48800000001"/>
    <n v="88356.992000000013"/>
    <n v="20254.739793408771"/>
    <n v="0"/>
    <n v="17761.121909000001"/>
    <n v="-6850.6893"/>
    <n v="84878.116800000003"/>
    <n v="0"/>
    <n v="46814.699007999996"/>
    <n v="0"/>
    <n v="59500"/>
    <n v="275100"/>
    <n v="108600"/>
    <n v="443200"/>
    <n v="0.33978234582829503"/>
    <n v="0.99970000000000003"/>
    <n v="1.0003"/>
    <n v="0.99680000000000002"/>
    <n v="1.0008999999999999"/>
    <n v="0.98240000000000005"/>
    <n v="0.94971499999999998"/>
    <n v="0.93113068435183077"/>
    <n v="266000"/>
    <n v="56500"/>
    <n v="322500"/>
    <n v="103200"/>
    <n v="425700"/>
    <n v="0.44813650651100134"/>
    <n v="-4.5328399629972246E-2"/>
    <n v="0.28688029020556227"/>
  </r>
  <r>
    <n v="2025"/>
    <s v="19133541404    "/>
    <n v="1.5644405465033646"/>
    <n v="4.78"/>
    <n v="208416"/>
    <s v="2"/>
    <s v="RES"/>
    <s v="MX"/>
    <s v="11"/>
    <s v="259"/>
    <s v="RN"/>
    <x v="5"/>
    <s v="AV"/>
    <n v="10"/>
    <n v="18"/>
    <n v="18"/>
    <n v="2006"/>
    <n v="2006"/>
    <n v="1840"/>
    <m/>
    <m/>
    <m/>
    <m/>
    <n v="0"/>
    <n v="1840"/>
    <n v="2000"/>
    <s v="N"/>
    <m/>
    <n v="624"/>
    <m/>
    <m/>
    <m/>
    <m/>
    <m/>
    <n v="416716"/>
    <n v="379212"/>
    <n v="37764"/>
    <n v="0"/>
    <n v="108400"/>
    <n v="340800"/>
    <n v="449200"/>
    <n v="132535.48800000001"/>
    <n v="88356.992000000013"/>
    <n v="20532.219917725586"/>
    <n v="32917.849192000001"/>
    <n v="17761.121909000001"/>
    <n v="-1957.3398"/>
    <n v="114835.09920000001"/>
    <n v="0"/>
    <n v="0"/>
    <n v="22027.843344000001"/>
    <n v="37800"/>
    <n v="318100"/>
    <n v="108900"/>
    <n v="464800"/>
    <n v="3.4728406055209264E-2"/>
    <n v="0.99970000000000003"/>
    <n v="1.0019"/>
    <n v="0.99680000000000002"/>
    <n v="1.0007999999999999"/>
    <n v="0.99080000000000001"/>
    <n v="0.94971499999999998"/>
    <n v="0.94050042885141605"/>
    <n v="310200"/>
    <n v="35900"/>
    <n v="346100"/>
    <n v="103400"/>
    <n v="449500"/>
    <n v="1.5551643192488264E-2"/>
    <n v="-4.6125461254612546E-2"/>
    <n v="6.6785396260017811E-4"/>
  </r>
  <r>
    <n v="2025"/>
    <s v="19133541403    "/>
    <n v="1.5665304114228238"/>
    <n v="4.79"/>
    <n v="208724"/>
    <s v="2"/>
    <s v="RES"/>
    <s v="MX"/>
    <s v="11"/>
    <s v="259"/>
    <s v="RN"/>
    <x v="0"/>
    <s v="AV"/>
    <n v="40"/>
    <n v="45"/>
    <n v="44"/>
    <n v="1979"/>
    <n v="1980"/>
    <n v="2004"/>
    <m/>
    <m/>
    <m/>
    <m/>
    <n v="0"/>
    <n v="2004"/>
    <n v="2500"/>
    <s v="B"/>
    <m/>
    <m/>
    <m/>
    <m/>
    <m/>
    <m/>
    <m/>
    <n v="330363"/>
    <n v="257683"/>
    <n v="39125"/>
    <n v="0"/>
    <n v="108500"/>
    <n v="277800"/>
    <n v="386300"/>
    <n v="132535.48800000001"/>
    <n v="88356.992000000013"/>
    <n v="20559.647975775206"/>
    <n v="24371.765965999999"/>
    <n v="17761.121909000001"/>
    <n v="-4784.6084000000001"/>
    <n v="125070.40152000001"/>
    <n v="0"/>
    <n v="0"/>
    <n v="0"/>
    <n v="39100"/>
    <n v="295000"/>
    <n v="108900"/>
    <n v="443000"/>
    <n v="0.14677711623090861"/>
    <n v="0.99970000000000003"/>
    <n v="0.99199999999999999"/>
    <n v="0.99680000000000002"/>
    <n v="1.0008999999999999"/>
    <n v="0.95689999999999997"/>
    <n v="0.94971499999999998"/>
    <n v="0.89943595121933362"/>
    <n v="281600"/>
    <n v="37200"/>
    <n v="318800"/>
    <n v="103400"/>
    <n v="422200"/>
    <n v="0.14758819294456443"/>
    <n v="-4.7004608294930875E-2"/>
    <n v="9.2932953662956258E-2"/>
  </r>
  <r>
    <n v="2025"/>
    <s v="19133641404    "/>
    <n v="1.631199404215613"/>
    <n v="5.1100000000000003"/>
    <m/>
    <s v="2"/>
    <s v="RES"/>
    <s v="MX"/>
    <s v="11"/>
    <s v="259"/>
    <s v="CP"/>
    <x v="4"/>
    <s v="VG"/>
    <n v="0"/>
    <n v="6"/>
    <n v="6"/>
    <n v="2018"/>
    <n v="2018"/>
    <n v="1824"/>
    <m/>
    <m/>
    <m/>
    <m/>
    <n v="0"/>
    <n v="1824"/>
    <n v="2000"/>
    <s v="N"/>
    <m/>
    <n v="506"/>
    <m/>
    <m/>
    <m/>
    <m/>
    <m/>
    <n v="357217"/>
    <n v="342928"/>
    <n v="41625"/>
    <n v="0"/>
    <n v="109400"/>
    <n v="395000"/>
    <n v="504400"/>
    <n v="132535.48800000001"/>
    <n v="88356.992000000013"/>
    <n v="21408.384595934458"/>
    <n v="37154.252388000001"/>
    <n v="50438.379078999998"/>
    <n v="-652.44659999999999"/>
    <n v="113836.53312000001"/>
    <n v="0"/>
    <n v="0"/>
    <n v="17862.321685999999"/>
    <n v="41600"/>
    <n v="351200"/>
    <n v="109800"/>
    <n v="502600"/>
    <n v="-3.5685963521015066E-3"/>
    <n v="0.99970000000000003"/>
    <n v="0.99819999999999998"/>
    <n v="1.0007999999999999"/>
    <n v="1.0007999999999999"/>
    <n v="1.0022"/>
    <n v="0.94971499999999998"/>
    <n v="0.95161187898712574"/>
    <n v="344800"/>
    <n v="39500"/>
    <n v="384300"/>
    <n v="104200"/>
    <n v="488500"/>
    <n v="-2.7088607594936708E-2"/>
    <n v="-4.7531992687385741E-2"/>
    <n v="-3.1522601110229975E-2"/>
  </r>
  <r>
    <n v="2025"/>
    <s v="19133512409    "/>
    <n v="1.6582280766035324"/>
    <n v="5.25"/>
    <m/>
    <s v="2"/>
    <s v="RES"/>
    <s v="MX"/>
    <s v="11"/>
    <s v="259"/>
    <s v="CP"/>
    <x v="5"/>
    <s v="VG"/>
    <n v="10"/>
    <n v="14"/>
    <n v="14"/>
    <n v="2010"/>
    <n v="2010"/>
    <n v="2108"/>
    <m/>
    <m/>
    <m/>
    <m/>
    <n v="0"/>
    <n v="2108"/>
    <n v="2500"/>
    <s v="N"/>
    <n v="1"/>
    <n v="576"/>
    <m/>
    <m/>
    <m/>
    <m/>
    <m/>
    <n v="487990"/>
    <n v="458711"/>
    <n v="48061"/>
    <n v="0"/>
    <n v="109700"/>
    <n v="413500"/>
    <n v="523200"/>
    <n v="132535.48800000001"/>
    <n v="88356.992000000013"/>
    <n v="21763.117568557351"/>
    <n v="32917.849192000001"/>
    <n v="50438.379078999998"/>
    <n v="-1522.3754000000001"/>
    <n v="131561.08104000002"/>
    <n v="0"/>
    <n v="0"/>
    <n v="20333.393856000002"/>
    <n v="48100"/>
    <n v="366300"/>
    <n v="110100"/>
    <n v="524500"/>
    <n v="2.4847094801223242E-3"/>
    <n v="0.99970000000000003"/>
    <n v="1.0019"/>
    <n v="1.0007999999999999"/>
    <n v="1.0008999999999999"/>
    <n v="0.99080000000000001"/>
    <n v="0.94971499999999998"/>
    <n v="0.94436885958806405"/>
    <n v="358900"/>
    <n v="45600"/>
    <n v="404500"/>
    <n v="104600"/>
    <n v="509100"/>
    <n v="-2.1765417170495769E-2"/>
    <n v="-4.6490428441203283E-2"/>
    <n v="-2.6949541284403671E-2"/>
  </r>
  <r>
    <n v="2025"/>
    <s v="20133122408    "/>
    <n v="1.951608170169951"/>
    <n v="7.04"/>
    <m/>
    <s v="2"/>
    <s v="RES"/>
    <s v="MX"/>
    <s v="11"/>
    <s v="331"/>
    <s v="CU"/>
    <x v="10"/>
    <s v="GD"/>
    <n v="20"/>
    <n v="23"/>
    <n v="23"/>
    <n v="2001"/>
    <n v="2001"/>
    <n v="2427"/>
    <m/>
    <m/>
    <m/>
    <m/>
    <n v="0"/>
    <n v="2427"/>
    <n v="2500"/>
    <s v="B"/>
    <m/>
    <n v="681"/>
    <m/>
    <m/>
    <m/>
    <m/>
    <m/>
    <n v="791013"/>
    <n v="735642"/>
    <n v="142070"/>
    <n v="6000"/>
    <n v="73100"/>
    <n v="699100"/>
    <n v="778200"/>
    <n v="132535.48800000001"/>
    <n v="88356.992000000013"/>
    <n v="25613.532091533063"/>
    <n v="62220.902449590503"/>
    <n v="30300.329274"/>
    <n v="-2501.0453000000002"/>
    <n v="151469.99226"/>
    <n v="0"/>
    <n v="0"/>
    <n v="24040.002111000002"/>
    <n v="142100"/>
    <n v="398100"/>
    <n v="114000"/>
    <n v="654200"/>
    <n v="-0.1593420714469288"/>
    <n v="0.99970000000000003"/>
    <n v="1"/>
    <n v="0.997"/>
    <n v="1.0008999999999999"/>
    <n v="1.0138"/>
    <n v="0.94971499999999998"/>
    <n v="0.96079654314241891"/>
    <n v="392900"/>
    <n v="134900"/>
    <n v="527800"/>
    <n v="108200"/>
    <n v="636000"/>
    <n v="-0.24502932341582034"/>
    <n v="0.48016415868673051"/>
    <n v="-0.1827293754818812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9">
  <r>
    <n v="2025"/>
    <n v="19120114460"/>
    <n v="-1.7147984280919266"/>
    <n v="0.18"/>
    <n v="7992"/>
    <n v="2"/>
    <s v="RES"/>
    <n v="317"/>
    <s v="MX"/>
    <s v="R2"/>
    <n v="11"/>
    <n v="259"/>
    <s v="CO"/>
    <s v="A+"/>
    <s v="EX"/>
    <n v="2022"/>
    <n v="2022"/>
    <x v="0"/>
    <n v="2"/>
    <n v="2"/>
    <n v="1"/>
    <n v="1580"/>
    <n v="0"/>
    <n v="0"/>
    <n v="0"/>
    <n v="0"/>
    <n v="0"/>
    <n v="1580"/>
    <x v="0"/>
    <n v="3"/>
    <s v="N"/>
    <s v="HP"/>
    <s v="G"/>
    <m/>
    <n v="0"/>
    <n v="0"/>
    <n v="0"/>
    <n v="0"/>
    <n v="0"/>
    <n v="9"/>
    <n v="616"/>
    <n v="0"/>
    <n v="0"/>
    <n v="0"/>
    <n v="144"/>
    <n v="0"/>
    <n v="100"/>
    <n v="100"/>
    <n v="283858"/>
    <n v="281019"/>
    <n v="434"/>
    <n v="365"/>
    <n v="69"/>
    <n v="0"/>
    <d v="2022-10-24T00:00:00"/>
    <s v="E038772"/>
    <n v="389990"/>
    <n v="389990"/>
    <s v="SWD"/>
    <n v="30"/>
    <s v="N"/>
    <s v="Y"/>
    <n v="392600"/>
    <n v="62500"/>
    <n v="330100"/>
    <n v="0"/>
    <n v="392449.06846907281"/>
    <n v="393636.1005094382"/>
    <n v="-1187.0318309999998"/>
    <n v="132535.48800000001"/>
    <n v="88356.992000000013"/>
    <n v="-22505.565020573864"/>
    <n v="37154.252388000001"/>
    <n v="47371.278778200001"/>
    <n v="-217.48220000000001"/>
    <n v="98608.400399999999"/>
    <n v="0"/>
    <n v="0"/>
    <n v="-9412.7029999999995"/>
    <n v="0"/>
    <n v="21745.435096000001"/>
    <n v="0"/>
    <n v="392449.0646106262"/>
    <n v="0"/>
    <n v="326600"/>
    <n v="65900"/>
    <n v="392500"/>
    <n v="0.99360509554140131"/>
    <n v="-2.5471217524197657E-4"/>
    <n v="0.99970000000000003"/>
    <n v="0.99819999999999998"/>
    <n v="1.0012000000000001"/>
    <n v="1.0007999999999999"/>
    <n v="0.99080000000000001"/>
    <n v="0.94971499999999998"/>
    <n v="0.94116333171746858"/>
    <n v="320000"/>
    <n v="0"/>
    <n v="320000"/>
    <n v="62500"/>
    <n v="382500"/>
    <n v="-3.0596788851863073E-2"/>
    <n v="0"/>
    <n v="-2.5725929699439633E-2"/>
    <n v="0.97775062993666506"/>
  </r>
  <r>
    <n v="2025"/>
    <n v="19120114467"/>
    <n v="-1.5606477482646683"/>
    <n v="0.21"/>
    <n v="9068"/>
    <n v="2"/>
    <s v="RES"/>
    <n v="317"/>
    <s v="MX"/>
    <s v="R2"/>
    <n v="11"/>
    <n v="259"/>
    <s v="CO"/>
    <s v="G"/>
    <s v="EX"/>
    <n v="2022"/>
    <n v="2022"/>
    <x v="0"/>
    <n v="2"/>
    <n v="2"/>
    <n v="2"/>
    <n v="918"/>
    <n v="1296"/>
    <n v="0"/>
    <n v="0"/>
    <n v="0"/>
    <n v="0"/>
    <n v="2214"/>
    <x v="1"/>
    <n v="2"/>
    <s v="S"/>
    <s v="HP"/>
    <s v="G"/>
    <m/>
    <n v="0"/>
    <n v="0"/>
    <n v="0"/>
    <n v="0"/>
    <n v="1"/>
    <n v="13"/>
    <n v="0"/>
    <n v="400"/>
    <n v="0"/>
    <n v="0"/>
    <n v="192"/>
    <n v="0"/>
    <n v="100"/>
    <n v="100"/>
    <n v="401092"/>
    <n v="397081"/>
    <n v="676"/>
    <n v="365"/>
    <n v="311"/>
    <n v="0"/>
    <d v="2022-02-24T00:00:00"/>
    <s v="E035369"/>
    <n v="456517"/>
    <n v="456517"/>
    <s v="SWD"/>
    <n v="30"/>
    <s v="N"/>
    <s v="Y"/>
    <n v="431100"/>
    <n v="64600"/>
    <n v="366500"/>
    <n v="0"/>
    <n v="421353.81888589216"/>
    <n v="438862.19080368167"/>
    <n v="-17508.370931000001"/>
    <n v="132535.48800000001"/>
    <n v="88356.992000000013"/>
    <n v="-20482.442016152701"/>
    <n v="32917.849192000001"/>
    <n v="47371.278778200001"/>
    <n v="-217.48220000000001"/>
    <n v="57292.728840000003"/>
    <n v="77216.176368"/>
    <n v="0"/>
    <n v="4112.8784489"/>
    <n v="0"/>
    <n v="0"/>
    <n v="19758.72"/>
    <n v="421353.8164799473"/>
    <n v="0"/>
    <n v="353500"/>
    <n v="67900"/>
    <n v="421400"/>
    <n v="1.0833341243474133"/>
    <n v="-2.2500579911853398E-2"/>
    <n v="0.99970000000000003"/>
    <n v="1.0019"/>
    <n v="1.0012000000000001"/>
    <n v="1.0008999999999999"/>
    <n v="0.99080000000000001"/>
    <n v="0.94971499999999998"/>
    <n v="0.94474630517542935"/>
    <n v="363700"/>
    <n v="0"/>
    <n v="363700"/>
    <n v="64500"/>
    <n v="428200"/>
    <n v="-7.639836289222374E-3"/>
    <n v="-1.5479876160990713E-3"/>
    <n v="-6.7269774994200881E-3"/>
    <n v="0.89961957401148263"/>
  </r>
  <r>
    <n v="2025"/>
    <n v="19120114468"/>
    <n v="-1.6607312068216509"/>
    <n v="0.19"/>
    <n v="8138"/>
    <n v="2"/>
    <s v="RES"/>
    <n v="317"/>
    <s v="MX"/>
    <s v="R2"/>
    <n v="11"/>
    <n v="259"/>
    <s v="CO"/>
    <s v="G"/>
    <s v="EX"/>
    <n v="2022"/>
    <n v="2022"/>
    <x v="0"/>
    <n v="2"/>
    <n v="2"/>
    <n v="2"/>
    <n v="1316"/>
    <n v="1686"/>
    <n v="0"/>
    <n v="0"/>
    <n v="0"/>
    <n v="0"/>
    <n v="3002"/>
    <x v="2"/>
    <n v="2"/>
    <s v="N"/>
    <s v="HP"/>
    <s v="G"/>
    <m/>
    <n v="0"/>
    <n v="0"/>
    <n v="0"/>
    <n v="0"/>
    <n v="0"/>
    <n v="14"/>
    <n v="0"/>
    <n v="460"/>
    <n v="0"/>
    <n v="0"/>
    <n v="0"/>
    <n v="0"/>
    <n v="100"/>
    <n v="100"/>
    <n v="509466"/>
    <n v="504371"/>
    <n v="682"/>
    <n v="365"/>
    <n v="317"/>
    <n v="0"/>
    <d v="2022-02-18T00:00:00"/>
    <s v="E035287"/>
    <n v="496129"/>
    <n v="496129"/>
    <s v="SWD"/>
    <n v="30"/>
    <s v="N"/>
    <s v="Y"/>
    <n v="480200"/>
    <n v="63200"/>
    <n v="417000"/>
    <n v="0"/>
    <n v="457149.53756576864"/>
    <n v="475062.57080283313"/>
    <n v="-17913.032231000001"/>
    <n v="132535.48800000001"/>
    <n v="88356.992000000013"/>
    <n v="-21795.969453044734"/>
    <n v="32917.849192000001"/>
    <n v="47371.278778200001"/>
    <n v="-217.48220000000001"/>
    <n v="82132.06008000001"/>
    <n v="100452.525738"/>
    <n v="0"/>
    <n v="-9412.7029999999995"/>
    <n v="0"/>
    <n v="0"/>
    <n v="22722.527999999998"/>
    <n v="457149.5349041553"/>
    <n v="0"/>
    <n v="390600"/>
    <n v="66600"/>
    <n v="457200"/>
    <n v="1.0851465441819772"/>
    <n v="-4.7896709704289879E-2"/>
    <n v="0.99970000000000003"/>
    <n v="1.0019"/>
    <n v="1.0012000000000001"/>
    <n v="0.98509999999999998"/>
    <n v="0.99080000000000001"/>
    <n v="0.94971499999999998"/>
    <n v="0.92983273576612613"/>
    <n v="399200"/>
    <n v="0"/>
    <n v="399200"/>
    <n v="63200"/>
    <n v="462400"/>
    <n v="-4.2685851318944847E-2"/>
    <n v="0"/>
    <n v="-3.7067888379841735E-2"/>
    <n v="0.8959100713100826"/>
  </r>
  <r>
    <n v="2025"/>
    <n v="19120114470"/>
    <n v="-1.6607312068216509"/>
    <n v="0.19"/>
    <n v="8387"/>
    <n v="2"/>
    <s v="RES"/>
    <n v="317"/>
    <s v="MX"/>
    <s v="R2"/>
    <n v="11"/>
    <n v="259"/>
    <s v="CO"/>
    <s v="A+"/>
    <s v="EX"/>
    <n v="2022"/>
    <n v="2022"/>
    <x v="0"/>
    <n v="2"/>
    <n v="2"/>
    <n v="1"/>
    <n v="1580"/>
    <n v="0"/>
    <n v="0"/>
    <n v="0"/>
    <n v="0"/>
    <n v="0"/>
    <n v="1580"/>
    <x v="0"/>
    <n v="3"/>
    <s v="N"/>
    <s v="HP"/>
    <s v="G"/>
    <m/>
    <n v="0"/>
    <n v="0"/>
    <n v="1"/>
    <n v="0"/>
    <n v="0"/>
    <n v="10"/>
    <n v="598"/>
    <n v="0"/>
    <n v="0"/>
    <n v="0"/>
    <n v="100"/>
    <n v="0"/>
    <n v="100"/>
    <n v="100"/>
    <n v="292296"/>
    <n v="289373"/>
    <n v="619"/>
    <n v="365"/>
    <n v="254"/>
    <n v="0"/>
    <d v="2022-04-22T00:00:00"/>
    <s v="E036132"/>
    <n v="409043"/>
    <n v="409043"/>
    <s v="SWD"/>
    <n v="30"/>
    <s v="N"/>
    <s v="Y"/>
    <n v="397900"/>
    <n v="63200"/>
    <n v="334700"/>
    <n v="0"/>
    <n v="389853.29265351791"/>
    <n v="403517.38203819504"/>
    <n v="-13664.088581"/>
    <n v="132535.48800000001"/>
    <n v="88356.992000000013"/>
    <n v="-21795.969453044734"/>
    <n v="37154.252388000001"/>
    <n v="47371.278778200001"/>
    <n v="-217.48220000000001"/>
    <n v="98608.400399999999"/>
    <n v="0"/>
    <n v="0"/>
    <n v="-9412.7029999999995"/>
    <n v="9807.1044999999995"/>
    <n v="21110.016538"/>
    <n v="0"/>
    <n v="389853.28937015531"/>
    <n v="0"/>
    <n v="323300"/>
    <n v="66600"/>
    <n v="389900"/>
    <n v="1.0490972044113875"/>
    <n v="-2.0105554159336517E-2"/>
    <n v="0.99970000000000003"/>
    <n v="0.99819999999999998"/>
    <n v="1.0012000000000001"/>
    <n v="1.0007999999999999"/>
    <n v="0.99080000000000001"/>
    <n v="0.94971499999999998"/>
    <n v="0.94116333171746858"/>
    <n v="329200"/>
    <n v="0"/>
    <n v="329200"/>
    <n v="63200"/>
    <n v="392400"/>
    <n v="-1.6432626232446967E-2"/>
    <n v="0"/>
    <n v="-1.3822568484543855E-2"/>
    <n v="0.92590732861581793"/>
  </r>
  <r>
    <n v="2025"/>
    <n v="19120114471"/>
    <n v="-1.8325814637483102"/>
    <n v="0.16"/>
    <n v="7004"/>
    <n v="2"/>
    <s v="RES"/>
    <n v="317"/>
    <s v="MX"/>
    <s v="R2"/>
    <n v="11"/>
    <n v="259"/>
    <s v="CO"/>
    <s v="A+"/>
    <s v="EX"/>
    <n v="2022"/>
    <n v="2022"/>
    <x v="0"/>
    <n v="2"/>
    <n v="2"/>
    <n v="1"/>
    <n v="1580"/>
    <n v="0"/>
    <n v="0"/>
    <n v="0"/>
    <n v="0"/>
    <n v="0"/>
    <n v="1580"/>
    <x v="0"/>
    <n v="2"/>
    <s v="N"/>
    <s v="HP"/>
    <s v="G"/>
    <m/>
    <n v="0"/>
    <n v="0"/>
    <n v="0"/>
    <n v="1"/>
    <n v="0"/>
    <n v="9"/>
    <n v="480"/>
    <n v="0"/>
    <n v="0"/>
    <n v="0"/>
    <n v="100"/>
    <n v="0"/>
    <n v="100"/>
    <n v="100"/>
    <n v="279034"/>
    <n v="276244"/>
    <n v="686"/>
    <n v="365"/>
    <n v="321"/>
    <n v="0"/>
    <d v="2022-02-14T00:00:00"/>
    <s v="E035526"/>
    <n v="386449"/>
    <n v="386449"/>
    <s v="SWD"/>
    <n v="30"/>
    <s v="N"/>
    <s v="Y"/>
    <n v="385000"/>
    <n v="60800"/>
    <n v="324200"/>
    <n v="0"/>
    <n v="369106.53054105514"/>
    <n v="387289.33799096954"/>
    <n v="-18182.806431000001"/>
    <n v="132535.48800000001"/>
    <n v="88356.992000000013"/>
    <n v="-24051.387388882686"/>
    <n v="37154.252388000001"/>
    <n v="47371.278778200001"/>
    <n v="-217.48220000000001"/>
    <n v="98608.400399999999"/>
    <n v="0"/>
    <n v="0"/>
    <n v="-9412.7029999999995"/>
    <n v="0"/>
    <n v="16944.494880000002"/>
    <n v="0"/>
    <n v="369106.52742631733"/>
    <n v="0"/>
    <n v="304800"/>
    <n v="64300"/>
    <n v="369100"/>
    <n v="1.047003522080737"/>
    <n v="-4.12987012987013E-2"/>
    <n v="0.99970000000000003"/>
    <n v="0.99819999999999998"/>
    <n v="1.0012000000000001"/>
    <n v="1.0007999999999999"/>
    <n v="0.99080000000000001"/>
    <n v="0.94971499999999998"/>
    <n v="0.94116333171746858"/>
    <n v="315200"/>
    <n v="0"/>
    <n v="315200"/>
    <n v="61100"/>
    <n v="376300"/>
    <n v="-2.7760641579272053E-2"/>
    <n v="4.9342105263157892E-3"/>
    <n v="-2.2597402597402599E-2"/>
    <n v="0.9266868165501787"/>
  </r>
  <r>
    <n v="2025"/>
    <n v="19120114472"/>
    <n v="-1.8325814637483102"/>
    <n v="0.16"/>
    <n v="7001"/>
    <n v="2"/>
    <s v="RES"/>
    <n v="317"/>
    <s v="MX"/>
    <s v="R2"/>
    <n v="11"/>
    <n v="259"/>
    <s v="CO"/>
    <s v="A+"/>
    <s v="EX"/>
    <n v="2022"/>
    <n v="2022"/>
    <x v="0"/>
    <n v="2"/>
    <n v="2"/>
    <n v="1"/>
    <n v="1452"/>
    <n v="0"/>
    <n v="0"/>
    <n v="0"/>
    <n v="0"/>
    <n v="0"/>
    <n v="1452"/>
    <x v="3"/>
    <n v="3"/>
    <s v="N"/>
    <s v="HP"/>
    <s v="G"/>
    <m/>
    <n v="0"/>
    <n v="0"/>
    <n v="0"/>
    <n v="1"/>
    <n v="0"/>
    <n v="9"/>
    <n v="616"/>
    <n v="0"/>
    <n v="0"/>
    <n v="0"/>
    <n v="100"/>
    <n v="0"/>
    <n v="100"/>
    <n v="100"/>
    <n v="265015"/>
    <n v="262365"/>
    <n v="637"/>
    <n v="365"/>
    <n v="272"/>
    <n v="0"/>
    <d v="2022-04-04T00:00:00"/>
    <s v="E035914"/>
    <n v="382464"/>
    <n v="382464"/>
    <s v="SWD"/>
    <n v="30"/>
    <s v="N"/>
    <s v="Y"/>
    <n v="382600"/>
    <n v="60800"/>
    <n v="321800"/>
    <n v="0"/>
    <n v="369223.67617223185"/>
    <n v="384101.74951473397"/>
    <n v="-14878.072480999999"/>
    <n v="132535.48800000001"/>
    <n v="88356.992000000013"/>
    <n v="-24051.387388882686"/>
    <n v="37154.252388000001"/>
    <n v="47371.278778200001"/>
    <n v="-217.48220000000001"/>
    <n v="90619.871760000009"/>
    <n v="0"/>
    <n v="0"/>
    <n v="-9412.7029999999995"/>
    <n v="0"/>
    <n v="21745.435096000001"/>
    <n v="0"/>
    <n v="369223.67295231728"/>
    <n v="0"/>
    <n v="304900"/>
    <n v="64300"/>
    <n v="369200"/>
    <n v="1.0359263271939327"/>
    <n v="-3.5023523261892314E-2"/>
    <n v="0.99970000000000003"/>
    <n v="0.99819999999999998"/>
    <n v="1.0012000000000001"/>
    <n v="0.99519999999999997"/>
    <n v="0.99080000000000001"/>
    <n v="0.94971499999999998"/>
    <n v="0.93589703010114389"/>
    <n v="311300"/>
    <n v="0"/>
    <n v="311300"/>
    <n v="61100"/>
    <n v="372400"/>
    <n v="-3.2628962088253576E-2"/>
    <n v="4.9342105263157892E-3"/>
    <n v="-2.6659696811291166E-2"/>
    <n v="0.93478582956565848"/>
  </r>
  <r>
    <n v="2025"/>
    <n v="19120114473"/>
    <n v="-1.8325814637483102"/>
    <n v="0.16"/>
    <n v="7001"/>
    <n v="2"/>
    <s v="RES"/>
    <n v="317"/>
    <s v="MX"/>
    <s v="R2"/>
    <n v="11"/>
    <n v="259"/>
    <s v="CO"/>
    <s v="A+"/>
    <s v="EX"/>
    <n v="2022"/>
    <n v="2022"/>
    <x v="0"/>
    <n v="2"/>
    <n v="2"/>
    <n v="1"/>
    <n v="1619"/>
    <n v="0"/>
    <n v="0"/>
    <n v="0"/>
    <n v="0"/>
    <n v="0"/>
    <n v="1619"/>
    <x v="0"/>
    <n v="2"/>
    <s v="S"/>
    <s v="HP"/>
    <s v="G"/>
    <m/>
    <n v="0"/>
    <n v="0"/>
    <n v="1"/>
    <n v="0"/>
    <n v="0"/>
    <n v="9"/>
    <n v="480"/>
    <n v="0"/>
    <n v="0"/>
    <n v="0"/>
    <n v="0"/>
    <n v="0"/>
    <n v="100"/>
    <n v="100"/>
    <n v="293457"/>
    <n v="290522"/>
    <n v="636"/>
    <n v="365"/>
    <n v="271"/>
    <n v="0"/>
    <d v="2022-04-05T00:00:00"/>
    <s v="E036001"/>
    <n v="404418"/>
    <n v="404418"/>
    <s v="SWD"/>
    <n v="30"/>
    <s v="N"/>
    <s v="Y"/>
    <n v="398100"/>
    <n v="60800"/>
    <n v="337300"/>
    <n v="0"/>
    <n v="398245.39861294982"/>
    <n v="413056.02840223938"/>
    <n v="-14810.628930999999"/>
    <n v="132535.48800000001"/>
    <n v="88356.992000000013"/>
    <n v="-24051.387388882686"/>
    <n v="37154.252388000001"/>
    <n v="47371.278778200001"/>
    <n v="-217.48220000000001"/>
    <n v="101042.40522"/>
    <n v="0"/>
    <n v="0"/>
    <n v="4112.8784489"/>
    <n v="9807.1044999999995"/>
    <n v="16944.494880000002"/>
    <n v="0"/>
    <n v="398245.39569521736"/>
    <n v="0"/>
    <n v="333900"/>
    <n v="64300"/>
    <n v="398200"/>
    <n v="1.0156152687091913"/>
    <n v="2.5119316754584274E-4"/>
    <n v="0.99970000000000003"/>
    <n v="0.99819999999999998"/>
    <n v="1.0012000000000001"/>
    <n v="1.0007999999999999"/>
    <n v="0.99080000000000001"/>
    <n v="0.94971499999999998"/>
    <n v="0.94116333171746858"/>
    <n v="341000"/>
    <n v="0"/>
    <n v="341000"/>
    <n v="61100"/>
    <n v="402100"/>
    <n v="1.0969463385710051E-2"/>
    <n v="4.9342105263157892E-3"/>
    <n v="1.0047726701833711E-2"/>
    <n v="0.95764622511609276"/>
  </r>
  <r>
    <n v="2025"/>
    <n v="19120114474"/>
    <n v="-1.8325814637483102"/>
    <n v="0.16"/>
    <n v="7001"/>
    <n v="2"/>
    <s v="RES"/>
    <n v="317"/>
    <s v="MX"/>
    <s v="R2"/>
    <n v="11"/>
    <n v="259"/>
    <s v="CO"/>
    <s v="A+"/>
    <s v="EX"/>
    <n v="2022"/>
    <n v="2022"/>
    <x v="0"/>
    <n v="2"/>
    <n v="2"/>
    <n v="1"/>
    <n v="1580"/>
    <n v="0"/>
    <n v="0"/>
    <n v="0"/>
    <n v="0"/>
    <n v="0"/>
    <n v="1580"/>
    <x v="0"/>
    <n v="3"/>
    <s v="S"/>
    <s v="HP"/>
    <s v="G"/>
    <m/>
    <n v="0"/>
    <n v="0"/>
    <n v="0"/>
    <n v="0"/>
    <n v="0"/>
    <n v="10"/>
    <n v="616"/>
    <n v="0"/>
    <n v="0"/>
    <n v="0"/>
    <n v="100"/>
    <n v="0"/>
    <n v="100"/>
    <n v="100"/>
    <n v="289625"/>
    <n v="286729"/>
    <n v="592"/>
    <n v="365"/>
    <n v="227"/>
    <n v="0"/>
    <d v="2022-05-19T00:00:00"/>
    <s v="E036523"/>
    <n v="404324"/>
    <n v="404324"/>
    <s v="SWD"/>
    <n v="30"/>
    <s v="N"/>
    <s v="Y"/>
    <n v="396200"/>
    <n v="60800"/>
    <n v="335400"/>
    <n v="0"/>
    <n v="393772.74577982369"/>
    <n v="405615.85922776349"/>
    <n v="-11843.112730999999"/>
    <n v="132535.48800000001"/>
    <n v="88356.992000000013"/>
    <n v="-24051.387388882686"/>
    <n v="37154.252388000001"/>
    <n v="47371.278778200001"/>
    <n v="-217.48220000000001"/>
    <n v="98608.400399999999"/>
    <n v="0"/>
    <n v="0"/>
    <n v="4112.8784489"/>
    <n v="0"/>
    <n v="21745.435096000001"/>
    <n v="0"/>
    <n v="393772.74279121729"/>
    <n v="0"/>
    <n v="329500"/>
    <n v="64300"/>
    <n v="393800"/>
    <n v="1.0267242254951752"/>
    <n v="-6.0575466935890963E-3"/>
    <n v="0.99970000000000003"/>
    <n v="0.99819999999999998"/>
    <n v="1.0012000000000001"/>
    <n v="1.0007999999999999"/>
    <n v="0.99080000000000001"/>
    <n v="0.94971499999999998"/>
    <n v="0.94116333171746858"/>
    <n v="333500"/>
    <n v="0"/>
    <n v="333500"/>
    <n v="61100"/>
    <n v="394600"/>
    <n v="-5.6648777579010141E-3"/>
    <n v="4.9342105263157892E-3"/>
    <n v="-4.0383644623927309E-3"/>
    <n v="0.94665883615367874"/>
  </r>
  <r>
    <n v="2025"/>
    <n v="19120114475"/>
    <n v="-1.8325814637483102"/>
    <n v="0.16"/>
    <n v="7001"/>
    <n v="2"/>
    <s v="RES"/>
    <n v="317"/>
    <s v="MX"/>
    <s v="R2"/>
    <n v="11"/>
    <n v="259"/>
    <s v="CO"/>
    <s v="A+"/>
    <s v="EX"/>
    <n v="2022"/>
    <n v="2022"/>
    <x v="0"/>
    <n v="2"/>
    <n v="2"/>
    <n v="1"/>
    <n v="1580"/>
    <n v="0"/>
    <n v="0"/>
    <n v="0"/>
    <n v="0"/>
    <n v="0"/>
    <n v="1580"/>
    <x v="0"/>
    <n v="2"/>
    <s v="N"/>
    <s v="HP"/>
    <s v="G"/>
    <m/>
    <n v="0"/>
    <n v="0"/>
    <n v="0"/>
    <n v="0"/>
    <n v="0"/>
    <n v="9"/>
    <n v="400"/>
    <n v="0"/>
    <n v="0"/>
    <n v="0"/>
    <n v="100"/>
    <n v="0"/>
    <n v="100"/>
    <n v="100"/>
    <n v="276104"/>
    <n v="273343"/>
    <n v="571"/>
    <n v="365"/>
    <n v="206"/>
    <n v="0"/>
    <d v="2022-06-09T00:00:00"/>
    <s v="E037051"/>
    <n v="368290"/>
    <n v="368290"/>
    <s v="SWD"/>
    <n v="30"/>
    <s v="N"/>
    <s v="Y"/>
    <n v="381600"/>
    <n v="60800"/>
    <n v="320800"/>
    <n v="0"/>
    <n v="374038.45670941303"/>
    <n v="384465.25553989032"/>
    <n v="-10426.798181"/>
    <n v="132535.48800000001"/>
    <n v="88356.992000000013"/>
    <n v="-24051.387388882686"/>
    <n v="37154.252388000001"/>
    <n v="47371.278778200001"/>
    <n v="-217.48220000000001"/>
    <n v="98608.400399999999"/>
    <n v="0"/>
    <n v="0"/>
    <n v="-9412.7029999999995"/>
    <n v="0"/>
    <n v="14120.412400000001"/>
    <n v="0"/>
    <n v="374038.45319631731"/>
    <n v="0"/>
    <n v="309700"/>
    <n v="64300"/>
    <n v="374000"/>
    <n v="0.98473262032085562"/>
    <n v="-1.9916142557651992E-2"/>
    <n v="0.99970000000000003"/>
    <n v="0.99819999999999998"/>
    <n v="1.0012000000000001"/>
    <n v="1.0007999999999999"/>
    <n v="0.99080000000000001"/>
    <n v="0.94971499999999998"/>
    <n v="0.94116333171746858"/>
    <n v="312400"/>
    <n v="0"/>
    <n v="312400"/>
    <n v="61100"/>
    <n v="373500"/>
    <n v="-2.6184538653366583E-2"/>
    <n v="4.9342105263157892E-3"/>
    <n v="-2.1226415094339621E-2"/>
    <n v="0.98583508055879876"/>
  </r>
  <r>
    <n v="2025"/>
    <n v="19120114476"/>
    <n v="-1.8325814637483102"/>
    <n v="0.16"/>
    <n v="7001"/>
    <n v="2"/>
    <s v="RES"/>
    <n v="317"/>
    <s v="MX"/>
    <s v="R2"/>
    <n v="11"/>
    <n v="259"/>
    <s v="CO"/>
    <s v="A+"/>
    <s v="EX"/>
    <n v="2022"/>
    <n v="2022"/>
    <x v="0"/>
    <n v="2"/>
    <n v="2"/>
    <n v="1"/>
    <n v="1240"/>
    <n v="0"/>
    <n v="0"/>
    <n v="0"/>
    <n v="0"/>
    <n v="0"/>
    <n v="1240"/>
    <x v="3"/>
    <n v="2"/>
    <s v="N"/>
    <s v="HP"/>
    <s v="G"/>
    <m/>
    <n v="0"/>
    <n v="0"/>
    <n v="0"/>
    <n v="0"/>
    <n v="0"/>
    <n v="9"/>
    <n v="484"/>
    <n v="0"/>
    <n v="0"/>
    <n v="0"/>
    <n v="116"/>
    <n v="0"/>
    <n v="100"/>
    <n v="100"/>
    <n v="231209"/>
    <n v="228897"/>
    <n v="571"/>
    <n v="365"/>
    <n v="206"/>
    <n v="0"/>
    <d v="2022-06-09T00:00:00"/>
    <s v="E036960"/>
    <n v="349693"/>
    <n v="349693"/>
    <s v="SWD"/>
    <n v="30"/>
    <s v="N"/>
    <s v="Y"/>
    <n v="366300"/>
    <n v="60800"/>
    <n v="305500"/>
    <n v="0"/>
    <n v="355784.214074891"/>
    <n v="366211.01290536829"/>
    <n v="-10426.798181"/>
    <n v="132535.48800000001"/>
    <n v="88356.992000000013"/>
    <n v="-24051.387388882686"/>
    <n v="37154.252388000001"/>
    <n v="47371.278778200001"/>
    <n v="-217.48220000000001"/>
    <n v="77388.871200000009"/>
    <n v="0"/>
    <n v="0"/>
    <n v="-9412.7029999999995"/>
    <n v="0"/>
    <n v="17085.699004000002"/>
    <n v="0"/>
    <n v="355784.21060031728"/>
    <n v="0"/>
    <n v="291500"/>
    <n v="64300"/>
    <n v="355800"/>
    <n v="0.98283586284429458"/>
    <n v="-2.8665028665028666E-2"/>
    <n v="0.99970000000000003"/>
    <n v="0.99819999999999998"/>
    <n v="1.0012000000000001"/>
    <n v="0.99519999999999997"/>
    <n v="0.99080000000000001"/>
    <n v="0.94971499999999998"/>
    <n v="0.93589703010114389"/>
    <n v="293400"/>
    <n v="0"/>
    <n v="293400"/>
    <n v="61100"/>
    <n v="354500"/>
    <n v="-3.9607201309328967E-2"/>
    <n v="4.9342105263157892E-3"/>
    <n v="-3.2214032214032212E-2"/>
    <n v="0.9839293375017516"/>
  </r>
  <r>
    <n v="2025"/>
    <n v="19120114477"/>
    <n v="-1.8325814637483102"/>
    <n v="0.16"/>
    <n v="7001"/>
    <n v="2"/>
    <s v="RES"/>
    <n v="317"/>
    <s v="MX"/>
    <s v="R2"/>
    <n v="11"/>
    <n v="259"/>
    <s v="CO"/>
    <s v="A+"/>
    <s v="EX"/>
    <n v="2022"/>
    <n v="2022"/>
    <x v="0"/>
    <n v="2"/>
    <n v="2"/>
    <n v="1"/>
    <n v="1619"/>
    <n v="0"/>
    <n v="0"/>
    <n v="0"/>
    <n v="0"/>
    <n v="0"/>
    <n v="1619"/>
    <x v="0"/>
    <n v="2"/>
    <s v="N"/>
    <s v="HP"/>
    <s v="G"/>
    <m/>
    <n v="0"/>
    <n v="0"/>
    <n v="0"/>
    <n v="0"/>
    <n v="0"/>
    <n v="9"/>
    <n v="480"/>
    <n v="0"/>
    <n v="0"/>
    <n v="0"/>
    <n v="0"/>
    <n v="0"/>
    <n v="100"/>
    <n v="100"/>
    <n v="290160"/>
    <n v="287258"/>
    <n v="627"/>
    <n v="365"/>
    <n v="262"/>
    <n v="0"/>
    <d v="2022-04-14T00:00:00"/>
    <s v="E035995"/>
    <n v="399219"/>
    <n v="399219"/>
    <s v="SWD"/>
    <n v="30"/>
    <s v="N"/>
    <s v="Y"/>
    <n v="398100"/>
    <n v="60800"/>
    <n v="337300"/>
    <n v="0"/>
    <n v="375519.70500152785"/>
    <n v="389723.34281190502"/>
    <n v="-14203.636981"/>
    <n v="132535.48800000001"/>
    <n v="88356.992000000013"/>
    <n v="-24051.387388882686"/>
    <n v="37154.252388000001"/>
    <n v="47371.278778200001"/>
    <n v="-217.48220000000001"/>
    <n v="101042.40522"/>
    <n v="0"/>
    <n v="0"/>
    <n v="-9412.7029999999995"/>
    <n v="0"/>
    <n v="16944.494880000002"/>
    <n v="0"/>
    <n v="375519.70169631735"/>
    <n v="0"/>
    <n v="311200"/>
    <n v="64300"/>
    <n v="375500"/>
    <n v="1.0631664447403462"/>
    <n v="-5.6769655865360459E-2"/>
    <n v="0.99970000000000003"/>
    <n v="0.99819999999999998"/>
    <n v="1.0012000000000001"/>
    <n v="1.0007999999999999"/>
    <n v="0.99080000000000001"/>
    <n v="0.94971499999999998"/>
    <n v="0.94116333171746858"/>
    <n v="317600"/>
    <n v="0"/>
    <n v="317600"/>
    <n v="61100"/>
    <n v="378700"/>
    <n v="-5.8404980729321078E-2"/>
    <n v="4.9342105263157892E-3"/>
    <n v="-4.8731474503893493E-2"/>
    <n v="0.91302358609935896"/>
  </r>
  <r>
    <n v="2025"/>
    <n v="19120114478"/>
    <n v="-1.8325814637483102"/>
    <n v="0.16"/>
    <n v="7002"/>
    <n v="2"/>
    <s v="RES"/>
    <n v="317"/>
    <s v="MX"/>
    <s v="R2"/>
    <n v="11"/>
    <n v="259"/>
    <s v="CO"/>
    <s v="A+"/>
    <s v="EX"/>
    <n v="2022"/>
    <n v="2022"/>
    <x v="0"/>
    <n v="2"/>
    <n v="2"/>
    <n v="1"/>
    <n v="1452"/>
    <n v="0"/>
    <n v="0"/>
    <n v="0"/>
    <n v="0"/>
    <n v="0"/>
    <n v="1452"/>
    <x v="3"/>
    <n v="2"/>
    <s v="S"/>
    <s v="HP"/>
    <s v="G"/>
    <m/>
    <n v="0"/>
    <n v="0"/>
    <n v="0"/>
    <n v="0"/>
    <n v="0"/>
    <n v="9"/>
    <n v="400"/>
    <n v="0"/>
    <n v="0"/>
    <n v="0"/>
    <n v="100"/>
    <n v="0"/>
    <n v="100"/>
    <n v="100"/>
    <n v="257722"/>
    <n v="255145"/>
    <n v="228"/>
    <n v="228"/>
    <n v="0"/>
    <n v="0"/>
    <d v="2023-05-18T00:00:00"/>
    <s v="E040296"/>
    <n v="389000"/>
    <n v="389000"/>
    <s v="SWD"/>
    <n v="30"/>
    <s v="N"/>
    <s v="Y"/>
    <n v="373300"/>
    <n v="60800"/>
    <n v="312500"/>
    <n v="0"/>
    <n v="392167.72899126093"/>
    <n v="390002.30796677945"/>
    <n v="2165.4210168"/>
    <n v="132535.48800000001"/>
    <n v="88356.992000000013"/>
    <n v="-24051.387388882686"/>
    <n v="37154.252388000001"/>
    <n v="47371.278778200001"/>
    <n v="-217.48220000000001"/>
    <n v="90619.871760000009"/>
    <n v="0"/>
    <n v="0"/>
    <n v="4112.8784489"/>
    <n v="0"/>
    <n v="14120.412400000001"/>
    <n v="0"/>
    <n v="392167.72520301735"/>
    <n v="0"/>
    <n v="327900"/>
    <n v="64300"/>
    <n v="392200"/>
    <n v="0.99184089750127491"/>
    <n v="5.0629520492901155E-2"/>
    <n v="0.99970000000000003"/>
    <n v="0.99819999999999998"/>
    <n v="1.0012000000000001"/>
    <n v="0.99519999999999997"/>
    <n v="0.99080000000000001"/>
    <n v="0.94971499999999998"/>
    <n v="0.93589703010114389"/>
    <n v="317200"/>
    <n v="0"/>
    <n v="317200"/>
    <n v="61100"/>
    <n v="378300"/>
    <n v="1.504E-2"/>
    <n v="4.9342105263157892E-3"/>
    <n v="1.339405304045004E-2"/>
    <n v="0.97806020826940865"/>
  </r>
  <r>
    <n v="2025"/>
    <n v="19120114478"/>
    <n v="-1.8325814637483102"/>
    <n v="0.16"/>
    <n v="7002"/>
    <n v="2"/>
    <s v="RES"/>
    <n v="317"/>
    <s v="MX"/>
    <s v="R2"/>
    <n v="11"/>
    <n v="259"/>
    <s v="CO"/>
    <s v="A+"/>
    <s v="EX"/>
    <n v="2022"/>
    <n v="2022"/>
    <x v="0"/>
    <n v="2"/>
    <n v="2"/>
    <n v="1"/>
    <n v="1452"/>
    <n v="0"/>
    <n v="0"/>
    <n v="0"/>
    <n v="0"/>
    <n v="0"/>
    <n v="1452"/>
    <x v="3"/>
    <n v="2"/>
    <s v="S"/>
    <s v="HP"/>
    <s v="G"/>
    <m/>
    <n v="0"/>
    <n v="0"/>
    <n v="0"/>
    <n v="0"/>
    <n v="0"/>
    <n v="9"/>
    <n v="400"/>
    <n v="0"/>
    <n v="0"/>
    <n v="0"/>
    <n v="100"/>
    <n v="0"/>
    <n v="100"/>
    <n v="100"/>
    <n v="257722"/>
    <n v="255145"/>
    <n v="587"/>
    <n v="365"/>
    <n v="222"/>
    <n v="0"/>
    <d v="2022-05-24T00:00:00"/>
    <s v="E036605"/>
    <n v="370636"/>
    <n v="370636"/>
    <s v="SWD"/>
    <n v="30"/>
    <s v="N"/>
    <s v="Y"/>
    <n v="373300"/>
    <n v="60800"/>
    <n v="312500"/>
    <n v="0"/>
    <n v="378496.41228490218"/>
    <n v="390002.30796677945"/>
    <n v="-11505.894980999999"/>
    <n v="132535.48800000001"/>
    <n v="88356.992000000013"/>
    <n v="-24051.387388882686"/>
    <n v="37154.252388000001"/>
    <n v="47371.278778200001"/>
    <n v="-217.48220000000001"/>
    <n v="90619.871760000009"/>
    <n v="0"/>
    <n v="0"/>
    <n v="4112.8784489"/>
    <n v="0"/>
    <n v="14120.412400000001"/>
    <n v="0"/>
    <n v="378496.40920521726"/>
    <n v="0"/>
    <n v="314200"/>
    <n v="64300"/>
    <n v="378500"/>
    <n v="0.97922324966974905"/>
    <n v="1.3929815162068041E-2"/>
    <n v="0.99970000000000003"/>
    <n v="0.99819999999999998"/>
    <n v="1.0012000000000001"/>
    <n v="0.99519999999999997"/>
    <n v="0.99080000000000001"/>
    <n v="0.94971499999999998"/>
    <n v="0.93589703010114389"/>
    <n v="317200"/>
    <n v="0"/>
    <n v="317200"/>
    <n v="61100"/>
    <n v="378300"/>
    <n v="1.504E-2"/>
    <n v="4.9342105263157892E-3"/>
    <n v="1.339405304045004E-2"/>
    <n v="0.98963431781856059"/>
  </r>
  <r>
    <n v="2025"/>
    <n v="19120114479"/>
    <n v="-1.8325814637483102"/>
    <n v="0.16"/>
    <n v="7027"/>
    <n v="2"/>
    <s v="RES"/>
    <n v="317"/>
    <s v="MX"/>
    <s v="R2"/>
    <n v="11"/>
    <n v="259"/>
    <s v="CO"/>
    <s v="G"/>
    <s v="EX"/>
    <n v="2022"/>
    <n v="2022"/>
    <x v="0"/>
    <n v="2"/>
    <n v="2"/>
    <n v="2"/>
    <n v="918"/>
    <n v="1296"/>
    <n v="0"/>
    <n v="0"/>
    <n v="0"/>
    <n v="0"/>
    <n v="2214"/>
    <x v="1"/>
    <n v="2"/>
    <s v="N"/>
    <s v="HP"/>
    <s v="G"/>
    <m/>
    <n v="0"/>
    <n v="0"/>
    <n v="0"/>
    <n v="0"/>
    <n v="1"/>
    <n v="13"/>
    <n v="0"/>
    <n v="400"/>
    <n v="0"/>
    <n v="0"/>
    <n v="100"/>
    <n v="0"/>
    <n v="100"/>
    <n v="100"/>
    <n v="392433"/>
    <n v="388509"/>
    <n v="698"/>
    <n v="365"/>
    <n v="333"/>
    <n v="0"/>
    <d v="2022-02-02T00:00:00"/>
    <s v="E035374"/>
    <n v="426408"/>
    <n v="426408"/>
    <s v="SWD"/>
    <n v="30"/>
    <s v="N"/>
    <s v="Y"/>
    <n v="416300"/>
    <n v="60800"/>
    <n v="355500"/>
    <n v="0"/>
    <n v="402775.53431102622"/>
    <n v="421767.66439949069"/>
    <n v="-18992.129031"/>
    <n v="132535.48800000001"/>
    <n v="88356.992000000013"/>
    <n v="-24051.387388882686"/>
    <n v="32917.849192000001"/>
    <n v="47371.278778200001"/>
    <n v="-217.48220000000001"/>
    <n v="57292.728840000003"/>
    <n v="77216.176368"/>
    <n v="0"/>
    <n v="-9412.7029999999995"/>
    <n v="0"/>
    <n v="0"/>
    <n v="19758.72"/>
    <n v="402775.53155831737"/>
    <n v="0"/>
    <n v="338500"/>
    <n v="64300"/>
    <n v="402800"/>
    <n v="1.0586097318768619"/>
    <n v="-3.2428537112659139E-2"/>
    <n v="0.99970000000000003"/>
    <n v="1.0019"/>
    <n v="1.0012000000000001"/>
    <n v="1.0008999999999999"/>
    <n v="0.99080000000000001"/>
    <n v="0.94971499999999998"/>
    <n v="0.94474630517542935"/>
    <n v="350100"/>
    <n v="0"/>
    <n v="350100"/>
    <n v="61100"/>
    <n v="411200"/>
    <n v="-1.5189873417721518E-2"/>
    <n v="4.9342105263157892E-3"/>
    <n v="-1.2250780687004564E-2"/>
    <n v="0.91979482319515582"/>
  </r>
  <r>
    <n v="2025"/>
    <n v="19120114487"/>
    <n v="-1.6094379124341003"/>
    <n v="0.2"/>
    <n v="8561"/>
    <n v="2"/>
    <s v="RES"/>
    <n v="317"/>
    <s v="MX"/>
    <s v="R2"/>
    <n v="11"/>
    <n v="259"/>
    <s v="CO"/>
    <s v="G"/>
    <s v="EX"/>
    <n v="2022"/>
    <n v="2022"/>
    <x v="0"/>
    <n v="2"/>
    <n v="2"/>
    <n v="1"/>
    <n v="1842"/>
    <n v="0"/>
    <n v="0"/>
    <n v="0"/>
    <n v="0"/>
    <n v="0"/>
    <n v="1842"/>
    <x v="0"/>
    <n v="3"/>
    <s v="N"/>
    <s v="HP"/>
    <s v="G"/>
    <m/>
    <n v="0"/>
    <n v="0"/>
    <n v="1"/>
    <n v="0"/>
    <n v="0"/>
    <n v="9"/>
    <n v="808"/>
    <n v="0"/>
    <n v="0"/>
    <n v="0"/>
    <n v="216"/>
    <n v="0"/>
    <n v="100"/>
    <n v="100"/>
    <n v="370341"/>
    <n v="366638"/>
    <n v="579"/>
    <n v="365"/>
    <n v="214"/>
    <n v="0"/>
    <d v="2022-06-01T00:00:00"/>
    <s v="E036732"/>
    <n v="420698"/>
    <n v="420698"/>
    <s v="SWD"/>
    <n v="30"/>
    <s v="N"/>
    <s v="Y"/>
    <n v="408800"/>
    <n v="64000"/>
    <n v="344800"/>
    <n v="0"/>
    <n v="412752.55723970116"/>
    <n v="423718.90449587855"/>
    <n v="-10966.346581"/>
    <n v="132535.48800000001"/>
    <n v="88356.992000000013"/>
    <n v="-21122.779792355024"/>
    <n v="32917.849192000001"/>
    <n v="47371.278778200001"/>
    <n v="-217.48220000000001"/>
    <n v="114959.91996"/>
    <n v="0"/>
    <n v="0"/>
    <n v="-9412.7029999999995"/>
    <n v="9807.1044999999995"/>
    <n v="28523.233048000002"/>
    <n v="0"/>
    <n v="412752.55390484503"/>
    <n v="0"/>
    <n v="345500"/>
    <n v="67200"/>
    <n v="412700"/>
    <n v="1.0193796946934819"/>
    <n v="9.5401174168297451E-3"/>
    <n v="0.99970000000000003"/>
    <n v="1.0019"/>
    <n v="1.0012000000000001"/>
    <n v="1.0007999999999999"/>
    <n v="0.99080000000000001"/>
    <n v="0.94971499999999998"/>
    <n v="0.94465191549562377"/>
    <n v="349100"/>
    <n v="0"/>
    <n v="349100"/>
    <n v="63900"/>
    <n v="413000"/>
    <n v="1.2470997679814385E-2"/>
    <n v="-1.5625000000000001E-3"/>
    <n v="1.0273972602739725E-2"/>
    <n v="0.95563481028909092"/>
  </r>
  <r>
    <n v="2025"/>
    <n v="19120114488"/>
    <n v="-1.6607312068216509"/>
    <n v="0.19"/>
    <n v="8461"/>
    <n v="2"/>
    <s v="RES"/>
    <n v="317"/>
    <s v="MX"/>
    <s v="R2"/>
    <n v="11"/>
    <n v="259"/>
    <s v="CO"/>
    <s v="G"/>
    <s v="EX"/>
    <n v="2022"/>
    <n v="2022"/>
    <x v="0"/>
    <n v="2"/>
    <n v="2"/>
    <n v="2"/>
    <n v="1328"/>
    <n v="1686"/>
    <n v="0"/>
    <n v="0"/>
    <n v="0"/>
    <n v="0"/>
    <n v="3014"/>
    <x v="2"/>
    <n v="2"/>
    <s v="S"/>
    <s v="HP"/>
    <s v="G"/>
    <m/>
    <n v="0"/>
    <n v="0"/>
    <n v="1"/>
    <n v="0"/>
    <n v="0"/>
    <n v="14"/>
    <n v="0"/>
    <n v="460"/>
    <n v="0"/>
    <n v="0"/>
    <n v="0"/>
    <n v="0"/>
    <n v="100"/>
    <n v="100"/>
    <n v="514186"/>
    <n v="509044"/>
    <n v="601"/>
    <n v="365"/>
    <n v="236"/>
    <n v="0"/>
    <d v="2022-05-10T00:00:00"/>
    <s v="E036406"/>
    <n v="486475"/>
    <n v="486475"/>
    <s v="SWD"/>
    <n v="30"/>
    <s v="N"/>
    <s v="Y"/>
    <n v="478400"/>
    <n v="63200"/>
    <n v="415200"/>
    <n v="0"/>
    <n v="486694.07552660309"/>
    <n v="499144.18095345533"/>
    <n v="-12450.104681000001"/>
    <n v="132535.48800000001"/>
    <n v="88356.992000000013"/>
    <n v="-21795.969453044734"/>
    <n v="32917.849192000001"/>
    <n v="47371.278778200001"/>
    <n v="-217.48220000000001"/>
    <n v="82880.98464000001"/>
    <n v="100452.525738"/>
    <n v="0"/>
    <n v="4112.8784489"/>
    <n v="9807.1044999999995"/>
    <n v="0"/>
    <n v="22722.527999999998"/>
    <n v="486694.07296305528"/>
    <n v="0"/>
    <n v="420100"/>
    <n v="66600"/>
    <n v="486700"/>
    <n v="0.9995377028970619"/>
    <n v="1.7349498327759196E-2"/>
    <n v="0.99970000000000003"/>
    <n v="1.0019"/>
    <n v="1.0012000000000001"/>
    <n v="0.98509999999999998"/>
    <n v="0.99080000000000001"/>
    <n v="0.94971499999999998"/>
    <n v="0.92983273576612613"/>
    <n v="423300"/>
    <n v="0"/>
    <n v="423300"/>
    <n v="63200"/>
    <n v="486500"/>
    <n v="1.9508670520231215E-2"/>
    <n v="0"/>
    <n v="1.69314381270903E-2"/>
    <n v="0.97445890399095536"/>
  </r>
  <r>
    <n v="2025"/>
    <n v="19120114489"/>
    <n v="-1.6607312068216509"/>
    <n v="0.19"/>
    <n v="8323"/>
    <n v="2"/>
    <s v="RES"/>
    <n v="317"/>
    <s v="MX"/>
    <s v="R2"/>
    <n v="11"/>
    <n v="259"/>
    <s v="CO"/>
    <s v="G"/>
    <s v="EX"/>
    <n v="2022"/>
    <n v="2022"/>
    <x v="0"/>
    <n v="2"/>
    <n v="2"/>
    <n v="1"/>
    <n v="1842"/>
    <n v="0"/>
    <n v="0"/>
    <n v="0"/>
    <n v="0"/>
    <n v="0"/>
    <n v="1842"/>
    <x v="0"/>
    <n v="3"/>
    <s v="N"/>
    <s v="HP"/>
    <s v="G"/>
    <m/>
    <n v="0"/>
    <n v="0"/>
    <n v="1"/>
    <n v="0"/>
    <n v="0"/>
    <n v="9"/>
    <n v="656"/>
    <n v="0"/>
    <n v="0"/>
    <n v="0"/>
    <n v="268"/>
    <n v="0"/>
    <n v="100"/>
    <n v="100"/>
    <n v="365193"/>
    <n v="361541"/>
    <n v="667"/>
    <n v="365"/>
    <n v="302"/>
    <n v="0"/>
    <d v="2022-03-05T00:00:00"/>
    <s v="E035703"/>
    <n v="424655"/>
    <n v="424655"/>
    <s v="SWD"/>
    <n v="30"/>
    <s v="N"/>
    <s v="Y"/>
    <n v="401400"/>
    <n v="63200"/>
    <n v="338200"/>
    <n v="0"/>
    <n v="400778.57824652304"/>
    <n v="417679.95818540012"/>
    <n v="-16901.378981000002"/>
    <n v="132535.48800000001"/>
    <n v="88356.992000000013"/>
    <n v="-21795.969453044734"/>
    <n v="32917.849192000001"/>
    <n v="47371.278778200001"/>
    <n v="-217.48220000000001"/>
    <n v="114959.91996"/>
    <n v="0"/>
    <n v="0"/>
    <n v="-9412.7029999999995"/>
    <n v="9807.1044999999995"/>
    <n v="23157.476336"/>
    <n v="0"/>
    <n v="400778.57513215533"/>
    <n v="0"/>
    <n v="334200"/>
    <n v="66600"/>
    <n v="400800"/>
    <n v="1.0595184630738523"/>
    <n v="-1.4947683109118087E-3"/>
    <n v="0.99970000000000003"/>
    <n v="1.0019"/>
    <n v="1.0012000000000001"/>
    <n v="1.0007999999999999"/>
    <n v="0.99080000000000001"/>
    <n v="0.94971499999999998"/>
    <n v="0.94465191549562377"/>
    <n v="343800"/>
    <n v="0"/>
    <n v="343800"/>
    <n v="63200"/>
    <n v="407000"/>
    <n v="1.655824955647546E-2"/>
    <n v="0"/>
    <n v="1.3951170901843548E-2"/>
    <n v="0.918624815483157"/>
  </r>
  <r>
    <n v="2025"/>
    <n v="19120114490"/>
    <n v="-1.8325814637483102"/>
    <n v="0.16"/>
    <n v="7081"/>
    <n v="2"/>
    <s v="RES"/>
    <n v="317"/>
    <s v="MX"/>
    <s v="R2"/>
    <n v="11"/>
    <n v="259"/>
    <s v="CO"/>
    <s v="A+"/>
    <s v="EX"/>
    <n v="2022"/>
    <n v="2022"/>
    <x v="0"/>
    <n v="2"/>
    <n v="2"/>
    <n v="1"/>
    <n v="1464"/>
    <n v="0"/>
    <n v="0"/>
    <n v="0"/>
    <n v="0"/>
    <n v="0"/>
    <n v="1464"/>
    <x v="3"/>
    <n v="2"/>
    <s v="N"/>
    <s v="HP"/>
    <s v="G"/>
    <m/>
    <n v="0"/>
    <n v="0"/>
    <n v="1"/>
    <n v="1"/>
    <n v="0"/>
    <n v="9"/>
    <n v="400"/>
    <n v="0"/>
    <n v="0"/>
    <n v="0"/>
    <n v="100"/>
    <n v="0"/>
    <n v="100"/>
    <n v="100"/>
    <n v="262619"/>
    <n v="259993"/>
    <n v="669"/>
    <n v="365"/>
    <n v="304"/>
    <n v="0"/>
    <d v="2022-03-03T00:00:00"/>
    <s v="E035801"/>
    <n v="371689"/>
    <n v="371689"/>
    <s v="SWD"/>
    <n v="30"/>
    <s v="N"/>
    <s v="Y"/>
    <n v="373900"/>
    <n v="60800"/>
    <n v="313100"/>
    <n v="0"/>
    <n v="369996.48893218103"/>
    <n v="387032.755977483"/>
    <n v="-17036.266081000002"/>
    <n v="132535.48800000001"/>
    <n v="88356.992000000013"/>
    <n v="-24051.387388882686"/>
    <n v="37154.252388000001"/>
    <n v="47371.278778200001"/>
    <n v="-217.48220000000001"/>
    <n v="91368.796320000009"/>
    <n v="0"/>
    <n v="0"/>
    <n v="-9412.7029999999995"/>
    <n v="9807.1044999999995"/>
    <n v="14120.412400000001"/>
    <n v="0"/>
    <n v="369996.48571631731"/>
    <n v="0"/>
    <n v="305700"/>
    <n v="64300"/>
    <n v="370000"/>
    <n v="1.0045648648648648"/>
    <n v="-1.0430596416154053E-2"/>
    <n v="0.99970000000000003"/>
    <n v="0.99819999999999998"/>
    <n v="1.0012000000000001"/>
    <n v="0.99519999999999997"/>
    <n v="0.99080000000000001"/>
    <n v="0.94971499999999998"/>
    <n v="0.93589703010114389"/>
    <n v="314200"/>
    <n v="0"/>
    <n v="314200"/>
    <n v="61100"/>
    <n v="375300"/>
    <n v="3.5132545512615776E-3"/>
    <n v="4.9342105263157892E-3"/>
    <n v="3.744316662209147E-3"/>
    <n v="0.9638803782705434"/>
  </r>
  <r>
    <n v="2025"/>
    <n v="19120114494"/>
    <n v="-1.8325814637483102"/>
    <n v="0.16"/>
    <n v="7001"/>
    <n v="2"/>
    <s v="RES"/>
    <n v="317"/>
    <s v="MX"/>
    <s v="R2"/>
    <n v="11"/>
    <n v="259"/>
    <s v="CO"/>
    <s v="A+"/>
    <s v="EX"/>
    <n v="2022"/>
    <n v="2022"/>
    <x v="0"/>
    <n v="2"/>
    <n v="2"/>
    <n v="1"/>
    <n v="1580"/>
    <n v="0"/>
    <n v="0"/>
    <n v="0"/>
    <n v="0"/>
    <n v="0"/>
    <n v="1580"/>
    <x v="0"/>
    <n v="2"/>
    <s v="S"/>
    <s v="HP"/>
    <s v="G"/>
    <m/>
    <n v="0"/>
    <n v="0"/>
    <n v="0"/>
    <n v="0"/>
    <n v="0"/>
    <n v="9"/>
    <n v="400"/>
    <n v="0"/>
    <n v="0"/>
    <n v="0"/>
    <n v="0"/>
    <n v="0"/>
    <n v="100"/>
    <n v="100"/>
    <n v="283942"/>
    <n v="281103"/>
    <n v="570"/>
    <n v="365"/>
    <n v="205"/>
    <n v="0"/>
    <d v="2022-06-10T00:00:00"/>
    <s v="E036836"/>
    <n v="402447"/>
    <n v="402447"/>
    <s v="SWD"/>
    <n v="30"/>
    <s v="N"/>
    <s v="Y"/>
    <n v="396100"/>
    <n v="60800"/>
    <n v="335300"/>
    <n v="0"/>
    <n v="387631.48133258487"/>
    <n v="397990.83660984965"/>
    <n v="-10359.354631"/>
    <n v="132535.48800000001"/>
    <n v="88356.992000000013"/>
    <n v="-24051.387388882686"/>
    <n v="37154.252388000001"/>
    <n v="47371.278778200001"/>
    <n v="-217.48220000000001"/>
    <n v="98608.400399999999"/>
    <n v="0"/>
    <n v="0"/>
    <n v="4112.8784489"/>
    <n v="0"/>
    <n v="14120.412400000001"/>
    <n v="0"/>
    <n v="387631.47819521732"/>
    <n v="0"/>
    <n v="323300"/>
    <n v="64300"/>
    <n v="387600"/>
    <n v="1.0383049535603714"/>
    <n v="-2.1459227467811159E-2"/>
    <n v="0.99970000000000003"/>
    <n v="0.99819999999999998"/>
    <n v="1.0012000000000001"/>
    <n v="1.0007999999999999"/>
    <n v="0.99080000000000001"/>
    <n v="0.94971499999999998"/>
    <n v="0.94116333171746858"/>
    <n v="325900"/>
    <n v="0"/>
    <n v="325900"/>
    <n v="61100"/>
    <n v="387000"/>
    <n v="-2.8034595884282733E-2"/>
    <n v="4.9342105263157892E-3"/>
    <n v="-2.2973996465539007E-2"/>
    <n v="0.93587638960906649"/>
  </r>
  <r>
    <n v="2025"/>
    <n v="19120114497"/>
    <n v="-1.8325814637483102"/>
    <n v="0.16"/>
    <n v="7001"/>
    <n v="2"/>
    <s v="RES"/>
    <n v="317"/>
    <s v="MX"/>
    <s v="R2"/>
    <n v="11"/>
    <n v="259"/>
    <s v="CO"/>
    <s v="A+"/>
    <s v="EX"/>
    <n v="2022"/>
    <n v="2022"/>
    <x v="0"/>
    <n v="2"/>
    <n v="2"/>
    <n v="1"/>
    <n v="1592"/>
    <n v="0"/>
    <n v="0"/>
    <n v="0"/>
    <n v="0"/>
    <n v="0"/>
    <n v="1592"/>
    <x v="0"/>
    <n v="2"/>
    <s v="N"/>
    <s v="HP"/>
    <s v="G"/>
    <m/>
    <n v="0"/>
    <n v="0"/>
    <n v="1"/>
    <n v="0"/>
    <n v="0"/>
    <n v="10"/>
    <n v="400"/>
    <n v="0"/>
    <n v="0"/>
    <n v="0"/>
    <n v="100"/>
    <n v="0"/>
    <n v="100"/>
    <n v="100"/>
    <n v="283649"/>
    <n v="280813"/>
    <n v="509"/>
    <n v="365"/>
    <n v="144"/>
    <n v="0"/>
    <d v="2022-08-10T00:00:00"/>
    <s v="E037910"/>
    <n v="390534"/>
    <n v="390534"/>
    <s v="SWD"/>
    <n v="30"/>
    <s v="N"/>
    <s v="Y"/>
    <n v="382200"/>
    <n v="60800"/>
    <n v="321400"/>
    <n v="0"/>
    <n v="388775.98608925065"/>
    <n v="395021.2846205532"/>
    <n v="-6245.298080999999"/>
    <n v="132535.48800000001"/>
    <n v="88356.992000000013"/>
    <n v="-24051.387388882686"/>
    <n v="37154.252388000001"/>
    <n v="47371.278778200001"/>
    <n v="-217.48220000000001"/>
    <n v="99357.324960000013"/>
    <n v="0"/>
    <n v="0"/>
    <n v="-9412.7029999999995"/>
    <n v="9807.1044999999995"/>
    <n v="14120.412400000001"/>
    <n v="0"/>
    <n v="388775.98235631734"/>
    <n v="0"/>
    <n v="324500"/>
    <n v="64300"/>
    <n v="388800"/>
    <n v="1.0044598765432098"/>
    <n v="1.726844583987441E-2"/>
    <n v="0.99970000000000003"/>
    <n v="0.99819999999999998"/>
    <n v="1.0012000000000001"/>
    <n v="1.0007999999999999"/>
    <n v="0.99080000000000001"/>
    <n v="0.94971499999999998"/>
    <n v="0.94116333171746858"/>
    <n v="322900"/>
    <n v="0"/>
    <n v="322900"/>
    <n v="61100"/>
    <n v="384000"/>
    <n v="4.667081518357187E-3"/>
    <n v="4.9342105263157892E-3"/>
    <n v="4.7095761381475663E-3"/>
    <n v="0.96727737384965207"/>
  </r>
  <r>
    <n v="2025"/>
    <n v="19120114498"/>
    <n v="-1.8325814637483102"/>
    <n v="0.16"/>
    <n v="7001"/>
    <n v="2"/>
    <s v="RES"/>
    <n v="317"/>
    <s v="MX"/>
    <s v="R2"/>
    <n v="11"/>
    <n v="259"/>
    <s v="CO"/>
    <s v="G"/>
    <s v="EX"/>
    <n v="2022"/>
    <n v="2022"/>
    <x v="0"/>
    <n v="2"/>
    <n v="2"/>
    <n v="2"/>
    <n v="930"/>
    <n v="1296"/>
    <n v="0"/>
    <n v="0"/>
    <n v="0"/>
    <n v="0"/>
    <n v="2226"/>
    <x v="1"/>
    <n v="2"/>
    <s v="N"/>
    <s v="HP"/>
    <s v="G"/>
    <m/>
    <n v="0"/>
    <n v="0"/>
    <n v="1"/>
    <n v="0"/>
    <n v="1"/>
    <n v="13"/>
    <n v="0"/>
    <n v="400"/>
    <n v="0"/>
    <n v="0"/>
    <n v="0"/>
    <n v="0"/>
    <n v="100"/>
    <n v="100"/>
    <n v="405220"/>
    <n v="401168"/>
    <n v="585"/>
    <n v="365"/>
    <n v="220"/>
    <n v="0"/>
    <d v="2022-05-26T00:00:00"/>
    <s v="E036723"/>
    <n v="437008"/>
    <n v="437008"/>
    <s v="SWD"/>
    <n v="30"/>
    <s v="N"/>
    <s v="Y"/>
    <n v="427900"/>
    <n v="60800"/>
    <n v="367100"/>
    <n v="0"/>
    <n v="420952.68490470119"/>
    <n v="432323.69348015351"/>
    <n v="-11371.007881"/>
    <n v="132535.48800000001"/>
    <n v="88356.992000000013"/>
    <n v="-24051.387388882686"/>
    <n v="32917.849192000001"/>
    <n v="47371.278778200001"/>
    <n v="-217.48220000000001"/>
    <n v="58041.653400000003"/>
    <n v="77216.176368"/>
    <n v="0"/>
    <n v="-9412.7029999999995"/>
    <n v="9807.1044999999995"/>
    <n v="0"/>
    <n v="19758.72"/>
    <n v="420952.68176831736"/>
    <n v="0"/>
    <n v="356600"/>
    <n v="64300"/>
    <n v="420900"/>
    <n v="1.0382703730102163"/>
    <n v="-1.635896237438654E-2"/>
    <n v="0.99970000000000003"/>
    <n v="1.0019"/>
    <n v="1.0012000000000001"/>
    <n v="1.0008999999999999"/>
    <n v="0.99080000000000001"/>
    <n v="0.94971499999999998"/>
    <n v="0.94474630517542935"/>
    <n v="360700"/>
    <n v="0"/>
    <n v="360700"/>
    <n v="61100"/>
    <n v="421800"/>
    <n v="-1.7433941705257423E-2"/>
    <n v="4.9342105263157892E-3"/>
    <n v="-1.4255667211965412E-2"/>
    <n v="0.93917958508539889"/>
  </r>
  <r>
    <n v="2025"/>
    <n v="19120114499"/>
    <n v="-1.8325814637483102"/>
    <n v="0.16"/>
    <n v="7002"/>
    <n v="2"/>
    <s v="RES"/>
    <n v="317"/>
    <s v="MX"/>
    <s v="R2"/>
    <n v="11"/>
    <n v="259"/>
    <s v="CO"/>
    <s v="A+"/>
    <s v="EX"/>
    <n v="2022"/>
    <n v="2022"/>
    <x v="0"/>
    <n v="2"/>
    <n v="2"/>
    <n v="1"/>
    <n v="1592"/>
    <n v="0"/>
    <n v="0"/>
    <n v="0"/>
    <n v="0"/>
    <n v="0"/>
    <n v="1592"/>
    <x v="0"/>
    <n v="3"/>
    <s v="N"/>
    <s v="HP"/>
    <s v="G"/>
    <m/>
    <n v="0"/>
    <n v="0"/>
    <n v="1"/>
    <n v="0"/>
    <n v="0"/>
    <n v="10"/>
    <n v="616"/>
    <n v="0"/>
    <n v="0"/>
    <n v="0"/>
    <n v="100"/>
    <n v="0"/>
    <n v="100"/>
    <n v="100"/>
    <n v="290942"/>
    <n v="288033"/>
    <n v="616"/>
    <n v="365"/>
    <n v="251"/>
    <n v="0"/>
    <d v="2022-04-25T00:00:00"/>
    <s v="E036208"/>
    <n v="403005"/>
    <n v="403005"/>
    <s v="SWD"/>
    <n v="30"/>
    <s v="N"/>
    <s v="Y"/>
    <n v="391500"/>
    <n v="60800"/>
    <n v="330700"/>
    <n v="0"/>
    <n v="389184.54851342732"/>
    <n v="402646.30723846704"/>
    <n v="-13461.757931"/>
    <n v="132535.48800000001"/>
    <n v="88356.992000000013"/>
    <n v="-24051.387388882686"/>
    <n v="37154.252388000001"/>
    <n v="47371.278778200001"/>
    <n v="-217.48220000000001"/>
    <n v="99357.324960000013"/>
    <n v="0"/>
    <n v="0"/>
    <n v="-9412.7029999999995"/>
    <n v="9807.1044999999995"/>
    <n v="21745.435096000001"/>
    <n v="0"/>
    <n v="389184.5452023173"/>
    <n v="0"/>
    <n v="324900"/>
    <n v="64300"/>
    <n v="389200"/>
    <n v="1.0354701952723535"/>
    <n v="-5.8748403575989783E-3"/>
    <n v="0.99970000000000003"/>
    <n v="0.99819999999999998"/>
    <n v="1.0012000000000001"/>
    <n v="1.0007999999999999"/>
    <n v="0.99080000000000001"/>
    <n v="0.94971499999999998"/>
    <n v="0.94116333171746858"/>
    <n v="330500"/>
    <n v="0"/>
    <n v="330500"/>
    <n v="61100"/>
    <n v="391600"/>
    <n v="-6.0477774417901423E-4"/>
    <n v="4.9342105263157892E-3"/>
    <n v="2.5542784163473821E-4"/>
    <n v="0.93829665157752395"/>
  </r>
  <r>
    <n v="2025"/>
    <n v="19120114500"/>
    <n v="-1.8325814637483102"/>
    <n v="0.16"/>
    <n v="7002"/>
    <n v="2"/>
    <s v="RES"/>
    <n v="317"/>
    <s v="MX"/>
    <s v="R2"/>
    <n v="11"/>
    <n v="259"/>
    <s v="CO"/>
    <s v="A+"/>
    <s v="EX"/>
    <n v="2022"/>
    <n v="2022"/>
    <x v="0"/>
    <n v="2"/>
    <n v="2"/>
    <n v="1"/>
    <n v="1464"/>
    <n v="0"/>
    <n v="0"/>
    <n v="0"/>
    <n v="0"/>
    <n v="0"/>
    <n v="1464"/>
    <x v="3"/>
    <n v="2"/>
    <s v="N"/>
    <s v="HP"/>
    <s v="G"/>
    <m/>
    <n v="0"/>
    <n v="0"/>
    <n v="1"/>
    <n v="0"/>
    <n v="0"/>
    <n v="9"/>
    <n v="400"/>
    <n v="0"/>
    <n v="0"/>
    <n v="0"/>
    <n v="100"/>
    <n v="0"/>
    <n v="100"/>
    <n v="100"/>
    <n v="262619"/>
    <n v="259993"/>
    <n v="628"/>
    <n v="365"/>
    <n v="263"/>
    <n v="0"/>
    <d v="2022-04-13T00:00:00"/>
    <s v="E036143"/>
    <n v="365437"/>
    <n v="365437"/>
    <s v="SWD"/>
    <n v="30"/>
    <s v="N"/>
    <s v="Y"/>
    <n v="373900"/>
    <n v="60800"/>
    <n v="313100"/>
    <n v="0"/>
    <n v="372761.67461389338"/>
    <n v="387032.755977483"/>
    <n v="-14271.080531"/>
    <n v="132535.48800000001"/>
    <n v="88356.992000000013"/>
    <n v="-24051.387388882686"/>
    <n v="37154.252388000001"/>
    <n v="47371.278778200001"/>
    <n v="-217.48220000000001"/>
    <n v="91368.796320000009"/>
    <n v="0"/>
    <n v="0"/>
    <n v="-9412.7029999999995"/>
    <n v="9807.1044999999995"/>
    <n v="14120.412400000001"/>
    <n v="0"/>
    <n v="372761.67126631737"/>
    <n v="0"/>
    <n v="308500"/>
    <n v="64300"/>
    <n v="372800"/>
    <n v="0.9802494635193133"/>
    <n v="-2.941963091735758E-3"/>
    <n v="0.99970000000000003"/>
    <n v="0.99819999999999998"/>
    <n v="1.0012000000000001"/>
    <n v="0.99519999999999997"/>
    <n v="0.99080000000000001"/>
    <n v="0.94971499999999998"/>
    <n v="0.93589703010114389"/>
    <n v="314200"/>
    <n v="0"/>
    <n v="314200"/>
    <n v="61100"/>
    <n v="375300"/>
    <n v="3.5132545512615776E-3"/>
    <n v="4.9342105263157892E-3"/>
    <n v="3.744316662209147E-3"/>
    <n v="0.98793750897966004"/>
  </r>
  <r>
    <n v="2025"/>
    <n v="19120114501"/>
    <n v="-1.8325814637483102"/>
    <n v="0.16"/>
    <n v="7002"/>
    <n v="2"/>
    <s v="RES"/>
    <n v="317"/>
    <s v="MX"/>
    <s v="R2"/>
    <n v="11"/>
    <n v="259"/>
    <s v="CO"/>
    <s v="G"/>
    <s v="EX"/>
    <n v="2022"/>
    <n v="2022"/>
    <x v="0"/>
    <n v="2"/>
    <n v="2"/>
    <n v="1"/>
    <n v="1842"/>
    <n v="0"/>
    <n v="0"/>
    <n v="0"/>
    <n v="0"/>
    <n v="0"/>
    <n v="1842"/>
    <x v="0"/>
    <n v="2"/>
    <s v="N"/>
    <s v="HP"/>
    <s v="G"/>
    <m/>
    <n v="0"/>
    <n v="0"/>
    <n v="1"/>
    <n v="0"/>
    <n v="0"/>
    <n v="9"/>
    <n v="420"/>
    <n v="0"/>
    <n v="0"/>
    <n v="0"/>
    <n v="0"/>
    <n v="0"/>
    <n v="100"/>
    <n v="100"/>
    <n v="363077"/>
    <n v="359446"/>
    <n v="602"/>
    <n v="365"/>
    <n v="237"/>
    <n v="0"/>
    <d v="2022-05-09T00:00:00"/>
    <s v="E036526"/>
    <n v="406943"/>
    <n v="406943"/>
    <s v="SWD"/>
    <n v="30"/>
    <s v="N"/>
    <s v="Y"/>
    <n v="403000"/>
    <n v="60800"/>
    <n v="342200"/>
    <n v="0"/>
    <n v="394575.94806314301"/>
    <n v="407093.49704320781"/>
    <n v="-12517.548231000001"/>
    <n v="132535.48800000001"/>
    <n v="88356.992000000013"/>
    <n v="-24051.387388882686"/>
    <n v="32917.849192000001"/>
    <n v="47371.278778200001"/>
    <n v="-217.48220000000001"/>
    <n v="114959.91996"/>
    <n v="0"/>
    <n v="0"/>
    <n v="-9412.7029999999995"/>
    <n v="9807.1044999999995"/>
    <n v="14826.43302"/>
    <n v="0"/>
    <n v="394575.94463031727"/>
    <n v="0"/>
    <n v="330300"/>
    <n v="64300"/>
    <n v="394600"/>
    <n v="1.0312797769893562"/>
    <n v="-2.0843672456575684E-2"/>
    <n v="0.99970000000000003"/>
    <n v="1.0019"/>
    <n v="1.0012000000000001"/>
    <n v="1.0007999999999999"/>
    <n v="0.99080000000000001"/>
    <n v="0.94971499999999998"/>
    <n v="0.94465191549562377"/>
    <n v="335500"/>
    <n v="0"/>
    <n v="335500"/>
    <n v="61100"/>
    <n v="396600"/>
    <n v="-1.9579193454120396E-2"/>
    <n v="4.9342105263157892E-3"/>
    <n v="-1.5880893300248139E-2"/>
    <n v="0.94382370938681825"/>
  </r>
  <r>
    <n v="2025"/>
    <n v="19120114502"/>
    <n v="-1.8325814637483102"/>
    <n v="0.16"/>
    <n v="7002"/>
    <n v="2"/>
    <s v="RES"/>
    <n v="317"/>
    <s v="MX"/>
    <s v="R2"/>
    <n v="11"/>
    <n v="259"/>
    <s v="CO"/>
    <s v="A+"/>
    <s v="EX"/>
    <n v="2022"/>
    <n v="2022"/>
    <x v="0"/>
    <n v="2"/>
    <n v="2"/>
    <n v="1"/>
    <n v="1592"/>
    <n v="0"/>
    <n v="0"/>
    <n v="0"/>
    <n v="0"/>
    <n v="0"/>
    <n v="1592"/>
    <x v="0"/>
    <n v="3"/>
    <s v="N"/>
    <s v="HP"/>
    <s v="G"/>
    <m/>
    <n v="0"/>
    <n v="0"/>
    <n v="1"/>
    <n v="0"/>
    <n v="0"/>
    <n v="10"/>
    <n v="616"/>
    <n v="0"/>
    <n v="0"/>
    <n v="0"/>
    <n v="100"/>
    <n v="0"/>
    <n v="100"/>
    <n v="100"/>
    <n v="294496"/>
    <n v="291551"/>
    <n v="588"/>
    <n v="365"/>
    <n v="223"/>
    <n v="0"/>
    <d v="2022-05-23T00:00:00"/>
    <s v="E036614"/>
    <n v="391429"/>
    <n v="391429"/>
    <s v="SWD"/>
    <n v="30"/>
    <s v="N"/>
    <s v="Y"/>
    <n v="396800"/>
    <n v="60800"/>
    <n v="336000"/>
    <n v="0"/>
    <n v="391072.96800337726"/>
    <n v="402646.30723846704"/>
    <n v="-11573.338530999999"/>
    <n v="132535.48800000001"/>
    <n v="88356.992000000013"/>
    <n v="-24051.387388882686"/>
    <n v="37154.252388000001"/>
    <n v="47371.278778200001"/>
    <n v="-217.48220000000001"/>
    <n v="99357.324960000013"/>
    <n v="0"/>
    <n v="0"/>
    <n v="-9412.7029999999995"/>
    <n v="9807.1044999999995"/>
    <n v="21745.435096000001"/>
    <n v="0"/>
    <n v="391072.96460231731"/>
    <n v="0"/>
    <n v="326800"/>
    <n v="64300"/>
    <n v="391100"/>
    <n v="1.0008412170800307"/>
    <n v="-1.4364919354838709E-2"/>
    <n v="0.99970000000000003"/>
    <n v="0.99819999999999998"/>
    <n v="1.0012000000000001"/>
    <n v="1.0007999999999999"/>
    <n v="0.99080000000000001"/>
    <n v="0.94971499999999998"/>
    <n v="0.94116333171746858"/>
    <n v="330500"/>
    <n v="0"/>
    <n v="330500"/>
    <n v="61100"/>
    <n v="391600"/>
    <n v="-1.636904761904762E-2"/>
    <n v="4.9342105263157892E-3"/>
    <n v="-1.310483870967742E-2"/>
    <n v="0.97086996995368247"/>
  </r>
  <r>
    <n v="2025"/>
    <n v="19120114503"/>
    <n v="-1.8325814637483102"/>
    <n v="0.16"/>
    <n v="7002"/>
    <n v="2"/>
    <s v="RES"/>
    <n v="317"/>
    <s v="MX"/>
    <s v="R2"/>
    <n v="11"/>
    <n v="259"/>
    <s v="CO"/>
    <s v="A+"/>
    <s v="EX"/>
    <n v="2022"/>
    <n v="2022"/>
    <x v="0"/>
    <n v="2"/>
    <n v="2"/>
    <n v="1"/>
    <n v="1452"/>
    <n v="0"/>
    <n v="0"/>
    <n v="0"/>
    <n v="0"/>
    <n v="0"/>
    <n v="1452"/>
    <x v="3"/>
    <n v="2"/>
    <s v="N"/>
    <s v="HP"/>
    <s v="G"/>
    <m/>
    <n v="0"/>
    <n v="0"/>
    <n v="0"/>
    <n v="0"/>
    <n v="0"/>
    <n v="9"/>
    <n v="400"/>
    <n v="0"/>
    <n v="0"/>
    <n v="0"/>
    <n v="0"/>
    <n v="0"/>
    <n v="100"/>
    <n v="100"/>
    <n v="263890"/>
    <n v="261251"/>
    <n v="602"/>
    <n v="365"/>
    <n v="237"/>
    <n v="0"/>
    <d v="2022-05-09T00:00:00"/>
    <s v="E036634"/>
    <n v="372434"/>
    <n v="372434"/>
    <s v="SWD"/>
    <n v="30"/>
    <s v="N"/>
    <s v="Y"/>
    <n v="384400"/>
    <n v="60800"/>
    <n v="323600"/>
    <n v="0"/>
    <n v="363959.17791675543"/>
    <n v="376476.72689682012"/>
    <n v="-12517.548231000001"/>
    <n v="132535.48800000001"/>
    <n v="88356.992000000013"/>
    <n v="-24051.387388882686"/>
    <n v="37154.252388000001"/>
    <n v="47371.278778200001"/>
    <n v="-217.48220000000001"/>
    <n v="90619.871760000009"/>
    <n v="0"/>
    <n v="0"/>
    <n v="-9412.7029999999995"/>
    <n v="0"/>
    <n v="14120.412400000001"/>
    <n v="0"/>
    <n v="363959.17450631736"/>
    <n v="0"/>
    <n v="299700"/>
    <n v="64300"/>
    <n v="364000"/>
    <n v="1.0231703296703296"/>
    <n v="-5.3069719042663895E-2"/>
    <n v="0.99970000000000003"/>
    <n v="0.99819999999999998"/>
    <n v="1.0012000000000001"/>
    <n v="0.99519999999999997"/>
    <n v="0.99080000000000001"/>
    <n v="0.94971499999999998"/>
    <n v="0.93589703010114389"/>
    <n v="303700"/>
    <n v="0"/>
    <n v="303700"/>
    <n v="61100"/>
    <n v="364800"/>
    <n v="-6.1495673671199014E-2"/>
    <n v="4.9342105263157892E-3"/>
    <n v="-5.0988553590010408E-2"/>
    <n v="0.94589229707545497"/>
  </r>
  <r>
    <n v="2025"/>
    <n v="19120114504"/>
    <n v="-1.8325814637483102"/>
    <n v="0.16"/>
    <n v="7002"/>
    <n v="2"/>
    <s v="RES"/>
    <n v="317"/>
    <s v="MX"/>
    <s v="R2"/>
    <n v="11"/>
    <n v="259"/>
    <s v="CO"/>
    <s v="A+"/>
    <s v="EX"/>
    <n v="2022"/>
    <n v="2022"/>
    <x v="0"/>
    <n v="2"/>
    <n v="2"/>
    <n v="1"/>
    <n v="1619"/>
    <n v="0"/>
    <n v="0"/>
    <n v="0"/>
    <n v="0"/>
    <n v="0"/>
    <n v="1619"/>
    <x v="0"/>
    <n v="2"/>
    <s v="N"/>
    <s v="HP"/>
    <s v="G"/>
    <m/>
    <n v="0"/>
    <n v="0"/>
    <n v="0"/>
    <n v="1"/>
    <n v="0"/>
    <n v="9"/>
    <n v="400"/>
    <n v="0"/>
    <n v="0"/>
    <n v="0"/>
    <n v="0"/>
    <n v="0"/>
    <n v="100"/>
    <n v="100"/>
    <n v="287230"/>
    <n v="284358"/>
    <n v="571"/>
    <n v="365"/>
    <n v="206"/>
    <n v="0"/>
    <d v="2022-06-09T00:00:00"/>
    <s v="E036942"/>
    <n v="395545"/>
    <n v="395545"/>
    <s v="SWD"/>
    <n v="30"/>
    <s v="N"/>
    <s v="Y"/>
    <n v="394700"/>
    <n v="60800"/>
    <n v="333900"/>
    <n v="0"/>
    <n v="376472.46153034852"/>
    <n v="386899.26036082581"/>
    <n v="-10426.798181"/>
    <n v="132535.48800000001"/>
    <n v="88356.992000000013"/>
    <n v="-24051.387388882686"/>
    <n v="37154.252388000001"/>
    <n v="47371.278778200001"/>
    <n v="-217.48220000000001"/>
    <n v="101042.40522"/>
    <n v="0"/>
    <n v="0"/>
    <n v="-9412.7029999999995"/>
    <n v="0"/>
    <n v="14120.412400000001"/>
    <n v="0"/>
    <n v="376472.45801631734"/>
    <n v="0"/>
    <n v="312200"/>
    <n v="64300"/>
    <n v="376500"/>
    <n v="1.0505843293492696"/>
    <n v="-4.6110970357233341E-2"/>
    <n v="0.99970000000000003"/>
    <n v="0.99819999999999998"/>
    <n v="1.0012000000000001"/>
    <n v="1.0007999999999999"/>
    <n v="0.99080000000000001"/>
    <n v="0.94971499999999998"/>
    <n v="0.94116333171746858"/>
    <n v="314800"/>
    <n v="0"/>
    <n v="314800"/>
    <n v="61100"/>
    <n v="375900"/>
    <n v="-5.7202755315962861E-2"/>
    <n v="4.9342105263157892E-3"/>
    <n v="-4.7631112237142136E-2"/>
    <n v="0.92397376232539918"/>
  </r>
  <r>
    <n v="2025"/>
    <n v="19120114505"/>
    <n v="-1.8325814637483102"/>
    <n v="0.16"/>
    <n v="7026"/>
    <n v="2"/>
    <s v="RES"/>
    <n v="317"/>
    <s v="MX"/>
    <s v="R2"/>
    <n v="11"/>
    <n v="259"/>
    <s v="CO"/>
    <s v="G"/>
    <s v="EX"/>
    <n v="2022"/>
    <n v="2022"/>
    <x v="0"/>
    <n v="2"/>
    <n v="2"/>
    <n v="2"/>
    <n v="930"/>
    <n v="1296"/>
    <n v="0"/>
    <n v="0"/>
    <n v="0"/>
    <n v="0"/>
    <n v="2226"/>
    <x v="1"/>
    <n v="2"/>
    <s v="N"/>
    <s v="HP"/>
    <s v="G"/>
    <m/>
    <n v="0"/>
    <n v="0"/>
    <n v="1"/>
    <n v="0"/>
    <n v="1"/>
    <n v="13"/>
    <n v="0"/>
    <n v="400"/>
    <n v="0"/>
    <n v="0"/>
    <n v="0"/>
    <n v="0"/>
    <n v="100"/>
    <n v="100"/>
    <n v="405220"/>
    <n v="401168"/>
    <n v="571"/>
    <n v="365"/>
    <n v="206"/>
    <n v="0"/>
    <d v="2022-06-09T00:00:00"/>
    <s v="E036804"/>
    <n v="439106"/>
    <n v="439106"/>
    <s v="SWD"/>
    <n v="30"/>
    <s v="N"/>
    <s v="Y"/>
    <n v="427900"/>
    <n v="60800"/>
    <n v="367100"/>
    <n v="0"/>
    <n v="421896.89464967611"/>
    <n v="432323.69348015351"/>
    <n v="-10426.798181"/>
    <n v="132535.48800000001"/>
    <n v="88356.992000000013"/>
    <n v="-24051.387388882686"/>
    <n v="32917.849192000001"/>
    <n v="47371.278778200001"/>
    <n v="-217.48220000000001"/>
    <n v="58041.653400000003"/>
    <n v="77216.176368"/>
    <n v="0"/>
    <n v="-9412.7029999999995"/>
    <n v="9807.1044999999995"/>
    <n v="0"/>
    <n v="19758.72"/>
    <n v="421896.89146831736"/>
    <n v="0"/>
    <n v="357600"/>
    <n v="64300"/>
    <n v="421900"/>
    <n v="1.0407821758710596"/>
    <n v="-1.4021967749474177E-2"/>
    <n v="0.99970000000000003"/>
    <n v="1.0019"/>
    <n v="1.0012000000000001"/>
    <n v="1.0008999999999999"/>
    <n v="0.99080000000000001"/>
    <n v="0.94971499999999998"/>
    <n v="0.94474630517542935"/>
    <n v="360700"/>
    <n v="0"/>
    <n v="360700"/>
    <n v="61100"/>
    <n v="421800"/>
    <n v="-1.7433941705257423E-2"/>
    <n v="4.9342105263157892E-3"/>
    <n v="-1.4255667211965412E-2"/>
    <n v="0.9368425888487063"/>
  </r>
  <r>
    <n v="2025"/>
    <n v="19120114507"/>
    <n v="-1.6607312068216509"/>
    <n v="0.19"/>
    <n v="8207"/>
    <n v="2"/>
    <s v="RES"/>
    <n v="317"/>
    <s v="MX"/>
    <s v="R2"/>
    <n v="11"/>
    <n v="259"/>
    <s v="CO"/>
    <s v="G"/>
    <s v="EX"/>
    <n v="2022"/>
    <n v="2022"/>
    <x v="0"/>
    <n v="2"/>
    <n v="2"/>
    <n v="1"/>
    <n v="1592"/>
    <n v="0"/>
    <n v="0"/>
    <n v="0"/>
    <n v="0"/>
    <n v="0"/>
    <n v="1592"/>
    <x v="0"/>
    <n v="3"/>
    <s v="S"/>
    <s v="HP"/>
    <s v="G"/>
    <m/>
    <n v="0"/>
    <n v="0"/>
    <n v="1"/>
    <n v="0"/>
    <n v="0"/>
    <n v="10"/>
    <n v="616"/>
    <n v="0"/>
    <n v="0"/>
    <n v="0"/>
    <n v="268"/>
    <n v="0"/>
    <n v="100"/>
    <n v="100"/>
    <n v="338607"/>
    <n v="335221"/>
    <n v="451"/>
    <n v="365"/>
    <n v="86"/>
    <n v="0"/>
    <d v="2022-10-07T00:00:00"/>
    <s v="E038353"/>
    <n v="434518"/>
    <n v="434518"/>
    <s v="SWD"/>
    <n v="30"/>
    <s v="N"/>
    <s v="Y"/>
    <n v="400500"/>
    <n v="63200"/>
    <n v="337300"/>
    <n v="0"/>
    <n v="411857.33057884552"/>
    <n v="414190.9030238234"/>
    <n v="-2333.572181"/>
    <n v="132535.48800000001"/>
    <n v="88356.992000000013"/>
    <n v="-21795.969453044734"/>
    <n v="32917.849192000001"/>
    <n v="47371.278778200001"/>
    <n v="-217.48220000000001"/>
    <n v="99357.324960000013"/>
    <n v="0"/>
    <n v="0"/>
    <n v="4112.8784489"/>
    <n v="9807.1044999999995"/>
    <n v="21745.435096000001"/>
    <n v="0"/>
    <n v="411857.32714105526"/>
    <n v="0"/>
    <n v="345300"/>
    <n v="66600"/>
    <n v="411900"/>
    <n v="1.0549113862588007"/>
    <n v="2.8464419475655429E-2"/>
    <n v="0.99970000000000003"/>
    <n v="1.0019"/>
    <n v="1.0012000000000001"/>
    <n v="1.0007999999999999"/>
    <n v="0.99080000000000001"/>
    <n v="0.94971499999999998"/>
    <n v="0.94465191549562377"/>
    <n v="340300"/>
    <n v="0"/>
    <n v="340300"/>
    <n v="63200"/>
    <n v="403500"/>
    <n v="8.8941595019270681E-3"/>
    <n v="0"/>
    <n v="7.4906367041198503E-3"/>
    <n v="0.92324467069028204"/>
  </r>
  <r>
    <n v="2025"/>
    <n v="19120114508"/>
    <n v="-1.6607312068216509"/>
    <n v="0.19"/>
    <n v="8131"/>
    <n v="2"/>
    <s v="RES"/>
    <n v="317"/>
    <s v="MX"/>
    <s v="R2"/>
    <n v="11"/>
    <n v="259"/>
    <s v="CO"/>
    <s v="G"/>
    <s v="EX"/>
    <n v="2022"/>
    <n v="2022"/>
    <x v="0"/>
    <n v="2"/>
    <n v="2"/>
    <n v="1"/>
    <n v="1830"/>
    <n v="0"/>
    <n v="0"/>
    <n v="0"/>
    <n v="0"/>
    <n v="0"/>
    <n v="1830"/>
    <x v="0"/>
    <n v="3"/>
    <s v="N"/>
    <s v="HP"/>
    <s v="G"/>
    <m/>
    <n v="0"/>
    <n v="0"/>
    <n v="0"/>
    <n v="0"/>
    <n v="0"/>
    <n v="9"/>
    <n v="680"/>
    <n v="0"/>
    <n v="0"/>
    <n v="0"/>
    <n v="0"/>
    <n v="0"/>
    <n v="100"/>
    <n v="100"/>
    <n v="368367"/>
    <n v="364683"/>
    <n v="438"/>
    <n v="365"/>
    <n v="73"/>
    <n v="0"/>
    <d v="2022-10-20T00:00:00"/>
    <s v="E038541"/>
    <n v="444773"/>
    <n v="444773"/>
    <s v="SWD"/>
    <n v="30"/>
    <s v="N"/>
    <s v="Y"/>
    <n v="416900"/>
    <n v="63200"/>
    <n v="353700"/>
    <n v="0"/>
    <n v="406514.34758684563"/>
    <n v="407971.15384006099"/>
    <n v="-1456.8060309999996"/>
    <n v="132535.48800000001"/>
    <n v="88356.992000000013"/>
    <n v="-21795.969453044734"/>
    <n v="32917.849192000001"/>
    <n v="47371.278778200001"/>
    <n v="-217.48220000000001"/>
    <n v="114210.9954"/>
    <n v="0"/>
    <n v="0"/>
    <n v="-9412.7029999999995"/>
    <n v="0"/>
    <n v="24004.701080000003"/>
    <n v="0"/>
    <n v="406514.34376615536"/>
    <n v="0"/>
    <n v="340000"/>
    <n v="66600"/>
    <n v="406600"/>
    <n v="1.0938834235120511"/>
    <n v="-2.4706164547853203E-2"/>
    <n v="0.99970000000000003"/>
    <n v="1.0019"/>
    <n v="1.0012000000000001"/>
    <n v="1.0007999999999999"/>
    <n v="0.99080000000000001"/>
    <n v="0.94971499999999998"/>
    <n v="0.94465191549562377"/>
    <n v="334100"/>
    <n v="0"/>
    <n v="334100"/>
    <n v="63200"/>
    <n v="397300"/>
    <n v="-5.5414192818772974E-2"/>
    <n v="0"/>
    <n v="-4.7013672343487647E-2"/>
    <n v="0.88998926186841376"/>
  </r>
  <r>
    <n v="2025"/>
    <n v="19120114509"/>
    <n v="-1.6607312068216509"/>
    <n v="0.19"/>
    <n v="8228"/>
    <n v="2"/>
    <s v="RES"/>
    <n v="317"/>
    <s v="MX"/>
    <s v="R2"/>
    <n v="11"/>
    <n v="259"/>
    <s v="CO"/>
    <s v="G"/>
    <s v="EX"/>
    <n v="2022"/>
    <n v="2022"/>
    <x v="0"/>
    <n v="2"/>
    <n v="2"/>
    <n v="1"/>
    <n v="1830"/>
    <n v="0"/>
    <n v="0"/>
    <n v="0"/>
    <n v="0"/>
    <n v="0"/>
    <n v="1830"/>
    <x v="0"/>
    <n v="3"/>
    <s v="S"/>
    <s v="HP"/>
    <s v="G"/>
    <m/>
    <n v="0"/>
    <n v="0"/>
    <n v="0"/>
    <n v="0"/>
    <n v="0"/>
    <n v="9"/>
    <n v="808"/>
    <n v="0"/>
    <n v="0"/>
    <n v="0"/>
    <n v="210"/>
    <n v="0"/>
    <n v="100"/>
    <n v="100"/>
    <n v="364664"/>
    <n v="361017"/>
    <n v="434"/>
    <n v="365"/>
    <n v="69"/>
    <n v="0"/>
    <d v="2022-10-24T00:00:00"/>
    <s v="E038688"/>
    <n v="471257"/>
    <n v="471257"/>
    <s v="SWD"/>
    <n v="30"/>
    <s v="N"/>
    <s v="Y"/>
    <n v="407400"/>
    <n v="63200"/>
    <n v="344200"/>
    <n v="0"/>
    <n v="424828.23479138158"/>
    <n v="426015.26683174702"/>
    <n v="-1187.0318309999998"/>
    <n v="132535.48800000001"/>
    <n v="88356.992000000013"/>
    <n v="-21795.969453044734"/>
    <n v="32917.849192000001"/>
    <n v="47371.278778200001"/>
    <n v="-217.48220000000001"/>
    <n v="114210.9954"/>
    <n v="0"/>
    <n v="0"/>
    <n v="4112.8784489"/>
    <n v="0"/>
    <n v="28523.233048000002"/>
    <n v="0"/>
    <n v="424828.23138305533"/>
    <n v="0"/>
    <n v="358300"/>
    <n v="66600"/>
    <n v="424900"/>
    <n v="1.1091009649329253"/>
    <n v="4.29553264604811E-2"/>
    <n v="0.99970000000000003"/>
    <n v="1.0019"/>
    <n v="1.0012000000000001"/>
    <n v="1.0007999999999999"/>
    <n v="0.99080000000000001"/>
    <n v="0.94971499999999998"/>
    <n v="0.94465191549562377"/>
    <n v="352100"/>
    <n v="0"/>
    <n v="352100"/>
    <n v="63200"/>
    <n v="415300"/>
    <n v="2.295177222545032E-2"/>
    <n v="0"/>
    <n v="1.9391261659302897E-2"/>
    <n v="0.87874125619141996"/>
  </r>
  <r>
    <n v="2025"/>
    <n v="19120114510"/>
    <n v="-1.5141277326297755"/>
    <n v="0.22"/>
    <n v="9614"/>
    <n v="2"/>
    <s v="RES"/>
    <n v="317"/>
    <s v="MX"/>
    <s v="R2"/>
    <n v="11"/>
    <n v="259"/>
    <s v="CO"/>
    <s v="G"/>
    <s v="EX"/>
    <n v="2022"/>
    <n v="2022"/>
    <x v="0"/>
    <n v="2"/>
    <n v="2"/>
    <n v="1"/>
    <n v="1842"/>
    <n v="0"/>
    <n v="0"/>
    <n v="0"/>
    <n v="0"/>
    <n v="0"/>
    <n v="1842"/>
    <x v="0"/>
    <n v="2"/>
    <s v="N"/>
    <s v="HP"/>
    <s v="G"/>
    <m/>
    <n v="0"/>
    <n v="0"/>
    <n v="1"/>
    <n v="0"/>
    <n v="0"/>
    <n v="9"/>
    <n v="500"/>
    <n v="0"/>
    <n v="0"/>
    <n v="0"/>
    <n v="0"/>
    <n v="0"/>
    <n v="100"/>
    <n v="100"/>
    <n v="366456"/>
    <n v="362791"/>
    <n v="408"/>
    <n v="365"/>
    <n v="43"/>
    <n v="0"/>
    <d v="2022-11-19T00:00:00"/>
    <s v="E038870"/>
    <n v="447178"/>
    <n v="447178"/>
    <s v="SWD"/>
    <n v="30"/>
    <s v="N"/>
    <s v="Y"/>
    <n v="410900"/>
    <n v="65300"/>
    <n v="345600"/>
    <n v="0"/>
    <n v="414663.5687832096"/>
    <n v="414097.06844005006"/>
    <n v="566.50046900000007"/>
    <n v="132535.48800000001"/>
    <n v="88356.992000000013"/>
    <n v="-19871.898398035348"/>
    <n v="32917.849192000001"/>
    <n v="47371.278778200001"/>
    <n v="-217.48220000000001"/>
    <n v="114959.91996"/>
    <n v="0"/>
    <n v="0"/>
    <n v="-9412.7029999999995"/>
    <n v="9807.1044999999995"/>
    <n v="17650.515500000001"/>
    <n v="0"/>
    <n v="414663.56480116467"/>
    <n v="0"/>
    <n v="346200"/>
    <n v="68500"/>
    <n v="414700"/>
    <n v="1.078316855558235"/>
    <n v="9.2479922122170842E-3"/>
    <n v="0.99970000000000003"/>
    <n v="1.0019"/>
    <n v="1.0012000000000001"/>
    <n v="1.0007999999999999"/>
    <n v="0.99080000000000001"/>
    <n v="0.94971499999999998"/>
    <n v="0.94465191549562377"/>
    <n v="338300"/>
    <n v="0"/>
    <n v="338300"/>
    <n v="65000"/>
    <n v="403300"/>
    <n v="-2.1122685185185185E-2"/>
    <n v="-4.5941807044410417E-3"/>
    <n v="-1.8495984424434168E-2"/>
    <n v="0.90314483375523846"/>
  </r>
  <r>
    <n v="2025"/>
    <n v="19120114511"/>
    <n v="-1.6607312068216509"/>
    <n v="0.19"/>
    <n v="8220"/>
    <n v="2"/>
    <s v="RES"/>
    <n v="317"/>
    <s v="MX"/>
    <s v="R2"/>
    <n v="11"/>
    <n v="259"/>
    <s v="RN"/>
    <s v="A+"/>
    <s v="EX"/>
    <n v="2022"/>
    <n v="2022"/>
    <x v="0"/>
    <n v="2"/>
    <n v="2"/>
    <n v="1"/>
    <n v="1240"/>
    <n v="0"/>
    <n v="0"/>
    <n v="0"/>
    <n v="0"/>
    <n v="0"/>
    <n v="1240"/>
    <x v="3"/>
    <n v="2"/>
    <s v="N"/>
    <s v="HP"/>
    <s v="E"/>
    <m/>
    <n v="0"/>
    <n v="0"/>
    <n v="0"/>
    <n v="0"/>
    <n v="0"/>
    <n v="9"/>
    <n v="404"/>
    <n v="0"/>
    <n v="0"/>
    <n v="0"/>
    <n v="126"/>
    <n v="0"/>
    <n v="100"/>
    <n v="100"/>
    <n v="228399"/>
    <n v="226115"/>
    <n v="462"/>
    <n v="365"/>
    <n v="97"/>
    <n v="0"/>
    <d v="2022-09-26T00:00:00"/>
    <n v="463329"/>
    <n v="311000"/>
    <n v="311000"/>
    <s v="SWD"/>
    <n v="30"/>
    <s v="N"/>
    <s v="Y"/>
    <n v="348200"/>
    <n v="63200"/>
    <n v="285000"/>
    <n v="0"/>
    <n v="362566.89683548262"/>
    <n v="365642.34836579784"/>
    <n v="-3075.4512310000005"/>
    <n v="132535.48800000001"/>
    <n v="88356.992000000013"/>
    <n v="-21795.969453044734"/>
    <n v="37154.252388000001"/>
    <n v="47371.278778200001"/>
    <n v="-217.48220000000001"/>
    <n v="77388.871200000009"/>
    <n v="0"/>
    <n v="0"/>
    <n v="-9412.7029999999995"/>
    <n v="0"/>
    <n v="14261.616524000001"/>
    <n v="0"/>
    <n v="362566.89300615527"/>
    <n v="0"/>
    <n v="296000"/>
    <n v="66600"/>
    <n v="362600"/>
    <n v="0.85769442912300053"/>
    <n v="4.1355542791499139E-2"/>
    <n v="0.99970000000000003"/>
    <n v="0.99819999999999998"/>
    <n v="1.0012000000000001"/>
    <n v="0.99519999999999997"/>
    <n v="0.99080000000000001"/>
    <n v="0.94971499999999998"/>
    <n v="0.93589703010114389"/>
    <n v="290600"/>
    <n v="0"/>
    <n v="290600"/>
    <n v="63200"/>
    <n v="353800"/>
    <n v="1.9649122807017545E-2"/>
    <n v="0"/>
    <n v="1.6082711085582999E-2"/>
    <n v="1.127731668067524"/>
  </r>
  <r>
    <n v="2025"/>
    <n v="19120114512"/>
    <n v="-1.8325814637483102"/>
    <n v="0.16"/>
    <n v="7004"/>
    <n v="2"/>
    <s v="RES"/>
    <n v="317"/>
    <s v="MX"/>
    <s v="R2"/>
    <n v="11"/>
    <n v="259"/>
    <s v="CO"/>
    <s v="A+"/>
    <s v="EX"/>
    <n v="2022"/>
    <n v="2022"/>
    <x v="0"/>
    <n v="2"/>
    <n v="2"/>
    <n v="1"/>
    <n v="1592"/>
    <n v="0"/>
    <n v="0"/>
    <n v="0"/>
    <n v="0"/>
    <n v="0"/>
    <n v="1592"/>
    <x v="0"/>
    <n v="2"/>
    <s v="N"/>
    <s v="HP"/>
    <s v="G"/>
    <m/>
    <n v="0"/>
    <n v="0"/>
    <n v="1"/>
    <n v="0"/>
    <n v="0"/>
    <n v="9"/>
    <n v="480"/>
    <n v="0"/>
    <n v="0"/>
    <n v="0"/>
    <n v="150"/>
    <n v="0"/>
    <n v="100"/>
    <n v="100"/>
    <n v="287982"/>
    <n v="285102"/>
    <n v="543"/>
    <n v="365"/>
    <n v="178"/>
    <n v="0"/>
    <d v="2022-07-07T00:00:00"/>
    <s v="E037261"/>
    <n v="379530"/>
    <n v="379530"/>
    <s v="SWD"/>
    <n v="30"/>
    <s v="N"/>
    <s v="Y"/>
    <n v="391000"/>
    <n v="60800"/>
    <n v="330200"/>
    <n v="0"/>
    <n v="389306.98773110501"/>
    <n v="397845.36707163241"/>
    <n v="-8538.3787809999994"/>
    <n v="132535.48800000001"/>
    <n v="88356.992000000013"/>
    <n v="-24051.387388882686"/>
    <n v="37154.252388000001"/>
    <n v="47371.278778200001"/>
    <n v="-217.48220000000001"/>
    <n v="99357.324960000013"/>
    <n v="0"/>
    <n v="0"/>
    <n v="-9412.7029999999995"/>
    <n v="9807.1044999999995"/>
    <n v="16944.494880000002"/>
    <n v="0"/>
    <n v="389306.98413631733"/>
    <n v="0"/>
    <n v="325000"/>
    <n v="64300"/>
    <n v="389300"/>
    <n v="0.97490367325969685"/>
    <n v="-4.3478260869565218E-3"/>
    <n v="0.99970000000000003"/>
    <n v="0.99819999999999998"/>
    <n v="1.0012000000000001"/>
    <n v="1.0007999999999999"/>
    <n v="0.99080000000000001"/>
    <n v="0.94971499999999998"/>
    <n v="0.94116333171746858"/>
    <n v="325700"/>
    <n v="0"/>
    <n v="325700"/>
    <n v="61100"/>
    <n v="386800"/>
    <n v="-1.3628104179285281E-2"/>
    <n v="4.9342105263157892E-3"/>
    <n v="-1.0741687979539642E-2"/>
    <n v="0.99665802761046562"/>
  </r>
  <r>
    <n v="2025"/>
    <n v="19120114513"/>
    <n v="-1.8325814637483102"/>
    <n v="0.16"/>
    <n v="7004"/>
    <n v="2"/>
    <s v="RES"/>
    <n v="317"/>
    <s v="MX"/>
    <s v="R2"/>
    <n v="11"/>
    <n v="259"/>
    <s v="CO"/>
    <s v="G"/>
    <s v="EX"/>
    <n v="2022"/>
    <n v="2022"/>
    <x v="0"/>
    <n v="2"/>
    <n v="2"/>
    <n v="2"/>
    <n v="1316"/>
    <n v="1686"/>
    <n v="0"/>
    <n v="0"/>
    <n v="0"/>
    <n v="0"/>
    <n v="3002"/>
    <x v="2"/>
    <n v="2"/>
    <s v="N"/>
    <s v="HP"/>
    <s v="G"/>
    <m/>
    <n v="0"/>
    <n v="0"/>
    <n v="0"/>
    <n v="0"/>
    <n v="0"/>
    <n v="14"/>
    <n v="0"/>
    <n v="480"/>
    <n v="0"/>
    <n v="0"/>
    <n v="400"/>
    <n v="0"/>
    <n v="100"/>
    <n v="100"/>
    <n v="504925"/>
    <n v="499876"/>
    <n v="511"/>
    <n v="365"/>
    <n v="146"/>
    <n v="0"/>
    <d v="2022-08-08T00:00:00"/>
    <s v="E037863"/>
    <n v="473204"/>
    <n v="473204"/>
    <s v="SWD"/>
    <n v="30"/>
    <s v="N"/>
    <s v="Y"/>
    <n v="463300"/>
    <n v="60800"/>
    <n v="402500"/>
    <n v="0"/>
    <n v="467414.90324795275"/>
    <n v="473795.08888568031"/>
    <n v="-6380.1851809999989"/>
    <n v="132535.48800000001"/>
    <n v="88356.992000000013"/>
    <n v="-24051.387388882686"/>
    <n v="32917.849192000001"/>
    <n v="47371.278778200001"/>
    <n v="-217.48220000000001"/>
    <n v="82132.06008000001"/>
    <n v="100452.525738"/>
    <n v="0"/>
    <n v="-9412.7029999999995"/>
    <n v="0"/>
    <n v="0"/>
    <n v="23710.464"/>
    <n v="467414.90001831733"/>
    <n v="0"/>
    <n v="403100"/>
    <n v="64300"/>
    <n v="467400"/>
    <n v="1.0124176294394522"/>
    <n v="8.8495575221238937E-3"/>
    <n v="0.99970000000000003"/>
    <n v="1.0019"/>
    <n v="1.0012000000000001"/>
    <n v="0.98509999999999998"/>
    <n v="0.99080000000000001"/>
    <n v="0.94971499999999998"/>
    <n v="0.92983273576612613"/>
    <n v="400200"/>
    <n v="0"/>
    <n v="400200"/>
    <n v="61100"/>
    <n v="461300"/>
    <n v="-5.7142857142857143E-3"/>
    <n v="4.9342105263157892E-3"/>
    <n v="-4.3168573278653142E-3"/>
    <n v="0.96136088202762449"/>
  </r>
  <r>
    <n v="2025"/>
    <n v="19120114514"/>
    <n v="-1.8325814637483102"/>
    <n v="0.16"/>
    <n v="7004"/>
    <n v="2"/>
    <s v="RES"/>
    <n v="317"/>
    <s v="MX"/>
    <s v="R2"/>
    <n v="11"/>
    <n v="259"/>
    <s v="CO"/>
    <s v="A+"/>
    <s v="EX"/>
    <n v="2022"/>
    <n v="2022"/>
    <x v="0"/>
    <n v="2"/>
    <n v="2"/>
    <n v="1"/>
    <n v="1452"/>
    <n v="0"/>
    <n v="0"/>
    <n v="0"/>
    <n v="0"/>
    <n v="0"/>
    <n v="1452"/>
    <x v="3"/>
    <n v="3"/>
    <s v="S"/>
    <s v="HP"/>
    <s v="G"/>
    <m/>
    <n v="0"/>
    <n v="0"/>
    <n v="0"/>
    <n v="0"/>
    <n v="0"/>
    <n v="9"/>
    <n v="616"/>
    <n v="0"/>
    <n v="0"/>
    <n v="0"/>
    <n v="100"/>
    <n v="0"/>
    <n v="100"/>
    <n v="100"/>
    <n v="265015"/>
    <n v="262365"/>
    <n v="542"/>
    <n v="365"/>
    <n v="177"/>
    <n v="0"/>
    <d v="2022-07-08T00:00:00"/>
    <s v="E037441"/>
    <n v="381121"/>
    <n v="381121"/>
    <s v="SWD"/>
    <n v="30"/>
    <s v="N"/>
    <s v="Y"/>
    <n v="382600"/>
    <n v="60800"/>
    <n v="321800"/>
    <n v="0"/>
    <n v="389156.39479737834"/>
    <n v="397627.33058469329"/>
    <n v="-8470.9352309999995"/>
    <n v="132535.48800000001"/>
    <n v="88356.992000000013"/>
    <n v="-24051.387388882686"/>
    <n v="37154.252388000001"/>
    <n v="47371.278778200001"/>
    <n v="-217.48220000000001"/>
    <n v="90619.871760000009"/>
    <n v="0"/>
    <n v="0"/>
    <n v="4112.8784489"/>
    <n v="0"/>
    <n v="21745.435096000001"/>
    <n v="0"/>
    <n v="389156.39165121736"/>
    <n v="0"/>
    <n v="324900"/>
    <n v="64300"/>
    <n v="389200"/>
    <n v="0.97924203494347384"/>
    <n v="1.7250392054364874E-2"/>
    <n v="0.99970000000000003"/>
    <n v="0.99819999999999998"/>
    <n v="1.0012000000000001"/>
    <n v="0.99519999999999997"/>
    <n v="0.99080000000000001"/>
    <n v="0.94971499999999998"/>
    <n v="0.93589703010114389"/>
    <n v="324800"/>
    <n v="0"/>
    <n v="324800"/>
    <n v="61100"/>
    <n v="385900"/>
    <n v="9.322560596643879E-3"/>
    <n v="4.9342105263157892E-3"/>
    <n v="8.6251960271824368E-3"/>
    <n v="0.99031295774570283"/>
  </r>
  <r>
    <n v="2025"/>
    <n v="19120114515"/>
    <n v="-1.8325814637483102"/>
    <n v="0.16"/>
    <n v="7001"/>
    <n v="2"/>
    <s v="RES"/>
    <n v="317"/>
    <s v="MX"/>
    <s v="R2"/>
    <n v="11"/>
    <n v="259"/>
    <s v="CO"/>
    <s v="G"/>
    <s v="EX"/>
    <n v="2022"/>
    <n v="2022"/>
    <x v="0"/>
    <n v="2"/>
    <n v="2"/>
    <n v="2"/>
    <n v="898"/>
    <n v="1296"/>
    <n v="0"/>
    <n v="0"/>
    <n v="0"/>
    <n v="0"/>
    <n v="2194"/>
    <x v="1"/>
    <n v="2"/>
    <s v="S"/>
    <s v="HP"/>
    <s v="G"/>
    <m/>
    <n v="0"/>
    <n v="0"/>
    <n v="0"/>
    <n v="0"/>
    <n v="1"/>
    <n v="14"/>
    <n v="0"/>
    <n v="480"/>
    <n v="0"/>
    <n v="0"/>
    <n v="0"/>
    <n v="0"/>
    <n v="100"/>
    <n v="100"/>
    <n v="402572"/>
    <n v="398546"/>
    <n v="476"/>
    <n v="365"/>
    <n v="111"/>
    <n v="0"/>
    <d v="2022-09-12T00:00:00"/>
    <s v="E038246"/>
    <n v="451652"/>
    <n v="451652"/>
    <s v="SWD"/>
    <n v="30"/>
    <s v="N"/>
    <s v="Y"/>
    <n v="429500"/>
    <n v="60800"/>
    <n v="368700"/>
    <n v="0"/>
    <n v="433977.12057110382"/>
    <n v="437996.78184639395"/>
    <n v="-4019.6609309999999"/>
    <n v="132535.48800000001"/>
    <n v="88356.992000000013"/>
    <n v="-24051.387388882686"/>
    <n v="32917.849192000001"/>
    <n v="47371.278778200001"/>
    <n v="-217.48220000000001"/>
    <n v="56044.521240000002"/>
    <n v="77216.176368"/>
    <n v="0"/>
    <n v="4112.8784489"/>
    <n v="0"/>
    <n v="0"/>
    <n v="23710.464"/>
    <n v="433977.11750721722"/>
    <n v="0"/>
    <n v="369700"/>
    <n v="64300"/>
    <n v="434000"/>
    <n v="1.0406728110599079"/>
    <n v="1.0477299185098952E-2"/>
    <n v="0.99970000000000003"/>
    <n v="1.0019"/>
    <n v="1.0012000000000001"/>
    <n v="1.0008999999999999"/>
    <n v="0.99080000000000001"/>
    <n v="0.94971499999999998"/>
    <n v="0.94474630517542935"/>
    <n v="366400"/>
    <n v="0"/>
    <n v="366400"/>
    <n v="61100"/>
    <n v="427500"/>
    <n v="-6.2381339842690533E-3"/>
    <n v="4.9342105263157892E-3"/>
    <n v="-4.6565774155995342E-3"/>
    <n v="0.93762529352023238"/>
  </r>
  <r>
    <n v="2025"/>
    <n v="19120114516"/>
    <n v="-1.8325814637483102"/>
    <n v="0.16"/>
    <n v="7001"/>
    <n v="2"/>
    <s v="RES"/>
    <n v="317"/>
    <s v="MX"/>
    <s v="R2"/>
    <n v="11"/>
    <n v="259"/>
    <s v="CO"/>
    <s v="G"/>
    <s v="EX"/>
    <n v="2022"/>
    <n v="2022"/>
    <x v="0"/>
    <n v="2"/>
    <n v="2"/>
    <n v="2"/>
    <n v="930"/>
    <n v="1296"/>
    <n v="0"/>
    <n v="0"/>
    <n v="0"/>
    <n v="0"/>
    <n v="2226"/>
    <x v="1"/>
    <n v="2"/>
    <s v="N"/>
    <s v="HP"/>
    <s v="G"/>
    <m/>
    <n v="0"/>
    <n v="0"/>
    <n v="1"/>
    <n v="0"/>
    <n v="1"/>
    <n v="13"/>
    <n v="0"/>
    <n v="400"/>
    <n v="0"/>
    <n v="0"/>
    <n v="0"/>
    <n v="0"/>
    <n v="100"/>
    <n v="100"/>
    <n v="405220"/>
    <n v="401168"/>
    <n v="397"/>
    <n v="365"/>
    <n v="32"/>
    <n v="0"/>
    <d v="2022-11-30T00:00:00"/>
    <s v="E038883"/>
    <n v="456525"/>
    <n v="456525"/>
    <s v="SWD"/>
    <n v="30"/>
    <s v="N"/>
    <s v="Y"/>
    <n v="427900"/>
    <n v="60800"/>
    <n v="367100"/>
    <n v="0"/>
    <n v="433632.0729086505"/>
    <n v="432323.69348015351"/>
    <n v="1308.3795190000001"/>
    <n v="132535.48800000001"/>
    <n v="88356.992000000013"/>
    <n v="-24051.387388882686"/>
    <n v="32917.849192000001"/>
    <n v="47371.278778200001"/>
    <n v="-217.48220000000001"/>
    <n v="58041.653400000003"/>
    <n v="77216.176368"/>
    <n v="0"/>
    <n v="-9412.7029999999995"/>
    <n v="9807.1044999999995"/>
    <n v="0"/>
    <n v="19758.72"/>
    <n v="433632.06916831736"/>
    <n v="0"/>
    <n v="369300"/>
    <n v="64300"/>
    <n v="433600"/>
    <n v="1.0528713099630995"/>
    <n v="1.3320869362000467E-2"/>
    <n v="0.99970000000000003"/>
    <n v="1.0019"/>
    <n v="1.0012000000000001"/>
    <n v="1.0008999999999999"/>
    <n v="0.99080000000000001"/>
    <n v="0.94971499999999998"/>
    <n v="0.94474630517542935"/>
    <n v="360700"/>
    <n v="0"/>
    <n v="360700"/>
    <n v="61100"/>
    <n v="421800"/>
    <n v="-1.7433941705257423E-2"/>
    <n v="4.9342105263157892E-3"/>
    <n v="-1.4255667211965412E-2"/>
    <n v="0.92680221131153828"/>
  </r>
  <r>
    <n v="2025"/>
    <n v="19120114517"/>
    <n v="-1.8325814637483102"/>
    <n v="0.16"/>
    <n v="7001"/>
    <n v="2"/>
    <s v="RES"/>
    <n v="317"/>
    <s v="MX"/>
    <s v="R2"/>
    <n v="11"/>
    <n v="259"/>
    <s v="CO"/>
    <s v="A+"/>
    <s v="EX"/>
    <n v="2022"/>
    <n v="2022"/>
    <x v="0"/>
    <n v="2"/>
    <n v="2"/>
    <n v="1"/>
    <n v="1619"/>
    <n v="0"/>
    <n v="0"/>
    <n v="0"/>
    <n v="0"/>
    <n v="0"/>
    <n v="1619"/>
    <x v="0"/>
    <n v="2"/>
    <s v="N"/>
    <s v="HP"/>
    <s v="G"/>
    <m/>
    <n v="0"/>
    <n v="0"/>
    <n v="0"/>
    <n v="1"/>
    <n v="0"/>
    <n v="9"/>
    <n v="480"/>
    <n v="0"/>
    <n v="0"/>
    <n v="0"/>
    <n v="0"/>
    <n v="0"/>
    <n v="100"/>
    <n v="100"/>
    <n v="290160"/>
    <n v="287258"/>
    <n v="461"/>
    <n v="365"/>
    <n v="96"/>
    <n v="0"/>
    <d v="2022-09-27T00:00:00"/>
    <s v="E038372"/>
    <n v="400000"/>
    <n v="400000"/>
    <s v="SWD"/>
    <n v="30"/>
    <s v="N"/>
    <s v="Y"/>
    <n v="398100"/>
    <n v="60800"/>
    <n v="337300"/>
    <n v="0"/>
    <n v="386715.33483480226"/>
    <n v="389723.34281190502"/>
    <n v="-3008.0076809999996"/>
    <n v="132535.48800000001"/>
    <n v="88356.992000000013"/>
    <n v="-24051.387388882686"/>
    <n v="37154.252388000001"/>
    <n v="47371.278778200001"/>
    <n v="-217.48220000000001"/>
    <n v="101042.40522"/>
    <n v="0"/>
    <n v="0"/>
    <n v="-9412.7029999999995"/>
    <n v="0"/>
    <n v="16944.494880000002"/>
    <n v="0"/>
    <n v="386715.33099631732"/>
    <n v="0"/>
    <n v="322400"/>
    <n v="64300"/>
    <n v="386700"/>
    <n v="1.034393586759762"/>
    <n v="-2.8636021100226075E-2"/>
    <n v="0.99970000000000003"/>
    <n v="0.99819999999999998"/>
    <n v="1.0012000000000001"/>
    <n v="1.0007999999999999"/>
    <n v="0.99080000000000001"/>
    <n v="0.94971499999999998"/>
    <n v="0.94116333171746858"/>
    <n v="317600"/>
    <n v="0"/>
    <n v="317600"/>
    <n v="61100"/>
    <n v="378700"/>
    <n v="-5.8404980729321078E-2"/>
    <n v="4.9342105263157892E-3"/>
    <n v="-4.8731474503893493E-2"/>
    <n v="0.93922998079749997"/>
  </r>
  <r>
    <n v="2025"/>
    <n v="19120114518"/>
    <n v="-1.8325814637483102"/>
    <n v="0.16"/>
    <n v="7001"/>
    <n v="2"/>
    <s v="RES"/>
    <n v="317"/>
    <s v="MX"/>
    <s v="R2"/>
    <n v="11"/>
    <n v="259"/>
    <s v="CO"/>
    <s v="G"/>
    <s v="EX"/>
    <n v="2022"/>
    <n v="2022"/>
    <x v="0"/>
    <n v="2"/>
    <n v="2"/>
    <n v="2"/>
    <n v="918"/>
    <n v="1296"/>
    <n v="0"/>
    <n v="0"/>
    <n v="0"/>
    <n v="0"/>
    <n v="2214"/>
    <x v="1"/>
    <n v="3"/>
    <s v="N"/>
    <s v="HP"/>
    <s v="G"/>
    <m/>
    <n v="0"/>
    <n v="0"/>
    <n v="0"/>
    <n v="0"/>
    <n v="1"/>
    <n v="13"/>
    <n v="0"/>
    <n v="640"/>
    <n v="0"/>
    <n v="0"/>
    <n v="100"/>
    <n v="0"/>
    <n v="100"/>
    <n v="100"/>
    <n v="400859"/>
    <n v="396850"/>
    <n v="457"/>
    <n v="365"/>
    <n v="92"/>
    <n v="0"/>
    <d v="2022-10-01T00:00:00"/>
    <s v="E038406"/>
    <n v="444990"/>
    <n v="444990"/>
    <s v="SWD"/>
    <n v="30"/>
    <s v="N"/>
    <s v="Y"/>
    <n v="426600"/>
    <n v="60800"/>
    <n v="365800"/>
    <n v="0"/>
    <n v="430884.66256750905"/>
    <n v="433622.89633176185"/>
    <n v="-2738.2334809999998"/>
    <n v="132535.48800000001"/>
    <n v="88356.992000000013"/>
    <n v="-24051.387388882686"/>
    <n v="32917.849192000001"/>
    <n v="47371.278778200001"/>
    <n v="-217.48220000000001"/>
    <n v="57292.728840000003"/>
    <n v="77216.176368"/>
    <n v="0"/>
    <n v="-9412.7029999999995"/>
    <n v="0"/>
    <n v="0"/>
    <n v="31613.951999999997"/>
    <n v="430884.65910831728"/>
    <n v="0"/>
    <n v="366600"/>
    <n v="64300"/>
    <n v="430900"/>
    <n v="1.0326990020886517"/>
    <n v="1.0079699953117674E-2"/>
    <n v="0.99970000000000003"/>
    <n v="1.0019"/>
    <n v="1.0012000000000001"/>
    <n v="1.0008999999999999"/>
    <n v="0.99080000000000001"/>
    <n v="0.94971499999999998"/>
    <n v="0.94474630517542935"/>
    <n v="362000"/>
    <n v="0"/>
    <n v="362000"/>
    <n v="61100"/>
    <n v="423100"/>
    <n v="-1.038819026790596E-2"/>
    <n v="4.9342105263157892E-3"/>
    <n v="-8.204406938584154E-3"/>
    <n v="0.94465441137778372"/>
  </r>
  <r>
    <n v="2025"/>
    <n v="19120114519"/>
    <n v="-1.8325814637483102"/>
    <n v="0.16"/>
    <n v="7001"/>
    <n v="2"/>
    <s v="RES"/>
    <n v="317"/>
    <s v="MX"/>
    <s v="R2"/>
    <n v="11"/>
    <n v="259"/>
    <s v="CO"/>
    <s v="A+"/>
    <s v="EX"/>
    <n v="2022"/>
    <n v="2022"/>
    <x v="0"/>
    <n v="2"/>
    <n v="2"/>
    <n v="1"/>
    <n v="1452"/>
    <n v="0"/>
    <n v="0"/>
    <n v="0"/>
    <n v="0"/>
    <n v="0"/>
    <n v="1452"/>
    <x v="3"/>
    <n v="2"/>
    <s v="N"/>
    <s v="HP"/>
    <s v="G"/>
    <m/>
    <n v="0"/>
    <n v="0"/>
    <n v="0"/>
    <n v="0"/>
    <n v="0"/>
    <n v="9"/>
    <n v="400"/>
    <n v="0"/>
    <n v="0"/>
    <n v="0"/>
    <n v="0"/>
    <n v="0"/>
    <n v="100"/>
    <n v="100"/>
    <n v="265996"/>
    <n v="263336"/>
    <n v="476"/>
    <n v="365"/>
    <n v="111"/>
    <n v="0"/>
    <d v="2022-09-12T00:00:00"/>
    <s v="E038199"/>
    <n v="385865"/>
    <n v="385865"/>
    <s v="SWD"/>
    <n v="30"/>
    <s v="N"/>
    <s v="Y"/>
    <n v="388000"/>
    <n v="60800"/>
    <n v="327200"/>
    <n v="0"/>
    <n v="372457.06562153"/>
    <n v="376476.72689682012"/>
    <n v="-4019.6609309999999"/>
    <n v="132535.48800000001"/>
    <n v="88356.992000000013"/>
    <n v="-24051.387388882686"/>
    <n v="37154.252388000001"/>
    <n v="47371.278778200001"/>
    <n v="-217.48220000000001"/>
    <n v="90619.871760000009"/>
    <n v="0"/>
    <n v="0"/>
    <n v="-9412.7029999999995"/>
    <n v="0"/>
    <n v="14120.412400000001"/>
    <n v="0"/>
    <n v="372457.0618063173"/>
    <n v="0"/>
    <n v="308200"/>
    <n v="64300"/>
    <n v="372500"/>
    <n v="1.0358791946308725"/>
    <n v="-3.994845360824742E-2"/>
    <n v="0.99970000000000003"/>
    <n v="0.99819999999999998"/>
    <n v="1.0012000000000001"/>
    <n v="0.99519999999999997"/>
    <n v="0.99080000000000001"/>
    <n v="0.94971499999999998"/>
    <n v="0.93589703010114389"/>
    <n v="303700"/>
    <n v="0"/>
    <n v="303700"/>
    <n v="61100"/>
    <n v="364800"/>
    <n v="-7.1821515892420543E-2"/>
    <n v="4.9342105263157892E-3"/>
    <n v="-5.9793814432989693E-2"/>
    <n v="0.93499109551008763"/>
  </r>
  <r>
    <n v="2025"/>
    <n v="19120114520"/>
    <n v="-1.8325814637483102"/>
    <n v="0.16"/>
    <n v="7001"/>
    <n v="2"/>
    <s v="RES"/>
    <n v="317"/>
    <s v="MX"/>
    <s v="R2"/>
    <n v="11"/>
    <n v="259"/>
    <s v="CO"/>
    <s v="A+"/>
    <s v="EX"/>
    <n v="2022"/>
    <n v="2022"/>
    <x v="0"/>
    <n v="2"/>
    <n v="2"/>
    <n v="1"/>
    <n v="1631"/>
    <n v="0"/>
    <n v="0"/>
    <n v="0"/>
    <n v="0"/>
    <n v="0"/>
    <n v="1631"/>
    <x v="0"/>
    <n v="2"/>
    <s v="N"/>
    <s v="HP"/>
    <s v="G"/>
    <m/>
    <n v="0"/>
    <n v="0"/>
    <n v="1"/>
    <n v="1"/>
    <n v="0"/>
    <n v="9"/>
    <n v="400"/>
    <n v="0"/>
    <n v="0"/>
    <n v="0"/>
    <n v="0"/>
    <n v="0"/>
    <n v="100"/>
    <n v="100"/>
    <n v="292110"/>
    <n v="289189"/>
    <n v="482"/>
    <n v="365"/>
    <n v="117"/>
    <n v="0"/>
    <d v="2022-09-06T00:00:00"/>
    <s v="E038183"/>
    <n v="409990"/>
    <n v="409990"/>
    <s v="SWD"/>
    <n v="30"/>
    <s v="N"/>
    <s v="Y"/>
    <n v="395300"/>
    <n v="60800"/>
    <n v="334500"/>
    <n v="0"/>
    <n v="393030.96684692352"/>
    <n v="397455.28944148863"/>
    <n v="-4424.3222310000001"/>
    <n v="132535.48800000001"/>
    <n v="88356.992000000013"/>
    <n v="-24051.387388882686"/>
    <n v="37154.252388000001"/>
    <n v="47371.278778200001"/>
    <n v="-217.48220000000001"/>
    <n v="101791.32978"/>
    <n v="0"/>
    <n v="0"/>
    <n v="-9412.7029999999995"/>
    <n v="9807.1044999999995"/>
    <n v="14120.412400000001"/>
    <n v="0"/>
    <n v="393030.96302631742"/>
    <n v="0"/>
    <n v="328700"/>
    <n v="64300"/>
    <n v="393000"/>
    <n v="1.0432315521628499"/>
    <n v="-5.8183657981280045E-3"/>
    <n v="0.99970000000000003"/>
    <n v="0.99819999999999998"/>
    <n v="1.0012000000000001"/>
    <n v="1.0007999999999999"/>
    <n v="0.99080000000000001"/>
    <n v="0.94971499999999998"/>
    <n v="0.94116333171746858"/>
    <n v="325400"/>
    <n v="0"/>
    <n v="325400"/>
    <n v="61100"/>
    <n v="386500"/>
    <n v="-2.7204783258594916E-2"/>
    <n v="4.9342105263157892E-3"/>
    <n v="-2.2261573488489755E-2"/>
    <n v="0.93191462662260061"/>
  </r>
  <r>
    <n v="2025"/>
    <n v="19120114521"/>
    <n v="-1.8325814637483102"/>
    <n v="0.16"/>
    <n v="7001"/>
    <n v="2"/>
    <s v="RES"/>
    <n v="317"/>
    <s v="MX"/>
    <s v="R2"/>
    <n v="11"/>
    <n v="259"/>
    <s v="CO"/>
    <s v="A+"/>
    <s v="EX"/>
    <n v="2022"/>
    <n v="2022"/>
    <x v="0"/>
    <n v="2"/>
    <n v="2"/>
    <n v="1"/>
    <n v="1619"/>
    <n v="0"/>
    <n v="0"/>
    <n v="0"/>
    <n v="0"/>
    <n v="0"/>
    <n v="1619"/>
    <x v="0"/>
    <n v="2"/>
    <s v="N"/>
    <s v="HP"/>
    <s v="G"/>
    <m/>
    <n v="0"/>
    <n v="0"/>
    <n v="0"/>
    <n v="1"/>
    <n v="0"/>
    <n v="9"/>
    <n v="480"/>
    <n v="0"/>
    <n v="0"/>
    <n v="0"/>
    <n v="0"/>
    <n v="0"/>
    <n v="100"/>
    <n v="100"/>
    <n v="290160"/>
    <n v="287258"/>
    <n v="434"/>
    <n v="365"/>
    <n v="69"/>
    <n v="0"/>
    <d v="2022-10-24T00:00:00"/>
    <s v="E038796"/>
    <n v="428212"/>
    <n v="428212"/>
    <s v="SWD"/>
    <n v="30"/>
    <s v="N"/>
    <s v="Y"/>
    <n v="398100"/>
    <n v="60800"/>
    <n v="337300"/>
    <n v="0"/>
    <n v="388536.31077153975"/>
    <n v="389723.34281190502"/>
    <n v="-1187.0318309999998"/>
    <n v="132535.48800000001"/>
    <n v="88356.992000000013"/>
    <n v="-24051.387388882686"/>
    <n v="37154.252388000001"/>
    <n v="47371.278778200001"/>
    <n v="-217.48220000000001"/>
    <n v="101042.40522"/>
    <n v="0"/>
    <n v="0"/>
    <n v="-9412.7029999999995"/>
    <n v="0"/>
    <n v="16944.494880000002"/>
    <n v="0"/>
    <n v="388536.30684631737"/>
    <n v="0"/>
    <n v="324200"/>
    <n v="64300"/>
    <n v="388500"/>
    <n v="1.1022187902187903"/>
    <n v="-2.4114544084400905E-2"/>
    <n v="0.99970000000000003"/>
    <n v="0.99819999999999998"/>
    <n v="1.0012000000000001"/>
    <n v="1.0007999999999999"/>
    <n v="0.99080000000000001"/>
    <n v="0.94971499999999998"/>
    <n v="0.94116333171746858"/>
    <n v="317600"/>
    <n v="0"/>
    <n v="317600"/>
    <n v="61100"/>
    <n v="378700"/>
    <n v="-5.8404980729321078E-2"/>
    <n v="4.9342105263157892E-3"/>
    <n v="-4.8731474503893493E-2"/>
    <n v="0.88160296341298239"/>
  </r>
  <r>
    <n v="2025"/>
    <n v="19120114522"/>
    <n v="-1.8325814637483102"/>
    <n v="0.16"/>
    <n v="7002"/>
    <n v="2"/>
    <s v="RES"/>
    <n v="317"/>
    <s v="MX"/>
    <s v="R2"/>
    <n v="11"/>
    <n v="259"/>
    <s v="CO"/>
    <s v="A+"/>
    <s v="EX"/>
    <n v="2022"/>
    <n v="2022"/>
    <x v="0"/>
    <n v="2"/>
    <n v="2"/>
    <n v="1"/>
    <n v="1621"/>
    <n v="0"/>
    <n v="0"/>
    <n v="0"/>
    <n v="0"/>
    <n v="0"/>
    <n v="1621"/>
    <x v="0"/>
    <n v="2"/>
    <s v="N"/>
    <s v="HP"/>
    <s v="G"/>
    <m/>
    <n v="0"/>
    <n v="0"/>
    <n v="0"/>
    <n v="0"/>
    <n v="0"/>
    <n v="9"/>
    <n v="480"/>
    <n v="0"/>
    <n v="0"/>
    <n v="0"/>
    <n v="156"/>
    <n v="0"/>
    <n v="100"/>
    <n v="100"/>
    <n v="288040"/>
    <n v="285160"/>
    <n v="413"/>
    <n v="365"/>
    <n v="48"/>
    <n v="0"/>
    <d v="2022-11-14T00:00:00"/>
    <s v="E038844"/>
    <n v="411536"/>
    <n v="411536"/>
    <s v="SWD"/>
    <n v="30"/>
    <s v="N"/>
    <s v="Y"/>
    <n v="391600"/>
    <n v="60800"/>
    <n v="330800"/>
    <n v="0"/>
    <n v="390077.44614905008"/>
    <n v="389848.16357195296"/>
    <n v="229.28271900000027"/>
    <n v="132535.48800000001"/>
    <n v="88356.992000000013"/>
    <n v="-24051.387388882686"/>
    <n v="37154.252388000001"/>
    <n v="47371.278778200001"/>
    <n v="-217.48220000000001"/>
    <n v="101167.22598"/>
    <n v="0"/>
    <n v="0"/>
    <n v="-9412.7029999999995"/>
    <n v="0"/>
    <n v="16944.494880000002"/>
    <n v="0"/>
    <n v="390077.44215631735"/>
    <n v="0"/>
    <n v="325800"/>
    <n v="64300"/>
    <n v="390100"/>
    <n v="1.0549500128172264"/>
    <n v="-3.8304392236976508E-3"/>
    <n v="0.99970000000000003"/>
    <n v="0.99819999999999998"/>
    <n v="1.0012000000000001"/>
    <n v="1.0007999999999999"/>
    <n v="0.99080000000000001"/>
    <n v="0.94971499999999998"/>
    <n v="0.94116333171746858"/>
    <n v="317700"/>
    <n v="0"/>
    <n v="317700"/>
    <n v="61100"/>
    <n v="378800"/>
    <n v="-3.9600967351874246E-2"/>
    <n v="4.9342105263157892E-3"/>
    <n v="-3.268641470888662E-2"/>
    <n v="0.92101124256201161"/>
  </r>
  <r>
    <n v="2025"/>
    <n v="19120114523"/>
    <n v="-1.8325814637483102"/>
    <n v="0.16"/>
    <n v="7087"/>
    <n v="2"/>
    <s v="RES"/>
    <n v="317"/>
    <s v="MX"/>
    <s v="R2"/>
    <n v="11"/>
    <n v="259"/>
    <s v="CO"/>
    <s v="A+"/>
    <s v="EX"/>
    <n v="2022"/>
    <n v="2022"/>
    <x v="0"/>
    <n v="2"/>
    <n v="2"/>
    <n v="1"/>
    <n v="1592"/>
    <n v="0"/>
    <n v="0"/>
    <n v="0"/>
    <n v="0"/>
    <n v="0"/>
    <n v="1592"/>
    <x v="0"/>
    <n v="2"/>
    <s v="N"/>
    <s v="HP"/>
    <s v="G"/>
    <m/>
    <n v="0"/>
    <n v="0"/>
    <n v="1"/>
    <n v="0"/>
    <n v="0"/>
    <n v="10"/>
    <n v="400"/>
    <n v="0"/>
    <n v="0"/>
    <n v="0"/>
    <n v="0"/>
    <n v="0"/>
    <n v="100"/>
    <n v="100"/>
    <n v="289570"/>
    <n v="286674"/>
    <n v="482"/>
    <n v="365"/>
    <n v="117"/>
    <n v="0"/>
    <d v="2022-09-06T00:00:00"/>
    <s v="E038097"/>
    <n v="415753"/>
    <n v="415753"/>
    <s v="SWD"/>
    <n v="30"/>
    <s v="N"/>
    <s v="Y"/>
    <n v="393200"/>
    <n v="60800"/>
    <n v="332400"/>
    <n v="0"/>
    <n v="390596.96202598809"/>
    <n v="395021.2846205532"/>
    <n v="-4424.3222310000001"/>
    <n v="132535.48800000001"/>
    <n v="88356.992000000013"/>
    <n v="-24051.387388882686"/>
    <n v="37154.252388000001"/>
    <n v="47371.278778200001"/>
    <n v="-217.48220000000001"/>
    <n v="99357.324960000013"/>
    <n v="0"/>
    <n v="0"/>
    <n v="-9412.7029999999995"/>
    <n v="9807.1044999999995"/>
    <n v="14120.412400000001"/>
    <n v="0"/>
    <n v="390596.95820631739"/>
    <n v="0"/>
    <n v="326300"/>
    <n v="64300"/>
    <n v="390600"/>
    <n v="1.0643958013312853"/>
    <n v="-6.6124109867751781E-3"/>
    <n v="0.99970000000000003"/>
    <n v="0.99819999999999998"/>
    <n v="1.0012000000000001"/>
    <n v="1.0007999999999999"/>
    <n v="0.99080000000000001"/>
    <n v="0.94971499999999998"/>
    <n v="0.94116333171746858"/>
    <n v="322900"/>
    <n v="0"/>
    <n v="322900"/>
    <n v="61100"/>
    <n v="384000"/>
    <n v="-2.8580024067388687E-2"/>
    <n v="4.9342105263157892E-3"/>
    <n v="-2.3397761953204477E-2"/>
    <n v="0.91298361712122345"/>
  </r>
  <r>
    <n v="2025"/>
    <n v="19120114524"/>
    <n v="-1.8325814637483102"/>
    <n v="0.16"/>
    <n v="7001"/>
    <n v="2"/>
    <s v="RES"/>
    <n v="317"/>
    <s v="MX"/>
    <s v="R2"/>
    <n v="11"/>
    <n v="259"/>
    <s v="CO"/>
    <s v="A+"/>
    <s v="EX"/>
    <n v="2022"/>
    <n v="2022"/>
    <x v="0"/>
    <n v="2"/>
    <n v="2"/>
    <n v="1"/>
    <n v="1452"/>
    <n v="0"/>
    <n v="0"/>
    <n v="0"/>
    <n v="0"/>
    <n v="0"/>
    <n v="1452"/>
    <x v="3"/>
    <n v="2"/>
    <s v="N"/>
    <s v="HP"/>
    <s v="G"/>
    <m/>
    <n v="0"/>
    <n v="0"/>
    <n v="0"/>
    <n v="0"/>
    <n v="0"/>
    <n v="9"/>
    <n v="400"/>
    <n v="0"/>
    <n v="0"/>
    <n v="0"/>
    <n v="100"/>
    <n v="0"/>
    <n v="100"/>
    <n v="100"/>
    <n v="257722"/>
    <n v="255145"/>
    <n v="439"/>
    <n v="365"/>
    <n v="74"/>
    <n v="0"/>
    <d v="2022-10-19T00:00:00"/>
    <s v="E038572"/>
    <n v="375994"/>
    <n v="375994"/>
    <s v="SWD"/>
    <n v="30"/>
    <s v="N"/>
    <s v="Y"/>
    <n v="373300"/>
    <n v="60800"/>
    <n v="312500"/>
    <n v="0"/>
    <n v="374952.47709039238"/>
    <n v="376476.72689682012"/>
    <n v="-1524.2495809999996"/>
    <n v="132535.48800000001"/>
    <n v="88356.992000000013"/>
    <n v="-24051.387388882686"/>
    <n v="37154.252388000001"/>
    <n v="47371.278778200001"/>
    <n v="-217.48220000000001"/>
    <n v="90619.871760000009"/>
    <n v="0"/>
    <n v="0"/>
    <n v="-9412.7029999999995"/>
    <n v="0"/>
    <n v="14120.412400000001"/>
    <n v="0"/>
    <n v="374952.47315631737"/>
    <n v="0"/>
    <n v="310600"/>
    <n v="64300"/>
    <n v="374900"/>
    <n v="1.002918111496399"/>
    <n v="4.2860969729440132E-3"/>
    <n v="0.99970000000000003"/>
    <n v="0.99819999999999998"/>
    <n v="1.0012000000000001"/>
    <n v="0.99519999999999997"/>
    <n v="0.99080000000000001"/>
    <n v="0.94971499999999998"/>
    <n v="0.93589703010114389"/>
    <n v="303700"/>
    <n v="0"/>
    <n v="303700"/>
    <n v="61100"/>
    <n v="364800"/>
    <n v="-2.8160000000000001E-2"/>
    <n v="4.9342105263157892E-3"/>
    <n v="-2.2769890168765069E-2"/>
    <n v="0.96617432836428241"/>
  </r>
  <r>
    <n v="2025"/>
    <n v="19120114525"/>
    <n v="-1.8325814637483102"/>
    <n v="0.16"/>
    <n v="7002"/>
    <n v="2"/>
    <s v="RES"/>
    <n v="317"/>
    <s v="MX"/>
    <s v="R2"/>
    <n v="11"/>
    <n v="259"/>
    <s v="CO"/>
    <s v="A+"/>
    <s v="EX"/>
    <n v="2022"/>
    <n v="2022"/>
    <x v="0"/>
    <n v="2"/>
    <n v="2"/>
    <n v="1"/>
    <n v="1619"/>
    <n v="0"/>
    <n v="0"/>
    <n v="0"/>
    <n v="0"/>
    <n v="0"/>
    <n v="1619"/>
    <x v="0"/>
    <n v="2"/>
    <s v="N"/>
    <s v="HP"/>
    <s v="G"/>
    <m/>
    <n v="0"/>
    <n v="0"/>
    <n v="0"/>
    <n v="1"/>
    <n v="0"/>
    <n v="9"/>
    <n v="480"/>
    <n v="0"/>
    <n v="0"/>
    <n v="0"/>
    <n v="0"/>
    <n v="0"/>
    <n v="100"/>
    <n v="100"/>
    <n v="290160"/>
    <n v="287258"/>
    <n v="457"/>
    <n v="365"/>
    <n v="92"/>
    <n v="0"/>
    <d v="2022-10-01T00:00:00"/>
    <s v="E038429"/>
    <n v="405385"/>
    <n v="405385"/>
    <s v="SWD"/>
    <n v="30"/>
    <s v="N"/>
    <s v="Y"/>
    <n v="398100"/>
    <n v="60800"/>
    <n v="337300"/>
    <n v="0"/>
    <n v="386985.10904765228"/>
    <n v="389723.34281190502"/>
    <n v="-2738.2334809999998"/>
    <n v="132535.48800000001"/>
    <n v="88356.992000000013"/>
    <n v="-24051.387388882686"/>
    <n v="37154.252388000001"/>
    <n v="47371.278778200001"/>
    <n v="-217.48220000000001"/>
    <n v="101042.40522"/>
    <n v="0"/>
    <n v="0"/>
    <n v="-9412.7029999999995"/>
    <n v="0"/>
    <n v="16944.494880000002"/>
    <n v="0"/>
    <n v="386985.10519631737"/>
    <n v="0"/>
    <n v="322700"/>
    <n v="64300"/>
    <n v="387000"/>
    <n v="1.0475064599483204"/>
    <n v="-2.7882441597588545E-2"/>
    <n v="0.99970000000000003"/>
    <n v="0.99819999999999998"/>
    <n v="1.0012000000000001"/>
    <n v="1.0007999999999999"/>
    <n v="0.99080000000000001"/>
    <n v="0.94971499999999998"/>
    <n v="0.94116333171746858"/>
    <n v="317600"/>
    <n v="0"/>
    <n v="317600"/>
    <n v="61100"/>
    <n v="378700"/>
    <n v="-5.8404980729321078E-2"/>
    <n v="4.9342105263157892E-3"/>
    <n v="-4.8731474503893493E-2"/>
    <n v="0.9274190375050877"/>
  </r>
  <r>
    <n v="2025"/>
    <n v="19120114527"/>
    <n v="-1.8325814637483102"/>
    <n v="0.16"/>
    <n v="7001"/>
    <n v="2"/>
    <s v="RES"/>
    <n v="317"/>
    <s v="MX"/>
    <s v="R2"/>
    <n v="11"/>
    <n v="259"/>
    <s v="CO"/>
    <s v="A+"/>
    <s v="EX"/>
    <n v="2022"/>
    <n v="2022"/>
    <x v="0"/>
    <n v="2"/>
    <n v="2"/>
    <n v="1"/>
    <n v="1464"/>
    <n v="0"/>
    <n v="0"/>
    <n v="0"/>
    <n v="0"/>
    <n v="0"/>
    <n v="1464"/>
    <x v="3"/>
    <n v="2"/>
    <s v="N"/>
    <s v="HP"/>
    <s v="G"/>
    <m/>
    <n v="0"/>
    <n v="0"/>
    <n v="1"/>
    <n v="0"/>
    <n v="0"/>
    <n v="9"/>
    <n v="400"/>
    <n v="0"/>
    <n v="0"/>
    <n v="0"/>
    <n v="100"/>
    <n v="0"/>
    <n v="100"/>
    <n v="100"/>
    <n v="262619"/>
    <n v="259993"/>
    <n v="440"/>
    <n v="365"/>
    <n v="75"/>
    <n v="0"/>
    <d v="2022-10-18T00:00:00"/>
    <s v="E038655"/>
    <n v="374990"/>
    <n v="374990"/>
    <s v="SWD"/>
    <n v="30"/>
    <s v="N"/>
    <s v="Y"/>
    <n v="373900"/>
    <n v="60800"/>
    <n v="313100"/>
    <n v="0"/>
    <n v="385441.06261784275"/>
    <n v="387032.755977483"/>
    <n v="-1591.6931310000004"/>
    <n v="132535.48800000001"/>
    <n v="88356.992000000013"/>
    <n v="-24051.387388882686"/>
    <n v="37154.252388000001"/>
    <n v="47371.278778200001"/>
    <n v="-217.48220000000001"/>
    <n v="91368.796320000009"/>
    <n v="0"/>
    <n v="0"/>
    <n v="-9412.7029999999995"/>
    <n v="9807.1044999999995"/>
    <n v="14120.412400000001"/>
    <n v="0"/>
    <n v="385441.05866631737"/>
    <n v="0"/>
    <n v="321100"/>
    <n v="64300"/>
    <n v="385400"/>
    <n v="0.97298910223144786"/>
    <n v="3.0756886868146562E-2"/>
    <n v="0.99970000000000003"/>
    <n v="0.99819999999999998"/>
    <n v="1.0012000000000001"/>
    <n v="0.99519999999999997"/>
    <n v="0.99080000000000001"/>
    <n v="0.94971499999999998"/>
    <n v="0.93589703010114389"/>
    <n v="314200"/>
    <n v="0"/>
    <n v="314200"/>
    <n v="61100"/>
    <n v="375300"/>
    <n v="3.5132545512615776E-3"/>
    <n v="4.9342105263157892E-3"/>
    <n v="3.744316662209147E-3"/>
    <n v="0.99658206050561349"/>
  </r>
  <r>
    <n v="2025"/>
    <n v="19120114528"/>
    <n v="-1.8325814637483102"/>
    <n v="0.16"/>
    <n v="7001"/>
    <n v="2"/>
    <s v="RES"/>
    <n v="317"/>
    <s v="MX"/>
    <s v="R2"/>
    <n v="11"/>
    <n v="259"/>
    <s v="CO"/>
    <s v="A+"/>
    <s v="EX"/>
    <n v="2022"/>
    <n v="2022"/>
    <x v="0"/>
    <n v="2"/>
    <n v="2"/>
    <n v="1"/>
    <n v="1580"/>
    <n v="0"/>
    <n v="0"/>
    <n v="0"/>
    <n v="0"/>
    <n v="0"/>
    <n v="1580"/>
    <x v="0"/>
    <n v="2"/>
    <s v="N"/>
    <s v="HP"/>
    <s v="G"/>
    <m/>
    <n v="0"/>
    <n v="0"/>
    <n v="0"/>
    <n v="0"/>
    <n v="0"/>
    <n v="9"/>
    <n v="400"/>
    <n v="0"/>
    <n v="0"/>
    <n v="0"/>
    <n v="100"/>
    <n v="0"/>
    <n v="100"/>
    <n v="100"/>
    <n v="279658"/>
    <n v="276861"/>
    <n v="509"/>
    <n v="365"/>
    <n v="144"/>
    <n v="0"/>
    <d v="2022-08-10T00:00:00"/>
    <s v="E037876"/>
    <n v="385265"/>
    <n v="385265"/>
    <s v="SWD"/>
    <n v="30"/>
    <s v="N"/>
    <s v="Y"/>
    <n v="386900"/>
    <n v="60800"/>
    <n v="326100"/>
    <n v="0"/>
    <n v="378219.95700858778"/>
    <n v="384465.25553989032"/>
    <n v="-6245.298080999999"/>
    <n v="132535.48800000001"/>
    <n v="88356.992000000013"/>
    <n v="-24051.387388882686"/>
    <n v="37154.252388000001"/>
    <n v="47371.278778200001"/>
    <n v="-217.48220000000001"/>
    <n v="98608.400399999999"/>
    <n v="0"/>
    <n v="0"/>
    <n v="-9412.7029999999995"/>
    <n v="0"/>
    <n v="14120.412400000001"/>
    <n v="0"/>
    <n v="378219.95329631725"/>
    <n v="0"/>
    <n v="313900"/>
    <n v="64300"/>
    <n v="378200"/>
    <n v="1.0186805922792173"/>
    <n v="-2.2486430602222798E-2"/>
    <n v="0.99970000000000003"/>
    <n v="0.99819999999999998"/>
    <n v="1.0012000000000001"/>
    <n v="1.0007999999999999"/>
    <n v="0.99080000000000001"/>
    <n v="0.94971499999999998"/>
    <n v="0.94116333171746858"/>
    <n v="312400"/>
    <n v="0"/>
    <n v="312400"/>
    <n v="61100"/>
    <n v="373500"/>
    <n v="-4.2011652867218648E-2"/>
    <n v="4.9342105263157892E-3"/>
    <n v="-3.4634272421814424E-2"/>
    <n v="0.95325218205391093"/>
  </r>
  <r>
    <n v="2025"/>
    <n v="19120114529"/>
    <n v="-1.8325814637483102"/>
    <n v="0.16"/>
    <n v="7002"/>
    <n v="2"/>
    <s v="RES"/>
    <n v="317"/>
    <s v="MX"/>
    <s v="R2"/>
    <n v="11"/>
    <n v="259"/>
    <s v="CO"/>
    <s v="A+"/>
    <s v="EX"/>
    <n v="2022"/>
    <n v="2022"/>
    <x v="0"/>
    <n v="2"/>
    <n v="2"/>
    <n v="1"/>
    <n v="1240"/>
    <n v="0"/>
    <n v="0"/>
    <n v="0"/>
    <n v="0"/>
    <n v="0"/>
    <n v="1240"/>
    <x v="3"/>
    <n v="2"/>
    <s v="N"/>
    <s v="HP"/>
    <s v="G"/>
    <m/>
    <n v="0"/>
    <n v="0"/>
    <n v="0"/>
    <n v="0"/>
    <n v="0"/>
    <n v="9"/>
    <n v="404"/>
    <n v="0"/>
    <n v="0"/>
    <n v="0"/>
    <n v="116"/>
    <n v="0"/>
    <n v="100"/>
    <n v="100"/>
    <n v="228295"/>
    <n v="226012"/>
    <n v="522"/>
    <n v="365"/>
    <n v="157"/>
    <n v="0"/>
    <d v="2022-07-28T00:00:00"/>
    <s v="E037652"/>
    <n v="361515"/>
    <n v="361515"/>
    <s v="SWD"/>
    <n v="30"/>
    <s v="N"/>
    <s v="Y"/>
    <n v="362900"/>
    <n v="60800"/>
    <n v="302100"/>
    <n v="0"/>
    <n v="356264.86573122418"/>
    <n v="363386.93045428913"/>
    <n v="-7122.0642310000003"/>
    <n v="132535.48800000001"/>
    <n v="88356.992000000013"/>
    <n v="-24051.387388882686"/>
    <n v="37154.252388000001"/>
    <n v="47371.278778200001"/>
    <n v="-217.48220000000001"/>
    <n v="77388.871200000009"/>
    <n v="0"/>
    <n v="0"/>
    <n v="-9412.7029999999995"/>
    <n v="0"/>
    <n v="14261.616524000001"/>
    <n v="0"/>
    <n v="356264.86207031732"/>
    <n v="0"/>
    <n v="292000"/>
    <n v="64300"/>
    <n v="356300"/>
    <n v="1.0146365422396857"/>
    <n v="-1.818682832736291E-2"/>
    <n v="0.99970000000000003"/>
    <n v="0.99819999999999998"/>
    <n v="1.0012000000000001"/>
    <n v="0.99519999999999997"/>
    <n v="0.99080000000000001"/>
    <n v="0.94971499999999998"/>
    <n v="0.93589703010114389"/>
    <n v="290600"/>
    <n v="0"/>
    <n v="290600"/>
    <n v="61100"/>
    <n v="351700"/>
    <n v="-3.8066865276398541E-2"/>
    <n v="4.9342105263157892E-3"/>
    <n v="-3.0862496555524938E-2"/>
    <n v="0.95314976078171021"/>
  </r>
  <r>
    <n v="2025"/>
    <n v="19120114530"/>
    <n v="-1.8325814637483102"/>
    <n v="0.16"/>
    <n v="7001"/>
    <n v="2"/>
    <s v="RES"/>
    <n v="317"/>
    <s v="MX"/>
    <s v="R2"/>
    <n v="11"/>
    <n v="259"/>
    <s v="CO"/>
    <s v="G"/>
    <s v="EX"/>
    <n v="2022"/>
    <n v="2022"/>
    <x v="0"/>
    <n v="2"/>
    <n v="2"/>
    <n v="2"/>
    <n v="1316"/>
    <n v="1686"/>
    <n v="0"/>
    <n v="0"/>
    <n v="0"/>
    <n v="0"/>
    <n v="3002"/>
    <x v="2"/>
    <n v="2"/>
    <s v="S"/>
    <s v="HP"/>
    <s v="G"/>
    <m/>
    <n v="0"/>
    <n v="0"/>
    <n v="0"/>
    <n v="0"/>
    <n v="0"/>
    <n v="14"/>
    <n v="0"/>
    <n v="540"/>
    <n v="0"/>
    <n v="0"/>
    <n v="200"/>
    <n v="0"/>
    <n v="100"/>
    <n v="100"/>
    <n v="504888"/>
    <n v="499839"/>
    <n v="406"/>
    <n v="365"/>
    <n v="41"/>
    <n v="0"/>
    <d v="2022-11-21T00:00:00"/>
    <s v="E039008"/>
    <n v="459990"/>
    <n v="459990"/>
    <s v="SWD"/>
    <n v="30"/>
    <s v="N"/>
    <s v="Y"/>
    <n v="465600"/>
    <n v="60800"/>
    <n v="404800"/>
    <n v="0"/>
    <n v="490985.865388292"/>
    <n v="490284.47793870745"/>
    <n v="701.38756899999998"/>
    <n v="132535.48800000001"/>
    <n v="88356.992000000013"/>
    <n v="-24051.387388882686"/>
    <n v="32917.849192000001"/>
    <n v="47371.278778200001"/>
    <n v="-217.48220000000001"/>
    <n v="82132.06008000001"/>
    <n v="100452.525738"/>
    <n v="0"/>
    <n v="4112.8784489"/>
    <n v="0"/>
    <n v="0"/>
    <n v="26674.272000000001"/>
    <n v="490985.86221721733"/>
    <n v="0"/>
    <n v="426700"/>
    <n v="64300"/>
    <n v="491000"/>
    <n v="0.93684317718940935"/>
    <n v="5.4553264604810997E-2"/>
    <n v="0.99970000000000003"/>
    <n v="1.0019"/>
    <n v="1.0012000000000001"/>
    <n v="0.98509999999999998"/>
    <n v="0.99080000000000001"/>
    <n v="0.94971499999999998"/>
    <n v="0.92983273576612613"/>
    <n v="416700"/>
    <n v="0"/>
    <n v="416700"/>
    <n v="61100"/>
    <n v="477800"/>
    <n v="2.9397233201581028E-2"/>
    <n v="4.9342105263157892E-3"/>
    <n v="2.6202749140893471E-2"/>
    <n v="1.040243021737429"/>
  </r>
  <r>
    <n v="2025"/>
    <n v="19120134415"/>
    <n v="-1.7147984280919266"/>
    <n v="0.18"/>
    <n v="7800"/>
    <n v="2"/>
    <s v="RES"/>
    <n v="317"/>
    <s v="MX"/>
    <s v="R1"/>
    <n v="11"/>
    <n v="259"/>
    <s v="CO"/>
    <s v="A"/>
    <s v="EX"/>
    <n v="2022"/>
    <n v="2022"/>
    <x v="0"/>
    <n v="2"/>
    <n v="2"/>
    <n v="1"/>
    <n v="1320"/>
    <n v="0"/>
    <n v="0"/>
    <n v="0"/>
    <n v="0"/>
    <n v="0"/>
    <n v="1320"/>
    <x v="3"/>
    <n v="2"/>
    <s v="N"/>
    <s v="HP"/>
    <s v="E"/>
    <m/>
    <n v="0"/>
    <n v="0"/>
    <n v="0"/>
    <n v="0"/>
    <n v="0"/>
    <n v="8"/>
    <n v="440"/>
    <n v="0"/>
    <n v="0"/>
    <n v="0"/>
    <n v="0"/>
    <n v="0"/>
    <n v="100"/>
    <n v="100"/>
    <n v="211870"/>
    <n v="209751"/>
    <n v="362"/>
    <n v="362"/>
    <n v="0"/>
    <n v="0"/>
    <d v="2023-01-04T00:00:00"/>
    <s v="E039167"/>
    <n v="320000"/>
    <n v="320000"/>
    <s v="SWD"/>
    <n v="30"/>
    <s v="N"/>
    <s v="Y"/>
    <n v="359700"/>
    <n v="62500"/>
    <n v="297200"/>
    <n v="0"/>
    <n v="361852.0146373476"/>
    <n v="358413.93388795189"/>
    <n v="3438.0807371999999"/>
    <n v="132535.48800000001"/>
    <n v="88356.992000000013"/>
    <n v="-22505.565020573864"/>
    <n v="24371.765965999999"/>
    <n v="47371.278778200001"/>
    <n v="-217.48220000000001"/>
    <n v="82381.7016"/>
    <n v="0"/>
    <n v="0"/>
    <n v="-9412.7029999999995"/>
    <n v="0"/>
    <n v="15532.453640000002"/>
    <n v="0"/>
    <n v="361852.01050082623"/>
    <n v="0"/>
    <n v="296000"/>
    <n v="65900"/>
    <n v="361900"/>
    <n v="0.8842221608179055"/>
    <n v="6.1162079510703364E-3"/>
    <n v="0.99970000000000003"/>
    <n v="0.99199999999999999"/>
    <n v="1.0012000000000001"/>
    <n v="0.99519999999999997"/>
    <n v="0.99080000000000001"/>
    <n v="0.94971499999999998"/>
    <n v="0.93008400506945976"/>
    <n v="283300"/>
    <n v="0"/>
    <n v="283300"/>
    <n v="62500"/>
    <n v="345800"/>
    <n v="-4.6769851951547779E-2"/>
    <n v="0"/>
    <n v="-3.864331387267167E-2"/>
    <n v="1.0913690023037499"/>
  </r>
  <r>
    <n v="2025"/>
    <n v="19133514419"/>
    <n v="-1.5141277326297755"/>
    <n v="0.22"/>
    <n v="9619"/>
    <n v="2"/>
    <s v="RES"/>
    <n v="317"/>
    <s v="MX"/>
    <s v="R1"/>
    <n v="11"/>
    <n v="259"/>
    <s v="CO"/>
    <s v="G"/>
    <s v="EX"/>
    <n v="2022"/>
    <n v="2022"/>
    <x v="0"/>
    <n v="2"/>
    <n v="2"/>
    <n v="1"/>
    <n v="2010"/>
    <n v="0"/>
    <n v="0"/>
    <n v="0"/>
    <n v="0"/>
    <n v="0"/>
    <n v="2010"/>
    <x v="1"/>
    <n v="3"/>
    <s v="S"/>
    <s v="HP"/>
    <s v="E"/>
    <m/>
    <n v="0"/>
    <n v="0"/>
    <n v="0"/>
    <n v="0"/>
    <n v="0"/>
    <n v="11"/>
    <n v="664"/>
    <n v="0"/>
    <n v="0"/>
    <n v="0"/>
    <n v="500"/>
    <n v="0"/>
    <n v="100"/>
    <n v="100"/>
    <n v="398217"/>
    <n v="394235"/>
    <n v="605"/>
    <n v="365"/>
    <n v="240"/>
    <n v="0"/>
    <d v="2022-05-06T00:00:00"/>
    <s v="E036502"/>
    <n v="423580"/>
    <n v="423580"/>
    <s v="SWD"/>
    <n v="30"/>
    <s v="N"/>
    <s v="Y"/>
    <n v="415800"/>
    <n v="65300"/>
    <n v="350500"/>
    <n v="0"/>
    <n v="421369.97821867408"/>
    <n v="434089.85785837634"/>
    <n v="-12719.878881000001"/>
    <n v="132535.48800000001"/>
    <n v="88356.992000000013"/>
    <n v="-19871.898398035348"/>
    <n v="32917.849192000001"/>
    <n v="47371.278778200001"/>
    <n v="-217.48220000000001"/>
    <n v="125444.86380000001"/>
    <n v="0"/>
    <n v="0"/>
    <n v="4112.8784489"/>
    <n v="0"/>
    <n v="23439.884583999999"/>
    <n v="0"/>
    <n v="421369.97532406461"/>
    <n v="0"/>
    <n v="352900"/>
    <n v="68500"/>
    <n v="421400"/>
    <n v="1.0051732320835312"/>
    <n v="1.3468013468013467E-2"/>
    <n v="0.99970000000000003"/>
    <n v="1.0019"/>
    <n v="1.0012000000000001"/>
    <n v="1.0008999999999999"/>
    <n v="0.99080000000000001"/>
    <n v="0.94971499999999998"/>
    <n v="0.94474630517542935"/>
    <n v="358300"/>
    <n v="0"/>
    <n v="358300"/>
    <n v="65000"/>
    <n v="423300"/>
    <n v="2.225392296718973E-2"/>
    <n v="-4.5941807044410417E-3"/>
    <n v="1.8037518037518036E-2"/>
    <n v="0.9693095073398178"/>
  </r>
  <r>
    <n v="2025"/>
    <n v="19133541432"/>
    <n v="-1.6607312068216509"/>
    <n v="0.19"/>
    <n v="8222"/>
    <n v="2"/>
    <s v="RES"/>
    <n v="317"/>
    <s v="MX"/>
    <s v="R1"/>
    <n v="11"/>
    <n v="259"/>
    <s v="CO"/>
    <s v="A+"/>
    <s v="EX"/>
    <n v="2022"/>
    <n v="2022"/>
    <x v="0"/>
    <n v="2"/>
    <n v="2"/>
    <n v="1"/>
    <n v="1403"/>
    <n v="0"/>
    <n v="0"/>
    <n v="0"/>
    <n v="0"/>
    <n v="0"/>
    <n v="1403"/>
    <x v="3"/>
    <n v="3"/>
    <s v="N"/>
    <s v="HP"/>
    <s v="G"/>
    <m/>
    <n v="0"/>
    <n v="0"/>
    <n v="0"/>
    <n v="0"/>
    <n v="0"/>
    <n v="10"/>
    <n v="640"/>
    <n v="0"/>
    <n v="0"/>
    <n v="0"/>
    <n v="120"/>
    <n v="0"/>
    <n v="100"/>
    <n v="100"/>
    <n v="263599"/>
    <n v="260963"/>
    <n v="662"/>
    <n v="365"/>
    <n v="297"/>
    <n v="0"/>
    <d v="2022-03-10T00:00:00"/>
    <s v="E035669"/>
    <n v="365250"/>
    <n v="365250"/>
    <s v="SWD"/>
    <n v="30"/>
    <s v="N"/>
    <s v="Y"/>
    <n v="385700"/>
    <n v="63200"/>
    <n v="322500"/>
    <n v="0"/>
    <n v="367582.12136757665"/>
    <n v="384146.28354039113"/>
    <n v="-16564.161230999998"/>
    <n v="132535.48800000001"/>
    <n v="88356.992000000013"/>
    <n v="-21795.969453044734"/>
    <n v="37154.252388000001"/>
    <n v="47371.278778200001"/>
    <n v="-217.48220000000001"/>
    <n v="87561.76314000001"/>
    <n v="0"/>
    <n v="0"/>
    <n v="-9412.7029999999995"/>
    <n v="0"/>
    <n v="22592.65984"/>
    <n v="0"/>
    <n v="367582.11826215521"/>
    <n v="0"/>
    <n v="301000"/>
    <n v="66600"/>
    <n v="367600"/>
    <n v="0.9936071817192601"/>
    <n v="-4.6927663987555095E-2"/>
    <n v="0.99970000000000003"/>
    <n v="0.99819999999999998"/>
    <n v="1.0012000000000001"/>
    <n v="0.99519999999999997"/>
    <n v="0.99080000000000001"/>
    <n v="0.94971499999999998"/>
    <n v="0.93589703010114389"/>
    <n v="309100"/>
    <n v="0"/>
    <n v="309100"/>
    <n v="63200"/>
    <n v="372300"/>
    <n v="-4.1550387596899226E-2"/>
    <n v="0"/>
    <n v="-3.4742027482499355E-2"/>
    <n v="0.97395164618480501"/>
  </r>
  <r>
    <n v="2025"/>
    <n v="19120114429"/>
    <n v="-1.7147984280919266"/>
    <n v="0.18"/>
    <n v="7718"/>
    <n v="2"/>
    <s v="RES"/>
    <n v="317"/>
    <s v="MX"/>
    <s v="R2"/>
    <n v="11"/>
    <n v="259"/>
    <s v="CO"/>
    <s v="G"/>
    <s v="EX"/>
    <n v="2021"/>
    <n v="2021"/>
    <x v="0"/>
    <n v="3"/>
    <n v="3"/>
    <n v="2"/>
    <n v="1316"/>
    <n v="1686"/>
    <n v="0"/>
    <n v="0"/>
    <n v="0"/>
    <n v="0"/>
    <n v="3002"/>
    <x v="2"/>
    <n v="2"/>
    <s v="N"/>
    <s v="HP"/>
    <s v="G"/>
    <m/>
    <n v="0"/>
    <n v="0"/>
    <n v="0"/>
    <n v="0"/>
    <n v="0"/>
    <n v="14"/>
    <n v="0"/>
    <n v="540"/>
    <n v="0"/>
    <n v="0"/>
    <n v="180"/>
    <n v="0"/>
    <n v="100"/>
    <n v="100"/>
    <n v="504670"/>
    <n v="499623"/>
    <n v="967"/>
    <n v="365"/>
    <n v="365"/>
    <n v="237"/>
    <d v="2021-05-09T00:00:00"/>
    <s v="E031968"/>
    <n v="399104"/>
    <n v="399104"/>
    <s v="SWD"/>
    <n v="30"/>
    <s v="N"/>
    <s v="Y"/>
    <n v="466400"/>
    <n v="62500"/>
    <n v="403900"/>
    <n v="0"/>
    <n v="402772.79446195904"/>
    <n v="478195.97808861313"/>
    <n v="-75423.180431000001"/>
    <n v="132535.48800000001"/>
    <n v="88356.992000000013"/>
    <n v="-22505.565020573864"/>
    <n v="32917.849192000001"/>
    <n v="47371.278778200001"/>
    <n v="-326.22329999999999"/>
    <n v="82132.06008000001"/>
    <n v="100452.525738"/>
    <n v="0"/>
    <n v="-9412.7029999999995"/>
    <n v="0"/>
    <n v="0"/>
    <n v="26674.272000000001"/>
    <n v="402772.79403662618"/>
    <n v="0"/>
    <n v="336900"/>
    <n v="65900"/>
    <n v="402800"/>
    <n v="0.99082423038728895"/>
    <n v="-0.13636363636363635"/>
    <n v="0.99970000000000003"/>
    <n v="1.0019"/>
    <n v="1.0012000000000001"/>
    <n v="0.98509999999999998"/>
    <n v="0.99080000000000001"/>
    <n v="0.94971499999999998"/>
    <n v="0.92983273576612613"/>
    <n v="403000"/>
    <n v="0"/>
    <n v="403000"/>
    <n v="62500"/>
    <n v="465500"/>
    <n v="-2.2282743253280515E-3"/>
    <n v="0"/>
    <n v="-1.9296740994854203E-3"/>
    <n v="0.97738138322091483"/>
  </r>
  <r>
    <n v="2025"/>
    <n v="19120114430"/>
    <n v="-1.8325814637483102"/>
    <n v="0.16"/>
    <n v="7002"/>
    <n v="2"/>
    <s v="RES"/>
    <n v="317"/>
    <s v="MX"/>
    <s v="R2"/>
    <n v="11"/>
    <n v="259"/>
    <s v="CO"/>
    <s v="A+"/>
    <s v="EX"/>
    <n v="2021"/>
    <n v="2021"/>
    <x v="0"/>
    <n v="3"/>
    <n v="3"/>
    <n v="1"/>
    <n v="1580"/>
    <n v="0"/>
    <n v="0"/>
    <n v="0"/>
    <n v="0"/>
    <n v="0"/>
    <n v="1580"/>
    <x v="0"/>
    <n v="2"/>
    <s v="N"/>
    <s v="HP"/>
    <s v="G"/>
    <m/>
    <n v="0"/>
    <n v="0"/>
    <n v="0"/>
    <n v="0"/>
    <n v="0"/>
    <n v="9"/>
    <n v="400"/>
    <n v="0"/>
    <n v="0"/>
    <n v="0"/>
    <n v="100"/>
    <n v="0"/>
    <n v="100"/>
    <n v="100"/>
    <n v="279658"/>
    <n v="276861"/>
    <n v="1001"/>
    <n v="365"/>
    <n v="365"/>
    <n v="271"/>
    <d v="2021-04-05T00:00:00"/>
    <s v="E031833"/>
    <n v="287375"/>
    <n v="287375"/>
    <s v="SWD"/>
    <n v="30"/>
    <s v="N"/>
    <s v="Y"/>
    <n v="386100"/>
    <n v="60800"/>
    <n v="325300"/>
    <n v="0"/>
    <n v="301147.35088947049"/>
    <n v="384356.51440812129"/>
    <n v="-83209.160031000007"/>
    <n v="132535.48800000001"/>
    <n v="88356.992000000013"/>
    <n v="-24051.387388882686"/>
    <n v="37154.252388000001"/>
    <n v="47371.278778200001"/>
    <n v="-326.22329999999999"/>
    <n v="98608.400399999999"/>
    <n v="0"/>
    <n v="0"/>
    <n v="-9412.7029999999995"/>
    <n v="0"/>
    <n v="14120.412400000001"/>
    <n v="0"/>
    <n v="301147.35024631734"/>
    <n v="0"/>
    <n v="236800"/>
    <n v="64300"/>
    <n v="301100"/>
    <n v="0.954417137163733"/>
    <n v="-0.22015022015022015"/>
    <n v="0.99970000000000003"/>
    <n v="0.99819999999999998"/>
    <n v="1.0012000000000001"/>
    <n v="1.0007999999999999"/>
    <n v="0.99080000000000001"/>
    <n v="0.94971499999999998"/>
    <n v="0.94116333171746858"/>
    <n v="312300"/>
    <n v="0"/>
    <n v="312300"/>
    <n v="61100"/>
    <n v="373400"/>
    <n v="-3.9963110974485093E-2"/>
    <n v="4.9342105263157892E-3"/>
    <n v="-3.2893032893032893E-2"/>
    <n v="1.0097984861905176"/>
  </r>
  <r>
    <n v="2025"/>
    <n v="19120114431"/>
    <n v="-1.8325814637483102"/>
    <n v="0.16"/>
    <n v="7002"/>
    <n v="2"/>
    <s v="RES"/>
    <n v="317"/>
    <s v="MX"/>
    <s v="R2"/>
    <n v="11"/>
    <n v="259"/>
    <s v="CO"/>
    <s v="A+"/>
    <s v="EX"/>
    <n v="2021"/>
    <n v="2021"/>
    <x v="0"/>
    <n v="3"/>
    <n v="3"/>
    <n v="1"/>
    <n v="1580"/>
    <n v="0"/>
    <n v="0"/>
    <n v="0"/>
    <n v="0"/>
    <n v="0"/>
    <n v="1580"/>
    <x v="0"/>
    <n v="2"/>
    <s v="N"/>
    <s v="HP"/>
    <s v="G"/>
    <m/>
    <n v="0"/>
    <n v="0"/>
    <n v="0"/>
    <n v="0"/>
    <n v="0"/>
    <n v="9"/>
    <n v="400"/>
    <n v="0"/>
    <n v="0"/>
    <n v="0"/>
    <n v="100"/>
    <n v="0"/>
    <n v="100"/>
    <n v="100"/>
    <n v="276104"/>
    <n v="273343"/>
    <n v="967"/>
    <n v="365"/>
    <n v="365"/>
    <n v="237"/>
    <d v="2021-05-09T00:00:00"/>
    <s v="E031759"/>
    <n v="285350"/>
    <n v="285350"/>
    <s v="SWD"/>
    <n v="30"/>
    <s v="N"/>
    <s v="Y"/>
    <n v="380700"/>
    <n v="60800"/>
    <n v="319900"/>
    <n v="0"/>
    <n v="308933.33078146732"/>
    <n v="384356.51440812129"/>
    <n v="-75423.180431000001"/>
    <n v="132535.48800000001"/>
    <n v="88356.992000000013"/>
    <n v="-24051.387388882686"/>
    <n v="37154.252388000001"/>
    <n v="47371.278778200001"/>
    <n v="-326.22329999999999"/>
    <n v="98608.400399999999"/>
    <n v="0"/>
    <n v="0"/>
    <n v="-9412.7029999999995"/>
    <n v="0"/>
    <n v="14120.412400000001"/>
    <n v="0"/>
    <n v="308933.3298463173"/>
    <n v="0"/>
    <n v="244600"/>
    <n v="64300"/>
    <n v="308900"/>
    <n v="0.92376173518938165"/>
    <n v="-0.18859994746519571"/>
    <n v="0.99970000000000003"/>
    <n v="0.99819999999999998"/>
    <n v="1.0012000000000001"/>
    <n v="1.0007999999999999"/>
    <n v="0.99080000000000001"/>
    <n v="0.94971499999999998"/>
    <n v="0.94116333171746858"/>
    <n v="312300"/>
    <n v="0"/>
    <n v="312300"/>
    <n v="61100"/>
    <n v="373400"/>
    <n v="-2.3757424195060956E-2"/>
    <n v="4.9342105263157892E-3"/>
    <n v="-1.9175203572366694E-2"/>
    <n v="1.0442502876082005"/>
  </r>
  <r>
    <n v="2025"/>
    <n v="19120114432"/>
    <n v="-1.8325814637483102"/>
    <n v="0.16"/>
    <n v="7002"/>
    <n v="2"/>
    <s v="RES"/>
    <n v="317"/>
    <s v="MX"/>
    <s v="R2"/>
    <n v="11"/>
    <n v="259"/>
    <s v="CO"/>
    <s v="G"/>
    <s v="EX"/>
    <n v="2021"/>
    <n v="2021"/>
    <x v="0"/>
    <n v="3"/>
    <n v="3"/>
    <n v="2"/>
    <n v="930"/>
    <n v="1296"/>
    <n v="0"/>
    <n v="0"/>
    <n v="0"/>
    <n v="0"/>
    <n v="2226"/>
    <x v="1"/>
    <n v="3"/>
    <s v="B"/>
    <s v="HP"/>
    <s v="G"/>
    <m/>
    <n v="0"/>
    <n v="0"/>
    <n v="1"/>
    <n v="0"/>
    <n v="1"/>
    <n v="13"/>
    <n v="0"/>
    <n v="768"/>
    <n v="0"/>
    <n v="0"/>
    <n v="0"/>
    <n v="0"/>
    <n v="100"/>
    <n v="100"/>
    <n v="415253"/>
    <n v="411100"/>
    <n v="943"/>
    <n v="365"/>
    <n v="365"/>
    <n v="213"/>
    <d v="2021-06-02T00:00:00"/>
    <s v="E032276"/>
    <n v="399879"/>
    <n v="399879"/>
    <s v="SWD"/>
    <n v="30"/>
    <s v="N"/>
    <s v="Y"/>
    <n v="439200"/>
    <n v="60800"/>
    <n v="378400"/>
    <n v="0"/>
    <n v="395178.30361727549"/>
    <n v="465105.50143781415"/>
    <n v="-69927.194831000001"/>
    <n v="132535.48800000001"/>
    <n v="88356.992000000013"/>
    <n v="-24051.387388882686"/>
    <n v="32917.849192000001"/>
    <n v="47371.278778200001"/>
    <n v="-326.22329999999999"/>
    <n v="58041.653400000003"/>
    <n v="77216.176368"/>
    <n v="0"/>
    <n v="5299.8242"/>
    <n v="9807.1044999999995"/>
    <n v="0"/>
    <n v="37936.742400000003"/>
    <n v="395178.30331831728"/>
    <n v="0"/>
    <n v="330900"/>
    <n v="64300"/>
    <n v="395200"/>
    <n v="1.0118395748987854"/>
    <n v="-0.10018214936247723"/>
    <n v="0.99970000000000003"/>
    <n v="1.0019"/>
    <n v="1.0012000000000001"/>
    <n v="1.0008999999999999"/>
    <n v="0.99080000000000001"/>
    <n v="0.94971499999999998"/>
    <n v="0.94474630517542935"/>
    <n v="393500"/>
    <n v="0"/>
    <n v="393500"/>
    <n v="61100"/>
    <n v="454600"/>
    <n v="3.9904862579281185E-2"/>
    <n v="4.9342105263157892E-3"/>
    <n v="3.5063752276867033E-2"/>
    <n v="0.96197300975795175"/>
  </r>
  <r>
    <n v="2025"/>
    <n v="19120114433"/>
    <n v="-1.8325814637483102"/>
    <n v="0.16"/>
    <n v="7002"/>
    <n v="2"/>
    <s v="RES"/>
    <n v="317"/>
    <s v="MX"/>
    <s v="R2"/>
    <n v="11"/>
    <n v="259"/>
    <s v="CO"/>
    <s v="A+"/>
    <s v="EX"/>
    <n v="2021"/>
    <n v="2021"/>
    <x v="0"/>
    <n v="3"/>
    <n v="3"/>
    <n v="1"/>
    <n v="1580"/>
    <n v="0"/>
    <n v="0"/>
    <n v="0"/>
    <n v="0"/>
    <n v="0"/>
    <n v="1580"/>
    <x v="0"/>
    <n v="2"/>
    <s v="N"/>
    <s v="HP"/>
    <s v="G"/>
    <m/>
    <n v="0"/>
    <n v="0"/>
    <n v="0"/>
    <n v="0"/>
    <n v="0"/>
    <n v="9"/>
    <n v="480"/>
    <n v="0"/>
    <n v="0"/>
    <n v="0"/>
    <n v="100"/>
    <n v="0"/>
    <n v="100"/>
    <n v="100"/>
    <n v="279034"/>
    <n v="276244"/>
    <n v="565"/>
    <n v="365"/>
    <n v="200"/>
    <n v="0"/>
    <d v="2022-06-15T00:00:00"/>
    <s v="E036890"/>
    <n v="399999"/>
    <n v="399999"/>
    <s v="SWD"/>
    <n v="30"/>
    <s v="N"/>
    <s v="Y"/>
    <n v="384100"/>
    <n v="60800"/>
    <n v="323300"/>
    <n v="0"/>
    <n v="377158.4593479982"/>
    <n v="387180.59685920051"/>
    <n v="-10022.136881"/>
    <n v="132535.48800000001"/>
    <n v="88356.992000000013"/>
    <n v="-24051.387388882686"/>
    <n v="37154.252388000001"/>
    <n v="47371.278778200001"/>
    <n v="-326.22329999999999"/>
    <n v="98608.400399999999"/>
    <n v="0"/>
    <n v="0"/>
    <n v="-9412.7029999999995"/>
    <n v="0"/>
    <n v="16944.494880000002"/>
    <n v="0"/>
    <n v="377158.45587631734"/>
    <n v="0"/>
    <n v="312900"/>
    <n v="64300"/>
    <n v="377200"/>
    <n v="1.0604427359490987"/>
    <n v="-1.7964071856287425E-2"/>
    <n v="0.99970000000000003"/>
    <n v="0.99819999999999998"/>
    <n v="1.0012000000000001"/>
    <n v="1.0007999999999999"/>
    <n v="0.99080000000000001"/>
    <n v="0.94971499999999998"/>
    <n v="0.94116333171746858"/>
    <n v="315100"/>
    <n v="0"/>
    <n v="315100"/>
    <n v="61100"/>
    <n v="376200"/>
    <n v="-2.5363439529848437E-2"/>
    <n v="4.9342105263157892E-3"/>
    <n v="-2.0567560531111688E-2"/>
    <n v="0.91544694641486601"/>
  </r>
  <r>
    <n v="2025"/>
    <n v="19120114433"/>
    <n v="-1.8325814637483102"/>
    <n v="0.16"/>
    <n v="7002"/>
    <n v="2"/>
    <s v="RES"/>
    <n v="317"/>
    <s v="MX"/>
    <s v="R2"/>
    <n v="11"/>
    <n v="259"/>
    <s v="CO"/>
    <s v="A+"/>
    <s v="EX"/>
    <n v="2021"/>
    <n v="2021"/>
    <x v="0"/>
    <n v="3"/>
    <n v="3"/>
    <n v="1"/>
    <n v="1580"/>
    <n v="0"/>
    <n v="0"/>
    <n v="0"/>
    <n v="0"/>
    <n v="0"/>
    <n v="1580"/>
    <x v="0"/>
    <n v="2"/>
    <s v="N"/>
    <s v="HP"/>
    <s v="G"/>
    <m/>
    <n v="0"/>
    <n v="0"/>
    <n v="0"/>
    <n v="0"/>
    <n v="0"/>
    <n v="9"/>
    <n v="480"/>
    <n v="0"/>
    <n v="0"/>
    <n v="0"/>
    <n v="100"/>
    <n v="0"/>
    <n v="100"/>
    <n v="100"/>
    <n v="279034"/>
    <n v="276244"/>
    <n v="967"/>
    <n v="365"/>
    <n v="365"/>
    <n v="237"/>
    <d v="2021-05-09T00:00:00"/>
    <s v="E031607"/>
    <n v="297402"/>
    <n v="297402"/>
    <s v="SWD"/>
    <n v="30"/>
    <s v="N"/>
    <s v="Y"/>
    <n v="384100"/>
    <n v="60800"/>
    <n v="323300"/>
    <n v="0"/>
    <n v="311757.41323254653"/>
    <n v="387180.59685920051"/>
    <n v="-75423.180431000001"/>
    <n v="132535.48800000001"/>
    <n v="88356.992000000013"/>
    <n v="-24051.387388882686"/>
    <n v="37154.252388000001"/>
    <n v="47371.278778200001"/>
    <n v="-326.22329999999999"/>
    <n v="98608.400399999999"/>
    <n v="0"/>
    <n v="0"/>
    <n v="-9412.7029999999995"/>
    <n v="0"/>
    <n v="16944.494880000002"/>
    <n v="0"/>
    <n v="311757.41232631734"/>
    <n v="0"/>
    <n v="247500"/>
    <n v="64300"/>
    <n v="311800"/>
    <n v="0.95382296343810136"/>
    <n v="-0.18823223118979432"/>
    <n v="0.99970000000000003"/>
    <n v="0.99819999999999998"/>
    <n v="1.0012000000000001"/>
    <n v="1.0007999999999999"/>
    <n v="0.99080000000000001"/>
    <n v="0.94971499999999998"/>
    <n v="0.94116333171746858"/>
    <n v="315100"/>
    <n v="0"/>
    <n v="315100"/>
    <n v="61100"/>
    <n v="376200"/>
    <n v="-2.5363439529848437E-2"/>
    <n v="4.9342105263157892E-3"/>
    <n v="-2.0567560531111688E-2"/>
    <n v="1.0113476693801655"/>
  </r>
  <r>
    <n v="2025"/>
    <n v="19120114434"/>
    <n v="-1.8325814637483102"/>
    <n v="0.16"/>
    <n v="7002"/>
    <n v="2"/>
    <s v="RES"/>
    <n v="317"/>
    <s v="MX"/>
    <s v="R2"/>
    <n v="11"/>
    <n v="259"/>
    <s v="CO"/>
    <s v="A+"/>
    <s v="EX"/>
    <n v="2021"/>
    <n v="2021"/>
    <x v="0"/>
    <n v="3"/>
    <n v="3"/>
    <n v="1"/>
    <n v="1240"/>
    <n v="0"/>
    <n v="0"/>
    <n v="0"/>
    <n v="0"/>
    <n v="0"/>
    <n v="1240"/>
    <x v="3"/>
    <n v="2"/>
    <s v="N"/>
    <s v="HP"/>
    <s v="G"/>
    <m/>
    <n v="0"/>
    <n v="0"/>
    <n v="0"/>
    <n v="0"/>
    <n v="0"/>
    <n v="9"/>
    <n v="484"/>
    <n v="0"/>
    <n v="0"/>
    <n v="0"/>
    <n v="416"/>
    <n v="0"/>
    <n v="100"/>
    <n v="100"/>
    <n v="234223"/>
    <n v="231881"/>
    <n v="967"/>
    <n v="365"/>
    <n v="365"/>
    <n v="237"/>
    <d v="2021-05-09T00:00:00"/>
    <s v="E032068"/>
    <n v="295162"/>
    <n v="295162"/>
    <s v="SWD"/>
    <n v="30"/>
    <s v="N"/>
    <s v="Y"/>
    <n v="365400"/>
    <n v="60800"/>
    <n v="304600"/>
    <n v="0"/>
    <n v="290679.08814694529"/>
    <n v="366102.27177359926"/>
    <n v="-75423.180431000001"/>
    <n v="132535.48800000001"/>
    <n v="88356.992000000013"/>
    <n v="-24051.387388882686"/>
    <n v="37154.252388000001"/>
    <n v="47371.278778200001"/>
    <n v="-326.22329999999999"/>
    <n v="77388.871200000009"/>
    <n v="0"/>
    <n v="0"/>
    <n v="-9412.7029999999995"/>
    <n v="0"/>
    <n v="17085.699004000002"/>
    <n v="0"/>
    <n v="290679.08725031733"/>
    <n v="0"/>
    <n v="226400"/>
    <n v="64300"/>
    <n v="290700"/>
    <n v="1.0153491572067423"/>
    <n v="-0.20443349753694581"/>
    <n v="0.99970000000000003"/>
    <n v="0.99819999999999998"/>
    <n v="1.0012000000000001"/>
    <n v="0.99519999999999997"/>
    <n v="0.99080000000000001"/>
    <n v="0.94971499999999998"/>
    <n v="0.93589703010114389"/>
    <n v="293300"/>
    <n v="0"/>
    <n v="293300"/>
    <n v="61100"/>
    <n v="354400"/>
    <n v="-3.7097833223900194E-2"/>
    <n v="4.9342105263157892E-3"/>
    <n v="-3.0103995621237001E-2"/>
    <n v="0.94516509431769669"/>
  </r>
  <r>
    <n v="2025"/>
    <n v="19120114435"/>
    <n v="-1.8325814637483102"/>
    <n v="0.16"/>
    <n v="7021"/>
    <n v="2"/>
    <s v="RES"/>
    <n v="317"/>
    <s v="MX"/>
    <s v="R2"/>
    <n v="11"/>
    <n v="259"/>
    <s v="CO"/>
    <s v="A+"/>
    <s v="EX"/>
    <n v="2021"/>
    <n v="2021"/>
    <x v="0"/>
    <n v="3"/>
    <n v="3"/>
    <n v="1"/>
    <n v="1592"/>
    <n v="0"/>
    <n v="0"/>
    <n v="0"/>
    <n v="0"/>
    <n v="0"/>
    <n v="1592"/>
    <x v="0"/>
    <n v="2"/>
    <s v="N"/>
    <s v="HP"/>
    <s v="G"/>
    <m/>
    <n v="0"/>
    <n v="0"/>
    <n v="1"/>
    <n v="0"/>
    <n v="0"/>
    <n v="10"/>
    <n v="480"/>
    <n v="0"/>
    <n v="0"/>
    <n v="0"/>
    <n v="100"/>
    <n v="0"/>
    <n v="100"/>
    <n v="100"/>
    <n v="286579"/>
    <n v="283713"/>
    <n v="967"/>
    <n v="365"/>
    <n v="365"/>
    <n v="237"/>
    <d v="2021-05-09T00:00:00"/>
    <s v="E031507"/>
    <n v="296385"/>
    <n v="296385"/>
    <s v="SWD"/>
    <n v="30"/>
    <s v="N"/>
    <s v="Y"/>
    <n v="384700"/>
    <n v="60800"/>
    <n v="323900"/>
    <n v="0"/>
    <n v="322313.44231320941"/>
    <n v="397736.62593986338"/>
    <n v="-75423.180431000001"/>
    <n v="132535.48800000001"/>
    <n v="88356.992000000013"/>
    <n v="-24051.387388882686"/>
    <n v="37154.252388000001"/>
    <n v="47371.278778200001"/>
    <n v="-326.22329999999999"/>
    <n v="99357.324960000013"/>
    <n v="0"/>
    <n v="0"/>
    <n v="-9412.7029999999995"/>
    <n v="9807.1044999999995"/>
    <n v="16944.494880000002"/>
    <n v="0"/>
    <n v="322313.44138631737"/>
    <n v="0"/>
    <n v="258000"/>
    <n v="64300"/>
    <n v="322300"/>
    <n v="0.91959354638535529"/>
    <n v="-0.16220431505068886"/>
    <n v="0.99970000000000003"/>
    <n v="0.99819999999999998"/>
    <n v="1.0012000000000001"/>
    <n v="1.0007999999999999"/>
    <n v="0.99080000000000001"/>
    <n v="0.94971499999999998"/>
    <n v="0.94116333171746858"/>
    <n v="325600"/>
    <n v="0"/>
    <n v="325600"/>
    <n v="61100"/>
    <n v="386700"/>
    <n v="5.248533497993208E-3"/>
    <n v="4.9342105263157892E-3"/>
    <n v="5.198856251624643E-3"/>
    <n v="1.0502448489937075"/>
  </r>
  <r>
    <n v="2025"/>
    <n v="19120114436"/>
    <n v="-1.7719568419318752"/>
    <n v="0.17"/>
    <n v="7284"/>
    <n v="2"/>
    <s v="RES"/>
    <n v="317"/>
    <s v="MX"/>
    <s v="R2"/>
    <n v="11"/>
    <n v="259"/>
    <s v="CO"/>
    <s v="G"/>
    <s v="EX"/>
    <n v="2021"/>
    <n v="2021"/>
    <x v="0"/>
    <n v="3"/>
    <n v="3"/>
    <n v="2"/>
    <n v="930"/>
    <n v="1296"/>
    <n v="0"/>
    <n v="0"/>
    <n v="0"/>
    <n v="0"/>
    <n v="2226"/>
    <x v="1"/>
    <n v="2"/>
    <s v="N"/>
    <s v="HP"/>
    <s v="G"/>
    <m/>
    <n v="0"/>
    <n v="0"/>
    <n v="1"/>
    <n v="0"/>
    <n v="1"/>
    <n v="13"/>
    <n v="0"/>
    <n v="400"/>
    <n v="0"/>
    <n v="0"/>
    <n v="0"/>
    <n v="0"/>
    <n v="100"/>
    <n v="100"/>
    <n v="401604"/>
    <n v="397588"/>
    <n v="967"/>
    <n v="365"/>
    <n v="365"/>
    <n v="237"/>
    <d v="2021-05-09T00:00:00"/>
    <s v="E032283"/>
    <n v="386591"/>
    <n v="386591"/>
    <s v="SWD"/>
    <n v="30"/>
    <s v="N"/>
    <s v="Y"/>
    <n v="422400"/>
    <n v="61700"/>
    <n v="360700"/>
    <n v="0"/>
    <n v="357587.42571037012"/>
    <n v="433010.60933702422"/>
    <n v="-75423.180431000001"/>
    <n v="132535.48800000001"/>
    <n v="88356.992000000013"/>
    <n v="-23255.730391660189"/>
    <n v="32917.849192000001"/>
    <n v="47371.278778200001"/>
    <n v="-326.22329999999999"/>
    <n v="58041.653400000003"/>
    <n v="77216.176368"/>
    <n v="0"/>
    <n v="-9412.7029999999995"/>
    <n v="9807.1044999999995"/>
    <n v="0"/>
    <n v="19758.72"/>
    <n v="357587.42511553993"/>
    <n v="0"/>
    <n v="292500"/>
    <n v="65100"/>
    <n v="357600"/>
    <n v="1.0810710290827741"/>
    <n v="-0.15340909090909091"/>
    <n v="0.99970000000000003"/>
    <n v="1.0019"/>
    <n v="1.0012000000000001"/>
    <n v="1.0008999999999999"/>
    <n v="0.99080000000000001"/>
    <n v="0.94971499999999998"/>
    <n v="0.94474630517542935"/>
    <n v="360600"/>
    <n v="0"/>
    <n v="360600"/>
    <n v="61800"/>
    <n v="422400"/>
    <n v="-2.772387025228722E-4"/>
    <n v="1.6207455429497568E-3"/>
    <n v="0"/>
    <n v="0.89752948094756468"/>
  </r>
  <r>
    <n v="2025"/>
    <n v="19120114437"/>
    <n v="-1.8325814637483102"/>
    <n v="0.16"/>
    <n v="7002"/>
    <n v="2"/>
    <s v="RES"/>
    <n v="317"/>
    <s v="MX"/>
    <s v="R2"/>
    <n v="11"/>
    <n v="259"/>
    <s v="CO"/>
    <s v="A+"/>
    <s v="EX"/>
    <n v="2021"/>
    <n v="2021"/>
    <x v="0"/>
    <n v="3"/>
    <n v="3"/>
    <n v="1"/>
    <n v="1388"/>
    <n v="0"/>
    <n v="0"/>
    <n v="0"/>
    <n v="0"/>
    <n v="0"/>
    <n v="1388"/>
    <x v="3"/>
    <n v="2"/>
    <s v="N"/>
    <s v="HP"/>
    <s v="G"/>
    <m/>
    <n v="0"/>
    <n v="0"/>
    <n v="0"/>
    <n v="0"/>
    <n v="0"/>
    <n v="9"/>
    <n v="400"/>
    <n v="0"/>
    <n v="0"/>
    <n v="0"/>
    <n v="0"/>
    <n v="0"/>
    <n v="100"/>
    <n v="100"/>
    <n v="255257"/>
    <n v="252704"/>
    <n v="967"/>
    <n v="365"/>
    <n v="365"/>
    <n v="237"/>
    <d v="2021-05-09T00:00:00"/>
    <s v="E031556"/>
    <n v="296790"/>
    <n v="296790"/>
    <s v="SWD"/>
    <n v="30"/>
    <s v="N"/>
    <s v="Y"/>
    <n v="380400"/>
    <n v="60800"/>
    <n v="319600"/>
    <n v="0"/>
    <n v="296950.53781686205"/>
    <n v="372373.72144351603"/>
    <n v="-75423.180431000001"/>
    <n v="132535.48800000001"/>
    <n v="88356.992000000013"/>
    <n v="-24051.387388882686"/>
    <n v="37154.252388000001"/>
    <n v="47371.278778200001"/>
    <n v="-326.22329999999999"/>
    <n v="86625.607440000007"/>
    <n v="0"/>
    <n v="0"/>
    <n v="-9412.7029999999995"/>
    <n v="0"/>
    <n v="14120.412400000001"/>
    <n v="0"/>
    <n v="296950.53688631731"/>
    <n v="0"/>
    <n v="232600"/>
    <n v="64300"/>
    <n v="296900"/>
    <n v="0.99962950488379931"/>
    <n v="-0.21950578338590956"/>
    <n v="0.99970000000000003"/>
    <n v="0.99819999999999998"/>
    <n v="1.0012000000000001"/>
    <n v="0.99519999999999997"/>
    <n v="0.99080000000000001"/>
    <n v="0.94971499999999998"/>
    <n v="0.93589703010114389"/>
    <n v="299600"/>
    <n v="0"/>
    <n v="299600"/>
    <n v="61100"/>
    <n v="360700"/>
    <n v="-6.2578222778473094E-2"/>
    <n v="4.9342105263157892E-3"/>
    <n v="-5.1787592008412195E-2"/>
    <n v="0.9612076537922436"/>
  </r>
  <r>
    <n v="2025"/>
    <n v="19120114438"/>
    <n v="-1.8325814637483102"/>
    <n v="0.16"/>
    <n v="7002"/>
    <n v="2"/>
    <s v="RES"/>
    <n v="317"/>
    <s v="MX"/>
    <s v="R2"/>
    <n v="11"/>
    <n v="259"/>
    <s v="CO"/>
    <s v="A+"/>
    <s v="EX"/>
    <n v="2021"/>
    <n v="2021"/>
    <x v="0"/>
    <n v="3"/>
    <n v="3"/>
    <n v="1"/>
    <n v="1452"/>
    <n v="0"/>
    <n v="0"/>
    <n v="0"/>
    <n v="0"/>
    <n v="0"/>
    <n v="1452"/>
    <x v="3"/>
    <n v="3"/>
    <s v="N"/>
    <s v="HP"/>
    <s v="G"/>
    <m/>
    <n v="0"/>
    <n v="0"/>
    <n v="0"/>
    <n v="0"/>
    <n v="0"/>
    <n v="9"/>
    <n v="616"/>
    <n v="0"/>
    <n v="0"/>
    <n v="0"/>
    <n v="100"/>
    <n v="0"/>
    <n v="100"/>
    <n v="100"/>
    <n v="265015"/>
    <n v="262365"/>
    <n v="967"/>
    <n v="365"/>
    <n v="365"/>
    <n v="237"/>
    <d v="2021-05-09T00:00:00"/>
    <s v="E031405"/>
    <n v="318128"/>
    <n v="318128"/>
    <s v="SWD"/>
    <n v="30"/>
    <s v="N"/>
    <s v="Y"/>
    <n v="381700"/>
    <n v="60800"/>
    <n v="320900"/>
    <n v="0"/>
    <n v="308569.8247563109"/>
    <n v="383993.00838296494"/>
    <n v="-75423.180431000001"/>
    <n v="132535.48800000001"/>
    <n v="88356.992000000013"/>
    <n v="-24051.387388882686"/>
    <n v="37154.252388000001"/>
    <n v="47371.278778200001"/>
    <n v="-326.22329999999999"/>
    <n v="90619.871760000009"/>
    <n v="0"/>
    <n v="0"/>
    <n v="-9412.7029999999995"/>
    <n v="0"/>
    <n v="21745.435096000001"/>
    <n v="0"/>
    <n v="308569.82390231732"/>
    <n v="0"/>
    <n v="244300"/>
    <n v="64300"/>
    <n v="308600"/>
    <n v="1.0308749189889825"/>
    <n v="-0.19151165837044801"/>
    <n v="0.99970000000000003"/>
    <n v="0.99819999999999998"/>
    <n v="1.0012000000000001"/>
    <n v="0.99519999999999997"/>
    <n v="0.99080000000000001"/>
    <n v="0.94971499999999998"/>
    <n v="0.93589703010114389"/>
    <n v="311200"/>
    <n v="0"/>
    <n v="311200"/>
    <n v="61100"/>
    <n v="372300"/>
    <n v="-3.022748519788096E-2"/>
    <n v="4.9342105263157892E-3"/>
    <n v="-2.4626670159811369E-2"/>
    <n v="0.93319927692312521"/>
  </r>
  <r>
    <n v="2025"/>
    <n v="19120114439"/>
    <n v="-1.8325814637483102"/>
    <n v="0.16"/>
    <n v="7002"/>
    <n v="2"/>
    <s v="RES"/>
    <n v="317"/>
    <s v="MX"/>
    <s v="R2"/>
    <n v="11"/>
    <n v="259"/>
    <s v="CO"/>
    <s v="G"/>
    <s v="EX"/>
    <n v="2021"/>
    <n v="2021"/>
    <x v="0"/>
    <n v="3"/>
    <n v="3"/>
    <n v="2"/>
    <n v="930"/>
    <n v="1296"/>
    <n v="0"/>
    <n v="0"/>
    <n v="0"/>
    <n v="0"/>
    <n v="2226"/>
    <x v="1"/>
    <n v="3"/>
    <s v="N"/>
    <s v="HP"/>
    <s v="G"/>
    <m/>
    <n v="0"/>
    <n v="0"/>
    <n v="1"/>
    <n v="0"/>
    <n v="1"/>
    <n v="13"/>
    <n v="0"/>
    <n v="640"/>
    <n v="0"/>
    <n v="0"/>
    <n v="276"/>
    <n v="0"/>
    <n v="100"/>
    <n v="100"/>
    <n v="412496"/>
    <n v="408371"/>
    <n v="943"/>
    <n v="365"/>
    <n v="365"/>
    <n v="213"/>
    <d v="2021-06-02T00:00:00"/>
    <s v="E031856"/>
    <n v="392497"/>
    <n v="392497"/>
    <s v="SWD"/>
    <n v="30"/>
    <s v="N"/>
    <s v="Y"/>
    <n v="430900"/>
    <n v="60800"/>
    <n v="370100"/>
    <n v="0"/>
    <n v="374142.98646011698"/>
    <n v="444070.18428065564"/>
    <n v="-69927.194831000001"/>
    <n v="132535.48800000001"/>
    <n v="88356.992000000013"/>
    <n v="-24051.387388882686"/>
    <n v="32917.849192000001"/>
    <n v="47371.278778200001"/>
    <n v="-326.22329999999999"/>
    <n v="58041.653400000003"/>
    <n v="77216.176368"/>
    <n v="0"/>
    <n v="-9412.7029999999995"/>
    <n v="9807.1044999999995"/>
    <n v="0"/>
    <n v="31613.951999999997"/>
    <n v="374142.98571831733"/>
    <n v="0"/>
    <n v="309800"/>
    <n v="64300"/>
    <n v="374100"/>
    <n v="1.0491766907244053"/>
    <n v="-0.13181712694360639"/>
    <n v="0.99970000000000003"/>
    <n v="1.0019"/>
    <n v="1.0012000000000001"/>
    <n v="1.0008999999999999"/>
    <n v="0.99080000000000001"/>
    <n v="0.94971499999999998"/>
    <n v="0.94474630517542935"/>
    <n v="372400"/>
    <n v="0"/>
    <n v="372400"/>
    <n v="61100"/>
    <n v="433500"/>
    <n v="6.2145366117265606E-3"/>
    <n v="4.9342105263157892E-3"/>
    <n v="6.0338825713622648E-3"/>
    <n v="0.92630722061315118"/>
  </r>
  <r>
    <n v="2025"/>
    <n v="19120114440"/>
    <n v="-1.8325814637483102"/>
    <n v="0.16"/>
    <n v="7002"/>
    <n v="2"/>
    <s v="RES"/>
    <n v="317"/>
    <s v="MX"/>
    <s v="R2"/>
    <n v="11"/>
    <n v="259"/>
    <s v="CO"/>
    <s v="A+"/>
    <s v="EX"/>
    <n v="2021"/>
    <n v="2021"/>
    <x v="0"/>
    <n v="3"/>
    <n v="3"/>
    <n v="1"/>
    <n v="1388"/>
    <n v="0"/>
    <n v="0"/>
    <n v="0"/>
    <n v="0"/>
    <n v="0"/>
    <n v="1388"/>
    <x v="3"/>
    <n v="2"/>
    <s v="N"/>
    <s v="HP"/>
    <s v="G"/>
    <m/>
    <n v="0"/>
    <n v="0"/>
    <n v="0"/>
    <n v="0"/>
    <n v="0"/>
    <n v="9"/>
    <n v="400"/>
    <n v="0"/>
    <n v="0"/>
    <n v="0"/>
    <n v="0"/>
    <n v="0"/>
    <n v="100"/>
    <n v="100"/>
    <n v="255257"/>
    <n v="252704"/>
    <n v="908"/>
    <n v="365"/>
    <n v="365"/>
    <n v="178"/>
    <d v="2021-07-07T00:00:00"/>
    <s v="E032313"/>
    <n v="321133"/>
    <n v="321133"/>
    <s v="SWD"/>
    <n v="30"/>
    <s v="N"/>
    <s v="Y"/>
    <n v="380400"/>
    <n v="60800"/>
    <n v="319600"/>
    <n v="0"/>
    <n v="310461.50292356242"/>
    <n v="372373.72144351603"/>
    <n v="-61912.215830999994"/>
    <n v="132535.48800000001"/>
    <n v="88356.992000000013"/>
    <n v="-24051.387388882686"/>
    <n v="37154.252388000001"/>
    <n v="47371.278778200001"/>
    <n v="-326.22329999999999"/>
    <n v="86625.607440000007"/>
    <n v="0"/>
    <n v="0"/>
    <n v="-9412.7029999999995"/>
    <n v="0"/>
    <n v="14120.412400000001"/>
    <n v="0"/>
    <n v="310461.50148631737"/>
    <n v="0"/>
    <n v="246200"/>
    <n v="64300"/>
    <n v="310500"/>
    <n v="1.034244766505636"/>
    <n v="-0.18375394321766561"/>
    <n v="0.99970000000000003"/>
    <n v="0.99819999999999998"/>
    <n v="1.0012000000000001"/>
    <n v="0.99519999999999997"/>
    <n v="0.99080000000000001"/>
    <n v="0.94971499999999998"/>
    <n v="0.93589703010114389"/>
    <n v="299600"/>
    <n v="0"/>
    <n v="299600"/>
    <n v="61100"/>
    <n v="360700"/>
    <n v="-6.2578222778473094E-2"/>
    <n v="4.9342105263157892E-3"/>
    <n v="-5.1787592008412195E-2"/>
    <n v="0.93041756583409363"/>
  </r>
  <r>
    <n v="2025"/>
    <n v="19120114441"/>
    <n v="-1.8325814637483102"/>
    <n v="0.16"/>
    <n v="7002"/>
    <n v="2"/>
    <s v="RES"/>
    <n v="317"/>
    <s v="MX"/>
    <s v="R2"/>
    <n v="11"/>
    <n v="259"/>
    <s v="CO"/>
    <s v="G"/>
    <s v="EX"/>
    <n v="2021"/>
    <n v="2021"/>
    <x v="0"/>
    <n v="3"/>
    <n v="3"/>
    <n v="2"/>
    <n v="930"/>
    <n v="1296"/>
    <n v="0"/>
    <n v="0"/>
    <n v="0"/>
    <n v="0"/>
    <n v="2226"/>
    <x v="1"/>
    <n v="2"/>
    <s v="B"/>
    <s v="HP"/>
    <s v="G"/>
    <m/>
    <n v="0"/>
    <n v="0"/>
    <n v="1"/>
    <n v="0"/>
    <n v="1"/>
    <n v="13"/>
    <n v="0"/>
    <n v="480"/>
    <n v="0"/>
    <n v="0"/>
    <n v="100"/>
    <n v="0"/>
    <n v="100"/>
    <n v="100"/>
    <n v="401794"/>
    <n v="397776"/>
    <n v="908"/>
    <n v="365"/>
    <n v="365"/>
    <n v="178"/>
    <d v="2021-07-07T00:00:00"/>
    <n v="460097"/>
    <n v="402994"/>
    <n v="402994"/>
    <s v="SWD"/>
    <n v="30"/>
    <s v="N"/>
    <s v="Y"/>
    <n v="419100"/>
    <n v="60800"/>
    <n v="358300"/>
    <n v="0"/>
    <n v="388967.00459913519"/>
    <n v="450879.2231190888"/>
    <n v="-61912.215830999994"/>
    <n v="132535.48800000001"/>
    <n v="88356.992000000013"/>
    <n v="-24051.387388882686"/>
    <n v="32917.849192000001"/>
    <n v="47371.278778200001"/>
    <n v="-326.22329999999999"/>
    <n v="58041.653400000003"/>
    <n v="77216.176368"/>
    <n v="0"/>
    <n v="5299.8242"/>
    <n v="9807.1044999999995"/>
    <n v="0"/>
    <n v="23710.464"/>
    <n v="388967.00391831726"/>
    <n v="0"/>
    <n v="324700"/>
    <n v="64300"/>
    <n v="389000"/>
    <n v="1.035974293059126"/>
    <n v="-7.1820567883560005E-2"/>
    <n v="0.99970000000000003"/>
    <n v="1.0019"/>
    <n v="1.0012000000000001"/>
    <n v="1.0008999999999999"/>
    <n v="0.99080000000000001"/>
    <n v="0.94971499999999998"/>
    <n v="0.94474630517542935"/>
    <n v="379300"/>
    <n v="0"/>
    <n v="379300"/>
    <n v="61100"/>
    <n v="440400"/>
    <n v="5.8610103265420037E-2"/>
    <n v="4.9342105263157892E-3"/>
    <n v="5.0823192555476022E-2"/>
    <n v="0.93918962607135592"/>
  </r>
  <r>
    <n v="2025"/>
    <n v="19120114442"/>
    <n v="-1.8325814637483102"/>
    <n v="0.16"/>
    <n v="7002"/>
    <n v="2"/>
    <s v="RES"/>
    <n v="317"/>
    <s v="MX"/>
    <s v="R2"/>
    <n v="11"/>
    <n v="259"/>
    <s v="CO"/>
    <s v="A+"/>
    <s v="EX"/>
    <n v="2021"/>
    <n v="2021"/>
    <x v="0"/>
    <n v="3"/>
    <n v="3"/>
    <n v="1"/>
    <n v="1452"/>
    <n v="0"/>
    <n v="0"/>
    <n v="0"/>
    <n v="0"/>
    <n v="0"/>
    <n v="1452"/>
    <x v="3"/>
    <n v="2"/>
    <s v="B"/>
    <s v="HP"/>
    <s v="G"/>
    <m/>
    <n v="0"/>
    <n v="0"/>
    <n v="0"/>
    <n v="0"/>
    <n v="0"/>
    <n v="9"/>
    <n v="400"/>
    <n v="0"/>
    <n v="0"/>
    <n v="0"/>
    <n v="80"/>
    <n v="0"/>
    <n v="100"/>
    <n v="100"/>
    <n v="257523"/>
    <n v="254948"/>
    <n v="908"/>
    <n v="365"/>
    <n v="365"/>
    <n v="178"/>
    <d v="2021-07-07T00:00:00"/>
    <s v="E032605"/>
    <n v="308268"/>
    <n v="308268"/>
    <s v="SWD"/>
    <n v="30"/>
    <s v="N"/>
    <s v="Y"/>
    <n v="372400"/>
    <n v="60800"/>
    <n v="311600"/>
    <n v="0"/>
    <n v="329168.29403837817"/>
    <n v="391080.51255833171"/>
    <n v="-61912.215830999994"/>
    <n v="132535.48800000001"/>
    <n v="88356.992000000013"/>
    <n v="-24051.387388882686"/>
    <n v="37154.252388000001"/>
    <n v="47371.278778200001"/>
    <n v="-326.22329999999999"/>
    <n v="90619.871760000009"/>
    <n v="0"/>
    <n v="0"/>
    <n v="5299.8242"/>
    <n v="0"/>
    <n v="14120.412400000001"/>
    <n v="0"/>
    <n v="329168.29300631734"/>
    <n v="0"/>
    <n v="264900"/>
    <n v="64300"/>
    <n v="329200"/>
    <n v="0.93641555285540701"/>
    <n v="-0.11600429645542427"/>
    <n v="0.99970000000000003"/>
    <n v="0.99819999999999998"/>
    <n v="1.0012000000000001"/>
    <n v="0.99519999999999997"/>
    <n v="0.99080000000000001"/>
    <n v="0.94971499999999998"/>
    <n v="0.93589703010114389"/>
    <n v="318300"/>
    <n v="0"/>
    <n v="318300"/>
    <n v="61100"/>
    <n v="379400"/>
    <n v="2.1501925545571246E-2"/>
    <n v="4.9342105263157892E-3"/>
    <n v="1.8796992481203006E-2"/>
    <n v="1.0299083400450257"/>
  </r>
  <r>
    <n v="2025"/>
    <n v="19120114443"/>
    <n v="-1.8325814637483102"/>
    <n v="0.16"/>
    <n v="7001"/>
    <n v="2"/>
    <s v="RES"/>
    <n v="317"/>
    <s v="MX"/>
    <s v="R2"/>
    <n v="11"/>
    <n v="259"/>
    <s v="CO"/>
    <s v="G"/>
    <s v="EX"/>
    <n v="2021"/>
    <n v="2021"/>
    <x v="0"/>
    <n v="3"/>
    <n v="3"/>
    <n v="2"/>
    <n v="930"/>
    <n v="1296"/>
    <n v="0"/>
    <n v="0"/>
    <n v="0"/>
    <n v="0"/>
    <n v="2226"/>
    <x v="1"/>
    <n v="2"/>
    <s v="B"/>
    <s v="HP"/>
    <s v="G"/>
    <m/>
    <n v="0"/>
    <n v="0"/>
    <n v="1"/>
    <n v="0"/>
    <n v="1"/>
    <n v="13"/>
    <n v="0"/>
    <n v="480"/>
    <n v="0"/>
    <n v="0"/>
    <n v="100"/>
    <n v="0"/>
    <n v="100"/>
    <n v="100"/>
    <n v="401794"/>
    <n v="397776"/>
    <n v="908"/>
    <n v="365"/>
    <n v="365"/>
    <n v="178"/>
    <d v="2021-07-07T00:00:00"/>
    <s v="E032760"/>
    <n v="391710"/>
    <n v="391710"/>
    <s v="SWD"/>
    <n v="30"/>
    <s v="N"/>
    <s v="Y"/>
    <n v="419100"/>
    <n v="60800"/>
    <n v="358300"/>
    <n v="0"/>
    <n v="388967.00459913519"/>
    <n v="450879.2231190888"/>
    <n v="-61912.215830999994"/>
    <n v="132535.48800000001"/>
    <n v="88356.992000000013"/>
    <n v="-24051.387388882686"/>
    <n v="32917.849192000001"/>
    <n v="47371.278778200001"/>
    <n v="-326.22329999999999"/>
    <n v="58041.653400000003"/>
    <n v="77216.176368"/>
    <n v="0"/>
    <n v="5299.8242"/>
    <n v="9807.1044999999995"/>
    <n v="0"/>
    <n v="23710.464"/>
    <n v="388967.00391831726"/>
    <n v="0"/>
    <n v="324700"/>
    <n v="64300"/>
    <n v="389000"/>
    <n v="1.0069665809768638"/>
    <n v="-7.1820567883560005E-2"/>
    <n v="0.99970000000000003"/>
    <n v="1.0019"/>
    <n v="1.0012000000000001"/>
    <n v="1.0008999999999999"/>
    <n v="0.99080000000000001"/>
    <n v="0.94971499999999998"/>
    <n v="0.94474630517542935"/>
    <n v="379300"/>
    <n v="0"/>
    <n v="379300"/>
    <n v="61100"/>
    <n v="440400"/>
    <n v="5.8610103265420037E-2"/>
    <n v="4.9342105263157892E-3"/>
    <n v="5.0823192555476022E-2"/>
    <n v="0.96624488567818023"/>
  </r>
  <r>
    <n v="2025"/>
    <n v="19120114444"/>
    <n v="-1.8325814637483102"/>
    <n v="0.16"/>
    <n v="7002"/>
    <n v="2"/>
    <s v="RES"/>
    <n v="317"/>
    <s v="MX"/>
    <s v="R2"/>
    <n v="11"/>
    <n v="259"/>
    <s v="CO"/>
    <s v="G"/>
    <s v="EX"/>
    <n v="2021"/>
    <n v="2021"/>
    <x v="0"/>
    <n v="3"/>
    <n v="3"/>
    <n v="2"/>
    <n v="930"/>
    <n v="1296"/>
    <n v="0"/>
    <n v="0"/>
    <n v="0"/>
    <n v="0"/>
    <n v="2226"/>
    <x v="1"/>
    <n v="3"/>
    <s v="N"/>
    <s v="HP"/>
    <s v="G"/>
    <m/>
    <n v="0"/>
    <n v="0"/>
    <n v="1"/>
    <n v="0"/>
    <n v="1"/>
    <n v="13"/>
    <n v="0"/>
    <n v="640"/>
    <n v="0"/>
    <n v="0"/>
    <n v="144"/>
    <n v="0"/>
    <n v="100"/>
    <n v="100"/>
    <n v="407712"/>
    <n v="403635"/>
    <n v="813"/>
    <n v="365"/>
    <n v="365"/>
    <n v="83"/>
    <d v="2021-10-10T00:00:00"/>
    <s v="E033839"/>
    <n v="438990"/>
    <n v="438990"/>
    <s v="SWD"/>
    <n v="30"/>
    <s v="N"/>
    <s v="Y"/>
    <n v="416000"/>
    <n v="60800"/>
    <n v="355200"/>
    <n v="0"/>
    <n v="403912.9095765755"/>
    <n v="444070.18428065564"/>
    <n v="-40157.272830999995"/>
    <n v="132535.48800000001"/>
    <n v="88356.992000000013"/>
    <n v="-24051.387388882686"/>
    <n v="32917.849192000001"/>
    <n v="47371.278778200001"/>
    <n v="-326.22329999999999"/>
    <n v="58041.653400000003"/>
    <n v="77216.176368"/>
    <n v="0"/>
    <n v="-9412.7029999999995"/>
    <n v="9807.1044999999995"/>
    <n v="0"/>
    <n v="31613.951999999997"/>
    <n v="403912.90771831735"/>
    <n v="0"/>
    <n v="339600"/>
    <n v="64300"/>
    <n v="403900"/>
    <n v="1.0868779400841793"/>
    <n v="-2.9086538461538462E-2"/>
    <n v="0.99970000000000003"/>
    <n v="1.0019"/>
    <n v="1.0012000000000001"/>
    <n v="1.0008999999999999"/>
    <n v="0.99080000000000001"/>
    <n v="0.94971499999999998"/>
    <n v="0.94474630517542935"/>
    <n v="372400"/>
    <n v="0"/>
    <n v="372400"/>
    <n v="61100"/>
    <n v="433500"/>
    <n v="4.8423423423423421E-2"/>
    <n v="4.9342105263157892E-3"/>
    <n v="4.2067307692307696E-2"/>
    <n v="0.89601751103441996"/>
  </r>
  <r>
    <n v="2025"/>
    <n v="19120114445"/>
    <n v="-1.6607312068216509"/>
    <n v="0.19"/>
    <n v="8259"/>
    <n v="2"/>
    <s v="RES"/>
    <n v="317"/>
    <s v="MX"/>
    <s v="R2"/>
    <n v="11"/>
    <n v="259"/>
    <s v="CO"/>
    <s v="A+"/>
    <s v="EX"/>
    <n v="2021"/>
    <n v="2021"/>
    <x v="0"/>
    <n v="3"/>
    <n v="3"/>
    <n v="1"/>
    <n v="1810"/>
    <n v="0"/>
    <n v="0"/>
    <n v="0"/>
    <n v="0"/>
    <n v="0"/>
    <n v="1810"/>
    <x v="0"/>
    <n v="2"/>
    <s v="N"/>
    <s v="HP"/>
    <s v="G"/>
    <m/>
    <n v="0"/>
    <n v="0"/>
    <n v="1"/>
    <n v="0"/>
    <n v="0"/>
    <n v="11"/>
    <n v="426"/>
    <n v="0"/>
    <n v="0"/>
    <n v="0"/>
    <n v="0"/>
    <n v="0"/>
    <n v="100"/>
    <n v="100"/>
    <n v="319219"/>
    <n v="316027"/>
    <n v="860"/>
    <n v="365"/>
    <n v="365"/>
    <n v="130"/>
    <d v="2021-08-24T00:00:00"/>
    <s v="E033328"/>
    <n v="381809"/>
    <n v="381809"/>
    <s v="SWD"/>
    <n v="30"/>
    <s v="N"/>
    <s v="Y"/>
    <n v="408000"/>
    <n v="63200"/>
    <n v="344800"/>
    <n v="0"/>
    <n v="360771.00413439982"/>
    <n v="411691.25104212255"/>
    <n v="-50920.244631000001"/>
    <n v="132535.48800000001"/>
    <n v="88356.992000000013"/>
    <n v="-21795.969453044734"/>
    <n v="37154.252388000001"/>
    <n v="47371.278778200001"/>
    <n v="-326.22329999999999"/>
    <n v="112962.78780000001"/>
    <n v="0"/>
    <n v="0"/>
    <n v="-9412.7029999999995"/>
    <n v="9807.1044999999995"/>
    <n v="15038.239206"/>
    <n v="0"/>
    <n v="360771.00228815532"/>
    <n v="0"/>
    <n v="294200"/>
    <n v="66600"/>
    <n v="360800"/>
    <n v="1.058228935698448"/>
    <n v="-0.11568627450980393"/>
    <n v="0.99970000000000003"/>
    <n v="0.99819999999999998"/>
    <n v="1.0012000000000001"/>
    <n v="1.0007999999999999"/>
    <n v="0.99080000000000001"/>
    <n v="0.94971499999999998"/>
    <n v="0.94116333171746858"/>
    <n v="337300"/>
    <n v="0"/>
    <n v="337300"/>
    <n v="63200"/>
    <n v="400500"/>
    <n v="-2.1751740139211138E-2"/>
    <n v="0"/>
    <n v="-1.8382352941176471E-2"/>
    <n v="0.91558804367890756"/>
  </r>
  <r>
    <n v="2025"/>
    <n v="19120114446"/>
    <n v="-1.8325814637483102"/>
    <n v="0.16"/>
    <n v="7003"/>
    <n v="2"/>
    <s v="RES"/>
    <n v="317"/>
    <s v="MX"/>
    <s v="R2"/>
    <n v="11"/>
    <n v="259"/>
    <s v="CO"/>
    <s v="A+"/>
    <s v="EX"/>
    <n v="2021"/>
    <n v="2021"/>
    <x v="0"/>
    <n v="3"/>
    <n v="3"/>
    <n v="1"/>
    <n v="1240"/>
    <n v="0"/>
    <n v="0"/>
    <n v="0"/>
    <n v="0"/>
    <n v="0"/>
    <n v="1240"/>
    <x v="3"/>
    <n v="2"/>
    <s v="N"/>
    <s v="HP"/>
    <s v="G"/>
    <m/>
    <n v="0"/>
    <n v="0"/>
    <n v="0"/>
    <n v="0"/>
    <n v="0"/>
    <n v="9"/>
    <n v="404"/>
    <n v="0"/>
    <n v="0"/>
    <n v="0"/>
    <n v="136"/>
    <n v="0"/>
    <n v="100"/>
    <n v="100"/>
    <n v="228504"/>
    <n v="226219"/>
    <n v="723"/>
    <n v="365"/>
    <n v="358"/>
    <n v="0"/>
    <d v="2022-01-08T00:00:00"/>
    <s v="E034921"/>
    <n v="339534"/>
    <n v="339534"/>
    <s v="SWD"/>
    <n v="30"/>
    <s v="N"/>
    <s v="Y"/>
    <n v="362000"/>
    <n v="60800"/>
    <n v="301200"/>
    <n v="0"/>
    <n v="342599.97040374333"/>
    <n v="363278.18932252011"/>
    <n v="-20678.217780999999"/>
    <n v="132535.48800000001"/>
    <n v="88356.992000000013"/>
    <n v="-24051.387388882686"/>
    <n v="37154.252388000001"/>
    <n v="47371.278778200001"/>
    <n v="-326.22329999999999"/>
    <n v="77388.871200000009"/>
    <n v="0"/>
    <n v="0"/>
    <n v="-9412.7029999999995"/>
    <n v="0"/>
    <n v="14261.616524000001"/>
    <n v="0"/>
    <n v="342599.96742031735"/>
    <n v="0"/>
    <n v="278300"/>
    <n v="64300"/>
    <n v="342600"/>
    <n v="0.99105078809106828"/>
    <n v="-5.3591160220994478E-2"/>
    <n v="0.99970000000000003"/>
    <n v="0.99819999999999998"/>
    <n v="1.0012000000000001"/>
    <n v="0.99519999999999997"/>
    <n v="0.99080000000000001"/>
    <n v="0.94971499999999998"/>
    <n v="0.93589703010114389"/>
    <n v="290500"/>
    <n v="0"/>
    <n v="290500"/>
    <n v="61100"/>
    <n v="351600"/>
    <n v="-3.5524568393094293E-2"/>
    <n v="4.9342105263157892E-3"/>
    <n v="-2.8729281767955802E-2"/>
    <n v="0.97463518298314744"/>
  </r>
  <r>
    <n v="2025"/>
    <n v="19120114447"/>
    <n v="-1.8325814637483102"/>
    <n v="0.16"/>
    <n v="7002"/>
    <n v="2"/>
    <s v="RES"/>
    <n v="317"/>
    <s v="MX"/>
    <s v="R2"/>
    <n v="11"/>
    <n v="259"/>
    <s v="CO"/>
    <s v="A+"/>
    <s v="EX"/>
    <n v="2021"/>
    <n v="2021"/>
    <x v="0"/>
    <n v="3"/>
    <n v="3"/>
    <n v="1"/>
    <n v="1464"/>
    <n v="0"/>
    <n v="0"/>
    <n v="0"/>
    <n v="0"/>
    <n v="0"/>
    <n v="1464"/>
    <x v="3"/>
    <n v="2"/>
    <s v="B"/>
    <s v="HP"/>
    <s v="G"/>
    <m/>
    <n v="0"/>
    <n v="0"/>
    <n v="1"/>
    <n v="0"/>
    <n v="0"/>
    <n v="9"/>
    <n v="400"/>
    <n v="0"/>
    <n v="0"/>
    <n v="0"/>
    <n v="100"/>
    <n v="0"/>
    <n v="100"/>
    <n v="100"/>
    <n v="262619"/>
    <n v="259993"/>
    <n v="778"/>
    <n v="365"/>
    <n v="365"/>
    <n v="48"/>
    <d v="2021-11-14T00:00:00"/>
    <s v="E034190"/>
    <n v="361021"/>
    <n v="361021"/>
    <s v="SWD"/>
    <n v="30"/>
    <s v="N"/>
    <s v="Y"/>
    <n v="373000"/>
    <n v="60800"/>
    <n v="312200"/>
    <n v="0"/>
    <n v="369494.24623549951"/>
    <n v="401636.54163899459"/>
    <n v="-32142.293830999999"/>
    <n v="132535.48800000001"/>
    <n v="88356.992000000013"/>
    <n v="-24051.387388882686"/>
    <n v="37154.252388000001"/>
    <n v="47371.278778200001"/>
    <n v="-326.22329999999999"/>
    <n v="91368.796320000009"/>
    <n v="0"/>
    <n v="0"/>
    <n v="5299.8242"/>
    <n v="9807.1044999999995"/>
    <n v="14120.412400000001"/>
    <n v="0"/>
    <n v="369494.24406631733"/>
    <n v="0"/>
    <n v="305200"/>
    <n v="64300"/>
    <n v="369500"/>
    <n v="0.97705277401894453"/>
    <n v="-9.3833780160857902E-3"/>
    <n v="0.99970000000000003"/>
    <n v="0.99819999999999998"/>
    <n v="1.0012000000000001"/>
    <n v="0.99519999999999997"/>
    <n v="0.99080000000000001"/>
    <n v="0.94971499999999998"/>
    <n v="0.93589703010114389"/>
    <n v="328800"/>
    <n v="0"/>
    <n v="328800"/>
    <n v="61100"/>
    <n v="389900"/>
    <n v="5.3171044202434334E-2"/>
    <n v="4.9342105263157892E-3"/>
    <n v="4.5308310991957104E-2"/>
    <n v="0.99096093071871172"/>
  </r>
  <r>
    <n v="2025"/>
    <n v="19120114448"/>
    <n v="-1.8325814637483102"/>
    <n v="0.16"/>
    <n v="7001"/>
    <n v="2"/>
    <s v="RES"/>
    <n v="317"/>
    <s v="MX"/>
    <s v="R2"/>
    <n v="11"/>
    <n v="259"/>
    <s v="CO"/>
    <s v="G"/>
    <s v="EX"/>
    <n v="2021"/>
    <n v="2021"/>
    <x v="0"/>
    <n v="3"/>
    <n v="3"/>
    <n v="2"/>
    <n v="930"/>
    <n v="1296"/>
    <n v="0"/>
    <n v="0"/>
    <n v="0"/>
    <n v="0"/>
    <n v="2226"/>
    <x v="1"/>
    <n v="2"/>
    <s v="N"/>
    <s v="HP"/>
    <s v="G"/>
    <m/>
    <n v="0"/>
    <n v="0"/>
    <n v="1"/>
    <n v="0"/>
    <n v="1"/>
    <n v="13"/>
    <n v="0"/>
    <n v="480"/>
    <n v="0"/>
    <n v="0"/>
    <n v="100"/>
    <n v="0"/>
    <n v="100"/>
    <n v="100"/>
    <n v="401794"/>
    <n v="397776"/>
    <n v="860"/>
    <n v="365"/>
    <n v="365"/>
    <n v="130"/>
    <d v="2021-08-24T00:00:00"/>
    <s v="E033499"/>
    <n v="385568"/>
    <n v="385568"/>
    <s v="SWD"/>
    <n v="30"/>
    <s v="N"/>
    <s v="Y"/>
    <n v="419100"/>
    <n v="60800"/>
    <n v="358300"/>
    <n v="0"/>
    <n v="385246.44941808539"/>
    <n v="436166.69632580818"/>
    <n v="-50920.244631000001"/>
    <n v="132535.48800000001"/>
    <n v="88356.992000000013"/>
    <n v="-24051.387388882686"/>
    <n v="32917.849192000001"/>
    <n v="47371.278778200001"/>
    <n v="-326.22329999999999"/>
    <n v="58041.653400000003"/>
    <n v="77216.176368"/>
    <n v="0"/>
    <n v="-9412.7029999999995"/>
    <n v="9807.1044999999995"/>
    <n v="0"/>
    <n v="23710.464"/>
    <n v="385246.44791831728"/>
    <n v="0"/>
    <n v="320900"/>
    <n v="64300"/>
    <n v="385200"/>
    <n v="1.0009553478712356"/>
    <n v="-8.0887616320687181E-2"/>
    <n v="0.99970000000000003"/>
    <n v="1.0019"/>
    <n v="1.0012000000000001"/>
    <n v="1.0008999999999999"/>
    <n v="0.99080000000000001"/>
    <n v="0.94971499999999998"/>
    <n v="0.94474630517542935"/>
    <n v="364500"/>
    <n v="0"/>
    <n v="364500"/>
    <n v="61100"/>
    <n v="425600"/>
    <n v="1.7303935249790677E-2"/>
    <n v="4.9342105263157892E-3"/>
    <n v="1.5509424958243857E-2"/>
    <n v="0.97176050753433896"/>
  </r>
  <r>
    <n v="2025"/>
    <n v="19120114449"/>
    <n v="-1.8325814637483102"/>
    <n v="0.16"/>
    <n v="7001"/>
    <n v="2"/>
    <s v="RES"/>
    <n v="317"/>
    <s v="MX"/>
    <s v="R2"/>
    <n v="11"/>
    <n v="259"/>
    <s v="CO"/>
    <s v="A+"/>
    <s v="EX"/>
    <n v="2021"/>
    <n v="2021"/>
    <x v="0"/>
    <n v="3"/>
    <n v="3"/>
    <n v="1"/>
    <n v="1452"/>
    <n v="0"/>
    <n v="0"/>
    <n v="0"/>
    <n v="0"/>
    <n v="0"/>
    <n v="1452"/>
    <x v="3"/>
    <n v="2"/>
    <s v="N"/>
    <s v="HP"/>
    <s v="G"/>
    <m/>
    <n v="0"/>
    <n v="0"/>
    <n v="0"/>
    <n v="0"/>
    <n v="0"/>
    <n v="9"/>
    <n v="480"/>
    <n v="0"/>
    <n v="0"/>
    <n v="0"/>
    <n v="120"/>
    <n v="0"/>
    <n v="100"/>
    <n v="100"/>
    <n v="260863"/>
    <n v="258254"/>
    <n v="860"/>
    <n v="365"/>
    <n v="365"/>
    <n v="130"/>
    <d v="2021-08-24T00:00:00"/>
    <s v="E033341"/>
    <n v="331464"/>
    <n v="331464"/>
    <s v="SWD"/>
    <n v="30"/>
    <s v="N"/>
    <s v="Y"/>
    <n v="375900"/>
    <n v="60800"/>
    <n v="315100"/>
    <n v="0"/>
    <n v="328271.82130840758"/>
    <n v="379192.06821613031"/>
    <n v="-50920.244631000001"/>
    <n v="132535.48800000001"/>
    <n v="88356.992000000013"/>
    <n v="-24051.387388882686"/>
    <n v="37154.252388000001"/>
    <n v="47371.278778200001"/>
    <n v="-326.22329999999999"/>
    <n v="90619.871760000009"/>
    <n v="0"/>
    <n v="0"/>
    <n v="-9412.7029999999995"/>
    <n v="0"/>
    <n v="16944.494880000002"/>
    <n v="0"/>
    <n v="328271.81948631734"/>
    <n v="0"/>
    <n v="264000"/>
    <n v="64300"/>
    <n v="328300"/>
    <n v="1.009637526652452"/>
    <n v="-0.1266294227188082"/>
    <n v="0.99970000000000003"/>
    <n v="0.99819999999999998"/>
    <n v="1.0012000000000001"/>
    <n v="0.99519999999999997"/>
    <n v="0.99080000000000001"/>
    <n v="0.94971499999999998"/>
    <n v="0.93589703010114389"/>
    <n v="306400"/>
    <n v="0"/>
    <n v="306400"/>
    <n v="61100"/>
    <n v="367500"/>
    <n v="-2.7610282450015868E-2"/>
    <n v="4.9342105263157892E-3"/>
    <n v="-2.23463687150838E-2"/>
    <n v="0.95509544134204627"/>
  </r>
  <r>
    <n v="2025"/>
    <n v="19120114450"/>
    <n v="-1.8325814637483102"/>
    <n v="0.16"/>
    <n v="7001"/>
    <n v="2"/>
    <s v="RES"/>
    <n v="317"/>
    <s v="MX"/>
    <s v="R2"/>
    <n v="11"/>
    <n v="259"/>
    <s v="CO"/>
    <s v="A+"/>
    <s v="EX"/>
    <n v="2021"/>
    <n v="2021"/>
    <x v="0"/>
    <n v="3"/>
    <n v="3"/>
    <n v="1"/>
    <n v="1240"/>
    <n v="0"/>
    <n v="0"/>
    <n v="0"/>
    <n v="0"/>
    <n v="0"/>
    <n v="1240"/>
    <x v="3"/>
    <n v="2"/>
    <s v="S"/>
    <s v="HP"/>
    <s v="G"/>
    <m/>
    <n v="0"/>
    <n v="0"/>
    <n v="0"/>
    <n v="0"/>
    <n v="0"/>
    <n v="9"/>
    <n v="404"/>
    <n v="0"/>
    <n v="0"/>
    <n v="0"/>
    <n v="136"/>
    <n v="0"/>
    <n v="100"/>
    <n v="100"/>
    <n v="228504"/>
    <n v="226219"/>
    <n v="860"/>
    <n v="365"/>
    <n v="365"/>
    <n v="130"/>
    <d v="2021-08-24T00:00:00"/>
    <s v="E033227"/>
    <n v="331199"/>
    <n v="331199"/>
    <s v="SWD"/>
    <n v="30"/>
    <s v="N"/>
    <s v="Y"/>
    <n v="362000"/>
    <n v="60800"/>
    <n v="301200"/>
    <n v="0"/>
    <n v="325883.5234847567"/>
    <n v="376803.77039247943"/>
    <n v="-50920.244631000001"/>
    <n v="132535.48800000001"/>
    <n v="88356.992000000013"/>
    <n v="-24051.387388882686"/>
    <n v="37154.252388000001"/>
    <n v="47371.278778200001"/>
    <n v="-326.22329999999999"/>
    <n v="77388.871200000009"/>
    <n v="0"/>
    <n v="0"/>
    <n v="4112.8784489"/>
    <n v="0"/>
    <n v="14261.616524000001"/>
    <n v="0"/>
    <n v="325883.52201921731"/>
    <n v="0"/>
    <n v="261600"/>
    <n v="64300"/>
    <n v="325900"/>
    <n v="1.0162595888309298"/>
    <n v="-9.9723756906077349E-2"/>
    <n v="0.99970000000000003"/>
    <n v="0.99819999999999998"/>
    <n v="1.0012000000000001"/>
    <n v="0.99519999999999997"/>
    <n v="0.99080000000000001"/>
    <n v="0.94971499999999998"/>
    <n v="0.93589703010114389"/>
    <n v="304000"/>
    <n v="0"/>
    <n v="304000"/>
    <n v="61100"/>
    <n v="365100"/>
    <n v="9.2961487383798145E-3"/>
    <n v="4.9342105263157892E-3"/>
    <n v="8.5635359116022092E-3"/>
    <n v="0.94861323666134267"/>
  </r>
  <r>
    <n v="2025"/>
    <n v="19120114451"/>
    <n v="-1.8325814637483102"/>
    <n v="0.16"/>
    <n v="7001"/>
    <n v="2"/>
    <s v="RES"/>
    <n v="317"/>
    <s v="MX"/>
    <s v="R2"/>
    <n v="11"/>
    <n v="259"/>
    <s v="CO"/>
    <s v="G"/>
    <s v="EX"/>
    <n v="2021"/>
    <n v="2021"/>
    <x v="0"/>
    <n v="3"/>
    <n v="3"/>
    <n v="2"/>
    <n v="918"/>
    <n v="1296"/>
    <n v="0"/>
    <n v="0"/>
    <n v="0"/>
    <n v="0"/>
    <n v="2214"/>
    <x v="1"/>
    <n v="3"/>
    <s v="S"/>
    <s v="HP"/>
    <s v="G"/>
    <m/>
    <n v="0"/>
    <n v="0"/>
    <n v="0"/>
    <n v="0"/>
    <n v="1"/>
    <n v="13"/>
    <n v="0"/>
    <n v="768"/>
    <n v="0"/>
    <n v="0"/>
    <n v="0"/>
    <n v="0"/>
    <n v="100"/>
    <n v="100"/>
    <n v="411052"/>
    <n v="406941"/>
    <n v="860"/>
    <n v="365"/>
    <n v="365"/>
    <n v="130"/>
    <d v="2021-08-24T00:00:00"/>
    <s v="E032938"/>
    <n v="447358"/>
    <n v="447358"/>
    <s v="SWD"/>
    <n v="30"/>
    <s v="N"/>
    <s v="Y"/>
    <n v="441900"/>
    <n v="60800"/>
    <n v="381100"/>
    <n v="0"/>
    <n v="402442.2797261072"/>
    <n v="453362.52663383004"/>
    <n v="-50920.244631000001"/>
    <n v="132535.48800000001"/>
    <n v="88356.992000000013"/>
    <n v="-24051.387388882686"/>
    <n v="32917.849192000001"/>
    <n v="47371.278778200001"/>
    <n v="-326.22329999999999"/>
    <n v="57292.728840000003"/>
    <n v="77216.176368"/>
    <n v="0"/>
    <n v="4112.8784489"/>
    <n v="0"/>
    <n v="0"/>
    <n v="37936.742400000003"/>
    <n v="402442.27870721731"/>
    <n v="0"/>
    <n v="338100"/>
    <n v="64300"/>
    <n v="402400"/>
    <n v="1.1117246520874751"/>
    <n v="-8.9386739081240105E-2"/>
    <n v="0.99970000000000003"/>
    <n v="1.0019"/>
    <n v="1.0012000000000001"/>
    <n v="1.0008999999999999"/>
    <n v="0.99080000000000001"/>
    <n v="0.94971499999999998"/>
    <n v="0.94474630517542935"/>
    <n v="381700"/>
    <n v="0"/>
    <n v="381700"/>
    <n v="61100"/>
    <n v="442800"/>
    <n v="1.574389923904487E-3"/>
    <n v="4.9342105263157892E-3"/>
    <n v="2.0366598778004071E-3"/>
    <n v="0.87598691734360401"/>
  </r>
  <r>
    <n v="2025"/>
    <n v="19120114452"/>
    <n v="-1.8325814637483102"/>
    <n v="0.16"/>
    <n v="7001"/>
    <n v="2"/>
    <s v="RES"/>
    <n v="317"/>
    <s v="MX"/>
    <s v="R2"/>
    <n v="11"/>
    <n v="259"/>
    <s v="CO"/>
    <s v="A+"/>
    <s v="EX"/>
    <n v="2021"/>
    <n v="2021"/>
    <x v="0"/>
    <n v="3"/>
    <n v="3"/>
    <n v="1"/>
    <n v="1452"/>
    <n v="0"/>
    <n v="0"/>
    <n v="0"/>
    <n v="0"/>
    <n v="0"/>
    <n v="1452"/>
    <x v="3"/>
    <n v="2"/>
    <s v="N"/>
    <s v="HP"/>
    <s v="G"/>
    <m/>
    <n v="0"/>
    <n v="0"/>
    <n v="0"/>
    <n v="0"/>
    <n v="0"/>
    <n v="9"/>
    <n v="400"/>
    <n v="0"/>
    <n v="0"/>
    <n v="0"/>
    <n v="100"/>
    <n v="0"/>
    <n v="100"/>
    <n v="100"/>
    <n v="257722"/>
    <n v="255145"/>
    <n v="778"/>
    <n v="365"/>
    <n v="365"/>
    <n v="48"/>
    <d v="2021-11-14T00:00:00"/>
    <s v="E034186"/>
    <n v="344814"/>
    <n v="344814"/>
    <s v="SWD"/>
    <n v="30"/>
    <s v="N"/>
    <s v="Y"/>
    <n v="372400"/>
    <n v="60800"/>
    <n v="311600"/>
    <n v="0"/>
    <n v="344225.69036155601"/>
    <n v="376367.9857650511"/>
    <n v="-32142.293830999999"/>
    <n v="132535.48800000001"/>
    <n v="88356.992000000013"/>
    <n v="-24051.387388882686"/>
    <n v="37154.252388000001"/>
    <n v="47371.278778200001"/>
    <n v="-326.22329999999999"/>
    <n v="90619.871760000009"/>
    <n v="0"/>
    <n v="0"/>
    <n v="-9412.7029999999995"/>
    <n v="0"/>
    <n v="14120.412400000001"/>
    <n v="0"/>
    <n v="344225.68780631735"/>
    <n v="0"/>
    <n v="279900"/>
    <n v="64300"/>
    <n v="344200"/>
    <n v="1.0017838466008135"/>
    <n v="-7.5725026852846405E-2"/>
    <n v="0.99970000000000003"/>
    <n v="0.99819999999999998"/>
    <n v="1.0012000000000001"/>
    <n v="0.99519999999999997"/>
    <n v="0.99080000000000001"/>
    <n v="0.94971499999999998"/>
    <n v="0.93589703010114389"/>
    <n v="303600"/>
    <n v="0"/>
    <n v="303600"/>
    <n v="61100"/>
    <n v="364700"/>
    <n v="-2.5673940949935817E-2"/>
    <n v="4.9342105263157892E-3"/>
    <n v="-2.0676691729323307E-2"/>
    <n v="0.96445534743078876"/>
  </r>
  <r>
    <n v="2025"/>
    <n v="19120114453"/>
    <n v="-1.8325814637483102"/>
    <n v="0.16"/>
    <n v="7001"/>
    <n v="2"/>
    <s v="RES"/>
    <n v="317"/>
    <s v="MX"/>
    <s v="R2"/>
    <n v="11"/>
    <n v="259"/>
    <s v="CO"/>
    <s v="A+"/>
    <s v="EX"/>
    <n v="2021"/>
    <n v="2021"/>
    <x v="0"/>
    <n v="3"/>
    <n v="3"/>
    <n v="1"/>
    <n v="1388"/>
    <n v="0"/>
    <n v="0"/>
    <n v="0"/>
    <n v="0"/>
    <n v="0"/>
    <n v="1388"/>
    <x v="3"/>
    <n v="2"/>
    <s v="N"/>
    <s v="HP"/>
    <s v="G"/>
    <m/>
    <n v="0"/>
    <n v="0"/>
    <n v="0"/>
    <n v="0"/>
    <n v="0"/>
    <n v="9"/>
    <n v="400"/>
    <n v="0"/>
    <n v="0"/>
    <n v="0"/>
    <n v="100"/>
    <n v="0"/>
    <n v="100"/>
    <n v="100"/>
    <n v="248492"/>
    <n v="246007"/>
    <n v="748"/>
    <n v="365"/>
    <n v="365"/>
    <n v="18"/>
    <d v="2021-12-14T00:00:00"/>
    <s v="E034471"/>
    <n v="349504"/>
    <n v="349504"/>
    <s v="SWD"/>
    <n v="30"/>
    <s v="N"/>
    <s v="Y"/>
    <n v="368700"/>
    <n v="60800"/>
    <n v="307900"/>
    <n v="0"/>
    <n v="347101.40829766524"/>
    <n v="372373.72144351603"/>
    <n v="-25272.311830999999"/>
    <n v="132535.48800000001"/>
    <n v="88356.992000000013"/>
    <n v="-24051.387388882686"/>
    <n v="37154.252388000001"/>
    <n v="47371.278778200001"/>
    <n v="-326.22329999999999"/>
    <n v="86625.607440000007"/>
    <n v="0"/>
    <n v="0"/>
    <n v="-9412.7029999999995"/>
    <n v="0"/>
    <n v="14120.412400000001"/>
    <n v="0"/>
    <n v="347101.40548631735"/>
    <n v="0"/>
    <n v="282800"/>
    <n v="64300"/>
    <n v="347100"/>
    <n v="1.0069259579371939"/>
    <n v="-5.858421480878763E-2"/>
    <n v="0.99970000000000003"/>
    <n v="0.99819999999999998"/>
    <n v="1.0012000000000001"/>
    <n v="0.99519999999999997"/>
    <n v="0.99080000000000001"/>
    <n v="0.94971499999999998"/>
    <n v="0.93589703010114389"/>
    <n v="299600"/>
    <n v="0"/>
    <n v="299600"/>
    <n v="61100"/>
    <n v="360700"/>
    <n v="-2.6956804157193894E-2"/>
    <n v="4.9342105263157892E-3"/>
    <n v="-2.1697857336588012E-2"/>
    <n v="0.95972489061355515"/>
  </r>
  <r>
    <n v="2025"/>
    <n v="19120114454"/>
    <n v="-1.8325814637483102"/>
    <n v="0.16"/>
    <n v="7016"/>
    <n v="2"/>
    <s v="RES"/>
    <n v="317"/>
    <s v="MX"/>
    <s v="R2"/>
    <n v="11"/>
    <n v="259"/>
    <s v="CO"/>
    <s v="G"/>
    <s v="EX"/>
    <n v="2021"/>
    <n v="2021"/>
    <x v="0"/>
    <n v="3"/>
    <n v="3"/>
    <n v="2"/>
    <n v="918"/>
    <n v="1296"/>
    <n v="0"/>
    <n v="0"/>
    <n v="0"/>
    <n v="0"/>
    <n v="2214"/>
    <x v="1"/>
    <n v="3"/>
    <s v="B"/>
    <s v="HP"/>
    <s v="G"/>
    <m/>
    <n v="0"/>
    <n v="0"/>
    <n v="0"/>
    <n v="0"/>
    <n v="1"/>
    <n v="13"/>
    <n v="0"/>
    <n v="768"/>
    <n v="0"/>
    <n v="0"/>
    <n v="200"/>
    <n v="0"/>
    <n v="100"/>
    <n v="100"/>
    <n v="411212"/>
    <n v="407100"/>
    <n v="752"/>
    <n v="365"/>
    <n v="365"/>
    <n v="22"/>
    <d v="2021-12-10T00:00:00"/>
    <s v="E034603"/>
    <n v="463622"/>
    <n v="463622"/>
    <s v="SWD"/>
    <n v="30"/>
    <s v="N"/>
    <s v="Y"/>
    <n v="438600"/>
    <n v="60800"/>
    <n v="377800"/>
    <n v="0"/>
    <n v="428361.16157694784"/>
    <n v="454549.47235715133"/>
    <n v="-26188.309431000001"/>
    <n v="132535.48800000001"/>
    <n v="88356.992000000013"/>
    <n v="-24051.387388882686"/>
    <n v="32917.849192000001"/>
    <n v="47371.278778200001"/>
    <n v="-326.22329999999999"/>
    <n v="57292.728840000003"/>
    <n v="77216.176368"/>
    <n v="0"/>
    <n v="5299.8242"/>
    <n v="0"/>
    <n v="0"/>
    <n v="37936.742400000003"/>
    <n v="428361.15965831728"/>
    <n v="0"/>
    <n v="364100"/>
    <n v="64300"/>
    <n v="428400"/>
    <n v="1.082217553688142"/>
    <n v="-2.3255813953488372E-2"/>
    <n v="0.99970000000000003"/>
    <n v="1.0019"/>
    <n v="1.0012000000000001"/>
    <n v="1.0008999999999999"/>
    <n v="0.99080000000000001"/>
    <n v="0.94971499999999998"/>
    <n v="0.94474630517542935"/>
    <n v="382900"/>
    <n v="0"/>
    <n v="382900"/>
    <n v="61100"/>
    <n v="444000"/>
    <n v="1.3499205929062997E-2"/>
    <n v="4.9342105263157892E-3"/>
    <n v="1.2311901504787962E-2"/>
    <n v="0.90119038908636773"/>
  </r>
  <r>
    <n v="2025"/>
    <n v="19120114459"/>
    <n v="-1.7719568419318752"/>
    <n v="0.17"/>
    <n v="7552"/>
    <n v="2"/>
    <s v="RES"/>
    <n v="317"/>
    <s v="MX"/>
    <s v="R2"/>
    <n v="11"/>
    <n v="259"/>
    <s v="CO"/>
    <s v="A+"/>
    <s v="EX"/>
    <n v="2021"/>
    <n v="2021"/>
    <x v="0"/>
    <n v="3"/>
    <n v="3"/>
    <n v="1"/>
    <n v="1592"/>
    <n v="0"/>
    <n v="0"/>
    <n v="0"/>
    <n v="0"/>
    <n v="0"/>
    <n v="1592"/>
    <x v="0"/>
    <n v="2"/>
    <s v="N"/>
    <s v="HP"/>
    <s v="G"/>
    <m/>
    <n v="0"/>
    <n v="0"/>
    <n v="1"/>
    <n v="0"/>
    <n v="0"/>
    <n v="9"/>
    <n v="480"/>
    <n v="0"/>
    <n v="0"/>
    <n v="0"/>
    <n v="0"/>
    <n v="0"/>
    <n v="100"/>
    <n v="100"/>
    <n v="289826"/>
    <n v="286928"/>
    <n v="322"/>
    <n v="322"/>
    <n v="0"/>
    <n v="0"/>
    <d v="2023-02-13T00:00:00"/>
    <s v="E039436"/>
    <n v="405000"/>
    <n v="405000"/>
    <s v="SWD"/>
    <n v="30"/>
    <s v="N"/>
    <s v="Y"/>
    <n v="396600"/>
    <n v="61700"/>
    <n v="334900"/>
    <n v="0"/>
    <n v="401590.46525255137"/>
    <n v="398532.28292850312"/>
    <n v="3058.1823132"/>
    <n v="132535.48800000001"/>
    <n v="88356.992000000013"/>
    <n v="-23255.730391660189"/>
    <n v="37154.252388000001"/>
    <n v="47371.278778200001"/>
    <n v="-326.22329999999999"/>
    <n v="99357.324960000013"/>
    <n v="0"/>
    <n v="0"/>
    <n v="-9412.7029999999995"/>
    <n v="9807.1044999999995"/>
    <n v="16944.494880000002"/>
    <n v="0"/>
    <n v="401590.46112773987"/>
    <n v="0"/>
    <n v="336500"/>
    <n v="65100"/>
    <n v="401600"/>
    <n v="1.0084661354581674"/>
    <n v="1.2607160867372668E-2"/>
    <n v="0.99970000000000003"/>
    <n v="0.99819999999999998"/>
    <n v="1.0012000000000001"/>
    <n v="1.0007999999999999"/>
    <n v="0.99080000000000001"/>
    <n v="0.94971499999999998"/>
    <n v="0.94116333171746858"/>
    <n v="325600"/>
    <n v="0"/>
    <n v="325600"/>
    <n v="61800"/>
    <n v="387400"/>
    <n v="-2.7769483427888923E-2"/>
    <n v="1.6207455429497568E-3"/>
    <n v="-2.319717599596571E-2"/>
    <n v="0.96409427731654329"/>
  </r>
  <r>
    <n v="2025"/>
    <n v="19120114461"/>
    <n v="-1.7147984280919266"/>
    <n v="0.18"/>
    <n v="7987"/>
    <n v="2"/>
    <s v="RES"/>
    <n v="317"/>
    <s v="MX"/>
    <s v="R2"/>
    <n v="11"/>
    <n v="259"/>
    <s v="RN"/>
    <s v="G"/>
    <s v="EX"/>
    <n v="2021"/>
    <n v="2021"/>
    <x v="0"/>
    <n v="3"/>
    <n v="3"/>
    <n v="1"/>
    <n v="1991"/>
    <n v="0"/>
    <n v="0"/>
    <n v="0"/>
    <n v="0"/>
    <n v="0"/>
    <n v="1991"/>
    <x v="0"/>
    <n v="2"/>
    <s v="S"/>
    <s v="HP"/>
    <s v="G"/>
    <m/>
    <n v="0"/>
    <n v="0"/>
    <n v="1"/>
    <n v="1"/>
    <n v="0"/>
    <n v="9"/>
    <n v="400"/>
    <n v="0"/>
    <n v="0"/>
    <n v="0"/>
    <n v="0"/>
    <n v="0"/>
    <n v="100"/>
    <n v="100"/>
    <n v="382430"/>
    <n v="378606"/>
    <n v="860"/>
    <n v="365"/>
    <n v="365"/>
    <n v="130"/>
    <d v="2021-08-24T00:00:00"/>
    <s v="E033688"/>
    <n v="423870"/>
    <n v="423870"/>
    <s v="SWD"/>
    <n v="30"/>
    <s v="N"/>
    <s v="Y"/>
    <n v="408100"/>
    <n v="62500"/>
    <n v="345600"/>
    <n v="0"/>
    <n v="379729.03843611333"/>
    <n v="430649.28534383618"/>
    <n v="-50920.244631000001"/>
    <n v="132535.48800000001"/>
    <n v="88356.992000000013"/>
    <n v="-22505.565020573864"/>
    <n v="32917.849192000001"/>
    <n v="47371.278778200001"/>
    <n v="-326.22329999999999"/>
    <n v="124259.06658000001"/>
    <n v="0"/>
    <n v="0"/>
    <n v="4112.8784489"/>
    <n v="9807.1044999999995"/>
    <n v="14120.412400000001"/>
    <n v="0"/>
    <n v="379729.03694752615"/>
    <n v="0"/>
    <n v="313900"/>
    <n v="65900"/>
    <n v="379800"/>
    <n v="1.1160347551342813"/>
    <n v="-6.9345748591031611E-2"/>
    <n v="0.99970000000000003"/>
    <n v="1.0019"/>
    <n v="1.0012000000000001"/>
    <n v="1.0007999999999999"/>
    <n v="0.99080000000000001"/>
    <n v="0.94971499999999998"/>
    <n v="0.94465191549562377"/>
    <n v="357500"/>
    <n v="0"/>
    <n v="357500"/>
    <n v="62500"/>
    <n v="420000"/>
    <n v="3.4432870370370371E-2"/>
    <n v="0"/>
    <n v="2.9159519725557463E-2"/>
    <n v="0.87073809273833969"/>
  </r>
  <r>
    <n v="2025"/>
    <n v="19120114462"/>
    <n v="-1.7147984280919266"/>
    <n v="0.18"/>
    <n v="7982"/>
    <n v="2"/>
    <s v="RES"/>
    <n v="317"/>
    <s v="MX"/>
    <s v="R2"/>
    <n v="11"/>
    <n v="259"/>
    <s v="CO"/>
    <s v="A+"/>
    <s v="EX"/>
    <n v="2021"/>
    <n v="2021"/>
    <x v="0"/>
    <n v="3"/>
    <n v="3"/>
    <n v="1"/>
    <n v="1810"/>
    <n v="0"/>
    <n v="0"/>
    <n v="0"/>
    <n v="0"/>
    <n v="0"/>
    <n v="1810"/>
    <x v="0"/>
    <n v="2"/>
    <s v="N"/>
    <s v="HP"/>
    <s v="G"/>
    <m/>
    <n v="0"/>
    <n v="0"/>
    <n v="1"/>
    <n v="0"/>
    <n v="0"/>
    <n v="11"/>
    <n v="510"/>
    <n v="0"/>
    <n v="0"/>
    <n v="0"/>
    <n v="0"/>
    <n v="0"/>
    <n v="100"/>
    <n v="100"/>
    <n v="327618"/>
    <n v="324342"/>
    <n v="669"/>
    <n v="365"/>
    <n v="304"/>
    <n v="0"/>
    <d v="2022-03-03T00:00:00"/>
    <s v="E035479"/>
    <n v="397990"/>
    <n v="397990"/>
    <s v="SWD"/>
    <n v="30"/>
    <s v="N"/>
    <s v="Y"/>
    <n v="410900"/>
    <n v="62500"/>
    <n v="348400"/>
    <n v="0"/>
    <n v="396910.675010579"/>
    <n v="413946.94205588102"/>
    <n v="-17036.266081000002"/>
    <n v="132535.48800000001"/>
    <n v="88356.992000000013"/>
    <n v="-22505.565020573864"/>
    <n v="37154.252388000001"/>
    <n v="47371.278778200001"/>
    <n v="-326.22329999999999"/>
    <n v="112962.78780000001"/>
    <n v="0"/>
    <n v="0"/>
    <n v="-9412.7029999999995"/>
    <n v="9807.1044999999995"/>
    <n v="18003.525809999999"/>
    <n v="0"/>
    <n v="396910.67187462619"/>
    <n v="0"/>
    <n v="331100"/>
    <n v="65900"/>
    <n v="397000"/>
    <n v="1.0024937027707808"/>
    <n v="-3.3828182039425649E-2"/>
    <n v="0.99970000000000003"/>
    <n v="0.99819999999999998"/>
    <n v="1.0012000000000001"/>
    <n v="1.0007999999999999"/>
    <n v="0.99080000000000001"/>
    <n v="0.94971499999999998"/>
    <n v="0.94116333171746858"/>
    <n v="340300"/>
    <n v="0"/>
    <n v="340300"/>
    <n v="62500"/>
    <n v="402800"/>
    <n v="-2.3249138920780711E-2"/>
    <n v="0"/>
    <n v="-1.9712825504989047E-2"/>
    <n v="0.96927996662981486"/>
  </r>
  <r>
    <n v="2025"/>
    <n v="19120114463"/>
    <n v="-1.4696759700589417"/>
    <n v="0.23"/>
    <n v="9865"/>
    <n v="2"/>
    <s v="RES"/>
    <n v="317"/>
    <s v="MX"/>
    <s v="R2"/>
    <n v="11"/>
    <n v="259"/>
    <s v="CO"/>
    <s v="G"/>
    <s v="EX"/>
    <n v="2021"/>
    <n v="2021"/>
    <x v="0"/>
    <n v="3"/>
    <n v="3"/>
    <n v="2"/>
    <n v="930"/>
    <n v="1296"/>
    <n v="0"/>
    <n v="0"/>
    <n v="0"/>
    <n v="0"/>
    <n v="2226"/>
    <x v="1"/>
    <n v="3"/>
    <s v="B"/>
    <s v="HP"/>
    <s v="G"/>
    <m/>
    <n v="0"/>
    <n v="0"/>
    <n v="1"/>
    <n v="0"/>
    <n v="1"/>
    <n v="13"/>
    <n v="0"/>
    <n v="768"/>
    <n v="0"/>
    <n v="0"/>
    <n v="100"/>
    <n v="0"/>
    <n v="100"/>
    <n v="100"/>
    <n v="410967"/>
    <n v="406857"/>
    <n v="762"/>
    <n v="365"/>
    <n v="365"/>
    <n v="32"/>
    <d v="2021-11-30T00:00:00"/>
    <s v="E034474"/>
    <n v="425716"/>
    <n v="425716"/>
    <s v="SWD"/>
    <n v="30"/>
    <s v="N"/>
    <s v="Y"/>
    <n v="436600"/>
    <n v="65900"/>
    <n v="370700"/>
    <n v="0"/>
    <n v="441390.08471219457"/>
    <n v="469868.38957827952"/>
    <n v="-28478.303431"/>
    <n v="132535.48800000001"/>
    <n v="88356.992000000013"/>
    <n v="-19288.499197039939"/>
    <n v="32917.849192000001"/>
    <n v="47371.278778200001"/>
    <n v="-326.22329999999999"/>
    <n v="58041.653400000003"/>
    <n v="77216.176368"/>
    <n v="0"/>
    <n v="5299.8242"/>
    <n v="9807.1044999999995"/>
    <n v="0"/>
    <n v="37936.742400000003"/>
    <n v="441390.08291016001"/>
    <n v="0"/>
    <n v="372300"/>
    <n v="69100"/>
    <n v="441400"/>
    <n v="0.96446760308110557"/>
    <n v="1.0994044892349977E-2"/>
    <n v="0.99970000000000003"/>
    <n v="1.0019"/>
    <n v="1.0012000000000001"/>
    <n v="1.0008999999999999"/>
    <n v="0.99080000000000001"/>
    <n v="0.94971499999999998"/>
    <n v="0.94474630517542935"/>
    <n v="393500"/>
    <n v="0"/>
    <n v="393500"/>
    <n v="65600"/>
    <n v="459100"/>
    <n v="6.1505260318316698E-2"/>
    <n v="-4.552352048558422E-3"/>
    <n v="5.1534585432890516E-2"/>
    <n v="1.0115234019134822"/>
  </r>
  <r>
    <n v="2025"/>
    <n v="19120114464"/>
    <n v="-1.4696759700589417"/>
    <n v="0.23"/>
    <n v="10184"/>
    <n v="2"/>
    <s v="RES"/>
    <n v="317"/>
    <s v="MX"/>
    <s v="R2"/>
    <n v="11"/>
    <n v="259"/>
    <s v="CO"/>
    <s v="A+"/>
    <s v="EX"/>
    <n v="2021"/>
    <n v="2021"/>
    <x v="0"/>
    <n v="3"/>
    <n v="3"/>
    <n v="1"/>
    <n v="1388"/>
    <n v="0"/>
    <n v="0"/>
    <n v="0"/>
    <n v="0"/>
    <n v="0"/>
    <n v="1388"/>
    <x v="3"/>
    <n v="2"/>
    <s v="N"/>
    <s v="HP"/>
    <s v="G"/>
    <m/>
    <n v="0"/>
    <n v="0"/>
    <n v="0"/>
    <n v="0"/>
    <n v="0"/>
    <n v="9"/>
    <n v="400"/>
    <n v="0"/>
    <n v="0"/>
    <n v="0"/>
    <n v="0"/>
    <n v="0"/>
    <n v="100"/>
    <n v="100"/>
    <n v="258652"/>
    <n v="256065"/>
    <n v="752"/>
    <n v="365"/>
    <n v="365"/>
    <n v="22"/>
    <d v="2021-12-10T00:00:00"/>
    <s v="E034515"/>
    <n v="366281"/>
    <n v="366281"/>
    <s v="SWD"/>
    <n v="30"/>
    <s v="N"/>
    <s v="Y"/>
    <n v="391600"/>
    <n v="65900"/>
    <n v="325700"/>
    <n v="0"/>
    <n v="350948.29880377796"/>
    <n v="377136.60958398139"/>
    <n v="-26188.309431000001"/>
    <n v="132535.48800000001"/>
    <n v="88356.992000000013"/>
    <n v="-19288.499197039939"/>
    <n v="37154.252388000001"/>
    <n v="47371.278778200001"/>
    <n v="-326.22329999999999"/>
    <n v="86625.607440000007"/>
    <n v="0"/>
    <n v="0"/>
    <n v="-9412.7029999999995"/>
    <n v="0"/>
    <n v="14120.412400000001"/>
    <n v="0"/>
    <n v="350948.29607816006"/>
    <n v="0"/>
    <n v="281900"/>
    <n v="69100"/>
    <n v="351000"/>
    <n v="1.0435356125356126"/>
    <n v="-0.10367722165474974"/>
    <n v="0.99970000000000003"/>
    <n v="0.99819999999999998"/>
    <n v="1.0012000000000001"/>
    <n v="0.99519999999999997"/>
    <n v="0.99080000000000001"/>
    <n v="0.94971499999999998"/>
    <n v="0.93589703010114389"/>
    <n v="299600"/>
    <n v="0"/>
    <n v="299600"/>
    <n v="65600"/>
    <n v="365200"/>
    <n v="-8.0135093644458089E-2"/>
    <n v="-4.552352048558422E-3"/>
    <n v="-6.741573033707865E-2"/>
    <n v="0.92555084912676322"/>
  </r>
  <r>
    <n v="2025"/>
    <n v="19120114465"/>
    <n v="-1.8325814637483102"/>
    <n v="0.16"/>
    <n v="7004"/>
    <n v="2"/>
    <s v="RES"/>
    <n v="317"/>
    <s v="MX"/>
    <s v="R2"/>
    <n v="11"/>
    <n v="259"/>
    <s v="CO"/>
    <s v="G"/>
    <s v="EX"/>
    <n v="2021"/>
    <n v="2021"/>
    <x v="0"/>
    <n v="3"/>
    <n v="3"/>
    <n v="2"/>
    <n v="1316"/>
    <n v="1686"/>
    <n v="0"/>
    <n v="0"/>
    <n v="0"/>
    <n v="0"/>
    <n v="3002"/>
    <x v="2"/>
    <n v="2"/>
    <s v="B"/>
    <s v="HP"/>
    <s v="G"/>
    <m/>
    <n v="0"/>
    <n v="0"/>
    <n v="0"/>
    <n v="0"/>
    <n v="0"/>
    <n v="14"/>
    <n v="0"/>
    <n v="460"/>
    <n v="0"/>
    <n v="0"/>
    <n v="0"/>
    <n v="0"/>
    <n v="100"/>
    <n v="100"/>
    <n v="506854"/>
    <n v="501785"/>
    <n v="775"/>
    <n v="365"/>
    <n v="365"/>
    <n v="45"/>
    <d v="2021-11-17T00:00:00"/>
    <s v="E034324"/>
    <n v="472760"/>
    <n v="472760"/>
    <s v="SWD"/>
    <n v="30"/>
    <s v="N"/>
    <s v="Y"/>
    <n v="472600"/>
    <n v="60800"/>
    <n v="411800"/>
    <n v="0"/>
    <n v="455955.6413751053"/>
    <n v="487410.93855283601"/>
    <n v="-31455.295631000001"/>
    <n v="132535.48800000001"/>
    <n v="88356.992000000013"/>
    <n v="-24051.387388882686"/>
    <n v="32917.849192000001"/>
    <n v="47371.278778200001"/>
    <n v="-326.22329999999999"/>
    <n v="82132.06008000001"/>
    <n v="100452.525738"/>
    <n v="0"/>
    <n v="5299.8242"/>
    <n v="0"/>
    <n v="0"/>
    <n v="22722.527999999998"/>
    <n v="455955.63966831728"/>
    <n v="0"/>
    <n v="391700"/>
    <n v="64300"/>
    <n v="456000"/>
    <n v="1.0367543859649122"/>
    <n v="-3.5124841303427849E-2"/>
    <n v="0.99970000000000003"/>
    <n v="1.0019"/>
    <n v="1.0012000000000001"/>
    <n v="0.98509999999999998"/>
    <n v="0.99080000000000001"/>
    <n v="0.94971499999999998"/>
    <n v="0.92983273576612613"/>
    <n v="413800"/>
    <n v="0"/>
    <n v="413800"/>
    <n v="61100"/>
    <n v="474900"/>
    <n v="4.8567265662943174E-3"/>
    <n v="4.9342105263157892E-3"/>
    <n v="4.866694879390605E-3"/>
    <n v="0.93799116754590062"/>
  </r>
  <r>
    <n v="2025"/>
    <n v="19120114469"/>
    <n v="-1.6607312068216509"/>
    <n v="0.19"/>
    <n v="8205"/>
    <n v="2"/>
    <s v="RES"/>
    <n v="317"/>
    <s v="MX"/>
    <s v="R2"/>
    <n v="11"/>
    <n v="259"/>
    <s v="CO"/>
    <s v="A+"/>
    <s v="EX"/>
    <n v="2021"/>
    <n v="2021"/>
    <x v="0"/>
    <n v="3"/>
    <n v="3"/>
    <n v="1"/>
    <n v="1619"/>
    <n v="0"/>
    <n v="0"/>
    <n v="0"/>
    <n v="0"/>
    <n v="0"/>
    <n v="1619"/>
    <x v="0"/>
    <n v="2"/>
    <s v="N"/>
    <s v="HP"/>
    <s v="G"/>
    <m/>
    <n v="0"/>
    <n v="0"/>
    <n v="0"/>
    <n v="1"/>
    <n v="0"/>
    <n v="9"/>
    <n v="480"/>
    <n v="0"/>
    <n v="0"/>
    <n v="0"/>
    <n v="0"/>
    <n v="0"/>
    <n v="100"/>
    <n v="100"/>
    <n v="290160"/>
    <n v="287258"/>
    <n v="662"/>
    <n v="365"/>
    <n v="297"/>
    <n v="0"/>
    <d v="2022-03-10T00:00:00"/>
    <s v="E035582"/>
    <n v="404872"/>
    <n v="404872"/>
    <s v="SWD"/>
    <n v="30"/>
    <s v="N"/>
    <s v="Y"/>
    <n v="399600"/>
    <n v="63200"/>
    <n v="336400"/>
    <n v="0"/>
    <n v="375305.85741883022"/>
    <n v="391870.0195916447"/>
    <n v="-16564.161230999998"/>
    <n v="132535.48800000001"/>
    <n v="88356.992000000013"/>
    <n v="-21795.969453044734"/>
    <n v="37154.252388000001"/>
    <n v="47371.278778200001"/>
    <n v="-326.22329999999999"/>
    <n v="101042.40522"/>
    <n v="0"/>
    <n v="0"/>
    <n v="-9412.7029999999995"/>
    <n v="0"/>
    <n v="16944.494880000002"/>
    <n v="0"/>
    <n v="375305.85428215528"/>
    <n v="0"/>
    <n v="308700"/>
    <n v="66600"/>
    <n v="375300"/>
    <n v="1.0787956301625365"/>
    <n v="-6.0810810810810814E-2"/>
    <n v="0.99970000000000003"/>
    <n v="0.99819999999999998"/>
    <n v="1.0012000000000001"/>
    <n v="1.0007999999999999"/>
    <n v="0.99080000000000001"/>
    <n v="0.94971499999999998"/>
    <n v="0.94116333171746858"/>
    <n v="317500"/>
    <n v="0"/>
    <n v="317500"/>
    <n v="63200"/>
    <n v="380700"/>
    <n v="-5.6183115338882282E-2"/>
    <n v="0"/>
    <n v="-4.72972972972973E-2"/>
    <n v="0.89938508656810057"/>
  </r>
  <r>
    <n v="2025"/>
    <n v="19120114480"/>
    <n v="-1.8325814637483102"/>
    <n v="0.16"/>
    <n v="7002"/>
    <n v="2"/>
    <s v="RES"/>
    <n v="317"/>
    <s v="MX"/>
    <s v="R2"/>
    <n v="11"/>
    <n v="259"/>
    <s v="CO"/>
    <s v="A+"/>
    <s v="EX"/>
    <n v="2021"/>
    <n v="2021"/>
    <x v="0"/>
    <n v="3"/>
    <n v="3"/>
    <n v="1"/>
    <n v="1452"/>
    <n v="0"/>
    <n v="0"/>
    <n v="0"/>
    <n v="0"/>
    <n v="0"/>
    <n v="1452"/>
    <x v="3"/>
    <n v="2"/>
    <s v="N"/>
    <s v="HP"/>
    <s v="G"/>
    <m/>
    <n v="0"/>
    <n v="0"/>
    <n v="0"/>
    <n v="0"/>
    <n v="0"/>
    <n v="9"/>
    <n v="400"/>
    <n v="0"/>
    <n v="0"/>
    <n v="0"/>
    <n v="0"/>
    <n v="0"/>
    <n v="100"/>
    <n v="100"/>
    <n v="263890"/>
    <n v="261251"/>
    <n v="723"/>
    <n v="365"/>
    <n v="358"/>
    <n v="0"/>
    <d v="2022-01-08T00:00:00"/>
    <s v="E034944"/>
    <n v="358765"/>
    <n v="358765"/>
    <s v="SWD"/>
    <n v="30"/>
    <s v="N"/>
    <s v="Y"/>
    <n v="383500"/>
    <n v="60800"/>
    <n v="322700"/>
    <n v="0"/>
    <n v="355689.76684627437"/>
    <n v="376367.9857650511"/>
    <n v="-20678.217780999999"/>
    <n v="132535.48800000001"/>
    <n v="88356.992000000013"/>
    <n v="-24051.387388882686"/>
    <n v="37154.252388000001"/>
    <n v="47371.278778200001"/>
    <n v="-326.22329999999999"/>
    <n v="90619.871760000009"/>
    <n v="0"/>
    <n v="0"/>
    <n v="-9412.7029999999995"/>
    <n v="0"/>
    <n v="14120.412400000001"/>
    <n v="0"/>
    <n v="355689.76385631738"/>
    <n v="0"/>
    <n v="291400"/>
    <n v="64300"/>
    <n v="355700"/>
    <n v="1.0086168119201575"/>
    <n v="-7.2490221642764016E-2"/>
    <n v="0.99970000000000003"/>
    <n v="0.99819999999999998"/>
    <n v="1.0012000000000001"/>
    <n v="0.99519999999999997"/>
    <n v="0.99080000000000001"/>
    <n v="0.94971499999999998"/>
    <n v="0.93589703010114389"/>
    <n v="303600"/>
    <n v="0"/>
    <n v="303600"/>
    <n v="61100"/>
    <n v="364700"/>
    <n v="-5.9188100402850947E-2"/>
    <n v="4.9342105263157892E-3"/>
    <n v="-4.9022164276401561E-2"/>
    <n v="0.95890564079271945"/>
  </r>
  <r>
    <n v="2025"/>
    <n v="19120114481"/>
    <n v="-1.8325814637483102"/>
    <n v="0.16"/>
    <n v="7002"/>
    <n v="2"/>
    <s v="RES"/>
    <n v="317"/>
    <s v="MX"/>
    <s v="R2"/>
    <n v="11"/>
    <n v="259"/>
    <s v="CO"/>
    <s v="A+"/>
    <s v="EX"/>
    <n v="2021"/>
    <n v="2021"/>
    <x v="0"/>
    <n v="3"/>
    <n v="3"/>
    <n v="1"/>
    <n v="1592"/>
    <n v="0"/>
    <n v="0"/>
    <n v="0"/>
    <n v="0"/>
    <n v="0"/>
    <n v="1592"/>
    <x v="0"/>
    <n v="2"/>
    <s v="S"/>
    <s v="HP"/>
    <s v="G"/>
    <m/>
    <n v="0"/>
    <n v="0"/>
    <n v="1"/>
    <n v="0"/>
    <n v="0"/>
    <n v="10"/>
    <n v="400"/>
    <n v="0"/>
    <n v="0"/>
    <n v="0"/>
    <n v="158"/>
    <n v="0"/>
    <n v="100"/>
    <n v="100"/>
    <n v="289264"/>
    <n v="286371"/>
    <n v="723"/>
    <n v="365"/>
    <n v="358"/>
    <n v="0"/>
    <d v="2022-01-08T00:00:00"/>
    <s v="E034910"/>
    <n v="399506"/>
    <n v="399506"/>
    <s v="SWD"/>
    <n v="30"/>
    <s v="N"/>
    <s v="Y"/>
    <n v="388900"/>
    <n v="60800"/>
    <n v="328100"/>
    <n v="0"/>
    <n v="387759.90563996672"/>
    <n v="408438.1245587435"/>
    <n v="-20678.217780999999"/>
    <n v="132535.48800000001"/>
    <n v="88356.992000000013"/>
    <n v="-24051.387388882686"/>
    <n v="37154.252388000001"/>
    <n v="47371.278778200001"/>
    <n v="-326.22329999999999"/>
    <n v="99357.324960000013"/>
    <n v="0"/>
    <n v="0"/>
    <n v="4112.8784489"/>
    <n v="9807.1044999999995"/>
    <n v="14120.412400000001"/>
    <n v="0"/>
    <n v="387759.90300521732"/>
    <n v="0"/>
    <n v="323500"/>
    <n v="64300"/>
    <n v="387800"/>
    <n v="1.0301856627127386"/>
    <n v="-2.8284906145538699E-3"/>
    <n v="0.99970000000000003"/>
    <n v="0.99819999999999998"/>
    <n v="1.0012000000000001"/>
    <n v="1.0007999999999999"/>
    <n v="0.99080000000000001"/>
    <n v="0.94971499999999998"/>
    <n v="0.94116333171746858"/>
    <n v="336300"/>
    <n v="0"/>
    <n v="336300"/>
    <n v="61100"/>
    <n v="397400"/>
    <n v="2.4992380371837854E-2"/>
    <n v="4.9342105263157892E-3"/>
    <n v="2.1856518385188994E-2"/>
    <n v="0.9429690222900281"/>
  </r>
  <r>
    <n v="2025"/>
    <n v="19120114482"/>
    <n v="-1.8325814637483102"/>
    <n v="0.16"/>
    <n v="7002"/>
    <n v="2"/>
    <s v="RES"/>
    <n v="317"/>
    <s v="MX"/>
    <s v="R2"/>
    <n v="11"/>
    <n v="259"/>
    <s v="CO"/>
    <s v="A+"/>
    <s v="EX"/>
    <n v="2021"/>
    <n v="2021"/>
    <x v="0"/>
    <n v="3"/>
    <n v="3"/>
    <n v="1"/>
    <n v="1580"/>
    <n v="0"/>
    <n v="0"/>
    <n v="0"/>
    <n v="0"/>
    <n v="0"/>
    <n v="1580"/>
    <x v="0"/>
    <n v="2"/>
    <s v="N"/>
    <s v="HP"/>
    <s v="G"/>
    <m/>
    <n v="0"/>
    <n v="0"/>
    <n v="0"/>
    <n v="0"/>
    <n v="0"/>
    <n v="9"/>
    <n v="400"/>
    <n v="0"/>
    <n v="0"/>
    <n v="0"/>
    <n v="100"/>
    <n v="0"/>
    <n v="100"/>
    <n v="100"/>
    <n v="279658"/>
    <n v="276861"/>
    <n v="734"/>
    <n v="365"/>
    <n v="365"/>
    <n v="4"/>
    <d v="2021-12-28T00:00:00"/>
    <s v="E034832"/>
    <n v="372815"/>
    <n v="372815"/>
    <s v="SWD"/>
    <n v="30"/>
    <s v="N"/>
    <s v="Y"/>
    <n v="386100"/>
    <n v="60800"/>
    <n v="325300"/>
    <n v="0"/>
    <n v="362290.19298250449"/>
    <n v="384356.51440812129"/>
    <n v="-22066.320230999998"/>
    <n v="132535.48800000001"/>
    <n v="88356.992000000013"/>
    <n v="-24051.387388882686"/>
    <n v="37154.252388000001"/>
    <n v="47371.278778200001"/>
    <n v="-326.22329999999999"/>
    <n v="98608.400399999999"/>
    <n v="0"/>
    <n v="0"/>
    <n v="-9412.7029999999995"/>
    <n v="0"/>
    <n v="14120.412400000001"/>
    <n v="0"/>
    <n v="362290.19004631729"/>
    <n v="0"/>
    <n v="298000"/>
    <n v="64300"/>
    <n v="362300"/>
    <n v="1.0290229091912779"/>
    <n v="-6.1642061642061645E-2"/>
    <n v="0.99970000000000003"/>
    <n v="0.99819999999999998"/>
    <n v="1.0012000000000001"/>
    <n v="1.0007999999999999"/>
    <n v="0.99080000000000001"/>
    <n v="0.94971499999999998"/>
    <n v="0.94116333171746858"/>
    <n v="312300"/>
    <n v="0"/>
    <n v="312300"/>
    <n v="61100"/>
    <n v="373400"/>
    <n v="-3.9963110974485093E-2"/>
    <n v="4.9342105263157892E-3"/>
    <n v="-3.2893032893032893E-2"/>
    <n v="0.94238075122782072"/>
  </r>
  <r>
    <n v="2025"/>
    <n v="19120114483"/>
    <n v="-1.8325814637483102"/>
    <n v="0.16"/>
    <n v="7002"/>
    <n v="2"/>
    <s v="RES"/>
    <n v="317"/>
    <s v="MX"/>
    <s v="R2"/>
    <n v="11"/>
    <n v="259"/>
    <s v="CO"/>
    <s v="A+"/>
    <s v="EX"/>
    <n v="2021"/>
    <n v="2021"/>
    <x v="0"/>
    <n v="3"/>
    <n v="3"/>
    <n v="1"/>
    <n v="1240"/>
    <n v="0"/>
    <n v="0"/>
    <n v="0"/>
    <n v="0"/>
    <n v="0"/>
    <n v="1240"/>
    <x v="3"/>
    <n v="2"/>
    <s v="N"/>
    <s v="HP"/>
    <s v="G"/>
    <m/>
    <n v="0"/>
    <n v="0"/>
    <n v="0"/>
    <n v="0"/>
    <n v="0"/>
    <n v="9"/>
    <n v="484"/>
    <n v="0"/>
    <n v="0"/>
    <n v="0"/>
    <n v="116"/>
    <n v="0"/>
    <n v="100"/>
    <n v="100"/>
    <n v="231209"/>
    <n v="228897"/>
    <n v="728"/>
    <n v="365"/>
    <n v="363"/>
    <n v="0"/>
    <d v="2022-01-03T00:00:00"/>
    <s v="E034981"/>
    <n v="349990"/>
    <n v="349990"/>
    <s v="SWD"/>
    <n v="30"/>
    <s v="N"/>
    <s v="Y"/>
    <n v="365400"/>
    <n v="60800"/>
    <n v="304600"/>
    <n v="0"/>
    <n v="345086.83508876001"/>
    <n v="366102.27177359926"/>
    <n v="-21015.435530999999"/>
    <n v="132535.48800000001"/>
    <n v="88356.992000000013"/>
    <n v="-24051.387388882686"/>
    <n v="37154.252388000001"/>
    <n v="47371.278778200001"/>
    <n v="-326.22329999999999"/>
    <n v="77388.871200000009"/>
    <n v="0"/>
    <n v="0"/>
    <n v="-9412.7029999999995"/>
    <n v="0"/>
    <n v="17085.699004000002"/>
    <n v="0"/>
    <n v="345086.83215031732"/>
    <n v="0"/>
    <n v="280800"/>
    <n v="64300"/>
    <n v="345100"/>
    <n v="1.0141698058533759"/>
    <n v="-5.5555555555555552E-2"/>
    <n v="0.99970000000000003"/>
    <n v="0.99819999999999998"/>
    <n v="1.0012000000000001"/>
    <n v="0.99519999999999997"/>
    <n v="0.99080000000000001"/>
    <n v="0.94971499999999998"/>
    <n v="0.93589703010114389"/>
    <n v="293300"/>
    <n v="0"/>
    <n v="293300"/>
    <n v="61100"/>
    <n v="354400"/>
    <n v="-3.7097833223900194E-2"/>
    <n v="4.9342105263157892E-3"/>
    <n v="-3.0103995621237001E-2"/>
    <n v="0.95255454289836849"/>
  </r>
  <r>
    <n v="2025"/>
    <n v="19120114484"/>
    <n v="-1.8325814637483102"/>
    <n v="0.16"/>
    <n v="7002"/>
    <n v="2"/>
    <s v="RES"/>
    <n v="317"/>
    <s v="MX"/>
    <s v="R2"/>
    <n v="11"/>
    <n v="259"/>
    <s v="CO"/>
    <s v="A+"/>
    <s v="EX"/>
    <n v="2021"/>
    <n v="2021"/>
    <x v="0"/>
    <n v="3"/>
    <n v="3"/>
    <n v="1"/>
    <n v="1619"/>
    <n v="0"/>
    <n v="0"/>
    <n v="0"/>
    <n v="0"/>
    <n v="0"/>
    <n v="1619"/>
    <x v="0"/>
    <n v="2"/>
    <s v="N"/>
    <s v="HP"/>
    <s v="G"/>
    <m/>
    <n v="0"/>
    <n v="0"/>
    <n v="0"/>
    <n v="1"/>
    <n v="0"/>
    <n v="9"/>
    <n v="400"/>
    <n v="0"/>
    <n v="0"/>
    <n v="0"/>
    <n v="100"/>
    <n v="0"/>
    <n v="100"/>
    <n v="100"/>
    <n v="281335"/>
    <n v="278522"/>
    <n v="734"/>
    <n v="365"/>
    <n v="365"/>
    <n v="4"/>
    <d v="2021-12-28T00:00:00"/>
    <s v="E034980"/>
    <n v="387383"/>
    <n v="387383"/>
    <s v="SWD"/>
    <n v="30"/>
    <s v="N"/>
    <s v="Y"/>
    <n v="382700"/>
    <n v="60800"/>
    <n v="321900"/>
    <n v="0"/>
    <n v="364724.19780343992"/>
    <n v="386790.51922905678"/>
    <n v="-22066.320230999998"/>
    <n v="132535.48800000001"/>
    <n v="88356.992000000013"/>
    <n v="-24051.387388882686"/>
    <n v="37154.252388000001"/>
    <n v="47371.278778200001"/>
    <n v="-326.22329999999999"/>
    <n v="101042.40522"/>
    <n v="0"/>
    <n v="0"/>
    <n v="-9412.7029999999995"/>
    <n v="0"/>
    <n v="14120.412400000001"/>
    <n v="0"/>
    <n v="364724.19486631732"/>
    <n v="0"/>
    <n v="300400"/>
    <n v="64300"/>
    <n v="364700"/>
    <n v="1.0621963257471894"/>
    <n v="-4.7034230467729289E-2"/>
    <n v="0.99970000000000003"/>
    <n v="0.99819999999999998"/>
    <n v="1.0012000000000001"/>
    <n v="1.0007999999999999"/>
    <n v="0.99080000000000001"/>
    <n v="0.94971499999999998"/>
    <n v="0.94116333171746858"/>
    <n v="314700"/>
    <n v="0"/>
    <n v="314700"/>
    <n v="61100"/>
    <n v="375800"/>
    <n v="-2.2367194780987885E-2"/>
    <n v="4.9342105263157892E-3"/>
    <n v="-1.8029788345962895E-2"/>
    <n v="0.91313681748811892"/>
  </r>
  <r>
    <n v="2025"/>
    <n v="19120114485"/>
    <n v="-1.8325814637483102"/>
    <n v="0.16"/>
    <n v="7002"/>
    <n v="2"/>
    <s v="RES"/>
    <n v="317"/>
    <s v="MX"/>
    <s v="R2"/>
    <n v="11"/>
    <n v="259"/>
    <s v="CO"/>
    <s v="A+"/>
    <s v="EX"/>
    <n v="2021"/>
    <n v="2021"/>
    <x v="0"/>
    <n v="3"/>
    <n v="3"/>
    <n v="1"/>
    <n v="1619"/>
    <n v="0"/>
    <n v="0"/>
    <n v="0"/>
    <n v="0"/>
    <n v="0"/>
    <n v="1619"/>
    <x v="0"/>
    <n v="2"/>
    <s v="N"/>
    <s v="HP"/>
    <s v="G"/>
    <m/>
    <n v="0"/>
    <n v="0"/>
    <n v="0"/>
    <n v="1"/>
    <n v="0"/>
    <n v="9"/>
    <n v="480"/>
    <n v="0"/>
    <n v="0"/>
    <n v="0"/>
    <n v="0"/>
    <n v="0"/>
    <n v="100"/>
    <n v="100"/>
    <n v="290160"/>
    <n v="287258"/>
    <n v="724"/>
    <n v="365"/>
    <n v="359"/>
    <n v="0"/>
    <d v="2022-01-07T00:00:00"/>
    <s v="E034912"/>
    <n v="412379"/>
    <n v="412379"/>
    <s v="SWD"/>
    <n v="30"/>
    <s v="N"/>
    <s v="Y"/>
    <n v="397200"/>
    <n v="60800"/>
    <n v="336400"/>
    <n v="0"/>
    <n v="368868.93920814671"/>
    <n v="389614.60168013599"/>
    <n v="-20745.661330999999"/>
    <n v="132535.48800000001"/>
    <n v="88356.992000000013"/>
    <n v="-24051.387388882686"/>
    <n v="37154.252388000001"/>
    <n v="47371.278778200001"/>
    <n v="-326.22329999999999"/>
    <n v="101042.40522"/>
    <n v="0"/>
    <n v="0"/>
    <n v="-9412.7029999999995"/>
    <n v="0"/>
    <n v="16944.494880000002"/>
    <n v="0"/>
    <n v="368868.93624631735"/>
    <n v="0"/>
    <n v="304600"/>
    <n v="64300"/>
    <n v="368900"/>
    <n v="1.1178612089997289"/>
    <n v="-7.1248741188318226E-2"/>
    <n v="0.99970000000000003"/>
    <n v="0.99819999999999998"/>
    <n v="1.0012000000000001"/>
    <n v="1.0007999999999999"/>
    <n v="0.99080000000000001"/>
    <n v="0.94971499999999998"/>
    <n v="0.94116333171746858"/>
    <n v="317500"/>
    <n v="0"/>
    <n v="317500"/>
    <n v="61100"/>
    <n v="378600"/>
    <n v="-5.6183115338882282E-2"/>
    <n v="4.9342105263157892E-3"/>
    <n v="-4.6827794561933533E-2"/>
    <n v="0.86778021836465979"/>
  </r>
  <r>
    <n v="2025"/>
    <n v="19120114486"/>
    <n v="-1.8325814637483102"/>
    <n v="0.16"/>
    <n v="7004"/>
    <n v="2"/>
    <s v="RES"/>
    <n v="317"/>
    <s v="MX"/>
    <s v="R2"/>
    <n v="11"/>
    <n v="259"/>
    <s v="CO"/>
    <s v="A+"/>
    <s v="EX"/>
    <n v="2021"/>
    <n v="2021"/>
    <x v="0"/>
    <n v="3"/>
    <n v="3"/>
    <n v="1"/>
    <n v="1452"/>
    <n v="0"/>
    <n v="0"/>
    <n v="0"/>
    <n v="0"/>
    <n v="0"/>
    <n v="1452"/>
    <x v="3"/>
    <n v="2"/>
    <s v="N"/>
    <s v="HP"/>
    <s v="G"/>
    <m/>
    <n v="0"/>
    <n v="0"/>
    <n v="0"/>
    <n v="1"/>
    <n v="0"/>
    <n v="9"/>
    <n v="400"/>
    <n v="0"/>
    <n v="0"/>
    <n v="0"/>
    <n v="288"/>
    <n v="0"/>
    <n v="100"/>
    <n v="100"/>
    <n v="259600"/>
    <n v="257004"/>
    <n v="689"/>
    <n v="365"/>
    <n v="324"/>
    <n v="0"/>
    <d v="2022-02-11T00:00:00"/>
    <s v="E035238"/>
    <n v="373074"/>
    <n v="373074"/>
    <s v="SWD"/>
    <n v="30"/>
    <s v="N"/>
    <s v="Y"/>
    <n v="372400"/>
    <n v="60800"/>
    <n v="311600"/>
    <n v="0"/>
    <n v="357982.84765549918"/>
    <n v="376367.9857650511"/>
    <n v="-18385.137081000001"/>
    <n v="132535.48800000001"/>
    <n v="88356.992000000013"/>
    <n v="-24051.387388882686"/>
    <n v="37154.252388000001"/>
    <n v="47371.278778200001"/>
    <n v="-326.22329999999999"/>
    <n v="90619.871760000009"/>
    <n v="0"/>
    <n v="0"/>
    <n v="-9412.7029999999995"/>
    <n v="0"/>
    <n v="14120.412400000001"/>
    <n v="0"/>
    <n v="357982.84455631732"/>
    <n v="0"/>
    <n v="293700"/>
    <n v="64300"/>
    <n v="358000"/>
    <n v="1.0421061452513967"/>
    <n v="-3.8668098818474758E-2"/>
    <n v="0.99970000000000003"/>
    <n v="0.99819999999999998"/>
    <n v="1.0012000000000001"/>
    <n v="0.99519999999999997"/>
    <n v="0.99080000000000001"/>
    <n v="0.94971499999999998"/>
    <n v="0.93589703010114389"/>
    <n v="303600"/>
    <n v="0"/>
    <n v="303600"/>
    <n v="61100"/>
    <n v="364700"/>
    <n v="-2.5673940949935817E-2"/>
    <n v="4.9342105263157892E-3"/>
    <n v="-2.0676691729323307E-2"/>
    <n v="0.9282739159496507"/>
  </r>
  <r>
    <n v="2025"/>
    <n v="19120114491"/>
    <n v="-1.8325814637483102"/>
    <n v="0.16"/>
    <n v="7001"/>
    <n v="2"/>
    <s v="RES"/>
    <n v="317"/>
    <s v="MX"/>
    <s v="R2"/>
    <n v="11"/>
    <n v="259"/>
    <s v="CO"/>
    <s v="G"/>
    <s v="EX"/>
    <n v="2021"/>
    <n v="2021"/>
    <x v="0"/>
    <n v="3"/>
    <n v="3"/>
    <n v="2"/>
    <n v="1316"/>
    <n v="1686"/>
    <n v="0"/>
    <n v="0"/>
    <n v="0"/>
    <n v="0"/>
    <n v="3002"/>
    <x v="2"/>
    <n v="2"/>
    <s v="N"/>
    <s v="HP"/>
    <s v="G"/>
    <m/>
    <n v="0"/>
    <n v="0"/>
    <n v="0"/>
    <n v="0"/>
    <n v="0"/>
    <n v="14"/>
    <n v="0"/>
    <n v="540"/>
    <n v="0"/>
    <n v="0"/>
    <n v="0"/>
    <n v="0"/>
    <n v="100"/>
    <n v="100"/>
    <n v="512326"/>
    <n v="507203"/>
    <n v="599"/>
    <n v="365"/>
    <n v="234"/>
    <n v="0"/>
    <d v="2022-05-12T00:00:00"/>
    <s v="E036824"/>
    <n v="485051"/>
    <n v="485051"/>
    <s v="SWD"/>
    <n v="30"/>
    <s v="N"/>
    <s v="Y"/>
    <n v="480100"/>
    <n v="60800"/>
    <n v="419300"/>
    <n v="0"/>
    <n v="464334.93741655187"/>
    <n v="476650.1557369791"/>
    <n v="-12315.217580999999"/>
    <n v="132535.48800000001"/>
    <n v="88356.992000000013"/>
    <n v="-24051.387388882686"/>
    <n v="32917.849192000001"/>
    <n v="47371.278778200001"/>
    <n v="-326.22329999999999"/>
    <n v="82132.06008000001"/>
    <n v="100452.525738"/>
    <n v="0"/>
    <n v="-9412.7029999999995"/>
    <n v="0"/>
    <n v="0"/>
    <n v="26674.272000000001"/>
    <n v="464334.93451831734"/>
    <n v="0"/>
    <n v="400000"/>
    <n v="64300"/>
    <n v="464300"/>
    <n v="1.0446930863665733"/>
    <n v="-3.2909810456154966E-2"/>
    <n v="0.99970000000000003"/>
    <n v="1.0019"/>
    <n v="1.0012000000000001"/>
    <n v="0.98509999999999998"/>
    <n v="0.99080000000000001"/>
    <n v="0.94971499999999998"/>
    <n v="0.92983273576612613"/>
    <n v="403000"/>
    <n v="0"/>
    <n v="403000"/>
    <n v="61100"/>
    <n v="464100"/>
    <n v="-3.8874314333412832E-2"/>
    <n v="4.9342105263157892E-3"/>
    <n v="-3.3326390335346803E-2"/>
    <n v="0.93141707247072991"/>
  </r>
  <r>
    <n v="2025"/>
    <n v="19120114492"/>
    <n v="-1.8325814637483102"/>
    <n v="0.16"/>
    <n v="7001"/>
    <n v="2"/>
    <s v="RES"/>
    <n v="317"/>
    <s v="MX"/>
    <s v="R2"/>
    <n v="11"/>
    <n v="259"/>
    <s v="CO"/>
    <s v="A+"/>
    <s v="EX"/>
    <n v="2021"/>
    <n v="2021"/>
    <x v="0"/>
    <n v="3"/>
    <n v="3"/>
    <n v="1"/>
    <n v="1452"/>
    <n v="0"/>
    <n v="0"/>
    <n v="0"/>
    <n v="0"/>
    <n v="0"/>
    <n v="1452"/>
    <x v="3"/>
    <n v="2"/>
    <s v="N"/>
    <s v="HP"/>
    <s v="G"/>
    <m/>
    <n v="0"/>
    <n v="0"/>
    <n v="0"/>
    <n v="0"/>
    <n v="0"/>
    <n v="9"/>
    <n v="400"/>
    <n v="0"/>
    <n v="0"/>
    <n v="0"/>
    <n v="100"/>
    <n v="0"/>
    <n v="100"/>
    <n v="100"/>
    <n v="257722"/>
    <n v="255145"/>
    <n v="556"/>
    <n v="365"/>
    <n v="191"/>
    <n v="0"/>
    <d v="2022-06-24T00:00:00"/>
    <s v="E037068"/>
    <n v="358870"/>
    <n v="358870"/>
    <s v="SWD"/>
    <n v="30"/>
    <s v="N"/>
    <s v="Y"/>
    <n v="372400"/>
    <n v="60800"/>
    <n v="311600"/>
    <n v="0"/>
    <n v="366952.84023276123"/>
    <n v="376367.9857650511"/>
    <n v="-9415.1449309999989"/>
    <n v="132535.48800000001"/>
    <n v="88356.992000000013"/>
    <n v="-24051.387388882686"/>
    <n v="37154.252388000001"/>
    <n v="47371.278778200001"/>
    <n v="-326.22329999999999"/>
    <n v="90619.871760000009"/>
    <n v="0"/>
    <n v="0"/>
    <n v="-9412.7029999999995"/>
    <n v="0"/>
    <n v="14120.412400000001"/>
    <n v="0"/>
    <n v="366952.83670631738"/>
    <n v="0"/>
    <n v="302600"/>
    <n v="64300"/>
    <n v="366900"/>
    <n v="0.97811392750068138"/>
    <n v="-1.4769065520945221E-2"/>
    <n v="0.99970000000000003"/>
    <n v="0.99819999999999998"/>
    <n v="1.0012000000000001"/>
    <n v="0.99519999999999997"/>
    <n v="0.99080000000000001"/>
    <n v="0.94971499999999998"/>
    <n v="0.93589703010114389"/>
    <n v="303600"/>
    <n v="0"/>
    <n v="303600"/>
    <n v="61100"/>
    <n v="364700"/>
    <n v="-2.5673940949935817E-2"/>
    <n v="4.9342105263157892E-3"/>
    <n v="-2.0676691729323307E-2"/>
    <n v="0.99000990628639896"/>
  </r>
  <r>
    <n v="2025"/>
    <n v="19120114493"/>
    <n v="-1.8325814637483102"/>
    <n v="0.16"/>
    <n v="7001"/>
    <n v="2"/>
    <s v="RES"/>
    <n v="317"/>
    <s v="MX"/>
    <s v="R2"/>
    <n v="11"/>
    <n v="259"/>
    <s v="CO"/>
    <s v="A+"/>
    <s v="EX"/>
    <n v="2021"/>
    <n v="2021"/>
    <x v="0"/>
    <n v="3"/>
    <n v="3"/>
    <n v="1"/>
    <n v="1592"/>
    <n v="0"/>
    <n v="0"/>
    <n v="0"/>
    <n v="0"/>
    <n v="0"/>
    <n v="1592"/>
    <x v="0"/>
    <n v="2"/>
    <s v="N"/>
    <s v="HP"/>
    <s v="G"/>
    <m/>
    <n v="0"/>
    <n v="0"/>
    <n v="1"/>
    <n v="0"/>
    <n v="0"/>
    <n v="9"/>
    <n v="400"/>
    <n v="0"/>
    <n v="0"/>
    <n v="0"/>
    <n v="100"/>
    <n v="0"/>
    <n v="100"/>
    <n v="100"/>
    <n v="280975"/>
    <n v="278165"/>
    <n v="543"/>
    <n v="365"/>
    <n v="178"/>
    <n v="0"/>
    <d v="2022-07-07T00:00:00"/>
    <s v="E037377"/>
    <n v="388824"/>
    <n v="388824"/>
    <s v="SWD"/>
    <n v="30"/>
    <s v="N"/>
    <s v="Y"/>
    <n v="381300"/>
    <n v="60800"/>
    <n v="320500"/>
    <n v="0"/>
    <n v="386374.16414825676"/>
    <n v="394912.54348878417"/>
    <n v="-8538.3787809999994"/>
    <n v="132535.48800000001"/>
    <n v="88356.992000000013"/>
    <n v="-24051.387388882686"/>
    <n v="37154.252388000001"/>
    <n v="47371.278778200001"/>
    <n v="-326.22329999999999"/>
    <n v="99357.324960000013"/>
    <n v="0"/>
    <n v="0"/>
    <n v="-9412.7029999999995"/>
    <n v="9807.1044999999995"/>
    <n v="14120.412400000001"/>
    <n v="0"/>
    <n v="386374.16055631731"/>
    <n v="0"/>
    <n v="322100"/>
    <n v="64300"/>
    <n v="386400"/>
    <n v="1.0062732919254658"/>
    <n v="1.3375295043273014E-2"/>
    <n v="0.99970000000000003"/>
    <n v="0.99819999999999998"/>
    <n v="1.0012000000000001"/>
    <n v="1.0007999999999999"/>
    <n v="0.99080000000000001"/>
    <n v="0.94971499999999998"/>
    <n v="0.94116333171746858"/>
    <n v="322800"/>
    <n v="0"/>
    <n v="322800"/>
    <n v="61100"/>
    <n v="383900"/>
    <n v="7.176287051482059E-3"/>
    <n v="4.9342105263157892E-3"/>
    <n v="6.8187778651980068E-3"/>
    <n v="0.96537667741446009"/>
  </r>
  <r>
    <n v="2025"/>
    <n v="19120114495"/>
    <n v="-1.8325814637483102"/>
    <n v="0.16"/>
    <n v="7001"/>
    <n v="2"/>
    <s v="RES"/>
    <n v="317"/>
    <s v="MX"/>
    <s v="R2"/>
    <n v="11"/>
    <n v="259"/>
    <s v="CO"/>
    <s v="G"/>
    <s v="EX"/>
    <n v="2021"/>
    <n v="2021"/>
    <x v="0"/>
    <n v="3"/>
    <n v="3"/>
    <n v="1"/>
    <n v="1830"/>
    <n v="0"/>
    <n v="0"/>
    <n v="0"/>
    <n v="0"/>
    <n v="0"/>
    <n v="1830"/>
    <x v="0"/>
    <n v="2"/>
    <s v="S"/>
    <s v="HP"/>
    <s v="G"/>
    <m/>
    <n v="0"/>
    <n v="0"/>
    <n v="0"/>
    <n v="0"/>
    <n v="0"/>
    <n v="9"/>
    <n v="500"/>
    <n v="0"/>
    <n v="0"/>
    <n v="0"/>
    <n v="0"/>
    <n v="0"/>
    <n v="100"/>
    <n v="100"/>
    <n v="361420"/>
    <n v="357806"/>
    <n v="543"/>
    <n v="365"/>
    <n v="178"/>
    <n v="0"/>
    <d v="2022-07-07T00:00:00"/>
    <s v="E037265"/>
    <n v="426161"/>
    <n v="426161"/>
    <s v="SWD"/>
    <n v="30"/>
    <s v="N"/>
    <s v="Y"/>
    <n v="405900"/>
    <n v="60800"/>
    <n v="345100"/>
    <n v="0"/>
    <n v="404240.01101128693"/>
    <n v="412778.39035181439"/>
    <n v="-8538.3787809999994"/>
    <n v="132535.48800000001"/>
    <n v="88356.992000000013"/>
    <n v="-24051.387388882686"/>
    <n v="32917.849192000001"/>
    <n v="47371.278778200001"/>
    <n v="-326.22329999999999"/>
    <n v="114210.9954"/>
    <n v="0"/>
    <n v="0"/>
    <n v="4112.8784489"/>
    <n v="0"/>
    <n v="17650.515500000001"/>
    <n v="0"/>
    <n v="404240.00784921728"/>
    <n v="0"/>
    <n v="339900"/>
    <n v="64300"/>
    <n v="404200"/>
    <n v="1.0543320138545276"/>
    <n v="-4.1882237004188224E-3"/>
    <n v="0.99970000000000003"/>
    <n v="1.0019"/>
    <n v="1.0012000000000001"/>
    <n v="1.0007999999999999"/>
    <n v="0.99080000000000001"/>
    <n v="0.94971499999999998"/>
    <n v="0.94465191549562377"/>
    <n v="341100"/>
    <n v="0"/>
    <n v="341100"/>
    <n v="61100"/>
    <n v="402200"/>
    <n v="-1.1590843233845263E-2"/>
    <n v="4.9342105263157892E-3"/>
    <n v="-9.1155457009115554E-3"/>
    <n v="0.92373920001830301"/>
  </r>
  <r>
    <n v="2025"/>
    <n v="19120114496"/>
    <n v="-1.8325814637483102"/>
    <n v="0.16"/>
    <n v="7001"/>
    <n v="2"/>
    <s v="RES"/>
    <n v="317"/>
    <s v="MX"/>
    <s v="R2"/>
    <n v="11"/>
    <n v="259"/>
    <s v="CO"/>
    <s v="A+"/>
    <s v="EX"/>
    <n v="2021"/>
    <n v="2021"/>
    <x v="0"/>
    <n v="3"/>
    <n v="3"/>
    <n v="1"/>
    <n v="1580"/>
    <n v="0"/>
    <n v="0"/>
    <n v="0"/>
    <n v="0"/>
    <n v="0"/>
    <n v="1580"/>
    <x v="0"/>
    <n v="2"/>
    <s v="N"/>
    <s v="HP"/>
    <s v="G"/>
    <m/>
    <n v="0"/>
    <n v="0"/>
    <n v="0"/>
    <n v="0"/>
    <n v="0"/>
    <n v="9"/>
    <n v="400"/>
    <n v="0"/>
    <n v="0"/>
    <n v="0"/>
    <n v="0"/>
    <n v="0"/>
    <n v="100"/>
    <n v="100"/>
    <n v="283131"/>
    <n v="280300"/>
    <n v="553"/>
    <n v="365"/>
    <n v="188"/>
    <n v="0"/>
    <d v="2022-06-27T00:00:00"/>
    <s v="E037069"/>
    <n v="375400"/>
    <n v="375400"/>
    <s v="SWD"/>
    <n v="30"/>
    <s v="N"/>
    <s v="Y"/>
    <n v="393700"/>
    <n v="60800"/>
    <n v="332900"/>
    <n v="0"/>
    <n v="375143.69953546894"/>
    <n v="384356.51440812129"/>
    <n v="-9212.814280999999"/>
    <n v="132535.48800000001"/>
    <n v="88356.992000000013"/>
    <n v="-24051.387388882686"/>
    <n v="37154.252388000001"/>
    <n v="47371.278778200001"/>
    <n v="-326.22329999999999"/>
    <n v="98608.400399999999"/>
    <n v="0"/>
    <n v="0"/>
    <n v="-9412.7029999999995"/>
    <n v="0"/>
    <n v="14120.412400000001"/>
    <n v="0"/>
    <n v="375143.69599631731"/>
    <n v="0"/>
    <n v="310800"/>
    <n v="64300"/>
    <n v="375100"/>
    <n v="1.0007997867235403"/>
    <n v="-4.7244094488188976E-2"/>
    <n v="0.99970000000000003"/>
    <n v="0.99819999999999998"/>
    <n v="1.0012000000000001"/>
    <n v="1.0007999999999999"/>
    <n v="0.99080000000000001"/>
    <n v="0.94971499999999998"/>
    <n v="0.94116333171746858"/>
    <n v="312300"/>
    <n v="0"/>
    <n v="312300"/>
    <n v="61100"/>
    <n v="373400"/>
    <n v="-6.1880444577951339E-2"/>
    <n v="4.9342105263157892E-3"/>
    <n v="-5.1562103124206247E-2"/>
    <n v="0.97013102216036229"/>
  </r>
  <r>
    <n v="2025"/>
    <n v="19133514411"/>
    <n v="-1.8325814637483102"/>
    <n v="0.16"/>
    <n v="7064"/>
    <n v="2"/>
    <s v="RES"/>
    <n v="317"/>
    <s v="MX"/>
    <s v="R1"/>
    <n v="11"/>
    <n v="259"/>
    <s v="CO"/>
    <s v="G"/>
    <s v="EX"/>
    <n v="2021"/>
    <n v="2021"/>
    <x v="0"/>
    <n v="3"/>
    <n v="3"/>
    <n v="1"/>
    <n v="1740"/>
    <n v="0"/>
    <n v="0"/>
    <n v="0"/>
    <n v="0"/>
    <n v="0"/>
    <n v="1740"/>
    <x v="0"/>
    <n v="2"/>
    <s v="N"/>
    <s v="HP"/>
    <s v="E"/>
    <m/>
    <n v="0"/>
    <n v="0"/>
    <n v="0"/>
    <n v="1"/>
    <n v="0"/>
    <n v="10"/>
    <n v="450"/>
    <n v="0"/>
    <n v="0"/>
    <n v="0"/>
    <n v="144"/>
    <n v="0"/>
    <n v="100"/>
    <n v="100"/>
    <n v="339934"/>
    <n v="336535"/>
    <n v="888"/>
    <n v="365"/>
    <n v="365"/>
    <n v="158"/>
    <d v="2021-07-27T00:00:00"/>
    <s v="E032554"/>
    <n v="312230"/>
    <n v="312230"/>
    <s v="SWD"/>
    <n v="30"/>
    <s v="N"/>
    <s v="Y"/>
    <n v="384300"/>
    <n v="60800"/>
    <n v="323500"/>
    <n v="0"/>
    <n v="334538.59319958108"/>
    <n v="391870.8235477719"/>
    <n v="-57332.227830999997"/>
    <n v="132535.48800000001"/>
    <n v="88356.992000000013"/>
    <n v="-24051.387388882686"/>
    <n v="32917.849192000001"/>
    <n v="47371.278778200001"/>
    <n v="-326.22329999999999"/>
    <n v="108594.06120000001"/>
    <n v="0"/>
    <n v="0"/>
    <n v="-9412.7029999999995"/>
    <n v="0"/>
    <n v="15885.463950000001"/>
    <n v="0"/>
    <n v="334538.59160031739"/>
    <n v="0"/>
    <n v="270200"/>
    <n v="64300"/>
    <n v="334500"/>
    <n v="0.93342301943198802"/>
    <n v="-0.12958626073380172"/>
    <n v="0.99970000000000003"/>
    <n v="1.0019"/>
    <n v="1.0012000000000001"/>
    <n v="1.0007999999999999"/>
    <n v="0.99080000000000001"/>
    <n v="0.94971499999999998"/>
    <n v="0.94465191549562377"/>
    <n v="320200"/>
    <n v="0"/>
    <n v="320200"/>
    <n v="61100"/>
    <n v="381300"/>
    <n v="-1.0200927357032458E-2"/>
    <n v="4.9342105263157892E-3"/>
    <n v="-7.8064012490241998E-3"/>
    <n v="1.0375933515965794"/>
  </r>
  <r>
    <n v="2025"/>
    <n v="19133514412"/>
    <n v="-1.8325814637483102"/>
    <n v="0.16"/>
    <n v="7046"/>
    <n v="2"/>
    <s v="RES"/>
    <n v="317"/>
    <s v="MX"/>
    <s v="R1"/>
    <n v="11"/>
    <n v="259"/>
    <s v="CO"/>
    <s v="G"/>
    <s v="EX"/>
    <n v="2021"/>
    <n v="2021"/>
    <x v="0"/>
    <n v="3"/>
    <n v="3"/>
    <n v="1"/>
    <n v="2010"/>
    <n v="0"/>
    <n v="0"/>
    <n v="0"/>
    <n v="0"/>
    <n v="0"/>
    <n v="2010"/>
    <x v="1"/>
    <n v="2"/>
    <s v="N"/>
    <s v="HP"/>
    <s v="E"/>
    <m/>
    <n v="0"/>
    <n v="0"/>
    <n v="0"/>
    <n v="0"/>
    <n v="0"/>
    <n v="11"/>
    <n v="424"/>
    <n v="0"/>
    <n v="0"/>
    <n v="0"/>
    <n v="144"/>
    <n v="0"/>
    <n v="100"/>
    <n v="100"/>
    <n v="383336"/>
    <n v="379503"/>
    <n v="901"/>
    <n v="365"/>
    <n v="365"/>
    <n v="171"/>
    <d v="2021-07-14T00:00:00"/>
    <s v="E032475"/>
    <n v="335140"/>
    <n v="335140"/>
    <s v="SWD"/>
    <n v="30"/>
    <s v="N"/>
    <s v="Y"/>
    <n v="398200"/>
    <n v="60800"/>
    <n v="337400"/>
    <n v="0"/>
    <n v="347494.57669781061"/>
    <n v="407803.79935764731"/>
    <n v="-60309.220031000004"/>
    <n v="132535.48800000001"/>
    <n v="88356.992000000013"/>
    <n v="-24051.387388882686"/>
    <n v="32917.849192000001"/>
    <n v="47371.278778200001"/>
    <n v="-326.22329999999999"/>
    <n v="125444.86380000001"/>
    <n v="0"/>
    <n v="0"/>
    <n v="-9412.7029999999995"/>
    <n v="0"/>
    <n v="14967.637144"/>
    <n v="0"/>
    <n v="347494.57519431732"/>
    <n v="0"/>
    <n v="283200"/>
    <n v="64300"/>
    <n v="347500"/>
    <n v="0.96443165467625902"/>
    <n v="-0.12732295328980411"/>
    <n v="0.99970000000000003"/>
    <n v="1.0019"/>
    <n v="1.0012000000000001"/>
    <n v="1.0008999999999999"/>
    <n v="0.99080000000000001"/>
    <n v="0.94971499999999998"/>
    <n v="0.94474630517542935"/>
    <n v="336200"/>
    <n v="0"/>
    <n v="336200"/>
    <n v="61100"/>
    <n v="397300"/>
    <n v="-3.5566093657379964E-3"/>
    <n v="4.9342105263157892E-3"/>
    <n v="-2.2601707684580612E-3"/>
    <n v="1.0055224084531837"/>
  </r>
  <r>
    <n v="2025"/>
    <n v="19133514413"/>
    <n v="-1.8325814637483102"/>
    <n v="0.16"/>
    <n v="7047"/>
    <n v="2"/>
    <s v="RES"/>
    <n v="317"/>
    <s v="MX"/>
    <s v="R1"/>
    <n v="11"/>
    <n v="259"/>
    <s v="CO"/>
    <s v="G"/>
    <s v="EX"/>
    <n v="2021"/>
    <n v="2021"/>
    <x v="0"/>
    <n v="3"/>
    <n v="3"/>
    <n v="1"/>
    <n v="1550"/>
    <n v="0"/>
    <n v="0"/>
    <n v="0"/>
    <n v="0"/>
    <n v="0"/>
    <n v="1550"/>
    <x v="0"/>
    <n v="2"/>
    <s v="N"/>
    <s v="HP"/>
    <s v="E"/>
    <m/>
    <n v="0"/>
    <n v="0"/>
    <n v="0"/>
    <n v="1"/>
    <n v="0"/>
    <n v="10"/>
    <n v="420"/>
    <n v="0"/>
    <n v="0"/>
    <n v="0"/>
    <n v="144"/>
    <n v="0"/>
    <n v="100"/>
    <n v="100"/>
    <n v="310143"/>
    <n v="307042"/>
    <n v="889"/>
    <n v="365"/>
    <n v="365"/>
    <n v="159"/>
    <d v="2021-07-26T00:00:00"/>
    <s v="E032603"/>
    <n v="309140"/>
    <n v="309140"/>
    <s v="SWD"/>
    <n v="30"/>
    <s v="N"/>
    <s v="Y"/>
    <n v="378600"/>
    <n v="60800"/>
    <n v="317800"/>
    <n v="0"/>
    <n v="321392.59066728089"/>
    <n v="378953.82042405987"/>
    <n v="-57561.227230999997"/>
    <n v="132535.48800000001"/>
    <n v="88356.992000000013"/>
    <n v="-24051.387388882686"/>
    <n v="32917.849192000001"/>
    <n v="47371.278778200001"/>
    <n v="-326.22329999999999"/>
    <n v="96736.089000000007"/>
    <n v="0"/>
    <n v="0"/>
    <n v="-9412.7029999999995"/>
    <n v="0"/>
    <n v="14826.43302"/>
    <n v="0"/>
    <n v="321392.58907031734"/>
    <n v="0"/>
    <n v="257100"/>
    <n v="64300"/>
    <n v="321400"/>
    <n v="0.96185438705662729"/>
    <n v="-0.15108293713681986"/>
    <n v="0.99970000000000003"/>
    <n v="1.0019"/>
    <n v="1.0012000000000001"/>
    <n v="1.0007999999999999"/>
    <n v="0.99080000000000001"/>
    <n v="0.94971499999999998"/>
    <n v="0.94465191549562377"/>
    <n v="307300"/>
    <n v="0"/>
    <n v="307300"/>
    <n v="61100"/>
    <n v="368400"/>
    <n v="-3.3039647577092511E-2"/>
    <n v="4.9342105263157892E-3"/>
    <n v="-2.694136291600634E-2"/>
    <n v="1.0054951567865693"/>
  </r>
  <r>
    <n v="2025"/>
    <n v="19133514414"/>
    <n v="-1.8325814637483102"/>
    <n v="0.16"/>
    <n v="7050"/>
    <n v="2"/>
    <s v="RES"/>
    <n v="317"/>
    <s v="MX"/>
    <s v="R1"/>
    <n v="11"/>
    <n v="259"/>
    <s v="CO"/>
    <s v="A+"/>
    <s v="EX"/>
    <n v="2021"/>
    <n v="2021"/>
    <x v="0"/>
    <n v="3"/>
    <n v="3"/>
    <n v="1"/>
    <n v="1403"/>
    <n v="0"/>
    <n v="0"/>
    <n v="0"/>
    <n v="0"/>
    <n v="0"/>
    <n v="1403"/>
    <x v="3"/>
    <n v="0"/>
    <s v="N"/>
    <s v="HP"/>
    <s v="G"/>
    <m/>
    <n v="0"/>
    <n v="0"/>
    <n v="0"/>
    <n v="0"/>
    <n v="0"/>
    <n v="10"/>
    <n v="400"/>
    <n v="0"/>
    <n v="0"/>
    <n v="0"/>
    <n v="165"/>
    <n v="45"/>
    <n v="100"/>
    <n v="100"/>
    <n v="253921"/>
    <n v="251382"/>
    <n v="726"/>
    <n v="365"/>
    <n v="361"/>
    <n v="0"/>
    <d v="2022-01-05T00:00:00"/>
    <s v="E034935"/>
    <n v="342300"/>
    <n v="342300"/>
    <s v="SWD"/>
    <n v="30"/>
    <s v="N"/>
    <s v="Y"/>
    <n v="368200"/>
    <n v="60800"/>
    <n v="307400"/>
    <n v="0"/>
    <n v="352429.32756546157"/>
    <n v="373309.87714387581"/>
    <n v="-20880.548430999999"/>
    <n v="132535.48800000001"/>
    <n v="88356.992000000013"/>
    <n v="-24051.387388882686"/>
    <n v="37154.252388000001"/>
    <n v="47371.278778200001"/>
    <n v="-326.22329999999999"/>
    <n v="87561.76314000001"/>
    <n v="0"/>
    <n v="0"/>
    <n v="-9412.7029999999995"/>
    <n v="0"/>
    <n v="14120.412400000001"/>
    <n v="0"/>
    <n v="352429.32458631729"/>
    <n v="0"/>
    <n v="288100"/>
    <n v="64300"/>
    <n v="352400"/>
    <n v="0.97133938706015888"/>
    <n v="-4.2911461162411735E-2"/>
    <n v="0.99970000000000003"/>
    <n v="0.99819999999999998"/>
    <n v="1.0012000000000001"/>
    <n v="0.99519999999999997"/>
    <n v="0.99080000000000001"/>
    <n v="0.94971499999999998"/>
    <n v="0.93589703010114389"/>
    <n v="300500"/>
    <n v="0"/>
    <n v="300500"/>
    <n v="61100"/>
    <n v="361600"/>
    <n v="-2.2446324007807418E-2"/>
    <n v="4.9342105263157892E-3"/>
    <n v="-1.7925040738728953E-2"/>
    <n v="0.99538256374233136"/>
  </r>
  <r>
    <n v="2025"/>
    <n v="19133514415"/>
    <n v="-1.7719568419318752"/>
    <n v="0.17"/>
    <n v="7377"/>
    <n v="2"/>
    <s v="RES"/>
    <n v="317"/>
    <s v="MX"/>
    <s v="R1"/>
    <n v="11"/>
    <n v="259"/>
    <s v="CO"/>
    <s v="G"/>
    <s v="EX"/>
    <n v="2021"/>
    <n v="2021"/>
    <x v="0"/>
    <n v="3"/>
    <n v="3"/>
    <n v="2"/>
    <n v="1289"/>
    <n v="1636"/>
    <n v="0"/>
    <n v="0"/>
    <n v="0"/>
    <n v="0"/>
    <n v="2925"/>
    <x v="4"/>
    <n v="2"/>
    <s v="N"/>
    <s v="HP"/>
    <s v="E"/>
    <m/>
    <n v="0"/>
    <n v="0"/>
    <n v="0"/>
    <n v="0"/>
    <n v="1"/>
    <n v="14"/>
    <n v="0"/>
    <n v="494"/>
    <n v="0"/>
    <n v="0"/>
    <n v="0"/>
    <n v="0"/>
    <n v="100"/>
    <n v="100"/>
    <n v="492604"/>
    <n v="487678"/>
    <n v="816"/>
    <n v="365"/>
    <n v="365"/>
    <n v="86"/>
    <d v="2021-10-07T00:00:00"/>
    <s v="E033582"/>
    <n v="402600"/>
    <n v="402600"/>
    <s v="SWD"/>
    <n v="30"/>
    <s v="N"/>
    <s v="Y"/>
    <n v="461300"/>
    <n v="61700"/>
    <n v="399600"/>
    <n v="0"/>
    <n v="429665.18761231058"/>
    <n v="470509.4605421552"/>
    <n v="-40844.271030999997"/>
    <n v="132535.48800000001"/>
    <n v="88356.992000000013"/>
    <n v="-23255.730391660189"/>
    <n v="32917.849192000001"/>
    <n v="47371.278778200001"/>
    <n v="-326.22329999999999"/>
    <n v="80446.979820000008"/>
    <n v="97473.506587999989"/>
    <n v="0"/>
    <n v="-9412.7029999999995"/>
    <n v="0"/>
    <n v="0"/>
    <n v="24402.019199999999"/>
    <n v="429665.18585553986"/>
    <n v="0"/>
    <n v="364600"/>
    <n v="65100"/>
    <n v="429700"/>
    <n v="0.93693274377472657"/>
    <n v="-6.8502059397355305E-2"/>
    <n v="0.99970000000000003"/>
    <n v="1.0019"/>
    <n v="1.0012000000000001"/>
    <n v="1.0099"/>
    <n v="0.99080000000000001"/>
    <n v="0.94971499999999998"/>
    <n v="0.95324137635794415"/>
    <n v="399200"/>
    <n v="0"/>
    <n v="399200"/>
    <n v="61800"/>
    <n v="461000"/>
    <n v="-1.001001001001001E-3"/>
    <n v="1.6207455429497568E-3"/>
    <n v="-6.5033600693691746E-4"/>
    <n v="1.0436058841753602"/>
  </r>
  <r>
    <n v="2025"/>
    <n v="19133514416"/>
    <n v="-1.8325814637483102"/>
    <n v="0.16"/>
    <n v="7037"/>
    <n v="2"/>
    <s v="RES"/>
    <n v="317"/>
    <s v="MX"/>
    <s v="R1"/>
    <n v="11"/>
    <n v="259"/>
    <s v="CO"/>
    <s v="G"/>
    <s v="EX"/>
    <n v="2021"/>
    <n v="2021"/>
    <x v="0"/>
    <n v="3"/>
    <n v="3"/>
    <n v="2"/>
    <n v="1073"/>
    <n v="1331"/>
    <n v="0"/>
    <n v="0"/>
    <n v="0"/>
    <n v="0"/>
    <n v="2404"/>
    <x v="1"/>
    <n v="2"/>
    <s v="N"/>
    <s v="HP"/>
    <s v="E"/>
    <m/>
    <n v="0"/>
    <n v="0"/>
    <n v="0"/>
    <n v="0"/>
    <n v="1"/>
    <n v="14"/>
    <n v="0"/>
    <n v="707"/>
    <n v="0"/>
    <n v="0"/>
    <n v="0"/>
    <n v="0"/>
    <n v="100"/>
    <n v="100"/>
    <n v="437985"/>
    <n v="433605"/>
    <n v="853"/>
    <n v="365"/>
    <n v="365"/>
    <n v="123"/>
    <d v="2021-08-31T00:00:00"/>
    <s v="E033096"/>
    <n v="365840"/>
    <n v="365840"/>
    <s v="SWD"/>
    <n v="30"/>
    <s v="N"/>
    <s v="Y"/>
    <n v="453300"/>
    <n v="60800"/>
    <n v="392500"/>
    <n v="0"/>
    <n v="399265.41203225526"/>
    <n v="448582.66307986109"/>
    <n v="-49317.248831000004"/>
    <n v="132535.48800000001"/>
    <n v="88356.992000000013"/>
    <n v="-24051.387388882686"/>
    <n v="32917.849192000001"/>
    <n v="47371.278778200001"/>
    <n v="-326.22329999999999"/>
    <n v="66966.337740000003"/>
    <n v="79301.489772999994"/>
    <n v="0"/>
    <n v="-9412.7029999999995"/>
    <n v="0"/>
    <n v="0"/>
    <n v="34923.537599999996"/>
    <n v="399265.41056331736"/>
    <n v="0"/>
    <n v="335000"/>
    <n v="64300"/>
    <n v="399300"/>
    <n v="0.91620335587277735"/>
    <n v="-0.11912640635340833"/>
    <n v="0.99970000000000003"/>
    <n v="1.0019"/>
    <n v="1.0012000000000001"/>
    <n v="1.0008999999999999"/>
    <n v="0.99080000000000001"/>
    <n v="0.94971499999999998"/>
    <n v="0.94474630517542935"/>
    <n v="377000"/>
    <n v="0"/>
    <n v="377000"/>
    <n v="61100"/>
    <n v="438100"/>
    <n v="-3.949044585987261E-2"/>
    <n v="4.9342105263157892E-3"/>
    <n v="-3.3531877343922351E-2"/>
    <n v="1.0627125277963043"/>
  </r>
  <r>
    <n v="2025"/>
    <n v="19133514417"/>
    <n v="-1.8325814637483102"/>
    <n v="0.16"/>
    <n v="7060"/>
    <n v="2"/>
    <s v="RES"/>
    <n v="317"/>
    <s v="MX"/>
    <s v="R1"/>
    <n v="11"/>
    <n v="259"/>
    <s v="CO"/>
    <s v="G"/>
    <s v="EX"/>
    <n v="2021"/>
    <n v="2021"/>
    <x v="0"/>
    <n v="3"/>
    <n v="3"/>
    <n v="1"/>
    <n v="1740"/>
    <n v="0"/>
    <n v="0"/>
    <n v="0"/>
    <n v="0"/>
    <n v="0"/>
    <n v="1740"/>
    <x v="0"/>
    <n v="2"/>
    <s v="B"/>
    <s v="HP"/>
    <s v="E"/>
    <m/>
    <n v="0"/>
    <n v="0"/>
    <n v="0"/>
    <n v="1"/>
    <n v="0"/>
    <n v="10"/>
    <n v="450"/>
    <n v="0"/>
    <n v="0"/>
    <n v="0"/>
    <n v="0"/>
    <n v="0"/>
    <n v="100"/>
    <n v="100"/>
    <n v="345244"/>
    <n v="341792"/>
    <n v="865"/>
    <n v="365"/>
    <n v="365"/>
    <n v="135"/>
    <d v="2021-08-19T00:00:00"/>
    <s v="E032906"/>
    <n v="341150"/>
    <n v="341150"/>
    <s v="SWD"/>
    <n v="30"/>
    <s v="N"/>
    <s v="Y"/>
    <n v="393500"/>
    <n v="60800"/>
    <n v="332700"/>
    <n v="0"/>
    <n v="354518.10639038897"/>
    <n v="406583.35034105252"/>
    <n v="-52065.241630999997"/>
    <n v="132535.48800000001"/>
    <n v="88356.992000000013"/>
    <n v="-24051.387388882686"/>
    <n v="32917.849192000001"/>
    <n v="47371.278778200001"/>
    <n v="-326.22329999999999"/>
    <n v="108594.06120000001"/>
    <n v="0"/>
    <n v="0"/>
    <n v="5299.8242"/>
    <n v="0"/>
    <n v="15885.463950000001"/>
    <n v="0"/>
    <n v="354518.10500031733"/>
    <n v="0"/>
    <n v="290200"/>
    <n v="64300"/>
    <n v="354500"/>
    <n v="0.9623413258110014"/>
    <n v="-9.9110546378653117E-2"/>
    <n v="0.99970000000000003"/>
    <n v="1.0019"/>
    <n v="1.0012000000000001"/>
    <n v="1.0007999999999999"/>
    <n v="0.99080000000000001"/>
    <n v="0.94971499999999998"/>
    <n v="0.94465191549562377"/>
    <n v="334900"/>
    <n v="0"/>
    <n v="334900"/>
    <n v="61100"/>
    <n v="396000"/>
    <n v="6.6125638713555755E-3"/>
    <n v="4.9342105263157892E-3"/>
    <n v="6.3532401524777635E-3"/>
    <n v="1.0081628561307343"/>
  </r>
  <r>
    <n v="2025"/>
    <n v="19133514418"/>
    <n v="-1.8325814637483102"/>
    <n v="0.16"/>
    <n v="7043"/>
    <n v="2"/>
    <s v="RES"/>
    <n v="317"/>
    <s v="MX"/>
    <s v="R1"/>
    <n v="11"/>
    <n v="259"/>
    <s v="CO"/>
    <s v="G"/>
    <s v="EX"/>
    <n v="2021"/>
    <n v="2021"/>
    <x v="0"/>
    <n v="3"/>
    <n v="3"/>
    <n v="1"/>
    <n v="1550"/>
    <n v="0"/>
    <n v="0"/>
    <n v="0"/>
    <n v="0"/>
    <n v="0"/>
    <n v="1550"/>
    <x v="0"/>
    <n v="2"/>
    <s v="N"/>
    <s v="HP"/>
    <s v="E"/>
    <m/>
    <n v="0"/>
    <n v="0"/>
    <n v="0"/>
    <n v="1"/>
    <n v="0"/>
    <n v="10"/>
    <n v="420"/>
    <n v="0"/>
    <n v="0"/>
    <n v="0"/>
    <n v="144"/>
    <n v="0"/>
    <n v="100"/>
    <n v="100"/>
    <n v="310143"/>
    <n v="307042"/>
    <n v="818"/>
    <n v="365"/>
    <n v="365"/>
    <n v="88"/>
    <d v="2021-10-05T00:00:00"/>
    <s v="E033572"/>
    <n v="303580"/>
    <n v="303580"/>
    <s v="SWD"/>
    <n v="30"/>
    <s v="N"/>
    <s v="Y"/>
    <n v="374200"/>
    <n v="60800"/>
    <n v="313400"/>
    <n v="0"/>
    <n v="337651.54867703898"/>
    <n v="378953.82042405987"/>
    <n v="-41302.269830999998"/>
    <n v="132535.48800000001"/>
    <n v="88356.992000000013"/>
    <n v="-24051.387388882686"/>
    <n v="32917.849192000001"/>
    <n v="47371.278778200001"/>
    <n v="-326.22329999999999"/>
    <n v="96736.089000000007"/>
    <n v="0"/>
    <n v="0"/>
    <n v="-9412.7029999999995"/>
    <n v="0"/>
    <n v="14826.43302"/>
    <n v="0"/>
    <n v="337651.54647031735"/>
    <n v="0"/>
    <n v="273300"/>
    <n v="64300"/>
    <n v="337600"/>
    <n v="0.89922985781990517"/>
    <n v="-9.7808658471405671E-2"/>
    <n v="0.99970000000000003"/>
    <n v="1.0019"/>
    <n v="1.0012000000000001"/>
    <n v="1.0007999999999999"/>
    <n v="0.99080000000000001"/>
    <n v="0.94971499999999998"/>
    <n v="0.94465191549562377"/>
    <n v="307300"/>
    <n v="0"/>
    <n v="307300"/>
    <n v="61100"/>
    <n v="368400"/>
    <n v="-1.94639438417358E-2"/>
    <n v="4.9342105263157892E-3"/>
    <n v="-1.5499732763228221E-2"/>
    <n v="1.077467982637196"/>
  </r>
  <r>
    <n v="2025"/>
    <n v="19133514420"/>
    <n v="-1.5141277326297755"/>
    <n v="0.22"/>
    <n v="9558"/>
    <n v="2"/>
    <s v="RES"/>
    <n v="317"/>
    <s v="MX"/>
    <s v="R1"/>
    <n v="11"/>
    <n v="259"/>
    <s v="CO"/>
    <s v="G"/>
    <s v="EX"/>
    <n v="2021"/>
    <n v="2021"/>
    <x v="0"/>
    <n v="3"/>
    <n v="3"/>
    <n v="1"/>
    <n v="1740"/>
    <n v="0"/>
    <n v="0"/>
    <n v="0"/>
    <n v="0"/>
    <n v="0"/>
    <n v="1740"/>
    <x v="0"/>
    <n v="2"/>
    <s v="N"/>
    <s v="HP"/>
    <s v="E"/>
    <m/>
    <n v="0"/>
    <n v="0"/>
    <n v="0"/>
    <n v="1"/>
    <n v="0"/>
    <n v="10"/>
    <n v="450"/>
    <n v="0"/>
    <n v="0"/>
    <n v="0"/>
    <n v="144"/>
    <n v="0"/>
    <n v="100"/>
    <n v="100"/>
    <n v="339934"/>
    <n v="336535"/>
    <n v="769"/>
    <n v="365"/>
    <n v="365"/>
    <n v="39"/>
    <d v="2021-11-23T00:00:00"/>
    <s v="E034386"/>
    <n v="364900"/>
    <n v="364900"/>
    <s v="SWD"/>
    <n v="30"/>
    <s v="N"/>
    <s v="Y"/>
    <n v="388800"/>
    <n v="65300"/>
    <n v="323500"/>
    <n v="0"/>
    <n v="365969.01176733308"/>
    <n v="396050.31249353499"/>
    <n v="-30081.299230999997"/>
    <n v="132535.48800000001"/>
    <n v="88356.992000000013"/>
    <n v="-19871.898398035348"/>
    <n v="32917.849192000001"/>
    <n v="47371.278778200001"/>
    <n v="-326.22329999999999"/>
    <n v="108594.06120000001"/>
    <n v="0"/>
    <n v="0"/>
    <n v="-9412.7029999999995"/>
    <n v="0"/>
    <n v="15885.463950000001"/>
    <n v="0"/>
    <n v="365969.00919116469"/>
    <n v="0"/>
    <n v="297500"/>
    <n v="68500"/>
    <n v="366000"/>
    <n v="0.99699453551912565"/>
    <n v="-5.8641975308641972E-2"/>
    <n v="0.99970000000000003"/>
    <n v="1.0019"/>
    <n v="1.0012000000000001"/>
    <n v="1.0007999999999999"/>
    <n v="0.99080000000000001"/>
    <n v="0.94971499999999998"/>
    <n v="0.94465191549562377"/>
    <n v="320200"/>
    <n v="0"/>
    <n v="320200"/>
    <n v="65000"/>
    <n v="385200"/>
    <n v="-1.0200927357032458E-2"/>
    <n v="-4.5941807044410417E-3"/>
    <n v="-9.2592592592592587E-3"/>
    <n v="0.97319457596327763"/>
  </r>
  <r>
    <n v="2025"/>
    <n v="19133514421"/>
    <n v="-1.6094379124341003"/>
    <n v="0.2"/>
    <n v="8817"/>
    <n v="2"/>
    <s v="RES"/>
    <n v="317"/>
    <s v="MX"/>
    <s v="R1"/>
    <n v="11"/>
    <n v="259"/>
    <s v="CO"/>
    <s v="G"/>
    <s v="EX"/>
    <n v="2021"/>
    <n v="2021"/>
    <x v="0"/>
    <n v="3"/>
    <n v="3"/>
    <n v="2"/>
    <n v="1073"/>
    <n v="1331"/>
    <n v="0"/>
    <n v="0"/>
    <n v="0"/>
    <n v="0"/>
    <n v="2404"/>
    <x v="1"/>
    <n v="2"/>
    <s v="N"/>
    <s v="HP"/>
    <s v="E"/>
    <m/>
    <n v="0"/>
    <n v="0"/>
    <n v="0"/>
    <n v="0"/>
    <n v="1"/>
    <n v="14"/>
    <n v="0"/>
    <n v="707"/>
    <n v="0"/>
    <n v="0"/>
    <n v="288"/>
    <n v="0"/>
    <n v="100"/>
    <n v="100"/>
    <n v="435087"/>
    <n v="430736"/>
    <n v="935"/>
    <n v="365"/>
    <n v="365"/>
    <n v="205"/>
    <d v="2021-06-10T00:00:00"/>
    <s v="E031849"/>
    <n v="370658"/>
    <n v="370658"/>
    <s v="SWD"/>
    <n v="30"/>
    <s v="N"/>
    <s v="Y"/>
    <n v="443000"/>
    <n v="64000"/>
    <n v="379000"/>
    <n v="0"/>
    <n v="383416.06809296424"/>
    <n v="451511.27064479783"/>
    <n v="-68095.199630999996"/>
    <n v="132535.48800000001"/>
    <n v="88356.992000000013"/>
    <n v="-21122.779792355024"/>
    <n v="32917.849192000001"/>
    <n v="47371.278778200001"/>
    <n v="-326.22329999999999"/>
    <n v="66966.337740000003"/>
    <n v="79301.489772999994"/>
    <n v="0"/>
    <n v="-9412.7029999999995"/>
    <n v="0"/>
    <n v="0"/>
    <n v="34923.537599999996"/>
    <n v="383416.06735984504"/>
    <n v="0"/>
    <n v="316200"/>
    <n v="67200"/>
    <n v="383400"/>
    <n v="0.9667657798643714"/>
    <n v="-0.13453724604966141"/>
    <n v="0.99970000000000003"/>
    <n v="1.0019"/>
    <n v="1.0012000000000001"/>
    <n v="1.0008999999999999"/>
    <n v="0.99080000000000001"/>
    <n v="0.94971499999999998"/>
    <n v="0.94474630517542935"/>
    <n v="377000"/>
    <n v="0"/>
    <n v="377000"/>
    <n v="63900"/>
    <n v="440900"/>
    <n v="-5.2770448548812663E-3"/>
    <n v="-1.5625000000000001E-3"/>
    <n v="-4.7404063205417606E-3"/>
    <n v="1.0057918630354667"/>
  </r>
  <r>
    <n v="2025"/>
    <n v="19133514422"/>
    <n v="-1.6607312068216509"/>
    <n v="0.19"/>
    <n v="8185"/>
    <n v="2"/>
    <s v="RES"/>
    <n v="317"/>
    <s v="MX"/>
    <s v="R1"/>
    <n v="11"/>
    <n v="259"/>
    <s v="CO"/>
    <s v="G"/>
    <s v="EX"/>
    <n v="2021"/>
    <n v="2021"/>
    <x v="0"/>
    <n v="3"/>
    <n v="3"/>
    <n v="2"/>
    <n v="1111"/>
    <n v="1126"/>
    <n v="0"/>
    <n v="0"/>
    <n v="0"/>
    <n v="0"/>
    <n v="2237"/>
    <x v="1"/>
    <n v="2"/>
    <s v="N"/>
    <s v="HP"/>
    <s v="E"/>
    <m/>
    <n v="0"/>
    <n v="0"/>
    <n v="0"/>
    <n v="0"/>
    <n v="1"/>
    <n v="13"/>
    <n v="455"/>
    <n v="0"/>
    <n v="0"/>
    <n v="0"/>
    <n v="144"/>
    <n v="0"/>
    <n v="100"/>
    <n v="100"/>
    <n v="403514"/>
    <n v="399479"/>
    <n v="937"/>
    <n v="365"/>
    <n v="365"/>
    <n v="207"/>
    <d v="2021-06-08T00:00:00"/>
    <s v="E031719"/>
    <n v="335900"/>
    <n v="335900"/>
    <s v="SWD"/>
    <n v="30"/>
    <s v="N"/>
    <s v="Y"/>
    <n v="426200"/>
    <n v="63200"/>
    <n v="363000"/>
    <n v="0"/>
    <n v="353580.9271465331"/>
    <n v="422134.12851554289"/>
    <n v="-68553.198430999997"/>
    <n v="132535.48800000001"/>
    <n v="88356.992000000013"/>
    <n v="-21795.969453044734"/>
    <n v="32917.849192000001"/>
    <n v="47371.278778200001"/>
    <n v="-326.22329999999999"/>
    <n v="69337.932180000003"/>
    <n v="67087.511257999999"/>
    <n v="0"/>
    <n v="-9412.7029999999995"/>
    <n v="0"/>
    <n v="16061.969105"/>
    <n v="0"/>
    <n v="353580.92632915534"/>
    <n v="0"/>
    <n v="287000"/>
    <n v="66600"/>
    <n v="353600"/>
    <n v="0.94994343891402711"/>
    <n v="-0.1703425621773815"/>
    <n v="0.99970000000000003"/>
    <n v="1.0019"/>
    <n v="1.0012000000000001"/>
    <n v="1.0008999999999999"/>
    <n v="0.99080000000000001"/>
    <n v="0.94971499999999998"/>
    <n v="0.94474630517542935"/>
    <n v="348300"/>
    <n v="0"/>
    <n v="348300"/>
    <n v="63200"/>
    <n v="411500"/>
    <n v="-4.049586776859504E-2"/>
    <n v="0"/>
    <n v="-3.4490849366494603E-2"/>
    <n v="1.020978867427806"/>
  </r>
  <r>
    <n v="2025"/>
    <n v="19133514423"/>
    <n v="-1.6607312068216509"/>
    <n v="0.19"/>
    <n v="8300"/>
    <n v="2"/>
    <s v="RES"/>
    <n v="317"/>
    <s v="MX"/>
    <s v="R1"/>
    <n v="11"/>
    <n v="259"/>
    <s v="CO"/>
    <s v="G"/>
    <s v="EX"/>
    <n v="2021"/>
    <n v="2021"/>
    <x v="0"/>
    <n v="3"/>
    <n v="3"/>
    <n v="1"/>
    <n v="1740"/>
    <n v="0"/>
    <n v="0"/>
    <n v="0"/>
    <n v="0"/>
    <n v="0"/>
    <n v="1740"/>
    <x v="0"/>
    <n v="2"/>
    <s v="N"/>
    <s v="HP"/>
    <s v="E"/>
    <m/>
    <n v="0"/>
    <n v="0"/>
    <n v="0"/>
    <n v="1"/>
    <n v="0"/>
    <n v="10"/>
    <n v="450"/>
    <n v="0"/>
    <n v="0"/>
    <n v="0"/>
    <n v="144"/>
    <n v="0"/>
    <n v="100"/>
    <n v="100"/>
    <n v="339934"/>
    <n v="336535"/>
    <n v="811"/>
    <n v="365"/>
    <n v="365"/>
    <n v="81"/>
    <d v="2021-10-12T00:00:00"/>
    <s v="E033673"/>
    <n v="321990"/>
    <n v="321990"/>
    <s v="SWD"/>
    <n v="30"/>
    <s v="N"/>
    <s v="Y"/>
    <n v="386700"/>
    <n v="63200"/>
    <n v="323500"/>
    <n v="0"/>
    <n v="354426.96557237674"/>
    <n v="394126.2414592806"/>
    <n v="-39699.274031000001"/>
    <n v="132535.48800000001"/>
    <n v="88356.992000000013"/>
    <n v="-21795.969453044734"/>
    <n v="32917.849192000001"/>
    <n v="47371.278778200001"/>
    <n v="-326.22329999999999"/>
    <n v="108594.06120000001"/>
    <n v="0"/>
    <n v="0"/>
    <n v="-9412.7029999999995"/>
    <n v="0"/>
    <n v="15885.463950000001"/>
    <n v="0"/>
    <n v="354426.96333615528"/>
    <n v="0"/>
    <n v="287900"/>
    <n v="66600"/>
    <n v="354500"/>
    <n v="0.90829337094499296"/>
    <n v="-8.3268683734160853E-2"/>
    <n v="0.99970000000000003"/>
    <n v="1.0019"/>
    <n v="1.0012000000000001"/>
    <n v="1.0007999999999999"/>
    <n v="0.99080000000000001"/>
    <n v="0.94971499999999998"/>
    <n v="0.94465191549562377"/>
    <n v="320200"/>
    <n v="0"/>
    <n v="320200"/>
    <n v="63200"/>
    <n v="383400"/>
    <n v="-1.0200927357032458E-2"/>
    <n v="0"/>
    <n v="-8.5337470907680367E-3"/>
    <n v="1.0674267088077269"/>
  </r>
  <r>
    <n v="2025"/>
    <n v="19133514424"/>
    <n v="-1.6607312068216509"/>
    <n v="0.19"/>
    <n v="8233"/>
    <n v="2"/>
    <s v="RES"/>
    <n v="317"/>
    <s v="MX"/>
    <s v="R1"/>
    <n v="11"/>
    <n v="259"/>
    <s v="CO"/>
    <s v="G"/>
    <s v="EX"/>
    <n v="2021"/>
    <n v="2021"/>
    <x v="0"/>
    <n v="3"/>
    <n v="3"/>
    <n v="1"/>
    <n v="2010"/>
    <n v="0"/>
    <n v="0"/>
    <n v="0"/>
    <n v="0"/>
    <n v="0"/>
    <n v="2010"/>
    <x v="1"/>
    <n v="2"/>
    <s v="N"/>
    <s v="HP"/>
    <s v="E"/>
    <m/>
    <n v="0"/>
    <n v="0"/>
    <n v="0"/>
    <n v="0"/>
    <n v="0"/>
    <n v="11"/>
    <n v="424"/>
    <n v="0"/>
    <n v="0"/>
    <n v="0"/>
    <n v="144"/>
    <n v="0"/>
    <n v="100"/>
    <n v="100"/>
    <n v="381408"/>
    <n v="377594"/>
    <n v="635"/>
    <n v="365"/>
    <n v="270"/>
    <n v="0"/>
    <d v="2022-04-06T00:00:00"/>
    <s v="E036040"/>
    <n v="401230"/>
    <n v="401230"/>
    <s v="SWD"/>
    <n v="30"/>
    <s v="N"/>
    <s v="Y"/>
    <n v="396900"/>
    <n v="63200"/>
    <n v="333700"/>
    <n v="0"/>
    <n v="395316.03103307885"/>
    <n v="410059.21726915601"/>
    <n v="-14743.185380999999"/>
    <n v="132535.48800000001"/>
    <n v="88356.992000000013"/>
    <n v="-21795.969453044734"/>
    <n v="32917.849192000001"/>
    <n v="47371.278778200001"/>
    <n v="-326.22329999999999"/>
    <n v="125444.86380000001"/>
    <n v="0"/>
    <n v="0"/>
    <n v="-9412.7029999999995"/>
    <n v="0"/>
    <n v="14967.637144"/>
    <n v="0"/>
    <n v="395316.02778015524"/>
    <n v="0"/>
    <n v="328800"/>
    <n v="66600"/>
    <n v="395400"/>
    <n v="1.0147445624683864"/>
    <n v="-3.779289493575208E-3"/>
    <n v="0.99970000000000003"/>
    <n v="1.0019"/>
    <n v="1.0012000000000001"/>
    <n v="1.0008999999999999"/>
    <n v="0.99080000000000001"/>
    <n v="0.94971499999999998"/>
    <n v="0.94474630517542935"/>
    <n v="336200"/>
    <n v="0"/>
    <n v="336200"/>
    <n v="63200"/>
    <n v="399400"/>
    <n v="7.4917590650284685E-3"/>
    <n v="0"/>
    <n v="6.2988158226253465E-3"/>
    <n v="0.95869405233656513"/>
  </r>
  <r>
    <n v="2025"/>
    <n v="19133514424"/>
    <n v="-1.6607312068216509"/>
    <n v="0.19"/>
    <n v="8233"/>
    <n v="2"/>
    <s v="RES"/>
    <s v="MX"/>
    <s v="MX"/>
    <s v="R1"/>
    <n v="11"/>
    <n v="259"/>
    <s v="CO"/>
    <s v="G"/>
    <s v="EX"/>
    <n v="2021"/>
    <n v="2021"/>
    <x v="0"/>
    <n v="3"/>
    <n v="3"/>
    <n v="1"/>
    <n v="2010"/>
    <n v="0"/>
    <n v="0"/>
    <n v="0"/>
    <n v="0"/>
    <n v="0"/>
    <n v="2010"/>
    <x v="1"/>
    <n v="2"/>
    <s v="S"/>
    <s v="HP"/>
    <s v="E"/>
    <m/>
    <n v="0"/>
    <n v="0"/>
    <n v="1"/>
    <n v="0"/>
    <n v="0"/>
    <n v="11"/>
    <n v="424"/>
    <n v="0"/>
    <n v="0"/>
    <n v="0"/>
    <n v="144"/>
    <n v="0"/>
    <n v="100"/>
    <n v="100"/>
    <n v="381408"/>
    <n v="377594"/>
    <n v="80"/>
    <n v="80"/>
    <n v="0"/>
    <n v="0"/>
    <d v="2023-10-13T00:00:00"/>
    <s v="E041769"/>
    <n v="425000"/>
    <n v="425000"/>
    <s v="SWD"/>
    <n v="30"/>
    <s v="N"/>
    <s v="Y"/>
    <n v="396900"/>
    <n v="63200"/>
    <n v="333700"/>
    <n v="0"/>
    <n v="434151.6997101857"/>
    <n v="433391.90285949036"/>
    <n v="759.79684799999995"/>
    <n v="132535.48800000001"/>
    <n v="88356.992000000013"/>
    <n v="-21795.969453044734"/>
    <n v="32917.849192000001"/>
    <n v="47371.278778200001"/>
    <n v="-326.22329999999999"/>
    <n v="125444.86380000001"/>
    <n v="0"/>
    <n v="0"/>
    <n v="4112.8784489"/>
    <n v="9807.1044999999995"/>
    <n v="14967.637144"/>
    <n v="0"/>
    <n v="434151.69595805526"/>
    <n v="0"/>
    <n v="367600"/>
    <n v="66600"/>
    <n v="434200"/>
    <n v="0.97881160755412255"/>
    <n v="9.3978332073570175E-2"/>
    <n v="0.99970000000000003"/>
    <n v="1.0019"/>
    <n v="1.0012000000000001"/>
    <n v="1.0008999999999999"/>
    <n v="0.99080000000000001"/>
    <n v="0.94971499999999998"/>
    <n v="0.94474630517542935"/>
    <n v="359500"/>
    <n v="0"/>
    <n v="359500"/>
    <n v="63200"/>
    <n v="422700"/>
    <n v="7.7314953551093801E-2"/>
    <n v="0"/>
    <n v="6.500377928949358E-2"/>
    <n v="0.99637599258352949"/>
  </r>
  <r>
    <n v="2025"/>
    <n v="19133514424"/>
    <n v="-1.6607312068216509"/>
    <n v="0.19"/>
    <n v="8233"/>
    <n v="2"/>
    <s v="RES"/>
    <n v="317"/>
    <s v="MX"/>
    <s v="R1"/>
    <n v="11"/>
    <n v="259"/>
    <s v="CO"/>
    <s v="G"/>
    <s v="EX"/>
    <n v="2021"/>
    <n v="2021"/>
    <x v="0"/>
    <n v="3"/>
    <n v="3"/>
    <n v="1"/>
    <n v="2010"/>
    <n v="0"/>
    <n v="0"/>
    <n v="0"/>
    <n v="0"/>
    <n v="0"/>
    <n v="2010"/>
    <x v="1"/>
    <n v="2"/>
    <s v="S"/>
    <s v="HP"/>
    <s v="E"/>
    <m/>
    <n v="0"/>
    <n v="0"/>
    <n v="0"/>
    <n v="0"/>
    <n v="0"/>
    <n v="11"/>
    <n v="424"/>
    <n v="0"/>
    <n v="0"/>
    <n v="0"/>
    <n v="144"/>
    <n v="0"/>
    <n v="100"/>
    <n v="100"/>
    <n v="381408"/>
    <n v="377594"/>
    <n v="235"/>
    <n v="235"/>
    <n v="0"/>
    <n v="0"/>
    <d v="2023-05-11T00:00:00"/>
    <s v="E040198"/>
    <n v="437500"/>
    <n v="437500"/>
    <s v="SWD"/>
    <n v="30"/>
    <s v="N"/>
    <s v="Y"/>
    <n v="396900"/>
    <n v="63200"/>
    <n v="333700"/>
    <n v="0"/>
    <n v="425816.70158803253"/>
    <n v="423584.79833911534"/>
    <n v="2231.903241"/>
    <n v="132535.48800000001"/>
    <n v="88356.992000000013"/>
    <n v="-21795.969453044734"/>
    <n v="32917.849192000001"/>
    <n v="47371.278778200001"/>
    <n v="-326.22329999999999"/>
    <n v="125444.86380000001"/>
    <n v="0"/>
    <n v="0"/>
    <n v="4112.8784489"/>
    <n v="0"/>
    <n v="14967.637144"/>
    <n v="0"/>
    <n v="425816.69785105524"/>
    <n v="0"/>
    <n v="359300"/>
    <n v="66600"/>
    <n v="425900"/>
    <n v="1.0272364404789858"/>
    <n v="7.3066263542454019E-2"/>
    <n v="0.99970000000000003"/>
    <n v="1.0019"/>
    <n v="1.0012000000000001"/>
    <n v="1.0008999999999999"/>
    <n v="0.99080000000000001"/>
    <n v="0.94971499999999998"/>
    <n v="0.94474630517542935"/>
    <n v="349700"/>
    <n v="0"/>
    <n v="349700"/>
    <n v="63200"/>
    <n v="412900"/>
    <n v="4.7947258016182201E-2"/>
    <n v="0"/>
    <n v="4.0312421264802216E-2"/>
    <n v="0.94887292169371429"/>
  </r>
  <r>
    <n v="2025"/>
    <n v="19133514425"/>
    <n v="-1.7147984280919266"/>
    <n v="0.18"/>
    <n v="8010"/>
    <n v="2"/>
    <s v="RES"/>
    <n v="317"/>
    <s v="MX"/>
    <s v="R1"/>
    <n v="11"/>
    <n v="259"/>
    <s v="CO"/>
    <s v="G"/>
    <s v="EX"/>
    <n v="2021"/>
    <n v="2021"/>
    <x v="0"/>
    <n v="3"/>
    <n v="3"/>
    <n v="2"/>
    <n v="1111"/>
    <n v="1126"/>
    <n v="0"/>
    <n v="0"/>
    <n v="0"/>
    <n v="0"/>
    <n v="2237"/>
    <x v="1"/>
    <n v="2"/>
    <s v="N"/>
    <s v="HP"/>
    <s v="E"/>
    <m/>
    <n v="0"/>
    <n v="0"/>
    <n v="0"/>
    <n v="0"/>
    <n v="1"/>
    <n v="13"/>
    <n v="455"/>
    <n v="0"/>
    <n v="0"/>
    <n v="0"/>
    <n v="0"/>
    <n v="0"/>
    <n v="100"/>
    <n v="100"/>
    <n v="407747"/>
    <n v="403670"/>
    <n v="894"/>
    <n v="365"/>
    <n v="365"/>
    <n v="164"/>
    <d v="2021-07-21T00:00:00"/>
    <s v="E032495"/>
    <n v="368825"/>
    <n v="368825"/>
    <s v="SWD"/>
    <n v="30"/>
    <s v="N"/>
    <s v="Y"/>
    <n v="434700"/>
    <n v="62500"/>
    <n v="372200"/>
    <n v="0"/>
    <n v="362718.30615594849"/>
    <n v="421424.53295566817"/>
    <n v="-58706.224231"/>
    <n v="132535.48800000001"/>
    <n v="88356.992000000013"/>
    <n v="-22505.565020573864"/>
    <n v="32917.849192000001"/>
    <n v="47371.278778200001"/>
    <n v="-326.22329999999999"/>
    <n v="69337.932180000003"/>
    <n v="67087.511257999999"/>
    <n v="0"/>
    <n v="-9412.7029999999995"/>
    <n v="0"/>
    <n v="16061.969105"/>
    <n v="0"/>
    <n v="362718.30496162624"/>
    <n v="0"/>
    <n v="296900"/>
    <n v="65900"/>
    <n v="362800"/>
    <n v="1.0166069459757443"/>
    <n v="-0.1654014262709915"/>
    <n v="0.99970000000000003"/>
    <n v="1.0019"/>
    <n v="1.0012000000000001"/>
    <n v="1.0008999999999999"/>
    <n v="0.99080000000000001"/>
    <n v="0.94971499999999998"/>
    <n v="0.94474630517542935"/>
    <n v="348300"/>
    <n v="0"/>
    <n v="348300"/>
    <n v="62500"/>
    <n v="410800"/>
    <n v="-6.4212788823213324E-2"/>
    <n v="0"/>
    <n v="-5.4980446284794114E-2"/>
    <n v="0.95463641501796248"/>
  </r>
  <r>
    <n v="2025"/>
    <n v="19133514426"/>
    <n v="-1.7719568419318752"/>
    <n v="0.17"/>
    <n v="7198"/>
    <n v="2"/>
    <s v="RES"/>
    <n v="317"/>
    <s v="MX"/>
    <s v="R1"/>
    <n v="11"/>
    <n v="259"/>
    <s v="CO"/>
    <s v="G"/>
    <s v="EX"/>
    <n v="2021"/>
    <n v="2021"/>
    <x v="0"/>
    <n v="3"/>
    <n v="3"/>
    <n v="2"/>
    <n v="1073"/>
    <n v="1331"/>
    <n v="0"/>
    <n v="0"/>
    <n v="0"/>
    <n v="0"/>
    <n v="2404"/>
    <x v="1"/>
    <n v="2"/>
    <s v="N"/>
    <s v="HP"/>
    <s v="E"/>
    <m/>
    <n v="0"/>
    <n v="0"/>
    <n v="0"/>
    <n v="0"/>
    <n v="1"/>
    <n v="14"/>
    <n v="0"/>
    <n v="500"/>
    <n v="0"/>
    <n v="0"/>
    <n v="144"/>
    <n v="0"/>
    <n v="100"/>
    <n v="100"/>
    <n v="426820"/>
    <n v="422552"/>
    <n v="829"/>
    <n v="365"/>
    <n v="365"/>
    <n v="99"/>
    <d v="2021-09-24T00:00:00"/>
    <s v="E033471"/>
    <n v="359850"/>
    <n v="359850"/>
    <s v="SWD"/>
    <n v="30"/>
    <s v="N"/>
    <s v="Y"/>
    <n v="437000"/>
    <n v="61700"/>
    <n v="375300"/>
    <n v="0"/>
    <n v="395331.91728542652"/>
    <n v="439153.18252691696"/>
    <n v="-43821.263231000004"/>
    <n v="132535.48800000001"/>
    <n v="88356.992000000013"/>
    <n v="-23255.730391660189"/>
    <n v="32917.849192000001"/>
    <n v="47371.278778200001"/>
    <n v="-326.22329999999999"/>
    <n v="66966.337740000003"/>
    <n v="79301.489772999994"/>
    <n v="0"/>
    <n v="-9412.7029999999995"/>
    <n v="0"/>
    <n v="0"/>
    <n v="24698.399999999998"/>
    <n v="395331.91556053987"/>
    <n v="0"/>
    <n v="330200"/>
    <n v="65100"/>
    <n v="395300"/>
    <n v="0.91032127498102711"/>
    <n v="-9.5423340961098405E-2"/>
    <n v="0.99970000000000003"/>
    <n v="1.0019"/>
    <n v="1.0012000000000001"/>
    <n v="1.0008999999999999"/>
    <n v="0.99080000000000001"/>
    <n v="0.94971499999999998"/>
    <n v="0.94474630517542935"/>
    <n v="366700"/>
    <n v="0"/>
    <n v="366700"/>
    <n v="61800"/>
    <n v="428500"/>
    <n v="-2.291500133226752E-2"/>
    <n v="1.6207455429497568E-3"/>
    <n v="-1.9450800915331808E-2"/>
    <n v="1.0689974621898013"/>
  </r>
  <r>
    <n v="2025"/>
    <n v="19133514427"/>
    <n v="-1.7147984280919266"/>
    <n v="0.18"/>
    <n v="7762"/>
    <n v="2"/>
    <s v="RES"/>
    <n v="317"/>
    <s v="MX"/>
    <s v="R1"/>
    <n v="11"/>
    <n v="259"/>
    <s v="CO"/>
    <s v="G"/>
    <s v="EX"/>
    <n v="2021"/>
    <n v="2021"/>
    <x v="0"/>
    <n v="3"/>
    <n v="3"/>
    <n v="2"/>
    <n v="1650"/>
    <n v="1346"/>
    <n v="0"/>
    <n v="0"/>
    <n v="0"/>
    <n v="0"/>
    <n v="2996"/>
    <x v="4"/>
    <n v="3"/>
    <s v="N"/>
    <s v="HP"/>
    <s v="E"/>
    <m/>
    <n v="0"/>
    <n v="0"/>
    <n v="0"/>
    <n v="0"/>
    <n v="1"/>
    <n v="19"/>
    <n v="660"/>
    <n v="0"/>
    <n v="0"/>
    <n v="0"/>
    <n v="240"/>
    <n v="0"/>
    <n v="100"/>
    <n v="100"/>
    <n v="530083"/>
    <n v="524782"/>
    <n v="941"/>
    <n v="365"/>
    <n v="365"/>
    <n v="211"/>
    <d v="2021-06-04T00:00:00"/>
    <s v="E031616"/>
    <n v="418223"/>
    <n v="418223"/>
    <s v="SWD"/>
    <n v="30"/>
    <s v="N"/>
    <s v="Y"/>
    <n v="471200"/>
    <n v="62500"/>
    <n v="408700"/>
    <n v="0"/>
    <n v="405938.92426363309"/>
    <n v="475408.12326699542"/>
    <n v="-69469.196030999999"/>
    <n v="132535.48800000001"/>
    <n v="88356.992000000013"/>
    <n v="-22505.565020573864"/>
    <n v="32917.849192000001"/>
    <n v="47371.278778200001"/>
    <n v="-326.22329999999999"/>
    <n v="102977.12700000001"/>
    <n v="80195.195517999993"/>
    <n v="0"/>
    <n v="-9412.7029999999995"/>
    <n v="0"/>
    <n v="23298.68046"/>
    <n v="0"/>
    <n v="405938.92359662621"/>
    <n v="0"/>
    <n v="340100"/>
    <n v="65900"/>
    <n v="406000"/>
    <n v="1.0301059113300493"/>
    <n v="-0.13837011884550085"/>
    <n v="0.99970000000000003"/>
    <n v="1.0019"/>
    <n v="1.0012000000000001"/>
    <n v="1.0099"/>
    <n v="0.99080000000000001"/>
    <n v="0.94971499999999998"/>
    <n v="0.95324137635794415"/>
    <n v="403400"/>
    <n v="0"/>
    <n v="403400"/>
    <n v="62500"/>
    <n v="465900"/>
    <n v="-1.2967947149498409E-2"/>
    <n v="0"/>
    <n v="-1.1247877758913413E-2"/>
    <n v="0.94789335825385024"/>
  </r>
  <r>
    <n v="2025"/>
    <n v="19133514428"/>
    <n v="-1.7719568419318752"/>
    <n v="0.17"/>
    <n v="7520"/>
    <n v="2"/>
    <s v="RES"/>
    <n v="317"/>
    <s v="MX"/>
    <s v="R1"/>
    <n v="11"/>
    <n v="259"/>
    <s v="CO"/>
    <s v="G"/>
    <s v="EX"/>
    <n v="2021"/>
    <n v="2021"/>
    <x v="0"/>
    <n v="3"/>
    <n v="3"/>
    <n v="2"/>
    <n v="1257"/>
    <n v="1451"/>
    <n v="0"/>
    <n v="0"/>
    <n v="0"/>
    <n v="0"/>
    <n v="2708"/>
    <x v="4"/>
    <n v="3"/>
    <s v="N"/>
    <s v="HP"/>
    <s v="E"/>
    <m/>
    <n v="0"/>
    <n v="0"/>
    <n v="0"/>
    <n v="0"/>
    <n v="1"/>
    <n v="14"/>
    <n v="0"/>
    <n v="678"/>
    <n v="0"/>
    <n v="0"/>
    <n v="0"/>
    <n v="0"/>
    <n v="100"/>
    <n v="100"/>
    <n v="477080"/>
    <n v="472309"/>
    <n v="833"/>
    <n v="365"/>
    <n v="365"/>
    <n v="103"/>
    <d v="2021-09-20T00:00:00"/>
    <s v="E033593"/>
    <n v="394700"/>
    <n v="394700"/>
    <s v="SWD"/>
    <n v="30"/>
    <s v="N"/>
    <s v="Y"/>
    <n v="466500"/>
    <n v="61700"/>
    <n v="404800"/>
    <n v="0"/>
    <n v="421841.70585116878"/>
    <n v="466578.96872701182"/>
    <n v="-44737.260831"/>
    <n v="132535.48800000001"/>
    <n v="88356.992000000013"/>
    <n v="-23255.730391660189"/>
    <n v="32917.849192000001"/>
    <n v="47371.278778200001"/>
    <n v="-326.22329999999999"/>
    <n v="78449.847659999999"/>
    <n v="86451.135733000003"/>
    <n v="0"/>
    <n v="-9412.7029999999995"/>
    <n v="0"/>
    <n v="0"/>
    <n v="33491.030399999996"/>
    <n v="421841.70424053987"/>
    <n v="0"/>
    <n v="356700"/>
    <n v="65100"/>
    <n v="421800"/>
    <n v="0.93575154101469893"/>
    <n v="-9.5819935691318331E-2"/>
    <n v="0.99970000000000003"/>
    <n v="1.0019"/>
    <n v="1.0012000000000001"/>
    <n v="1.0099"/>
    <n v="0.99080000000000001"/>
    <n v="0.94971499999999998"/>
    <n v="0.95324137635794415"/>
    <n v="395300"/>
    <n v="0"/>
    <n v="395300"/>
    <n v="61800"/>
    <n v="457100"/>
    <n v="-2.3468379446640316E-2"/>
    <n v="1.6207455429497568E-3"/>
    <n v="-2.0150053590568061E-2"/>
    <n v="1.0447497825411705"/>
  </r>
  <r>
    <n v="2025"/>
    <n v="19133514429"/>
    <n v="-1.4271163556401458"/>
    <n v="0.24"/>
    <n v="10438"/>
    <n v="2"/>
    <s v="RES"/>
    <n v="317"/>
    <s v="MX"/>
    <s v="R1"/>
    <n v="11"/>
    <n v="259"/>
    <s v="CO"/>
    <s v="G"/>
    <s v="EX"/>
    <n v="2021"/>
    <n v="2021"/>
    <x v="0"/>
    <n v="3"/>
    <n v="3"/>
    <n v="2"/>
    <n v="1257"/>
    <n v="1451"/>
    <n v="0"/>
    <n v="0"/>
    <n v="0"/>
    <n v="0"/>
    <n v="2708"/>
    <x v="4"/>
    <n v="2"/>
    <s v="N"/>
    <s v="HP"/>
    <s v="E"/>
    <m/>
    <n v="0"/>
    <n v="0"/>
    <n v="1"/>
    <n v="0"/>
    <n v="1"/>
    <n v="14"/>
    <n v="0"/>
    <n v="438"/>
    <n v="0"/>
    <n v="0"/>
    <n v="0"/>
    <n v="0"/>
    <n v="100"/>
    <n v="100"/>
    <n v="472666"/>
    <n v="467939"/>
    <n v="857"/>
    <n v="365"/>
    <n v="365"/>
    <n v="127"/>
    <d v="2021-08-27T00:00:00"/>
    <s v="E033114"/>
    <n v="384910"/>
    <n v="384910"/>
    <s v="SWD"/>
    <n v="30"/>
    <s v="N"/>
    <s v="Y"/>
    <n v="464400"/>
    <n v="66500"/>
    <n v="397900"/>
    <n v="0"/>
    <n v="418823.38982022618"/>
    <n v="469056.63850218459"/>
    <n v="-50233.246431"/>
    <n v="132535.48800000001"/>
    <n v="88356.992000000013"/>
    <n v="-18729.933155771436"/>
    <n v="32917.849192000001"/>
    <n v="47371.278778200001"/>
    <n v="-326.22329999999999"/>
    <n v="78449.847659999999"/>
    <n v="86451.135733000003"/>
    <n v="0"/>
    <n v="-9412.7029999999995"/>
    <n v="9807.1044999999995"/>
    <n v="0"/>
    <n v="21635.7984"/>
    <n v="418823.38837642863"/>
    <n v="0"/>
    <n v="349200"/>
    <n v="69600"/>
    <n v="418800"/>
    <n v="0.9190783190066858"/>
    <n v="-9.8191214470284241E-2"/>
    <n v="0.99970000000000003"/>
    <n v="1.0019"/>
    <n v="1.0012000000000001"/>
    <n v="1.0099"/>
    <n v="0.99080000000000001"/>
    <n v="0.94971499999999998"/>
    <n v="0.95324137635794415"/>
    <n v="393200"/>
    <n v="0"/>
    <n v="393200"/>
    <n v="66100"/>
    <n v="459300"/>
    <n v="-1.1812013068610204E-2"/>
    <n v="-6.0150375939849628E-3"/>
    <n v="-1.0981912144702842E-2"/>
    <n v="1.0627594855134967"/>
  </r>
  <r>
    <n v="2025"/>
    <n v="19133514430"/>
    <n v="-1.7719568419318752"/>
    <n v="0.17"/>
    <n v="7388"/>
    <n v="2"/>
    <s v="RES"/>
    <n v="317"/>
    <s v="MX"/>
    <s v="R1"/>
    <n v="11"/>
    <n v="259"/>
    <s v="CO"/>
    <s v="G"/>
    <s v="EX"/>
    <n v="2021"/>
    <n v="2021"/>
    <x v="0"/>
    <n v="3"/>
    <n v="3"/>
    <n v="1"/>
    <n v="1550"/>
    <n v="0"/>
    <n v="0"/>
    <n v="0"/>
    <n v="0"/>
    <n v="0"/>
    <n v="1550"/>
    <x v="0"/>
    <n v="2"/>
    <s v="N"/>
    <s v="HP"/>
    <s v="E"/>
    <m/>
    <n v="0"/>
    <n v="0"/>
    <n v="0"/>
    <n v="1"/>
    <n v="0"/>
    <n v="10"/>
    <n v="420"/>
    <n v="0"/>
    <n v="0"/>
    <n v="0"/>
    <n v="144"/>
    <n v="0"/>
    <n v="100"/>
    <n v="100"/>
    <n v="309397"/>
    <n v="306303"/>
    <n v="907"/>
    <n v="365"/>
    <n v="365"/>
    <n v="177"/>
    <d v="2021-07-08T00:00:00"/>
    <s v="E032300"/>
    <n v="300970"/>
    <n v="300970"/>
    <s v="SWD"/>
    <n v="30"/>
    <s v="N"/>
    <s v="Y"/>
    <n v="378700"/>
    <n v="61700"/>
    <n v="317000"/>
    <n v="0"/>
    <n v="318066.25830133405"/>
    <n v="379749.47741269961"/>
    <n v="-61683.216430999993"/>
    <n v="132535.48800000001"/>
    <n v="88356.992000000013"/>
    <n v="-23255.730391660189"/>
    <n v="32917.849192000001"/>
    <n v="47371.278778200001"/>
    <n v="-326.22329999999999"/>
    <n v="96736.089000000007"/>
    <n v="0"/>
    <n v="0"/>
    <n v="-9412.7029999999995"/>
    <n v="0"/>
    <n v="14826.43302"/>
    <n v="0"/>
    <n v="318066.25686753984"/>
    <n v="0"/>
    <n v="253000"/>
    <n v="65100"/>
    <n v="318100"/>
    <n v="0.94614900974536309"/>
    <n v="-0.16002112490097703"/>
    <n v="0.99970000000000003"/>
    <n v="1.0019"/>
    <n v="1.0012000000000001"/>
    <n v="1.0007999999999999"/>
    <n v="0.99080000000000001"/>
    <n v="0.94971499999999998"/>
    <n v="0.94465191549562377"/>
    <n v="307300"/>
    <n v="0"/>
    <n v="307300"/>
    <n v="61800"/>
    <n v="369100"/>
    <n v="-3.0599369085173501E-2"/>
    <n v="1.6207455429497568E-3"/>
    <n v="-2.5349881172432004E-2"/>
    <n v="1.0214200204970596"/>
  </r>
  <r>
    <n v="2025"/>
    <n v="19133514431"/>
    <n v="-1.8325814637483102"/>
    <n v="0.16"/>
    <n v="7171"/>
    <n v="2"/>
    <s v="RES"/>
    <n v="317"/>
    <s v="MX"/>
    <s v="R1"/>
    <n v="11"/>
    <n v="259"/>
    <s v="CO"/>
    <s v="G"/>
    <s v="EX"/>
    <n v="2021"/>
    <n v="2021"/>
    <x v="0"/>
    <n v="3"/>
    <n v="3"/>
    <n v="1"/>
    <n v="1728"/>
    <n v="0"/>
    <n v="0"/>
    <n v="0"/>
    <n v="0"/>
    <n v="0"/>
    <n v="1728"/>
    <x v="0"/>
    <n v="3"/>
    <s v="N"/>
    <s v="HP"/>
    <s v="E"/>
    <m/>
    <n v="0"/>
    <n v="0"/>
    <n v="0"/>
    <n v="1"/>
    <n v="0"/>
    <n v="10"/>
    <n v="702"/>
    <n v="0"/>
    <n v="0"/>
    <n v="0"/>
    <n v="330"/>
    <n v="0"/>
    <n v="100"/>
    <n v="100"/>
    <n v="356970"/>
    <n v="353400"/>
    <n v="962"/>
    <n v="365"/>
    <n v="365"/>
    <n v="232"/>
    <d v="2021-05-14T00:00:00"/>
    <s v="E031397"/>
    <n v="331348"/>
    <n v="331348"/>
    <s v="SWD"/>
    <n v="30"/>
    <s v="N"/>
    <s v="Y"/>
    <n v="405700"/>
    <n v="60800"/>
    <n v="344900"/>
    <n v="0"/>
    <n v="325739.57212467014"/>
    <n v="400017.75870838348"/>
    <n v="-74278.183430999998"/>
    <n v="132535.48800000001"/>
    <n v="88356.992000000013"/>
    <n v="-24051.387388882686"/>
    <n v="32917.849192000001"/>
    <n v="47371.278778200001"/>
    <n v="-326.22329999999999"/>
    <n v="107845.13664000001"/>
    <n v="0"/>
    <n v="0"/>
    <n v="-9412.7029999999995"/>
    <n v="0"/>
    <n v="24781.323762"/>
    <n v="0"/>
    <n v="325739.57125231734"/>
    <n v="0"/>
    <n v="261400"/>
    <n v="64300"/>
    <n v="325700"/>
    <n v="1.0173411114522566"/>
    <n v="-0.19719004190288392"/>
    <n v="0.99970000000000003"/>
    <n v="1.0019"/>
    <n v="1.0012000000000001"/>
    <n v="1.0007999999999999"/>
    <n v="0.99080000000000001"/>
    <n v="0.94971499999999998"/>
    <n v="0.94465191549562377"/>
    <n v="328400"/>
    <n v="0"/>
    <n v="328400"/>
    <n v="61100"/>
    <n v="389500"/>
    <n v="-4.7839953609741956E-2"/>
    <n v="4.9342105263157892E-3"/>
    <n v="-3.9930983485333992E-2"/>
    <n v="0.95133158060105993"/>
  </r>
  <r>
    <n v="2025"/>
    <n v="19133514432"/>
    <n v="-1.8325814637483102"/>
    <n v="0.16"/>
    <n v="7150"/>
    <n v="2"/>
    <s v="RES"/>
    <n v="317"/>
    <s v="MX"/>
    <s v="R1"/>
    <n v="11"/>
    <n v="259"/>
    <s v="CO"/>
    <s v="G"/>
    <s v="EX"/>
    <n v="2021"/>
    <n v="2021"/>
    <x v="0"/>
    <n v="3"/>
    <n v="3"/>
    <n v="2"/>
    <n v="1668"/>
    <n v="1160"/>
    <n v="0"/>
    <n v="0"/>
    <n v="0"/>
    <n v="0"/>
    <n v="2828"/>
    <x v="4"/>
    <n v="2"/>
    <s v="N"/>
    <s v="HP"/>
    <s v="E"/>
    <m/>
    <n v="0"/>
    <n v="0"/>
    <n v="0"/>
    <n v="1"/>
    <n v="0"/>
    <n v="15"/>
    <n v="0"/>
    <n v="420"/>
    <n v="0"/>
    <n v="0"/>
    <n v="0"/>
    <n v="0"/>
    <n v="100"/>
    <n v="100"/>
    <n v="477010"/>
    <n v="472240"/>
    <n v="886"/>
    <n v="365"/>
    <n v="365"/>
    <n v="156"/>
    <d v="2021-07-29T00:00:00"/>
    <s v="E032653"/>
    <n v="384380"/>
    <n v="384380"/>
    <s v="SWD"/>
    <n v="30"/>
    <s v="N"/>
    <s v="Y"/>
    <n v="442800"/>
    <n v="60800"/>
    <n v="382000"/>
    <n v="0"/>
    <n v="404477.4806996836"/>
    <n v="461351.71223069815"/>
    <n v="-56874.229030999995"/>
    <n v="132535.48800000001"/>
    <n v="88356.992000000013"/>
    <n v="-24051.387388882686"/>
    <n v="32917.849192000001"/>
    <n v="47371.278778200001"/>
    <n v="-326.22329999999999"/>
    <n v="104100.51384"/>
    <n v="69113.244279999999"/>
    <n v="0"/>
    <n v="-9412.7029999999995"/>
    <n v="0"/>
    <n v="0"/>
    <n v="20746.655999999999"/>
    <n v="404477.47937031736"/>
    <n v="0"/>
    <n v="340200"/>
    <n v="64300"/>
    <n v="404500"/>
    <n v="0.9502595797280593"/>
    <n v="-8.649503161698284E-2"/>
    <n v="0.99970000000000003"/>
    <n v="1.0019"/>
    <n v="1.0012000000000001"/>
    <n v="1.0099"/>
    <n v="0.99080000000000001"/>
    <n v="0.94971499999999998"/>
    <n v="0.95324137635794415"/>
    <n v="390800"/>
    <n v="0"/>
    <n v="390800"/>
    <n v="61100"/>
    <n v="451900"/>
    <n v="2.3036649214659685E-2"/>
    <n v="4.9342105263157892E-3"/>
    <n v="2.055103884372177E-2"/>
    <n v="1.0276959544435194"/>
  </r>
  <r>
    <n v="2025"/>
    <n v="19133541423"/>
    <n v="-1.6607312068216509"/>
    <n v="0.19"/>
    <n v="8428"/>
    <n v="2"/>
    <s v="RES"/>
    <n v="317"/>
    <s v="MX"/>
    <s v="R1"/>
    <n v="11"/>
    <n v="259"/>
    <s v="CO"/>
    <s v="G"/>
    <s v="EX"/>
    <n v="2021"/>
    <n v="2021"/>
    <x v="0"/>
    <n v="3"/>
    <n v="3"/>
    <n v="1"/>
    <n v="2010"/>
    <n v="0"/>
    <n v="0"/>
    <n v="0"/>
    <n v="0"/>
    <n v="0"/>
    <n v="2010"/>
    <x v="1"/>
    <n v="2"/>
    <s v="N"/>
    <s v="HP"/>
    <s v="E"/>
    <m/>
    <n v="0"/>
    <n v="0"/>
    <n v="0"/>
    <n v="0"/>
    <n v="0"/>
    <n v="11"/>
    <n v="424"/>
    <n v="0"/>
    <n v="0"/>
    <n v="0"/>
    <n v="144"/>
    <n v="0"/>
    <n v="100"/>
    <n v="100"/>
    <n v="383336"/>
    <n v="379503"/>
    <n v="922"/>
    <n v="365"/>
    <n v="365"/>
    <n v="192"/>
    <d v="2021-06-23T00:00:00"/>
    <s v="E032389"/>
    <n v="330000"/>
    <n v="330000"/>
    <s v="SWD"/>
    <n v="30"/>
    <s v="N"/>
    <s v="Y"/>
    <n v="400600"/>
    <n v="63200"/>
    <n v="337400"/>
    <n v="0"/>
    <n v="344941.00702896836"/>
    <n v="410059.21726915601"/>
    <n v="-65118.207431000003"/>
    <n v="132535.48800000001"/>
    <n v="88356.992000000013"/>
    <n v="-21795.969453044734"/>
    <n v="32917.849192000001"/>
    <n v="47371.278778200001"/>
    <n v="-326.22329999999999"/>
    <n v="125444.86380000001"/>
    <n v="0"/>
    <n v="0"/>
    <n v="-9412.7029999999995"/>
    <n v="0"/>
    <n v="14967.637144"/>
    <n v="0"/>
    <n v="344941.00573015527"/>
    <n v="0"/>
    <n v="278400"/>
    <n v="66600"/>
    <n v="345000"/>
    <n v="0.95652173913043481"/>
    <n v="-0.13879181228157764"/>
    <n v="0.99970000000000003"/>
    <n v="1.0019"/>
    <n v="1.0012000000000001"/>
    <n v="1.0008999999999999"/>
    <n v="0.99080000000000001"/>
    <n v="0.94971499999999998"/>
    <n v="0.94474630517542935"/>
    <n v="336200"/>
    <n v="0"/>
    <n v="336200"/>
    <n v="63200"/>
    <n v="399400"/>
    <n v="-3.5566093657379964E-3"/>
    <n v="0"/>
    <n v="-2.9955067398901645E-3"/>
    <n v="1.0129751289969697"/>
  </r>
  <r>
    <n v="2025"/>
    <n v="19133541424"/>
    <n v="-1.7719568419318752"/>
    <n v="0.17"/>
    <n v="7245"/>
    <n v="2"/>
    <s v="RES"/>
    <n v="317"/>
    <s v="MX"/>
    <s v="R1"/>
    <n v="11"/>
    <n v="259"/>
    <s v="CO"/>
    <s v="G"/>
    <s v="EX"/>
    <n v="2021"/>
    <n v="2021"/>
    <x v="0"/>
    <n v="3"/>
    <n v="3"/>
    <n v="2"/>
    <n v="1073"/>
    <n v="1331"/>
    <n v="0"/>
    <n v="0"/>
    <n v="0"/>
    <n v="0"/>
    <n v="2404"/>
    <x v="1"/>
    <n v="3"/>
    <s v="N"/>
    <s v="HP"/>
    <s v="E"/>
    <m/>
    <n v="0"/>
    <n v="0"/>
    <n v="0"/>
    <n v="0"/>
    <n v="1"/>
    <n v="14"/>
    <n v="0"/>
    <n v="1143"/>
    <n v="0"/>
    <n v="0"/>
    <n v="192"/>
    <n v="0"/>
    <n v="100"/>
    <n v="100"/>
    <n v="454578"/>
    <n v="450032"/>
    <n v="922"/>
    <n v="365"/>
    <n v="365"/>
    <n v="192"/>
    <d v="2021-06-23T00:00:00"/>
    <s v="E032167"/>
    <n v="369128"/>
    <n v="369128"/>
    <s v="SWD"/>
    <n v="30"/>
    <s v="N"/>
    <s v="Y"/>
    <n v="473200"/>
    <n v="61700"/>
    <n v="411500"/>
    <n v="0"/>
    <n v="405797.1145052723"/>
    <n v="470915.32474546001"/>
    <n v="-65118.207431000003"/>
    <n v="132535.48800000001"/>
    <n v="88356.992000000013"/>
    <n v="-23255.730391660189"/>
    <n v="32917.849192000001"/>
    <n v="47371.278778200001"/>
    <n v="-326.22329999999999"/>
    <n v="66966.337740000003"/>
    <n v="79301.489772999994"/>
    <n v="0"/>
    <n v="-9412.7029999999995"/>
    <n v="0"/>
    <n v="0"/>
    <n v="56460.542399999998"/>
    <n v="405797.11376053985"/>
    <n v="0"/>
    <n v="340700"/>
    <n v="65100"/>
    <n v="405800"/>
    <n v="0.90963035978314444"/>
    <n v="-0.14243448858833474"/>
    <n v="0.99970000000000003"/>
    <n v="1.0019"/>
    <n v="1.0012000000000001"/>
    <n v="1.0008999999999999"/>
    <n v="0.99080000000000001"/>
    <n v="0.94971499999999998"/>
    <n v="0.94474630517542935"/>
    <n v="398500"/>
    <n v="0"/>
    <n v="398500"/>
    <n v="61800"/>
    <n v="460300"/>
    <n v="-3.1591737545565005E-2"/>
    <n v="1.6207455429497568E-3"/>
    <n v="-2.7261200338123414E-2"/>
    <n v="1.0705820001977633"/>
  </r>
  <r>
    <n v="2025"/>
    <n v="19133541425"/>
    <n v="-1.7719568419318752"/>
    <n v="0.17"/>
    <n v="7245"/>
    <n v="2"/>
    <s v="RES"/>
    <n v="317"/>
    <s v="MX"/>
    <s v="R1"/>
    <n v="11"/>
    <n v="259"/>
    <s v="CO"/>
    <s v="G"/>
    <s v="EX"/>
    <n v="2021"/>
    <n v="2021"/>
    <x v="0"/>
    <n v="3"/>
    <n v="3"/>
    <n v="1"/>
    <n v="1856"/>
    <n v="0"/>
    <n v="0"/>
    <n v="0"/>
    <n v="0"/>
    <n v="0"/>
    <n v="1856"/>
    <x v="0"/>
    <n v="3"/>
    <s v="N"/>
    <s v="HP"/>
    <s v="E"/>
    <m/>
    <n v="0"/>
    <n v="0"/>
    <n v="0"/>
    <n v="0"/>
    <n v="0"/>
    <n v="11"/>
    <n v="664"/>
    <n v="0"/>
    <n v="0"/>
    <n v="0"/>
    <n v="80"/>
    <n v="0"/>
    <n v="100"/>
    <n v="100"/>
    <n v="375863"/>
    <n v="372104"/>
    <n v="951"/>
    <n v="365"/>
    <n v="365"/>
    <n v="221"/>
    <d v="2021-05-25T00:00:00"/>
    <s v="E031534"/>
    <n v="329800"/>
    <n v="329800"/>
    <s v="SWD"/>
    <n v="30"/>
    <s v="N"/>
    <s v="Y"/>
    <n v="410200"/>
    <n v="61700"/>
    <n v="348500"/>
    <n v="0"/>
    <n v="335701.31208658696"/>
    <n v="407460.5051758308"/>
    <n v="-71759.190031000006"/>
    <n v="132535.48800000001"/>
    <n v="88356.992000000013"/>
    <n v="-23255.730391660189"/>
    <n v="32917.849192000001"/>
    <n v="47371.278778200001"/>
    <n v="-326.22329999999999"/>
    <n v="115833.66528"/>
    <n v="0"/>
    <n v="0"/>
    <n v="-9412.7029999999995"/>
    <n v="0"/>
    <n v="23439.884583999999"/>
    <n v="0"/>
    <n v="335701.31111153984"/>
    <n v="0"/>
    <n v="270600"/>
    <n v="65100"/>
    <n v="335700"/>
    <n v="0.98242478403336309"/>
    <n v="-0.18161872257435396"/>
    <n v="0.99970000000000003"/>
    <n v="1.0019"/>
    <n v="1.0012000000000001"/>
    <n v="1.0007999999999999"/>
    <n v="0.99080000000000001"/>
    <n v="0.94971499999999998"/>
    <n v="0.94465191549562377"/>
    <n v="335000"/>
    <n v="0"/>
    <n v="335000"/>
    <n v="61800"/>
    <n v="396800"/>
    <n v="-3.8737446197991389E-2"/>
    <n v="1.6207455429497568E-3"/>
    <n v="-3.266699171136031E-2"/>
    <n v="0.98556946624924191"/>
  </r>
  <r>
    <n v="2025"/>
    <n v="19133541426"/>
    <n v="-1.7719568419318752"/>
    <n v="0.17"/>
    <n v="7245"/>
    <n v="2"/>
    <s v="RES"/>
    <n v="317"/>
    <s v="MX"/>
    <s v="R1"/>
    <n v="11"/>
    <n v="259"/>
    <s v="CO"/>
    <s v="G"/>
    <s v="EX"/>
    <n v="2021"/>
    <n v="2021"/>
    <x v="0"/>
    <n v="3"/>
    <n v="3"/>
    <n v="1"/>
    <n v="1856"/>
    <n v="0"/>
    <n v="0"/>
    <n v="0"/>
    <n v="0"/>
    <n v="0"/>
    <n v="1856"/>
    <x v="0"/>
    <n v="2"/>
    <s v="N"/>
    <s v="HP"/>
    <s v="E"/>
    <m/>
    <n v="0"/>
    <n v="0"/>
    <n v="0"/>
    <n v="0"/>
    <n v="0"/>
    <n v="11"/>
    <n v="424"/>
    <n v="0"/>
    <n v="0"/>
    <n v="0"/>
    <n v="0"/>
    <n v="0"/>
    <n v="100"/>
    <n v="100"/>
    <n v="357719"/>
    <n v="354142"/>
    <n v="889"/>
    <n v="365"/>
    <n v="365"/>
    <n v="159"/>
    <d v="2021-07-26T00:00:00"/>
    <s v="E032608"/>
    <n v="310600"/>
    <n v="310600"/>
    <s v="SWD"/>
    <n v="30"/>
    <s v="N"/>
    <s v="Y"/>
    <n v="389800"/>
    <n v="61700"/>
    <n v="328100"/>
    <n v="0"/>
    <n v="341427.02806581423"/>
    <n v="398988.25782259321"/>
    <n v="-57561.227230999997"/>
    <n v="132535.48800000001"/>
    <n v="88356.992000000013"/>
    <n v="-23255.730391660189"/>
    <n v="32917.849192000001"/>
    <n v="47371.278778200001"/>
    <n v="-326.22329999999999"/>
    <n v="115833.66528"/>
    <n v="0"/>
    <n v="0"/>
    <n v="-9412.7029999999995"/>
    <n v="0"/>
    <n v="14967.637144"/>
    <n v="0"/>
    <n v="341427.02647153981"/>
    <n v="0"/>
    <n v="276300"/>
    <n v="65100"/>
    <n v="341400"/>
    <n v="0.9097832454598711"/>
    <n v="-0.1241662390969728"/>
    <n v="0.99970000000000003"/>
    <n v="1.0019"/>
    <n v="1.0012000000000001"/>
    <n v="1.0007999999999999"/>
    <n v="0.99080000000000001"/>
    <n v="0.94971499999999998"/>
    <n v="0.94465191549562377"/>
    <n v="326600"/>
    <n v="0"/>
    <n v="326600"/>
    <n v="61800"/>
    <n v="388400"/>
    <n v="-4.5717768972874124E-3"/>
    <n v="1.6207455429497568E-3"/>
    <n v="-3.5915854284248334E-3"/>
    <n v="1.0651602471635546"/>
  </r>
  <r>
    <n v="2025"/>
    <n v="19133541427"/>
    <n v="-1.7719568419318752"/>
    <n v="0.17"/>
    <n v="7245"/>
    <n v="2"/>
    <s v="RES"/>
    <n v="317"/>
    <s v="MX"/>
    <s v="R1"/>
    <n v="11"/>
    <n v="259"/>
    <s v="CO"/>
    <s v="G"/>
    <s v="EX"/>
    <n v="2021"/>
    <n v="2021"/>
    <x v="0"/>
    <n v="3"/>
    <n v="3"/>
    <n v="1"/>
    <n v="1740"/>
    <n v="0"/>
    <n v="0"/>
    <n v="0"/>
    <n v="0"/>
    <n v="0"/>
    <n v="1740"/>
    <x v="0"/>
    <n v="2"/>
    <s v="N"/>
    <s v="HP"/>
    <s v="E"/>
    <m/>
    <n v="0"/>
    <n v="0"/>
    <n v="0"/>
    <n v="1"/>
    <n v="0"/>
    <n v="10"/>
    <n v="450"/>
    <n v="0"/>
    <n v="0"/>
    <n v="0"/>
    <n v="0"/>
    <n v="0"/>
    <n v="100"/>
    <n v="100"/>
    <n v="345244"/>
    <n v="341792"/>
    <n v="928"/>
    <n v="365"/>
    <n v="365"/>
    <n v="198"/>
    <d v="2021-06-17T00:00:00"/>
    <s v="E031949"/>
    <n v="320660"/>
    <n v="320660"/>
    <s v="SWD"/>
    <n v="30"/>
    <s v="N"/>
    <s v="Y"/>
    <n v="394400"/>
    <n v="61700"/>
    <n v="332700"/>
    <n v="0"/>
    <n v="326174.27384469507"/>
    <n v="392666.48053641163"/>
    <n v="-66492.203831000006"/>
    <n v="132535.48800000001"/>
    <n v="88356.992000000013"/>
    <n v="-23255.730391660189"/>
    <n v="32917.849192000001"/>
    <n v="47371.278778200001"/>
    <n v="-326.22329999999999"/>
    <n v="108594.06120000001"/>
    <n v="0"/>
    <n v="0"/>
    <n v="-9412.7029999999995"/>
    <n v="0"/>
    <n v="15885.463950000001"/>
    <n v="0"/>
    <n v="326174.27259753988"/>
    <n v="0"/>
    <n v="261100"/>
    <n v="65100"/>
    <n v="326200"/>
    <n v="0.9830165542611895"/>
    <n v="-0.17292089249492901"/>
    <n v="0.99970000000000003"/>
    <n v="1.0019"/>
    <n v="1.0012000000000001"/>
    <n v="1.0007999999999999"/>
    <n v="0.99080000000000001"/>
    <n v="0.94971499999999998"/>
    <n v="0.94465191549562377"/>
    <n v="320200"/>
    <n v="0"/>
    <n v="320200"/>
    <n v="61800"/>
    <n v="382000"/>
    <n v="-3.7571385632702133E-2"/>
    <n v="1.6207455429497568E-3"/>
    <n v="-3.1440162271805273E-2"/>
    <n v="0.98393250224225026"/>
  </r>
  <r>
    <n v="2025"/>
    <n v="19133541428"/>
    <n v="-1.7719568419318752"/>
    <n v="0.17"/>
    <n v="7245"/>
    <n v="2"/>
    <s v="RES"/>
    <n v="317"/>
    <s v="MX"/>
    <s v="R1"/>
    <n v="11"/>
    <n v="259"/>
    <s v="CO"/>
    <s v="G"/>
    <s v="EX"/>
    <n v="2021"/>
    <n v="2021"/>
    <x v="0"/>
    <n v="3"/>
    <n v="3"/>
    <n v="1"/>
    <n v="2010"/>
    <n v="0"/>
    <n v="0"/>
    <n v="0"/>
    <n v="0"/>
    <n v="0"/>
    <n v="2010"/>
    <x v="1"/>
    <n v="2"/>
    <s v="N"/>
    <s v="HP"/>
    <s v="E"/>
    <m/>
    <n v="0"/>
    <n v="0"/>
    <n v="0"/>
    <n v="0"/>
    <n v="0"/>
    <n v="11"/>
    <n v="424"/>
    <n v="0"/>
    <n v="0"/>
    <n v="0"/>
    <n v="0"/>
    <n v="0"/>
    <n v="100"/>
    <n v="100"/>
    <n v="388434"/>
    <n v="384550"/>
    <n v="941"/>
    <n v="365"/>
    <n v="365"/>
    <n v="211"/>
    <d v="2021-06-04T00:00:00"/>
    <s v="E031663"/>
    <n v="333600"/>
    <n v="333600"/>
    <s v="SWD"/>
    <n v="30"/>
    <s v="N"/>
    <s v="Y"/>
    <n v="408300"/>
    <n v="61700"/>
    <n v="346600"/>
    <n v="0"/>
    <n v="339130.25734292465"/>
    <n v="408599.45634628704"/>
    <n v="-69469.196030999999"/>
    <n v="132535.48800000001"/>
    <n v="88356.992000000013"/>
    <n v="-23255.730391660189"/>
    <n v="32917.849192000001"/>
    <n v="47371.278778200001"/>
    <n v="-326.22329999999999"/>
    <n v="125444.86380000001"/>
    <n v="0"/>
    <n v="0"/>
    <n v="-9412.7029999999995"/>
    <n v="0"/>
    <n v="14967.637144"/>
    <n v="0"/>
    <n v="339130.25619153987"/>
    <n v="0"/>
    <n v="274000"/>
    <n v="65100"/>
    <n v="339100"/>
    <n v="0.98378059569448539"/>
    <n v="-0.16948322312025471"/>
    <n v="0.99970000000000003"/>
    <n v="1.0019"/>
    <n v="1.0012000000000001"/>
    <n v="1.0008999999999999"/>
    <n v="0.99080000000000001"/>
    <n v="0.94971499999999998"/>
    <n v="0.94474630517542935"/>
    <n v="336200"/>
    <n v="0"/>
    <n v="336200"/>
    <n v="61800"/>
    <n v="398000"/>
    <n v="-3.0005770340450086E-2"/>
    <n v="1.6207455429497568E-3"/>
    <n v="-2.5226549106049472E-2"/>
    <n v="0.98480456825239804"/>
  </r>
  <r>
    <n v="2025"/>
    <n v="19133541428"/>
    <n v="-1.7719568419318752"/>
    <n v="0.17"/>
    <n v="7245"/>
    <n v="2"/>
    <s v="RES"/>
    <n v="317"/>
    <s v="MX"/>
    <s v="R1"/>
    <n v="11"/>
    <n v="259"/>
    <s v="CO"/>
    <s v="G"/>
    <s v="EX"/>
    <n v="2021"/>
    <n v="2021"/>
    <x v="0"/>
    <n v="3"/>
    <n v="3"/>
    <n v="1"/>
    <n v="2010"/>
    <n v="0"/>
    <n v="0"/>
    <n v="0"/>
    <n v="0"/>
    <n v="0"/>
    <n v="2010"/>
    <x v="1"/>
    <n v="2"/>
    <s v="N"/>
    <s v="HP"/>
    <s v="E"/>
    <m/>
    <n v="0"/>
    <n v="0"/>
    <n v="0"/>
    <n v="0"/>
    <n v="0"/>
    <n v="11"/>
    <n v="424"/>
    <n v="0"/>
    <n v="0"/>
    <n v="0"/>
    <n v="0"/>
    <n v="0"/>
    <n v="100"/>
    <n v="100"/>
    <n v="388434"/>
    <n v="384550"/>
    <n v="171"/>
    <n v="171"/>
    <n v="0"/>
    <n v="0"/>
    <d v="2023-07-14T00:00:00"/>
    <s v="E040859"/>
    <n v="396000"/>
    <n v="396000"/>
    <s v="SWD"/>
    <n v="30"/>
    <s v="N"/>
    <s v="Y"/>
    <n v="408300"/>
    <n v="61700"/>
    <n v="346600"/>
    <n v="0"/>
    <n v="410223.52211464808"/>
    <n v="408599.45634628704"/>
    <n v="1624.0657626"/>
    <n v="132535.48800000001"/>
    <n v="88356.992000000013"/>
    <n v="-23255.730391660189"/>
    <n v="32917.849192000001"/>
    <n v="47371.278778200001"/>
    <n v="-326.22329999999999"/>
    <n v="125444.86380000001"/>
    <n v="0"/>
    <n v="0"/>
    <n v="-9412.7029999999995"/>
    <n v="0"/>
    <n v="14967.637144"/>
    <n v="0"/>
    <n v="410223.5179851398"/>
    <n v="0"/>
    <n v="345100"/>
    <n v="65100"/>
    <n v="410200"/>
    <n v="0.96538274012676739"/>
    <n v="4.6534410972324273E-3"/>
    <n v="0.99970000000000003"/>
    <n v="1.0019"/>
    <n v="1.0012000000000001"/>
    <n v="1.0008999999999999"/>
    <n v="0.99080000000000001"/>
    <n v="0.94971499999999998"/>
    <n v="0.94474630517542935"/>
    <n v="336200"/>
    <n v="0"/>
    <n v="336200"/>
    <n v="61800"/>
    <n v="398000"/>
    <n v="-3.0005770340450086E-2"/>
    <n v="1.6207455429497568E-3"/>
    <n v="-2.5226549106049472E-2"/>
    <n v="1.0091516812186869"/>
  </r>
  <r>
    <n v="2025"/>
    <n v="19133541429"/>
    <n v="-1.7719568419318752"/>
    <n v="0.17"/>
    <n v="7360"/>
    <n v="2"/>
    <s v="RES"/>
    <n v="317"/>
    <s v="MX"/>
    <s v="R1"/>
    <n v="11"/>
    <n v="259"/>
    <s v="CO"/>
    <s v="G"/>
    <s v="EX"/>
    <n v="2021"/>
    <n v="2021"/>
    <x v="0"/>
    <n v="3"/>
    <n v="3"/>
    <n v="1"/>
    <n v="1550"/>
    <n v="0"/>
    <n v="0"/>
    <n v="0"/>
    <n v="0"/>
    <n v="0"/>
    <n v="1550"/>
    <x v="0"/>
    <n v="3"/>
    <s v="N"/>
    <s v="HP"/>
    <s v="E"/>
    <m/>
    <n v="0"/>
    <n v="0"/>
    <n v="0"/>
    <n v="1"/>
    <n v="0"/>
    <n v="10"/>
    <n v="660"/>
    <n v="0"/>
    <n v="0"/>
    <n v="0"/>
    <n v="0"/>
    <n v="0"/>
    <n v="100"/>
    <n v="100"/>
    <n v="324896"/>
    <n v="321647"/>
    <n v="874"/>
    <n v="365"/>
    <n v="365"/>
    <n v="144"/>
    <d v="2021-08-10T00:00:00"/>
    <s v="E032733"/>
    <n v="310290"/>
    <n v="310290"/>
    <s v="SWD"/>
    <n v="30"/>
    <s v="N"/>
    <s v="Y"/>
    <n v="399000"/>
    <n v="61700"/>
    <n v="337300"/>
    <n v="0"/>
    <n v="334095.48613798025"/>
    <n v="388221.72476593714"/>
    <n v="-54126.236231000003"/>
    <n v="132535.48800000001"/>
    <n v="88356.992000000013"/>
    <n v="-23255.730391660189"/>
    <n v="32917.849192000001"/>
    <n v="47371.278778200001"/>
    <n v="-326.22329999999999"/>
    <n v="96736.089000000007"/>
    <n v="0"/>
    <n v="0"/>
    <n v="-9412.7029999999995"/>
    <n v="0"/>
    <n v="23298.68046"/>
    <n v="0"/>
    <n v="334095.48450753983"/>
    <n v="0"/>
    <n v="269000"/>
    <n v="65100"/>
    <n v="334100"/>
    <n v="0.92873391200239452"/>
    <n v="-0.16265664160401003"/>
    <n v="0.99970000000000003"/>
    <n v="1.0019"/>
    <n v="1.0012000000000001"/>
    <n v="1.0007999999999999"/>
    <n v="0.99080000000000001"/>
    <n v="0.94971499999999998"/>
    <n v="0.94465191549562377"/>
    <n v="315800"/>
    <n v="0"/>
    <n v="315800"/>
    <n v="61800"/>
    <n v="377600"/>
    <n v="-6.3741476430477326E-2"/>
    <n v="1.6207455429497568E-3"/>
    <n v="-5.3634085213032583E-2"/>
    <n v="1.0424885228947114"/>
  </r>
  <r>
    <n v="2025"/>
    <n v="19133541430"/>
    <n v="-1.7147984280919266"/>
    <n v="0.18"/>
    <n v="7976"/>
    <n v="2"/>
    <s v="RES"/>
    <n v="317"/>
    <s v="MX"/>
    <s v="R1"/>
    <n v="11"/>
    <n v="259"/>
    <s v="CO"/>
    <s v="G"/>
    <s v="EX"/>
    <n v="2021"/>
    <n v="2021"/>
    <x v="0"/>
    <n v="3"/>
    <n v="3"/>
    <n v="1"/>
    <n v="1709"/>
    <n v="0"/>
    <n v="0"/>
    <n v="0"/>
    <n v="0"/>
    <n v="0"/>
    <n v="1709"/>
    <x v="0"/>
    <n v="2"/>
    <s v="N"/>
    <s v="HP"/>
    <s v="E"/>
    <m/>
    <n v="0"/>
    <n v="0"/>
    <n v="0"/>
    <n v="0"/>
    <n v="0"/>
    <n v="11"/>
    <n v="415"/>
    <n v="0"/>
    <n v="0"/>
    <n v="0"/>
    <n v="91"/>
    <n v="0"/>
    <n v="100"/>
    <n v="100"/>
    <n v="340455"/>
    <n v="337050"/>
    <n v="922"/>
    <n v="365"/>
    <n v="365"/>
    <n v="192"/>
    <d v="2021-06-23T00:00:00"/>
    <s v="E032094"/>
    <n v="323150"/>
    <n v="323150"/>
    <s v="SWD"/>
    <n v="30"/>
    <s v="N"/>
    <s v="Y"/>
    <n v="388200"/>
    <n v="62500"/>
    <n v="325700"/>
    <n v="0"/>
    <n v="325128.17780612753"/>
    <n v="390246.38804631517"/>
    <n v="-65118.207431000003"/>
    <n v="132535.48800000001"/>
    <n v="88356.992000000013"/>
    <n v="-22505.565020573864"/>
    <n v="32917.849192000001"/>
    <n v="47371.278778200001"/>
    <n v="-326.22329999999999"/>
    <n v="106659.33942"/>
    <n v="0"/>
    <n v="0"/>
    <n v="-9412.7029999999995"/>
    <n v="0"/>
    <n v="14649.927865000001"/>
    <n v="0"/>
    <n v="325128.17650362616"/>
    <n v="0"/>
    <n v="259300"/>
    <n v="65900"/>
    <n v="325200"/>
    <n v="0.99369618696186957"/>
    <n v="-0.16228748068006182"/>
    <n v="0.99970000000000003"/>
    <n v="1.0019"/>
    <n v="1.0012000000000001"/>
    <n v="1.0007999999999999"/>
    <n v="0.99080000000000001"/>
    <n v="0.94971499999999998"/>
    <n v="0.94465191549562377"/>
    <n v="317100"/>
    <n v="0"/>
    <n v="317100"/>
    <n v="62500"/>
    <n v="379600"/>
    <n v="-2.6404666871354007E-2"/>
    <n v="0"/>
    <n v="-2.2153529108706851E-2"/>
    <n v="0.97317590149775646"/>
  </r>
  <r>
    <n v="2025"/>
    <n v="19133541431"/>
    <n v="-1.4696759700589417"/>
    <n v="0.23"/>
    <n v="10201"/>
    <n v="2"/>
    <s v="RES"/>
    <n v="317"/>
    <s v="MX"/>
    <s v="R1"/>
    <n v="11"/>
    <n v="259"/>
    <s v="CO"/>
    <s v="G"/>
    <s v="EX"/>
    <n v="2021"/>
    <n v="2021"/>
    <x v="0"/>
    <n v="3"/>
    <n v="3"/>
    <n v="2"/>
    <n v="1111"/>
    <n v="1126"/>
    <n v="0"/>
    <n v="0"/>
    <n v="0"/>
    <n v="0"/>
    <n v="2237"/>
    <x v="1"/>
    <n v="2"/>
    <s v="N"/>
    <s v="HP"/>
    <s v="E"/>
    <m/>
    <n v="0"/>
    <n v="0"/>
    <n v="0"/>
    <n v="0"/>
    <n v="1"/>
    <n v="13"/>
    <n v="455"/>
    <n v="0"/>
    <n v="0"/>
    <n v="0"/>
    <n v="0"/>
    <n v="0"/>
    <n v="100"/>
    <n v="100"/>
    <n v="407747"/>
    <n v="403670"/>
    <n v="857"/>
    <n v="365"/>
    <n v="365"/>
    <n v="127"/>
    <d v="2021-08-27T00:00:00"/>
    <s v="E032957"/>
    <n v="361070"/>
    <n v="324358"/>
    <s v="SWD"/>
    <n v="30"/>
    <s v="N"/>
    <s v="Y"/>
    <n v="472900"/>
    <n v="65900"/>
    <n v="407000"/>
    <n v="36712"/>
    <n v="374408.35006254108"/>
    <n v="424641.59874449956"/>
    <n v="-50233.246431"/>
    <n v="132535.48800000001"/>
    <n v="88356.992000000013"/>
    <n v="-19288.499197039939"/>
    <n v="32917.849192000001"/>
    <n v="47371.278778200001"/>
    <n v="-326.22329999999999"/>
    <n v="69337.932180000003"/>
    <n v="67087.511257999999"/>
    <n v="0"/>
    <n v="-9412.7029999999995"/>
    <n v="0"/>
    <n v="16061.969105"/>
    <n v="0"/>
    <n v="374408.34858516016"/>
    <n v="36700"/>
    <n v="305300"/>
    <n v="69100"/>
    <n v="411100"/>
    <n v="0.87830211627341281"/>
    <n v="-0.1306830196658913"/>
    <n v="0.99970000000000003"/>
    <n v="1.0019"/>
    <n v="1.0012000000000001"/>
    <n v="1.0008999999999999"/>
    <n v="0.99080000000000001"/>
    <n v="0.94971499999999998"/>
    <n v="0.94474630517542935"/>
    <n v="348300"/>
    <n v="34900"/>
    <n v="383200"/>
    <n v="65600"/>
    <n v="448800"/>
    <n v="-5.8476658476658477E-2"/>
    <n v="-4.552352048558422E-3"/>
    <n v="-5.0962148445760205E-2"/>
    <n v="1.1038489865372365"/>
  </r>
  <r>
    <n v="2025"/>
    <n v="19133541433"/>
    <n v="-1.6094379124341003"/>
    <n v="0.2"/>
    <n v="8515"/>
    <n v="2"/>
    <s v="RES"/>
    <n v="317"/>
    <s v="MX"/>
    <s v="R1"/>
    <n v="11"/>
    <n v="259"/>
    <s v="CO"/>
    <s v="G"/>
    <s v="EX"/>
    <n v="2021"/>
    <n v="2021"/>
    <x v="0"/>
    <n v="3"/>
    <n v="3"/>
    <n v="1"/>
    <n v="2040"/>
    <n v="0"/>
    <n v="0"/>
    <n v="0"/>
    <n v="0"/>
    <n v="0"/>
    <n v="2040"/>
    <x v="1"/>
    <n v="3"/>
    <s v="N"/>
    <s v="HP"/>
    <s v="E"/>
    <m/>
    <n v="0"/>
    <n v="0"/>
    <n v="1"/>
    <n v="0"/>
    <n v="0"/>
    <n v="11"/>
    <n v="655"/>
    <n v="0"/>
    <n v="0"/>
    <n v="0"/>
    <n v="0"/>
    <n v="0"/>
    <n v="100"/>
    <n v="100"/>
    <n v="409065"/>
    <n v="404974"/>
    <n v="958"/>
    <n v="365"/>
    <n v="365"/>
    <n v="228"/>
    <d v="2021-05-18T00:00:00"/>
    <s v="E031627"/>
    <n v="381254"/>
    <n v="381254"/>
    <s v="SWD"/>
    <n v="30"/>
    <s v="N"/>
    <s v="Y"/>
    <n v="426700"/>
    <n v="64000"/>
    <n v="362700"/>
    <n v="0"/>
    <n v="357204.17197180894"/>
    <n v="430566.36092116975"/>
    <n v="-73362.185830999995"/>
    <n v="132535.48800000001"/>
    <n v="88356.992000000013"/>
    <n v="-21122.779792355024"/>
    <n v="32917.849192000001"/>
    <n v="47371.278778200001"/>
    <n v="-326.22329999999999"/>
    <n v="127317.17520000001"/>
    <n v="0"/>
    <n v="0"/>
    <n v="-9412.7029999999995"/>
    <n v="9807.1044999999995"/>
    <n v="23122.175305000001"/>
    <n v="0"/>
    <n v="357204.17105184501"/>
    <n v="0"/>
    <n v="290000"/>
    <n v="67200"/>
    <n v="357200"/>
    <n v="1.067340425531915"/>
    <n v="-0.16287790016404968"/>
    <n v="0.99970000000000003"/>
    <n v="1.0019"/>
    <n v="1.0012000000000001"/>
    <n v="1.0008999999999999"/>
    <n v="0.99080000000000001"/>
    <n v="0.94971499999999998"/>
    <n v="0.94474630517542935"/>
    <n v="356000"/>
    <n v="0"/>
    <n v="356000"/>
    <n v="63900"/>
    <n v="419900"/>
    <n v="-1.8472566859663635E-2"/>
    <n v="-1.5625000000000001E-3"/>
    <n v="-1.5936254980079681E-2"/>
    <n v="0.90894210728018598"/>
  </r>
  <r>
    <n v="2025"/>
    <n v="19133541434"/>
    <n v="-1.7147984280919266"/>
    <n v="0.18"/>
    <n v="7982"/>
    <n v="2"/>
    <s v="RES"/>
    <n v="317"/>
    <s v="MX"/>
    <s v="R1"/>
    <n v="11"/>
    <n v="259"/>
    <s v="CO"/>
    <s v="G"/>
    <s v="EX"/>
    <n v="2021"/>
    <n v="2021"/>
    <x v="0"/>
    <n v="3"/>
    <n v="3"/>
    <n v="1"/>
    <n v="2010"/>
    <n v="0"/>
    <n v="0"/>
    <n v="0"/>
    <n v="0"/>
    <n v="0"/>
    <n v="2010"/>
    <x v="1"/>
    <n v="2"/>
    <s v="N"/>
    <s v="HP"/>
    <s v="E"/>
    <m/>
    <n v="0"/>
    <n v="0"/>
    <n v="0"/>
    <n v="0"/>
    <n v="0"/>
    <n v="11"/>
    <n v="424"/>
    <n v="0"/>
    <n v="0"/>
    <n v="0"/>
    <n v="144"/>
    <n v="0"/>
    <n v="100"/>
    <n v="100"/>
    <n v="383336"/>
    <n v="379503"/>
    <n v="857"/>
    <n v="365"/>
    <n v="365"/>
    <n v="127"/>
    <d v="2021-08-27T00:00:00"/>
    <s v="E033012"/>
    <n v="321900"/>
    <n v="321900"/>
    <s v="SWD"/>
    <n v="30"/>
    <s v="N"/>
    <s v="Y"/>
    <n v="399900"/>
    <n v="62500"/>
    <n v="337400"/>
    <n v="0"/>
    <n v="359116.37302732287"/>
    <n v="409349.62170928129"/>
    <n v="-50233.246431"/>
    <n v="132535.48800000001"/>
    <n v="88356.992000000013"/>
    <n v="-22505.565020573864"/>
    <n v="32917.849192000001"/>
    <n v="47371.278778200001"/>
    <n v="-326.22329999999999"/>
    <n v="125444.86380000001"/>
    <n v="0"/>
    <n v="0"/>
    <n v="-9412.7029999999995"/>
    <n v="0"/>
    <n v="14967.637144"/>
    <n v="0"/>
    <n v="359116.37116262619"/>
    <n v="0"/>
    <n v="293300"/>
    <n v="65900"/>
    <n v="359200"/>
    <n v="0.89615812917594651"/>
    <n v="-0.10177544386096524"/>
    <n v="0.99970000000000003"/>
    <n v="1.0019"/>
    <n v="1.0012000000000001"/>
    <n v="1.0008999999999999"/>
    <n v="0.99080000000000001"/>
    <n v="0.94971499999999998"/>
    <n v="0.94474630517542935"/>
    <n v="336200"/>
    <n v="0"/>
    <n v="336200"/>
    <n v="62500"/>
    <n v="398700"/>
    <n v="-3.5566093657379964E-3"/>
    <n v="0"/>
    <n v="-3.0007501875468868E-3"/>
    <n v="1.0825310766356011"/>
  </r>
  <r>
    <n v="2025"/>
    <n v="19133541435"/>
    <n v="-1.7719568419318752"/>
    <n v="0.17"/>
    <n v="7245"/>
    <n v="2"/>
    <s v="RES"/>
    <n v="317"/>
    <s v="MX"/>
    <s v="R1"/>
    <n v="11"/>
    <n v="259"/>
    <s v="CO"/>
    <s v="G"/>
    <s v="EX"/>
    <n v="2021"/>
    <n v="2021"/>
    <x v="0"/>
    <n v="3"/>
    <n v="3"/>
    <n v="1"/>
    <n v="1740"/>
    <n v="0"/>
    <n v="0"/>
    <n v="0"/>
    <n v="0"/>
    <n v="0"/>
    <n v="1740"/>
    <x v="0"/>
    <n v="2"/>
    <s v="N"/>
    <s v="HP"/>
    <s v="E"/>
    <m/>
    <n v="0"/>
    <n v="0"/>
    <n v="0"/>
    <n v="1"/>
    <n v="0"/>
    <n v="10"/>
    <n v="450"/>
    <n v="0"/>
    <n v="0"/>
    <n v="0"/>
    <n v="0"/>
    <n v="0"/>
    <n v="100"/>
    <n v="100"/>
    <n v="346527"/>
    <n v="343062"/>
    <n v="811"/>
    <n v="365"/>
    <n v="365"/>
    <n v="81"/>
    <d v="2021-10-12T00:00:00"/>
    <s v="E033690"/>
    <n v="319450"/>
    <n v="319450"/>
    <s v="SWD"/>
    <n v="30"/>
    <s v="N"/>
    <s v="Y"/>
    <n v="396200"/>
    <n v="61700"/>
    <n v="334500"/>
    <n v="0"/>
    <n v="352967.20464950771"/>
    <n v="392666.48053641163"/>
    <n v="-39699.274031000001"/>
    <n v="132535.48800000001"/>
    <n v="88356.992000000013"/>
    <n v="-23255.730391660189"/>
    <n v="32917.849192000001"/>
    <n v="47371.278778200001"/>
    <n v="-326.22329999999999"/>
    <n v="108594.06120000001"/>
    <n v="0"/>
    <n v="0"/>
    <n v="-9412.7029999999995"/>
    <n v="0"/>
    <n v="15885.463950000001"/>
    <n v="0"/>
    <n v="352967.20239753986"/>
    <n v="0"/>
    <n v="287900"/>
    <n v="65100"/>
    <n v="353000"/>
    <n v="0.90495750708215295"/>
    <n v="-0.10903584048460374"/>
    <n v="0.99970000000000003"/>
    <n v="1.0019"/>
    <n v="1.0012000000000001"/>
    <n v="1.0007999999999999"/>
    <n v="0.99080000000000001"/>
    <n v="0.94971499999999998"/>
    <n v="0.94465191549562377"/>
    <n v="320200"/>
    <n v="0"/>
    <n v="320200"/>
    <n v="61800"/>
    <n v="382000"/>
    <n v="-4.275037369207773E-2"/>
    <n v="1.6207455429497568E-3"/>
    <n v="-3.5840484603735484E-2"/>
    <n v="1.0715314633557678"/>
  </r>
  <r>
    <n v="2025"/>
    <n v="19133541436"/>
    <n v="-1.7719568419318752"/>
    <n v="0.17"/>
    <n v="7245"/>
    <n v="2"/>
    <s v="RES"/>
    <n v="317"/>
    <s v="MX"/>
    <s v="R1"/>
    <n v="11"/>
    <n v="259"/>
    <s v="CO"/>
    <s v="G"/>
    <s v="EX"/>
    <n v="2021"/>
    <n v="2021"/>
    <x v="0"/>
    <n v="3"/>
    <n v="3"/>
    <n v="1"/>
    <n v="2010"/>
    <n v="0"/>
    <n v="0"/>
    <n v="0"/>
    <n v="0"/>
    <n v="0"/>
    <n v="2010"/>
    <x v="1"/>
    <n v="2"/>
    <s v="S"/>
    <s v="HP"/>
    <s v="E"/>
    <m/>
    <n v="0"/>
    <n v="0"/>
    <n v="0"/>
    <n v="0"/>
    <n v="0"/>
    <n v="11"/>
    <n v="424"/>
    <n v="0"/>
    <n v="0"/>
    <n v="0"/>
    <n v="0"/>
    <n v="0"/>
    <n v="100"/>
    <n v="100"/>
    <n v="389661"/>
    <n v="385764"/>
    <n v="803"/>
    <n v="365"/>
    <n v="365"/>
    <n v="73"/>
    <d v="2021-10-20T00:00:00"/>
    <s v="E033810"/>
    <n v="395055"/>
    <n v="395055"/>
    <s v="SWD"/>
    <n v="30"/>
    <s v="N"/>
    <s v="Y"/>
    <n v="410100"/>
    <n v="61700"/>
    <n v="348400"/>
    <n v="0"/>
    <n v="384257.75679804763"/>
    <n v="422125.03741624637"/>
    <n v="-37867.278831000003"/>
    <n v="132535.48800000001"/>
    <n v="88356.992000000013"/>
    <n v="-23255.730391660189"/>
    <n v="32917.849192000001"/>
    <n v="47371.278778200001"/>
    <n v="-326.22329999999999"/>
    <n v="125444.86380000001"/>
    <n v="0"/>
    <n v="0"/>
    <n v="4112.8784489"/>
    <n v="0"/>
    <n v="14967.637144"/>
    <n v="0"/>
    <n v="384257.75484043983"/>
    <n v="0"/>
    <n v="319200"/>
    <n v="65100"/>
    <n v="384300"/>
    <n v="1.0279859484777518"/>
    <n v="-6.2911485003657647E-2"/>
    <n v="0.99970000000000003"/>
    <n v="1.0019"/>
    <n v="1.0012000000000001"/>
    <n v="1.0008999999999999"/>
    <n v="0.99080000000000001"/>
    <n v="0.94971499999999998"/>
    <n v="0.94474630517542935"/>
    <n v="349700"/>
    <n v="0"/>
    <n v="349700"/>
    <n v="61800"/>
    <n v="411500"/>
    <n v="3.7313432835820895E-3"/>
    <n v="1.6207455429497568E-3"/>
    <n v="3.413801511826384E-3"/>
    <n v="0.94577393317133063"/>
  </r>
  <r>
    <n v="2025"/>
    <n v="19133541437"/>
    <n v="-1.7719568419318752"/>
    <n v="0.17"/>
    <n v="7245"/>
    <n v="2"/>
    <s v="RES"/>
    <n v="317"/>
    <s v="MX"/>
    <s v="R1"/>
    <n v="11"/>
    <n v="259"/>
    <s v="CO"/>
    <s v="G"/>
    <s v="EX"/>
    <n v="2021"/>
    <n v="2021"/>
    <x v="0"/>
    <n v="3"/>
    <n v="3"/>
    <n v="1"/>
    <n v="1740"/>
    <n v="0"/>
    <n v="0"/>
    <n v="0"/>
    <n v="0"/>
    <n v="0"/>
    <n v="1740"/>
    <x v="0"/>
    <n v="2"/>
    <s v="N"/>
    <s v="HP"/>
    <s v="E"/>
    <m/>
    <n v="0"/>
    <n v="0"/>
    <n v="0"/>
    <n v="1"/>
    <n v="0"/>
    <n v="10"/>
    <n v="450"/>
    <n v="0"/>
    <n v="0"/>
    <n v="0"/>
    <n v="144"/>
    <n v="0"/>
    <n v="100"/>
    <n v="100"/>
    <n v="339934"/>
    <n v="336535"/>
    <n v="899"/>
    <n v="365"/>
    <n v="365"/>
    <n v="169"/>
    <d v="2021-07-16T00:00:00"/>
    <s v="E032264"/>
    <n v="306590"/>
    <n v="306590"/>
    <s v="SWD"/>
    <n v="30"/>
    <s v="N"/>
    <s v="Y"/>
    <n v="385200"/>
    <n v="61700"/>
    <n v="323500"/>
    <n v="0"/>
    <n v="332815.2566937512"/>
    <n v="392666.48053641163"/>
    <n v="-59851.221231000003"/>
    <n v="132535.48800000001"/>
    <n v="88356.992000000013"/>
    <n v="-23255.730391660189"/>
    <n v="32917.849192000001"/>
    <n v="47371.278778200001"/>
    <n v="-326.22329999999999"/>
    <n v="108594.06120000001"/>
    <n v="0"/>
    <n v="0"/>
    <n v="-9412.7029999999995"/>
    <n v="0"/>
    <n v="15885.463950000001"/>
    <n v="0"/>
    <n v="332815.25519753987"/>
    <n v="0"/>
    <n v="267700"/>
    <n v="65100"/>
    <n v="332800"/>
    <n v="0.92124399038461535"/>
    <n v="-0.13603322949117341"/>
    <n v="0.99970000000000003"/>
    <n v="1.0019"/>
    <n v="1.0012000000000001"/>
    <n v="1.0007999999999999"/>
    <n v="0.99080000000000001"/>
    <n v="0.94971499999999998"/>
    <n v="0.94465191549562377"/>
    <n v="320200"/>
    <n v="0"/>
    <n v="320200"/>
    <n v="61800"/>
    <n v="382000"/>
    <n v="-1.0200927357032458E-2"/>
    <n v="1.6207455429497568E-3"/>
    <n v="-8.3073727933541015E-3"/>
    <n v="1.0507478351185622"/>
  </r>
  <r>
    <n v="2025"/>
    <n v="19133541438"/>
    <n v="-1.7719568419318752"/>
    <n v="0.17"/>
    <n v="7245"/>
    <n v="2"/>
    <s v="RES"/>
    <n v="317"/>
    <s v="MX"/>
    <s v="R1"/>
    <n v="11"/>
    <n v="259"/>
    <s v="CO"/>
    <s v="G"/>
    <s v="EX"/>
    <n v="2021"/>
    <n v="2021"/>
    <x v="0"/>
    <n v="3"/>
    <n v="3"/>
    <n v="2"/>
    <n v="780"/>
    <n v="1080"/>
    <n v="0"/>
    <n v="0"/>
    <n v="0"/>
    <n v="0"/>
    <n v="1860"/>
    <x v="0"/>
    <n v="2"/>
    <s v="N"/>
    <s v="HP"/>
    <s v="E"/>
    <m/>
    <n v="0"/>
    <n v="0"/>
    <n v="1"/>
    <n v="1"/>
    <n v="1"/>
    <n v="13"/>
    <n v="0"/>
    <n v="420"/>
    <n v="0"/>
    <n v="0"/>
    <n v="144"/>
    <n v="0"/>
    <n v="100"/>
    <n v="100"/>
    <n v="348311"/>
    <n v="344828"/>
    <n v="907"/>
    <n v="365"/>
    <n v="365"/>
    <n v="177"/>
    <d v="2021-07-08T00:00:00"/>
    <s v="E032277"/>
    <n v="326430"/>
    <n v="326430"/>
    <s v="SWD"/>
    <n v="30"/>
    <s v="N"/>
    <s v="Y"/>
    <n v="396900"/>
    <n v="61700"/>
    <n v="335200"/>
    <n v="0"/>
    <n v="350084.40654977201"/>
    <n v="411767.62566113763"/>
    <n v="-61683.216430999993"/>
    <n v="132535.48800000001"/>
    <n v="88356.992000000013"/>
    <n v="-23255.730391660189"/>
    <n v="32917.849192000001"/>
    <n v="47371.278778200001"/>
    <n v="-326.22329999999999"/>
    <n v="48680.096400000002"/>
    <n v="64346.81364"/>
    <n v="0"/>
    <n v="-9412.7029999999995"/>
    <n v="9807.1044999999995"/>
    <n v="0"/>
    <n v="20746.655999999999"/>
    <n v="350084.40538753988"/>
    <n v="0"/>
    <n v="285000"/>
    <n v="65100"/>
    <n v="350100"/>
    <n v="0.93239074550128531"/>
    <n v="-0.11791383219954649"/>
    <n v="0.99970000000000003"/>
    <n v="1.0019"/>
    <n v="1.0012000000000001"/>
    <n v="1.0007999999999999"/>
    <n v="0.99080000000000001"/>
    <n v="0.94971499999999998"/>
    <n v="0.94465191549562377"/>
    <n v="339300"/>
    <n v="0"/>
    <n v="339300"/>
    <n v="61800"/>
    <n v="401100"/>
    <n v="1.2231503579952268E-2"/>
    <n v="1.6207455429497568E-3"/>
    <n v="1.0582010582010581E-2"/>
    <n v="1.0397842832123274"/>
  </r>
  <r>
    <n v="2025"/>
    <n v="19133541439"/>
    <n v="-1.7719568419318752"/>
    <n v="0.17"/>
    <n v="7245"/>
    <n v="2"/>
    <s v="RES"/>
    <n v="317"/>
    <s v="MX"/>
    <s v="R1"/>
    <n v="11"/>
    <n v="259"/>
    <s v="CO"/>
    <s v="G"/>
    <s v="EX"/>
    <n v="2021"/>
    <n v="2021"/>
    <x v="0"/>
    <n v="3"/>
    <n v="3"/>
    <n v="2"/>
    <n v="1111"/>
    <n v="1126"/>
    <n v="0"/>
    <n v="0"/>
    <n v="0"/>
    <n v="0"/>
    <n v="2237"/>
    <x v="1"/>
    <n v="2"/>
    <s v="N"/>
    <s v="HP"/>
    <s v="E"/>
    <m/>
    <n v="0"/>
    <n v="0"/>
    <n v="0"/>
    <n v="0"/>
    <n v="1"/>
    <n v="13"/>
    <n v="455"/>
    <n v="0"/>
    <n v="0"/>
    <n v="0"/>
    <n v="144"/>
    <n v="0"/>
    <n v="100"/>
    <n v="100"/>
    <n v="403514"/>
    <n v="399479"/>
    <n v="845"/>
    <n v="365"/>
    <n v="365"/>
    <n v="115"/>
    <d v="2021-09-08T00:00:00"/>
    <s v="E033224"/>
    <n v="335800"/>
    <n v="335800"/>
    <s v="SWD"/>
    <n v="30"/>
    <s v="N"/>
    <s v="Y"/>
    <n v="424700"/>
    <n v="61700"/>
    <n v="363000"/>
    <n v="0"/>
    <n v="373189.11181377317"/>
    <n v="420674.36759267392"/>
    <n v="-47485.253631"/>
    <n v="132535.48800000001"/>
    <n v="88356.992000000013"/>
    <n v="-23255.730391660189"/>
    <n v="32917.849192000001"/>
    <n v="47371.278778200001"/>
    <n v="-326.22329999999999"/>
    <n v="69337.932180000003"/>
    <n v="67087.511257999999"/>
    <n v="0"/>
    <n v="-9412.7029999999995"/>
    <n v="0"/>
    <n v="16061.969105"/>
    <n v="0"/>
    <n v="373189.11019053991"/>
    <n v="0"/>
    <n v="308100"/>
    <n v="65100"/>
    <n v="373200"/>
    <n v="0.89978563772775988"/>
    <n v="-0.12126206734165293"/>
    <n v="0.99970000000000003"/>
    <n v="1.0019"/>
    <n v="1.0012000000000001"/>
    <n v="1.0008999999999999"/>
    <n v="0.99080000000000001"/>
    <n v="0.94971499999999998"/>
    <n v="0.94474630517542935"/>
    <n v="348300"/>
    <n v="0"/>
    <n v="348300"/>
    <n v="61800"/>
    <n v="410100"/>
    <n v="-4.049586776859504E-2"/>
    <n v="1.6207455429497568E-3"/>
    <n v="-3.4377207440546266E-2"/>
    <n v="1.0798533245056581"/>
  </r>
  <r>
    <n v="2025"/>
    <n v="19133541440"/>
    <n v="-1.6607312068216509"/>
    <n v="0.19"/>
    <n v="8363"/>
    <n v="2"/>
    <s v="RES"/>
    <n v="317"/>
    <s v="MX"/>
    <s v="R1"/>
    <n v="11"/>
    <n v="259"/>
    <s v="CO"/>
    <s v="G"/>
    <s v="EX"/>
    <n v="2021"/>
    <n v="2021"/>
    <x v="0"/>
    <n v="3"/>
    <n v="3"/>
    <n v="1"/>
    <n v="2010"/>
    <n v="0"/>
    <n v="0"/>
    <n v="0"/>
    <n v="0"/>
    <n v="0"/>
    <n v="2010"/>
    <x v="1"/>
    <n v="2"/>
    <s v="N"/>
    <s v="HP"/>
    <s v="E"/>
    <m/>
    <n v="0"/>
    <n v="0"/>
    <n v="1"/>
    <n v="0"/>
    <n v="0"/>
    <n v="11"/>
    <n v="424"/>
    <n v="0"/>
    <n v="0"/>
    <n v="0"/>
    <n v="144"/>
    <n v="0"/>
    <n v="100"/>
    <n v="100"/>
    <n v="387197"/>
    <n v="383325"/>
    <n v="839"/>
    <n v="365"/>
    <n v="365"/>
    <n v="109"/>
    <d v="2021-09-14T00:00:00"/>
    <s v="E033308"/>
    <n v="363790"/>
    <n v="363790"/>
    <s v="SWD"/>
    <n v="30"/>
    <s v="N"/>
    <s v="Y"/>
    <n v="400600"/>
    <n v="63200"/>
    <n v="337400"/>
    <n v="0"/>
    <n v="373755.0624621592"/>
    <n v="419866.32178953104"/>
    <n v="-46111.257230999996"/>
    <n v="132535.48800000001"/>
    <n v="88356.992000000013"/>
    <n v="-21795.969453044734"/>
    <n v="32917.849192000001"/>
    <n v="47371.278778200001"/>
    <n v="-326.22329999999999"/>
    <n v="125444.86380000001"/>
    <n v="0"/>
    <n v="0"/>
    <n v="-9412.7029999999995"/>
    <n v="9807.1044999999995"/>
    <n v="14967.637144"/>
    <n v="0"/>
    <n v="373755.06043015531"/>
    <n v="0"/>
    <n v="307200"/>
    <n v="66600"/>
    <n v="373800"/>
    <n v="0.9732209737827715"/>
    <n v="-6.6899650524213677E-2"/>
    <n v="0.99970000000000003"/>
    <n v="1.0019"/>
    <n v="1.0012000000000001"/>
    <n v="1.0008999999999999"/>
    <n v="0.99080000000000001"/>
    <n v="0.94971499999999998"/>
    <n v="0.94474630517542935"/>
    <n v="346000"/>
    <n v="0"/>
    <n v="346000"/>
    <n v="63200"/>
    <n v="409200"/>
    <n v="2.5489033787788974E-2"/>
    <n v="0"/>
    <n v="2.1467798302546182E-2"/>
    <n v="0.99807235704389896"/>
  </r>
  <r>
    <n v="2025"/>
    <n v="19133541441"/>
    <n v="-1.6094379124341003"/>
    <n v="0.2"/>
    <n v="8505"/>
    <n v="2"/>
    <s v="RES"/>
    <n v="317"/>
    <s v="MX"/>
    <s v="R1"/>
    <n v="11"/>
    <n v="259"/>
    <s v="CO"/>
    <s v="G"/>
    <s v="EX"/>
    <n v="2021"/>
    <n v="2021"/>
    <x v="0"/>
    <n v="3"/>
    <n v="3"/>
    <n v="2"/>
    <n v="1650"/>
    <n v="1346"/>
    <n v="0"/>
    <n v="0"/>
    <n v="0"/>
    <n v="0"/>
    <n v="2996"/>
    <x v="4"/>
    <n v="3"/>
    <s v="S"/>
    <s v="HP"/>
    <s v="E"/>
    <m/>
    <n v="0"/>
    <n v="0"/>
    <n v="0"/>
    <n v="0"/>
    <n v="1"/>
    <n v="15"/>
    <n v="660"/>
    <n v="0"/>
    <n v="0"/>
    <n v="0"/>
    <n v="0"/>
    <n v="0"/>
    <n v="100"/>
    <n v="100"/>
    <n v="521206"/>
    <n v="515994"/>
    <n v="802"/>
    <n v="365"/>
    <n v="365"/>
    <n v="72"/>
    <d v="2021-10-21T00:00:00"/>
    <s v="E033895"/>
    <n v="485510"/>
    <n v="485510"/>
    <s v="SWD"/>
    <n v="30"/>
    <s v="N"/>
    <s v="Y"/>
    <n v="483500"/>
    <n v="64000"/>
    <n v="419500"/>
    <n v="0"/>
    <n v="452678.20834064693"/>
    <n v="490316.48955025745"/>
    <n v="-37638.279431000003"/>
    <n v="132535.48800000001"/>
    <n v="88356.992000000013"/>
    <n v="-21122.779792355024"/>
    <n v="32917.849192000001"/>
    <n v="47371.278778200001"/>
    <n v="-326.22329999999999"/>
    <n v="102977.12700000001"/>
    <n v="80195.195517999993"/>
    <n v="0"/>
    <n v="4112.8784489"/>
    <n v="0"/>
    <n v="23298.68046"/>
    <n v="0"/>
    <n v="452678.20687374502"/>
    <n v="0"/>
    <n v="385400"/>
    <n v="67200"/>
    <n v="452600"/>
    <n v="1.0727132125497127"/>
    <n v="-6.3908996897621514E-2"/>
    <n v="0.99970000000000003"/>
    <n v="1.0019"/>
    <n v="1.0012000000000001"/>
    <n v="1.0099"/>
    <n v="0.99080000000000001"/>
    <n v="0.94971499999999998"/>
    <n v="0.95324137635794415"/>
    <n v="416900"/>
    <n v="0"/>
    <n v="416900"/>
    <n v="63900"/>
    <n v="480800"/>
    <n v="-6.1978545887961863E-3"/>
    <n v="-1.5625000000000001E-3"/>
    <n v="-5.5842812823164428E-3"/>
    <n v="0.9127756803546786"/>
  </r>
  <r>
    <n v="2025"/>
    <n v="19133541442"/>
    <n v="-1.7719568419318752"/>
    <n v="0.17"/>
    <n v="7245"/>
    <n v="2"/>
    <s v="RES"/>
    <n v="317"/>
    <s v="MX"/>
    <s v="R1"/>
    <n v="11"/>
    <n v="259"/>
    <s v="CO"/>
    <s v="G"/>
    <s v="EX"/>
    <n v="2021"/>
    <n v="2021"/>
    <x v="0"/>
    <n v="3"/>
    <n v="3"/>
    <n v="1"/>
    <n v="2010"/>
    <n v="0"/>
    <n v="0"/>
    <n v="0"/>
    <n v="0"/>
    <n v="0"/>
    <n v="2010"/>
    <x v="1"/>
    <n v="2"/>
    <s v="N"/>
    <s v="HP"/>
    <s v="E"/>
    <m/>
    <n v="0"/>
    <n v="0"/>
    <n v="0"/>
    <n v="0"/>
    <n v="0"/>
    <n v="11"/>
    <n v="424"/>
    <n v="0"/>
    <n v="0"/>
    <n v="0"/>
    <n v="144"/>
    <n v="0"/>
    <n v="100"/>
    <n v="100"/>
    <n v="383336"/>
    <n v="379503"/>
    <n v="839"/>
    <n v="365"/>
    <n v="365"/>
    <n v="109"/>
    <d v="2021-09-14T00:00:00"/>
    <s v="E033407"/>
    <n v="335670"/>
    <n v="335670"/>
    <s v="SWD"/>
    <n v="30"/>
    <s v="N"/>
    <s v="Y"/>
    <n v="399100"/>
    <n v="61700"/>
    <n v="337400"/>
    <n v="0"/>
    <n v="362488.19701891515"/>
    <n v="408599.45634628704"/>
    <n v="-46111.257230999996"/>
    <n v="132535.48800000001"/>
    <n v="88356.992000000013"/>
    <n v="-23255.730391660189"/>
    <n v="32917.849192000001"/>
    <n v="47371.278778200001"/>
    <n v="-326.22329999999999"/>
    <n v="125444.86380000001"/>
    <n v="0"/>
    <n v="0"/>
    <n v="-9412.7029999999995"/>
    <n v="0"/>
    <n v="14967.637144"/>
    <n v="0"/>
    <n v="362488.19499153987"/>
    <n v="0"/>
    <n v="297400"/>
    <n v="65100"/>
    <n v="362500"/>
    <n v="0.92598620689655176"/>
    <n v="-9.1706339263342526E-2"/>
    <n v="0.99970000000000003"/>
    <n v="1.0019"/>
    <n v="1.0012000000000001"/>
    <n v="1.0008999999999999"/>
    <n v="0.99080000000000001"/>
    <n v="0.94971499999999998"/>
    <n v="0.94474630517542935"/>
    <n v="336200"/>
    <n v="0"/>
    <n v="336200"/>
    <n v="61800"/>
    <n v="398000"/>
    <n v="-3.5566093657379964E-3"/>
    <n v="1.6207455429497568E-3"/>
    <n v="-2.7562014532698572E-3"/>
    <n v="1.0483175224744541"/>
  </r>
  <r>
    <n v="2025"/>
    <n v="19133541443"/>
    <n v="-1.7719568419318752"/>
    <n v="0.17"/>
    <n v="7245"/>
    <n v="2"/>
    <s v="RES"/>
    <n v="317"/>
    <s v="MX"/>
    <s v="R1"/>
    <n v="11"/>
    <n v="259"/>
    <s v="CO"/>
    <s v="G"/>
    <s v="EX"/>
    <n v="2021"/>
    <n v="2021"/>
    <x v="0"/>
    <n v="3"/>
    <n v="3"/>
    <n v="1"/>
    <n v="1740"/>
    <n v="0"/>
    <n v="0"/>
    <n v="0"/>
    <n v="0"/>
    <n v="0"/>
    <n v="1740"/>
    <x v="0"/>
    <n v="3"/>
    <s v="N"/>
    <s v="HP"/>
    <s v="E"/>
    <m/>
    <n v="0"/>
    <n v="0"/>
    <n v="0"/>
    <n v="1"/>
    <n v="0"/>
    <n v="10"/>
    <n v="690"/>
    <n v="0"/>
    <n v="0"/>
    <n v="0"/>
    <n v="396"/>
    <n v="0"/>
    <n v="100"/>
    <n v="100"/>
    <n v="360365"/>
    <n v="356761"/>
    <n v="944"/>
    <n v="365"/>
    <n v="365"/>
    <n v="214"/>
    <d v="2021-06-01T00:00:00"/>
    <s v="E031571"/>
    <n v="329348"/>
    <n v="329348"/>
    <s v="SWD"/>
    <n v="30"/>
    <s v="N"/>
    <s v="Y"/>
    <n v="406600"/>
    <n v="61700"/>
    <n v="344900"/>
    <n v="0"/>
    <n v="330982.53066052234"/>
    <n v="401138.72788964916"/>
    <n v="-70156.194231000001"/>
    <n v="132535.48800000001"/>
    <n v="88356.992000000013"/>
    <n v="-23255.730391660189"/>
    <n v="32917.849192000001"/>
    <n v="47371.278778200001"/>
    <n v="-326.22329999999999"/>
    <n v="108594.06120000001"/>
    <n v="0"/>
    <n v="0"/>
    <n v="-9412.7029999999995"/>
    <n v="0"/>
    <n v="24357.71139"/>
    <n v="0"/>
    <n v="330982.52963753988"/>
    <n v="0"/>
    <n v="265900"/>
    <n v="65100"/>
    <n v="331000"/>
    <n v="0.99500906344410878"/>
    <n v="-0.18593212001967535"/>
    <n v="0.99970000000000003"/>
    <n v="1.0019"/>
    <n v="1.0012000000000001"/>
    <n v="1.0007999999999999"/>
    <n v="0.99080000000000001"/>
    <n v="0.94971499999999998"/>
    <n v="0.94465191549562377"/>
    <n v="328700"/>
    <n v="0"/>
    <n v="328700"/>
    <n v="61800"/>
    <n v="390500"/>
    <n v="-4.6970136271383009E-2"/>
    <n v="1.6207455429497568E-3"/>
    <n v="-3.9596655189375309E-2"/>
    <n v="0.97266054680459568"/>
  </r>
  <r>
    <n v="2025"/>
    <n v="19133541444"/>
    <n v="-1.7719568419318752"/>
    <n v="0.17"/>
    <n v="7245"/>
    <n v="2"/>
    <s v="RES"/>
    <n v="317"/>
    <s v="MX"/>
    <s v="R1"/>
    <n v="11"/>
    <n v="259"/>
    <s v="CO"/>
    <s v="G"/>
    <s v="EX"/>
    <n v="2021"/>
    <n v="2021"/>
    <x v="0"/>
    <n v="3"/>
    <n v="3"/>
    <n v="1"/>
    <n v="1740"/>
    <n v="0"/>
    <n v="0"/>
    <n v="0"/>
    <n v="0"/>
    <n v="0"/>
    <n v="1740"/>
    <x v="0"/>
    <n v="2"/>
    <s v="N"/>
    <s v="HP"/>
    <s v="E"/>
    <m/>
    <n v="0"/>
    <n v="0"/>
    <n v="0"/>
    <n v="1"/>
    <n v="0"/>
    <n v="10"/>
    <n v="450"/>
    <n v="0"/>
    <n v="0"/>
    <n v="0"/>
    <n v="144"/>
    <n v="0"/>
    <n v="100"/>
    <n v="100"/>
    <n v="339934"/>
    <n v="336535"/>
    <n v="802"/>
    <n v="365"/>
    <n v="365"/>
    <n v="72"/>
    <d v="2021-10-21T00:00:00"/>
    <s v="E033890"/>
    <n v="316150"/>
    <n v="316150"/>
    <s v="SWD"/>
    <n v="30"/>
    <s v="N"/>
    <s v="Y"/>
    <n v="385200"/>
    <n v="61700"/>
    <n v="323500"/>
    <n v="0"/>
    <n v="355028.199326801"/>
    <n v="392666.48053641163"/>
    <n v="-37638.279431000003"/>
    <n v="132535.48800000001"/>
    <n v="88356.992000000013"/>
    <n v="-23255.730391660189"/>
    <n v="32917.849192000001"/>
    <n v="47371.278778200001"/>
    <n v="-326.22329999999999"/>
    <n v="108594.06120000001"/>
    <n v="0"/>
    <n v="0"/>
    <n v="-9412.7029999999995"/>
    <n v="0"/>
    <n v="15885.463950000001"/>
    <n v="0"/>
    <n v="355028.1969975399"/>
    <n v="0"/>
    <n v="289900"/>
    <n v="65100"/>
    <n v="355000"/>
    <n v="0.89056338028169013"/>
    <n v="-7.8400830737279339E-2"/>
    <n v="0.99970000000000003"/>
    <n v="1.0019"/>
    <n v="1.0012000000000001"/>
    <n v="1.0007999999999999"/>
    <n v="0.99080000000000001"/>
    <n v="0.94971499999999998"/>
    <n v="0.94465191549562377"/>
    <n v="320200"/>
    <n v="0"/>
    <n v="320200"/>
    <n v="61800"/>
    <n v="382000"/>
    <n v="-1.0200927357032458E-2"/>
    <n v="1.6207455429497568E-3"/>
    <n v="-8.3073727933541015E-3"/>
    <n v="1.089235238238178"/>
  </r>
  <r>
    <n v="2025"/>
    <n v="19133541445"/>
    <n v="-1.7719568419318752"/>
    <n v="0.17"/>
    <n v="7245"/>
    <n v="2"/>
    <s v="RES"/>
    <n v="317"/>
    <s v="MX"/>
    <s v="R1"/>
    <n v="11"/>
    <n v="259"/>
    <s v="CO"/>
    <s v="G"/>
    <s v="EX"/>
    <n v="2021"/>
    <n v="2021"/>
    <x v="0"/>
    <n v="3"/>
    <n v="3"/>
    <n v="2"/>
    <n v="1668"/>
    <n v="1160"/>
    <n v="0"/>
    <n v="0"/>
    <n v="0"/>
    <n v="0"/>
    <n v="2828"/>
    <x v="4"/>
    <n v="2"/>
    <s v="N"/>
    <s v="HP"/>
    <s v="E"/>
    <m/>
    <n v="0"/>
    <n v="0"/>
    <n v="0"/>
    <n v="1"/>
    <n v="0"/>
    <n v="15"/>
    <n v="0"/>
    <n v="420"/>
    <n v="0"/>
    <n v="0"/>
    <n v="120"/>
    <n v="0"/>
    <n v="100"/>
    <n v="100"/>
    <n v="478430"/>
    <n v="473646"/>
    <n v="817"/>
    <n v="365"/>
    <n v="365"/>
    <n v="87"/>
    <d v="2021-10-06T00:00:00"/>
    <s v="E033606"/>
    <n v="390280"/>
    <n v="390280"/>
    <s v="SWD"/>
    <n v="30"/>
    <s v="N"/>
    <s v="Y"/>
    <n v="443700"/>
    <n v="61700"/>
    <n v="382000"/>
    <n v="0"/>
    <n v="421074.09688090516"/>
    <n v="462147.36921933788"/>
    <n v="-41073.270430999997"/>
    <n v="132535.48800000001"/>
    <n v="88356.992000000013"/>
    <n v="-23255.730391660189"/>
    <n v="32917.849192000001"/>
    <n v="47371.278778200001"/>
    <n v="-326.22329999999999"/>
    <n v="104100.51384"/>
    <n v="69113.244279999999"/>
    <n v="0"/>
    <n v="-9412.7029999999995"/>
    <n v="0"/>
    <n v="0"/>
    <n v="20746.655999999999"/>
    <n v="421074.09496753983"/>
    <n v="0"/>
    <n v="356000"/>
    <n v="65100"/>
    <n v="421100"/>
    <n v="0.92681073379244838"/>
    <n v="-5.0935316655397793E-2"/>
    <n v="0.99970000000000003"/>
    <n v="1.0019"/>
    <n v="1.0012000000000001"/>
    <n v="1.0099"/>
    <n v="0.99080000000000001"/>
    <n v="0.94971499999999998"/>
    <n v="0.95324137635794415"/>
    <n v="390800"/>
    <n v="0"/>
    <n v="390800"/>
    <n v="61800"/>
    <n v="452600"/>
    <n v="2.3036649214659685E-2"/>
    <n v="1.6207455429497568E-3"/>
    <n v="2.0058598151904441E-2"/>
    <n v="1.0544397088474942"/>
  </r>
  <r>
    <n v="2025"/>
    <n v="19133541446"/>
    <n v="-1.7719568419318752"/>
    <n v="0.17"/>
    <n v="7245"/>
    <n v="2"/>
    <s v="RES"/>
    <n v="317"/>
    <s v="MX"/>
    <s v="R1"/>
    <n v="11"/>
    <n v="259"/>
    <s v="CO"/>
    <s v="A+"/>
    <s v="EX"/>
    <n v="2021"/>
    <n v="2021"/>
    <x v="0"/>
    <n v="3"/>
    <n v="3"/>
    <n v="1"/>
    <n v="1403"/>
    <n v="0"/>
    <n v="0"/>
    <n v="0"/>
    <n v="0"/>
    <n v="0"/>
    <n v="1403"/>
    <x v="3"/>
    <n v="3"/>
    <s v="S"/>
    <s v="HP"/>
    <s v="G"/>
    <m/>
    <n v="0"/>
    <n v="0"/>
    <n v="0"/>
    <n v="0"/>
    <n v="0"/>
    <n v="10"/>
    <n v="640"/>
    <n v="0"/>
    <n v="0"/>
    <n v="0"/>
    <n v="264"/>
    <n v="144"/>
    <n v="100"/>
    <n v="100"/>
    <n v="265225"/>
    <n v="262573"/>
    <n v="726"/>
    <n v="365"/>
    <n v="361"/>
    <n v="0"/>
    <d v="2022-01-05T00:00:00"/>
    <s v="E034988"/>
    <n v="359950"/>
    <n v="359950"/>
    <s v="SWD"/>
    <n v="30"/>
    <s v="N"/>
    <s v="Y"/>
    <n v="390500"/>
    <n v="61700"/>
    <n v="328800"/>
    <n v="0"/>
    <n v="375222.81297729816"/>
    <n v="396103.36255571246"/>
    <n v="-20880.548430999999"/>
    <n v="132535.48800000001"/>
    <n v="88356.992000000013"/>
    <n v="-23255.730391660189"/>
    <n v="37154.252388000001"/>
    <n v="47371.278778200001"/>
    <n v="-326.22329999999999"/>
    <n v="87561.76314000001"/>
    <n v="0"/>
    <n v="0"/>
    <n v="4112.8784489"/>
    <n v="0"/>
    <n v="22592.65984"/>
    <n v="0"/>
    <n v="375222.8104724398"/>
    <n v="0"/>
    <n v="310100"/>
    <n v="65100"/>
    <n v="375200"/>
    <n v="0.95935501066098083"/>
    <n v="-3.9180537772087069E-2"/>
    <n v="0.99970000000000003"/>
    <n v="0.99819999999999998"/>
    <n v="1.0012000000000001"/>
    <n v="0.99519999999999997"/>
    <n v="0.99080000000000001"/>
    <n v="0.94971499999999998"/>
    <n v="0.93589703010114389"/>
    <n v="322500"/>
    <n v="0"/>
    <n v="322500"/>
    <n v="61800"/>
    <n v="384300"/>
    <n v="-1.916058394160584E-2"/>
    <n v="1.6207455429497568E-3"/>
    <n v="-1.5877080665813059E-2"/>
    <n v="1.0096387041783581"/>
  </r>
  <r>
    <n v="2025"/>
    <n v="19133541447"/>
    <n v="-1.7147984280919266"/>
    <n v="0.18"/>
    <n v="7982"/>
    <n v="2"/>
    <s v="RES"/>
    <n v="317"/>
    <s v="MX"/>
    <s v="R1"/>
    <n v="11"/>
    <n v="259"/>
    <s v="CO"/>
    <s v="G"/>
    <s v="EX"/>
    <n v="2021"/>
    <n v="2021"/>
    <x v="0"/>
    <n v="3"/>
    <n v="3"/>
    <n v="1"/>
    <n v="2040"/>
    <n v="0"/>
    <n v="0"/>
    <n v="0"/>
    <n v="0"/>
    <n v="0"/>
    <n v="2040"/>
    <x v="1"/>
    <n v="3"/>
    <s v="N"/>
    <s v="HP"/>
    <s v="E"/>
    <m/>
    <n v="0"/>
    <n v="0"/>
    <n v="1"/>
    <n v="0"/>
    <n v="0"/>
    <n v="11"/>
    <n v="655"/>
    <n v="0"/>
    <n v="0"/>
    <n v="0"/>
    <n v="0"/>
    <n v="0"/>
    <n v="100"/>
    <n v="100"/>
    <n v="408597"/>
    <n v="404511"/>
    <n v="811"/>
    <n v="365"/>
    <n v="365"/>
    <n v="81"/>
    <d v="2021-10-12T00:00:00"/>
    <s v="E033660"/>
    <n v="377150"/>
    <n v="377150"/>
    <s v="SWD"/>
    <n v="30"/>
    <s v="N"/>
    <s v="Y"/>
    <n v="424500"/>
    <n v="62500"/>
    <n v="362000"/>
    <n v="0"/>
    <n v="389484.29982096318"/>
    <n v="429183.57570786704"/>
    <n v="-39699.274031000001"/>
    <n v="132535.48800000001"/>
    <n v="88356.992000000013"/>
    <n v="-22505.565020573864"/>
    <n v="32917.849192000001"/>
    <n v="47371.278778200001"/>
    <n v="-326.22329999999999"/>
    <n v="127317.17520000001"/>
    <n v="0"/>
    <n v="0"/>
    <n v="-9412.7029999999995"/>
    <n v="9807.1044999999995"/>
    <n v="23122.175305000001"/>
    <n v="0"/>
    <n v="389484.29762362619"/>
    <n v="0"/>
    <n v="323600"/>
    <n v="65900"/>
    <n v="389500"/>
    <n v="0.96829268292682924"/>
    <n v="-8.2449941107184926E-2"/>
    <n v="0.99970000000000003"/>
    <n v="1.0019"/>
    <n v="1.0012000000000001"/>
    <n v="1.0008999999999999"/>
    <n v="0.99080000000000001"/>
    <n v="0.94971499999999998"/>
    <n v="0.94474630517542935"/>
    <n v="356000"/>
    <n v="0"/>
    <n v="356000"/>
    <n v="62500"/>
    <n v="418500"/>
    <n v="-1.6574585635359115E-2"/>
    <n v="0"/>
    <n v="-1.4134275618374558E-2"/>
    <n v="1.0043768420230679"/>
  </r>
  <r>
    <n v="2025"/>
    <n v="19133541448"/>
    <n v="-1.6607312068216509"/>
    <n v="0.19"/>
    <n v="8348"/>
    <n v="2"/>
    <s v="RES"/>
    <n v="317"/>
    <s v="MX"/>
    <s v="R1"/>
    <n v="11"/>
    <n v="259"/>
    <s v="CO"/>
    <s v="G"/>
    <s v="EX"/>
    <n v="2021"/>
    <n v="2021"/>
    <x v="0"/>
    <n v="3"/>
    <n v="3"/>
    <n v="1"/>
    <n v="2010"/>
    <n v="0"/>
    <n v="0"/>
    <n v="0"/>
    <n v="0"/>
    <n v="0"/>
    <n v="2010"/>
    <x v="1"/>
    <n v="3"/>
    <s v="N"/>
    <s v="HP"/>
    <s v="E"/>
    <m/>
    <n v="0"/>
    <n v="0"/>
    <n v="0"/>
    <n v="0"/>
    <n v="0"/>
    <n v="11"/>
    <n v="664"/>
    <n v="0"/>
    <n v="0"/>
    <n v="0"/>
    <n v="0"/>
    <n v="0"/>
    <n v="100"/>
    <n v="100"/>
    <n v="397955"/>
    <n v="393975"/>
    <n v="823"/>
    <n v="365"/>
    <n v="365"/>
    <n v="93"/>
    <d v="2021-09-30T00:00:00"/>
    <s v="E033446"/>
    <n v="366735"/>
    <n v="366735"/>
    <s v="SWD"/>
    <n v="30"/>
    <s v="N"/>
    <s v="Y"/>
    <n v="420100"/>
    <n v="63200"/>
    <n v="356900"/>
    <n v="0"/>
    <n v="376084.19583243201"/>
    <n v="418531.4646223936"/>
    <n v="-42447.266831000001"/>
    <n v="132535.48800000001"/>
    <n v="88356.992000000013"/>
    <n v="-21795.969453044734"/>
    <n v="32917.849192000001"/>
    <n v="47371.278778200001"/>
    <n v="-326.22329999999999"/>
    <n v="125444.86380000001"/>
    <n v="0"/>
    <n v="0"/>
    <n v="-9412.7029999999995"/>
    <n v="0"/>
    <n v="23439.884583999999"/>
    <n v="0"/>
    <n v="376084.19377015531"/>
    <n v="0"/>
    <n v="309500"/>
    <n v="66600"/>
    <n v="376100"/>
    <n v="0.97509970752459452"/>
    <n v="-0.10473696738871698"/>
    <n v="0.99970000000000003"/>
    <n v="1.0019"/>
    <n v="1.0012000000000001"/>
    <n v="1.0008999999999999"/>
    <n v="0.99080000000000001"/>
    <n v="0.94971499999999998"/>
    <n v="0.94474630517542935"/>
    <n v="344600"/>
    <n v="0"/>
    <n v="344600"/>
    <n v="63200"/>
    <n v="407800"/>
    <n v="-3.4463435135892409E-2"/>
    <n v="0"/>
    <n v="-2.9278743156391337E-2"/>
    <n v="0.99623088379620162"/>
  </r>
  <r>
    <n v="2025"/>
    <n v="19133541449"/>
    <n v="-1.6607312068216509"/>
    <n v="0.19"/>
    <n v="8366"/>
    <n v="2"/>
    <s v="RES"/>
    <n v="317"/>
    <s v="MX"/>
    <s v="R1"/>
    <n v="11"/>
    <n v="259"/>
    <s v="CO"/>
    <s v="G"/>
    <s v="EX"/>
    <n v="2021"/>
    <n v="2021"/>
    <x v="0"/>
    <n v="3"/>
    <n v="3"/>
    <n v="1"/>
    <n v="2010"/>
    <n v="0"/>
    <n v="0"/>
    <n v="0"/>
    <n v="0"/>
    <n v="0"/>
    <n v="2010"/>
    <x v="1"/>
    <n v="3"/>
    <s v="N"/>
    <s v="HP"/>
    <s v="E"/>
    <m/>
    <n v="0"/>
    <n v="0"/>
    <n v="0"/>
    <n v="0"/>
    <n v="0"/>
    <n v="11"/>
    <n v="664"/>
    <n v="0"/>
    <n v="0"/>
    <n v="0"/>
    <n v="120"/>
    <n v="0"/>
    <n v="100"/>
    <n v="100"/>
    <n v="392585"/>
    <n v="388659"/>
    <n v="942"/>
    <n v="365"/>
    <n v="365"/>
    <n v="212"/>
    <d v="2021-06-03T00:00:00"/>
    <s v="E031716"/>
    <n v="353140"/>
    <n v="353140"/>
    <s v="SWD"/>
    <n v="30"/>
    <s v="N"/>
    <s v="Y"/>
    <n v="410900"/>
    <n v="63200"/>
    <n v="347700"/>
    <n v="0"/>
    <n v="348833.26621044311"/>
    <n v="418531.4646223936"/>
    <n v="-69698.195431"/>
    <n v="132535.48800000001"/>
    <n v="88356.992000000013"/>
    <n v="-21795.969453044734"/>
    <n v="32917.849192000001"/>
    <n v="47371.278778200001"/>
    <n v="-326.22329999999999"/>
    <n v="125444.86380000001"/>
    <n v="0"/>
    <n v="0"/>
    <n v="-9412.7029999999995"/>
    <n v="0"/>
    <n v="23439.884583999999"/>
    <n v="0"/>
    <n v="348833.26517015527"/>
    <n v="0"/>
    <n v="282300"/>
    <n v="66600"/>
    <n v="348900"/>
    <n v="1.0121524792204071"/>
    <n v="-0.15088829398880507"/>
    <n v="0.99970000000000003"/>
    <n v="1.0019"/>
    <n v="1.0012000000000001"/>
    <n v="1.0008999999999999"/>
    <n v="0.99080000000000001"/>
    <n v="0.94971499999999998"/>
    <n v="0.94474630517542935"/>
    <n v="344600"/>
    <n v="0"/>
    <n v="344600"/>
    <n v="63200"/>
    <n v="407800"/>
    <n v="-8.9157319528329025E-3"/>
    <n v="0"/>
    <n v="-7.5444146994402533E-3"/>
    <n v="0.95741576872911605"/>
  </r>
  <r>
    <n v="2025"/>
    <n v="19133541450"/>
    <n v="-1.4696759700589417"/>
    <n v="0.23"/>
    <n v="10202"/>
    <n v="2"/>
    <s v="RES"/>
    <n v="317"/>
    <s v="MX"/>
    <s v="R1"/>
    <n v="11"/>
    <n v="259"/>
    <s v="CO"/>
    <s v="G"/>
    <s v="EX"/>
    <n v="2021"/>
    <n v="2021"/>
    <x v="0"/>
    <n v="3"/>
    <n v="3"/>
    <n v="1"/>
    <n v="2298"/>
    <n v="0"/>
    <n v="0"/>
    <n v="0"/>
    <n v="0"/>
    <n v="0"/>
    <n v="2298"/>
    <x v="1"/>
    <n v="3"/>
    <s v="N"/>
    <s v="HP"/>
    <s v="E"/>
    <m/>
    <n v="0"/>
    <n v="0"/>
    <n v="0"/>
    <n v="0"/>
    <n v="0"/>
    <n v="12"/>
    <n v="678"/>
    <n v="0"/>
    <n v="0"/>
    <n v="0"/>
    <n v="0"/>
    <n v="0"/>
    <n v="100"/>
    <n v="100"/>
    <n v="453334"/>
    <n v="448801"/>
    <n v="924"/>
    <n v="365"/>
    <n v="365"/>
    <n v="194"/>
    <d v="2021-06-21T00:00:00"/>
    <s v="E032009"/>
    <n v="385040"/>
    <n v="385040"/>
    <s v="SWD"/>
    <n v="30"/>
    <s v="N"/>
    <s v="Y"/>
    <n v="452600"/>
    <n v="65900"/>
    <n v="386700"/>
    <n v="0"/>
    <n v="373931.12966983311"/>
    <n v="439507.33872719709"/>
    <n v="-65576.206231000004"/>
    <n v="132535.48800000001"/>
    <n v="88356.992000000013"/>
    <n v="-19288.499197039939"/>
    <n v="32917.849192000001"/>
    <n v="47371.278778200001"/>
    <n v="-326.22329999999999"/>
    <n v="143419.05324000001"/>
    <n v="0"/>
    <n v="0"/>
    <n v="-9412.7029999999995"/>
    <n v="0"/>
    <n v="23934.099018000001"/>
    <n v="0"/>
    <n v="373931.12850016012"/>
    <n v="0"/>
    <n v="304900"/>
    <n v="69100"/>
    <n v="374000"/>
    <n v="1.0295187165775401"/>
    <n v="-0.17366327883340699"/>
    <n v="0.99970000000000003"/>
    <n v="1.0019"/>
    <n v="1.0012000000000001"/>
    <n v="1.0008999999999999"/>
    <n v="0.99080000000000001"/>
    <n v="0.94971499999999998"/>
    <n v="0.94474630517542935"/>
    <n v="363100"/>
    <n v="0"/>
    <n v="363100"/>
    <n v="65600"/>
    <n v="428700"/>
    <n v="-6.1029221618825964E-2"/>
    <n v="-4.552352048558422E-3"/>
    <n v="-5.2806009721608482E-2"/>
    <n v="0.94308070270361521"/>
  </r>
  <r>
    <n v="2025"/>
    <n v="19133541451"/>
    <n v="-1.6607312068216509"/>
    <n v="0.19"/>
    <n v="8085"/>
    <n v="2"/>
    <s v="RES"/>
    <n v="317"/>
    <s v="MX"/>
    <s v="R1"/>
    <n v="11"/>
    <n v="259"/>
    <s v="CO"/>
    <s v="G"/>
    <s v="EX"/>
    <n v="2021"/>
    <n v="2021"/>
    <x v="0"/>
    <n v="3"/>
    <n v="3"/>
    <n v="1"/>
    <n v="1740"/>
    <n v="0"/>
    <n v="0"/>
    <n v="0"/>
    <n v="0"/>
    <n v="0"/>
    <n v="1740"/>
    <x v="0"/>
    <n v="2"/>
    <s v="N"/>
    <s v="HP"/>
    <s v="E"/>
    <m/>
    <n v="0"/>
    <n v="0"/>
    <n v="0"/>
    <n v="1"/>
    <n v="0"/>
    <n v="10"/>
    <n v="450"/>
    <n v="0"/>
    <n v="0"/>
    <n v="0"/>
    <n v="144"/>
    <n v="0"/>
    <n v="100"/>
    <n v="100"/>
    <n v="339934"/>
    <n v="336535"/>
    <n v="811"/>
    <n v="365"/>
    <n v="365"/>
    <n v="81"/>
    <d v="2021-10-12T00:00:00"/>
    <s v="E033677"/>
    <n v="314200"/>
    <n v="314200"/>
    <s v="SWD"/>
    <n v="30"/>
    <s v="N"/>
    <s v="Y"/>
    <n v="386700"/>
    <n v="63200"/>
    <n v="323500"/>
    <n v="0"/>
    <n v="354426.96557237674"/>
    <n v="394126.2414592806"/>
    <n v="-39699.274031000001"/>
    <n v="132535.48800000001"/>
    <n v="88356.992000000013"/>
    <n v="-21795.969453044734"/>
    <n v="32917.849192000001"/>
    <n v="47371.278778200001"/>
    <n v="-326.22329999999999"/>
    <n v="108594.06120000001"/>
    <n v="0"/>
    <n v="0"/>
    <n v="-9412.7029999999995"/>
    <n v="0"/>
    <n v="15885.463950000001"/>
    <n v="0"/>
    <n v="354426.96333615528"/>
    <n v="0"/>
    <n v="287900"/>
    <n v="66600"/>
    <n v="354500"/>
    <n v="0.8863187588152327"/>
    <n v="-8.3268683734160853E-2"/>
    <n v="0.99970000000000003"/>
    <n v="1.0019"/>
    <n v="1.0012000000000001"/>
    <n v="1.0007999999999999"/>
    <n v="0.99080000000000001"/>
    <n v="0.94971499999999998"/>
    <n v="0.94465191549562377"/>
    <n v="320200"/>
    <n v="0"/>
    <n v="320200"/>
    <n v="63200"/>
    <n v="383400"/>
    <n v="-1.0200927357032458E-2"/>
    <n v="0"/>
    <n v="-8.5337470907680367E-3"/>
    <n v="1.0938915530521962"/>
  </r>
  <r>
    <n v="2025"/>
    <n v="19133541452"/>
    <n v="-1.7719568419318752"/>
    <n v="0.17"/>
    <n v="7544"/>
    <n v="2"/>
    <s v="RES"/>
    <n v="317"/>
    <s v="MX"/>
    <s v="R1"/>
    <n v="11"/>
    <n v="259"/>
    <s v="CO"/>
    <s v="G"/>
    <s v="EX"/>
    <n v="2021"/>
    <n v="2021"/>
    <x v="0"/>
    <n v="3"/>
    <n v="3"/>
    <n v="1"/>
    <n v="2010"/>
    <n v="0"/>
    <n v="0"/>
    <n v="0"/>
    <n v="0"/>
    <n v="0"/>
    <n v="2010"/>
    <x v="1"/>
    <n v="2"/>
    <s v="N"/>
    <s v="HP"/>
    <s v="E"/>
    <m/>
    <n v="0"/>
    <n v="0"/>
    <n v="1"/>
    <n v="0"/>
    <n v="0"/>
    <n v="11"/>
    <n v="424"/>
    <n v="0"/>
    <n v="0"/>
    <n v="0"/>
    <n v="0"/>
    <n v="0"/>
    <n v="100"/>
    <n v="100"/>
    <n v="392295"/>
    <n v="388372"/>
    <n v="818"/>
    <n v="365"/>
    <n v="365"/>
    <n v="88"/>
    <d v="2021-10-05T00:00:00"/>
    <s v="E033658"/>
    <n v="357700"/>
    <n v="357700"/>
    <s v="SWD"/>
    <n v="30"/>
    <s v="N"/>
    <s v="Y"/>
    <n v="408300"/>
    <n v="61700"/>
    <n v="346600"/>
    <n v="0"/>
    <n v="377104.28911964118"/>
    <n v="418406.56086666207"/>
    <n v="-41302.269830999998"/>
    <n v="132535.48800000001"/>
    <n v="88356.992000000013"/>
    <n v="-23255.730391660189"/>
    <n v="32917.849192000001"/>
    <n v="47371.278778200001"/>
    <n v="-326.22329999999999"/>
    <n v="125444.86380000001"/>
    <n v="0"/>
    <n v="0"/>
    <n v="-9412.7029999999995"/>
    <n v="9807.1044999999995"/>
    <n v="14967.637144"/>
    <n v="0"/>
    <n v="377104.28689153987"/>
    <n v="0"/>
    <n v="312000"/>
    <n v="65100"/>
    <n v="377100"/>
    <n v="0.94855476001060723"/>
    <n v="-7.6414401175606175E-2"/>
    <n v="0.99970000000000003"/>
    <n v="1.0019"/>
    <n v="1.0012000000000001"/>
    <n v="1.0008999999999999"/>
    <n v="0.99080000000000001"/>
    <n v="0.94971499999999998"/>
    <n v="0.94474630517542935"/>
    <n v="346000"/>
    <n v="0"/>
    <n v="346000"/>
    <n v="61800"/>
    <n v="407800"/>
    <n v="-1.7311021350259665E-3"/>
    <n v="1.6207455429497568E-3"/>
    <n v="-1.2245897624295861E-3"/>
    <n v="1.0245952758428851"/>
  </r>
  <r>
    <n v="2025"/>
    <n v="19133541453"/>
    <n v="-1.7719568419318752"/>
    <n v="0.17"/>
    <n v="7350"/>
    <n v="2"/>
    <s v="RES"/>
    <n v="317"/>
    <s v="MX"/>
    <s v="R1"/>
    <n v="11"/>
    <n v="259"/>
    <s v="CO"/>
    <s v="G"/>
    <s v="EX"/>
    <n v="2021"/>
    <n v="2021"/>
    <x v="0"/>
    <n v="3"/>
    <n v="3"/>
    <n v="1"/>
    <n v="2010"/>
    <n v="0"/>
    <n v="0"/>
    <n v="0"/>
    <n v="0"/>
    <n v="0"/>
    <n v="2010"/>
    <x v="1"/>
    <n v="3"/>
    <s v="S"/>
    <s v="HP"/>
    <s v="E"/>
    <m/>
    <n v="0"/>
    <n v="0"/>
    <n v="0"/>
    <n v="0"/>
    <n v="0"/>
    <n v="11"/>
    <n v="664"/>
    <n v="0"/>
    <n v="0"/>
    <n v="0"/>
    <n v="120"/>
    <n v="0"/>
    <n v="100"/>
    <n v="100"/>
    <n v="392585"/>
    <n v="388659"/>
    <n v="672"/>
    <n v="365"/>
    <n v="307"/>
    <n v="0"/>
    <d v="2022-02-28T00:00:00"/>
    <s v="E035454"/>
    <n v="416880"/>
    <n v="416880"/>
    <s v="SWD"/>
    <n v="30"/>
    <s v="N"/>
    <s v="Y"/>
    <n v="409400"/>
    <n v="61700"/>
    <n v="347700"/>
    <n v="0"/>
    <n v="413358.68706454441"/>
    <n v="430597.28476948396"/>
    <n v="-17238.596731000001"/>
    <n v="132535.48800000001"/>
    <n v="88356.992000000013"/>
    <n v="-23255.730391660189"/>
    <n v="32917.849192000001"/>
    <n v="47371.278778200001"/>
    <n v="-326.22329999999999"/>
    <n v="125444.86380000001"/>
    <n v="0"/>
    <n v="0"/>
    <n v="4112.8784489"/>
    <n v="0"/>
    <n v="23439.884583999999"/>
    <n v="0"/>
    <n v="413358.68438043987"/>
    <n v="0"/>
    <n v="348300"/>
    <n v="65100"/>
    <n v="413400"/>
    <n v="1.0084179970972424"/>
    <n v="9.7703957010258913E-3"/>
    <n v="0.99970000000000003"/>
    <n v="1.0019"/>
    <n v="1.0012000000000001"/>
    <n v="1.0008999999999999"/>
    <n v="0.99080000000000001"/>
    <n v="0.94971499999999998"/>
    <n v="0.94474630517542935"/>
    <n v="358200"/>
    <n v="0"/>
    <n v="358200"/>
    <n v="61800"/>
    <n v="420000"/>
    <n v="3.0198446937014668E-2"/>
    <n v="1.6207455429497568E-3"/>
    <n v="2.5891548607718612E-2"/>
    <n v="0.96613270789915562"/>
  </r>
  <r>
    <n v="2025"/>
    <n v="19133541454"/>
    <n v="-1.7719568419318752"/>
    <n v="0.17"/>
    <n v="7350"/>
    <n v="2"/>
    <s v="RES"/>
    <n v="317"/>
    <s v="MX"/>
    <s v="R1"/>
    <n v="11"/>
    <n v="259"/>
    <s v="CO"/>
    <s v="G"/>
    <s v="EX"/>
    <n v="2021"/>
    <n v="2021"/>
    <x v="0"/>
    <n v="3"/>
    <n v="3"/>
    <n v="1"/>
    <n v="2010"/>
    <n v="0"/>
    <n v="0"/>
    <n v="0"/>
    <n v="0"/>
    <n v="0"/>
    <n v="2010"/>
    <x v="1"/>
    <n v="2"/>
    <s v="N"/>
    <s v="HP"/>
    <s v="E"/>
    <m/>
    <n v="0"/>
    <n v="0"/>
    <n v="0"/>
    <n v="0"/>
    <n v="0"/>
    <n v="11"/>
    <n v="424"/>
    <n v="0"/>
    <n v="0"/>
    <n v="0"/>
    <n v="0"/>
    <n v="0"/>
    <n v="100"/>
    <n v="100"/>
    <n v="388434"/>
    <n v="384550"/>
    <n v="851"/>
    <n v="365"/>
    <n v="365"/>
    <n v="121"/>
    <d v="2021-09-02T00:00:00"/>
    <s v="E033135"/>
    <n v="336600"/>
    <n v="336600"/>
    <s v="SWD"/>
    <n v="30"/>
    <s v="N"/>
    <s v="Y"/>
    <n v="408300"/>
    <n v="61700"/>
    <n v="346600"/>
    <n v="0"/>
    <n v="359740.20411585743"/>
    <n v="408599.45634628704"/>
    <n v="-48859.250031000003"/>
    <n v="132535.48800000001"/>
    <n v="88356.992000000013"/>
    <n v="-23255.730391660189"/>
    <n v="32917.849192000001"/>
    <n v="47371.278778200001"/>
    <n v="-326.22329999999999"/>
    <n v="125444.86380000001"/>
    <n v="0"/>
    <n v="0"/>
    <n v="-9412.7029999999995"/>
    <n v="0"/>
    <n v="14967.637144"/>
    <n v="0"/>
    <n v="359740.20219153987"/>
    <n v="0"/>
    <n v="294600"/>
    <n v="65100"/>
    <n v="359700"/>
    <n v="0.93577981651376152"/>
    <n v="-0.11903012490815577"/>
    <n v="0.99970000000000003"/>
    <n v="1.0019"/>
    <n v="1.0012000000000001"/>
    <n v="1.0008999999999999"/>
    <n v="0.99080000000000001"/>
    <n v="0.94971499999999998"/>
    <n v="0.94474630517542935"/>
    <n v="336200"/>
    <n v="0"/>
    <n v="336200"/>
    <n v="61800"/>
    <n v="398000"/>
    <n v="-3.0005770340450086E-2"/>
    <n v="1.6207455429497568E-3"/>
    <n v="-2.5226549106049472E-2"/>
    <n v="1.0372571300326798"/>
  </r>
  <r>
    <n v="2025"/>
    <n v="19133541455"/>
    <n v="-1.7719568419318752"/>
    <n v="0.17"/>
    <n v="7350"/>
    <n v="2"/>
    <s v="RES"/>
    <n v="317"/>
    <s v="MX"/>
    <s v="R1"/>
    <n v="11"/>
    <n v="259"/>
    <s v="CO"/>
    <s v="G"/>
    <s v="EX"/>
    <n v="2021"/>
    <n v="2021"/>
    <x v="0"/>
    <n v="3"/>
    <n v="3"/>
    <n v="2"/>
    <n v="780"/>
    <n v="1080"/>
    <n v="0"/>
    <n v="0"/>
    <n v="0"/>
    <n v="0"/>
    <n v="1860"/>
    <x v="0"/>
    <n v="2"/>
    <s v="N"/>
    <s v="HP"/>
    <s v="E"/>
    <m/>
    <n v="0"/>
    <n v="0"/>
    <n v="0"/>
    <n v="1"/>
    <n v="1"/>
    <n v="13"/>
    <n v="0"/>
    <n v="420"/>
    <n v="0"/>
    <n v="0"/>
    <n v="0"/>
    <n v="0"/>
    <n v="100"/>
    <n v="100"/>
    <n v="348473"/>
    <n v="344988"/>
    <n v="871"/>
    <n v="365"/>
    <n v="365"/>
    <n v="141"/>
    <d v="2021-08-13T00:00:00"/>
    <s v="E032785"/>
    <n v="323730"/>
    <n v="323730"/>
    <s v="SWD"/>
    <n v="30"/>
    <s v="N"/>
    <s v="Y"/>
    <n v="410500"/>
    <n v="61700"/>
    <n v="348800"/>
    <n v="0"/>
    <n v="348521.28073857015"/>
    <n v="401960.5211407626"/>
    <n v="-53439.238031000001"/>
    <n v="132535.48800000001"/>
    <n v="88356.992000000013"/>
    <n v="-23255.730391660189"/>
    <n v="32917.849192000001"/>
    <n v="47371.278778200001"/>
    <n v="-326.22329999999999"/>
    <n v="48680.096400000002"/>
    <n v="64346.81364"/>
    <n v="0"/>
    <n v="-9412.7029999999995"/>
    <n v="0"/>
    <n v="0"/>
    <n v="20746.655999999999"/>
    <n v="348521.27928753989"/>
    <n v="0"/>
    <n v="283400"/>
    <n v="65100"/>
    <n v="348500"/>
    <n v="0.9289239598278336"/>
    <n v="-0.15103532277710111"/>
    <n v="0.99970000000000003"/>
    <n v="1.0019"/>
    <n v="1.0012000000000001"/>
    <n v="1.0007999999999999"/>
    <n v="0.99080000000000001"/>
    <n v="0.94971499999999998"/>
    <n v="0.94465191549562377"/>
    <n v="329500"/>
    <n v="0"/>
    <n v="329500"/>
    <n v="61800"/>
    <n v="391300"/>
    <n v="-5.5332568807339451E-2"/>
    <n v="1.6207455429497568E-3"/>
    <n v="-4.677222898903776E-2"/>
    <n v="1.0436498377320607"/>
  </r>
  <r>
    <n v="2025"/>
    <n v="19133541456"/>
    <n v="-1.7719568419318752"/>
    <n v="0.17"/>
    <n v="7350"/>
    <n v="2"/>
    <s v="RES"/>
    <n v="317"/>
    <s v="MX"/>
    <s v="R1"/>
    <n v="11"/>
    <n v="259"/>
    <s v="CO"/>
    <s v="A+"/>
    <s v="EX"/>
    <n v="2021"/>
    <n v="2021"/>
    <x v="0"/>
    <n v="3"/>
    <n v="3"/>
    <n v="1"/>
    <n v="1403"/>
    <n v="0"/>
    <n v="0"/>
    <n v="0"/>
    <n v="0"/>
    <n v="0"/>
    <n v="1403"/>
    <x v="3"/>
    <n v="3"/>
    <s v="S"/>
    <s v="HP"/>
    <s v="E"/>
    <m/>
    <n v="0"/>
    <n v="0"/>
    <n v="1"/>
    <n v="1"/>
    <n v="0"/>
    <n v="10"/>
    <n v="640"/>
    <n v="0"/>
    <n v="0"/>
    <n v="0"/>
    <n v="144"/>
    <n v="0"/>
    <n v="100"/>
    <n v="100"/>
    <n v="266675"/>
    <n v="264008"/>
    <n v="663"/>
    <n v="365"/>
    <n v="298"/>
    <n v="0"/>
    <d v="2022-03-09T00:00:00"/>
    <s v="E035580"/>
    <n v="362450"/>
    <n v="362450"/>
    <s v="SWD"/>
    <n v="30"/>
    <s v="N"/>
    <s v="Y"/>
    <n v="382500"/>
    <n v="61700"/>
    <n v="320800"/>
    <n v="0"/>
    <n v="389278.86135006044"/>
    <n v="405910.46707608749"/>
    <n v="-16631.604780999998"/>
    <n v="132535.48800000001"/>
    <n v="88356.992000000013"/>
    <n v="-23255.730391660189"/>
    <n v="37154.252388000001"/>
    <n v="47371.278778200001"/>
    <n v="-326.22329999999999"/>
    <n v="87561.76314000001"/>
    <n v="0"/>
    <n v="0"/>
    <n v="4112.8784489"/>
    <n v="9807.1044999999995"/>
    <n v="22592.65984"/>
    <n v="0"/>
    <n v="389278.85862243985"/>
    <n v="0"/>
    <n v="324200"/>
    <n v="65100"/>
    <n v="389300"/>
    <n v="0.93103005394297456"/>
    <n v="1.7777777777777778E-2"/>
    <n v="0.99970000000000003"/>
    <n v="0.99819999999999998"/>
    <n v="1.0012000000000001"/>
    <n v="0.99519999999999997"/>
    <n v="0.99080000000000001"/>
    <n v="0.94971499999999998"/>
    <n v="0.93589703010114389"/>
    <n v="332300"/>
    <n v="0"/>
    <n v="332300"/>
    <n v="61800"/>
    <n v="394100"/>
    <n v="3.5847880299251872E-2"/>
    <n v="1.6207455429497568E-3"/>
    <n v="3.0326797385620916E-2"/>
    <n v="1.0414357710553179"/>
  </r>
  <r>
    <n v="2025"/>
    <n v="19133541457"/>
    <n v="-1.7719568419318752"/>
    <n v="0.17"/>
    <n v="7350"/>
    <n v="2"/>
    <s v="RES"/>
    <n v="317"/>
    <s v="MX"/>
    <s v="R1"/>
    <n v="11"/>
    <n v="259"/>
    <s v="CO"/>
    <s v="G"/>
    <s v="EX"/>
    <n v="2021"/>
    <n v="2021"/>
    <x v="0"/>
    <n v="3"/>
    <n v="3"/>
    <n v="1"/>
    <n v="1550"/>
    <n v="0"/>
    <n v="0"/>
    <n v="0"/>
    <n v="0"/>
    <n v="0"/>
    <n v="1550"/>
    <x v="0"/>
    <n v="2"/>
    <s v="N"/>
    <s v="HP"/>
    <s v="E"/>
    <m/>
    <n v="0"/>
    <n v="0"/>
    <n v="0"/>
    <n v="1"/>
    <n v="0"/>
    <n v="10"/>
    <n v="420"/>
    <n v="0"/>
    <n v="0"/>
    <n v="0"/>
    <n v="144"/>
    <n v="0"/>
    <n v="100"/>
    <n v="100"/>
    <n v="308994"/>
    <n v="305904"/>
    <n v="831"/>
    <n v="365"/>
    <n v="365"/>
    <n v="101"/>
    <d v="2021-09-22T00:00:00"/>
    <s v="E033405"/>
    <n v="312050"/>
    <n v="312050"/>
    <s v="SWD"/>
    <n v="30"/>
    <s v="N"/>
    <s v="Y"/>
    <n v="378300"/>
    <n v="61700"/>
    <n v="316600"/>
    <n v="0"/>
    <n v="335470.21335403284"/>
    <n v="379749.47741269961"/>
    <n v="-44279.262030999998"/>
    <n v="132535.48800000001"/>
    <n v="88356.992000000013"/>
    <n v="-23255.730391660189"/>
    <n v="32917.849192000001"/>
    <n v="47371.278778200001"/>
    <n v="-326.22329999999999"/>
    <n v="96736.089000000007"/>
    <n v="0"/>
    <n v="0"/>
    <n v="-9412.7029999999995"/>
    <n v="0"/>
    <n v="14826.43302"/>
    <n v="0"/>
    <n v="335470.21126753988"/>
    <n v="0"/>
    <n v="270400"/>
    <n v="65100"/>
    <n v="335500"/>
    <n v="0.93010432190760062"/>
    <n v="-0.11313772138514407"/>
    <n v="0.99970000000000003"/>
    <n v="1.0019"/>
    <n v="1.0012000000000001"/>
    <n v="1.0007999999999999"/>
    <n v="0.99080000000000001"/>
    <n v="0.94971499999999998"/>
    <n v="0.94465191549562377"/>
    <n v="307300"/>
    <n v="0"/>
    <n v="307300"/>
    <n v="61800"/>
    <n v="369100"/>
    <n v="-2.9374605180037903E-2"/>
    <n v="1.6207455429497568E-3"/>
    <n v="-2.4319323288395454E-2"/>
    <n v="1.0409252939240508"/>
  </r>
  <r>
    <n v="2025"/>
    <n v="19133541458"/>
    <n v="-1.5141277326297755"/>
    <n v="0.22"/>
    <n v="9386"/>
    <n v="2"/>
    <s v="RES"/>
    <n v="317"/>
    <s v="MX"/>
    <s v="R1"/>
    <n v="11"/>
    <n v="259"/>
    <s v="CO"/>
    <s v="G"/>
    <s v="EX"/>
    <n v="2021"/>
    <n v="2021"/>
    <x v="0"/>
    <n v="3"/>
    <n v="3"/>
    <n v="1"/>
    <n v="2026"/>
    <n v="0"/>
    <n v="0"/>
    <n v="0"/>
    <n v="0"/>
    <n v="0"/>
    <n v="2026"/>
    <x v="1"/>
    <n v="3"/>
    <s v="S"/>
    <s v="HP"/>
    <s v="E"/>
    <m/>
    <n v="0"/>
    <n v="0"/>
    <n v="1"/>
    <n v="0"/>
    <n v="0"/>
    <n v="11"/>
    <n v="664"/>
    <n v="0"/>
    <n v="0"/>
    <n v="0"/>
    <n v="144"/>
    <n v="0"/>
    <n v="100"/>
    <n v="100"/>
    <n v="399510"/>
    <n v="395515"/>
    <n v="683"/>
    <n v="365"/>
    <n v="318"/>
    <n v="0"/>
    <d v="2022-02-17T00:00:00"/>
    <s v="E035358"/>
    <n v="419880"/>
    <n v="419880"/>
    <s v="SWD"/>
    <n v="30"/>
    <s v="N"/>
    <s v="Y"/>
    <n v="414300"/>
    <n v="65300"/>
    <n v="349000"/>
    <n v="0"/>
    <n v="426806.31053708913"/>
    <n v="444786.78732736612"/>
    <n v="-17980.475781000001"/>
    <n v="132535.48800000001"/>
    <n v="88356.992000000013"/>
    <n v="-19871.898398035348"/>
    <n v="32917.849192000001"/>
    <n v="47371.278778200001"/>
    <n v="-326.22329999999999"/>
    <n v="126443.42988000001"/>
    <n v="0"/>
    <n v="0"/>
    <n v="4112.8784489"/>
    <n v="9807.1044999999995"/>
    <n v="23439.884583999999"/>
    <n v="0"/>
    <n v="426806.30790406466"/>
    <n v="0"/>
    <n v="358300"/>
    <n v="68500"/>
    <n v="426800"/>
    <n v="0.98378631677600747"/>
    <n v="3.017137340091721E-2"/>
    <n v="0.99970000000000003"/>
    <n v="1.0019"/>
    <n v="1.0012000000000001"/>
    <n v="1.0008999999999999"/>
    <n v="0.99080000000000001"/>
    <n v="0.94971499999999998"/>
    <n v="0.94474630517542935"/>
    <n v="369000"/>
    <n v="0"/>
    <n v="369000"/>
    <n v="65000"/>
    <n v="434000"/>
    <n v="5.730659025787966E-2"/>
    <n v="-4.5941807044410417E-3"/>
    <n v="4.7550084479845524E-2"/>
    <n v="0.99080576407306853"/>
  </r>
  <r>
    <n v="2025"/>
    <n v="19133541459"/>
    <n v="-1.5141277326297755"/>
    <n v="0.22"/>
    <n v="9646"/>
    <n v="2"/>
    <s v="RES"/>
    <n v="317"/>
    <s v="MX"/>
    <s v="R1"/>
    <n v="11"/>
    <n v="259"/>
    <s v="CO"/>
    <s v="G"/>
    <s v="EX"/>
    <n v="2021"/>
    <n v="2021"/>
    <x v="0"/>
    <n v="3"/>
    <n v="3"/>
    <n v="1"/>
    <n v="2010"/>
    <n v="0"/>
    <n v="0"/>
    <n v="0"/>
    <n v="0"/>
    <n v="0"/>
    <n v="2010"/>
    <x v="1"/>
    <n v="3"/>
    <s v="N"/>
    <s v="HP"/>
    <s v="E"/>
    <m/>
    <n v="0"/>
    <n v="0"/>
    <n v="0"/>
    <n v="0"/>
    <n v="0"/>
    <n v="11"/>
    <n v="664"/>
    <n v="0"/>
    <n v="0"/>
    <n v="0"/>
    <n v="48"/>
    <n v="0"/>
    <n v="100"/>
    <n v="100"/>
    <n v="395948"/>
    <n v="391989"/>
    <n v="726"/>
    <n v="365"/>
    <n v="361"/>
    <n v="0"/>
    <d v="2022-01-05T00:00:00"/>
    <s v="E034996"/>
    <n v="419380"/>
    <n v="419380"/>
    <s v="SWD"/>
    <n v="30"/>
    <s v="N"/>
    <s v="Y"/>
    <n v="418500"/>
    <n v="65300"/>
    <n v="353200"/>
    <n v="0"/>
    <n v="399574.98607823363"/>
    <n v="420455.53565664799"/>
    <n v="-20880.548430999999"/>
    <n v="132535.48800000001"/>
    <n v="88356.992000000013"/>
    <n v="-19871.898398035348"/>
    <n v="32917.849192000001"/>
    <n v="47371.278778200001"/>
    <n v="-326.22329999999999"/>
    <n v="125444.86380000001"/>
    <n v="0"/>
    <n v="0"/>
    <n v="-9412.7029999999995"/>
    <n v="0"/>
    <n v="23439.884583999999"/>
    <n v="0"/>
    <n v="399574.98322516464"/>
    <n v="0"/>
    <n v="331100"/>
    <n v="68500"/>
    <n v="399600"/>
    <n v="1.0494994994994995"/>
    <n v="-4.5161290322580643E-2"/>
    <n v="0.99970000000000003"/>
    <n v="1.0019"/>
    <n v="1.0012000000000001"/>
    <n v="1.0008999999999999"/>
    <n v="0.99080000000000001"/>
    <n v="0.94971499999999998"/>
    <n v="0.94474630517542935"/>
    <n v="344600"/>
    <n v="0"/>
    <n v="344600"/>
    <n v="65000"/>
    <n v="409600"/>
    <n v="-2.4348810872027182E-2"/>
    <n v="-4.5941807044410417E-3"/>
    <n v="-2.1266427718040621E-2"/>
    <n v="0.92689077106442852"/>
  </r>
  <r>
    <n v="2025"/>
    <n v="19133541460"/>
    <n v="-1.7147984280919266"/>
    <n v="0.18"/>
    <n v="7680"/>
    <n v="2"/>
    <s v="RES"/>
    <s v="MX"/>
    <s v="MX"/>
    <s v="R1"/>
    <n v="11"/>
    <n v="259"/>
    <s v="CO"/>
    <s v="A+"/>
    <s v="EX"/>
    <n v="2021"/>
    <n v="2021"/>
    <x v="0"/>
    <n v="3"/>
    <n v="3"/>
    <n v="1"/>
    <n v="1403"/>
    <n v="0"/>
    <n v="0"/>
    <n v="0"/>
    <n v="0"/>
    <n v="0"/>
    <n v="1403"/>
    <x v="3"/>
    <n v="2"/>
    <s v="S"/>
    <s v="HP"/>
    <s v="E"/>
    <m/>
    <n v="0"/>
    <n v="0"/>
    <n v="1"/>
    <n v="1"/>
    <n v="0"/>
    <n v="10"/>
    <n v="400"/>
    <n v="0"/>
    <n v="0"/>
    <n v="0"/>
    <n v="144"/>
    <n v="0"/>
    <n v="100"/>
    <n v="100"/>
    <n v="258539"/>
    <n v="255954"/>
    <n v="-18"/>
    <n v="-18"/>
    <n v="0"/>
    <n v="0"/>
    <d v="2024-01-19T00:00:00"/>
    <s v="E042564"/>
    <n v="398000"/>
    <n v="398000"/>
    <s v="SWD"/>
    <n v="30"/>
    <s v="N"/>
    <s v="Y"/>
    <n v="373000"/>
    <n v="62500"/>
    <n v="310500"/>
    <n v="0"/>
    <n v="398017.43079443794"/>
    <n v="398188.3850858442"/>
    <n v="-170.9542908"/>
    <n v="132535.48800000001"/>
    <n v="88356.992000000013"/>
    <n v="-22505.565020573864"/>
    <n v="37154.252388000001"/>
    <n v="47371.278778200001"/>
    <n v="-326.22329999999999"/>
    <n v="87561.76314000001"/>
    <n v="0"/>
    <n v="0"/>
    <n v="4112.8784489"/>
    <n v="9807.1044999999995"/>
    <n v="14120.412400000001"/>
    <n v="0"/>
    <n v="398017.4270437262"/>
    <n v="0"/>
    <n v="332200"/>
    <n v="65900"/>
    <n v="398100"/>
    <n v="0.99974880683245415"/>
    <n v="6.7292225201072392E-2"/>
    <n v="0.99970000000000003"/>
    <n v="0.99819999999999998"/>
    <n v="1.0012000000000001"/>
    <n v="0.99519999999999997"/>
    <n v="0.99080000000000001"/>
    <n v="0.94971499999999998"/>
    <n v="0.93589703010114389"/>
    <n v="323800"/>
    <n v="0"/>
    <n v="323800"/>
    <n v="62500"/>
    <n v="386300"/>
    <n v="4.2834138486312401E-2"/>
    <n v="0"/>
    <n v="3.5656836461126003E-2"/>
    <n v="0.97017348168140716"/>
  </r>
  <r>
    <n v="2025"/>
    <n v="19133541460"/>
    <n v="-1.7147984280919266"/>
    <n v="0.18"/>
    <n v="7680"/>
    <n v="2"/>
    <s v="RES"/>
    <n v="317"/>
    <s v="MX"/>
    <s v="R1"/>
    <n v="11"/>
    <n v="259"/>
    <s v="CO"/>
    <s v="A+"/>
    <s v="EX"/>
    <n v="2021"/>
    <n v="2021"/>
    <x v="0"/>
    <n v="3"/>
    <n v="3"/>
    <n v="1"/>
    <n v="1403"/>
    <n v="0"/>
    <n v="0"/>
    <n v="0"/>
    <n v="0"/>
    <n v="0"/>
    <n v="1403"/>
    <x v="3"/>
    <n v="2"/>
    <s v="S"/>
    <s v="HP"/>
    <s v="E"/>
    <m/>
    <n v="0"/>
    <n v="0"/>
    <n v="1"/>
    <n v="1"/>
    <n v="0"/>
    <n v="10"/>
    <n v="400"/>
    <n v="0"/>
    <n v="0"/>
    <n v="0"/>
    <n v="144"/>
    <n v="0"/>
    <n v="100"/>
    <n v="100"/>
    <n v="258539"/>
    <n v="255954"/>
    <n v="697"/>
    <n v="365"/>
    <n v="332"/>
    <n v="0"/>
    <d v="2022-02-03T00:00:00"/>
    <s v="E035379"/>
    <n v="348000"/>
    <n v="348000"/>
    <s v="SWD"/>
    <n v="30"/>
    <s v="N"/>
    <s v="Y"/>
    <n v="373000"/>
    <n v="62500"/>
    <n v="310500"/>
    <n v="0"/>
    <n v="379263.69855059229"/>
    <n v="398188.3850858442"/>
    <n v="-18924.685481"/>
    <n v="132535.48800000001"/>
    <n v="88356.992000000013"/>
    <n v="-22505.565020573864"/>
    <n v="37154.252388000001"/>
    <n v="47371.278778200001"/>
    <n v="-326.22329999999999"/>
    <n v="87561.76314000001"/>
    <n v="0"/>
    <n v="0"/>
    <n v="4112.8784489"/>
    <n v="9807.1044999999995"/>
    <n v="14120.412400000001"/>
    <n v="0"/>
    <n v="379263.69585352624"/>
    <n v="0"/>
    <n v="313400"/>
    <n v="65900"/>
    <n v="379300"/>
    <n v="0.91747956762457161"/>
    <n v="1.6890080428954422E-2"/>
    <n v="0.99970000000000003"/>
    <n v="0.99819999999999998"/>
    <n v="1.0012000000000001"/>
    <n v="0.99519999999999997"/>
    <n v="0.99080000000000001"/>
    <n v="0.94971499999999998"/>
    <n v="0.93589703010114389"/>
    <n v="323800"/>
    <n v="0"/>
    <n v="323800"/>
    <n v="62500"/>
    <n v="386300"/>
    <n v="4.2834138486312401E-2"/>
    <n v="0"/>
    <n v="3.5656836461126003E-2"/>
    <n v="1.0556761911465518"/>
  </r>
  <r>
    <n v="2025"/>
    <n v="19133541461"/>
    <n v="-1.7147984280919266"/>
    <n v="0.18"/>
    <n v="7677"/>
    <n v="2"/>
    <s v="RES"/>
    <n v="317"/>
    <s v="MX"/>
    <s v="R1"/>
    <n v="11"/>
    <n v="259"/>
    <s v="CO"/>
    <s v="A+"/>
    <s v="EX"/>
    <n v="2021"/>
    <n v="2021"/>
    <x v="0"/>
    <n v="3"/>
    <n v="3"/>
    <n v="1"/>
    <n v="1403"/>
    <n v="0"/>
    <n v="0"/>
    <n v="0"/>
    <n v="0"/>
    <n v="0"/>
    <n v="1403"/>
    <x v="3"/>
    <n v="2"/>
    <s v="S"/>
    <s v="HP"/>
    <s v="E"/>
    <m/>
    <n v="0"/>
    <n v="0"/>
    <n v="1"/>
    <n v="1"/>
    <n v="0"/>
    <n v="10"/>
    <n v="400"/>
    <n v="0"/>
    <n v="0"/>
    <n v="0"/>
    <n v="144"/>
    <n v="0"/>
    <n v="100"/>
    <n v="100"/>
    <n v="258539"/>
    <n v="255954"/>
    <n v="684"/>
    <n v="365"/>
    <n v="319"/>
    <n v="0"/>
    <d v="2022-02-16T00:00:00"/>
    <s v="E035270"/>
    <n v="347500"/>
    <n v="347500"/>
    <s v="SWD"/>
    <n v="30"/>
    <s v="N"/>
    <s v="Y"/>
    <n v="373000"/>
    <n v="62500"/>
    <n v="310500"/>
    <n v="0"/>
    <n v="380140.46474235476"/>
    <n v="398188.3850858442"/>
    <n v="-18047.919331000001"/>
    <n v="132535.48800000001"/>
    <n v="88356.992000000013"/>
    <n v="-22505.565020573864"/>
    <n v="37154.252388000001"/>
    <n v="47371.278778200001"/>
    <n v="-326.22329999999999"/>
    <n v="87561.76314000001"/>
    <n v="0"/>
    <n v="0"/>
    <n v="4112.8784489"/>
    <n v="9807.1044999999995"/>
    <n v="14120.412400000001"/>
    <n v="0"/>
    <n v="380140.46200352616"/>
    <n v="0"/>
    <n v="314300"/>
    <n v="65900"/>
    <n v="380200"/>
    <n v="0.91399263545502363"/>
    <n v="1.9302949061662199E-2"/>
    <n v="0.99970000000000003"/>
    <n v="0.99819999999999998"/>
    <n v="1.0012000000000001"/>
    <n v="0.99519999999999997"/>
    <n v="0.99080000000000001"/>
    <n v="0.94971499999999998"/>
    <n v="0.93589703010114389"/>
    <n v="323800"/>
    <n v="0"/>
    <n v="323800"/>
    <n v="62500"/>
    <n v="386300"/>
    <n v="4.2834138486312401E-2"/>
    <n v="0"/>
    <n v="3.5656836461126003E-2"/>
    <n v="1.059718217752518"/>
  </r>
  <r>
    <n v="2025"/>
    <n v="19133541462"/>
    <n v="-1.7147984280919266"/>
    <n v="0.18"/>
    <n v="7674"/>
    <n v="2"/>
    <s v="RES"/>
    <n v="317"/>
    <s v="MX"/>
    <s v="R1"/>
    <n v="11"/>
    <n v="259"/>
    <s v="CO"/>
    <s v="G"/>
    <s v="EX"/>
    <n v="2021"/>
    <n v="2021"/>
    <x v="0"/>
    <n v="3"/>
    <n v="3"/>
    <n v="1"/>
    <n v="1550"/>
    <n v="0"/>
    <n v="0"/>
    <n v="0"/>
    <n v="0"/>
    <n v="0"/>
    <n v="1550"/>
    <x v="0"/>
    <n v="2"/>
    <s v="N"/>
    <s v="HP"/>
    <s v="E"/>
    <m/>
    <n v="0"/>
    <n v="0"/>
    <n v="0"/>
    <n v="1"/>
    <n v="0"/>
    <n v="10"/>
    <n v="420"/>
    <n v="0"/>
    <n v="0"/>
    <n v="0"/>
    <n v="144"/>
    <n v="0"/>
    <n v="100"/>
    <n v="100"/>
    <n v="310143"/>
    <n v="307042"/>
    <n v="857"/>
    <n v="365"/>
    <n v="365"/>
    <n v="127"/>
    <d v="2021-08-27T00:00:00"/>
    <s v="E033087"/>
    <n v="305125"/>
    <n v="305125"/>
    <s v="SWD"/>
    <n v="30"/>
    <s v="N"/>
    <s v="Y"/>
    <n v="380300"/>
    <n v="62500"/>
    <n v="317800"/>
    <n v="0"/>
    <n v="330266.39409373543"/>
    <n v="380499.64277569385"/>
    <n v="-50233.246431"/>
    <n v="132535.48800000001"/>
    <n v="88356.992000000013"/>
    <n v="-22505.565020573864"/>
    <n v="32917.849192000001"/>
    <n v="47371.278778200001"/>
    <n v="-326.22329999999999"/>
    <n v="96736.089000000007"/>
    <n v="0"/>
    <n v="0"/>
    <n v="-9412.7029999999995"/>
    <n v="0"/>
    <n v="14826.43302"/>
    <n v="0"/>
    <n v="330266.3922386262"/>
    <n v="0"/>
    <n v="264400"/>
    <n v="65900"/>
    <n v="330300"/>
    <n v="0.92378141083863152"/>
    <n v="-0.13147515119642389"/>
    <n v="0.99970000000000003"/>
    <n v="1.0019"/>
    <n v="1.0012000000000001"/>
    <n v="1.0007999999999999"/>
    <n v="0.99080000000000001"/>
    <n v="0.94971499999999998"/>
    <n v="0.94465191549562377"/>
    <n v="307300"/>
    <n v="0"/>
    <n v="307300"/>
    <n v="62500"/>
    <n v="369800"/>
    <n v="-3.3039647577092511E-2"/>
    <n v="0"/>
    <n v="-2.7609781751249014E-2"/>
    <n v="1.0473306139090537"/>
  </r>
  <r>
    <n v="2025"/>
    <n v="19133541463"/>
    <n v="-1.7147984280919266"/>
    <n v="0.18"/>
    <n v="7671"/>
    <n v="2"/>
    <s v="RES"/>
    <n v="317"/>
    <s v="MX"/>
    <s v="R1"/>
    <n v="11"/>
    <n v="259"/>
    <s v="CO"/>
    <s v="G"/>
    <s v="EX"/>
    <n v="2021"/>
    <n v="2021"/>
    <x v="0"/>
    <n v="3"/>
    <n v="3"/>
    <n v="2"/>
    <n v="1073"/>
    <n v="1331"/>
    <n v="0"/>
    <n v="0"/>
    <n v="0"/>
    <n v="0"/>
    <n v="2404"/>
    <x v="1"/>
    <n v="3"/>
    <s v="N"/>
    <s v="HP"/>
    <s v="E"/>
    <m/>
    <n v="0"/>
    <n v="0"/>
    <n v="1"/>
    <n v="0"/>
    <n v="1"/>
    <n v="14"/>
    <n v="0"/>
    <n v="971"/>
    <n v="0"/>
    <n v="0"/>
    <n v="144"/>
    <n v="0"/>
    <n v="100"/>
    <n v="100"/>
    <n v="445701"/>
    <n v="441244"/>
    <n v="867"/>
    <n v="365"/>
    <n v="365"/>
    <n v="137"/>
    <d v="2021-08-17T00:00:00"/>
    <s v="E032811"/>
    <n v="373200"/>
    <n v="373200"/>
    <s v="SWD"/>
    <n v="30"/>
    <s v="N"/>
    <s v="Y"/>
    <n v="452800"/>
    <n v="62500"/>
    <n v="390300"/>
    <n v="0"/>
    <n v="420453.10230952845"/>
    <n v="472976.34507736837"/>
    <n v="-52523.240430999998"/>
    <n v="132535.48800000001"/>
    <n v="88356.992000000013"/>
    <n v="-22505.565020573864"/>
    <n v="32917.849192000001"/>
    <n v="47371.278778200001"/>
    <n v="-326.22329999999999"/>
    <n v="66966.337740000003"/>
    <n v="79301.489772999994"/>
    <n v="0"/>
    <n v="-9412.7029999999995"/>
    <n v="9807.1044999999995"/>
    <n v="0"/>
    <n v="47964.292799999996"/>
    <n v="420453.10103162623"/>
    <n v="0"/>
    <n v="354600"/>
    <n v="65900"/>
    <n v="420500"/>
    <n v="0.8875148632580262"/>
    <n v="-7.1333922261484092E-2"/>
    <n v="0.99970000000000003"/>
    <n v="1.0019"/>
    <n v="1.0012000000000001"/>
    <n v="1.0008999999999999"/>
    <n v="0.99080000000000001"/>
    <n v="0.94971499999999998"/>
    <n v="0.94474630517542935"/>
    <n v="399800"/>
    <n v="0"/>
    <n v="399800"/>
    <n v="62500"/>
    <n v="462300"/>
    <n v="2.434025108890597E-2"/>
    <n v="0"/>
    <n v="2.0980565371024735E-2"/>
    <n v="1.0980084661548768"/>
  </r>
  <r>
    <n v="2025"/>
    <n v="19133541464"/>
    <n v="-1.7147984280919266"/>
    <n v="0.18"/>
    <n v="7668"/>
    <n v="2"/>
    <s v="RES"/>
    <n v="317"/>
    <s v="MX"/>
    <s v="R1"/>
    <n v="11"/>
    <n v="259"/>
    <s v="CO"/>
    <s v="G"/>
    <s v="EX"/>
    <n v="2021"/>
    <n v="2021"/>
    <x v="0"/>
    <n v="3"/>
    <n v="3"/>
    <n v="1"/>
    <n v="2010"/>
    <n v="0"/>
    <n v="0"/>
    <n v="0"/>
    <n v="0"/>
    <n v="0"/>
    <n v="2010"/>
    <x v="1"/>
    <n v="2"/>
    <s v="N"/>
    <s v="HP"/>
    <s v="E"/>
    <m/>
    <n v="0"/>
    <n v="0"/>
    <n v="0"/>
    <n v="0"/>
    <n v="0"/>
    <n v="11"/>
    <n v="424"/>
    <n v="0"/>
    <n v="0"/>
    <n v="0"/>
    <n v="144"/>
    <n v="0"/>
    <n v="100"/>
    <n v="100"/>
    <n v="383336"/>
    <n v="379503"/>
    <n v="832"/>
    <n v="365"/>
    <n v="365"/>
    <n v="102"/>
    <d v="2021-09-21T00:00:00"/>
    <s v="E033339"/>
    <n v="338390"/>
    <n v="338390"/>
    <s v="SWD"/>
    <n v="30"/>
    <s v="N"/>
    <s v="Y"/>
    <n v="399900"/>
    <n v="62500"/>
    <n v="337400"/>
    <n v="0"/>
    <n v="364841.35824202641"/>
    <n v="409349.62170928129"/>
    <n v="-44508.261430999999"/>
    <n v="132535.48800000001"/>
    <n v="88356.992000000013"/>
    <n v="-22505.565020573864"/>
    <n v="32917.849192000001"/>
    <n v="47371.278778200001"/>
    <n v="-326.22329999999999"/>
    <n v="125444.86380000001"/>
    <n v="0"/>
    <n v="0"/>
    <n v="-9412.7029999999995"/>
    <n v="0"/>
    <n v="14967.637144"/>
    <n v="0"/>
    <n v="364841.35616262618"/>
    <n v="0"/>
    <n v="299000"/>
    <n v="65900"/>
    <n v="364900"/>
    <n v="0.92734995889284733"/>
    <n v="-8.7521880470117525E-2"/>
    <n v="0.99970000000000003"/>
    <n v="1.0019"/>
    <n v="1.0012000000000001"/>
    <n v="1.0008999999999999"/>
    <n v="0.99080000000000001"/>
    <n v="0.94971499999999998"/>
    <n v="0.94474630517542935"/>
    <n v="336200"/>
    <n v="0"/>
    <n v="336200"/>
    <n v="62500"/>
    <n v="398700"/>
    <n v="-3.5566093657379964E-3"/>
    <n v="0"/>
    <n v="-3.0007501875468868E-3"/>
    <n v="1.0466968248736663"/>
  </r>
  <r>
    <n v="2025"/>
    <n v="19133541465"/>
    <n v="-1.7147984280919266"/>
    <n v="0.18"/>
    <n v="7643"/>
    <n v="2"/>
    <s v="RES"/>
    <n v="317"/>
    <s v="MX"/>
    <s v="R1"/>
    <n v="11"/>
    <n v="259"/>
    <s v="CO"/>
    <s v="G"/>
    <s v="EX"/>
    <n v="2021"/>
    <n v="2021"/>
    <x v="0"/>
    <n v="3"/>
    <n v="3"/>
    <n v="2"/>
    <n v="1650"/>
    <n v="1346"/>
    <n v="0"/>
    <n v="0"/>
    <n v="0"/>
    <n v="0"/>
    <n v="2996"/>
    <x v="4"/>
    <n v="3"/>
    <s v="N"/>
    <s v="HP"/>
    <s v="E"/>
    <m/>
    <n v="0"/>
    <n v="0"/>
    <n v="1"/>
    <n v="0"/>
    <n v="1"/>
    <n v="19"/>
    <n v="660"/>
    <n v="0"/>
    <n v="0"/>
    <n v="0"/>
    <n v="0"/>
    <n v="0"/>
    <n v="100"/>
    <n v="100"/>
    <n v="539184"/>
    <n v="533792"/>
    <n v="845"/>
    <n v="365"/>
    <n v="365"/>
    <n v="115"/>
    <d v="2021-09-08T00:00:00"/>
    <s v="E033153"/>
    <n v="421550"/>
    <n v="421550"/>
    <s v="SWD"/>
    <n v="30"/>
    <s v="N"/>
    <s v="Y"/>
    <n v="482000"/>
    <n v="62500"/>
    <n v="419500"/>
    <n v="0"/>
    <n v="437729.97200846975"/>
    <n v="485215.22778737044"/>
    <n v="-47485.253631"/>
    <n v="132535.48800000001"/>
    <n v="88356.992000000013"/>
    <n v="-22505.565020573864"/>
    <n v="32917.849192000001"/>
    <n v="47371.278778200001"/>
    <n v="-326.22329999999999"/>
    <n v="102977.12700000001"/>
    <n v="80195.195517999993"/>
    <n v="0"/>
    <n v="-9412.7029999999995"/>
    <n v="9807.1044999999995"/>
    <n v="23298.68046"/>
    <n v="0"/>
    <n v="437729.97049662622"/>
    <n v="0"/>
    <n v="371900"/>
    <n v="65900"/>
    <n v="437800"/>
    <n v="0.96288259479214255"/>
    <n v="-9.1701244813278002E-2"/>
    <n v="0.99970000000000003"/>
    <n v="1.0019"/>
    <n v="1.0012000000000001"/>
    <n v="1.0099"/>
    <n v="0.99080000000000001"/>
    <n v="0.94971499999999998"/>
    <n v="0.95324137635794415"/>
    <n v="413200"/>
    <n v="0"/>
    <n v="413200"/>
    <n v="62500"/>
    <n v="475700"/>
    <n v="-1.5017878426698451E-2"/>
    <n v="0"/>
    <n v="-1.3070539419087137E-2"/>
    <n v="1.0158100969493535"/>
  </r>
  <r>
    <n v="2025"/>
    <n v="19133541466"/>
    <n v="-1.7147984280919266"/>
    <n v="0.18"/>
    <n v="7684"/>
    <n v="2"/>
    <s v="RES"/>
    <n v="317"/>
    <s v="MX"/>
    <s v="R1"/>
    <n v="11"/>
    <n v="259"/>
    <s v="CO"/>
    <s v="G"/>
    <s v="EX"/>
    <n v="2021"/>
    <n v="2021"/>
    <x v="0"/>
    <n v="3"/>
    <n v="3"/>
    <n v="2"/>
    <n v="1111"/>
    <n v="1126"/>
    <n v="0"/>
    <n v="0"/>
    <n v="0"/>
    <n v="0"/>
    <n v="2237"/>
    <x v="1"/>
    <n v="2"/>
    <s v="N"/>
    <s v="HP"/>
    <s v="E"/>
    <m/>
    <n v="0"/>
    <n v="0"/>
    <n v="0"/>
    <n v="0"/>
    <n v="1"/>
    <n v="13"/>
    <n v="455"/>
    <n v="0"/>
    <n v="0"/>
    <n v="0"/>
    <n v="0"/>
    <n v="0"/>
    <n v="100"/>
    <n v="100"/>
    <n v="407747"/>
    <n v="403670"/>
    <n v="865"/>
    <n v="365"/>
    <n v="365"/>
    <n v="135"/>
    <d v="2021-08-19T00:00:00"/>
    <s v="E032831"/>
    <n v="341265"/>
    <n v="341265"/>
    <s v="SWD"/>
    <n v="30"/>
    <s v="N"/>
    <s v="Y"/>
    <n v="434700"/>
    <n v="62500"/>
    <n v="372200"/>
    <n v="0"/>
    <n v="369359.28900500463"/>
    <n v="421424.53295566817"/>
    <n v="-52065.241630999997"/>
    <n v="132535.48800000001"/>
    <n v="88356.992000000013"/>
    <n v="-22505.565020573864"/>
    <n v="32917.849192000001"/>
    <n v="47371.278778200001"/>
    <n v="-326.22329999999999"/>
    <n v="69337.932180000003"/>
    <n v="67087.511257999999"/>
    <n v="0"/>
    <n v="-9412.7029999999995"/>
    <n v="0"/>
    <n v="16061.969105"/>
    <n v="0"/>
    <n v="369359.28756162623"/>
    <n v="0"/>
    <n v="303500"/>
    <n v="65900"/>
    <n v="369400"/>
    <n v="0.92383595018949649"/>
    <n v="-0.15021854152288935"/>
    <n v="0.99970000000000003"/>
    <n v="1.0019"/>
    <n v="1.0012000000000001"/>
    <n v="1.0008999999999999"/>
    <n v="0.99080000000000001"/>
    <n v="0.94971499999999998"/>
    <n v="0.94474630517542935"/>
    <n v="348300"/>
    <n v="0"/>
    <n v="348300"/>
    <n v="62500"/>
    <n v="410800"/>
    <n v="-6.4212788823213324E-2"/>
    <n v="0"/>
    <n v="-5.4980446284794114E-2"/>
    <n v="1.0511911809561485"/>
  </r>
  <r>
    <n v="2025"/>
    <n v="19133541467"/>
    <n v="-1.6094379124341003"/>
    <n v="0.2"/>
    <n v="8744"/>
    <n v="2"/>
    <s v="RES"/>
    <n v="317"/>
    <s v="MX"/>
    <s v="R1"/>
    <n v="11"/>
    <n v="259"/>
    <s v="CO"/>
    <s v="G+"/>
    <s v="EX"/>
    <n v="2021"/>
    <n v="2021"/>
    <x v="0"/>
    <n v="3"/>
    <n v="3"/>
    <n v="1"/>
    <n v="2010"/>
    <n v="0"/>
    <n v="0"/>
    <n v="0"/>
    <n v="0"/>
    <n v="0"/>
    <n v="2010"/>
    <x v="1"/>
    <n v="3"/>
    <s v="N"/>
    <s v="HP"/>
    <s v="E"/>
    <m/>
    <n v="0"/>
    <n v="0"/>
    <n v="1"/>
    <n v="0"/>
    <n v="0"/>
    <n v="11"/>
    <n v="664"/>
    <n v="0"/>
    <n v="0"/>
    <n v="0"/>
    <n v="120"/>
    <n v="0"/>
    <n v="100"/>
    <n v="100"/>
    <n v="425788"/>
    <n v="425788"/>
    <n v="640"/>
    <n v="365"/>
    <n v="275"/>
    <n v="0"/>
    <d v="2022-04-01T00:00:00"/>
    <s v="E035889"/>
    <n v="420380"/>
    <n v="420380"/>
    <s v="SWD"/>
    <n v="30"/>
    <s v="N"/>
    <s v="Y"/>
    <n v="411700"/>
    <n v="64000"/>
    <n v="347700"/>
    <n v="0"/>
    <n v="420379.99999999994"/>
    <n v="435460.40400213964"/>
    <n v="-15080.403130999999"/>
    <n v="132535.48800000001"/>
    <n v="88356.992000000013"/>
    <n v="-21122.779792355024"/>
    <n v="39366.494398000003"/>
    <n v="47371.278778200001"/>
    <n v="-326.22329999999999"/>
    <n v="125444.86380000001"/>
    <n v="0"/>
    <n v="0"/>
    <n v="-9412.7029999999995"/>
    <n v="9807.1044999999995"/>
    <n v="23439.884583999999"/>
    <n v="0"/>
    <n v="420379.99683684501"/>
    <n v="0"/>
    <n v="353100"/>
    <n v="67200"/>
    <n v="420300"/>
    <n v="1.0001903402331669"/>
    <n v="2.0888996842360941E-2"/>
    <n v="0.99970000000000003"/>
    <n v="0.99980000000000002"/>
    <n v="1.0012000000000001"/>
    <n v="1.0008999999999999"/>
    <n v="0.99080000000000001"/>
    <n v="0.94971499999999998"/>
    <n v="0.94276610032377928"/>
    <n v="360600"/>
    <n v="0"/>
    <n v="360600"/>
    <n v="63900"/>
    <n v="424500"/>
    <n v="3.7100949094046591E-2"/>
    <n v="-1.5625000000000001E-3"/>
    <n v="3.1090599951420939E-2"/>
    <n v="0.97392739157191111"/>
  </r>
  <r>
    <n v="2025"/>
    <n v="20120634510"/>
    <n v="-1.8325814637483102"/>
    <n v="0.16"/>
    <n v="7100"/>
    <n v="2"/>
    <s v="RES"/>
    <s v="MX"/>
    <s v="MX"/>
    <s v="R1"/>
    <n v="11"/>
    <n v="259"/>
    <s v="CP"/>
    <s v="G"/>
    <s v="EX"/>
    <n v="2020"/>
    <n v="2020"/>
    <x v="0"/>
    <n v="4"/>
    <n v="4"/>
    <n v="1"/>
    <n v="1720"/>
    <n v="0"/>
    <n v="0"/>
    <n v="0"/>
    <n v="0"/>
    <n v="0"/>
    <n v="1720"/>
    <x v="0"/>
    <n v="3"/>
    <s v="N"/>
    <s v="FD"/>
    <s v="G"/>
    <s v="Y"/>
    <n v="0"/>
    <n v="0"/>
    <n v="1"/>
    <n v="0"/>
    <n v="0"/>
    <n v="10"/>
    <n v="723"/>
    <n v="0"/>
    <n v="0"/>
    <n v="0"/>
    <n v="0"/>
    <n v="0"/>
    <n v="100"/>
    <n v="100"/>
    <n v="355864"/>
    <n v="348747"/>
    <n v="75"/>
    <n v="75"/>
    <n v="0"/>
    <n v="0"/>
    <d v="2023-10-18T00:00:00"/>
    <s v="E041819"/>
    <n v="427500"/>
    <n v="427500"/>
    <s v="SWD"/>
    <n v="30"/>
    <s v="N"/>
    <s v="Y"/>
    <n v="404700"/>
    <n v="60800"/>
    <n v="343900"/>
    <n v="0"/>
    <n v="410670.47024773282"/>
    <n v="409958.16070020595"/>
    <n v="712.30954499999996"/>
    <n v="132535.48800000001"/>
    <n v="88356.992000000013"/>
    <n v="-24051.387388882686"/>
    <n v="32917.849192000001"/>
    <n v="47371.278778200001"/>
    <n v="-434.96440000000001"/>
    <n v="107345.8536"/>
    <n v="0"/>
    <n v="0"/>
    <n v="-9412.7029999999995"/>
    <n v="9807.1044999999995"/>
    <n v="25522.645413000002"/>
    <n v="0"/>
    <n v="410670.46623931732"/>
    <n v="0"/>
    <n v="346400"/>
    <n v="64300"/>
    <n v="410700"/>
    <n v="1.0409057706355003"/>
    <n v="1.4825796886582653E-2"/>
    <n v="0.99970000000000003"/>
    <n v="1.0019"/>
    <n v="1.0012000000000001"/>
    <n v="1.0007999999999999"/>
    <n v="0.99080000000000001"/>
    <n v="0.94971499999999998"/>
    <n v="0.94465191549562377"/>
    <n v="338300"/>
    <n v="0"/>
    <n v="338300"/>
    <n v="61100"/>
    <n v="399400"/>
    <n v="-1.628380343123001E-2"/>
    <n v="4.9342105263157892E-3"/>
    <n v="-1.309612058314801E-2"/>
    <n v="0.93593522700584797"/>
  </r>
  <r>
    <n v="2025"/>
    <n v="20120634511"/>
    <n v="-1.8325814637483102"/>
    <n v="0.16"/>
    <n v="7100"/>
    <n v="2"/>
    <s v="RES"/>
    <n v="317"/>
    <s v="MX"/>
    <s v="R1"/>
    <n v="11"/>
    <n v="259"/>
    <s v="CP"/>
    <s v="G"/>
    <s v="EX"/>
    <n v="2020"/>
    <n v="2020"/>
    <x v="0"/>
    <n v="4"/>
    <n v="4"/>
    <n v="1"/>
    <n v="1708"/>
    <n v="0"/>
    <n v="0"/>
    <n v="0"/>
    <n v="0"/>
    <n v="0"/>
    <n v="1708"/>
    <x v="0"/>
    <n v="2"/>
    <s v="N"/>
    <s v="FD"/>
    <s v="G"/>
    <s v="Y"/>
    <n v="0"/>
    <n v="0"/>
    <n v="0"/>
    <n v="0"/>
    <n v="0"/>
    <n v="11"/>
    <n v="420"/>
    <n v="0"/>
    <n v="0"/>
    <n v="0"/>
    <n v="91"/>
    <n v="0"/>
    <n v="100"/>
    <n v="100"/>
    <n v="338154"/>
    <n v="331391"/>
    <n v="179"/>
    <n v="179"/>
    <n v="0"/>
    <n v="0"/>
    <d v="2023-07-06T00:00:00"/>
    <s v="E040753"/>
    <n v="405000"/>
    <n v="405000"/>
    <s v="SWD"/>
    <n v="30"/>
    <s v="N"/>
    <s v="Y"/>
    <n v="385000"/>
    <n v="60800"/>
    <n v="324200"/>
    <n v="0"/>
    <n v="390405.96478951123"/>
    <n v="388705.91933608067"/>
    <n v="1700.0454474000001"/>
    <n v="132535.48800000001"/>
    <n v="88356.992000000013"/>
    <n v="-24051.387388882686"/>
    <n v="32917.849192000001"/>
    <n v="47371.278778200001"/>
    <n v="-434.96440000000001"/>
    <n v="106596.92904"/>
    <n v="0"/>
    <n v="0"/>
    <n v="-9412.7029999999995"/>
    <n v="0"/>
    <n v="14826.43302"/>
    <n v="0"/>
    <n v="390405.96068871737"/>
    <n v="0"/>
    <n v="326100"/>
    <n v="64300"/>
    <n v="390400"/>
    <n v="1.0373975409836065"/>
    <n v="1.4025974025974027E-2"/>
    <n v="0.99970000000000003"/>
    <n v="1.0019"/>
    <n v="1.0012000000000001"/>
    <n v="1.0007999999999999"/>
    <n v="0.99080000000000001"/>
    <n v="0.94971499999999998"/>
    <n v="0.94465191549562377"/>
    <n v="317100"/>
    <n v="0"/>
    <n v="317100"/>
    <n v="61100"/>
    <n v="378200"/>
    <n v="-2.190006169031462E-2"/>
    <n v="4.9342105263157892E-3"/>
    <n v="-1.7662337662337664E-2"/>
    <n v="0.93802480357382723"/>
  </r>
  <r>
    <n v="2025"/>
    <n v="20120632412"/>
    <n v="-1.7719568419318752"/>
    <n v="0.17"/>
    <n v="7200"/>
    <n v="2"/>
    <s v="RES"/>
    <n v="317"/>
    <s v="MX"/>
    <s v="R1"/>
    <n v="11"/>
    <n v="259"/>
    <s v="CP"/>
    <s v="G"/>
    <s v="EX"/>
    <n v="2019"/>
    <n v="2019"/>
    <x v="0"/>
    <n v="5"/>
    <n v="5"/>
    <n v="1"/>
    <n v="1756"/>
    <n v="0"/>
    <n v="0"/>
    <n v="0"/>
    <n v="0"/>
    <n v="0"/>
    <n v="1756"/>
    <x v="0"/>
    <n v="2"/>
    <s v="N"/>
    <s v="FD"/>
    <s v="G"/>
    <s v="Y"/>
    <n v="0"/>
    <n v="0"/>
    <n v="0"/>
    <n v="1"/>
    <n v="0"/>
    <n v="10"/>
    <n v="441"/>
    <n v="0"/>
    <n v="0"/>
    <n v="0"/>
    <n v="0"/>
    <n v="0"/>
    <n v="100"/>
    <n v="100"/>
    <n v="338096"/>
    <n v="331334"/>
    <n v="833"/>
    <n v="365"/>
    <n v="365"/>
    <n v="103"/>
    <d v="2021-09-20T00:00:00"/>
    <s v="E033250"/>
    <n v="355000"/>
    <n v="355000"/>
    <s v="SWD"/>
    <n v="30"/>
    <s v="N"/>
    <s v="Y"/>
    <n v="389300"/>
    <n v="61700"/>
    <n v="327600"/>
    <n v="0"/>
    <n v="348392.59220166795"/>
    <n v="393129.85507751099"/>
    <n v="-44737.260831"/>
    <n v="132535.48800000001"/>
    <n v="88356.992000000013"/>
    <n v="-23255.730391660189"/>
    <n v="32917.849192000001"/>
    <n v="47371.278778200001"/>
    <n v="-543.70550000000003"/>
    <n v="109592.62728"/>
    <n v="0"/>
    <n v="0"/>
    <n v="-9412.7029999999995"/>
    <n v="0"/>
    <n v="15567.754671000001"/>
    <n v="0"/>
    <n v="348392.5901985399"/>
    <n v="0"/>
    <n v="283300"/>
    <n v="65100"/>
    <n v="348400"/>
    <n v="1.0189437428243397"/>
    <n v="-0.10506036475725661"/>
    <n v="0.99970000000000003"/>
    <n v="1.0019"/>
    <n v="1.0012000000000001"/>
    <n v="1.0007999999999999"/>
    <n v="0.99080000000000001"/>
    <n v="0.94971499999999998"/>
    <n v="0.94465191549562377"/>
    <n v="320700"/>
    <n v="0"/>
    <n v="320700"/>
    <n v="61800"/>
    <n v="382500"/>
    <n v="-2.1062271062271064E-2"/>
    <n v="1.6207455429497568E-3"/>
    <n v="-1.7467248908296942E-2"/>
    <n v="0.95144433568732401"/>
  </r>
  <r>
    <n v="2025"/>
    <n v="20120633482"/>
    <n v="-1.7719568419318752"/>
    <n v="0.17"/>
    <n v="7200"/>
    <n v="2"/>
    <s v="RES"/>
    <n v="317"/>
    <s v="MX"/>
    <s v="R1"/>
    <n v="11"/>
    <n v="259"/>
    <s v="CP"/>
    <s v="A+"/>
    <s v="VG"/>
    <n v="2019"/>
    <n v="2019"/>
    <x v="0"/>
    <n v="5"/>
    <n v="5"/>
    <n v="1"/>
    <n v="1529"/>
    <n v="0"/>
    <n v="0"/>
    <n v="0"/>
    <n v="0"/>
    <n v="0"/>
    <n v="1529"/>
    <x v="0"/>
    <n v="2"/>
    <s v="N"/>
    <s v="FD"/>
    <s v="G"/>
    <s v="Y"/>
    <n v="0"/>
    <n v="0"/>
    <n v="1"/>
    <n v="1"/>
    <n v="0"/>
    <n v="10"/>
    <n v="441"/>
    <n v="0"/>
    <n v="0"/>
    <n v="0"/>
    <n v="0"/>
    <n v="0"/>
    <n v="100"/>
    <n v="100"/>
    <n v="272557"/>
    <n v="267106"/>
    <n v="419"/>
    <n v="365"/>
    <n v="54"/>
    <n v="0"/>
    <d v="2022-11-08T00:00:00"/>
    <s v="E038798"/>
    <n v="379000"/>
    <n v="379000"/>
    <s v="SWD"/>
    <n v="30"/>
    <s v="N"/>
    <s v="Y"/>
    <n v="382500"/>
    <n v="61700"/>
    <n v="320800"/>
    <n v="0"/>
    <n v="395897.92808267253"/>
    <n v="396073.30682485038"/>
    <n v="-175.37858099999994"/>
    <n v="132535.48800000001"/>
    <n v="88356.992000000013"/>
    <n v="-23255.730391660189"/>
    <n v="37154.252388000001"/>
    <n v="50438.379078999998"/>
    <n v="-543.70550000000003"/>
    <n v="95425.471020000012"/>
    <n v="0"/>
    <n v="0"/>
    <n v="-9412.7029999999995"/>
    <n v="9807.1044999999995"/>
    <n v="15567.754671000001"/>
    <n v="0"/>
    <n v="395897.92418533989"/>
    <n v="0"/>
    <n v="330800"/>
    <n v="65100"/>
    <n v="395900"/>
    <n v="0.95731245263955544"/>
    <n v="3.5032679738562091E-2"/>
    <n v="0.99970000000000003"/>
    <n v="0.99819999999999998"/>
    <n v="1.0007999999999999"/>
    <n v="1.0007999999999999"/>
    <n v="0.99080000000000001"/>
    <n v="0.94971499999999998"/>
    <n v="0.9407873176017203"/>
    <n v="323100"/>
    <n v="0"/>
    <n v="323100"/>
    <n v="61800"/>
    <n v="384900"/>
    <n v="7.1695760598503742E-3"/>
    <n v="1.6207455429497568E-3"/>
    <n v="6.2745098039215684E-3"/>
    <n v="1.0151045420026386"/>
  </r>
  <r>
    <n v="2025"/>
    <n v="20120634498"/>
    <n v="-1.8971199848858813"/>
    <n v="0.15"/>
    <n v="6700"/>
    <n v="2"/>
    <s v="RES"/>
    <s v="MX"/>
    <s v="MX"/>
    <s v="R1"/>
    <n v="11"/>
    <n v="259"/>
    <s v="CP"/>
    <s v="A+"/>
    <s v="VG"/>
    <n v="2019"/>
    <n v="2019"/>
    <x v="0"/>
    <n v="5"/>
    <n v="5"/>
    <n v="1"/>
    <n v="1529"/>
    <n v="0"/>
    <n v="0"/>
    <n v="0"/>
    <n v="0"/>
    <n v="0"/>
    <n v="1529"/>
    <x v="0"/>
    <n v="2"/>
    <s v="N"/>
    <s v="FD"/>
    <s v="G"/>
    <s v="Y"/>
    <n v="0"/>
    <n v="0"/>
    <n v="0"/>
    <n v="1"/>
    <n v="0"/>
    <n v="10"/>
    <n v="441"/>
    <n v="0"/>
    <n v="0"/>
    <n v="0"/>
    <n v="130"/>
    <n v="130"/>
    <n v="100"/>
    <n v="100"/>
    <n v="274444"/>
    <n v="268955"/>
    <n v="95"/>
    <n v="95"/>
    <n v="0"/>
    <n v="0"/>
    <d v="2023-09-28T00:00:00"/>
    <s v="E041632"/>
    <n v="348000"/>
    <n v="348000"/>
    <s v="SWD"/>
    <n v="30"/>
    <s v="N"/>
    <s v="Y"/>
    <n v="381500"/>
    <n v="59900"/>
    <n v="321600"/>
    <n v="0"/>
    <n v="385525.77981689846"/>
    <n v="384623.5210566977"/>
    <n v="902.25875700000006"/>
    <n v="132535.48800000001"/>
    <n v="88356.992000000013"/>
    <n v="-24898.411657157456"/>
    <n v="37154.252388000001"/>
    <n v="50438.379078999998"/>
    <n v="-543.70550000000003"/>
    <n v="95425.471020000012"/>
    <n v="0"/>
    <n v="0"/>
    <n v="-9412.7029999999995"/>
    <n v="0"/>
    <n v="15567.754671000001"/>
    <n v="0"/>
    <n v="385525.77575784258"/>
    <n v="0"/>
    <n v="322100"/>
    <n v="63500"/>
    <n v="385600"/>
    <n v="0.90248962655601661"/>
    <n v="1.0747051114023591E-2"/>
    <n v="0.99970000000000003"/>
    <n v="0.99819999999999998"/>
    <n v="1.0007999999999999"/>
    <n v="1.0007999999999999"/>
    <n v="0.99080000000000001"/>
    <n v="0.94971499999999998"/>
    <n v="0.9407873176017203"/>
    <n v="313300"/>
    <n v="0"/>
    <n v="313300"/>
    <n v="60300"/>
    <n v="373600"/>
    <n v="-2.5808457711442787E-2"/>
    <n v="6.6777963272120202E-3"/>
    <n v="-2.0707732634338141E-2"/>
    <n v="1.0761559159683907"/>
  </r>
  <r>
    <n v="2025"/>
    <n v="20120634500"/>
    <n v="-1.8971199848858813"/>
    <n v="0.15"/>
    <n v="6700"/>
    <n v="2"/>
    <s v="RES"/>
    <n v="317"/>
    <s v="MX"/>
    <s v="R1"/>
    <n v="11"/>
    <n v="259"/>
    <s v="CP"/>
    <s v="A+"/>
    <s v="VG"/>
    <n v="2019"/>
    <n v="2019"/>
    <x v="0"/>
    <n v="5"/>
    <n v="5"/>
    <n v="1"/>
    <n v="1550"/>
    <n v="0"/>
    <n v="0"/>
    <n v="0"/>
    <n v="0"/>
    <n v="0"/>
    <n v="1550"/>
    <x v="0"/>
    <n v="2"/>
    <s v="N"/>
    <s v="HP"/>
    <s v="E"/>
    <m/>
    <n v="0"/>
    <n v="0"/>
    <n v="0"/>
    <n v="0"/>
    <n v="0"/>
    <n v="10"/>
    <n v="420"/>
    <n v="0"/>
    <n v="0"/>
    <n v="0"/>
    <n v="135"/>
    <n v="0"/>
    <n v="100"/>
    <n v="100"/>
    <n v="273877"/>
    <n v="268399"/>
    <n v="389"/>
    <n v="365"/>
    <n v="24"/>
    <n v="0"/>
    <d v="2022-12-08T00:00:00"/>
    <s v="E039001"/>
    <n v="369000"/>
    <n v="369000"/>
    <s v="SWD"/>
    <n v="30"/>
    <s v="N"/>
    <s v="Y"/>
    <n v="380500"/>
    <n v="59900"/>
    <n v="320600"/>
    <n v="0"/>
    <n v="387040.74524799018"/>
    <n v="385192.81739379314"/>
    <n v="1847.9279190000002"/>
    <n v="132535.48800000001"/>
    <n v="88356.992000000013"/>
    <n v="-24898.411657157456"/>
    <n v="37154.252388000001"/>
    <n v="50438.379078999998"/>
    <n v="-543.70550000000003"/>
    <n v="96736.089000000007"/>
    <n v="0"/>
    <n v="0"/>
    <n v="-9412.7029999999995"/>
    <n v="0"/>
    <n v="14826.43302"/>
    <n v="0"/>
    <n v="387040.74124884256"/>
    <n v="0"/>
    <n v="323600"/>
    <n v="63500"/>
    <n v="387100"/>
    <n v="0.95324205631619741"/>
    <n v="1.7345597897503284E-2"/>
    <n v="0.99970000000000003"/>
    <n v="0.99819999999999998"/>
    <n v="1.0007999999999999"/>
    <n v="1.0007999999999999"/>
    <n v="0.99080000000000001"/>
    <n v="0.94971499999999998"/>
    <n v="0.9407873176017203"/>
    <n v="313900"/>
    <n v="0"/>
    <n v="313900"/>
    <n v="60300"/>
    <n v="374200"/>
    <n v="-2.0898315658140987E-2"/>
    <n v="6.6777963272120202E-3"/>
    <n v="-1.6557161629434953E-2"/>
    <n v="1.0191000756612465"/>
  </r>
  <r>
    <n v="2025"/>
    <n v="20120634500"/>
    <n v="-1.8971199848858813"/>
    <n v="0.15"/>
    <n v="6700"/>
    <n v="2"/>
    <s v="RES"/>
    <s v="MX"/>
    <s v="MX"/>
    <s v="R1"/>
    <n v="11"/>
    <n v="259"/>
    <s v="CP"/>
    <s v="A+"/>
    <s v="VG"/>
    <n v="2019"/>
    <n v="2019"/>
    <x v="0"/>
    <n v="5"/>
    <n v="5"/>
    <n v="1"/>
    <n v="1550"/>
    <n v="0"/>
    <n v="0"/>
    <n v="0"/>
    <n v="0"/>
    <n v="0"/>
    <n v="1550"/>
    <x v="0"/>
    <n v="2"/>
    <s v="N"/>
    <s v="HP"/>
    <s v="E"/>
    <m/>
    <n v="0"/>
    <n v="0"/>
    <n v="0"/>
    <n v="0"/>
    <n v="0"/>
    <n v="10"/>
    <n v="420"/>
    <n v="0"/>
    <n v="0"/>
    <n v="0"/>
    <n v="135"/>
    <n v="0"/>
    <n v="100"/>
    <n v="100"/>
    <n v="273877"/>
    <n v="268399"/>
    <n v="66"/>
    <n v="66"/>
    <n v="0"/>
    <n v="0"/>
    <d v="2023-10-27T00:00:00"/>
    <s v="E041896"/>
    <n v="365000"/>
    <n v="365000"/>
    <s v="SWD"/>
    <n v="30"/>
    <s v="N"/>
    <s v="Y"/>
    <n v="380500"/>
    <n v="59900"/>
    <n v="320600"/>
    <n v="0"/>
    <n v="385819.64979561686"/>
    <n v="385192.81739379314"/>
    <n v="626.83239960000003"/>
    <n v="132535.48800000001"/>
    <n v="88356.992000000013"/>
    <n v="-24898.411657157456"/>
    <n v="37154.252388000001"/>
    <n v="50438.379078999998"/>
    <n v="-543.70550000000003"/>
    <n v="96736.089000000007"/>
    <n v="0"/>
    <n v="0"/>
    <n v="-9412.7029999999995"/>
    <n v="0"/>
    <n v="14826.43302"/>
    <n v="0"/>
    <n v="385819.64572944259"/>
    <n v="0"/>
    <n v="322400"/>
    <n v="63500"/>
    <n v="385900"/>
    <n v="0.94584089142264838"/>
    <n v="1.419185282522996E-2"/>
    <n v="0.99970000000000003"/>
    <n v="0.99819999999999998"/>
    <n v="1.0007999999999999"/>
    <n v="1.0007999999999999"/>
    <n v="0.99080000000000001"/>
    <n v="0.94971499999999998"/>
    <n v="0.9407873176017203"/>
    <n v="313900"/>
    <n v="0"/>
    <n v="313900"/>
    <n v="60300"/>
    <n v="374200"/>
    <n v="-2.0898315658140987E-2"/>
    <n v="6.6777963272120202E-3"/>
    <n v="-1.6557161629434953E-2"/>
    <n v="1.0269228284920549"/>
  </r>
  <r>
    <n v="2025"/>
    <n v="20120634515"/>
    <n v="-1.7719568419318752"/>
    <n v="0.17"/>
    <n v="7252"/>
    <n v="2"/>
    <s v="RES"/>
    <s v="MX"/>
    <s v="MX"/>
    <s v="R1"/>
    <n v="11"/>
    <n v="259"/>
    <s v="CP"/>
    <s v="G"/>
    <s v="VG"/>
    <n v="2019"/>
    <n v="2019"/>
    <x v="0"/>
    <n v="5"/>
    <n v="5"/>
    <n v="1"/>
    <n v="1770"/>
    <n v="0"/>
    <n v="0"/>
    <n v="0"/>
    <n v="0"/>
    <n v="0"/>
    <n v="1770"/>
    <x v="0"/>
    <n v="2"/>
    <s v="N"/>
    <s v="FD"/>
    <s v="G"/>
    <s v="Y"/>
    <n v="0"/>
    <n v="0"/>
    <n v="0"/>
    <n v="1"/>
    <n v="0"/>
    <n v="10"/>
    <n v="420"/>
    <n v="0"/>
    <n v="0"/>
    <n v="0"/>
    <n v="468"/>
    <n v="0"/>
    <n v="100"/>
    <n v="100"/>
    <n v="344855"/>
    <n v="337958"/>
    <n v="-16"/>
    <n v="-16"/>
    <n v="0"/>
    <n v="0"/>
    <d v="2024-01-17T00:00:00"/>
    <s v="E042582"/>
    <n v="381000"/>
    <n v="381000"/>
    <s v="SWD"/>
    <n v="30"/>
    <s v="N"/>
    <s v="Y"/>
    <n v="389300"/>
    <n v="61700"/>
    <n v="327600"/>
    <n v="0"/>
    <n v="396177.41968059709"/>
    <n v="396329.37905073597"/>
    <n v="-151.9593696"/>
    <n v="132535.48800000001"/>
    <n v="88356.992000000013"/>
    <n v="-23255.730391660189"/>
    <n v="32917.849192000001"/>
    <n v="50438.379078999998"/>
    <n v="-543.70550000000003"/>
    <n v="110466.3726"/>
    <n v="0"/>
    <n v="0"/>
    <n v="-9412.7029999999995"/>
    <n v="0"/>
    <n v="14826.43302"/>
    <n v="0"/>
    <n v="396177.41562973987"/>
    <n v="0"/>
    <n v="331100"/>
    <n v="65100"/>
    <n v="396200"/>
    <n v="0.96163553760726905"/>
    <n v="1.77241202157719E-2"/>
    <n v="0.99970000000000003"/>
    <n v="1.0019"/>
    <n v="1.0007999999999999"/>
    <n v="1.0007999999999999"/>
    <n v="0.99080000000000001"/>
    <n v="0.94971499999999998"/>
    <n v="0.94427450761887755"/>
    <n v="323800"/>
    <n v="0"/>
    <n v="323800"/>
    <n v="61800"/>
    <n v="385600"/>
    <n v="-1.15995115995116E-2"/>
    <n v="1.6207455429497568E-3"/>
    <n v="-9.5042383765733367E-3"/>
    <n v="1.0116746473238845"/>
  </r>
  <r>
    <n v="2025"/>
    <n v="20120634525"/>
    <n v="-1.8325814637483102"/>
    <n v="0.16"/>
    <n v="7100"/>
    <n v="2"/>
    <s v="RES"/>
    <n v="317"/>
    <s v="MX"/>
    <s v="R1"/>
    <n v="11"/>
    <n v="259"/>
    <s v="CP"/>
    <s v="G"/>
    <s v="EX"/>
    <n v="2019"/>
    <n v="2019"/>
    <x v="0"/>
    <n v="5"/>
    <n v="5"/>
    <n v="1"/>
    <n v="1760"/>
    <n v="0"/>
    <n v="0"/>
    <n v="0"/>
    <n v="0"/>
    <n v="0"/>
    <n v="1760"/>
    <x v="0"/>
    <n v="0"/>
    <s v="N"/>
    <s v="FD"/>
    <s v="G"/>
    <s v="Y"/>
    <n v="0"/>
    <n v="0"/>
    <n v="0"/>
    <n v="0"/>
    <n v="0"/>
    <n v="10"/>
    <n v="420"/>
    <n v="0"/>
    <n v="0"/>
    <n v="0"/>
    <n v="0"/>
    <n v="0"/>
    <n v="100"/>
    <n v="100"/>
    <n v="337777"/>
    <n v="331021"/>
    <n v="915"/>
    <n v="365"/>
    <n v="365"/>
    <n v="185"/>
    <d v="2021-06-30T00:00:00"/>
    <s v="E032016"/>
    <n v="366000"/>
    <n v="366000"/>
    <s v="SWD"/>
    <n v="30"/>
    <s v="N"/>
    <s v="Y"/>
    <n v="392000"/>
    <n v="60800"/>
    <n v="331200"/>
    <n v="0"/>
    <n v="328327.30358548823"/>
    <n v="391842.51796555892"/>
    <n v="-63515.211630999998"/>
    <n v="132535.48800000001"/>
    <n v="88356.992000000013"/>
    <n v="-24051.387388882686"/>
    <n v="32917.849192000001"/>
    <n v="47371.278778200001"/>
    <n v="-543.70550000000003"/>
    <n v="109842.26880000001"/>
    <n v="0"/>
    <n v="0"/>
    <n v="-9412.7029999999995"/>
    <n v="0"/>
    <n v="14826.43302"/>
    <n v="0"/>
    <n v="328327.30227031733"/>
    <n v="0"/>
    <n v="264000"/>
    <n v="64300"/>
    <n v="328300"/>
    <n v="1.1148339932988121"/>
    <n v="-0.16250000000000001"/>
    <n v="0.99970000000000003"/>
    <n v="1.0019"/>
    <n v="1.0012000000000001"/>
    <n v="1.0007999999999999"/>
    <n v="0.99080000000000001"/>
    <n v="0.94971499999999998"/>
    <n v="0.94465191549562377"/>
    <n v="320200"/>
    <n v="0"/>
    <n v="320200"/>
    <n v="61100"/>
    <n v="381300"/>
    <n v="-3.3212560386473432E-2"/>
    <n v="4.9342105263157892E-3"/>
    <n v="-2.729591836734694E-2"/>
    <n v="0.8682644490956285"/>
  </r>
  <r>
    <n v="2025"/>
    <n v="20120632401"/>
    <n v="-1.7719568419318752"/>
    <n v="0.17"/>
    <n v="7403"/>
    <n v="2"/>
    <s v="RES"/>
    <n v="317"/>
    <s v="MX"/>
    <s v="R1"/>
    <n v="11"/>
    <n v="259"/>
    <s v="CP"/>
    <s v="G"/>
    <s v="EX"/>
    <n v="2018"/>
    <n v="2018"/>
    <x v="0"/>
    <n v="6"/>
    <n v="6"/>
    <n v="1"/>
    <n v="2025"/>
    <n v="0"/>
    <n v="0"/>
    <n v="0"/>
    <n v="0"/>
    <n v="0"/>
    <n v="2025"/>
    <x v="1"/>
    <n v="3"/>
    <s v="S"/>
    <s v="FD"/>
    <s v="G"/>
    <s v="Y"/>
    <n v="0"/>
    <n v="0"/>
    <n v="0"/>
    <n v="0"/>
    <n v="0"/>
    <n v="11"/>
    <n v="670"/>
    <n v="0"/>
    <n v="0"/>
    <n v="0"/>
    <n v="0"/>
    <n v="0"/>
    <n v="100"/>
    <n v="100"/>
    <n v="401381"/>
    <n v="393353"/>
    <n v="615"/>
    <n v="365"/>
    <n v="250"/>
    <n v="0"/>
    <d v="2022-04-26T00:00:00"/>
    <s v="E036244"/>
    <n v="437000"/>
    <n v="437000"/>
    <s v="SWD"/>
    <n v="30"/>
    <s v="N"/>
    <s v="Y"/>
    <n v="427500"/>
    <n v="61700"/>
    <n v="365800"/>
    <n v="0"/>
    <n v="418024.70808654034"/>
    <n v="431419.02325836767"/>
    <n v="-13394.314381"/>
    <n v="132535.48800000001"/>
    <n v="88356.992000000013"/>
    <n v="-23255.730391660189"/>
    <n v="32917.849192000001"/>
    <n v="47371.278778200001"/>
    <n v="-652.44659999999999"/>
    <n v="126381.01950000001"/>
    <n v="0"/>
    <n v="0"/>
    <n v="4112.8784489"/>
    <n v="0"/>
    <n v="23651.690770000001"/>
    <n v="0"/>
    <n v="418024.70531643979"/>
    <n v="0"/>
    <n v="352900"/>
    <n v="65100"/>
    <n v="418000"/>
    <n v="1.0454545454545454"/>
    <n v="-2.2222222222222223E-2"/>
    <n v="0.99970000000000003"/>
    <n v="1.0019"/>
    <n v="1.0012000000000001"/>
    <n v="1.0008999999999999"/>
    <n v="0.99080000000000001"/>
    <n v="0.94971499999999998"/>
    <n v="0.94474630517542935"/>
    <n v="359000"/>
    <n v="0"/>
    <n v="359000"/>
    <n v="61800"/>
    <n v="420800"/>
    <n v="-1.8589393110989613E-2"/>
    <n v="1.6207455429497568E-3"/>
    <n v="-1.5672514619883039E-2"/>
    <n v="0.9322784567940503"/>
  </r>
  <r>
    <n v="2025"/>
    <n v="20120632420"/>
    <n v="-1.7719568419318752"/>
    <n v="0.17"/>
    <n v="7200"/>
    <n v="2"/>
    <s v="RES"/>
    <n v="317"/>
    <s v="MX"/>
    <s v="R1"/>
    <n v="11"/>
    <n v="259"/>
    <s v="CP"/>
    <s v="G"/>
    <s v="EX"/>
    <n v="2018"/>
    <n v="2018"/>
    <x v="0"/>
    <n v="6"/>
    <n v="6"/>
    <n v="1"/>
    <n v="1706"/>
    <n v="0"/>
    <n v="0"/>
    <n v="0"/>
    <n v="0"/>
    <n v="0"/>
    <n v="1706"/>
    <x v="0"/>
    <n v="2"/>
    <s v="N"/>
    <s v="FD"/>
    <s v="G"/>
    <s v="Y"/>
    <n v="0"/>
    <n v="0"/>
    <n v="0"/>
    <n v="1"/>
    <n v="0"/>
    <n v="10"/>
    <n v="441"/>
    <n v="0"/>
    <n v="0"/>
    <n v="0"/>
    <n v="0"/>
    <n v="0"/>
    <n v="100"/>
    <n v="100"/>
    <n v="337479"/>
    <n v="330729"/>
    <n v="823"/>
    <n v="365"/>
    <n v="365"/>
    <n v="93"/>
    <d v="2021-09-30T00:00:00"/>
    <s v="E033379"/>
    <n v="365000"/>
    <n v="365000"/>
    <s v="SWD"/>
    <n v="30"/>
    <s v="N"/>
    <s v="Y"/>
    <n v="394900"/>
    <n v="61700"/>
    <n v="333200"/>
    <n v="0"/>
    <n v="347453.32615458104"/>
    <n v="389900.59494454262"/>
    <n v="-42447.266831000001"/>
    <n v="132535.48800000001"/>
    <n v="88356.992000000013"/>
    <n v="-23255.730391660189"/>
    <n v="32917.849192000001"/>
    <n v="47371.278778200001"/>
    <n v="-652.44659999999999"/>
    <n v="106472.10828"/>
    <n v="0"/>
    <n v="0"/>
    <n v="-9412.7029999999995"/>
    <n v="0"/>
    <n v="15567.754671000001"/>
    <n v="0"/>
    <n v="347453.32409853989"/>
    <n v="0"/>
    <n v="282400"/>
    <n v="65100"/>
    <n v="347500"/>
    <n v="1.0503597122302157"/>
    <n v="-0.12003038743985819"/>
    <n v="0.99970000000000003"/>
    <n v="1.0019"/>
    <n v="1.0012000000000001"/>
    <n v="1.0007999999999999"/>
    <n v="0.99080000000000001"/>
    <n v="0.94971499999999998"/>
    <n v="0.94465191549562377"/>
    <n v="317500"/>
    <n v="0"/>
    <n v="317500"/>
    <n v="61800"/>
    <n v="379300"/>
    <n v="-4.7118847539015608E-2"/>
    <n v="1.6207455429497568E-3"/>
    <n v="-3.9503671815649531E-2"/>
    <n v="0.92288420046301378"/>
  </r>
  <r>
    <n v="2025"/>
    <n v="20120632423"/>
    <n v="-1.7719568419318752"/>
    <n v="0.17"/>
    <n v="7300"/>
    <n v="2"/>
    <s v="RES"/>
    <n v="317"/>
    <s v="MX"/>
    <s v="R1"/>
    <n v="11"/>
    <n v="259"/>
    <s v="CO"/>
    <s v="G"/>
    <s v="VG"/>
    <n v="2018"/>
    <n v="2018"/>
    <x v="0"/>
    <n v="6"/>
    <n v="6"/>
    <n v="1"/>
    <n v="2297"/>
    <n v="0"/>
    <n v="0"/>
    <n v="0"/>
    <n v="0"/>
    <n v="0"/>
    <n v="2297"/>
    <x v="1"/>
    <n v="3"/>
    <s v="N"/>
    <s v="FD"/>
    <s v="G"/>
    <s v="Y"/>
    <n v="0"/>
    <n v="0"/>
    <n v="1"/>
    <n v="0"/>
    <n v="0"/>
    <n v="12"/>
    <n v="690"/>
    <n v="0"/>
    <n v="0"/>
    <n v="0"/>
    <n v="0"/>
    <n v="0"/>
    <n v="100"/>
    <n v="100"/>
    <n v="446929"/>
    <n v="437990"/>
    <n v="159"/>
    <n v="159"/>
    <n v="0"/>
    <n v="0"/>
    <d v="2023-07-26T00:00:00"/>
    <s v="E040977"/>
    <n v="489250"/>
    <n v="489250"/>
    <s v="SWD"/>
    <n v="30"/>
    <s v="N"/>
    <s v="Y"/>
    <n v="439100"/>
    <n v="61700"/>
    <n v="377400"/>
    <n v="0"/>
    <n v="449959.38722513156"/>
    <n v="448449.29098437476"/>
    <n v="1510.0962354000001"/>
    <n v="132535.48800000001"/>
    <n v="88356.992000000013"/>
    <n v="-23255.730391660189"/>
    <n v="32917.849192000001"/>
    <n v="50438.379078999998"/>
    <n v="-652.44659999999999"/>
    <n v="143356.64286000002"/>
    <n v="0"/>
    <n v="0"/>
    <n v="-9412.7029999999995"/>
    <n v="9807.1044999999995"/>
    <n v="24357.71139"/>
    <n v="0"/>
    <n v="449959.38326473988"/>
    <n v="0"/>
    <n v="384900"/>
    <n v="65100"/>
    <n v="450000"/>
    <n v="1.0872222222222223"/>
    <n v="2.4823502618993395E-2"/>
    <n v="0.99970000000000003"/>
    <n v="1.0019"/>
    <n v="1.0007999999999999"/>
    <n v="1.0008999999999999"/>
    <n v="0.99080000000000001"/>
    <n v="0.94971499999999998"/>
    <n v="0.94436885958806405"/>
    <n v="376000"/>
    <n v="0"/>
    <n v="376000"/>
    <n v="61800"/>
    <n v="437800"/>
    <n v="-3.7095919448860626E-3"/>
    <n v="1.6207455429497568E-3"/>
    <n v="-2.960601229788203E-3"/>
    <n v="0.89792559271415429"/>
  </r>
  <r>
    <n v="2025"/>
    <n v="20120632433"/>
    <n v="-1.8971199848858813"/>
    <n v="0.15"/>
    <n v="6338"/>
    <n v="2"/>
    <s v="RES"/>
    <n v="317"/>
    <s v="MX"/>
    <s v="R1"/>
    <n v="11"/>
    <n v="259"/>
    <s v="CP"/>
    <s v="G"/>
    <s v="EX"/>
    <n v="2018"/>
    <n v="2018"/>
    <x v="0"/>
    <n v="6"/>
    <n v="6"/>
    <n v="1"/>
    <n v="1749"/>
    <n v="0"/>
    <n v="0"/>
    <n v="0"/>
    <n v="0"/>
    <n v="0"/>
    <n v="1749"/>
    <x v="0"/>
    <n v="2"/>
    <s v="N"/>
    <s v="FD"/>
    <s v="G"/>
    <s v="Y"/>
    <n v="0"/>
    <n v="0"/>
    <n v="0"/>
    <n v="1"/>
    <n v="0"/>
    <n v="10"/>
    <n v="441"/>
    <n v="0"/>
    <n v="0"/>
    <n v="0"/>
    <n v="100"/>
    <n v="0"/>
    <n v="100"/>
    <n v="100"/>
    <n v="345550"/>
    <n v="338639"/>
    <n v="955"/>
    <n v="365"/>
    <n v="365"/>
    <n v="225"/>
    <d v="2021-05-21T00:00:00"/>
    <s v="E031408"/>
    <n v="355000"/>
    <n v="355000"/>
    <s v="SWD"/>
    <n v="30"/>
    <s v="N"/>
    <s v="Y"/>
    <n v="395700"/>
    <n v="59900"/>
    <n v="335800"/>
    <n v="0"/>
    <n v="318266.36931420001"/>
    <n v="390941.56003779639"/>
    <n v="-72675.187631000008"/>
    <n v="132535.48800000001"/>
    <n v="88356.992000000013"/>
    <n v="-24898.411657157456"/>
    <n v="32917.849192000001"/>
    <n v="47371.278778200001"/>
    <n v="-652.44659999999999"/>
    <n v="109155.75462000001"/>
    <n v="0"/>
    <n v="0"/>
    <n v="-9412.7029999999995"/>
    <n v="0"/>
    <n v="15567.754671000001"/>
    <n v="0"/>
    <n v="318266.36837304261"/>
    <n v="0"/>
    <n v="254800"/>
    <n v="63500"/>
    <n v="318300"/>
    <n v="1.1153000314169024"/>
    <n v="-0.1956027293404094"/>
    <n v="0.99970000000000003"/>
    <n v="1.0019"/>
    <n v="1.0012000000000001"/>
    <n v="1.0007999999999999"/>
    <n v="0.99080000000000001"/>
    <n v="0.94971499999999998"/>
    <n v="0.94465191549562377"/>
    <n v="320100"/>
    <n v="0"/>
    <n v="320100"/>
    <n v="60300"/>
    <n v="380400"/>
    <n v="-4.6754020250148895E-2"/>
    <n v="6.6777963272120202E-3"/>
    <n v="-3.8665655799848368E-2"/>
    <n v="0.86683045737746478"/>
  </r>
  <r>
    <n v="2025"/>
    <n v="20120632434"/>
    <n v="-1.8971199848858813"/>
    <n v="0.15"/>
    <n v="6434"/>
    <n v="2"/>
    <s v="RES"/>
    <n v="317"/>
    <s v="MX"/>
    <s v="R1"/>
    <n v="11"/>
    <n v="259"/>
    <s v="CP"/>
    <s v="G"/>
    <s v="EX"/>
    <n v="2018"/>
    <n v="2018"/>
    <x v="0"/>
    <n v="6"/>
    <n v="6"/>
    <n v="2"/>
    <n v="861"/>
    <n v="1323"/>
    <n v="0"/>
    <n v="0"/>
    <n v="0"/>
    <n v="0"/>
    <n v="2184"/>
    <x v="1"/>
    <n v="3"/>
    <s v="N"/>
    <s v="FD"/>
    <s v="G"/>
    <s v="Y"/>
    <n v="0"/>
    <n v="0"/>
    <n v="1"/>
    <n v="0"/>
    <n v="1"/>
    <n v="13"/>
    <n v="735"/>
    <n v="0"/>
    <n v="0"/>
    <n v="0"/>
    <n v="420"/>
    <n v="0"/>
    <n v="100"/>
    <n v="100"/>
    <n v="411571"/>
    <n v="403340"/>
    <n v="803"/>
    <n v="365"/>
    <n v="365"/>
    <n v="73"/>
    <d v="2021-10-20T00:00:00"/>
    <s v="E033698"/>
    <n v="440000"/>
    <n v="440000"/>
    <s v="SWD"/>
    <n v="30"/>
    <s v="N"/>
    <s v="Y"/>
    <n v="429100"/>
    <n v="59900"/>
    <n v="369200"/>
    <n v="0"/>
    <n v="396664.31581958785"/>
    <n v="434531.59643778665"/>
    <n v="-37867.278831000003"/>
    <n v="132535.48800000001"/>
    <n v="88356.992000000013"/>
    <n v="-24898.411657157456"/>
    <n v="32917.849192000001"/>
    <n v="47371.278778200001"/>
    <n v="-652.44659999999999"/>
    <n v="53735.337180000002"/>
    <n v="78824.84670899999"/>
    <n v="0"/>
    <n v="-9412.7029999999995"/>
    <n v="9807.1044999999995"/>
    <n v="25946.257785000002"/>
    <n v="0"/>
    <n v="396664.31405604264"/>
    <n v="0"/>
    <n v="333200"/>
    <n v="63500"/>
    <n v="396700"/>
    <n v="1.1091504915553314"/>
    <n v="-7.5506874854346304E-2"/>
    <n v="0.99970000000000003"/>
    <n v="1.0019"/>
    <n v="1.0012000000000001"/>
    <n v="1.0008999999999999"/>
    <n v="0.99080000000000001"/>
    <n v="0.94971499999999998"/>
    <n v="0.94474630517542935"/>
    <n v="363700"/>
    <n v="0"/>
    <n v="363700"/>
    <n v="60300"/>
    <n v="424000"/>
    <n v="-1.4897074756229686E-2"/>
    <n v="6.6777963272120202E-3"/>
    <n v="-1.1885341412258214E-2"/>
    <n v="0.87757436629318186"/>
  </r>
  <r>
    <n v="2025"/>
    <n v="20120634448"/>
    <n v="-1.7719568419318752"/>
    <n v="0.17"/>
    <n v="7333"/>
    <n v="2"/>
    <s v="RES"/>
    <n v="317"/>
    <s v="MX"/>
    <s v="R1"/>
    <n v="11"/>
    <n v="259"/>
    <s v="CP"/>
    <s v="G"/>
    <s v="VG"/>
    <n v="2016"/>
    <n v="2016"/>
    <x v="0"/>
    <n v="8"/>
    <n v="8"/>
    <n v="2"/>
    <n v="1555"/>
    <n v="1251"/>
    <n v="0"/>
    <n v="0"/>
    <n v="0"/>
    <n v="0"/>
    <n v="2806"/>
    <x v="4"/>
    <n v="3"/>
    <s v="N"/>
    <s v="FD"/>
    <s v="G"/>
    <s v="Y"/>
    <n v="0"/>
    <n v="0"/>
    <n v="0"/>
    <n v="0"/>
    <n v="1"/>
    <n v="17"/>
    <n v="713"/>
    <n v="0"/>
    <n v="0"/>
    <n v="0"/>
    <n v="144"/>
    <n v="0"/>
    <n v="100"/>
    <n v="100"/>
    <n v="498891"/>
    <n v="483924"/>
    <n v="588"/>
    <n v="365"/>
    <n v="223"/>
    <n v="0"/>
    <d v="2022-05-23T00:00:00"/>
    <s v="E036544"/>
    <n v="440000"/>
    <n v="440000"/>
    <s v="SWD"/>
    <n v="30"/>
    <s v="N"/>
    <s v="Y"/>
    <n v="464700"/>
    <n v="61700"/>
    <n v="403000"/>
    <n v="0"/>
    <n v="455889.84546991007"/>
    <n v="467463.18470499991"/>
    <n v="-11573.338530999999"/>
    <n v="132535.48800000001"/>
    <n v="88356.992000000013"/>
    <n v="-23255.730391660189"/>
    <n v="32917.849192000001"/>
    <n v="50438.379078999998"/>
    <n v="-869.92880000000002"/>
    <n v="97048.140899999999"/>
    <n v="74535.059133000002"/>
    <n v="0"/>
    <n v="-9412.7029999999995"/>
    <n v="0"/>
    <n v="25169.635103000001"/>
    <n v="0"/>
    <n v="455889.84268433985"/>
    <n v="0"/>
    <n v="390800"/>
    <n v="65100"/>
    <n v="455900"/>
    <n v="0.96512393068655411"/>
    <n v="-1.8936948568969228E-2"/>
    <n v="0.99970000000000003"/>
    <n v="1.0019"/>
    <n v="1.0007999999999999"/>
    <n v="1.0099"/>
    <n v="0.99080000000000001"/>
    <n v="0.94971499999999998"/>
    <n v="0.95286053681485272"/>
    <n v="396100"/>
    <n v="0"/>
    <n v="396100"/>
    <n v="61800"/>
    <n v="457900"/>
    <n v="-1.7121588089330026E-2"/>
    <n v="1.6207455429497568E-3"/>
    <n v="-1.4633096621476221E-2"/>
    <n v="1.0143787760659091"/>
  </r>
  <r>
    <n v="2025"/>
    <n v="20120634465"/>
    <n v="-1.7719568419318752"/>
    <n v="0.17"/>
    <n v="7310"/>
    <n v="2"/>
    <s v="RES"/>
    <n v="317"/>
    <s v="MX"/>
    <s v="R1"/>
    <n v="11"/>
    <n v="259"/>
    <s v="CP"/>
    <s v="A+"/>
    <s v="VG"/>
    <n v="2016"/>
    <n v="2016"/>
    <x v="0"/>
    <n v="8"/>
    <n v="8"/>
    <n v="2"/>
    <n v="787"/>
    <n v="1224"/>
    <n v="0"/>
    <n v="0"/>
    <n v="0"/>
    <n v="0"/>
    <n v="2011"/>
    <x v="1"/>
    <n v="0"/>
    <s v="N"/>
    <s v="FD"/>
    <s v="G"/>
    <s v="Y"/>
    <n v="0"/>
    <n v="0"/>
    <n v="0"/>
    <n v="0"/>
    <n v="1"/>
    <n v="13"/>
    <n v="0"/>
    <n v="399"/>
    <n v="0"/>
    <n v="0"/>
    <n v="288"/>
    <n v="0"/>
    <n v="100"/>
    <n v="100"/>
    <n v="319808"/>
    <n v="310214"/>
    <n v="916"/>
    <n v="365"/>
    <n v="365"/>
    <n v="186"/>
    <d v="2021-06-29T00:00:00"/>
    <s v="E031987"/>
    <n v="375000"/>
    <n v="375000"/>
    <s v="SWD"/>
    <n v="30"/>
    <s v="N"/>
    <s v="Y"/>
    <n v="435200"/>
    <n v="61700"/>
    <n v="373500"/>
    <n v="0"/>
    <n v="352955.22016285855"/>
    <n v="416699.43395151733"/>
    <n v="-63744.211030999999"/>
    <n v="132535.48800000001"/>
    <n v="88356.992000000013"/>
    <n v="-23255.730391660189"/>
    <n v="37154.252388000001"/>
    <n v="50438.379078999998"/>
    <n v="-869.92880000000002"/>
    <n v="49116.969060000003"/>
    <n v="72926.388791999998"/>
    <n v="0"/>
    <n v="-9412.7029999999995"/>
    <n v="0"/>
    <n v="0"/>
    <n v="19709.323199999999"/>
    <n v="352955.2192963399"/>
    <n v="0"/>
    <n v="287900"/>
    <n v="65100"/>
    <n v="353000"/>
    <n v="1.0623229461756374"/>
    <n v="-0.18887867647058823"/>
    <n v="0.99970000000000003"/>
    <n v="0.99819999999999998"/>
    <n v="1.0007999999999999"/>
    <n v="1.0008999999999999"/>
    <n v="0.99080000000000001"/>
    <n v="0.94971499999999998"/>
    <n v="0.94088132113065737"/>
    <n v="343800"/>
    <n v="0"/>
    <n v="343800"/>
    <n v="61800"/>
    <n v="405600"/>
    <n v="-7.9518072289156624E-2"/>
    <n v="1.6207455429497568E-3"/>
    <n v="-6.8014705882352935E-2"/>
    <n v="0.91161543725066663"/>
  </r>
  <r>
    <n v="2025"/>
    <n v="20120634480"/>
    <n v="-1.7719568419318752"/>
    <n v="0.17"/>
    <n v="7245"/>
    <n v="2"/>
    <s v="RES"/>
    <n v="317"/>
    <s v="MX"/>
    <s v="R1"/>
    <n v="11"/>
    <n v="259"/>
    <s v="CP"/>
    <s v="G"/>
    <s v="VG"/>
    <n v="2016"/>
    <n v="2016"/>
    <x v="0"/>
    <n v="8"/>
    <n v="8"/>
    <n v="1"/>
    <n v="1849"/>
    <n v="0"/>
    <n v="0"/>
    <n v="0"/>
    <n v="0"/>
    <n v="0"/>
    <n v="1849"/>
    <x v="0"/>
    <n v="2"/>
    <s v="N"/>
    <s v="FD"/>
    <s v="G"/>
    <s v="Y"/>
    <n v="0"/>
    <n v="0"/>
    <n v="0"/>
    <n v="0"/>
    <n v="0"/>
    <n v="10"/>
    <n v="431"/>
    <n v="0"/>
    <n v="0"/>
    <n v="0"/>
    <n v="144"/>
    <n v="0"/>
    <n v="100"/>
    <n v="100"/>
    <n v="351514"/>
    <n v="340969"/>
    <n v="147"/>
    <n v="147"/>
    <n v="0"/>
    <n v="0"/>
    <d v="2023-08-07T00:00:00"/>
    <s v="E041143"/>
    <n v="386000"/>
    <n v="386000"/>
    <s v="SWD"/>
    <n v="30"/>
    <s v="N"/>
    <s v="Y"/>
    <n v="389200"/>
    <n v="61700"/>
    <n v="327500"/>
    <n v="0"/>
    <n v="402718.01372749975"/>
    <n v="401321.88701434719"/>
    <n v="1396.1267081999999"/>
    <n v="132535.48800000001"/>
    <n v="88356.992000000013"/>
    <n v="-23255.730391660189"/>
    <n v="32917.849192000001"/>
    <n v="50438.379078999998"/>
    <n v="-869.92880000000002"/>
    <n v="115396.79262000001"/>
    <n v="0"/>
    <n v="0"/>
    <n v="-9412.7029999999995"/>
    <n v="0"/>
    <n v="15214.744361000001"/>
    <n v="0"/>
    <n v="402718.00976853987"/>
    <n v="0"/>
    <n v="337600"/>
    <n v="65100"/>
    <n v="402700"/>
    <n v="0.95852992301961759"/>
    <n v="3.468653648509764E-2"/>
    <n v="0.99970000000000003"/>
    <n v="1.0019"/>
    <n v="1.0007999999999999"/>
    <n v="1.0007999999999999"/>
    <n v="0.99080000000000001"/>
    <n v="0.94971499999999998"/>
    <n v="0.94427450761887755"/>
    <n v="328800"/>
    <n v="0"/>
    <n v="328800"/>
    <n v="61800"/>
    <n v="390600"/>
    <n v="3.9694656488549621E-3"/>
    <n v="1.6207455429497568E-3"/>
    <n v="3.5971223021582736E-3"/>
    <n v="1.0155340070160623"/>
  </r>
  <r>
    <n v="2025"/>
    <n v="20120634478"/>
    <n v="-1.8325814637483102"/>
    <n v="0.16"/>
    <n v="7058"/>
    <n v="2"/>
    <s v="RES"/>
    <n v="317"/>
    <s v="MX"/>
    <s v="R1"/>
    <n v="11"/>
    <n v="259"/>
    <s v="CP"/>
    <s v="A+"/>
    <s v="VG"/>
    <n v="2015"/>
    <n v="2015"/>
    <x v="0"/>
    <n v="9"/>
    <n v="9"/>
    <n v="1"/>
    <n v="1600"/>
    <n v="0"/>
    <n v="0"/>
    <n v="0"/>
    <n v="0"/>
    <n v="0"/>
    <n v="1600"/>
    <x v="0"/>
    <n v="2"/>
    <s v="N"/>
    <s v="FD"/>
    <s v="G"/>
    <s v="Y"/>
    <n v="0"/>
    <n v="0"/>
    <n v="0"/>
    <n v="1"/>
    <n v="0"/>
    <n v="9"/>
    <n v="440"/>
    <n v="0"/>
    <n v="0"/>
    <n v="0"/>
    <n v="120"/>
    <n v="0"/>
    <n v="100"/>
    <n v="100"/>
    <n v="282691"/>
    <n v="274210"/>
    <n v="859"/>
    <n v="365"/>
    <n v="365"/>
    <n v="129"/>
    <d v="2021-08-25T00:00:00"/>
    <s v="E032801"/>
    <n v="338300"/>
    <n v="338300"/>
    <s v="SWD"/>
    <n v="30"/>
    <s v="N"/>
    <s v="Y"/>
    <n v="389100"/>
    <n v="60800"/>
    <n v="328300"/>
    <n v="0"/>
    <n v="338740.16924068937"/>
    <n v="389431.41673982405"/>
    <n v="-50691.245231000001"/>
    <n v="132535.48800000001"/>
    <n v="88356.992000000013"/>
    <n v="-24051.387388882686"/>
    <n v="37154.252388000001"/>
    <n v="50438.379078999998"/>
    <n v="-978.66989999999998"/>
    <n v="99856.608000000007"/>
    <n v="0"/>
    <n v="0"/>
    <n v="-9412.7029999999995"/>
    <n v="0"/>
    <n v="15532.453640000002"/>
    <n v="0"/>
    <n v="338740.16758711735"/>
    <n v="0"/>
    <n v="274400"/>
    <n v="64300"/>
    <n v="338700"/>
    <n v="0.998819013876587"/>
    <n v="-0.12952968388589051"/>
    <n v="0.99970000000000003"/>
    <n v="0.99819999999999998"/>
    <n v="1.0007999999999999"/>
    <n v="1.0007999999999999"/>
    <n v="0.99080000000000001"/>
    <n v="0.94971499999999998"/>
    <n v="0.9407873176017203"/>
    <n v="317300"/>
    <n v="0"/>
    <n v="317300"/>
    <n v="61100"/>
    <n v="378400"/>
    <n v="-3.350593968930856E-2"/>
    <n v="4.9342105263157892E-3"/>
    <n v="-2.7499357491647392E-2"/>
    <n v="0.96869274244457582"/>
  </r>
  <r>
    <n v="2025"/>
    <n v="20120634485"/>
    <n v="-1.7147984280919266"/>
    <n v="0.18"/>
    <n v="7907"/>
    <n v="2"/>
    <s v="RES"/>
    <n v="317"/>
    <s v="MX"/>
    <s v="R1"/>
    <n v="11"/>
    <n v="259"/>
    <s v="CP"/>
    <s v="A+"/>
    <s v="VG"/>
    <n v="2015"/>
    <n v="2015"/>
    <x v="0"/>
    <n v="9"/>
    <n v="9"/>
    <n v="2"/>
    <n v="1126"/>
    <n v="1126"/>
    <n v="0"/>
    <n v="0"/>
    <n v="0"/>
    <n v="0"/>
    <n v="2252"/>
    <x v="1"/>
    <n v="0"/>
    <s v="N"/>
    <s v="FD"/>
    <s v="G"/>
    <s v="Y"/>
    <n v="0"/>
    <n v="0"/>
    <n v="1"/>
    <n v="0"/>
    <n v="1"/>
    <n v="13"/>
    <n v="440"/>
    <n v="0"/>
    <n v="0"/>
    <n v="0"/>
    <n v="120"/>
    <n v="0"/>
    <n v="100"/>
    <n v="100"/>
    <n v="355983"/>
    <n v="345304"/>
    <n v="1070"/>
    <n v="365"/>
    <n v="365"/>
    <n v="340"/>
    <d v="2021-01-26T00:00:00"/>
    <s v="E029910"/>
    <n v="344500"/>
    <n v="344500"/>
    <s v="SWD"/>
    <n v="30"/>
    <s v="N"/>
    <s v="Y"/>
    <n v="429300"/>
    <n v="62500"/>
    <n v="366800"/>
    <n v="0"/>
    <n v="339279.21170738805"/>
    <n v="438289.33441862074"/>
    <n v="-99010.118631000005"/>
    <n v="132535.48800000001"/>
    <n v="88356.992000000013"/>
    <n v="-22505.565020573864"/>
    <n v="37154.252388000001"/>
    <n v="50438.379078999998"/>
    <n v="-978.66989999999998"/>
    <n v="70274.087880000006"/>
    <n v="67087.511257999999"/>
    <n v="0"/>
    <n v="-9412.7029999999995"/>
    <n v="9807.1044999999995"/>
    <n v="15532.453640000002"/>
    <n v="0"/>
    <n v="339279.21219342621"/>
    <n v="0"/>
    <n v="273400"/>
    <n v="65900"/>
    <n v="339300"/>
    <n v="1.0153256704980842"/>
    <n v="-0.20964360587002095"/>
    <n v="0.99970000000000003"/>
    <n v="0.99819999999999998"/>
    <n v="1.0007999999999999"/>
    <n v="1.0008999999999999"/>
    <n v="0.99080000000000001"/>
    <n v="0.94971499999999998"/>
    <n v="0.94088132113065737"/>
    <n v="364600"/>
    <n v="0"/>
    <n v="364600"/>
    <n v="62500"/>
    <n v="427100"/>
    <n v="-5.9978189749182115E-3"/>
    <n v="0"/>
    <n v="-5.1246214768227343E-3"/>
    <n v="0.95236540310304796"/>
  </r>
  <r>
    <n v="2025"/>
    <n v="20120634433"/>
    <n v="-1.7147984280919266"/>
    <n v="0.18"/>
    <n v="7909"/>
    <n v="2"/>
    <s v="RES"/>
    <n v="317"/>
    <s v="MX"/>
    <s v="R1"/>
    <n v="11"/>
    <n v="259"/>
    <s v="CP"/>
    <s v="A+"/>
    <s v="VG"/>
    <n v="2014"/>
    <n v="2014"/>
    <x v="0"/>
    <n v="10"/>
    <n v="10"/>
    <n v="2"/>
    <n v="1152"/>
    <n v="1384"/>
    <n v="0"/>
    <n v="0"/>
    <n v="0"/>
    <n v="0"/>
    <n v="2536"/>
    <x v="4"/>
    <n v="0"/>
    <s v="N"/>
    <s v="FD"/>
    <s v="G"/>
    <s v="Y"/>
    <n v="0"/>
    <n v="0"/>
    <n v="1"/>
    <n v="0"/>
    <n v="1"/>
    <n v="14"/>
    <n v="0"/>
    <n v="640"/>
    <n v="0"/>
    <n v="0"/>
    <n v="0"/>
    <n v="0"/>
    <n v="100"/>
    <n v="100"/>
    <n v="389712"/>
    <n v="378021"/>
    <n v="908"/>
    <n v="365"/>
    <n v="365"/>
    <n v="178"/>
    <d v="2021-07-07T00:00:00"/>
    <s v="E032080"/>
    <n v="390000"/>
    <n v="390000"/>
    <s v="SWD"/>
    <n v="30"/>
    <s v="N"/>
    <s v="Y"/>
    <n v="444000"/>
    <n v="62500"/>
    <n v="381500"/>
    <n v="0"/>
    <n v="409344.28172669036"/>
    <n v="471256.50024664396"/>
    <n v="-61912.215830999994"/>
    <n v="132535.48800000001"/>
    <n v="88356.992000000013"/>
    <n v="-22505.565020573864"/>
    <n v="37154.252388000001"/>
    <n v="50438.379078999998"/>
    <n v="-1087.4110000000001"/>
    <n v="71896.757760000008"/>
    <n v="82459.250071999995"/>
    <n v="0"/>
    <n v="-9412.7029999999995"/>
    <n v="9807.1044999999995"/>
    <n v="0"/>
    <n v="31613.951999999997"/>
    <n v="409344.28094742616"/>
    <n v="0"/>
    <n v="343500"/>
    <n v="65900"/>
    <n v="409400"/>
    <n v="0.95261358085002446"/>
    <n v="-7.7927927927927923E-2"/>
    <n v="0.99970000000000003"/>
    <n v="0.99819999999999998"/>
    <n v="1.0007999999999999"/>
    <n v="1.0099"/>
    <n v="0.99080000000000001"/>
    <n v="0.94971499999999998"/>
    <n v="0.94934163873498945"/>
    <n v="398700"/>
    <n v="0"/>
    <n v="398700"/>
    <n v="62500"/>
    <n v="461200"/>
    <n v="4.5085190039318476E-2"/>
    <n v="0"/>
    <n v="3.8738738738738739E-2"/>
    <n v="1.0238148312025641"/>
  </r>
  <r>
    <n v="2025"/>
    <n v="20120634434"/>
    <n v="-1.7147984280919266"/>
    <n v="0.18"/>
    <n v="7790"/>
    <n v="2"/>
    <s v="RES"/>
    <n v="317"/>
    <s v="MX"/>
    <s v="R1"/>
    <n v="11"/>
    <n v="259"/>
    <s v="CP"/>
    <s v="G"/>
    <s v="VG"/>
    <n v="2014"/>
    <n v="2014"/>
    <x v="0"/>
    <n v="10"/>
    <n v="10"/>
    <n v="1"/>
    <n v="2156"/>
    <n v="0"/>
    <n v="0"/>
    <n v="0"/>
    <n v="0"/>
    <n v="0"/>
    <n v="2156"/>
    <x v="1"/>
    <n v="3"/>
    <s v="N"/>
    <s v="FD"/>
    <s v="G"/>
    <s v="Y"/>
    <n v="0"/>
    <n v="0"/>
    <n v="1"/>
    <n v="0"/>
    <n v="0"/>
    <n v="10"/>
    <n v="688"/>
    <n v="0"/>
    <n v="0"/>
    <n v="0"/>
    <n v="0"/>
    <n v="0"/>
    <n v="100"/>
    <n v="100"/>
    <n v="424294"/>
    <n v="411565"/>
    <n v="620"/>
    <n v="365"/>
    <n v="255"/>
    <n v="0"/>
    <d v="2022-04-21T00:00:00"/>
    <s v="E036123"/>
    <n v="430000"/>
    <n v="430000"/>
    <s v="SWD"/>
    <n v="30"/>
    <s v="N"/>
    <s v="Y"/>
    <n v="435200"/>
    <n v="62500"/>
    <n v="372700"/>
    <n v="0"/>
    <n v="426162.49323774426"/>
    <n v="439894.02617563395"/>
    <n v="-13731.532131"/>
    <n v="132535.48800000001"/>
    <n v="88356.992000000013"/>
    <n v="-22505.565020573864"/>
    <n v="32917.849192000001"/>
    <n v="50438.379078999998"/>
    <n v="-1087.4110000000001"/>
    <n v="134556.77928000002"/>
    <n v="0"/>
    <n v="0"/>
    <n v="-9412.7029999999995"/>
    <n v="9807.1044999999995"/>
    <n v="24287.109328000002"/>
    <n v="0"/>
    <n v="426162.49022742617"/>
    <n v="0"/>
    <n v="360300"/>
    <n v="65900"/>
    <n v="426200"/>
    <n v="1.0089160018770531"/>
    <n v="-2.0680147058823529E-2"/>
    <n v="0.99970000000000003"/>
    <n v="1.0019"/>
    <n v="1.0007999999999999"/>
    <n v="1.0008999999999999"/>
    <n v="0.99080000000000001"/>
    <n v="0.94971499999999998"/>
    <n v="0.94436885958806405"/>
    <n v="366700"/>
    <n v="0"/>
    <n v="366700"/>
    <n v="62500"/>
    <n v="429200"/>
    <n v="-1.6098738932116986E-2"/>
    <n v="0"/>
    <n v="-1.3786764705882353E-2"/>
    <n v="0.96620573923023256"/>
  </r>
  <r>
    <n v="2025"/>
    <n v="20120634410"/>
    <n v="-1.7147984280919266"/>
    <n v="0.18"/>
    <n v="8015"/>
    <n v="2"/>
    <s v="RES"/>
    <n v="317"/>
    <s v="MX"/>
    <s v="R1"/>
    <n v="11"/>
    <n v="259"/>
    <s v="CP"/>
    <s v="G"/>
    <s v="VG"/>
    <n v="2013"/>
    <n v="2013"/>
    <x v="1"/>
    <n v="11"/>
    <n v="11"/>
    <n v="1"/>
    <n v="1978"/>
    <n v="0"/>
    <n v="0"/>
    <n v="0"/>
    <n v="0"/>
    <n v="0"/>
    <n v="1978"/>
    <x v="0"/>
    <n v="2"/>
    <s v="N"/>
    <s v="FD"/>
    <s v="G"/>
    <s v="Y"/>
    <n v="0"/>
    <n v="0"/>
    <n v="1"/>
    <n v="0"/>
    <n v="0"/>
    <n v="11"/>
    <n v="429"/>
    <n v="0"/>
    <n v="0"/>
    <n v="0"/>
    <n v="120"/>
    <n v="0"/>
    <n v="100"/>
    <n v="100"/>
    <n v="376924"/>
    <n v="361847"/>
    <n v="803"/>
    <n v="365"/>
    <n v="365"/>
    <n v="73"/>
    <d v="2021-10-20T00:00:00"/>
    <s v="E033692"/>
    <n v="400000"/>
    <n v="400000"/>
    <s v="SWD"/>
    <n v="30"/>
    <s v="N"/>
    <s v="Y"/>
    <n v="397900"/>
    <n v="62500"/>
    <n v="335400"/>
    <n v="0"/>
    <n v="381665.98984602786"/>
    <n v="419533.27046422666"/>
    <n v="-37867.278831000003"/>
    <n v="132535.48800000001"/>
    <n v="88356.992000000013"/>
    <n v="-22505.565020573864"/>
    <n v="32917.849192000001"/>
    <n v="50438.379078999998"/>
    <n v="-1196.1521"/>
    <n v="123447.73164000001"/>
    <n v="0"/>
    <n v="0"/>
    <n v="-9412.7029999999995"/>
    <n v="9807.1044999999995"/>
    <n v="15144.142299000001"/>
    <n v="0"/>
    <n v="381665.98775842617"/>
    <n v="0"/>
    <n v="315800"/>
    <n v="65900"/>
    <n v="381700"/>
    <n v="1.047943411055803"/>
    <n v="-4.0713747172656446E-2"/>
    <n v="0.99970000000000003"/>
    <n v="1.0019"/>
    <n v="1.0007999999999999"/>
    <n v="1.0007999999999999"/>
    <n v="1.0138"/>
    <n v="0.94971499999999998"/>
    <n v="0.96619448508681682"/>
    <n v="349200"/>
    <n v="0"/>
    <n v="349200"/>
    <n v="62500"/>
    <n v="411700"/>
    <n v="4.1144901610017888E-2"/>
    <n v="0"/>
    <n v="3.4682080924855488E-2"/>
    <n v="0.93458180292250004"/>
  </r>
  <r>
    <n v="2025"/>
    <n v="20120634412"/>
    <n v="-1.7147984280919266"/>
    <n v="0.18"/>
    <n v="8015"/>
    <n v="2"/>
    <s v="RES"/>
    <n v="317"/>
    <s v="MX"/>
    <s v="R1"/>
    <n v="11"/>
    <n v="259"/>
    <s v="CP"/>
    <s v="G"/>
    <s v="VG"/>
    <n v="2013"/>
    <n v="2013"/>
    <x v="1"/>
    <n v="11"/>
    <n v="11"/>
    <n v="1"/>
    <n v="1770"/>
    <n v="0"/>
    <n v="0"/>
    <n v="0"/>
    <n v="0"/>
    <n v="0"/>
    <n v="1770"/>
    <x v="0"/>
    <n v="0"/>
    <s v="S"/>
    <s v="FD"/>
    <s v="G"/>
    <s v="Y"/>
    <n v="0"/>
    <n v="0"/>
    <n v="0"/>
    <n v="1"/>
    <n v="0"/>
    <n v="10"/>
    <n v="420"/>
    <n v="0"/>
    <n v="0"/>
    <n v="0"/>
    <n v="156"/>
    <n v="0"/>
    <n v="100"/>
    <n v="100"/>
    <n v="339512"/>
    <n v="325932"/>
    <n v="922"/>
    <n v="365"/>
    <n v="365"/>
    <n v="192"/>
    <d v="2021-06-23T00:00:00"/>
    <s v="E031862"/>
    <n v="350000"/>
    <n v="350000"/>
    <s v="SWD"/>
    <n v="30"/>
    <s v="N"/>
    <s v="Y"/>
    <n v="369200"/>
    <n v="62500"/>
    <n v="306700"/>
    <n v="0"/>
    <n v="344834.46845288784"/>
    <n v="409952.67869307543"/>
    <n v="-65118.207431000003"/>
    <n v="132535.48800000001"/>
    <n v="88356.992000000013"/>
    <n v="-22505.565020573864"/>
    <n v="32917.849192000001"/>
    <n v="50438.379078999998"/>
    <n v="-1196.1521"/>
    <n v="110466.3726"/>
    <n v="0"/>
    <n v="0"/>
    <n v="4112.8784489"/>
    <n v="0"/>
    <n v="14826.43302"/>
    <n v="0"/>
    <n v="344834.46778832615"/>
    <n v="0"/>
    <n v="279000"/>
    <n v="65900"/>
    <n v="344900"/>
    <n v="1.0147868947521022"/>
    <n v="-6.581798483206934E-2"/>
    <n v="0.99970000000000003"/>
    <n v="1.0019"/>
    <n v="1.0007999999999999"/>
    <n v="1.0007999999999999"/>
    <n v="1.0138"/>
    <n v="0.94971499999999998"/>
    <n v="0.96619448508681682"/>
    <n v="339600"/>
    <n v="0"/>
    <n v="339600"/>
    <n v="62500"/>
    <n v="402100"/>
    <n v="0.10727094880991196"/>
    <n v="0"/>
    <n v="8.9111592632719394E-2"/>
    <n v="0.96280512162571419"/>
  </r>
  <r>
    <n v="2025"/>
    <n v="20120634416"/>
    <n v="-1.7719568419318752"/>
    <n v="0.17"/>
    <n v="7329"/>
    <n v="2"/>
    <s v="RES"/>
    <n v="317"/>
    <s v="MX"/>
    <s v="R1"/>
    <n v="11"/>
    <n v="259"/>
    <s v="CP"/>
    <s v="A+"/>
    <s v="VG"/>
    <n v="2013"/>
    <n v="2013"/>
    <x v="1"/>
    <n v="11"/>
    <n v="11"/>
    <n v="1"/>
    <n v="1976"/>
    <n v="0"/>
    <n v="0"/>
    <n v="0"/>
    <n v="0"/>
    <n v="0"/>
    <n v="1976"/>
    <x v="0"/>
    <n v="0"/>
    <s v="N"/>
    <s v="FD"/>
    <s v="G"/>
    <s v="Y"/>
    <n v="0"/>
    <n v="0"/>
    <n v="1"/>
    <n v="0"/>
    <n v="0"/>
    <n v="11"/>
    <n v="687"/>
    <n v="0"/>
    <n v="0"/>
    <n v="0"/>
    <n v="0"/>
    <n v="0"/>
    <n v="100"/>
    <n v="100"/>
    <n v="339511"/>
    <n v="325931"/>
    <n v="1069"/>
    <n v="365"/>
    <n v="365"/>
    <n v="339"/>
    <d v="2021-01-27T00:00:00"/>
    <s v="E029911"/>
    <n v="331750"/>
    <n v="331750"/>
    <s v="SWD"/>
    <n v="30"/>
    <s v="N"/>
    <s v="Y"/>
    <n v="412700"/>
    <n v="61700"/>
    <n v="351000"/>
    <n v="0"/>
    <n v="333221.23013938195"/>
    <n v="432002.35344202642"/>
    <n v="-98781.119231000004"/>
    <n v="132535.48800000001"/>
    <n v="88356.992000000013"/>
    <n v="-23255.730391660189"/>
    <n v="37154.252388000001"/>
    <n v="50438.379078999998"/>
    <n v="-1196.1521"/>
    <n v="123322.91088000001"/>
    <n v="0"/>
    <n v="0"/>
    <n v="-9412.7029999999995"/>
    <n v="9807.1044999999995"/>
    <n v="24251.808297"/>
    <n v="0"/>
    <n v="333221.23042133986"/>
    <n v="0"/>
    <n v="268100"/>
    <n v="65100"/>
    <n v="333200"/>
    <n v="0.99564825930372147"/>
    <n v="-0.19263387448509814"/>
    <n v="0.99970000000000003"/>
    <n v="0.99819999999999998"/>
    <n v="1.0007999999999999"/>
    <n v="1.0007999999999999"/>
    <n v="1.0138"/>
    <n v="0.94971499999999998"/>
    <n v="0.96262634495823995"/>
    <n v="361900"/>
    <n v="0"/>
    <n v="361900"/>
    <n v="61800"/>
    <n v="423700"/>
    <n v="3.1054131054131053E-2"/>
    <n v="1.6207455429497568E-3"/>
    <n v="2.6653743639447541E-2"/>
    <n v="0.97940883426978143"/>
  </r>
  <r>
    <n v="2025"/>
    <n v="20120634423"/>
    <n v="-1.7147984280919266"/>
    <n v="0.18"/>
    <n v="8021"/>
    <n v="2"/>
    <s v="RES"/>
    <n v="317"/>
    <s v="MX"/>
    <s v="R1"/>
    <n v="11"/>
    <n v="259"/>
    <s v="CP"/>
    <s v="A+"/>
    <s v="VG"/>
    <n v="2013"/>
    <n v="2013"/>
    <x v="1"/>
    <n v="11"/>
    <n v="11"/>
    <n v="2"/>
    <n v="1126"/>
    <n v="1126"/>
    <n v="0"/>
    <n v="0"/>
    <n v="0"/>
    <n v="0"/>
    <n v="2252"/>
    <x v="1"/>
    <n v="2"/>
    <s v="N"/>
    <s v="FD"/>
    <s v="G"/>
    <s v="Y"/>
    <n v="0"/>
    <n v="0"/>
    <n v="0"/>
    <n v="0"/>
    <n v="1"/>
    <n v="12"/>
    <n v="440"/>
    <n v="0"/>
    <n v="0"/>
    <n v="0"/>
    <n v="196"/>
    <n v="196"/>
    <n v="100"/>
    <n v="100"/>
    <n v="354127"/>
    <n v="339962"/>
    <n v="759"/>
    <n v="365"/>
    <n v="365"/>
    <n v="29"/>
    <d v="2021-12-03T00:00:00"/>
    <s v="E034449"/>
    <n v="430000"/>
    <n v="430000"/>
    <s v="SWD"/>
    <n v="30"/>
    <s v="N"/>
    <s v="Y"/>
    <n v="427100"/>
    <n v="62500"/>
    <n v="364600"/>
    <n v="0"/>
    <n v="400473.44099438726"/>
    <n v="428264.74763470766"/>
    <n v="-27791.305230999998"/>
    <n v="132535.48800000001"/>
    <n v="88356.992000000013"/>
    <n v="-22505.565020573864"/>
    <n v="37154.252388000001"/>
    <n v="50438.379078999998"/>
    <n v="-1196.1521"/>
    <n v="70274.087880000006"/>
    <n v="67087.511257999999"/>
    <n v="0"/>
    <n v="-9412.7029999999995"/>
    <n v="0"/>
    <n v="15532.453640000002"/>
    <n v="0"/>
    <n v="400473.43889342621"/>
    <n v="0"/>
    <n v="334600"/>
    <n v="65900"/>
    <n v="400500"/>
    <n v="1.0736579275905118"/>
    <n v="-6.228049637087333E-2"/>
    <n v="0.99970000000000003"/>
    <n v="0.99819999999999998"/>
    <n v="1.0007999999999999"/>
    <n v="1.0008999999999999"/>
    <n v="1.0138"/>
    <n v="0.94971499999999998"/>
    <n v="0.962722530644187"/>
    <n v="357500"/>
    <n v="0"/>
    <n v="357500"/>
    <n v="62500"/>
    <n v="420000"/>
    <n v="-1.9473395501919913E-2"/>
    <n v="0"/>
    <n v="-1.6623741512526342E-2"/>
    <n v="0.91211324364883717"/>
  </r>
  <r>
    <n v="2025"/>
    <n v="20120634431"/>
    <n v="-1.7147984280919266"/>
    <n v="0.18"/>
    <n v="7787"/>
    <n v="2"/>
    <s v="RES"/>
    <n v="317"/>
    <s v="MX"/>
    <s v="R1"/>
    <n v="11"/>
    <n v="259"/>
    <s v="CP"/>
    <s v="G"/>
    <s v="VG"/>
    <n v="2013"/>
    <n v="2013"/>
    <x v="1"/>
    <n v="11"/>
    <n v="11"/>
    <n v="1"/>
    <n v="1799"/>
    <n v="0"/>
    <n v="0"/>
    <n v="0"/>
    <n v="0"/>
    <n v="0"/>
    <n v="1799"/>
    <x v="0"/>
    <n v="0"/>
    <s v="N"/>
    <s v="FD"/>
    <s v="G"/>
    <s v="Y"/>
    <n v="0"/>
    <n v="0"/>
    <n v="1"/>
    <n v="0"/>
    <n v="0"/>
    <n v="10"/>
    <n v="681"/>
    <n v="0"/>
    <n v="0"/>
    <n v="0"/>
    <n v="144"/>
    <n v="0"/>
    <n v="100"/>
    <n v="100"/>
    <n v="357958"/>
    <n v="343640"/>
    <n v="1069"/>
    <n v="365"/>
    <n v="365"/>
    <n v="339"/>
    <d v="2021-01-27T00:00:00"/>
    <s v="E029980"/>
    <n v="335000"/>
    <n v="335000"/>
    <s v="SWD"/>
    <n v="30"/>
    <s v="N"/>
    <s v="Y"/>
    <n v="395600"/>
    <n v="62500"/>
    <n v="333100"/>
    <n v="0"/>
    <n v="318476.54885818798"/>
    <n v="417257.67216083256"/>
    <n v="-98781.119231000004"/>
    <n v="132535.48800000001"/>
    <n v="88356.992000000013"/>
    <n v="-22505.565020573864"/>
    <n v="32917.849192000001"/>
    <n v="50438.379078999998"/>
    <n v="-1196.1521"/>
    <n v="112276.27362000001"/>
    <n v="0"/>
    <n v="0"/>
    <n v="-9412.7029999999995"/>
    <n v="9807.1044999999995"/>
    <n v="24040.002111000002"/>
    <n v="0"/>
    <n v="318476.54915042623"/>
    <n v="0"/>
    <n v="252600"/>
    <n v="65900"/>
    <n v="318500"/>
    <n v="1.0518053375196232"/>
    <n v="-0.1948938321536906"/>
    <n v="0.99970000000000003"/>
    <n v="1.0019"/>
    <n v="1.0007999999999999"/>
    <n v="1.0007999999999999"/>
    <n v="1.0138"/>
    <n v="0.94971499999999998"/>
    <n v="0.96619448508681682"/>
    <n v="346900"/>
    <n v="0"/>
    <n v="346900"/>
    <n v="62500"/>
    <n v="409400"/>
    <n v="4.1429000300210149E-2"/>
    <n v="0"/>
    <n v="3.4883720930232558E-2"/>
    <n v="0.92722053960895512"/>
  </r>
  <r>
    <n v="2025"/>
    <n v="19120143012"/>
    <n v="-1.4271163556401458"/>
    <n v="0.24"/>
    <n v="10540"/>
    <n v="2"/>
    <s v="RES"/>
    <s v="MX"/>
    <s v="MX"/>
    <s v="R2"/>
    <n v="11"/>
    <n v="259"/>
    <s v="RN"/>
    <s v="A+"/>
    <s v="AV"/>
    <n v="2012"/>
    <n v="2012"/>
    <x v="1"/>
    <n v="12"/>
    <n v="12"/>
    <n v="1"/>
    <n v="1948"/>
    <n v="0"/>
    <n v="0"/>
    <n v="0"/>
    <n v="0"/>
    <n v="0"/>
    <n v="1948"/>
    <x v="0"/>
    <n v="0"/>
    <s v="N"/>
    <s v="HP"/>
    <s v="E"/>
    <m/>
    <n v="0"/>
    <n v="0"/>
    <n v="0"/>
    <n v="0"/>
    <n v="0"/>
    <n v="10"/>
    <n v="0"/>
    <n v="0"/>
    <n v="0"/>
    <n v="0"/>
    <n v="0"/>
    <n v="0"/>
    <n v="100"/>
    <n v="100"/>
    <n v="319179"/>
    <n v="306412"/>
    <n v="76"/>
    <n v="76"/>
    <n v="0"/>
    <n v="0"/>
    <d v="2023-10-17T00:00:00"/>
    <s v="E041786"/>
    <n v="420000"/>
    <n v="387802"/>
    <s v="SWD"/>
    <n v="30"/>
    <s v="N"/>
    <s v="Y"/>
    <n v="422300"/>
    <n v="66500"/>
    <n v="355800"/>
    <n v="32198"/>
    <n v="368657.55612551159"/>
    <n v="367935.74911735096"/>
    <n v="721.80700560000002"/>
    <n v="132535.48800000001"/>
    <n v="88356.992000000013"/>
    <n v="-18729.933155771436"/>
    <n v="37154.252388000001"/>
    <n v="17761.121909000001"/>
    <n v="-1304.8932"/>
    <n v="121575.42024000001"/>
    <n v="0"/>
    <n v="0"/>
    <n v="-9412.7029999999995"/>
    <n v="0"/>
    <n v="0"/>
    <n v="0"/>
    <n v="368657.55218682869"/>
    <n v="32200"/>
    <n v="299000"/>
    <n v="69600"/>
    <n v="400800"/>
    <n v="1.0479041916167664"/>
    <n v="-5.0911674165285345E-2"/>
    <n v="0.99970000000000003"/>
    <n v="0.99819999999999998"/>
    <n v="0.99680000000000002"/>
    <n v="1.0007999999999999"/>
    <n v="1.0138"/>
    <n v="0.94971499999999998"/>
    <n v="0.95877891752035749"/>
    <n v="292800"/>
    <n v="30600"/>
    <n v="323400"/>
    <n v="66100"/>
    <n v="389500"/>
    <n v="-9.1062394603709948E-2"/>
    <n v="-6.0150375939849628E-3"/>
    <n v="-7.7669902912621352E-2"/>
    <n v="0.92909954048952381"/>
  </r>
  <r>
    <n v="2025"/>
    <n v="20120633491"/>
    <n v="-1.7147984280919266"/>
    <n v="0.18"/>
    <n v="7867"/>
    <n v="2"/>
    <s v="RES"/>
    <n v="317"/>
    <s v="MX"/>
    <s v="R1"/>
    <n v="11"/>
    <n v="259"/>
    <s v="RN"/>
    <s v="G"/>
    <s v="GD"/>
    <n v="2012"/>
    <n v="2012"/>
    <x v="1"/>
    <n v="12"/>
    <n v="12"/>
    <n v="1"/>
    <n v="2138"/>
    <n v="0"/>
    <n v="0"/>
    <n v="0"/>
    <n v="0"/>
    <n v="0"/>
    <n v="2138"/>
    <x v="1"/>
    <n v="3"/>
    <s v="N"/>
    <s v="FD"/>
    <s v="G"/>
    <s v="Y"/>
    <n v="0"/>
    <n v="0"/>
    <n v="0"/>
    <n v="0"/>
    <n v="0"/>
    <n v="11"/>
    <n v="706"/>
    <n v="0"/>
    <n v="0"/>
    <n v="0"/>
    <n v="189"/>
    <n v="0"/>
    <n v="100"/>
    <n v="100"/>
    <n v="417081"/>
    <n v="400398"/>
    <n v="291"/>
    <n v="291"/>
    <n v="0"/>
    <n v="0"/>
    <d v="2023-03-16T00:00:00"/>
    <s v="E039919"/>
    <n v="440000"/>
    <n v="440000"/>
    <s v="SWD"/>
    <n v="30"/>
    <s v="N"/>
    <s v="Y"/>
    <n v="407100"/>
    <n v="62500"/>
    <n v="344600"/>
    <n v="0"/>
    <n v="412007.18234260462"/>
    <n v="409243.42129820079"/>
    <n v="2763.7610346000001"/>
    <n v="132535.48800000001"/>
    <n v="88356.992000000013"/>
    <n v="-22505.565020573864"/>
    <n v="32917.849192000001"/>
    <n v="30300.329274"/>
    <n v="-1304.8932"/>
    <n v="133433.39244"/>
    <n v="0"/>
    <n v="0"/>
    <n v="-9412.7029999999995"/>
    <n v="0"/>
    <n v="24922.527886"/>
    <n v="0"/>
    <n v="412007.17860602622"/>
    <n v="0"/>
    <n v="346200"/>
    <n v="65900"/>
    <n v="412100"/>
    <n v="1.0677020140742539"/>
    <n v="1.2281994595922378E-2"/>
    <n v="0.99970000000000003"/>
    <n v="1.0019"/>
    <n v="0.997"/>
    <n v="1.0008999999999999"/>
    <n v="1.0138"/>
    <n v="0.94971499999999998"/>
    <n v="0.96262205657438948"/>
    <n v="338400"/>
    <n v="0"/>
    <n v="338400"/>
    <n v="62500"/>
    <n v="400900"/>
    <n v="-1.7991874637260593E-2"/>
    <n v="0"/>
    <n v="-1.5229673298943749E-2"/>
    <n v="0.91741763871499993"/>
  </r>
  <r>
    <n v="2025"/>
    <n v="20120633493"/>
    <n v="-1.7147984280919266"/>
    <n v="0.18"/>
    <n v="7867"/>
    <n v="2"/>
    <s v="RES"/>
    <n v="317"/>
    <s v="MX"/>
    <s v="R1"/>
    <n v="11"/>
    <n v="259"/>
    <s v="CP"/>
    <s v="G"/>
    <s v="VG"/>
    <n v="2012"/>
    <n v="2012"/>
    <x v="1"/>
    <n v="12"/>
    <n v="12"/>
    <n v="1"/>
    <n v="1521"/>
    <n v="0"/>
    <n v="0"/>
    <n v="0"/>
    <n v="0"/>
    <n v="0"/>
    <n v="1521"/>
    <x v="0"/>
    <n v="2"/>
    <s v="N"/>
    <s v="FD"/>
    <s v="G"/>
    <s v="Y"/>
    <n v="0"/>
    <n v="0"/>
    <n v="0"/>
    <n v="0"/>
    <n v="0"/>
    <n v="11"/>
    <n v="435"/>
    <n v="0"/>
    <n v="0"/>
    <n v="0"/>
    <n v="60"/>
    <n v="0"/>
    <n v="100"/>
    <n v="100"/>
    <n v="317120"/>
    <n v="304435"/>
    <n v="220"/>
    <n v="220"/>
    <n v="0"/>
    <n v="0"/>
    <d v="2023-05-26T00:00:00"/>
    <n v="465555"/>
    <n v="370000"/>
    <n v="370000"/>
    <s v="SWD"/>
    <n v="30"/>
    <s v="N"/>
    <s v="Y"/>
    <n v="386600"/>
    <n v="62500"/>
    <n v="324100"/>
    <n v="0"/>
    <n v="383397.12866436387"/>
    <n v="381307.68732495198"/>
    <n v="2089.4413319999999"/>
    <n v="132535.48800000001"/>
    <n v="88356.992000000013"/>
    <n v="-22505.565020573864"/>
    <n v="32917.849192000001"/>
    <n v="50438.379078999998"/>
    <n v="-1304.8932"/>
    <n v="94926.187980000002"/>
    <n v="0"/>
    <n v="0"/>
    <n v="-9412.7029999999995"/>
    <n v="0"/>
    <n v="15355.948485000001"/>
    <n v="0"/>
    <n v="383397.12484742614"/>
    <n v="0"/>
    <n v="317500"/>
    <n v="65900"/>
    <n v="383400"/>
    <n v="0.96504955659885239"/>
    <n v="-8.2772891877909982E-3"/>
    <n v="0.99970000000000003"/>
    <n v="1.0019"/>
    <n v="1.0007999999999999"/>
    <n v="1.0007999999999999"/>
    <n v="1.0138"/>
    <n v="0.94971499999999998"/>
    <n v="0.96619448508681682"/>
    <n v="311000"/>
    <n v="0"/>
    <n v="311000"/>
    <n v="62500"/>
    <n v="373500"/>
    <n v="-4.0419623572971304E-2"/>
    <n v="0"/>
    <n v="-3.3885152612519398E-2"/>
    <n v="1.0151065981945946"/>
  </r>
  <r>
    <n v="2025"/>
    <n v="20120633520"/>
    <n v="-1.7147984280919266"/>
    <n v="0.18"/>
    <n v="7738"/>
    <n v="2"/>
    <s v="RES"/>
    <n v="317"/>
    <s v="MX"/>
    <s v="R1"/>
    <n v="11"/>
    <n v="259"/>
    <s v="RN"/>
    <s v="G"/>
    <s v="VG"/>
    <n v="2012"/>
    <n v="2012"/>
    <x v="1"/>
    <n v="12"/>
    <n v="12"/>
    <n v="1"/>
    <n v="1518"/>
    <n v="0"/>
    <n v="0"/>
    <n v="0"/>
    <n v="0"/>
    <n v="0"/>
    <n v="1518"/>
    <x v="0"/>
    <n v="0"/>
    <s v="N"/>
    <s v="FD"/>
    <s v="G"/>
    <s v="Y"/>
    <n v="0"/>
    <n v="0"/>
    <n v="1"/>
    <n v="0"/>
    <n v="0"/>
    <n v="11"/>
    <n v="438"/>
    <n v="0"/>
    <n v="0"/>
    <n v="0"/>
    <n v="0"/>
    <n v="0"/>
    <n v="100"/>
    <n v="100"/>
    <n v="319625"/>
    <n v="306840"/>
    <n v="1071"/>
    <n v="365"/>
    <n v="365"/>
    <n v="341"/>
    <d v="2021-01-25T00:00:00"/>
    <s v="E029877"/>
    <n v="265000"/>
    <n v="265000"/>
    <s v="SWD"/>
    <n v="30"/>
    <s v="N"/>
    <s v="Y"/>
    <n v="374900"/>
    <n v="62500"/>
    <n v="312400"/>
    <n v="0"/>
    <n v="291794.34167734964"/>
    <n v="391033.46379717049"/>
    <n v="-99239.118031000005"/>
    <n v="132535.48800000001"/>
    <n v="88356.992000000013"/>
    <n v="-22505.565020573864"/>
    <n v="32917.849192000001"/>
    <n v="50438.379078999998"/>
    <n v="-1304.8932"/>
    <n v="94738.956839999999"/>
    <n v="0"/>
    <n v="0"/>
    <n v="-9412.7029999999995"/>
    <n v="9807.1044999999995"/>
    <n v="15461.851578000002"/>
    <n v="0"/>
    <n v="291794.34193742624"/>
    <n v="0"/>
    <n v="225900"/>
    <n v="65900"/>
    <n v="291800"/>
    <n v="0.90815627141877997"/>
    <n v="-0.22165910909575887"/>
    <n v="0.99970000000000003"/>
    <n v="1.0019"/>
    <n v="1.0007999999999999"/>
    <n v="1.0007999999999999"/>
    <n v="1.0138"/>
    <n v="0.94971499999999998"/>
    <n v="0.96619448508681682"/>
    <n v="320700"/>
    <n v="0"/>
    <n v="320700"/>
    <n v="62500"/>
    <n v="383200"/>
    <n v="2.6568501920614596E-2"/>
    <n v="0"/>
    <n v="2.2139237129901308E-2"/>
    <n v="1.0715504979962263"/>
  </r>
  <r>
    <n v="2025"/>
    <n v="20120633520"/>
    <n v="-1.7147984280919266"/>
    <n v="0.18"/>
    <n v="7738"/>
    <n v="2"/>
    <s v="RES"/>
    <n v="317"/>
    <s v="MX"/>
    <s v="R1"/>
    <n v="11"/>
    <n v="259"/>
    <s v="RN"/>
    <s v="G"/>
    <s v="GD"/>
    <n v="2012"/>
    <n v="2012"/>
    <x v="1"/>
    <n v="12"/>
    <n v="12"/>
    <n v="1"/>
    <n v="1518"/>
    <n v="0"/>
    <n v="0"/>
    <n v="0"/>
    <n v="0"/>
    <n v="0"/>
    <n v="1518"/>
    <x v="0"/>
    <n v="2"/>
    <s v="N"/>
    <s v="FD"/>
    <s v="G"/>
    <s v="Y"/>
    <n v="0"/>
    <n v="0"/>
    <n v="1"/>
    <n v="0"/>
    <n v="0"/>
    <n v="11"/>
    <n v="438"/>
    <n v="0"/>
    <n v="0"/>
    <n v="0"/>
    <n v="0"/>
    <n v="0"/>
    <n v="100"/>
    <n v="100"/>
    <n v="319625"/>
    <n v="306840"/>
    <n v="735"/>
    <n v="365"/>
    <n v="365"/>
    <n v="5"/>
    <d v="2021-12-27T00:00:00"/>
    <s v="E034610"/>
    <n v="355000"/>
    <n v="355000"/>
    <s v="SWD"/>
    <n v="30"/>
    <s v="N"/>
    <s v="Y"/>
    <n v="374900"/>
    <n v="62500"/>
    <n v="312400"/>
    <n v="0"/>
    <n v="348600.0931583842"/>
    <n v="370895.41399258928"/>
    <n v="-22295.319630999998"/>
    <n v="132535.48800000001"/>
    <n v="88356.992000000013"/>
    <n v="-22505.565020573864"/>
    <n v="32917.849192000001"/>
    <n v="30300.329274"/>
    <n v="-1304.8932"/>
    <n v="94738.956839999999"/>
    <n v="0"/>
    <n v="0"/>
    <n v="-9412.7029999999995"/>
    <n v="9807.1044999999995"/>
    <n v="15461.851578000002"/>
    <n v="0"/>
    <n v="348600.09053242626"/>
    <n v="0"/>
    <n v="282700"/>
    <n v="65900"/>
    <n v="348600"/>
    <n v="1.0183591508892713"/>
    <n v="-7.0152040544145103E-2"/>
    <n v="0.99970000000000003"/>
    <n v="1.0019"/>
    <n v="0.997"/>
    <n v="1.0007999999999999"/>
    <n v="1.0138"/>
    <n v="0.94971499999999998"/>
    <n v="0.96252588092681512"/>
    <n v="300100"/>
    <n v="0"/>
    <n v="300100"/>
    <n v="62500"/>
    <n v="362600"/>
    <n v="-3.9372599231754159E-2"/>
    <n v="0"/>
    <n v="-3.280874899973326E-2"/>
    <n v="0.95860473343380281"/>
  </r>
  <r>
    <n v="2025"/>
    <n v="20120633526"/>
    <n v="-1.7147984280919266"/>
    <n v="0.18"/>
    <n v="7738"/>
    <n v="2"/>
    <s v="RES"/>
    <n v="317"/>
    <s v="MX"/>
    <s v="R1"/>
    <n v="11"/>
    <n v="259"/>
    <s v="CP"/>
    <s v="G"/>
    <s v="GD"/>
    <n v="2012"/>
    <n v="2012"/>
    <x v="1"/>
    <n v="12"/>
    <n v="12"/>
    <n v="2"/>
    <n v="1188"/>
    <n v="1364"/>
    <n v="0"/>
    <n v="0"/>
    <n v="0"/>
    <n v="0"/>
    <n v="2552"/>
    <x v="4"/>
    <n v="3"/>
    <s v="S"/>
    <s v="FD"/>
    <s v="G"/>
    <s v="Y"/>
    <n v="0"/>
    <n v="0"/>
    <n v="0"/>
    <n v="0"/>
    <n v="1"/>
    <n v="15"/>
    <n v="0"/>
    <n v="772"/>
    <n v="0"/>
    <n v="0"/>
    <n v="132"/>
    <n v="0"/>
    <n v="100"/>
    <n v="100"/>
    <n v="465367"/>
    <n v="446752"/>
    <n v="616"/>
    <n v="365"/>
    <n v="251"/>
    <n v="0"/>
    <d v="2022-04-25T00:00:00"/>
    <s v="E036150"/>
    <n v="455000"/>
    <n v="455000"/>
    <s v="SWD"/>
    <n v="30"/>
    <s v="N"/>
    <s v="Y"/>
    <n v="467200"/>
    <n v="62500"/>
    <n v="404700"/>
    <n v="0"/>
    <n v="444496.82639625127"/>
    <n v="457958.58512129099"/>
    <n v="-13461.757931"/>
    <n v="132535.48800000001"/>
    <n v="88356.992000000013"/>
    <n v="-22505.565020573864"/>
    <n v="32917.849192000001"/>
    <n v="30300.329274"/>
    <n v="-1304.8932"/>
    <n v="74143.531440000006"/>
    <n v="81267.642412000001"/>
    <n v="0"/>
    <n v="4112.8784489"/>
    <n v="0"/>
    <n v="0"/>
    <n v="38134.329599999997"/>
    <n v="444496.82421532617"/>
    <n v="0"/>
    <n v="378600"/>
    <n v="65900"/>
    <n v="444500"/>
    <n v="1.0236220472440944"/>
    <n v="-4.8587328767123288E-2"/>
    <n v="0.99970000000000003"/>
    <n v="1.0019"/>
    <n v="0.997"/>
    <n v="1.0099"/>
    <n v="1.0138"/>
    <n v="0.94971499999999998"/>
    <n v="0.97127786485610568"/>
    <n v="388300"/>
    <n v="0"/>
    <n v="388300"/>
    <n v="62500"/>
    <n v="450800"/>
    <n v="-4.0523844823325918E-2"/>
    <n v="0"/>
    <n v="-3.5102739726027399E-2"/>
    <n v="0.96118294960219786"/>
  </r>
  <r>
    <n v="2025"/>
    <n v="20120633438"/>
    <n v="-1.8325814637483102"/>
    <n v="0.16"/>
    <n v="7187"/>
    <n v="2"/>
    <s v="RES"/>
    <n v="317"/>
    <s v="MX"/>
    <s v="R1"/>
    <n v="11"/>
    <n v="259"/>
    <s v="CP"/>
    <s v="A+"/>
    <s v="AV"/>
    <n v="2011"/>
    <n v="2011"/>
    <x v="1"/>
    <n v="13"/>
    <n v="13"/>
    <n v="1"/>
    <n v="1368"/>
    <n v="0"/>
    <n v="0"/>
    <n v="0"/>
    <n v="0"/>
    <n v="0"/>
    <n v="1368"/>
    <x v="3"/>
    <n v="0"/>
    <s v="N"/>
    <s v="FD"/>
    <s v="G"/>
    <s v="Y"/>
    <n v="0"/>
    <n v="0"/>
    <n v="0"/>
    <n v="1"/>
    <n v="0"/>
    <n v="8"/>
    <n v="424"/>
    <n v="0"/>
    <n v="0"/>
    <n v="0"/>
    <n v="144"/>
    <n v="0"/>
    <n v="100"/>
    <n v="100"/>
    <n v="248272"/>
    <n v="238341"/>
    <n v="1035"/>
    <n v="365"/>
    <n v="365"/>
    <n v="305"/>
    <d v="2021-03-02T00:00:00"/>
    <s v="E030314"/>
    <n v="285000"/>
    <n v="285000"/>
    <s v="SWD"/>
    <n v="30"/>
    <s v="N"/>
    <s v="Y"/>
    <n v="357400"/>
    <n v="60800"/>
    <n v="296600"/>
    <n v="0"/>
    <n v="262819.23434173851"/>
    <n v="353814.37775238621"/>
    <n v="-90995.139630999998"/>
    <n v="132535.48800000001"/>
    <n v="88356.992000000013"/>
    <n v="-24051.387388882686"/>
    <n v="37154.252388000001"/>
    <n v="17761.121909000001"/>
    <n v="-1413.6342999999999"/>
    <n v="85377.399839999998"/>
    <n v="0"/>
    <n v="0"/>
    <n v="-9412.7029999999995"/>
    <n v="0"/>
    <n v="14967.637144"/>
    <n v="0"/>
    <n v="250280.02696111734"/>
    <n v="0"/>
    <n v="186000"/>
    <n v="64300"/>
    <n v="250300"/>
    <n v="1.138633639632441"/>
    <n v="-0.29966424174594292"/>
    <n v="0.99970000000000003"/>
    <n v="0.99819999999999998"/>
    <n v="0.99680000000000002"/>
    <n v="0.99519999999999997"/>
    <n v="1.0138"/>
    <n v="0.94971499999999998"/>
    <n v="0.95341404747827707"/>
    <n v="270800"/>
    <n v="0"/>
    <n v="270800"/>
    <n v="61100"/>
    <n v="331900"/>
    <n v="-8.6985839514497634E-2"/>
    <n v="4.9342105263157892E-3"/>
    <n v="-7.1348628987129264E-2"/>
    <n v="0.84528021182105262"/>
  </r>
  <r>
    <n v="2025"/>
    <n v="20120633496"/>
    <n v="-1.7147984280919266"/>
    <n v="0.18"/>
    <n v="7870"/>
    <n v="2"/>
    <s v="RES"/>
    <n v="317"/>
    <s v="MX"/>
    <s v="R1"/>
    <n v="11"/>
    <n v="259"/>
    <s v="CP"/>
    <s v="G"/>
    <s v="GD"/>
    <n v="2011"/>
    <n v="2011"/>
    <x v="1"/>
    <n v="13"/>
    <n v="13"/>
    <n v="1"/>
    <n v="1730"/>
    <n v="0"/>
    <n v="0"/>
    <n v="0"/>
    <n v="0"/>
    <n v="0"/>
    <n v="1730"/>
    <x v="0"/>
    <n v="2"/>
    <s v="N"/>
    <s v="FD"/>
    <s v="G"/>
    <s v="Y"/>
    <n v="0"/>
    <n v="0"/>
    <n v="1"/>
    <n v="0"/>
    <n v="0"/>
    <n v="12"/>
    <n v="400"/>
    <n v="0"/>
    <n v="0"/>
    <n v="0"/>
    <n v="65"/>
    <n v="0"/>
    <n v="100"/>
    <n v="100"/>
    <n v="348429"/>
    <n v="334492"/>
    <n v="831"/>
    <n v="365"/>
    <n v="365"/>
    <n v="101"/>
    <d v="2021-09-22T00:00:00"/>
    <s v="E033252"/>
    <n v="343150"/>
    <n v="343150"/>
    <s v="SWD"/>
    <n v="30"/>
    <s v="N"/>
    <s v="Y"/>
    <n v="370400"/>
    <n v="62500"/>
    <n v="307900"/>
    <n v="0"/>
    <n v="338396.97020297596"/>
    <n v="382676.23426164268"/>
    <n v="-44279.262030999998"/>
    <n v="132535.48800000001"/>
    <n v="88356.992000000013"/>
    <n v="-22505.565020573864"/>
    <n v="32917.849192000001"/>
    <n v="30300.329274"/>
    <n v="-1413.6342999999999"/>
    <n v="107969.9574"/>
    <n v="0"/>
    <n v="0"/>
    <n v="-9412.7029999999995"/>
    <n v="9807.1044999999995"/>
    <n v="14120.412400000001"/>
    <n v="0"/>
    <n v="338396.9684144262"/>
    <n v="0"/>
    <n v="272500"/>
    <n v="65900"/>
    <n v="338400"/>
    <n v="1.0140366430260048"/>
    <n v="-8.6393088552915762E-2"/>
    <n v="0.99970000000000003"/>
    <n v="1.0019"/>
    <n v="0.997"/>
    <n v="1.0007999999999999"/>
    <n v="1.0138"/>
    <n v="0.94971499999999998"/>
    <n v="0.96252588092681512"/>
    <n v="311900"/>
    <n v="0"/>
    <n v="311900"/>
    <n v="62500"/>
    <n v="374400"/>
    <n v="1.2991230919129588E-2"/>
    <n v="0"/>
    <n v="1.079913606911447E-2"/>
    <n v="0.96203041809412793"/>
  </r>
  <r>
    <n v="2025"/>
    <n v="20120633503"/>
    <n v="-1.8325814637483102"/>
    <n v="0.16"/>
    <n v="7070"/>
    <n v="2"/>
    <s v="RES"/>
    <s v="MX"/>
    <s v="MX"/>
    <s v="R1"/>
    <n v="11"/>
    <n v="259"/>
    <s v="CP"/>
    <s v="A+"/>
    <s v="AV"/>
    <n v="2011"/>
    <n v="2011"/>
    <x v="1"/>
    <n v="13"/>
    <n v="13"/>
    <n v="1"/>
    <n v="1176"/>
    <n v="0"/>
    <n v="0"/>
    <n v="0"/>
    <n v="0"/>
    <n v="0"/>
    <n v="1176"/>
    <x v="3"/>
    <n v="2"/>
    <s v="N"/>
    <s v="FD"/>
    <s v="G"/>
    <s v="Y"/>
    <n v="0"/>
    <n v="0"/>
    <n v="0"/>
    <n v="1"/>
    <n v="0"/>
    <n v="8"/>
    <n v="400"/>
    <n v="0"/>
    <n v="0"/>
    <n v="0"/>
    <n v="396"/>
    <n v="396"/>
    <n v="100"/>
    <n v="100"/>
    <n v="233724"/>
    <n v="224375"/>
    <n v="49"/>
    <n v="49"/>
    <n v="0"/>
    <n v="0"/>
    <d v="2023-11-13T00:00:00"/>
    <s v="E042053"/>
    <n v="310000"/>
    <n v="310000"/>
    <s v="SWD"/>
    <n v="30"/>
    <s v="N"/>
    <s v="Y"/>
    <n v="362200"/>
    <n v="60800"/>
    <n v="301400"/>
    <n v="0"/>
    <n v="328910.52825780318"/>
    <n v="328445.15268675215"/>
    <n v="465.37556940000002"/>
    <n v="132535.48800000001"/>
    <n v="88356.992000000013"/>
    <n v="-24051.387388882686"/>
    <n v="37154.252388000001"/>
    <n v="17761.121909000001"/>
    <n v="-1413.6342999999999"/>
    <n v="73394.606880000007"/>
    <n v="0"/>
    <n v="0"/>
    <n v="-9412.7029999999995"/>
    <n v="0"/>
    <n v="14120.412400000001"/>
    <n v="0"/>
    <n v="328910.52445751731"/>
    <n v="0"/>
    <n v="264600"/>
    <n v="64300"/>
    <n v="328900"/>
    <n v="0.94253572514442074"/>
    <n v="-9.1938155715074549E-2"/>
    <n v="0.99970000000000003"/>
    <n v="0.99819999999999998"/>
    <n v="0.99680000000000002"/>
    <n v="0.99519999999999997"/>
    <n v="1.0138"/>
    <n v="0.94971499999999998"/>
    <n v="0.95341404747827707"/>
    <n v="258000"/>
    <n v="0"/>
    <n v="258000"/>
    <n v="61100"/>
    <n v="319100"/>
    <n v="-0.14399469143994692"/>
    <n v="4.9342105263157892E-3"/>
    <n v="-0.11899503036996134"/>
    <n v="1.0308560502238711"/>
  </r>
  <r>
    <n v="2025"/>
    <n v="20120633487"/>
    <n v="-1.7719568419318752"/>
    <n v="0.17"/>
    <n v="7200"/>
    <n v="2"/>
    <s v="RES"/>
    <n v="317"/>
    <s v="MX"/>
    <s v="R1"/>
    <n v="11"/>
    <n v="259"/>
    <s v="CO"/>
    <s v="A+"/>
    <s v="VG"/>
    <n v="2010"/>
    <n v="2010"/>
    <x v="1"/>
    <n v="14"/>
    <n v="14"/>
    <n v="2"/>
    <n v="1116"/>
    <n v="1116"/>
    <n v="0"/>
    <n v="0"/>
    <n v="0"/>
    <n v="0"/>
    <n v="2232"/>
    <x v="1"/>
    <n v="2"/>
    <s v="N"/>
    <s v="FD"/>
    <s v="G"/>
    <s v="Y"/>
    <n v="0"/>
    <n v="0"/>
    <n v="0"/>
    <n v="0"/>
    <n v="1"/>
    <n v="13"/>
    <n v="440"/>
    <n v="0"/>
    <n v="0"/>
    <n v="0"/>
    <n v="144"/>
    <n v="0"/>
    <n v="100"/>
    <n v="100"/>
    <n v="348280"/>
    <n v="334349"/>
    <n v="497"/>
    <n v="365"/>
    <n v="132"/>
    <n v="0"/>
    <d v="2022-08-22T00:00:00"/>
    <s v="E037772"/>
    <n v="415000"/>
    <n v="415000"/>
    <s v="SWD"/>
    <n v="30"/>
    <s v="N"/>
    <s v="Y"/>
    <n v="454100"/>
    <n v="61700"/>
    <n v="392400"/>
    <n v="0"/>
    <n v="420532.47535625444"/>
    <n v="425968.45124900708"/>
    <n v="-5435.9754809999995"/>
    <n v="132535.48800000001"/>
    <n v="88356.992000000013"/>
    <n v="-23255.730391660189"/>
    <n v="37154.252388000001"/>
    <n v="50438.379078999998"/>
    <n v="-1522.3754000000001"/>
    <n v="69649.984080000009"/>
    <n v="66491.707427999994"/>
    <n v="0"/>
    <n v="-9412.7029999999995"/>
    <n v="0"/>
    <n v="15532.453640000002"/>
    <n v="0"/>
    <n v="420532.47234233987"/>
    <n v="0"/>
    <n v="355400"/>
    <n v="65100"/>
    <n v="420500"/>
    <n v="0.98692033293697978"/>
    <n v="-7.3992512662409166E-2"/>
    <n v="0.99970000000000003"/>
    <n v="0.99819999999999998"/>
    <n v="1.0007999999999999"/>
    <n v="1.0008999999999999"/>
    <n v="1.0138"/>
    <n v="0.94971499999999998"/>
    <n v="0.962722530644187"/>
    <n v="355900"/>
    <n v="0"/>
    <n v="355900"/>
    <n v="61800"/>
    <n v="417700"/>
    <n v="-9.301732925586137E-2"/>
    <n v="1.6207455429497568E-3"/>
    <n v="-8.0158555384276589E-2"/>
    <n v="0.99340728799759048"/>
  </r>
  <r>
    <n v="2025"/>
    <n v="20120633508"/>
    <n v="-1.7147984280919266"/>
    <n v="0.18"/>
    <n v="7722"/>
    <n v="2"/>
    <s v="RES"/>
    <n v="317"/>
    <s v="MX"/>
    <s v="R1"/>
    <n v="11"/>
    <n v="259"/>
    <s v="CO"/>
    <s v="G"/>
    <s v="GD"/>
    <n v="2010"/>
    <n v="2010"/>
    <x v="1"/>
    <n v="14"/>
    <n v="14"/>
    <n v="2"/>
    <n v="1389"/>
    <n v="1322"/>
    <n v="0"/>
    <n v="0"/>
    <n v="0"/>
    <n v="0"/>
    <n v="2711"/>
    <x v="4"/>
    <n v="3"/>
    <s v="N"/>
    <s v="FD"/>
    <s v="G"/>
    <s v="Y"/>
    <n v="0"/>
    <n v="0"/>
    <n v="0"/>
    <n v="0"/>
    <n v="1"/>
    <n v="18"/>
    <n v="0"/>
    <n v="728"/>
    <n v="0"/>
    <n v="0"/>
    <n v="870"/>
    <n v="870"/>
    <n v="100"/>
    <n v="100"/>
    <n v="512150"/>
    <n v="491664"/>
    <n v="885"/>
    <n v="365"/>
    <n v="365"/>
    <n v="155"/>
    <d v="2021-07-30T00:00:00"/>
    <n v="460094"/>
    <n v="430000"/>
    <n v="430000"/>
    <s v="SWD"/>
    <n v="30"/>
    <s v="N"/>
    <s v="Y"/>
    <n v="482400"/>
    <n v="62500"/>
    <n v="419900"/>
    <n v="0"/>
    <n v="395438.94078853552"/>
    <n v="452084.17291096196"/>
    <n v="-56645.229630999995"/>
    <n v="132535.48800000001"/>
    <n v="88356.992000000013"/>
    <n v="-22505.565020573864"/>
    <n v="32917.849192000001"/>
    <n v="30300.329274"/>
    <n v="-1522.3754000000001"/>
    <n v="86688.017820000008"/>
    <n v="78765.266325999997"/>
    <n v="0"/>
    <n v="-9412.7029999999995"/>
    <n v="0"/>
    <n v="0"/>
    <n v="35960.8704"/>
    <n v="395438.93996042619"/>
    <n v="0"/>
    <n v="329600"/>
    <n v="65900"/>
    <n v="395500"/>
    <n v="1.0872313527180784"/>
    <n v="-0.18014096185737977"/>
    <n v="0.99970000000000003"/>
    <n v="1.0019"/>
    <n v="0.997"/>
    <n v="1.0099"/>
    <n v="1.0138"/>
    <n v="0.94971499999999998"/>
    <n v="0.97127786485610568"/>
    <n v="382400"/>
    <n v="0"/>
    <n v="382400"/>
    <n v="62500"/>
    <n v="444900"/>
    <n v="-8.9306977851869487E-2"/>
    <n v="0"/>
    <n v="-7.7736318407960192E-2"/>
    <n v="0.90291807062558149"/>
  </r>
  <r>
    <n v="2025"/>
    <n v="20120633427"/>
    <n v="-1.7719568419318752"/>
    <n v="0.17"/>
    <n v="7622"/>
    <n v="2"/>
    <s v="RES"/>
    <n v="317"/>
    <s v="MX"/>
    <s v="R1"/>
    <n v="11"/>
    <n v="259"/>
    <s v="CO"/>
    <s v="A+"/>
    <s v="GD"/>
    <n v="2009"/>
    <n v="2009"/>
    <x v="1"/>
    <n v="15"/>
    <n v="15"/>
    <n v="2"/>
    <n v="1116"/>
    <n v="1116"/>
    <n v="0"/>
    <n v="0"/>
    <n v="0"/>
    <n v="0"/>
    <n v="2232"/>
    <x v="1"/>
    <n v="2"/>
    <s v="B"/>
    <s v="FD"/>
    <s v="G"/>
    <s v="Y"/>
    <n v="0"/>
    <n v="0"/>
    <n v="1"/>
    <n v="0"/>
    <n v="1"/>
    <n v="13"/>
    <n v="440"/>
    <n v="0"/>
    <n v="0"/>
    <n v="144"/>
    <n v="312"/>
    <n v="288"/>
    <n v="100"/>
    <n v="100"/>
    <n v="364798"/>
    <n v="346558"/>
    <n v="985"/>
    <n v="365"/>
    <n v="365"/>
    <n v="255"/>
    <d v="2021-04-21T00:00:00"/>
    <s v="E030891"/>
    <n v="350000"/>
    <n v="350000"/>
    <s v="SWD"/>
    <n v="30"/>
    <s v="N"/>
    <s v="Y"/>
    <n v="438300"/>
    <n v="61700"/>
    <n v="376600"/>
    <n v="0"/>
    <n v="350696.11864507187"/>
    <n v="430241.29162631248"/>
    <n v="-79545.169630999997"/>
    <n v="132535.48800000001"/>
    <n v="88356.992000000013"/>
    <n v="-23255.730391660189"/>
    <n v="37154.252388000001"/>
    <n v="30300.329274"/>
    <n v="-1631.1165000000001"/>
    <n v="69649.984080000009"/>
    <n v="66491.707427999994"/>
    <n v="0"/>
    <n v="5299.8242"/>
    <n v="9807.1044999999995"/>
    <n v="15532.453640000002"/>
    <n v="0"/>
    <n v="350696.11898733984"/>
    <n v="0"/>
    <n v="285600"/>
    <n v="65100"/>
    <n v="350700"/>
    <n v="0.99800399201596801"/>
    <n v="-0.1998631074606434"/>
    <n v="0.99970000000000003"/>
    <n v="0.99819999999999998"/>
    <n v="0.997"/>
    <n v="1.0008999999999999"/>
    <n v="1.0138"/>
    <n v="0.94971499999999998"/>
    <n v="0.95906710936476258"/>
    <n v="359700"/>
    <n v="0"/>
    <n v="359700"/>
    <n v="61800"/>
    <n v="421500"/>
    <n v="-4.4875199150292089E-2"/>
    <n v="1.6207455429497568E-3"/>
    <n v="-3.8329911019849415E-2"/>
    <n v="0.97701380105428559"/>
  </r>
  <r>
    <n v="2025"/>
    <n v="20120633432"/>
    <n v="-1.7147984280919266"/>
    <n v="0.18"/>
    <n v="7809"/>
    <n v="2"/>
    <s v="RES"/>
    <n v="317"/>
    <s v="MX"/>
    <s v="R1"/>
    <n v="11"/>
    <n v="259"/>
    <s v="CO"/>
    <s v="A+"/>
    <s v="VG"/>
    <n v="2009"/>
    <n v="2009"/>
    <x v="1"/>
    <n v="15"/>
    <n v="15"/>
    <n v="1"/>
    <n v="1132"/>
    <n v="0"/>
    <n v="0"/>
    <n v="0"/>
    <n v="0"/>
    <n v="0"/>
    <n v="1132"/>
    <x v="3"/>
    <n v="2"/>
    <s v="N"/>
    <s v="FD"/>
    <s v="G"/>
    <s v="Y"/>
    <n v="0"/>
    <n v="0"/>
    <n v="0"/>
    <n v="1"/>
    <n v="0"/>
    <n v="8"/>
    <n v="444"/>
    <n v="0"/>
    <n v="0"/>
    <n v="0"/>
    <n v="144"/>
    <n v="0"/>
    <n v="100"/>
    <n v="100"/>
    <n v="215806"/>
    <n v="207174"/>
    <n v="1012"/>
    <n v="365"/>
    <n v="365"/>
    <n v="282"/>
    <d v="2021-03-25T00:00:00"/>
    <s v="E030548"/>
    <n v="278500"/>
    <n v="278500"/>
    <s v="SWD"/>
    <n v="30"/>
    <s v="N"/>
    <s v="Y"/>
    <n v="361800"/>
    <n v="62500"/>
    <n v="299300"/>
    <n v="0"/>
    <n v="275529.78155905212"/>
    <n v="361257.93857217248"/>
    <n v="-85728.153430999999"/>
    <n v="132535.48800000001"/>
    <n v="88356.992000000013"/>
    <n v="-22505.565020573864"/>
    <n v="37154.252388000001"/>
    <n v="50438.379078999998"/>
    <n v="-1631.1165000000001"/>
    <n v="70648.550159999999"/>
    <n v="0"/>
    <n v="0"/>
    <n v="-9412.7029999999995"/>
    <n v="0"/>
    <n v="15673.657764000001"/>
    <n v="0"/>
    <n v="275529.78143942612"/>
    <n v="0"/>
    <n v="209700"/>
    <n v="65900"/>
    <n v="275600"/>
    <n v="1.0105224963715529"/>
    <n v="-0.23825317855168601"/>
    <n v="0.99970000000000003"/>
    <n v="0.99819999999999998"/>
    <n v="1.0007999999999999"/>
    <n v="0.99519999999999997"/>
    <n v="1.0138"/>
    <n v="0.94971499999999998"/>
    <n v="0.95723994654520439"/>
    <n v="289700"/>
    <n v="0"/>
    <n v="289700"/>
    <n v="62500"/>
    <n v="352200"/>
    <n v="-3.2074841296358167E-2"/>
    <n v="0"/>
    <n v="-2.6533996683250415E-2"/>
    <n v="0.9568109392064631"/>
  </r>
  <r>
    <n v="2025"/>
    <n v="20120633447"/>
    <n v="-1.8325814637483102"/>
    <n v="0.16"/>
    <n v="7100"/>
    <n v="2"/>
    <s v="RES"/>
    <n v="317"/>
    <s v="MX"/>
    <s v="R1"/>
    <n v="11"/>
    <n v="259"/>
    <s v="RN"/>
    <s v="A+"/>
    <s v="GD"/>
    <n v="2009"/>
    <n v="2009"/>
    <x v="1"/>
    <n v="15"/>
    <n v="15"/>
    <n v="1"/>
    <n v="1152"/>
    <n v="0"/>
    <n v="0"/>
    <n v="0"/>
    <n v="0"/>
    <n v="0"/>
    <n v="1152"/>
    <x v="3"/>
    <n v="2"/>
    <s v="N"/>
    <s v="FD"/>
    <s v="G"/>
    <s v="Y"/>
    <n v="0"/>
    <n v="0"/>
    <n v="0"/>
    <n v="0"/>
    <n v="0"/>
    <n v="8"/>
    <n v="440"/>
    <n v="0"/>
    <n v="0"/>
    <n v="0"/>
    <n v="128"/>
    <n v="0"/>
    <n v="100"/>
    <n v="100"/>
    <n v="218269"/>
    <n v="207356"/>
    <n v="796"/>
    <n v="365"/>
    <n v="365"/>
    <n v="66"/>
    <d v="2021-10-27T00:00:00"/>
    <s v="E033832"/>
    <n v="301500"/>
    <n v="301500"/>
    <s v="SWD"/>
    <n v="30"/>
    <s v="N"/>
    <s v="Y"/>
    <n v="345300"/>
    <n v="60800"/>
    <n v="284500"/>
    <n v="0"/>
    <n v="304416.78513580136"/>
    <n v="340681.06989388308"/>
    <n v="-36264.283030999999"/>
    <n v="132535.48800000001"/>
    <n v="88356.992000000013"/>
    <n v="-24051.387388882686"/>
    <n v="37154.252388000001"/>
    <n v="30300.329274"/>
    <n v="-1631.1165000000001"/>
    <n v="71896.757760000008"/>
    <n v="0"/>
    <n v="0"/>
    <n v="-9412.7029999999995"/>
    <n v="0"/>
    <n v="15532.453640000002"/>
    <n v="0"/>
    <n v="304416.78314211738"/>
    <n v="0"/>
    <n v="240100"/>
    <n v="64300"/>
    <n v="304400"/>
    <n v="0.99047306176084104"/>
    <n v="-0.11844772661453808"/>
    <n v="0.99970000000000003"/>
    <n v="0.99819999999999998"/>
    <n v="0.997"/>
    <n v="0.99519999999999997"/>
    <n v="1.0138"/>
    <n v="0.94971499999999998"/>
    <n v="0.95360534243162343"/>
    <n v="270200"/>
    <n v="0"/>
    <n v="270200"/>
    <n v="61100"/>
    <n v="331300"/>
    <n v="-5.0263620386643233E-2"/>
    <n v="4.9342105263157892E-3"/>
    <n v="-4.0544454097885894E-2"/>
    <n v="0.97855959193698172"/>
  </r>
  <r>
    <n v="2025"/>
    <n v="20120633449"/>
    <n v="-1.7719568419318752"/>
    <n v="0.17"/>
    <n v="7347"/>
    <n v="2"/>
    <s v="RES"/>
    <n v="317"/>
    <s v="MX"/>
    <s v="R1"/>
    <n v="11"/>
    <n v="259"/>
    <s v="CP"/>
    <s v="A+"/>
    <s v="AV"/>
    <n v="2009"/>
    <n v="2009"/>
    <x v="1"/>
    <n v="15"/>
    <n v="15"/>
    <n v="1"/>
    <n v="1132"/>
    <n v="0"/>
    <n v="0"/>
    <n v="0"/>
    <n v="0"/>
    <n v="0"/>
    <n v="1132"/>
    <x v="3"/>
    <n v="0"/>
    <s v="N"/>
    <s v="FD"/>
    <s v="G"/>
    <s v="Y"/>
    <n v="0"/>
    <n v="0"/>
    <n v="1"/>
    <n v="1"/>
    <n v="0"/>
    <n v="8"/>
    <n v="444"/>
    <n v="0"/>
    <n v="0"/>
    <n v="0"/>
    <n v="144"/>
    <n v="0"/>
    <n v="100"/>
    <n v="100"/>
    <n v="219103"/>
    <n v="203766"/>
    <n v="970"/>
    <n v="365"/>
    <n v="365"/>
    <n v="240"/>
    <d v="2021-05-06T00:00:00"/>
    <s v="E031162"/>
    <n v="265000"/>
    <n v="265000"/>
    <s v="SWD"/>
    <n v="30"/>
    <s v="N"/>
    <s v="Y"/>
    <n v="345400"/>
    <n v="61700"/>
    <n v="283700"/>
    <n v="0"/>
    <n v="261527.4387068486"/>
    <n v="337637.62055926706"/>
    <n v="-76110.178631000002"/>
    <n v="132535.48800000001"/>
    <n v="88356.992000000013"/>
    <n v="-23255.730391660189"/>
    <n v="37154.252388000001"/>
    <n v="17761.121909000001"/>
    <n v="-1631.1165000000001"/>
    <n v="70648.550159999999"/>
    <n v="0"/>
    <n v="0"/>
    <n v="-9412.7029999999995"/>
    <n v="9807.1044999999995"/>
    <n v="15673.657764000001"/>
    <n v="0"/>
    <n v="261527.43819833983"/>
    <n v="0"/>
    <n v="196400"/>
    <n v="65100"/>
    <n v="261500"/>
    <n v="1.0133843212237095"/>
    <n v="-0.24290677475390851"/>
    <n v="0.99970000000000003"/>
    <n v="0.99819999999999998"/>
    <n v="0.99680000000000002"/>
    <n v="0.99519999999999997"/>
    <n v="1.0138"/>
    <n v="0.94971499999999998"/>
    <n v="0.95341404747827707"/>
    <n v="266400"/>
    <n v="0"/>
    <n v="266400"/>
    <n v="61800"/>
    <n v="328200"/>
    <n v="-6.0979908353894961E-2"/>
    <n v="1.6207455429497568E-3"/>
    <n v="-4.9797336421540245E-2"/>
    <n v="0.95128234478867935"/>
  </r>
  <r>
    <n v="2025"/>
    <n v="20120633450"/>
    <n v="-1.8325814637483102"/>
    <n v="0.16"/>
    <n v="7100"/>
    <n v="2"/>
    <s v="RES"/>
    <n v="317"/>
    <s v="MX"/>
    <s v="R1"/>
    <n v="11"/>
    <n v="259"/>
    <s v="RN"/>
    <s v="A+"/>
    <s v="AV"/>
    <n v="2009"/>
    <n v="2009"/>
    <x v="1"/>
    <n v="15"/>
    <n v="15"/>
    <n v="1"/>
    <n v="1132"/>
    <n v="0"/>
    <n v="0"/>
    <n v="0"/>
    <n v="0"/>
    <n v="0"/>
    <n v="1132"/>
    <x v="3"/>
    <n v="0"/>
    <s v="N"/>
    <s v="FD"/>
    <s v="G"/>
    <s v="Y"/>
    <n v="0"/>
    <n v="0"/>
    <n v="0"/>
    <n v="1"/>
    <n v="0"/>
    <n v="8"/>
    <n v="444"/>
    <n v="0"/>
    <n v="0"/>
    <n v="0"/>
    <n v="0"/>
    <n v="144"/>
    <n v="100"/>
    <n v="100"/>
    <n v="217635"/>
    <n v="202401"/>
    <n v="924"/>
    <n v="365"/>
    <n v="365"/>
    <n v="194"/>
    <d v="2021-06-21T00:00:00"/>
    <s v="E031888"/>
    <n v="295000"/>
    <n v="295000"/>
    <s v="SWD"/>
    <n v="30"/>
    <s v="N"/>
    <s v="Y"/>
    <n v="344500"/>
    <n v="60800"/>
    <n v="283700"/>
    <n v="0"/>
    <n v="261458.64999288839"/>
    <n v="327034.8590502523"/>
    <n v="-65576.206231000004"/>
    <n v="132535.48800000001"/>
    <n v="88356.992000000013"/>
    <n v="-24051.387388882686"/>
    <n v="37154.252388000001"/>
    <n v="17761.121909000001"/>
    <n v="-1631.1165000000001"/>
    <n v="70648.550159999999"/>
    <n v="0"/>
    <n v="0"/>
    <n v="-9412.7029999999995"/>
    <n v="0"/>
    <n v="15673.657764000001"/>
    <n v="0"/>
    <n v="261458.64910111731"/>
    <n v="0"/>
    <n v="197200"/>
    <n v="64300"/>
    <n v="261500"/>
    <n v="1.1281070745697896"/>
    <n v="-0.24092888243831639"/>
    <n v="0.99970000000000003"/>
    <n v="0.99819999999999998"/>
    <n v="0.99680000000000002"/>
    <n v="0.99519999999999997"/>
    <n v="1.0138"/>
    <n v="0.94971499999999998"/>
    <n v="0.95341404747827707"/>
    <n v="256600"/>
    <n v="0"/>
    <n v="256600"/>
    <n v="61100"/>
    <n v="317700"/>
    <n v="-9.5523440253789213E-2"/>
    <n v="4.9342105263157892E-3"/>
    <n v="-7.7793904208998552E-2"/>
    <n v="0.85465692803050841"/>
  </r>
  <r>
    <n v="2025"/>
    <n v="20120633453"/>
    <n v="-1.8325814637483102"/>
    <n v="0.16"/>
    <n v="7100"/>
    <n v="2"/>
    <s v="RES"/>
    <n v="317"/>
    <s v="MX"/>
    <s v="R1"/>
    <n v="11"/>
    <n v="259"/>
    <s v="CO"/>
    <s v="A+"/>
    <s v="AV"/>
    <n v="2009"/>
    <n v="2009"/>
    <x v="1"/>
    <n v="15"/>
    <n v="15"/>
    <n v="2"/>
    <n v="1116"/>
    <n v="1116"/>
    <n v="0"/>
    <n v="0"/>
    <n v="0"/>
    <n v="0"/>
    <n v="2232"/>
    <x v="1"/>
    <n v="2"/>
    <s v="N"/>
    <s v="FD"/>
    <s v="G"/>
    <s v="Y"/>
    <n v="0"/>
    <n v="0"/>
    <n v="1"/>
    <n v="1"/>
    <n v="0"/>
    <n v="12"/>
    <n v="440"/>
    <n v="0"/>
    <n v="0"/>
    <n v="0"/>
    <n v="144"/>
    <n v="0"/>
    <n v="100"/>
    <n v="100"/>
    <n v="349706"/>
    <n v="325227"/>
    <n v="882"/>
    <n v="365"/>
    <n v="365"/>
    <n v="152"/>
    <d v="2021-08-02T00:00:00"/>
    <s v="E032473"/>
    <n v="375000"/>
    <n v="375000"/>
    <s v="SWD"/>
    <n v="30"/>
    <s v="N"/>
    <s v="Y"/>
    <n v="398900"/>
    <n v="60800"/>
    <n v="338100"/>
    <n v="0"/>
    <n v="346235.66658202518"/>
    <n v="402193.90047868714"/>
    <n v="-55958.231431000007"/>
    <n v="132535.48800000001"/>
    <n v="88356.992000000013"/>
    <n v="-24051.387388882686"/>
    <n v="37154.252388000001"/>
    <n v="17761.121909000001"/>
    <n v="-1631.1165000000001"/>
    <n v="69649.984080000009"/>
    <n v="66491.707427999994"/>
    <n v="0"/>
    <n v="-9412.7029999999995"/>
    <n v="9807.1044999999995"/>
    <n v="15532.453640000002"/>
    <n v="0"/>
    <n v="346235.66562511737"/>
    <n v="0"/>
    <n v="281900"/>
    <n v="64300"/>
    <n v="346200"/>
    <n v="1.0831889081455806"/>
    <n v="-0.13211331160691903"/>
    <n v="0.99970000000000003"/>
    <n v="0.99819999999999998"/>
    <n v="0.99680000000000002"/>
    <n v="1.0008999999999999"/>
    <n v="1.0138"/>
    <n v="0.94971499999999998"/>
    <n v="0.95887471877110886"/>
    <n v="332400"/>
    <n v="0"/>
    <n v="332400"/>
    <n v="61100"/>
    <n v="393500"/>
    <n v="-1.6858917480035492E-2"/>
    <n v="4.9342105263157892E-3"/>
    <n v="-1.3537227375282025E-2"/>
    <n v="0.90011138285066672"/>
  </r>
  <r>
    <n v="2025"/>
    <n v="20120633454"/>
    <n v="-1.8325814637483102"/>
    <n v="0.16"/>
    <n v="7100"/>
    <n v="2"/>
    <s v="RES"/>
    <n v="317"/>
    <s v="MX"/>
    <s v="R1"/>
    <n v="11"/>
    <n v="259"/>
    <s v="RN"/>
    <s v="A+"/>
    <s v="AV"/>
    <n v="2009"/>
    <n v="2009"/>
    <x v="1"/>
    <n v="15"/>
    <n v="15"/>
    <n v="1"/>
    <n v="1380"/>
    <n v="0"/>
    <n v="0"/>
    <n v="0"/>
    <n v="0"/>
    <n v="0"/>
    <n v="1380"/>
    <x v="3"/>
    <n v="2"/>
    <s v="S"/>
    <s v="FD"/>
    <s v="G"/>
    <s v="Y"/>
    <n v="0"/>
    <n v="0"/>
    <n v="1"/>
    <n v="1"/>
    <n v="0"/>
    <n v="8"/>
    <n v="440"/>
    <n v="0"/>
    <n v="0"/>
    <n v="0"/>
    <n v="144"/>
    <n v="0"/>
    <n v="100"/>
    <n v="100"/>
    <n v="252172"/>
    <n v="234520"/>
    <n v="579"/>
    <n v="365"/>
    <n v="214"/>
    <n v="0"/>
    <d v="2022-06-01T00:00:00"/>
    <s v="E036692"/>
    <n v="345000"/>
    <n v="345000"/>
    <s v="SWD"/>
    <n v="30"/>
    <s v="N"/>
    <s v="Y"/>
    <n v="354300"/>
    <n v="60800"/>
    <n v="293500"/>
    <n v="0"/>
    <n v="354737.76750780386"/>
    <n v="365704.1147639812"/>
    <n v="-10966.346581"/>
    <n v="132535.48800000001"/>
    <n v="88356.992000000013"/>
    <n v="-24051.387388882686"/>
    <n v="37154.252388000001"/>
    <n v="17761.121909000001"/>
    <n v="-1631.1165000000001"/>
    <n v="86126.324399999998"/>
    <n v="0"/>
    <n v="0"/>
    <n v="4112.8784489"/>
    <n v="9807.1044999999995"/>
    <n v="15532.453640000002"/>
    <n v="0"/>
    <n v="354737.76481601736"/>
    <n v="0"/>
    <n v="290400"/>
    <n v="64300"/>
    <n v="354700"/>
    <n v="0.97265294615167752"/>
    <n v="1.1289867344058708E-3"/>
    <n v="0.99970000000000003"/>
    <n v="0.99819999999999998"/>
    <n v="0.99680000000000002"/>
    <n v="0.99519999999999997"/>
    <n v="1.0138"/>
    <n v="0.94971499999999998"/>
    <n v="0.95341404747827707"/>
    <n v="295200"/>
    <n v="0"/>
    <n v="295200"/>
    <n v="61100"/>
    <n v="356300"/>
    <n v="5.7921635434412264E-3"/>
    <n v="4.9342105263157892E-3"/>
    <n v="5.6449336720293536E-3"/>
    <n v="1.0009671113594203"/>
  </r>
  <r>
    <n v="2025"/>
    <n v="19120113577"/>
    <n v="-1.8325814637483102"/>
    <n v="0.16"/>
    <n v="7036"/>
    <n v="2"/>
    <s v="RES"/>
    <n v="317"/>
    <s v="MX"/>
    <s v="R1"/>
    <n v="11"/>
    <n v="259"/>
    <s v="CP"/>
    <s v="A+"/>
    <s v="GD"/>
    <n v="2008"/>
    <n v="2008"/>
    <x v="1"/>
    <n v="16"/>
    <n v="16"/>
    <n v="1"/>
    <n v="2058"/>
    <n v="0"/>
    <n v="0"/>
    <n v="0"/>
    <n v="0"/>
    <n v="0"/>
    <n v="2058"/>
    <x v="1"/>
    <n v="3"/>
    <s v="N"/>
    <s v="FD"/>
    <s v="G"/>
    <s v="Y"/>
    <n v="0"/>
    <n v="0"/>
    <n v="1"/>
    <n v="0"/>
    <n v="0"/>
    <n v="11"/>
    <n v="782"/>
    <n v="0"/>
    <n v="0"/>
    <n v="0"/>
    <n v="144"/>
    <n v="0"/>
    <n v="100"/>
    <n v="100"/>
    <n v="356149"/>
    <n v="338342"/>
    <n v="446"/>
    <n v="365"/>
    <n v="81"/>
    <n v="0"/>
    <d v="2022-10-12T00:00:00"/>
    <s v="E038485"/>
    <n v="430000"/>
    <n v="430000"/>
    <s v="SWD"/>
    <n v="30"/>
    <s v="N"/>
    <s v="Y"/>
    <n v="408000"/>
    <n v="60800"/>
    <n v="347200"/>
    <n v="0"/>
    <n v="416999.83538366854"/>
    <n v="418996.19006258377"/>
    <n v="-1996.3544310000002"/>
    <n v="132535.48800000001"/>
    <n v="88356.992000000013"/>
    <n v="-24051.387388882686"/>
    <n v="37154.252388000001"/>
    <n v="30300.329274"/>
    <n v="-1739.8576"/>
    <n v="128440.56204"/>
    <n v="0"/>
    <n v="0"/>
    <n v="-9412.7029999999995"/>
    <n v="9807.1044999999995"/>
    <n v="27605.406242000001"/>
    <n v="0"/>
    <n v="416999.83202411735"/>
    <n v="0"/>
    <n v="352700"/>
    <n v="64300"/>
    <n v="417000"/>
    <n v="1.0311750599520384"/>
    <n v="2.2058823529411766E-2"/>
    <n v="0.99970000000000003"/>
    <n v="0.99819999999999998"/>
    <n v="0.997"/>
    <n v="1.0008999999999999"/>
    <n v="1.0138"/>
    <n v="0.94971499999999998"/>
    <n v="0.95906710936476258"/>
    <n v="349300"/>
    <n v="0"/>
    <n v="349300"/>
    <n v="61100"/>
    <n v="410400"/>
    <n v="6.0483870967741934E-3"/>
    <n v="4.9342105263157892E-3"/>
    <n v="5.8823529411764705E-3"/>
    <n v="0.949775919927907"/>
  </r>
  <r>
    <n v="2025"/>
    <n v="19120113582"/>
    <n v="-1.8325814637483102"/>
    <n v="0.16"/>
    <n v="7052"/>
    <n v="2"/>
    <s v="RES"/>
    <n v="317"/>
    <s v="MX"/>
    <s v="R1"/>
    <n v="11"/>
    <n v="259"/>
    <s v="RN"/>
    <s v="A+"/>
    <s v="GD"/>
    <n v="2008"/>
    <n v="2008"/>
    <x v="1"/>
    <n v="16"/>
    <n v="16"/>
    <n v="1"/>
    <n v="1132"/>
    <n v="0"/>
    <n v="0"/>
    <n v="0"/>
    <n v="0"/>
    <n v="0"/>
    <n v="1132"/>
    <x v="3"/>
    <n v="2"/>
    <s v="S"/>
    <s v="FD"/>
    <s v="G"/>
    <s v="Y"/>
    <n v="0"/>
    <n v="0"/>
    <n v="0"/>
    <n v="1"/>
    <n v="0"/>
    <n v="8"/>
    <n v="400"/>
    <n v="0"/>
    <n v="0"/>
    <n v="0"/>
    <n v="144"/>
    <n v="0"/>
    <n v="100"/>
    <n v="100"/>
    <n v="213376"/>
    <n v="202707"/>
    <n v="991"/>
    <n v="365"/>
    <n v="365"/>
    <n v="261"/>
    <d v="2021-04-15T00:00:00"/>
    <s v="E030810"/>
    <n v="280000"/>
    <n v="280000"/>
    <s v="SWD"/>
    <n v="30"/>
    <s v="N"/>
    <s v="Y"/>
    <n v="351800"/>
    <n v="60800"/>
    <n v="291000"/>
    <n v="0"/>
    <n v="270518.49157328467"/>
    <n v="351437.66100605403"/>
    <n v="-80919.166031000001"/>
    <n v="132535.48800000001"/>
    <n v="88356.992000000013"/>
    <n v="-24051.387388882686"/>
    <n v="37154.252388000001"/>
    <n v="30300.329274"/>
    <n v="-1739.8576"/>
    <n v="70648.550159999999"/>
    <n v="0"/>
    <n v="0"/>
    <n v="4112.8784489"/>
    <n v="0"/>
    <n v="14120.412400000001"/>
    <n v="0"/>
    <n v="270518.49165101734"/>
    <n v="0"/>
    <n v="206200"/>
    <n v="64300"/>
    <n v="270500"/>
    <n v="1.0351201478743068"/>
    <n v="-0.23109721432632177"/>
    <n v="0.99970000000000003"/>
    <n v="0.99819999999999998"/>
    <n v="0.997"/>
    <n v="0.99519999999999997"/>
    <n v="1.0138"/>
    <n v="0.94971499999999998"/>
    <n v="0.95360534243162343"/>
    <n v="281000"/>
    <n v="0"/>
    <n v="281000"/>
    <n v="61100"/>
    <n v="342100"/>
    <n v="-3.4364261168384883E-2"/>
    <n v="4.9342105263157892E-3"/>
    <n v="-2.7572484366117114E-2"/>
    <n v="0.93278869274642862"/>
  </r>
  <r>
    <n v="2025"/>
    <n v="19120113585"/>
    <n v="-1.8325814637483102"/>
    <n v="0.16"/>
    <n v="7077"/>
    <n v="2"/>
    <s v="RES"/>
    <n v="317"/>
    <s v="MX"/>
    <s v="R1"/>
    <n v="11"/>
    <n v="259"/>
    <s v="RN"/>
    <s v="A+"/>
    <s v="AV"/>
    <n v="2008"/>
    <n v="2008"/>
    <x v="1"/>
    <n v="16"/>
    <n v="16"/>
    <n v="1"/>
    <n v="1722"/>
    <n v="0"/>
    <n v="0"/>
    <n v="0"/>
    <n v="0"/>
    <n v="0"/>
    <n v="1722"/>
    <x v="0"/>
    <n v="2"/>
    <s v="S"/>
    <s v="FD"/>
    <s v="G"/>
    <s v="Y"/>
    <n v="0"/>
    <n v="0"/>
    <n v="0"/>
    <n v="0"/>
    <n v="0"/>
    <n v="10"/>
    <n v="450"/>
    <n v="0"/>
    <n v="0"/>
    <n v="0"/>
    <n v="144"/>
    <n v="0"/>
    <n v="100"/>
    <n v="100"/>
    <n v="300200"/>
    <n v="279186"/>
    <n v="713"/>
    <n v="365"/>
    <n v="348"/>
    <n v="0"/>
    <d v="2022-01-18T00:00:00"/>
    <s v="E034901"/>
    <n v="370000"/>
    <n v="370000"/>
    <s v="SWD"/>
    <n v="30"/>
    <s v="N"/>
    <s v="Y"/>
    <n v="367300"/>
    <n v="60800"/>
    <n v="306500"/>
    <n v="0"/>
    <n v="357481.84599977336"/>
    <n v="377485.62938642525"/>
    <n v="-20003.782281"/>
    <n v="132535.48800000001"/>
    <n v="88356.992000000013"/>
    <n v="-24051.387388882686"/>
    <n v="37154.252388000001"/>
    <n v="17761.121909000001"/>
    <n v="-1739.8576"/>
    <n v="107470.67436"/>
    <n v="0"/>
    <n v="0"/>
    <n v="4112.8784489"/>
    <n v="0"/>
    <n v="15885.463950000001"/>
    <n v="0"/>
    <n v="357481.84378601739"/>
    <n v="0"/>
    <n v="293200"/>
    <n v="64300"/>
    <n v="357500"/>
    <n v="1.034965034965035"/>
    <n v="-2.6681187040566295E-2"/>
    <n v="0.99970000000000003"/>
    <n v="0.99819999999999998"/>
    <n v="0.99680000000000002"/>
    <n v="1.0007999999999999"/>
    <n v="1.0138"/>
    <n v="0.94971499999999998"/>
    <n v="0.95877891752035749"/>
    <n v="307700"/>
    <n v="0"/>
    <n v="307700"/>
    <n v="61100"/>
    <n v="368800"/>
    <n v="3.9151712887438824E-3"/>
    <n v="4.9342105263157892E-3"/>
    <n v="4.0838551592703512E-3"/>
    <n v="0.94269248032162167"/>
  </r>
  <r>
    <n v="2025"/>
    <n v="19120113607"/>
    <n v="-1.8325814637483102"/>
    <n v="0.16"/>
    <n v="7077"/>
    <n v="2"/>
    <s v="RES"/>
    <n v="317"/>
    <s v="MX"/>
    <s v="R1"/>
    <n v="11"/>
    <n v="259"/>
    <s v="RN"/>
    <s v="A+"/>
    <s v="GD"/>
    <n v="2008"/>
    <n v="2008"/>
    <x v="1"/>
    <n v="16"/>
    <n v="16"/>
    <n v="1"/>
    <n v="1732"/>
    <n v="0"/>
    <n v="0"/>
    <n v="0"/>
    <n v="0"/>
    <n v="0"/>
    <n v="1732"/>
    <x v="0"/>
    <n v="0"/>
    <s v="N"/>
    <s v="FD"/>
    <s v="G"/>
    <s v="Y"/>
    <n v="0"/>
    <n v="0"/>
    <n v="0"/>
    <n v="1"/>
    <n v="0"/>
    <n v="10"/>
    <n v="440"/>
    <n v="0"/>
    <n v="0"/>
    <n v="0"/>
    <n v="144"/>
    <n v="0"/>
    <n v="100"/>
    <n v="100"/>
    <n v="301120"/>
    <n v="286064"/>
    <n v="468"/>
    <n v="365"/>
    <n v="103"/>
    <n v="0"/>
    <d v="2022-09-20T00:00:00"/>
    <s v="E038151"/>
    <n v="350000"/>
    <n v="350000"/>
    <s v="SWD"/>
    <n v="30"/>
    <s v="N"/>
    <s v="Y"/>
    <n v="383000"/>
    <n v="60800"/>
    <n v="322200"/>
    <n v="0"/>
    <n v="373290.23632643564"/>
    <n v="376770.34917602583"/>
    <n v="-3480.1125310000002"/>
    <n v="132535.48800000001"/>
    <n v="88356.992000000013"/>
    <n v="-24051.387388882686"/>
    <n v="37154.252388000001"/>
    <n v="30300.329274"/>
    <n v="-1739.8576"/>
    <n v="108094.77816"/>
    <n v="0"/>
    <n v="0"/>
    <n v="-9412.7029999999995"/>
    <n v="0"/>
    <n v="15532.453640000002"/>
    <n v="0"/>
    <n v="373290.23294211738"/>
    <n v="0"/>
    <n v="309000"/>
    <n v="64300"/>
    <n v="373300"/>
    <n v="0.93758371283150277"/>
    <n v="-2.5326370757180156E-2"/>
    <n v="0.99970000000000003"/>
    <n v="0.99819999999999998"/>
    <n v="0.997"/>
    <n v="1.0007999999999999"/>
    <n v="1.0138"/>
    <n v="0.94971499999999998"/>
    <n v="0.95897128889225147"/>
    <n v="307000"/>
    <n v="0"/>
    <n v="307000"/>
    <n v="61100"/>
    <n v="368100"/>
    <n v="-4.717566728739913E-2"/>
    <n v="4.9342105263157892E-3"/>
    <n v="-3.8903394255874676E-2"/>
    <n v="1.0417711070542857"/>
  </r>
  <r>
    <n v="2025"/>
    <n v="19133614405"/>
    <n v="0.85441532815606758"/>
    <n v="2.35"/>
    <n v="0"/>
    <n v="2"/>
    <s v="RES"/>
    <n v="317"/>
    <s v="MX"/>
    <s v="R1"/>
    <n v="11"/>
    <n v="259"/>
    <s v="RN"/>
    <s v="A+"/>
    <s v="GD"/>
    <n v="2008"/>
    <n v="2008"/>
    <x v="1"/>
    <n v="16"/>
    <n v="16"/>
    <n v="1"/>
    <n v="2112"/>
    <n v="0"/>
    <n v="0"/>
    <n v="0"/>
    <n v="0"/>
    <n v="0"/>
    <n v="2112"/>
    <x v="1"/>
    <n v="2"/>
    <s v="N"/>
    <s v="HP"/>
    <s v="E"/>
    <m/>
    <n v="0"/>
    <n v="0"/>
    <n v="0"/>
    <n v="0"/>
    <n v="0"/>
    <n v="9"/>
    <n v="528"/>
    <n v="0"/>
    <n v="0"/>
    <n v="0"/>
    <n v="319"/>
    <n v="319"/>
    <n v="100"/>
    <n v="100"/>
    <n v="361931"/>
    <n v="343834"/>
    <n v="965"/>
    <n v="365"/>
    <n v="365"/>
    <n v="235"/>
    <d v="2021-05-11T00:00:00"/>
    <s v="E031158"/>
    <n v="410000"/>
    <n v="355756"/>
    <s v="SWD"/>
    <n v="30"/>
    <s v="N"/>
    <s v="Y"/>
    <n v="485200"/>
    <n v="98500"/>
    <n v="386700"/>
    <n v="54244"/>
    <n v="363892.60751436866"/>
    <n v="438857.79232384625"/>
    <n v="-74965.181630999999"/>
    <n v="132535.48800000001"/>
    <n v="88356.992000000013"/>
    <n v="11213.621034040569"/>
    <n v="37154.252388000001"/>
    <n v="30300.329274"/>
    <n v="-1739.8576"/>
    <n v="131810.72255999999"/>
    <n v="0"/>
    <n v="0"/>
    <n v="-9412.7029999999995"/>
    <n v="0"/>
    <n v="18638.944368"/>
    <n v="0"/>
    <n v="363892.60739304067"/>
    <n v="54200"/>
    <n v="264300"/>
    <n v="99600"/>
    <n v="418100"/>
    <n v="0.98062664434345848"/>
    <n v="-0.13829348722176421"/>
    <n v="0.99970000000000003"/>
    <n v="0.99819999999999998"/>
    <n v="0.997"/>
    <n v="1.0008999999999999"/>
    <n v="1.0138"/>
    <n v="0.94971499999999998"/>
    <n v="0.95906710936476258"/>
    <n v="333900"/>
    <n v="51500"/>
    <n v="385400"/>
    <n v="94600"/>
    <n v="480000"/>
    <n v="-3.3617791569692267E-3"/>
    <n v="-3.9593908629441621E-2"/>
    <n v="-1.0717230008244023E-2"/>
    <n v="0.9878898009"/>
  </r>
  <r>
    <n v="2025"/>
    <n v="20120633430"/>
    <n v="-1.7147984280919266"/>
    <n v="0.18"/>
    <n v="7807"/>
    <n v="2"/>
    <s v="RES"/>
    <n v="317"/>
    <s v="MX"/>
    <s v="R1"/>
    <n v="11"/>
    <n v="259"/>
    <s v="RN"/>
    <s v="A+"/>
    <s v="VG"/>
    <n v="2008"/>
    <n v="2008"/>
    <x v="1"/>
    <n v="16"/>
    <n v="16"/>
    <n v="1"/>
    <n v="1212"/>
    <n v="0"/>
    <n v="0"/>
    <n v="0"/>
    <n v="0"/>
    <n v="0"/>
    <n v="1212"/>
    <x v="3"/>
    <n v="3"/>
    <s v="N"/>
    <s v="FD"/>
    <s v="G"/>
    <s v="Y"/>
    <n v="0"/>
    <n v="0"/>
    <n v="0"/>
    <n v="1"/>
    <n v="0"/>
    <n v="8"/>
    <n v="680"/>
    <n v="0"/>
    <n v="0"/>
    <n v="0"/>
    <n v="144"/>
    <n v="0"/>
    <n v="100"/>
    <n v="100"/>
    <n v="233883"/>
    <n v="224528"/>
    <n v="545"/>
    <n v="365"/>
    <n v="180"/>
    <n v="0"/>
    <d v="2022-07-05T00:00:00"/>
    <s v="E037176"/>
    <n v="385000"/>
    <n v="385000"/>
    <s v="SWD"/>
    <n v="30"/>
    <s v="N"/>
    <s v="Y"/>
    <n v="373600"/>
    <n v="62500"/>
    <n v="311100"/>
    <n v="0"/>
    <n v="365799.80462605349"/>
    <n v="374473.07107300591"/>
    <n v="-8673.2658809999994"/>
    <n v="132535.48800000001"/>
    <n v="88356.992000000013"/>
    <n v="-22505.565020573864"/>
    <n v="37154.252388000001"/>
    <n v="50438.379078999998"/>
    <n v="-1739.8576"/>
    <n v="75641.380560000005"/>
    <n v="0"/>
    <n v="0"/>
    <n v="-9412.7029999999995"/>
    <n v="0"/>
    <n v="24004.701080000003"/>
    <n v="0"/>
    <n v="365799.80160542624"/>
    <n v="0"/>
    <n v="299900"/>
    <n v="65900"/>
    <n v="365800"/>
    <n v="1.0524876981957354"/>
    <n v="-2.08779443254818E-2"/>
    <n v="0.99970000000000003"/>
    <n v="0.99819999999999998"/>
    <n v="1.0007999999999999"/>
    <n v="0.99519999999999997"/>
    <n v="1.0138"/>
    <n v="0.94971499999999998"/>
    <n v="0.95723994654520439"/>
    <n v="303000"/>
    <n v="0"/>
    <n v="303000"/>
    <n v="62500"/>
    <n v="365500"/>
    <n v="-2.6036644165863067E-2"/>
    <n v="0"/>
    <n v="-2.1680942184154176E-2"/>
    <n v="0.9268226860233767"/>
  </r>
  <r>
    <n v="2025"/>
    <n v="19120112413"/>
    <n v="-1.8325814637483102"/>
    <n v="0.16"/>
    <n v="7041"/>
    <n v="2"/>
    <s v="RES"/>
    <n v="317"/>
    <s v="MX"/>
    <s v="R1"/>
    <n v="11"/>
    <n v="259"/>
    <s v="CO"/>
    <s v="G"/>
    <s v="GD"/>
    <n v="2007"/>
    <n v="2007"/>
    <x v="1"/>
    <n v="17"/>
    <n v="17"/>
    <n v="2"/>
    <n v="1116"/>
    <n v="1116"/>
    <n v="0"/>
    <n v="0"/>
    <n v="0"/>
    <n v="0"/>
    <n v="2232"/>
    <x v="1"/>
    <n v="2"/>
    <s v="N"/>
    <s v="FD"/>
    <s v="G"/>
    <s v="Y"/>
    <n v="0"/>
    <n v="0"/>
    <n v="0"/>
    <n v="0"/>
    <n v="1"/>
    <n v="13"/>
    <n v="440"/>
    <n v="0"/>
    <n v="0"/>
    <n v="0"/>
    <n v="100"/>
    <n v="0"/>
    <n v="100"/>
    <n v="100"/>
    <n v="396621"/>
    <n v="372824"/>
    <n v="994"/>
    <n v="365"/>
    <n v="365"/>
    <n v="264"/>
    <d v="2021-04-12T00:00:00"/>
    <s v="E030745"/>
    <n v="300000"/>
    <n v="300000"/>
    <s v="SWD"/>
    <n v="30"/>
    <s v="N"/>
    <s v="Y"/>
    <n v="397100"/>
    <n v="60800"/>
    <n v="336300"/>
    <n v="0"/>
    <n v="318865.95020583342"/>
    <n v="400472.11786436732"/>
    <n v="-81606.164231000002"/>
    <n v="132535.48800000001"/>
    <n v="88356.992000000013"/>
    <n v="-24051.387388882686"/>
    <n v="32917.849192000001"/>
    <n v="30300.329274"/>
    <n v="-1848.5987"/>
    <n v="69649.984080000009"/>
    <n v="66491.707427999994"/>
    <n v="0"/>
    <n v="-9412.7029999999995"/>
    <n v="0"/>
    <n v="15532.453640000002"/>
    <n v="0"/>
    <n v="318865.95029411739"/>
    <n v="0"/>
    <n v="254600"/>
    <n v="64300"/>
    <n v="318900"/>
    <n v="0.94073377234242705"/>
    <n v="-0.19692772601359859"/>
    <n v="0.99970000000000003"/>
    <n v="1.0019"/>
    <n v="0.997"/>
    <n v="1.0008999999999999"/>
    <n v="1.0138"/>
    <n v="0.94971499999999998"/>
    <n v="0.96262205657438948"/>
    <n v="331200"/>
    <n v="0"/>
    <n v="331200"/>
    <n v="61100"/>
    <n v="392300"/>
    <n v="-1.5165031222123104E-2"/>
    <n v="4.9342105263157892E-3"/>
    <n v="-1.2087635356333417E-2"/>
    <n v="1.0356461192299999"/>
  </r>
  <r>
    <n v="2025"/>
    <n v="19120112423"/>
    <n v="-1.8325814637483102"/>
    <n v="0.16"/>
    <n v="6875"/>
    <n v="2"/>
    <s v="RES"/>
    <n v="317"/>
    <s v="MX"/>
    <s v="R1"/>
    <n v="11"/>
    <n v="259"/>
    <s v="RN"/>
    <s v="A+"/>
    <s v="AV"/>
    <n v="2007"/>
    <n v="2007"/>
    <x v="1"/>
    <n v="17"/>
    <n v="17"/>
    <n v="1"/>
    <n v="1536"/>
    <n v="0"/>
    <n v="0"/>
    <n v="0"/>
    <n v="0"/>
    <n v="0"/>
    <n v="1536"/>
    <x v="0"/>
    <n v="2"/>
    <s v="S"/>
    <s v="FD"/>
    <s v="G"/>
    <s v="Y"/>
    <n v="0"/>
    <n v="0"/>
    <n v="0"/>
    <n v="1"/>
    <n v="0"/>
    <n v="8"/>
    <n v="440"/>
    <n v="0"/>
    <n v="0"/>
    <n v="0"/>
    <n v="144"/>
    <n v="0"/>
    <n v="100"/>
    <n v="100"/>
    <n v="269841"/>
    <n v="248254"/>
    <n v="976"/>
    <n v="365"/>
    <n v="365"/>
    <n v="246"/>
    <d v="2021-04-30T00:00:00"/>
    <s v="E031076"/>
    <n v="300000"/>
    <n v="300000"/>
    <s v="SWD"/>
    <n v="30"/>
    <s v="N"/>
    <s v="Y"/>
    <n v="356100"/>
    <n v="60800"/>
    <n v="295300"/>
    <n v="0"/>
    <n v="287931.36895986256"/>
    <n v="365415.54726380995"/>
    <n v="-77484.175031000006"/>
    <n v="132535.48800000001"/>
    <n v="88356.992000000013"/>
    <n v="-24051.387388882686"/>
    <n v="37154.252388000001"/>
    <n v="17761.121909000001"/>
    <n v="-1848.5987"/>
    <n v="95862.343680000005"/>
    <n v="0"/>
    <n v="0"/>
    <n v="4112.8784489"/>
    <n v="0"/>
    <n v="15532.453640000002"/>
    <n v="0"/>
    <n v="287931.36894601735"/>
    <n v="0"/>
    <n v="223600"/>
    <n v="64300"/>
    <n v="287900"/>
    <n v="1.0420284821118444"/>
    <n v="-0.19151923616961528"/>
    <n v="0.99970000000000003"/>
    <n v="0.99819999999999998"/>
    <n v="0.99680000000000002"/>
    <n v="1.0007999999999999"/>
    <n v="1.0138"/>
    <n v="0.94971499999999998"/>
    <n v="0.95877891752035749"/>
    <n v="295600"/>
    <n v="0"/>
    <n v="295600"/>
    <n v="61100"/>
    <n v="356700"/>
    <n v="1.0159160176092109E-3"/>
    <n v="4.9342105263157892E-3"/>
    <n v="1.6849199663016006E-3"/>
    <n v="0.93071941656333335"/>
  </r>
  <r>
    <n v="2025"/>
    <n v="19120112435"/>
    <n v="-1.8325814637483102"/>
    <n v="0.16"/>
    <n v="6989"/>
    <n v="2"/>
    <s v="RES"/>
    <n v="317"/>
    <s v="MX"/>
    <s v="R1"/>
    <n v="11"/>
    <n v="259"/>
    <s v="CO"/>
    <s v="A+"/>
    <s v="GD"/>
    <n v="2007"/>
    <n v="2007"/>
    <x v="1"/>
    <n v="17"/>
    <n v="17"/>
    <n v="2"/>
    <n v="1374"/>
    <n v="1344"/>
    <n v="0"/>
    <n v="0"/>
    <n v="0"/>
    <n v="0"/>
    <n v="2718"/>
    <x v="4"/>
    <n v="3"/>
    <s v="N"/>
    <s v="FD"/>
    <s v="G"/>
    <s v="Y"/>
    <n v="0"/>
    <n v="0"/>
    <n v="0"/>
    <n v="0"/>
    <n v="1"/>
    <n v="18"/>
    <n v="240"/>
    <n v="502"/>
    <n v="0"/>
    <n v="0"/>
    <n v="504"/>
    <n v="0"/>
    <n v="100"/>
    <n v="100"/>
    <n v="433920"/>
    <n v="407885"/>
    <n v="304"/>
    <n v="304"/>
    <n v="0"/>
    <n v="0"/>
    <d v="2023-03-03T00:00:00"/>
    <s v="E039612"/>
    <n v="430000"/>
    <n v="430000"/>
    <s v="SWD"/>
    <n v="30"/>
    <s v="N"/>
    <s v="Y"/>
    <n v="436000"/>
    <n v="60800"/>
    <n v="375200"/>
    <n v="0"/>
    <n v="455018.94172918104"/>
    <n v="452131.71369653917"/>
    <n v="2887.2280224000001"/>
    <n v="132535.48800000001"/>
    <n v="88356.992000000013"/>
    <n v="-24051.387388882686"/>
    <n v="37154.252388000001"/>
    <n v="30300.329274"/>
    <n v="-1848.5987"/>
    <n v="85751.862120000005"/>
    <n v="80076.034751999992"/>
    <n v="0"/>
    <n v="-9412.7029999999995"/>
    <n v="0"/>
    <n v="8472.247440000001"/>
    <n v="24797.193599999999"/>
    <n v="455018.93850751739"/>
    <n v="0"/>
    <n v="390700"/>
    <n v="64300"/>
    <n v="455000"/>
    <n v="0.94505494505494503"/>
    <n v="4.3577981651376149E-2"/>
    <n v="0.99970000000000003"/>
    <n v="0.99819999999999998"/>
    <n v="0.997"/>
    <n v="1.0099"/>
    <n v="1.0138"/>
    <n v="0.94971499999999998"/>
    <n v="0.96769095189077226"/>
    <n v="383500"/>
    <n v="0"/>
    <n v="383500"/>
    <n v="61100"/>
    <n v="444600"/>
    <n v="2.2121535181236673E-2"/>
    <n v="4.9342105263157892E-3"/>
    <n v="1.9724770642201836E-2"/>
    <n v="1.0406679721451162"/>
  </r>
  <r>
    <n v="2025"/>
    <n v="19120112435"/>
    <n v="-1.8325814637483102"/>
    <n v="0.16"/>
    <n v="6989"/>
    <n v="2"/>
    <s v="RES"/>
    <n v="317"/>
    <s v="MX"/>
    <s v="R1"/>
    <n v="11"/>
    <n v="259"/>
    <s v="CO"/>
    <s v="G"/>
    <s v="GD"/>
    <n v="2007"/>
    <n v="2007"/>
    <x v="1"/>
    <n v="17"/>
    <n v="17"/>
    <n v="2"/>
    <n v="1374"/>
    <n v="1344"/>
    <n v="0"/>
    <n v="0"/>
    <n v="0"/>
    <n v="0"/>
    <n v="2718"/>
    <x v="4"/>
    <n v="3"/>
    <s v="N"/>
    <s v="FD"/>
    <s v="G"/>
    <s v="Y"/>
    <n v="0"/>
    <n v="0"/>
    <n v="0"/>
    <n v="0"/>
    <n v="1"/>
    <n v="18"/>
    <n v="0"/>
    <n v="742"/>
    <n v="0"/>
    <n v="0"/>
    <n v="144"/>
    <n v="0"/>
    <n v="100"/>
    <n v="100"/>
    <n v="484002"/>
    <n v="454962"/>
    <n v="1012"/>
    <n v="365"/>
    <n v="365"/>
    <n v="282"/>
    <d v="2021-03-25T00:00:00"/>
    <s v="E030536"/>
    <n v="393500"/>
    <n v="393500"/>
    <s v="SWD"/>
    <n v="30"/>
    <s v="N"/>
    <s v="Y"/>
    <n v="436000"/>
    <n v="60800"/>
    <n v="375200"/>
    <n v="0"/>
    <n v="365550.13806634065"/>
    <n v="451278.29507946107"/>
    <n v="-85728.153430999999"/>
    <n v="132535.48800000001"/>
    <n v="88356.992000000013"/>
    <n v="-24051.387388882686"/>
    <n v="32917.849192000001"/>
    <n v="30300.329274"/>
    <n v="-1848.5987"/>
    <n v="85751.862120000005"/>
    <n v="80076.034751999992"/>
    <n v="0"/>
    <n v="-9412.7029999999995"/>
    <n v="0"/>
    <n v="0"/>
    <n v="36652.425600000002"/>
    <n v="365550.13841811736"/>
    <n v="0"/>
    <n v="301200"/>
    <n v="64300"/>
    <n v="365500"/>
    <n v="1.076607387140903"/>
    <n v="-0.16169724770642202"/>
    <n v="0.99970000000000003"/>
    <n v="1.0019"/>
    <n v="0.997"/>
    <n v="1.0099"/>
    <n v="1.0138"/>
    <n v="0.94971499999999998"/>
    <n v="0.97127786485610568"/>
    <n v="383200"/>
    <n v="0"/>
    <n v="383200"/>
    <n v="61100"/>
    <n v="444300"/>
    <n v="2.1321961620469083E-2"/>
    <n v="4.9342105263157892E-3"/>
    <n v="1.9036697247706423E-2"/>
    <n v="0.91123722126810669"/>
  </r>
  <r>
    <n v="2025"/>
    <n v="19120112439"/>
    <n v="-1.8325814637483102"/>
    <n v="0.16"/>
    <n v="7032"/>
    <n v="2"/>
    <s v="RES"/>
    <n v="317"/>
    <s v="MX"/>
    <s v="R1"/>
    <n v="11"/>
    <n v="259"/>
    <s v="CO"/>
    <s v="A+"/>
    <s v="GD"/>
    <n v="2007"/>
    <n v="2007"/>
    <x v="1"/>
    <n v="17"/>
    <n v="17"/>
    <n v="2"/>
    <n v="1374"/>
    <n v="1252"/>
    <n v="0"/>
    <n v="0"/>
    <n v="0"/>
    <n v="0"/>
    <n v="2626"/>
    <x v="4"/>
    <n v="3"/>
    <s v="S"/>
    <s v="FD"/>
    <s v="G"/>
    <s v="Y"/>
    <n v="0"/>
    <n v="0"/>
    <n v="0"/>
    <n v="0"/>
    <n v="1"/>
    <n v="12"/>
    <n v="0"/>
    <n v="742"/>
    <n v="0"/>
    <n v="0"/>
    <n v="550"/>
    <n v="320"/>
    <n v="100"/>
    <n v="100"/>
    <n v="408761"/>
    <n v="384235"/>
    <n v="508"/>
    <n v="365"/>
    <n v="143"/>
    <n v="0"/>
    <d v="2022-08-11T00:00:00"/>
    <s v="E037805"/>
    <n v="447000"/>
    <n v="447000"/>
    <s v="SWD"/>
    <n v="30"/>
    <s v="N"/>
    <s v="Y"/>
    <n v="446400"/>
    <n v="60800"/>
    <n v="385600"/>
    <n v="0"/>
    <n v="457381.02915757493"/>
    <n v="463558.88413566491"/>
    <n v="-6177.854530999999"/>
    <n v="132535.48800000001"/>
    <n v="88356.992000000013"/>
    <n v="-24051.387388882686"/>
    <n v="37154.252388000001"/>
    <n v="30300.329274"/>
    <n v="-1848.5987"/>
    <n v="85751.862120000005"/>
    <n v="74594.639515999996"/>
    <n v="0"/>
    <n v="4112.8784489"/>
    <n v="0"/>
    <n v="0"/>
    <n v="36652.425600000002"/>
    <n v="457381.02672701731"/>
    <n v="0"/>
    <n v="393100"/>
    <n v="64300"/>
    <n v="457400"/>
    <n v="0.9772627896808046"/>
    <n v="2.46415770609319E-2"/>
    <n v="0.99970000000000003"/>
    <n v="0.99819999999999998"/>
    <n v="0.997"/>
    <n v="1.0099"/>
    <n v="1.0138"/>
    <n v="0.94971499999999998"/>
    <n v="0.96769095189077226"/>
    <n v="395000"/>
    <n v="0"/>
    <n v="395000"/>
    <n v="61100"/>
    <n v="456100"/>
    <n v="2.4377593360995851E-2"/>
    <n v="4.9342105263157892E-3"/>
    <n v="2.1729390681003585E-2"/>
    <n v="1.0065372381856823"/>
  </r>
  <r>
    <n v="2025"/>
    <n v="19120112444"/>
    <n v="-1.8325814637483102"/>
    <n v="0.16"/>
    <n v="7023"/>
    <n v="2"/>
    <s v="RES"/>
    <n v="317"/>
    <s v="MX"/>
    <s v="R1"/>
    <n v="11"/>
    <n v="259"/>
    <s v="RN"/>
    <s v="A+"/>
    <s v="GD"/>
    <n v="2007"/>
    <n v="2007"/>
    <x v="1"/>
    <n v="17"/>
    <n v="17"/>
    <n v="1"/>
    <n v="1706"/>
    <n v="0"/>
    <n v="0"/>
    <n v="0"/>
    <n v="0"/>
    <n v="0"/>
    <n v="1706"/>
    <x v="0"/>
    <n v="2"/>
    <s v="S"/>
    <s v="FD"/>
    <s v="G"/>
    <s v="Y"/>
    <n v="0"/>
    <n v="0"/>
    <n v="0"/>
    <n v="0"/>
    <n v="0"/>
    <n v="11"/>
    <n v="466"/>
    <n v="0"/>
    <n v="0"/>
    <n v="0"/>
    <n v="140"/>
    <n v="0"/>
    <n v="100"/>
    <n v="100"/>
    <n v="302423"/>
    <n v="284278"/>
    <n v="613"/>
    <n v="365"/>
    <n v="248"/>
    <n v="0"/>
    <d v="2022-04-28T00:00:00"/>
    <s v="E036194"/>
    <n v="375000"/>
    <n v="375000"/>
    <s v="SWD"/>
    <n v="30"/>
    <s v="N"/>
    <s v="Y"/>
    <n v="368000"/>
    <n v="60800"/>
    <n v="307200"/>
    <n v="0"/>
    <n v="376222.91796479106"/>
    <n v="389482.34603019326"/>
    <n v="-13259.427281"/>
    <n v="132535.48800000001"/>
    <n v="88356.992000000013"/>
    <n v="-24051.387388882686"/>
    <n v="37154.252388000001"/>
    <n v="30300.329274"/>
    <n v="-1848.5987"/>
    <n v="106472.10828"/>
    <n v="0"/>
    <n v="0"/>
    <n v="4112.8784489"/>
    <n v="0"/>
    <n v="16450.280446000001"/>
    <n v="0"/>
    <n v="376222.91546701733"/>
    <n v="0"/>
    <n v="311900"/>
    <n v="64300"/>
    <n v="376200"/>
    <n v="0.99681020733652315"/>
    <n v="2.2282608695652174E-2"/>
    <n v="0.99970000000000003"/>
    <n v="0.99819999999999998"/>
    <n v="0.997"/>
    <n v="1.0007999999999999"/>
    <n v="1.0138"/>
    <n v="0.94971499999999998"/>
    <n v="0.95897128889225147"/>
    <n v="319700"/>
    <n v="0"/>
    <n v="319700"/>
    <n v="61100"/>
    <n v="380800"/>
    <n v="4.0690104166666664E-2"/>
    <n v="4.9342105263157892E-3"/>
    <n v="3.4782608695652174E-2"/>
    <n v="0.98010819391733328"/>
  </r>
  <r>
    <n v="2025"/>
    <n v="19120112462"/>
    <n v="-1.8325814637483102"/>
    <n v="0.16"/>
    <n v="7000"/>
    <n v="2"/>
    <s v="RES"/>
    <n v="317"/>
    <s v="MX"/>
    <s v="R1"/>
    <n v="11"/>
    <n v="259"/>
    <s v="RN"/>
    <s v="A+"/>
    <s v="AV"/>
    <n v="2007"/>
    <n v="2007"/>
    <x v="1"/>
    <n v="17"/>
    <n v="17"/>
    <n v="1"/>
    <n v="1092"/>
    <n v="0"/>
    <n v="0"/>
    <n v="0"/>
    <n v="0"/>
    <n v="0"/>
    <n v="1092"/>
    <x v="3"/>
    <n v="0"/>
    <s v="S"/>
    <s v="FD"/>
    <s v="G"/>
    <s v="Y"/>
    <n v="0"/>
    <n v="0"/>
    <n v="0"/>
    <n v="1"/>
    <n v="0"/>
    <n v="8"/>
    <n v="440"/>
    <n v="0"/>
    <n v="0"/>
    <n v="0"/>
    <n v="144"/>
    <n v="0"/>
    <n v="100"/>
    <n v="100"/>
    <n v="209325"/>
    <n v="192579"/>
    <n v="978"/>
    <n v="365"/>
    <n v="365"/>
    <n v="248"/>
    <d v="2021-04-28T00:00:00"/>
    <s v="E031021"/>
    <n v="279000"/>
    <n v="279000"/>
    <s v="SWD"/>
    <n v="30"/>
    <s v="N"/>
    <s v="Y"/>
    <n v="350700"/>
    <n v="60800"/>
    <n v="289900"/>
    <n v="0"/>
    <n v="259763.16141203666"/>
    <n v="337705.33853316016"/>
    <n v="-77942.173831000007"/>
    <n v="132535.48800000001"/>
    <n v="88356.992000000013"/>
    <n v="-24051.387388882686"/>
    <n v="37154.252388000001"/>
    <n v="17761.121909000001"/>
    <n v="-1848.5987"/>
    <n v="68152.13496000001"/>
    <n v="0"/>
    <n v="0"/>
    <n v="4112.8784489"/>
    <n v="0"/>
    <n v="15532.453640000002"/>
    <n v="0"/>
    <n v="259763.16142601732"/>
    <n v="0"/>
    <n v="195500"/>
    <n v="64300"/>
    <n v="259800"/>
    <n v="1.0739030023094689"/>
    <n v="-0.25919589392643283"/>
    <n v="0.99970000000000003"/>
    <n v="0.99819999999999998"/>
    <n v="0.99680000000000002"/>
    <n v="0.99519999999999997"/>
    <n v="1.0138"/>
    <n v="0.94971499999999998"/>
    <n v="0.95341404747827707"/>
    <n v="267200"/>
    <n v="0"/>
    <n v="267200"/>
    <n v="61100"/>
    <n v="328300"/>
    <n v="-7.8302863056226288E-2"/>
    <n v="4.9342105263157892E-3"/>
    <n v="-6.3872255489021951E-2"/>
    <n v="0.89733987874193555"/>
  </r>
  <r>
    <n v="2025"/>
    <n v="19120112463"/>
    <n v="-1.8325814637483102"/>
    <n v="0.16"/>
    <n v="7000"/>
    <n v="2"/>
    <s v="RES"/>
    <n v="317"/>
    <s v="MX"/>
    <s v="R1"/>
    <n v="11"/>
    <n v="259"/>
    <s v="RN"/>
    <s v="A+"/>
    <s v="GD"/>
    <n v="2007"/>
    <n v="2007"/>
    <x v="1"/>
    <n v="17"/>
    <n v="17"/>
    <n v="1"/>
    <n v="1368"/>
    <n v="0"/>
    <n v="0"/>
    <n v="0"/>
    <n v="0"/>
    <n v="0"/>
    <n v="1368"/>
    <x v="3"/>
    <n v="2"/>
    <s v="S"/>
    <s v="FD"/>
    <s v="G"/>
    <s v="Y"/>
    <n v="0"/>
    <n v="0"/>
    <n v="1"/>
    <n v="1"/>
    <n v="0"/>
    <n v="8"/>
    <n v="440"/>
    <n v="0"/>
    <n v="0"/>
    <n v="0"/>
    <n v="288"/>
    <n v="0"/>
    <n v="100"/>
    <n v="100"/>
    <n v="251616"/>
    <n v="236519"/>
    <n v="391"/>
    <n v="365"/>
    <n v="26"/>
    <n v="0"/>
    <d v="2022-12-06T00:00:00"/>
    <s v="E038939"/>
    <n v="345000"/>
    <n v="345000"/>
    <s v="SWD"/>
    <n v="30"/>
    <s v="N"/>
    <s v="Y"/>
    <n v="362800"/>
    <n v="60800"/>
    <n v="302000"/>
    <n v="0"/>
    <n v="378989.95605363237"/>
    <n v="377276.91530586034"/>
    <n v="1713.0408190000001"/>
    <n v="132535.48800000001"/>
    <n v="88356.992000000013"/>
    <n v="-24051.387388882686"/>
    <n v="37154.252388000001"/>
    <n v="30300.329274"/>
    <n v="-1848.5987"/>
    <n v="85377.399839999998"/>
    <n v="0"/>
    <n v="0"/>
    <n v="4112.8784489"/>
    <n v="9807.1044999999995"/>
    <n v="15532.453640000002"/>
    <n v="0"/>
    <n v="378989.95282101736"/>
    <n v="0"/>
    <n v="314700"/>
    <n v="64300"/>
    <n v="379000"/>
    <n v="0.91029023746701843"/>
    <n v="4.4652701212789414E-2"/>
    <n v="0.99970000000000003"/>
    <n v="0.99819999999999998"/>
    <n v="0.997"/>
    <n v="0.99519999999999997"/>
    <n v="1.0138"/>
    <n v="0.94971499999999998"/>
    <n v="0.95360534243162343"/>
    <n v="306800"/>
    <n v="0"/>
    <n v="306800"/>
    <n v="61100"/>
    <n v="367900"/>
    <n v="1.5894039735099338E-2"/>
    <n v="4.9342105263157892E-3"/>
    <n v="1.4057331863285557E-2"/>
    <n v="1.0713421473014493"/>
  </r>
  <r>
    <n v="2025"/>
    <n v="19120112467"/>
    <n v="-1.8325814637483102"/>
    <n v="0.16"/>
    <n v="7085"/>
    <n v="2"/>
    <s v="RES"/>
    <n v="317"/>
    <s v="MX"/>
    <s v="R1"/>
    <n v="11"/>
    <n v="259"/>
    <s v="RN"/>
    <s v="A+"/>
    <s v="GD"/>
    <n v="2007"/>
    <n v="2007"/>
    <x v="1"/>
    <n v="17"/>
    <n v="17"/>
    <n v="1"/>
    <n v="1092"/>
    <n v="0"/>
    <n v="0"/>
    <n v="0"/>
    <n v="0"/>
    <n v="0"/>
    <n v="1092"/>
    <x v="3"/>
    <n v="2"/>
    <s v="N"/>
    <s v="FD"/>
    <s v="G"/>
    <s v="Y"/>
    <n v="0"/>
    <n v="0"/>
    <n v="0"/>
    <n v="1"/>
    <n v="0"/>
    <n v="8"/>
    <n v="440"/>
    <n v="0"/>
    <n v="0"/>
    <n v="0"/>
    <n v="144"/>
    <n v="0"/>
    <n v="100"/>
    <n v="100"/>
    <n v="209325"/>
    <n v="196766"/>
    <n v="889"/>
    <n v="365"/>
    <n v="365"/>
    <n v="159"/>
    <d v="2021-07-26T00:00:00"/>
    <s v="E032497"/>
    <n v="300000"/>
    <n v="300000"/>
    <s v="SWD"/>
    <n v="30"/>
    <s v="N"/>
    <s v="Y"/>
    <n v="355000"/>
    <n v="60800"/>
    <n v="294200"/>
    <n v="0"/>
    <n v="279157.7350721269"/>
    <n v="336718.96482890588"/>
    <n v="-57561.227230999997"/>
    <n v="132535.48800000001"/>
    <n v="88356.992000000013"/>
    <n v="-24051.387388882686"/>
    <n v="37154.252388000001"/>
    <n v="30300.329274"/>
    <n v="-1848.5987"/>
    <n v="68152.13496000001"/>
    <n v="0"/>
    <n v="0"/>
    <n v="-9412.7029999999995"/>
    <n v="0"/>
    <n v="15532.453640000002"/>
    <n v="0"/>
    <n v="279157.73394211737"/>
    <n v="0"/>
    <n v="214900"/>
    <n v="64300"/>
    <n v="279200"/>
    <n v="1.0744985673352436"/>
    <n v="-0.21352112676056337"/>
    <n v="0.99970000000000003"/>
    <n v="0.99819999999999998"/>
    <n v="0.997"/>
    <n v="0.99519999999999997"/>
    <n v="1.0138"/>
    <n v="0.94971499999999998"/>
    <n v="0.95360534243162343"/>
    <n v="266300"/>
    <n v="0"/>
    <n v="266300"/>
    <n v="61100"/>
    <n v="327400"/>
    <n v="-9.4833446634942212E-2"/>
    <n v="4.9342105263157892E-3"/>
    <n v="-7.7746478873239433E-2"/>
    <n v="0.89946257589666678"/>
  </r>
  <r>
    <n v="2025"/>
    <n v="19120112484"/>
    <n v="-1.4696759700589417"/>
    <n v="0.23"/>
    <n v="9938"/>
    <n v="2"/>
    <s v="RES"/>
    <n v="317"/>
    <s v="MX"/>
    <s v="R1"/>
    <n v="11"/>
    <n v="259"/>
    <s v="RN"/>
    <s v="A+"/>
    <s v="GD"/>
    <n v="2007"/>
    <n v="2007"/>
    <x v="1"/>
    <n v="17"/>
    <n v="17"/>
    <n v="1"/>
    <n v="1076"/>
    <n v="0"/>
    <n v="0"/>
    <n v="0"/>
    <n v="0"/>
    <n v="0"/>
    <n v="1076"/>
    <x v="3"/>
    <n v="2"/>
    <s v="N"/>
    <s v="FD"/>
    <s v="G"/>
    <s v="Y"/>
    <n v="0"/>
    <n v="0"/>
    <n v="0"/>
    <n v="1"/>
    <n v="0"/>
    <n v="8"/>
    <n v="440"/>
    <n v="0"/>
    <n v="0"/>
    <n v="0"/>
    <n v="144"/>
    <n v="0"/>
    <n v="100"/>
    <n v="100"/>
    <n v="205478"/>
    <n v="193149"/>
    <n v="802"/>
    <n v="365"/>
    <n v="365"/>
    <n v="72"/>
    <d v="2021-10-21T00:00:00"/>
    <s v="E033798"/>
    <n v="306000"/>
    <n v="306000"/>
    <s v="SWD"/>
    <n v="30"/>
    <s v="N"/>
    <s v="Y"/>
    <n v="341200"/>
    <n v="65900"/>
    <n v="275300"/>
    <n v="0"/>
    <n v="302845.00567937689"/>
    <n v="340483.28688898747"/>
    <n v="-37638.279431000003"/>
    <n v="132535.48800000001"/>
    <n v="88356.992000000013"/>
    <n v="-19288.499197039939"/>
    <n v="37154.252388000001"/>
    <n v="30300.329274"/>
    <n v="-1848.5987"/>
    <n v="67153.568880000006"/>
    <n v="0"/>
    <n v="0"/>
    <n v="-9412.7029999999995"/>
    <n v="0"/>
    <n v="15532.453640000002"/>
    <n v="0"/>
    <n v="302845.00385396014"/>
    <n v="0"/>
    <n v="233800"/>
    <n v="69100"/>
    <n v="302900"/>
    <n v="1.0102344007923407"/>
    <n v="-0.11225087924970692"/>
    <n v="0.99970000000000003"/>
    <n v="0.99819999999999998"/>
    <n v="0.997"/>
    <n v="0.99519999999999997"/>
    <n v="1.0138"/>
    <n v="0.94971499999999998"/>
    <n v="0.95360534243162343"/>
    <n v="265300"/>
    <n v="0"/>
    <n v="265300"/>
    <n v="65600"/>
    <n v="330900"/>
    <n v="-3.6324010170722849E-2"/>
    <n v="-4.552352048558422E-3"/>
    <n v="-3.0187573270808909E-2"/>
    <n v="0.95837163584640517"/>
  </r>
  <r>
    <n v="2025"/>
    <n v="19120113561"/>
    <n v="-1.8325814637483102"/>
    <n v="0.16"/>
    <n v="7020"/>
    <n v="2"/>
    <s v="RES"/>
    <n v="317"/>
    <s v="MX"/>
    <s v="R1"/>
    <n v="11"/>
    <n v="259"/>
    <s v="RN"/>
    <s v="A+"/>
    <s v="AV"/>
    <n v="2007"/>
    <n v="2007"/>
    <x v="1"/>
    <n v="17"/>
    <n v="17"/>
    <n v="1"/>
    <n v="1368"/>
    <n v="0"/>
    <n v="0"/>
    <n v="0"/>
    <n v="0"/>
    <n v="0"/>
    <n v="1368"/>
    <x v="3"/>
    <n v="0"/>
    <s v="N"/>
    <s v="FD"/>
    <s v="G"/>
    <s v="Y"/>
    <n v="0"/>
    <n v="0"/>
    <n v="0"/>
    <n v="1"/>
    <n v="0"/>
    <n v="8"/>
    <n v="440"/>
    <n v="0"/>
    <n v="0"/>
    <n v="0"/>
    <n v="112"/>
    <n v="0"/>
    <n v="100"/>
    <n v="100"/>
    <n v="246568"/>
    <n v="226843"/>
    <n v="1049"/>
    <n v="365"/>
    <n v="365"/>
    <n v="319"/>
    <d v="2021-02-16T00:00:00"/>
    <s v="E030188"/>
    <n v="285000"/>
    <n v="285000"/>
    <s v="SWD"/>
    <n v="30"/>
    <s v="N"/>
    <s v="Y"/>
    <n v="351500"/>
    <n v="60800"/>
    <n v="290700"/>
    <n v="0"/>
    <n v="247203.88721893932"/>
    <n v="341405.022349821"/>
    <n v="-94201.131231000007"/>
    <n v="132535.48800000001"/>
    <n v="88356.992000000013"/>
    <n v="-24051.387388882686"/>
    <n v="37154.252388000001"/>
    <n v="17761.121909000001"/>
    <n v="-1848.5987"/>
    <n v="85377.399839999998"/>
    <n v="0"/>
    <n v="0"/>
    <n v="-9412.7029999999995"/>
    <n v="0"/>
    <n v="15532.453640000002"/>
    <n v="0"/>
    <n v="247203.88745711732"/>
    <n v="0"/>
    <n v="182900"/>
    <n v="64300"/>
    <n v="247200"/>
    <n v="1.1529126213592233"/>
    <n v="-0.29672830725462307"/>
    <n v="0.99970000000000003"/>
    <n v="0.99819999999999998"/>
    <n v="0.99680000000000002"/>
    <n v="0.99519999999999997"/>
    <n v="1.0138"/>
    <n v="0.94971499999999998"/>
    <n v="0.95341404747827707"/>
    <n v="270900"/>
    <n v="0"/>
    <n v="270900"/>
    <n v="61100"/>
    <n v="332000"/>
    <n v="-6.8111455108359129E-2"/>
    <n v="4.9342105263157892E-3"/>
    <n v="-5.5476529160739689E-2"/>
    <n v="0.8343819956807017"/>
  </r>
  <r>
    <n v="2025"/>
    <n v="19120113563"/>
    <n v="-1.8325814637483102"/>
    <n v="0.16"/>
    <n v="7149"/>
    <n v="2"/>
    <s v="RES"/>
    <n v="317"/>
    <s v="MX"/>
    <s v="R1"/>
    <n v="11"/>
    <n v="259"/>
    <s v="RN"/>
    <s v="A+"/>
    <s v="GD"/>
    <n v="2007"/>
    <n v="2007"/>
    <x v="1"/>
    <n v="17"/>
    <n v="17"/>
    <n v="1"/>
    <n v="1672"/>
    <n v="0"/>
    <n v="0"/>
    <n v="0"/>
    <n v="0"/>
    <n v="0"/>
    <n v="1672"/>
    <x v="0"/>
    <n v="2"/>
    <s v="S"/>
    <s v="FD"/>
    <s v="G"/>
    <s v="Y"/>
    <n v="0"/>
    <n v="0"/>
    <n v="0"/>
    <n v="0"/>
    <n v="0"/>
    <n v="11"/>
    <n v="484"/>
    <n v="0"/>
    <n v="0"/>
    <n v="0"/>
    <n v="440"/>
    <n v="300"/>
    <n v="100"/>
    <n v="100"/>
    <n v="306587"/>
    <n v="288192"/>
    <n v="830"/>
    <n v="365"/>
    <n v="365"/>
    <n v="100"/>
    <d v="2021-09-23T00:00:00"/>
    <s v="E033266"/>
    <n v="330000"/>
    <n v="330000"/>
    <s v="SWD"/>
    <n v="30"/>
    <s v="N"/>
    <s v="Y"/>
    <n v="380600"/>
    <n v="60800"/>
    <n v="319800"/>
    <n v="0"/>
    <n v="343945.54701079207"/>
    <n v="387995.8116608705"/>
    <n v="-44050.262631000005"/>
    <n v="132535.48800000001"/>
    <n v="88356.992000000013"/>
    <n v="-24051.387388882686"/>
    <n v="37154.252388000001"/>
    <n v="30300.329274"/>
    <n v="-1848.5987"/>
    <n v="104350.15536"/>
    <n v="0"/>
    <n v="0"/>
    <n v="4112.8784489"/>
    <n v="0"/>
    <n v="17085.699004000002"/>
    <n v="0"/>
    <n v="343945.54575501732"/>
    <n v="0"/>
    <n v="279600"/>
    <n v="64300"/>
    <n v="343900"/>
    <n v="0.95958127362605405"/>
    <n v="-9.6426694692590645E-2"/>
    <n v="0.99970000000000003"/>
    <n v="0.99819999999999998"/>
    <n v="0.997"/>
    <n v="1.0007999999999999"/>
    <n v="1.0138"/>
    <n v="0.94971499999999998"/>
    <n v="0.95897128889225147"/>
    <n v="318300"/>
    <n v="0"/>
    <n v="318300"/>
    <n v="61100"/>
    <n v="379400"/>
    <n v="-4.6904315196998128E-3"/>
    <n v="4.9342105263157892E-3"/>
    <n v="-3.1529164477141357E-3"/>
    <n v="1.016211325360606"/>
  </r>
  <r>
    <n v="2025"/>
    <n v="19120113596"/>
    <n v="-1.8325814637483102"/>
    <n v="0.16"/>
    <n v="7078"/>
    <n v="2"/>
    <s v="RES"/>
    <n v="317"/>
    <s v="MX"/>
    <s v="R1"/>
    <n v="11"/>
    <n v="259"/>
    <s v="RN"/>
    <s v="A+"/>
    <s v="GD"/>
    <n v="2007"/>
    <n v="2007"/>
    <x v="1"/>
    <n v="17"/>
    <n v="17"/>
    <n v="1"/>
    <n v="1436"/>
    <n v="0"/>
    <n v="0"/>
    <n v="0"/>
    <n v="0"/>
    <n v="0"/>
    <n v="1436"/>
    <x v="3"/>
    <n v="2"/>
    <s v="N"/>
    <s v="FD"/>
    <s v="G"/>
    <s v="Y"/>
    <n v="0"/>
    <n v="0"/>
    <n v="0"/>
    <n v="1"/>
    <n v="0"/>
    <n v="8"/>
    <n v="400"/>
    <n v="0"/>
    <n v="0"/>
    <n v="0"/>
    <n v="144"/>
    <n v="0"/>
    <n v="100"/>
    <n v="100"/>
    <n v="253914"/>
    <n v="238679"/>
    <n v="843"/>
    <n v="365"/>
    <n v="365"/>
    <n v="113"/>
    <d v="2021-09-10T00:00:00"/>
    <s v="E033104"/>
    <n v="317000"/>
    <n v="317000"/>
    <s v="SWD"/>
    <n v="30"/>
    <s v="N"/>
    <s v="Y"/>
    <n v="367600"/>
    <n v="60800"/>
    <n v="306800"/>
    <n v="0"/>
    <n v="309748.83736989304"/>
    <n v="356776.09433161735"/>
    <n v="-47027.254830999998"/>
    <n v="132535.48800000001"/>
    <n v="88356.992000000013"/>
    <n v="-24051.387388882686"/>
    <n v="37154.252388000001"/>
    <n v="30300.329274"/>
    <n v="-1848.5987"/>
    <n v="89621.305680000005"/>
    <n v="0"/>
    <n v="0"/>
    <n v="-9412.7029999999995"/>
    <n v="0"/>
    <n v="14120.412400000001"/>
    <n v="0"/>
    <n v="309748.8358221174"/>
    <n v="0"/>
    <n v="245400"/>
    <n v="64300"/>
    <n v="309700"/>
    <n v="1.0235711979334841"/>
    <n v="-0.15750816104461371"/>
    <n v="0.99970000000000003"/>
    <n v="0.99819999999999998"/>
    <n v="0.997"/>
    <n v="0.99519999999999997"/>
    <n v="1.0138"/>
    <n v="0.94971499999999998"/>
    <n v="0.95360534243162343"/>
    <n v="286300"/>
    <n v="0"/>
    <n v="286300"/>
    <n v="61100"/>
    <n v="347400"/>
    <n v="-6.6818774445893084E-2"/>
    <n v="4.9342105263157892E-3"/>
    <n v="-5.4951033732317738E-2"/>
    <n v="0.94754809201577284"/>
  </r>
  <r>
    <n v="2025"/>
    <n v="19120113597"/>
    <n v="-1.8325814637483102"/>
    <n v="0.16"/>
    <n v="7078"/>
    <n v="2"/>
    <s v="RES"/>
    <n v="317"/>
    <s v="MX"/>
    <s v="R1"/>
    <n v="11"/>
    <n v="259"/>
    <s v="CO"/>
    <s v="A+"/>
    <s v="VG"/>
    <n v="2007"/>
    <n v="2007"/>
    <x v="1"/>
    <n v="17"/>
    <n v="17"/>
    <n v="2"/>
    <n v="1353"/>
    <n v="1274"/>
    <n v="0"/>
    <n v="0"/>
    <n v="0"/>
    <n v="0"/>
    <n v="2627"/>
    <x v="4"/>
    <n v="0"/>
    <s v="N"/>
    <s v="FD"/>
    <s v="G"/>
    <s v="Y"/>
    <n v="0"/>
    <n v="0"/>
    <n v="0"/>
    <n v="0"/>
    <n v="1"/>
    <n v="13"/>
    <n v="0"/>
    <n v="764"/>
    <n v="0"/>
    <n v="0"/>
    <n v="630"/>
    <n v="630"/>
    <n v="100"/>
    <n v="100"/>
    <n v="419152"/>
    <n v="398194"/>
    <n v="987"/>
    <n v="365"/>
    <n v="365"/>
    <n v="257"/>
    <d v="2021-04-19T00:00:00"/>
    <s v="E031010"/>
    <n v="410000"/>
    <n v="410000"/>
    <s v="SWD"/>
    <n v="30"/>
    <s v="N"/>
    <s v="Y"/>
    <n v="447400"/>
    <n v="60800"/>
    <n v="386600"/>
    <n v="0"/>
    <n v="391255.06110490864"/>
    <n v="471258.23290332541"/>
    <n v="-80003.168430999998"/>
    <n v="132535.48800000001"/>
    <n v="88356.992000000013"/>
    <n v="-24051.387388882686"/>
    <n v="37154.252388000001"/>
    <n v="50438.379078999998"/>
    <n v="-1848.5987"/>
    <n v="84441.24414000001"/>
    <n v="75905.407941999991"/>
    <n v="0"/>
    <n v="-9412.7029999999995"/>
    <n v="0"/>
    <n v="0"/>
    <n v="37739.155200000001"/>
    <n v="391255.06122911727"/>
    <n v="0"/>
    <n v="326900"/>
    <n v="64300"/>
    <n v="391200"/>
    <n v="1.0480572597137015"/>
    <n v="-0.12561466249441217"/>
    <n v="0.99970000000000003"/>
    <n v="0.99819999999999998"/>
    <n v="1.0007999999999999"/>
    <n v="1.0099"/>
    <n v="1.0138"/>
    <n v="0.94971499999999998"/>
    <n v="0.97137924237942297"/>
    <n v="403200"/>
    <n v="0"/>
    <n v="403200"/>
    <n v="61100"/>
    <n v="464300"/>
    <n v="4.2938437661665801E-2"/>
    <n v="4.9342105263157892E-3"/>
    <n v="3.7773804202056324E-2"/>
    <n v="0.93730934529024401"/>
  </r>
  <r>
    <n v="2025"/>
    <n v="19120112410"/>
    <n v="-1.8325814637483102"/>
    <n v="0.16"/>
    <n v="7089"/>
    <n v="2"/>
    <s v="RES"/>
    <n v="317"/>
    <s v="MX"/>
    <s v="R1"/>
    <n v="11"/>
    <n v="259"/>
    <s v="RN"/>
    <s v="A+"/>
    <s v="GD"/>
    <n v="2006"/>
    <n v="2006"/>
    <x v="1"/>
    <n v="18"/>
    <n v="18"/>
    <n v="1"/>
    <n v="2154"/>
    <n v="0"/>
    <n v="0"/>
    <n v="0"/>
    <n v="0"/>
    <n v="0"/>
    <n v="2154"/>
    <x v="1"/>
    <n v="3"/>
    <s v="N"/>
    <s v="FD"/>
    <s v="G"/>
    <s v="Y"/>
    <n v="0"/>
    <n v="0"/>
    <n v="0"/>
    <n v="0"/>
    <n v="0"/>
    <n v="11"/>
    <n v="730"/>
    <n v="0"/>
    <n v="0"/>
    <n v="0"/>
    <n v="100"/>
    <n v="0"/>
    <n v="100"/>
    <n v="100"/>
    <n v="369298"/>
    <n v="347140"/>
    <n v="602"/>
    <n v="365"/>
    <n v="237"/>
    <n v="0"/>
    <d v="2022-05-09T00:00:00"/>
    <s v="E036384"/>
    <n v="420000"/>
    <n v="420000"/>
    <s v="SWD"/>
    <n v="30"/>
    <s v="N"/>
    <s v="Y"/>
    <n v="421500"/>
    <n v="60800"/>
    <n v="360700"/>
    <n v="0"/>
    <n v="400609.79718770715"/>
    <n v="413127.34616777184"/>
    <n v="-12517.548231000001"/>
    <n v="132535.48800000001"/>
    <n v="88356.992000000013"/>
    <n v="-24051.387388882686"/>
    <n v="37154.252388000001"/>
    <n v="30300.329274"/>
    <n v="-1957.3398"/>
    <n v="134431.95852000001"/>
    <n v="0"/>
    <n v="0"/>
    <n v="-9412.7029999999995"/>
    <n v="0"/>
    <n v="25769.752630000003"/>
    <n v="0"/>
    <n v="400609.79439211736"/>
    <n v="0"/>
    <n v="336300"/>
    <n v="64300"/>
    <n v="400600"/>
    <n v="1.0484273589615576"/>
    <n v="-4.9584816132858839E-2"/>
    <n v="0.99970000000000003"/>
    <n v="0.99819999999999998"/>
    <n v="0.997"/>
    <n v="1.0008999999999999"/>
    <n v="1.0138"/>
    <n v="0.94971499999999998"/>
    <n v="0.95906710936476258"/>
    <n v="343400"/>
    <n v="0"/>
    <n v="343400"/>
    <n v="61100"/>
    <n v="404500"/>
    <n v="-4.7962295536456888E-2"/>
    <n v="4.9342105263157892E-3"/>
    <n v="-4.0332147093712932E-2"/>
    <n v="0.93329155183095236"/>
  </r>
  <r>
    <n v="2025"/>
    <n v="19120113452"/>
    <n v="-1.8325814637483102"/>
    <n v="0.16"/>
    <n v="6805"/>
    <n v="2"/>
    <s v="RES"/>
    <n v="317"/>
    <s v="MX"/>
    <s v="R1"/>
    <n v="11"/>
    <n v="259"/>
    <s v="RN"/>
    <s v="A+"/>
    <s v="AV"/>
    <n v="2006"/>
    <n v="2006"/>
    <x v="1"/>
    <n v="18"/>
    <n v="18"/>
    <n v="1"/>
    <n v="1092"/>
    <n v="0"/>
    <n v="0"/>
    <n v="0"/>
    <n v="0"/>
    <n v="0"/>
    <n v="1092"/>
    <x v="3"/>
    <n v="0"/>
    <s v="N"/>
    <s v="FD"/>
    <s v="G"/>
    <s v="Y"/>
    <n v="0"/>
    <n v="0"/>
    <n v="0"/>
    <n v="1"/>
    <n v="0"/>
    <n v="8"/>
    <n v="440"/>
    <n v="0"/>
    <n v="0"/>
    <n v="0"/>
    <n v="100"/>
    <n v="0"/>
    <n v="100"/>
    <n v="100"/>
    <n v="208864"/>
    <n v="192155"/>
    <n v="902"/>
    <n v="365"/>
    <n v="365"/>
    <n v="172"/>
    <d v="2021-07-13T00:00:00"/>
    <s v="E032281"/>
    <n v="292500"/>
    <n v="292500"/>
    <s v="SWD"/>
    <n v="30"/>
    <s v="N"/>
    <s v="Y"/>
    <n v="338400"/>
    <n v="60800"/>
    <n v="277600"/>
    <n v="0"/>
    <n v="263532.79426300706"/>
    <n v="324071.01633143181"/>
    <n v="-60538.219431000005"/>
    <n v="132535.48800000001"/>
    <n v="88356.992000000013"/>
    <n v="-24051.387388882686"/>
    <n v="37154.252388000001"/>
    <n v="17761.121909000001"/>
    <n v="-1957.3398"/>
    <n v="68152.13496000001"/>
    <n v="0"/>
    <n v="0"/>
    <n v="-9412.7029999999995"/>
    <n v="0"/>
    <n v="15532.453640000002"/>
    <n v="0"/>
    <n v="263532.79327711737"/>
    <n v="0"/>
    <n v="199200"/>
    <n v="64300"/>
    <n v="263500"/>
    <n v="1.110056925996205"/>
    <n v="-0.22133569739952719"/>
    <n v="0.99970000000000003"/>
    <n v="0.99819999999999998"/>
    <n v="0.99680000000000002"/>
    <n v="0.99519999999999997"/>
    <n v="1.0138"/>
    <n v="0.94971499999999998"/>
    <n v="0.95341404747827707"/>
    <n v="253600"/>
    <n v="0"/>
    <n v="253600"/>
    <n v="61100"/>
    <n v="314700"/>
    <n v="-8.645533141210375E-2"/>
    <n v="4.9342105263157892E-3"/>
    <n v="-7.0035460992907805E-2"/>
    <n v="0.86892916433846157"/>
  </r>
  <r>
    <n v="2025"/>
    <n v="19120113483"/>
    <n v="-1.8325814637483102"/>
    <n v="0.16"/>
    <n v="7000"/>
    <n v="2"/>
    <s v="RES"/>
    <n v="317"/>
    <s v="MX"/>
    <s v="R1"/>
    <n v="11"/>
    <n v="259"/>
    <s v="RN"/>
    <s v="A+"/>
    <s v="AV"/>
    <n v="2006"/>
    <n v="2006"/>
    <x v="1"/>
    <n v="18"/>
    <n v="18"/>
    <n v="1"/>
    <n v="1380"/>
    <n v="0"/>
    <n v="0"/>
    <n v="0"/>
    <n v="0"/>
    <n v="0"/>
    <n v="1380"/>
    <x v="3"/>
    <n v="2"/>
    <s v="N"/>
    <s v="FD"/>
    <s v="G"/>
    <s v="Y"/>
    <n v="0"/>
    <n v="0"/>
    <n v="0"/>
    <n v="1"/>
    <n v="0"/>
    <n v="8"/>
    <n v="428"/>
    <n v="0"/>
    <n v="0"/>
    <n v="0"/>
    <n v="100"/>
    <n v="0"/>
    <n v="100"/>
    <n v="100"/>
    <n v="248548"/>
    <n v="228664"/>
    <n v="473"/>
    <n v="365"/>
    <n v="108"/>
    <n v="0"/>
    <d v="2022-09-15T00:00:00"/>
    <s v="E038074"/>
    <n v="315000"/>
    <n v="315000"/>
    <s v="SWD"/>
    <n v="30"/>
    <s v="N"/>
    <s v="Y"/>
    <n v="367700"/>
    <n v="60800"/>
    <n v="306900"/>
    <n v="0"/>
    <n v="337804.26279502519"/>
    <n v="341621.59341067786"/>
    <n v="-3817.330281"/>
    <n v="132535.48800000001"/>
    <n v="88356.992000000013"/>
    <n v="-24051.387388882686"/>
    <n v="37154.252388000001"/>
    <n v="17761.121909000001"/>
    <n v="-1957.3398"/>
    <n v="86126.324399999998"/>
    <n v="0"/>
    <n v="0"/>
    <n v="-9412.7029999999995"/>
    <n v="0"/>
    <n v="15108.841268"/>
    <n v="0"/>
    <n v="337804.25949511741"/>
    <n v="0"/>
    <n v="273500"/>
    <n v="64300"/>
    <n v="337800"/>
    <n v="0.93250444049733572"/>
    <n v="-8.13162904541746E-2"/>
    <n v="0.99970000000000003"/>
    <n v="0.99819999999999998"/>
    <n v="0.99680000000000002"/>
    <n v="0.99519999999999997"/>
    <n v="1.0138"/>
    <n v="0.94971499999999998"/>
    <n v="0.95341404747827707"/>
    <n v="271100"/>
    <n v="0"/>
    <n v="271100"/>
    <n v="61100"/>
    <n v="332200"/>
    <n v="-0.11665037471489084"/>
    <n v="4.9342105263157892E-3"/>
    <n v="-9.6546097361979874E-2"/>
    <n v="1.0424846657746032"/>
  </r>
  <r>
    <n v="2025"/>
    <n v="19120113499"/>
    <n v="-1.5141277326297755"/>
    <n v="0.22"/>
    <n v="9726"/>
    <n v="2"/>
    <s v="RES"/>
    <n v="317"/>
    <s v="MX"/>
    <s v="R1"/>
    <n v="11"/>
    <n v="259"/>
    <s v="CO"/>
    <s v="A+"/>
    <s v="GD"/>
    <n v="2006"/>
    <n v="2006"/>
    <x v="1"/>
    <n v="18"/>
    <n v="18"/>
    <n v="1"/>
    <n v="1092"/>
    <n v="0"/>
    <n v="0"/>
    <n v="0"/>
    <n v="0"/>
    <n v="0"/>
    <n v="1092"/>
    <x v="3"/>
    <n v="2"/>
    <s v="N"/>
    <s v="FD"/>
    <s v="G"/>
    <s v="Y"/>
    <n v="0"/>
    <n v="0"/>
    <n v="0"/>
    <n v="1"/>
    <n v="0"/>
    <n v="8"/>
    <n v="440"/>
    <n v="0"/>
    <n v="0"/>
    <n v="0"/>
    <n v="100"/>
    <n v="0"/>
    <n v="100"/>
    <n v="100"/>
    <n v="208864"/>
    <n v="196332"/>
    <n v="816"/>
    <n v="365"/>
    <n v="365"/>
    <n v="86"/>
    <d v="2021-10-07T00:00:00"/>
    <s v="E033611"/>
    <n v="309000"/>
    <n v="309000"/>
    <s v="SWD"/>
    <n v="30"/>
    <s v="N"/>
    <s v="Y"/>
    <n v="342900"/>
    <n v="65300"/>
    <n v="277600"/>
    <n v="0"/>
    <n v="299945.43971305538"/>
    <n v="340789.71264289995"/>
    <n v="-40844.271030999997"/>
    <n v="132535.48800000001"/>
    <n v="88356.992000000013"/>
    <n v="-19871.898398035348"/>
    <n v="37154.252388000001"/>
    <n v="30300.329274"/>
    <n v="-1957.3398"/>
    <n v="68152.13496000001"/>
    <n v="0"/>
    <n v="0"/>
    <n v="-9412.7029999999995"/>
    <n v="0"/>
    <n v="15532.453640000002"/>
    <n v="0"/>
    <n v="299945.43803296471"/>
    <n v="0"/>
    <n v="231500"/>
    <n v="68500"/>
    <n v="300000"/>
    <n v="1.03"/>
    <n v="-0.12510936132983377"/>
    <n v="0.99970000000000003"/>
    <n v="0.99819999999999998"/>
    <n v="0.997"/>
    <n v="0.99519999999999997"/>
    <n v="1.0138"/>
    <n v="0.94971499999999998"/>
    <n v="0.95360534243162343"/>
    <n v="266200"/>
    <n v="0"/>
    <n v="266200"/>
    <n v="65000"/>
    <n v="331200"/>
    <n v="-4.1066282420749278E-2"/>
    <n v="-4.5941807044410417E-3"/>
    <n v="-3.4120734908136482E-2"/>
    <n v="0.93966255329773463"/>
  </r>
  <r>
    <n v="2025"/>
    <n v="19120113514"/>
    <n v="-1.8325814637483102"/>
    <n v="0.16"/>
    <n v="7085"/>
    <n v="2"/>
    <s v="RES"/>
    <n v="317"/>
    <s v="MX"/>
    <s v="R1"/>
    <n v="11"/>
    <n v="259"/>
    <s v="RN"/>
    <s v="G"/>
    <s v="GD"/>
    <n v="2006"/>
    <n v="2006"/>
    <x v="1"/>
    <n v="18"/>
    <n v="18"/>
    <n v="1"/>
    <n v="2154"/>
    <n v="0"/>
    <n v="0"/>
    <n v="0"/>
    <n v="0"/>
    <n v="0"/>
    <n v="2154"/>
    <x v="1"/>
    <n v="3"/>
    <s v="N"/>
    <s v="FD"/>
    <s v="G"/>
    <s v="Y"/>
    <n v="0"/>
    <n v="0"/>
    <n v="0"/>
    <n v="0"/>
    <n v="0"/>
    <n v="11"/>
    <n v="730"/>
    <n v="0"/>
    <n v="0"/>
    <n v="0"/>
    <n v="761"/>
    <n v="0"/>
    <n v="100"/>
    <n v="100"/>
    <n v="420259"/>
    <n v="399246"/>
    <n v="165"/>
    <n v="165"/>
    <n v="0"/>
    <n v="0"/>
    <d v="2023-07-20T00:00:00"/>
    <s v="E040895"/>
    <n v="435000"/>
    <n v="435000"/>
    <s v="SWD"/>
    <n v="30"/>
    <s v="N"/>
    <s v="Y"/>
    <n v="393400"/>
    <n v="60800"/>
    <n v="332600"/>
    <n v="0"/>
    <n v="410458.02397621912"/>
    <n v="408890.94297166017"/>
    <n v="1567.080999"/>
    <n v="132535.48800000001"/>
    <n v="88356.992000000013"/>
    <n v="-24051.387388882686"/>
    <n v="32917.849192000001"/>
    <n v="30300.329274"/>
    <n v="-1957.3398"/>
    <n v="134431.95852000001"/>
    <n v="0"/>
    <n v="0"/>
    <n v="-9412.7029999999995"/>
    <n v="0"/>
    <n v="25769.752630000003"/>
    <n v="0"/>
    <n v="410458.02042611735"/>
    <n v="0"/>
    <n v="346200"/>
    <n v="64300"/>
    <n v="410500"/>
    <n v="1.0596833130328867"/>
    <n v="4.3467208947635991E-2"/>
    <n v="0.99970000000000003"/>
    <n v="1.0019"/>
    <n v="0.997"/>
    <n v="1.0008999999999999"/>
    <n v="1.0138"/>
    <n v="0.94971499999999998"/>
    <n v="0.96262205657438948"/>
    <n v="339600"/>
    <n v="0"/>
    <n v="339600"/>
    <n v="61100"/>
    <n v="400700"/>
    <n v="2.1046301864101023E-2"/>
    <n v="4.9342105263157892E-3"/>
    <n v="1.8556176919166244E-2"/>
    <n v="0.92475191034252868"/>
  </r>
  <r>
    <n v="2025"/>
    <n v="19120113515"/>
    <n v="-1.8325814637483102"/>
    <n v="0.16"/>
    <n v="7085"/>
    <n v="2"/>
    <s v="RES"/>
    <n v="317"/>
    <s v="MX"/>
    <s v="R1"/>
    <n v="11"/>
    <n v="259"/>
    <s v="RN"/>
    <s v="A+"/>
    <s v="GD"/>
    <n v="2006"/>
    <n v="2006"/>
    <x v="1"/>
    <n v="18"/>
    <n v="18"/>
    <n v="1"/>
    <n v="1380"/>
    <n v="0"/>
    <n v="0"/>
    <n v="0"/>
    <n v="0"/>
    <n v="0"/>
    <n v="1380"/>
    <x v="3"/>
    <n v="2"/>
    <s v="N"/>
    <s v="FD"/>
    <s v="G"/>
    <s v="Y"/>
    <n v="0"/>
    <n v="0"/>
    <n v="0"/>
    <n v="1"/>
    <n v="0"/>
    <n v="8"/>
    <n v="428"/>
    <n v="0"/>
    <n v="0"/>
    <n v="0"/>
    <n v="100"/>
    <n v="0"/>
    <n v="100"/>
    <n v="100"/>
    <n v="247670"/>
    <n v="232810"/>
    <n v="663"/>
    <n v="365"/>
    <n v="298"/>
    <n v="0"/>
    <d v="2022-03-09T00:00:00"/>
    <s v="E035742"/>
    <n v="337000"/>
    <n v="337000"/>
    <s v="SWD"/>
    <n v="30"/>
    <s v="N"/>
    <s v="Y"/>
    <n v="350600"/>
    <n v="60800"/>
    <n v="289800"/>
    <n v="0"/>
    <n v="337529.19505035592"/>
    <n v="354160.80077638285"/>
    <n v="-16631.604780999998"/>
    <n v="132535.48800000001"/>
    <n v="88356.992000000013"/>
    <n v="-24051.387388882686"/>
    <n v="37154.252388000001"/>
    <n v="30300.329274"/>
    <n v="-1957.3398"/>
    <n v="86126.324399999998"/>
    <n v="0"/>
    <n v="0"/>
    <n v="-9412.7029999999995"/>
    <n v="0"/>
    <n v="15108.841268"/>
    <n v="0"/>
    <n v="337529.19236011739"/>
    <n v="0"/>
    <n v="273200"/>
    <n v="64300"/>
    <n v="337500"/>
    <n v="0.99851851851851847"/>
    <n v="-3.7364517969195668E-2"/>
    <n v="0.99970000000000003"/>
    <n v="0.99819999999999998"/>
    <n v="0.997"/>
    <n v="0.99519999999999997"/>
    <n v="1.0138"/>
    <n v="0.94971499999999998"/>
    <n v="0.95360534243162343"/>
    <n v="283700"/>
    <n v="0"/>
    <n v="283700"/>
    <n v="61100"/>
    <n v="344800"/>
    <n v="-2.1048999309868876E-2"/>
    <n v="4.9342105263157892E-3"/>
    <n v="-1.6543069024529379E-2"/>
    <n v="0.9737934576231454"/>
  </r>
  <r>
    <n v="2025"/>
    <n v="19120113538"/>
    <n v="-1.8325814637483102"/>
    <n v="0.16"/>
    <n v="7078"/>
    <n v="2"/>
    <s v="RES"/>
    <n v="317"/>
    <s v="MX"/>
    <s v="R1"/>
    <n v="11"/>
    <n v="259"/>
    <s v="RN"/>
    <s v="A+"/>
    <s v="AV"/>
    <n v="2006"/>
    <n v="2006"/>
    <x v="1"/>
    <n v="18"/>
    <n v="18"/>
    <n v="1"/>
    <n v="1092"/>
    <n v="0"/>
    <n v="0"/>
    <n v="0"/>
    <n v="0"/>
    <n v="0"/>
    <n v="1092"/>
    <x v="3"/>
    <n v="2"/>
    <s v="N"/>
    <s v="FD"/>
    <s v="G"/>
    <s v="Y"/>
    <n v="0"/>
    <n v="0"/>
    <n v="0"/>
    <n v="1"/>
    <n v="0"/>
    <n v="8"/>
    <n v="440"/>
    <n v="0"/>
    <n v="0"/>
    <n v="0"/>
    <n v="200"/>
    <n v="0"/>
    <n v="100"/>
    <n v="100"/>
    <n v="209893"/>
    <n v="193102"/>
    <n v="682"/>
    <n v="365"/>
    <n v="317"/>
    <n v="0"/>
    <d v="2022-02-18T00:00:00"/>
    <s v="E035300"/>
    <n v="306000"/>
    <n v="306000"/>
    <s v="SWD"/>
    <n v="30"/>
    <s v="N"/>
    <s v="Y"/>
    <n v="354100"/>
    <n v="60800"/>
    <n v="293300"/>
    <n v="0"/>
    <n v="306157.98309436737"/>
    <n v="324071.01633143181"/>
    <n v="-17913.032231000001"/>
    <n v="132535.48800000001"/>
    <n v="88356.992000000013"/>
    <n v="-24051.387388882686"/>
    <n v="37154.252388000001"/>
    <n v="17761.121909000001"/>
    <n v="-1957.3398"/>
    <n v="68152.13496000001"/>
    <n v="0"/>
    <n v="0"/>
    <n v="-9412.7029999999995"/>
    <n v="0"/>
    <n v="15532.453640000002"/>
    <n v="0"/>
    <n v="306157.98047711741"/>
    <n v="0"/>
    <n v="241900"/>
    <n v="64300"/>
    <n v="306200"/>
    <n v="0.99934683213585895"/>
    <n v="-0.13527252188647274"/>
    <n v="0.99970000000000003"/>
    <n v="0.99819999999999998"/>
    <n v="0.99680000000000002"/>
    <n v="0.99519999999999997"/>
    <n v="1.0138"/>
    <n v="0.94971499999999998"/>
    <n v="0.95341404747827707"/>
    <n v="253600"/>
    <n v="0"/>
    <n v="253600"/>
    <n v="61100"/>
    <n v="314700"/>
    <n v="-0.1353562904875554"/>
    <n v="4.9342105263157892E-3"/>
    <n v="-0.1112680033888732"/>
    <n v="0.96989205153267966"/>
  </r>
  <r>
    <n v="2025"/>
    <n v="19120141402"/>
    <n v="-1.7719568419318752"/>
    <n v="0.17"/>
    <n v="7231"/>
    <n v="2"/>
    <s v="RES"/>
    <n v="317"/>
    <s v="MX"/>
    <s v="R1"/>
    <n v="11"/>
    <n v="259"/>
    <s v="CP"/>
    <s v="A+"/>
    <s v="AV"/>
    <n v="2005"/>
    <n v="2005"/>
    <x v="1"/>
    <n v="19"/>
    <n v="19"/>
    <n v="1"/>
    <n v="2154"/>
    <n v="0"/>
    <n v="0"/>
    <n v="0"/>
    <n v="0"/>
    <n v="0"/>
    <n v="2154"/>
    <x v="1"/>
    <n v="3"/>
    <s v="S"/>
    <s v="FD"/>
    <s v="G"/>
    <s v="Y"/>
    <n v="0"/>
    <n v="0"/>
    <n v="1"/>
    <n v="0"/>
    <n v="0"/>
    <n v="11"/>
    <n v="730"/>
    <n v="0"/>
    <n v="0"/>
    <n v="0"/>
    <n v="240"/>
    <n v="240"/>
    <n v="100"/>
    <n v="100"/>
    <n v="373332"/>
    <n v="339732"/>
    <n v="598"/>
    <n v="365"/>
    <n v="233"/>
    <n v="0"/>
    <d v="2022-05-13T00:00:00"/>
    <s v="E036413"/>
    <n v="385000"/>
    <n v="385000"/>
    <s v="SWD"/>
    <n v="30"/>
    <s v="N"/>
    <s v="Y"/>
    <n v="411800"/>
    <n v="61700"/>
    <n v="350100"/>
    <n v="0"/>
    <n v="412359.96548205725"/>
    <n v="424607.74024927191"/>
    <n v="-12247.774030999999"/>
    <n v="132535.48800000001"/>
    <n v="88356.992000000013"/>
    <n v="-23255.730391660189"/>
    <n v="37154.252388000001"/>
    <n v="17761.121909000001"/>
    <n v="-2066.0808999999999"/>
    <n v="134431.95852000001"/>
    <n v="0"/>
    <n v="0"/>
    <n v="4112.8784489"/>
    <n v="9807.1044999999995"/>
    <n v="25769.752630000003"/>
    <n v="0"/>
    <n v="412359.96307323989"/>
    <n v="0"/>
    <n v="347300"/>
    <n v="65100"/>
    <n v="412400"/>
    <n v="0.93355965082444226"/>
    <n v="1.4570179698882952E-3"/>
    <n v="0.99970000000000003"/>
    <n v="0.99819999999999998"/>
    <n v="0.99680000000000002"/>
    <n v="1.0008999999999999"/>
    <n v="1.0138"/>
    <n v="0.94971499999999998"/>
    <n v="0.95887471877110886"/>
    <n v="354100"/>
    <n v="0"/>
    <n v="354100"/>
    <n v="61800"/>
    <n v="415900"/>
    <n v="1.1425307055127107E-2"/>
    <n v="1.6207455429497568E-3"/>
    <n v="9.9562894609033503E-3"/>
    <n v="1.0484473401792209"/>
  </r>
  <r>
    <n v="2025"/>
    <n v="19120141410"/>
    <n v="-1.7719568419318752"/>
    <n v="0.17"/>
    <n v="7610"/>
    <n v="2"/>
    <s v="RES"/>
    <n v="317"/>
    <s v="MX"/>
    <s v="R1"/>
    <n v="11"/>
    <n v="259"/>
    <s v="RN"/>
    <s v="A+"/>
    <s v="GD"/>
    <n v="2005"/>
    <n v="2005"/>
    <x v="1"/>
    <n v="19"/>
    <n v="19"/>
    <n v="1"/>
    <n v="1076"/>
    <n v="0"/>
    <n v="0"/>
    <n v="0"/>
    <n v="0"/>
    <n v="0"/>
    <n v="1076"/>
    <x v="3"/>
    <n v="2"/>
    <s v="N"/>
    <s v="FD"/>
    <s v="G"/>
    <s v="Y"/>
    <n v="0"/>
    <n v="0"/>
    <n v="0"/>
    <n v="1"/>
    <n v="0"/>
    <n v="8"/>
    <n v="440"/>
    <n v="0"/>
    <n v="0"/>
    <n v="0"/>
    <n v="100"/>
    <n v="0"/>
    <n v="100"/>
    <n v="100"/>
    <n v="206534"/>
    <n v="192077"/>
    <n v="920"/>
    <n v="365"/>
    <n v="365"/>
    <n v="190"/>
    <d v="2021-06-25T00:00:00"/>
    <s v="E031919"/>
    <n v="305000"/>
    <n v="305000"/>
    <s v="SWD"/>
    <n v="30"/>
    <s v="N"/>
    <s v="Y"/>
    <n v="353200"/>
    <n v="61700"/>
    <n v="291500"/>
    <n v="0"/>
    <n v="271638.36205061246"/>
    <n v="336298.57347362378"/>
    <n v="-64660.208631000001"/>
    <n v="132535.48800000001"/>
    <n v="88356.992000000013"/>
    <n v="-23255.730391660189"/>
    <n v="37154.252388000001"/>
    <n v="30300.329274"/>
    <n v="-2066.0808999999999"/>
    <n v="67153.568880000006"/>
    <n v="0"/>
    <n v="0"/>
    <n v="-9412.7029999999995"/>
    <n v="0"/>
    <n v="15532.453640000002"/>
    <n v="0"/>
    <n v="271638.36125933984"/>
    <n v="0"/>
    <n v="206500"/>
    <n v="65100"/>
    <n v="271600"/>
    <n v="1.1229749631811488"/>
    <n v="-0.23103057757644394"/>
    <n v="0.99970000000000003"/>
    <n v="0.99819999999999998"/>
    <n v="0.997"/>
    <n v="0.99519999999999997"/>
    <n v="1.0138"/>
    <n v="0.94971499999999998"/>
    <n v="0.95360534243162343"/>
    <n v="265000"/>
    <n v="0"/>
    <n v="265000"/>
    <n v="61800"/>
    <n v="326800"/>
    <n v="-9.0909090909090912E-2"/>
    <n v="1.6207455429497568E-3"/>
    <n v="-7.4745186862967161E-2"/>
    <n v="0.85947472579999995"/>
  </r>
  <r>
    <n v="2025"/>
    <n v="19120141412"/>
    <n v="-1.8325814637483102"/>
    <n v="0.16"/>
    <n v="6951"/>
    <n v="2"/>
    <s v="RES"/>
    <n v="317"/>
    <s v="MX"/>
    <s v="R1"/>
    <n v="11"/>
    <n v="259"/>
    <s v="RN"/>
    <s v="A+"/>
    <s v="AV"/>
    <n v="2005"/>
    <n v="2005"/>
    <x v="1"/>
    <n v="19"/>
    <n v="19"/>
    <n v="1"/>
    <n v="1706"/>
    <n v="0"/>
    <n v="0"/>
    <n v="0"/>
    <n v="0"/>
    <n v="0"/>
    <n v="1706"/>
    <x v="0"/>
    <n v="3"/>
    <s v="N"/>
    <s v="FD"/>
    <s v="G"/>
    <s v="Y"/>
    <n v="0"/>
    <n v="0"/>
    <n v="1"/>
    <n v="0"/>
    <n v="0"/>
    <n v="11"/>
    <n v="706"/>
    <n v="0"/>
    <n v="0"/>
    <n v="0"/>
    <n v="100"/>
    <n v="0"/>
    <n v="100"/>
    <n v="100"/>
    <n v="313242"/>
    <n v="285050"/>
    <n v="837"/>
    <n v="365"/>
    <n v="365"/>
    <n v="107"/>
    <d v="2021-09-16T00:00:00"/>
    <s v="E033163"/>
    <n v="345000"/>
    <n v="345000"/>
    <s v="SWD"/>
    <n v="30"/>
    <s v="N"/>
    <s v="Y"/>
    <n v="376600"/>
    <n v="60800"/>
    <n v="315800"/>
    <n v="0"/>
    <n v="335826.16669440799"/>
    <n v="381479.42720460339"/>
    <n v="-45653.258430999995"/>
    <n v="132535.48800000001"/>
    <n v="88356.992000000013"/>
    <n v="-24051.387388882686"/>
    <n v="37154.252388000001"/>
    <n v="17761.121909000001"/>
    <n v="-2066.0808999999999"/>
    <n v="106472.10828"/>
    <n v="0"/>
    <n v="0"/>
    <n v="-9412.7029999999995"/>
    <n v="9807.1044999999995"/>
    <n v="24922.527886"/>
    <n v="0"/>
    <n v="335826.16524311737"/>
    <n v="0"/>
    <n v="271500"/>
    <n v="64300"/>
    <n v="335800"/>
    <n v="1.0273972602739727"/>
    <n v="-0.10833775889537971"/>
    <n v="0.99970000000000003"/>
    <n v="0.99819999999999998"/>
    <n v="0.99680000000000002"/>
    <n v="1.0007999999999999"/>
    <n v="1.0138"/>
    <n v="0.94971499999999998"/>
    <n v="0.95877891752035749"/>
    <n v="311700"/>
    <n v="0"/>
    <n v="311700"/>
    <n v="61100"/>
    <n v="372800"/>
    <n v="-1.2982900569981E-2"/>
    <n v="4.9342105263157892E-3"/>
    <n v="-1.009028146574615E-2"/>
    <n v="0.94825142483768121"/>
  </r>
  <r>
    <n v="2025"/>
    <n v="19120141421"/>
    <n v="-1.8325814637483102"/>
    <n v="0.16"/>
    <n v="6960"/>
    <n v="2"/>
    <s v="RES"/>
    <n v="317"/>
    <s v="MX"/>
    <s v="R1"/>
    <n v="11"/>
    <n v="259"/>
    <s v="CO"/>
    <s v="A+"/>
    <s v="VG"/>
    <n v="2005"/>
    <n v="2005"/>
    <x v="1"/>
    <n v="19"/>
    <n v="19"/>
    <n v="2"/>
    <n v="1116"/>
    <n v="1116"/>
    <n v="0"/>
    <n v="0"/>
    <n v="0"/>
    <n v="0"/>
    <n v="2232"/>
    <x v="1"/>
    <n v="2"/>
    <s v="N"/>
    <s v="FD"/>
    <s v="G"/>
    <s v="Y"/>
    <n v="0"/>
    <n v="0"/>
    <n v="0"/>
    <n v="0"/>
    <n v="1"/>
    <n v="13"/>
    <n v="440"/>
    <n v="0"/>
    <n v="0"/>
    <n v="0"/>
    <n v="100"/>
    <n v="0"/>
    <n v="100"/>
    <n v="100"/>
    <n v="347819"/>
    <n v="330428"/>
    <n v="759"/>
    <n v="365"/>
    <n v="365"/>
    <n v="29"/>
    <d v="2021-12-03T00:00:00"/>
    <s v="E034514"/>
    <n v="400000"/>
    <n v="400000"/>
    <s v="SWD"/>
    <n v="30"/>
    <s v="N"/>
    <s v="Y"/>
    <n v="410800"/>
    <n v="60800"/>
    <n v="350000"/>
    <n v="0"/>
    <n v="396837.78196120181"/>
    <n v="424629.08860152221"/>
    <n v="-27791.305230999998"/>
    <n v="132535.48800000001"/>
    <n v="88356.992000000013"/>
    <n v="-24051.387388882686"/>
    <n v="37154.252388000001"/>
    <n v="50438.379078999998"/>
    <n v="-2066.0808999999999"/>
    <n v="69649.984080000009"/>
    <n v="66491.707427999994"/>
    <n v="0"/>
    <n v="-9412.7029999999995"/>
    <n v="0"/>
    <n v="15532.453640000002"/>
    <n v="0"/>
    <n v="396837.7800951174"/>
    <n v="0"/>
    <n v="332500"/>
    <n v="64300"/>
    <n v="396800"/>
    <n v="1.0080645161290323"/>
    <n v="-3.4079844206426485E-2"/>
    <n v="0.99970000000000003"/>
    <n v="0.99819999999999998"/>
    <n v="1.0007999999999999"/>
    <n v="1.0008999999999999"/>
    <n v="1.0138"/>
    <n v="0.94971499999999998"/>
    <n v="0.962722530644187"/>
    <n v="355400"/>
    <n v="0"/>
    <n v="355400"/>
    <n v="61100"/>
    <n v="416500"/>
    <n v="1.5428571428571429E-2"/>
    <n v="4.9342105263157892E-3"/>
    <n v="1.3875365141187927E-2"/>
    <n v="0.97177173692249996"/>
  </r>
  <r>
    <n v="2025"/>
    <n v="19120141427"/>
    <n v="-1.7719568419318752"/>
    <n v="0.17"/>
    <n v="7310"/>
    <n v="2"/>
    <s v="RES"/>
    <n v="317"/>
    <s v="MX"/>
    <s v="R1"/>
    <n v="11"/>
    <n v="259"/>
    <s v="RN"/>
    <s v="A+"/>
    <s v="AV"/>
    <n v="2005"/>
    <n v="2005"/>
    <x v="1"/>
    <n v="19"/>
    <n v="19"/>
    <n v="1"/>
    <n v="1092"/>
    <n v="0"/>
    <n v="0"/>
    <n v="0"/>
    <n v="0"/>
    <n v="0"/>
    <n v="1092"/>
    <x v="3"/>
    <n v="2"/>
    <s v="N"/>
    <s v="FD"/>
    <s v="G"/>
    <s v="Y"/>
    <n v="0"/>
    <n v="0"/>
    <n v="0"/>
    <n v="1"/>
    <n v="0"/>
    <n v="8"/>
    <n v="440"/>
    <n v="0"/>
    <n v="0"/>
    <n v="0"/>
    <n v="250"/>
    <n v="0"/>
    <n v="100"/>
    <n v="100"/>
    <n v="210382"/>
    <n v="191448"/>
    <n v="711"/>
    <n v="365"/>
    <n v="346"/>
    <n v="0"/>
    <d v="2022-01-20T00:00:00"/>
    <s v="E034911"/>
    <n v="280000"/>
    <n v="280000"/>
    <s v="SWD"/>
    <n v="30"/>
    <s v="N"/>
    <s v="Y"/>
    <n v="338400"/>
    <n v="61700"/>
    <n v="276700"/>
    <n v="0"/>
    <n v="304889.03590807569"/>
    <n v="324757.93218830251"/>
    <n v="-19868.895181"/>
    <n v="132535.48800000001"/>
    <n v="88356.992000000013"/>
    <n v="-23255.730391660189"/>
    <n v="37154.252388000001"/>
    <n v="17761.121909000001"/>
    <n v="-2066.0808999999999"/>
    <n v="68152.13496000001"/>
    <n v="0"/>
    <n v="0"/>
    <n v="-9412.7029999999995"/>
    <n v="0"/>
    <n v="15532.453640000002"/>
    <n v="0"/>
    <n v="304889.0334243399"/>
    <n v="0"/>
    <n v="239800"/>
    <n v="65100"/>
    <n v="304900"/>
    <n v="0.91833387996064286"/>
    <n v="-9.8995271867612297E-2"/>
    <n v="0.99970000000000003"/>
    <n v="0.99819999999999998"/>
    <n v="0.99680000000000002"/>
    <n v="0.99519999999999997"/>
    <n v="1.0138"/>
    <n v="0.94971499999999998"/>
    <n v="0.95341404747827707"/>
    <n v="253500"/>
    <n v="0"/>
    <n v="253500"/>
    <n v="61800"/>
    <n v="315300"/>
    <n v="-8.3845319840983021E-2"/>
    <n v="1.6207455429497568E-3"/>
    <n v="-6.8262411347517732E-2"/>
    <n v="1.0551110886392858"/>
  </r>
  <r>
    <n v="2025"/>
    <n v="19120141447"/>
    <n v="-1.7719568419318752"/>
    <n v="0.17"/>
    <n v="7193"/>
    <n v="2"/>
    <s v="RES"/>
    <n v="317"/>
    <s v="MX"/>
    <s v="R1"/>
    <n v="11"/>
    <n v="259"/>
    <s v="RN"/>
    <s v="A+"/>
    <s v="GD"/>
    <n v="2005"/>
    <n v="2005"/>
    <x v="1"/>
    <n v="19"/>
    <n v="19"/>
    <n v="1"/>
    <n v="1436"/>
    <n v="0"/>
    <n v="0"/>
    <n v="0"/>
    <n v="0"/>
    <n v="0"/>
    <n v="1436"/>
    <x v="3"/>
    <n v="3"/>
    <s v="N"/>
    <s v="FD"/>
    <s v="G"/>
    <s v="Y"/>
    <n v="1"/>
    <n v="0"/>
    <n v="0"/>
    <n v="1"/>
    <n v="0"/>
    <n v="8"/>
    <n v="640"/>
    <n v="0"/>
    <n v="0"/>
    <n v="0"/>
    <n v="300"/>
    <n v="300"/>
    <n v="100"/>
    <n v="100"/>
    <n v="280145"/>
    <n v="260535"/>
    <n v="1015"/>
    <n v="365"/>
    <n v="365"/>
    <n v="285"/>
    <d v="2021-03-22T00:00:00"/>
    <s v="E030534"/>
    <n v="290000"/>
    <n v="290000"/>
    <s v="SWD"/>
    <n v="30"/>
    <s v="N"/>
    <s v="Y"/>
    <n v="361500"/>
    <n v="61700"/>
    <n v="299800"/>
    <n v="0"/>
    <n v="279411.36117107183"/>
    <n v="365826.51640995662"/>
    <n v="-86415.151631000001"/>
    <n v="132535.48800000001"/>
    <n v="88356.992000000013"/>
    <n v="-23255.730391660189"/>
    <n v="37154.252388000001"/>
    <n v="30300.329274"/>
    <n v="-2066.0808999999999"/>
    <n v="89621.305680000005"/>
    <n v="0"/>
    <n v="0"/>
    <n v="-9412.7029999999995"/>
    <n v="0"/>
    <n v="22592.65984"/>
    <n v="0"/>
    <n v="279411.36125933984"/>
    <n v="0"/>
    <n v="214300"/>
    <n v="65100"/>
    <n v="279400"/>
    <n v="1.0379384395132427"/>
    <n v="-0.22710926694329184"/>
    <n v="0.99970000000000003"/>
    <n v="0.99819999999999998"/>
    <n v="0.997"/>
    <n v="0.99519999999999997"/>
    <n v="1.0138"/>
    <n v="0.94971499999999998"/>
    <n v="0.95360534243162343"/>
    <n v="294600"/>
    <n v="0"/>
    <n v="294600"/>
    <n v="61800"/>
    <n v="356400"/>
    <n v="-1.7344896597731821E-2"/>
    <n v="1.6207455429497568E-3"/>
    <n v="-1.4107883817427386E-2"/>
    <n v="0.93098223575517247"/>
  </r>
  <r>
    <n v="2025"/>
    <n v="19120141449"/>
    <n v="-1.8325814637483102"/>
    <n v="0.16"/>
    <n v="7154"/>
    <n v="2"/>
    <s v="RES"/>
    <n v="317"/>
    <s v="MX"/>
    <s v="R1"/>
    <n v="11"/>
    <n v="259"/>
    <s v="CO"/>
    <s v="A+"/>
    <s v="GD"/>
    <n v="2005"/>
    <n v="2005"/>
    <x v="1"/>
    <n v="19"/>
    <n v="19"/>
    <n v="2"/>
    <n v="1040"/>
    <n v="1040"/>
    <n v="0"/>
    <n v="0"/>
    <n v="0"/>
    <n v="0"/>
    <n v="2080"/>
    <x v="1"/>
    <n v="2"/>
    <s v="N"/>
    <s v="FD"/>
    <s v="G"/>
    <s v="Y"/>
    <n v="0"/>
    <n v="0"/>
    <n v="0"/>
    <n v="0"/>
    <n v="1"/>
    <n v="13"/>
    <n v="440"/>
    <n v="0"/>
    <n v="0"/>
    <n v="0"/>
    <n v="240"/>
    <n v="0"/>
    <n v="100"/>
    <n v="100"/>
    <n v="287281"/>
    <n v="272917"/>
    <n v="242"/>
    <n v="242"/>
    <n v="0"/>
    <n v="0"/>
    <d v="2023-05-04T00:00:00"/>
    <s v="E040327"/>
    <n v="407000"/>
    <n v="407000"/>
    <s v="SWD"/>
    <n v="30"/>
    <s v="N"/>
    <s v="Y"/>
    <n v="396400"/>
    <n v="60800"/>
    <n v="335600"/>
    <n v="0"/>
    <n v="397518.12630205922"/>
    <n v="395219.74082870607"/>
    <n v="2298.3854652"/>
    <n v="132535.48800000001"/>
    <n v="88356.992000000013"/>
    <n v="-24051.387388882686"/>
    <n v="37154.252388000001"/>
    <n v="30300.329274"/>
    <n v="-2066.0808999999999"/>
    <n v="64906.7952"/>
    <n v="61963.598319999997"/>
    <n v="0"/>
    <n v="-9412.7029999999995"/>
    <n v="0"/>
    <n v="15532.453640000002"/>
    <n v="0"/>
    <n v="397518.12299831735"/>
    <n v="0"/>
    <n v="333200"/>
    <n v="64300"/>
    <n v="397500"/>
    <n v="1.0238993710691824"/>
    <n v="2.7749747729566097E-3"/>
    <n v="0.99970000000000003"/>
    <n v="0.99819999999999998"/>
    <n v="0.997"/>
    <n v="1.0008999999999999"/>
    <n v="1.0138"/>
    <n v="0.94971499999999998"/>
    <n v="0.95906710936476258"/>
    <n v="325500"/>
    <n v="0"/>
    <n v="325500"/>
    <n v="61100"/>
    <n v="386600"/>
    <n v="-3.0095351609058404E-2"/>
    <n v="4.9342105263157892E-3"/>
    <n v="-2.4722502522704339E-2"/>
    <n v="0.955524288612285"/>
  </r>
  <r>
    <n v="2025"/>
    <n v="19120141468"/>
    <n v="-1.8325814637483102"/>
    <n v="0.16"/>
    <n v="7009"/>
    <n v="2"/>
    <s v="RES"/>
    <n v="317"/>
    <s v="MX"/>
    <s v="R1"/>
    <n v="11"/>
    <n v="259"/>
    <s v="CO"/>
    <s v="G"/>
    <s v="GD"/>
    <n v="2005"/>
    <n v="2005"/>
    <x v="1"/>
    <n v="19"/>
    <n v="19"/>
    <n v="2"/>
    <n v="1116"/>
    <n v="1116"/>
    <n v="0"/>
    <n v="0"/>
    <n v="0"/>
    <n v="0"/>
    <n v="2232"/>
    <x v="1"/>
    <n v="0"/>
    <s v="S"/>
    <s v="FD"/>
    <s v="G"/>
    <s v="Y"/>
    <n v="0"/>
    <n v="0"/>
    <n v="1"/>
    <n v="0"/>
    <n v="1"/>
    <n v="13"/>
    <n v="440"/>
    <n v="0"/>
    <n v="0"/>
    <n v="0"/>
    <n v="100"/>
    <n v="0"/>
    <n v="100"/>
    <n v="100"/>
    <n v="401443"/>
    <n v="373342"/>
    <n v="1091"/>
    <n v="365"/>
    <n v="365"/>
    <n v="361"/>
    <d v="2021-01-05T00:00:00"/>
    <s v="E030128"/>
    <n v="315000"/>
    <n v="315000"/>
    <s v="SWD"/>
    <n v="30"/>
    <s v="N"/>
    <s v="Y"/>
    <n v="395300"/>
    <n v="60800"/>
    <n v="334500"/>
    <n v="0"/>
    <n v="319768.21089957992"/>
    <n v="423587.32119116362"/>
    <n v="-103819.106031"/>
    <n v="132535.48800000001"/>
    <n v="88356.992000000013"/>
    <n v="-24051.387388882686"/>
    <n v="32917.849192000001"/>
    <n v="30300.329274"/>
    <n v="-2066.0808999999999"/>
    <n v="69649.984080000009"/>
    <n v="66491.707427999994"/>
    <n v="0"/>
    <n v="4112.8784489"/>
    <n v="9807.1044999999995"/>
    <n v="15532.453640000002"/>
    <n v="0"/>
    <n v="319768.21224301739"/>
    <n v="0"/>
    <n v="255500"/>
    <n v="64300"/>
    <n v="319800"/>
    <n v="0.98499061913696062"/>
    <n v="-0.19099418163420187"/>
    <n v="0.99970000000000003"/>
    <n v="1.0019"/>
    <n v="0.997"/>
    <n v="1.0008999999999999"/>
    <n v="1.0138"/>
    <n v="0.94971499999999998"/>
    <n v="0.96262205657438948"/>
    <n v="354300"/>
    <n v="0"/>
    <n v="354300"/>
    <n v="61100"/>
    <n v="415400"/>
    <n v="5.9192825112107626E-2"/>
    <n v="4.9342105263157892E-3"/>
    <n v="5.0847457627118647E-2"/>
    <n v="0.98914569513968242"/>
  </r>
  <r>
    <n v="2025"/>
    <n v="19120141478"/>
    <n v="-1.8325814637483102"/>
    <n v="0.16"/>
    <n v="6955"/>
    <n v="2"/>
    <s v="RES"/>
    <s v="MX"/>
    <s v="MX"/>
    <s v="R1"/>
    <n v="11"/>
    <n v="259"/>
    <s v="CO"/>
    <s v="A+"/>
    <s v="VG"/>
    <n v="2005"/>
    <n v="2005"/>
    <x v="1"/>
    <n v="19"/>
    <n v="19"/>
    <n v="2"/>
    <n v="1040"/>
    <n v="1040"/>
    <n v="0"/>
    <n v="0"/>
    <n v="0"/>
    <n v="0"/>
    <n v="2080"/>
    <x v="1"/>
    <n v="2"/>
    <s v="N"/>
    <s v="FD"/>
    <s v="G"/>
    <s v="Y"/>
    <n v="0"/>
    <n v="0"/>
    <n v="0"/>
    <n v="0"/>
    <n v="1"/>
    <n v="13"/>
    <n v="440"/>
    <n v="0"/>
    <n v="0"/>
    <n v="0"/>
    <n v="286"/>
    <n v="0"/>
    <n v="100"/>
    <n v="100"/>
    <n v="335612"/>
    <n v="318831"/>
    <n v="126"/>
    <n v="126"/>
    <n v="0"/>
    <n v="0"/>
    <d v="2023-08-28T00:00:00"/>
    <s v="E041323"/>
    <n v="399900"/>
    <n v="399900"/>
    <s v="SWD"/>
    <n v="30"/>
    <s v="N"/>
    <s v="Y"/>
    <n v="413000"/>
    <n v="60800"/>
    <n v="352200"/>
    <n v="0"/>
    <n v="416554.4706731324"/>
    <n v="415357.79063328728"/>
    <n v="1196.6800356000001"/>
    <n v="132535.48800000001"/>
    <n v="88356.992000000013"/>
    <n v="-24051.387388882686"/>
    <n v="37154.252388000001"/>
    <n v="50438.379078999998"/>
    <n v="-2066.0808999999999"/>
    <n v="64906.7952"/>
    <n v="61963.598319999997"/>
    <n v="0"/>
    <n v="-9412.7029999999995"/>
    <n v="0"/>
    <n v="15532.453640000002"/>
    <n v="0"/>
    <n v="416554.46737371734"/>
    <n v="0"/>
    <n v="352200"/>
    <n v="64300"/>
    <n v="416500"/>
    <n v="0.96014405762304922"/>
    <n v="8.4745762711864406E-3"/>
    <n v="0.99970000000000003"/>
    <n v="0.99819999999999998"/>
    <n v="1.0007999999999999"/>
    <n v="1.0008999999999999"/>
    <n v="1.0138"/>
    <n v="0.94971499999999998"/>
    <n v="0.962722530644187"/>
    <n v="346100"/>
    <n v="0"/>
    <n v="346100"/>
    <n v="61100"/>
    <n v="407200"/>
    <n v="-1.7319704713231118E-2"/>
    <n v="4.9342105263157892E-3"/>
    <n v="-1.4043583535108959E-2"/>
    <n v="1.0212470118419603"/>
  </r>
  <r>
    <n v="2025"/>
    <n v="19120141480"/>
    <n v="-1.5606477482646683"/>
    <n v="0.21"/>
    <n v="9331"/>
    <n v="2"/>
    <s v="RES"/>
    <n v="317"/>
    <s v="MX"/>
    <s v="R1"/>
    <n v="11"/>
    <n v="259"/>
    <s v="CO"/>
    <s v="A+"/>
    <s v="GD"/>
    <n v="2005"/>
    <n v="2005"/>
    <x v="1"/>
    <n v="19"/>
    <n v="19"/>
    <n v="2"/>
    <n v="1116"/>
    <n v="1116"/>
    <n v="0"/>
    <n v="0"/>
    <n v="0"/>
    <n v="0"/>
    <n v="2232"/>
    <x v="1"/>
    <n v="2"/>
    <s v="S"/>
    <s v="FD"/>
    <s v="G"/>
    <s v="Y"/>
    <n v="0"/>
    <n v="0"/>
    <n v="1"/>
    <n v="0"/>
    <n v="1"/>
    <n v="13"/>
    <n v="440"/>
    <n v="0"/>
    <n v="0"/>
    <n v="0"/>
    <n v="450"/>
    <n v="0"/>
    <n v="100"/>
    <n v="100"/>
    <n v="355453"/>
    <n v="330571"/>
    <n v="259"/>
    <n v="259"/>
    <n v="0"/>
    <n v="0"/>
    <d v="2023-04-17T00:00:00"/>
    <s v="E039972"/>
    <n v="421000"/>
    <n v="421000"/>
    <s v="SWD"/>
    <n v="30"/>
    <s v="N"/>
    <s v="Y"/>
    <n v="414600"/>
    <n v="64600"/>
    <n v="350000"/>
    <n v="0"/>
    <n v="433852.5120256329"/>
    <n v="431392.669721507"/>
    <n v="2459.8422954000002"/>
    <n v="132535.48800000001"/>
    <n v="88356.992000000013"/>
    <n v="-20482.442016152701"/>
    <n v="37154.252388000001"/>
    <n v="30300.329274"/>
    <n v="-2066.0808999999999"/>
    <n v="69649.984080000009"/>
    <n v="66491.707427999994"/>
    <n v="0"/>
    <n v="4112.8784489"/>
    <n v="9807.1044999999995"/>
    <n v="15532.453640000002"/>
    <n v="0"/>
    <n v="433852.5091381474"/>
    <n v="0"/>
    <n v="366000"/>
    <n v="67900"/>
    <n v="433900"/>
    <n v="0.97026964738418986"/>
    <n v="4.655089242643512E-2"/>
    <n v="0.99970000000000003"/>
    <n v="0.99819999999999998"/>
    <n v="0.997"/>
    <n v="1.0008999999999999"/>
    <n v="1.0138"/>
    <n v="0.94971499999999998"/>
    <n v="0.95906710936476258"/>
    <n v="358100"/>
    <n v="0"/>
    <n v="358100"/>
    <n v="64500"/>
    <n v="422600"/>
    <n v="2.3142857142857142E-2"/>
    <n v="-1.5479876160990713E-3"/>
    <n v="1.929570670525808E-2"/>
    <n v="1.0096433308679333"/>
  </r>
  <r>
    <n v="2025"/>
    <n v="19120141480"/>
    <n v="-1.5606477482646683"/>
    <n v="0.21"/>
    <n v="9331"/>
    <n v="2"/>
    <s v="RES"/>
    <n v="317"/>
    <s v="MX"/>
    <s v="R1"/>
    <n v="11"/>
    <n v="259"/>
    <s v="CO"/>
    <s v="G"/>
    <s v="GD"/>
    <n v="2005"/>
    <n v="2005"/>
    <x v="1"/>
    <n v="19"/>
    <n v="19"/>
    <n v="2"/>
    <n v="1116"/>
    <n v="1116"/>
    <n v="0"/>
    <n v="0"/>
    <n v="0"/>
    <n v="0"/>
    <n v="2232"/>
    <x v="1"/>
    <n v="2"/>
    <s v="S"/>
    <s v="FD"/>
    <s v="G"/>
    <s v="Y"/>
    <n v="0"/>
    <n v="0"/>
    <n v="1"/>
    <n v="0"/>
    <n v="1"/>
    <n v="13"/>
    <n v="440"/>
    <n v="0"/>
    <n v="0"/>
    <n v="0"/>
    <n v="100"/>
    <n v="0"/>
    <n v="100"/>
    <n v="100"/>
    <n v="401443"/>
    <n v="373342"/>
    <n v="536"/>
    <n v="365"/>
    <n v="171"/>
    <n v="0"/>
    <d v="2022-07-14T00:00:00"/>
    <s v="E037314"/>
    <n v="418500"/>
    <n v="418500"/>
    <s v="SWD"/>
    <n v="30"/>
    <s v="N"/>
    <s v="Y"/>
    <n v="414600"/>
    <n v="64600"/>
    <n v="350000"/>
    <n v="0"/>
    <n v="419089.99205735535"/>
    <n v="427156.26652539533"/>
    <n v="-8066.2739309999997"/>
    <n v="132535.48800000001"/>
    <n v="88356.992000000013"/>
    <n v="-20482.442016152701"/>
    <n v="32917.849192000001"/>
    <n v="30300.329274"/>
    <n v="-2066.0808999999999"/>
    <n v="69649.984080000009"/>
    <n v="66491.707427999994"/>
    <n v="0"/>
    <n v="4112.8784489"/>
    <n v="9807.1044999999995"/>
    <n v="15532.453640000002"/>
    <n v="0"/>
    <n v="419089.98971574736"/>
    <n v="0"/>
    <n v="351200"/>
    <n v="67900"/>
    <n v="419100"/>
    <n v="0.9985683607730852"/>
    <n v="1.085383502170767E-2"/>
    <n v="0.99970000000000003"/>
    <n v="1.0019"/>
    <n v="0.997"/>
    <n v="1.0008999999999999"/>
    <n v="1.0138"/>
    <n v="0.94971499999999998"/>
    <n v="0.96262205657438948"/>
    <n v="354300"/>
    <n v="0"/>
    <n v="354300"/>
    <n v="64500"/>
    <n v="418800"/>
    <n v="1.2285714285714285E-2"/>
    <n v="-1.5479876160990713E-3"/>
    <n v="1.0130246020260492E-2"/>
    <n v="0.98144259514695342"/>
  </r>
  <r>
    <n v="2025"/>
    <n v="19120141488"/>
    <n v="-1.7147984280919266"/>
    <n v="0.18"/>
    <n v="7951"/>
    <n v="2"/>
    <s v="RES"/>
    <n v="317"/>
    <s v="MX"/>
    <s v="R1"/>
    <n v="11"/>
    <n v="259"/>
    <s v="RN"/>
    <s v="A+"/>
    <s v="AV"/>
    <n v="2005"/>
    <n v="2005"/>
    <x v="1"/>
    <n v="19"/>
    <n v="19"/>
    <n v="1"/>
    <n v="1420"/>
    <n v="0"/>
    <n v="0"/>
    <n v="0"/>
    <n v="0"/>
    <n v="0"/>
    <n v="1420"/>
    <x v="3"/>
    <n v="2"/>
    <s v="N"/>
    <s v="FD"/>
    <s v="G"/>
    <s v="Y"/>
    <n v="0"/>
    <n v="0"/>
    <n v="0"/>
    <n v="0"/>
    <n v="0"/>
    <n v="8"/>
    <n v="400"/>
    <n v="0"/>
    <n v="0"/>
    <n v="0"/>
    <n v="100"/>
    <n v="0"/>
    <n v="100"/>
    <n v="100"/>
    <n v="254326"/>
    <n v="231437"/>
    <n v="992"/>
    <n v="365"/>
    <n v="365"/>
    <n v="262"/>
    <d v="2021-04-14T00:00:00"/>
    <s v="E030785"/>
    <n v="260000"/>
    <n v="260000"/>
    <s v="SWD"/>
    <n v="30"/>
    <s v="N"/>
    <s v="Y"/>
    <n v="339600"/>
    <n v="62500"/>
    <n v="277100"/>
    <n v="0"/>
    <n v="263418.49213226704"/>
    <n v="344566.66097362456"/>
    <n v="-81148.165431000001"/>
    <n v="132535.48800000001"/>
    <n v="88356.992000000013"/>
    <n v="-22505.565020573864"/>
    <n v="37154.252388000001"/>
    <n v="17761.121909000001"/>
    <n v="-2066.0808999999999"/>
    <n v="88622.739600000001"/>
    <n v="0"/>
    <n v="0"/>
    <n v="-9412.7029999999995"/>
    <n v="0"/>
    <n v="14120.412400000001"/>
    <n v="0"/>
    <n v="263418.49194542621"/>
    <n v="0"/>
    <n v="197600"/>
    <n v="65900"/>
    <n v="263500"/>
    <n v="0.98671726755218214"/>
    <n v="-0.22408716136631332"/>
    <n v="0.99970000000000003"/>
    <n v="0.99819999999999998"/>
    <n v="0.99680000000000002"/>
    <n v="0.99519999999999997"/>
    <n v="1.0138"/>
    <n v="0.94971499999999998"/>
    <n v="0.95341404747827707"/>
    <n v="272500"/>
    <n v="0"/>
    <n v="272500"/>
    <n v="62500"/>
    <n v="335000"/>
    <n v="-1.6600505232767952E-2"/>
    <n v="0"/>
    <n v="-1.3545347467608953E-2"/>
    <n v="0.97635320988076923"/>
  </r>
  <r>
    <n v="2025"/>
    <n v="19120141490"/>
    <n v="-1.7147984280919266"/>
    <n v="0.18"/>
    <n v="7973"/>
    <n v="2"/>
    <s v="RES"/>
    <n v="317"/>
    <s v="MX"/>
    <s v="R1"/>
    <n v="11"/>
    <n v="259"/>
    <s v="CO"/>
    <s v="A+"/>
    <s v="VG"/>
    <n v="2005"/>
    <n v="2005"/>
    <x v="1"/>
    <n v="19"/>
    <n v="19"/>
    <n v="2"/>
    <n v="1116"/>
    <n v="1116"/>
    <n v="0"/>
    <n v="0"/>
    <n v="0"/>
    <n v="0"/>
    <n v="2232"/>
    <x v="1"/>
    <n v="2"/>
    <s v="N"/>
    <s v="FD"/>
    <s v="G"/>
    <s v="Y"/>
    <n v="0"/>
    <n v="0"/>
    <n v="0"/>
    <n v="0"/>
    <n v="1"/>
    <n v="13"/>
    <n v="440"/>
    <n v="0"/>
    <n v="0"/>
    <n v="0"/>
    <n v="100"/>
    <n v="0"/>
    <n v="100"/>
    <n v="100"/>
    <n v="347819"/>
    <n v="330428"/>
    <n v="501"/>
    <n v="365"/>
    <n v="136"/>
    <n v="0"/>
    <d v="2022-08-18T00:00:00"/>
    <s v="E037747"/>
    <n v="415000"/>
    <n v="415000"/>
    <s v="SWD"/>
    <n v="30"/>
    <s v="N"/>
    <s v="Y"/>
    <n v="412500"/>
    <n v="62500"/>
    <n v="350000"/>
    <n v="0"/>
    <n v="420469.16084755363"/>
    <n v="426174.91095315618"/>
    <n v="-5705.7496809999993"/>
    <n v="132535.48800000001"/>
    <n v="88356.992000000013"/>
    <n v="-22505.565020573864"/>
    <n v="37154.252388000001"/>
    <n v="50438.379078999998"/>
    <n v="-2066.0808999999999"/>
    <n v="69649.984080000009"/>
    <n v="66491.707427999994"/>
    <n v="0"/>
    <n v="-9412.7029999999995"/>
    <n v="0"/>
    <n v="15532.453640000002"/>
    <n v="0"/>
    <n v="420469.15801342623"/>
    <n v="0"/>
    <n v="354600"/>
    <n v="65900"/>
    <n v="420500"/>
    <n v="0.98692033293697978"/>
    <n v="1.9393939393939394E-2"/>
    <n v="0.99970000000000003"/>
    <n v="0.99819999999999998"/>
    <n v="1.0007999999999999"/>
    <n v="1.0008999999999999"/>
    <n v="1.0138"/>
    <n v="0.94971499999999998"/>
    <n v="0.962722530644187"/>
    <n v="355400"/>
    <n v="0"/>
    <n v="355400"/>
    <n v="62500"/>
    <n v="417900"/>
    <n v="1.5428571428571429E-2"/>
    <n v="0"/>
    <n v="1.3090909090909091E-2"/>
    <n v="0.99323915739518065"/>
  </r>
  <r>
    <n v="2025"/>
    <n v="19120141520"/>
    <n v="-1.8325814637483102"/>
    <n v="0.16"/>
    <n v="6998"/>
    <n v="2"/>
    <s v="RES"/>
    <n v="317"/>
    <s v="MX"/>
    <s v="R1"/>
    <n v="11"/>
    <n v="259"/>
    <s v="CO"/>
    <s v="A+"/>
    <s v="GD"/>
    <n v="2005"/>
    <n v="2005"/>
    <x v="1"/>
    <n v="19"/>
    <n v="19"/>
    <n v="2"/>
    <n v="1116"/>
    <n v="1116"/>
    <n v="0"/>
    <n v="0"/>
    <n v="0"/>
    <n v="0"/>
    <n v="2232"/>
    <x v="1"/>
    <n v="2"/>
    <s v="N"/>
    <s v="FD"/>
    <s v="G"/>
    <s v="Y"/>
    <n v="0"/>
    <n v="0"/>
    <n v="0"/>
    <n v="0"/>
    <n v="1"/>
    <n v="13"/>
    <n v="440"/>
    <n v="0"/>
    <n v="0"/>
    <n v="0"/>
    <n v="100"/>
    <n v="0"/>
    <n v="100"/>
    <n v="100"/>
    <n v="347819"/>
    <n v="323472"/>
    <n v="774"/>
    <n v="365"/>
    <n v="365"/>
    <n v="44"/>
    <d v="2021-11-18T00:00:00"/>
    <s v="E034171"/>
    <n v="364900"/>
    <n v="364900"/>
    <s v="SWD"/>
    <n v="30"/>
    <s v="N"/>
    <s v="Y"/>
    <n v="395300"/>
    <n v="60800"/>
    <n v="334500"/>
    <n v="0"/>
    <n v="373264.7410277985"/>
    <n v="404491.03879694099"/>
    <n v="-31226.296231"/>
    <n v="132535.48800000001"/>
    <n v="88356.992000000013"/>
    <n v="-24051.387388882686"/>
    <n v="37154.252388000001"/>
    <n v="30300.329274"/>
    <n v="-2066.0808999999999"/>
    <n v="69649.984080000009"/>
    <n v="66491.707427999994"/>
    <n v="0"/>
    <n v="-9412.7029999999995"/>
    <n v="0"/>
    <n v="15532.453640000002"/>
    <n v="0"/>
    <n v="373264.73929011734"/>
    <n v="0"/>
    <n v="309000"/>
    <n v="64300"/>
    <n v="373300"/>
    <n v="0.97749799089204392"/>
    <n v="-5.5653933721224388E-2"/>
    <n v="0.99970000000000003"/>
    <n v="0.99819999999999998"/>
    <n v="0.997"/>
    <n v="1.0008999999999999"/>
    <n v="1.0138"/>
    <n v="0.94971499999999998"/>
    <n v="0.95906710936476258"/>
    <n v="334800"/>
    <n v="0"/>
    <n v="334800"/>
    <n v="61100"/>
    <n v="395900"/>
    <n v="8.9686098654708521E-4"/>
    <n v="4.9342105263157892E-3"/>
    <n v="1.5178345560333923E-3"/>
    <n v="0.99937984041929295"/>
  </r>
  <r>
    <n v="2025"/>
    <n v="19120141529"/>
    <n v="-1.7719568419318752"/>
    <n v="0.17"/>
    <n v="7227"/>
    <n v="2"/>
    <s v="RES"/>
    <n v="317"/>
    <s v="MX"/>
    <s v="R1"/>
    <n v="11"/>
    <n v="259"/>
    <s v="CO"/>
    <s v="A+"/>
    <s v="GD"/>
    <n v="2005"/>
    <n v="2005"/>
    <x v="1"/>
    <n v="19"/>
    <n v="19"/>
    <n v="2"/>
    <n v="1158"/>
    <n v="1322"/>
    <n v="0"/>
    <n v="0"/>
    <n v="0"/>
    <n v="0"/>
    <n v="2480"/>
    <x v="1"/>
    <n v="3"/>
    <s v="N"/>
    <s v="FD"/>
    <s v="G"/>
    <s v="Y"/>
    <n v="0"/>
    <n v="0"/>
    <n v="0"/>
    <n v="0"/>
    <n v="1"/>
    <n v="13"/>
    <n v="300"/>
    <n v="502"/>
    <n v="0"/>
    <n v="0"/>
    <n v="460"/>
    <n v="460"/>
    <n v="100"/>
    <n v="100"/>
    <n v="406806"/>
    <n v="378330"/>
    <n v="458"/>
    <n v="365"/>
    <n v="93"/>
    <n v="0"/>
    <d v="2022-09-30T00:00:00"/>
    <s v="E038336"/>
    <n v="425000"/>
    <n v="425000"/>
    <s v="SWD"/>
    <n v="30"/>
    <s v="N"/>
    <s v="Y"/>
    <n v="425900"/>
    <n v="61700"/>
    <n v="364200"/>
    <n v="0"/>
    <n v="437230.86243755324"/>
    <n v="440036.53975501849"/>
    <n v="-2805.6770309999997"/>
    <n v="132535.48800000001"/>
    <n v="88356.992000000013"/>
    <n v="-23255.730391660189"/>
    <n v="37154.252388000001"/>
    <n v="30300.329274"/>
    <n v="-2066.0808999999999"/>
    <n v="72271.22004"/>
    <n v="78765.266325999997"/>
    <n v="0"/>
    <n v="-9412.7029999999995"/>
    <n v="0"/>
    <n v="10590.309300000001"/>
    <n v="24797.193599999999"/>
    <n v="437230.85960533982"/>
    <n v="0"/>
    <n v="372100"/>
    <n v="65100"/>
    <n v="437200"/>
    <n v="0.97209515096065868"/>
    <n v="2.6532049776942946E-2"/>
    <n v="0.99970000000000003"/>
    <n v="0.99819999999999998"/>
    <n v="0.997"/>
    <n v="1.0008999999999999"/>
    <n v="1.0138"/>
    <n v="0.94971499999999998"/>
    <n v="0.95906710936476258"/>
    <n v="369500"/>
    <n v="0"/>
    <n v="369500"/>
    <n v="61800"/>
    <n v="431300"/>
    <n v="1.4552443712246019E-2"/>
    <n v="1.6207455429497568E-3"/>
    <n v="1.2679032636769194E-2"/>
    <n v="1.008221936397647"/>
  </r>
  <r>
    <n v="2025"/>
    <n v="19120141530"/>
    <n v="-1.7719568419318752"/>
    <n v="0.17"/>
    <n v="7286"/>
    <n v="2"/>
    <s v="RES"/>
    <n v="317"/>
    <s v="MX"/>
    <s v="R1"/>
    <n v="11"/>
    <n v="259"/>
    <s v="RN"/>
    <s v="A+"/>
    <s v="GD"/>
    <n v="2005"/>
    <n v="2005"/>
    <x v="1"/>
    <n v="19"/>
    <n v="19"/>
    <n v="1"/>
    <n v="1380"/>
    <n v="0"/>
    <n v="0"/>
    <n v="0"/>
    <n v="0"/>
    <n v="0"/>
    <n v="1380"/>
    <x v="3"/>
    <n v="2"/>
    <s v="N"/>
    <s v="FD"/>
    <s v="G"/>
    <s v="Y"/>
    <n v="0"/>
    <n v="0"/>
    <n v="0"/>
    <n v="1"/>
    <n v="0"/>
    <n v="8"/>
    <n v="428"/>
    <n v="0"/>
    <n v="0"/>
    <n v="0"/>
    <n v="408"/>
    <n v="408"/>
    <n v="100"/>
    <n v="100"/>
    <n v="260180"/>
    <n v="241967"/>
    <n v="922"/>
    <n v="365"/>
    <n v="365"/>
    <n v="192"/>
    <d v="2021-06-23T00:00:00"/>
    <s v="E031887"/>
    <n v="300000"/>
    <n v="300000"/>
    <s v="SWD"/>
    <n v="30"/>
    <s v="N"/>
    <s v="Y"/>
    <n v="347700"/>
    <n v="61700"/>
    <n v="286000"/>
    <n v="0"/>
    <n v="289729.50639306603"/>
    <n v="354847.71663325356"/>
    <n v="-65118.207431000003"/>
    <n v="132535.48800000001"/>
    <n v="88356.992000000013"/>
    <n v="-23255.730391660189"/>
    <n v="37154.252388000001"/>
    <n v="30300.329274"/>
    <n v="-2066.0808999999999"/>
    <n v="86126.324399999998"/>
    <n v="0"/>
    <n v="0"/>
    <n v="-9412.7029999999995"/>
    <n v="0"/>
    <n v="15108.841268"/>
    <n v="0"/>
    <n v="289729.50560733984"/>
    <n v="0"/>
    <n v="224600"/>
    <n v="65100"/>
    <n v="289700"/>
    <n v="1.0355540214014498"/>
    <n v="-0.16681046879493816"/>
    <n v="0.99970000000000003"/>
    <n v="0.99819999999999998"/>
    <n v="0.997"/>
    <n v="0.99519999999999997"/>
    <n v="1.0138"/>
    <n v="0.94971499999999998"/>
    <n v="0.95360534243162343"/>
    <n v="283600"/>
    <n v="0"/>
    <n v="283600"/>
    <n v="61800"/>
    <n v="345400"/>
    <n v="-8.3916083916083916E-3"/>
    <n v="1.6207455429497568E-3"/>
    <n v="-6.6148979004889271E-3"/>
    <n v="0.93427264189666659"/>
  </r>
  <r>
    <n v="2025"/>
    <n v="19120141531"/>
    <n v="-1.7719568419318752"/>
    <n v="0.17"/>
    <n v="7409"/>
    <n v="2"/>
    <s v="RES"/>
    <n v="317"/>
    <s v="MX"/>
    <s v="R1"/>
    <n v="11"/>
    <n v="259"/>
    <s v="CO"/>
    <s v="A+"/>
    <s v="GD"/>
    <n v="2005"/>
    <n v="2005"/>
    <x v="1"/>
    <n v="19"/>
    <n v="19"/>
    <n v="2"/>
    <n v="1040"/>
    <n v="1040"/>
    <n v="0"/>
    <n v="0"/>
    <n v="0"/>
    <n v="0"/>
    <n v="2080"/>
    <x v="1"/>
    <n v="2"/>
    <s v="N"/>
    <s v="FD"/>
    <s v="G"/>
    <s v="Y"/>
    <n v="0"/>
    <n v="0"/>
    <n v="1"/>
    <n v="0"/>
    <n v="1"/>
    <n v="13"/>
    <n v="440"/>
    <n v="0"/>
    <n v="0"/>
    <n v="0"/>
    <n v="100"/>
    <n v="0"/>
    <n v="100"/>
    <n v="100"/>
    <n v="338770"/>
    <n v="315056"/>
    <n v="775"/>
    <n v="365"/>
    <n v="365"/>
    <n v="45"/>
    <d v="2021-11-17T00:00:00"/>
    <s v="E034149"/>
    <n v="350000"/>
    <n v="350000"/>
    <s v="SWD"/>
    <n v="30"/>
    <s v="N"/>
    <s v="Y"/>
    <n v="412800"/>
    <n v="61700"/>
    <n v="351100"/>
    <n v="0"/>
    <n v="374367.20515999012"/>
    <n v="405822.50233772083"/>
    <n v="-31455.295631000001"/>
    <n v="132535.48800000001"/>
    <n v="88356.992000000013"/>
    <n v="-23255.730391660189"/>
    <n v="37154.252388000001"/>
    <n v="30300.329274"/>
    <n v="-2066.0808999999999"/>
    <n v="64906.7952"/>
    <n v="61963.598319999997"/>
    <n v="0"/>
    <n v="-9412.7029999999995"/>
    <n v="9807.1044999999995"/>
    <n v="15532.453640000002"/>
    <n v="0"/>
    <n v="374367.20339933987"/>
    <n v="0"/>
    <n v="309300"/>
    <n v="65100"/>
    <n v="374400"/>
    <n v="0.93482905982905984"/>
    <n v="-9.3023255813953487E-2"/>
    <n v="0.99970000000000003"/>
    <n v="0.99819999999999998"/>
    <n v="0.997"/>
    <n v="1.0008999999999999"/>
    <n v="1.0138"/>
    <n v="0.94971499999999998"/>
    <n v="0.95906710936476258"/>
    <n v="335300"/>
    <n v="0"/>
    <n v="335300"/>
    <n v="61800"/>
    <n v="397100"/>
    <n v="-4.5001424095699231E-2"/>
    <n v="1.6207455429497568E-3"/>
    <n v="-3.8032945736434107E-2"/>
    <n v="1.04469915534"/>
  </r>
  <r>
    <n v="2025"/>
    <n v="19120141533"/>
    <n v="-1.8325814637483102"/>
    <n v="0.16"/>
    <n v="6902"/>
    <n v="2"/>
    <s v="RES"/>
    <n v="317"/>
    <s v="MX"/>
    <s v="R1"/>
    <n v="11"/>
    <n v="259"/>
    <s v="RN"/>
    <s v="A+"/>
    <s v="GD"/>
    <n v="2005"/>
    <n v="2005"/>
    <x v="1"/>
    <n v="19"/>
    <n v="19"/>
    <n v="1"/>
    <n v="1364"/>
    <n v="0"/>
    <n v="0"/>
    <n v="0"/>
    <n v="0"/>
    <n v="0"/>
    <n v="1364"/>
    <x v="3"/>
    <n v="2"/>
    <s v="N"/>
    <s v="FD"/>
    <s v="G"/>
    <s v="Y"/>
    <n v="0"/>
    <n v="0"/>
    <n v="0"/>
    <n v="1"/>
    <n v="0"/>
    <n v="8"/>
    <n v="428"/>
    <n v="0"/>
    <n v="0"/>
    <n v="0"/>
    <n v="480"/>
    <n v="144"/>
    <n v="100"/>
    <n v="100"/>
    <n v="252571"/>
    <n v="234891"/>
    <n v="392"/>
    <n v="365"/>
    <n v="27"/>
    <n v="0"/>
    <d v="2022-12-05T00:00:00"/>
    <s v="E038956"/>
    <n v="336000"/>
    <n v="336000"/>
    <s v="SWD"/>
    <n v="30"/>
    <s v="N"/>
    <s v="Y"/>
    <n v="364500"/>
    <n v="60800"/>
    <n v="303700"/>
    <n v="0"/>
    <n v="354699.09075878974"/>
    <n v="353053.49356423004"/>
    <n v="1645.5972690000001"/>
    <n v="132535.48800000001"/>
    <n v="88356.992000000013"/>
    <n v="-24051.387388882686"/>
    <n v="37154.252388000001"/>
    <n v="30300.329274"/>
    <n v="-2066.0808999999999"/>
    <n v="85127.758320000008"/>
    <n v="0"/>
    <n v="0"/>
    <n v="-9412.7029999999995"/>
    <n v="0"/>
    <n v="15108.841268"/>
    <n v="0"/>
    <n v="354699.08723011735"/>
    <n v="0"/>
    <n v="290400"/>
    <n v="64300"/>
    <n v="354700"/>
    <n v="0.94727939103467718"/>
    <n v="-2.6886145404663924E-2"/>
    <n v="0.99970000000000003"/>
    <n v="0.99819999999999998"/>
    <n v="0.997"/>
    <n v="0.99519999999999997"/>
    <n v="1.0138"/>
    <n v="0.94971499999999998"/>
    <n v="0.95360534243162343"/>
    <n v="282600"/>
    <n v="0"/>
    <n v="282600"/>
    <n v="61100"/>
    <n v="343700"/>
    <n v="-6.9476457029963787E-2"/>
    <n v="4.9342105263157892E-3"/>
    <n v="-5.7064471879286698E-2"/>
    <n v="1.0278142775863095"/>
  </r>
  <r>
    <n v="2025"/>
    <n v="19120141539"/>
    <n v="-1.8325814637483102"/>
    <n v="0.16"/>
    <n v="7138"/>
    <n v="2"/>
    <s v="RES"/>
    <n v="317"/>
    <s v="MX"/>
    <s v="R1"/>
    <n v="11"/>
    <n v="259"/>
    <s v="CO"/>
    <s v="A+"/>
    <s v="GD"/>
    <n v="2005"/>
    <n v="2005"/>
    <x v="1"/>
    <n v="19"/>
    <n v="19"/>
    <n v="2"/>
    <n v="1116"/>
    <n v="1116"/>
    <n v="0"/>
    <n v="0"/>
    <n v="0"/>
    <n v="0"/>
    <n v="2232"/>
    <x v="1"/>
    <n v="2"/>
    <s v="S"/>
    <s v="FD"/>
    <s v="G"/>
    <s v="Y"/>
    <n v="0"/>
    <n v="0"/>
    <n v="1"/>
    <n v="0"/>
    <n v="1"/>
    <n v="13"/>
    <n v="440"/>
    <n v="0"/>
    <n v="0"/>
    <n v="0"/>
    <n v="100"/>
    <n v="0"/>
    <n v="100"/>
    <n v="100"/>
    <n v="351919"/>
    <n v="327285"/>
    <n v="587"/>
    <n v="365"/>
    <n v="222"/>
    <n v="0"/>
    <d v="2022-05-24T00:00:00"/>
    <s v="E036709"/>
    <n v="385000"/>
    <n v="385000"/>
    <s v="SWD"/>
    <n v="30"/>
    <s v="N"/>
    <s v="Y"/>
    <n v="395300"/>
    <n v="60800"/>
    <n v="334500"/>
    <n v="0"/>
    <n v="416317.82870539813"/>
    <n v="427823.72438727535"/>
    <n v="-11505.894980999999"/>
    <n v="132535.48800000001"/>
    <n v="88356.992000000013"/>
    <n v="-24051.387388882686"/>
    <n v="37154.252388000001"/>
    <n v="30300.329274"/>
    <n v="-2066.0808999999999"/>
    <n v="69649.984080000009"/>
    <n v="66491.707427999994"/>
    <n v="0"/>
    <n v="4112.8784489"/>
    <n v="9807.1044999999995"/>
    <n v="15532.453640000002"/>
    <n v="0"/>
    <n v="416317.82648901735"/>
    <n v="0"/>
    <n v="352000"/>
    <n v="64300"/>
    <n v="416300"/>
    <n v="0.92481383617583468"/>
    <n v="5.3124209461168734E-2"/>
    <n v="0.99970000000000003"/>
    <n v="0.99819999999999998"/>
    <n v="0.997"/>
    <n v="1.0008999999999999"/>
    <n v="1.0138"/>
    <n v="0.94971499999999998"/>
    <n v="0.95906710936476258"/>
    <n v="358100"/>
    <n v="0"/>
    <n v="358100"/>
    <n v="61100"/>
    <n v="419200"/>
    <n v="7.0553064275037367E-2"/>
    <n v="4.9342105263157892E-3"/>
    <n v="6.0460409815330129E-2"/>
    <n v="1.0589457273220779"/>
  </r>
  <r>
    <n v="2025"/>
    <n v="19120141540"/>
    <n v="-1.8325814637483102"/>
    <n v="0.16"/>
    <n v="7172"/>
    <n v="2"/>
    <s v="RES"/>
    <n v="317"/>
    <s v="MX"/>
    <s v="R1"/>
    <n v="11"/>
    <n v="259"/>
    <s v="CO"/>
    <s v="A+"/>
    <s v="GD"/>
    <n v="2005"/>
    <n v="2005"/>
    <x v="1"/>
    <n v="19"/>
    <n v="19"/>
    <n v="2"/>
    <n v="1116"/>
    <n v="1116"/>
    <n v="0"/>
    <n v="0"/>
    <n v="0"/>
    <n v="0"/>
    <n v="2232"/>
    <x v="1"/>
    <n v="2"/>
    <s v="N"/>
    <s v="FD"/>
    <s v="G"/>
    <s v="Y"/>
    <n v="0"/>
    <n v="0"/>
    <n v="1"/>
    <n v="0"/>
    <n v="1"/>
    <n v="13"/>
    <n v="440"/>
    <n v="0"/>
    <n v="0"/>
    <n v="0"/>
    <n v="100"/>
    <n v="0"/>
    <n v="100"/>
    <n v="100"/>
    <n v="351919"/>
    <n v="327285"/>
    <n v="656"/>
    <n v="365"/>
    <n v="291"/>
    <n v="0"/>
    <d v="2022-03-16T00:00:00"/>
    <s v="E035597"/>
    <n v="403000"/>
    <n v="403000"/>
    <s v="SWD"/>
    <n v="30"/>
    <s v="N"/>
    <s v="Y"/>
    <n v="395300"/>
    <n v="60800"/>
    <n v="334500"/>
    <n v="0"/>
    <n v="398138.64246377652"/>
    <n v="414298.14331731602"/>
    <n v="-16159.499930999998"/>
    <n v="132535.48800000001"/>
    <n v="88356.992000000013"/>
    <n v="-24051.387388882686"/>
    <n v="37154.252388000001"/>
    <n v="30300.329274"/>
    <n v="-2066.0808999999999"/>
    <n v="69649.984080000009"/>
    <n v="66491.707427999994"/>
    <n v="0"/>
    <n v="-9412.7029999999995"/>
    <n v="9807.1044999999995"/>
    <n v="15532.453640000002"/>
    <n v="0"/>
    <n v="398138.64009011741"/>
    <n v="0"/>
    <n v="333800"/>
    <n v="64300"/>
    <n v="398100"/>
    <n v="1.0123084652097463"/>
    <n v="7.0832279281558309E-3"/>
    <n v="0.99970000000000003"/>
    <n v="0.99819999999999998"/>
    <n v="0.997"/>
    <n v="1.0008999999999999"/>
    <n v="1.0138"/>
    <n v="0.94971499999999998"/>
    <n v="0.95906710936476258"/>
    <n v="344600"/>
    <n v="0"/>
    <n v="344600"/>
    <n v="61100"/>
    <n v="405700"/>
    <n v="3.0194319880418534E-2"/>
    <n v="4.9342105263157892E-3"/>
    <n v="2.6309132304578802E-2"/>
    <n v="0.96660173714392061"/>
  </r>
  <r>
    <n v="2025"/>
    <n v="19120141542"/>
    <n v="-1.7719568419318752"/>
    <n v="0.17"/>
    <n v="7328"/>
    <n v="2"/>
    <s v="RES"/>
    <n v="317"/>
    <s v="MX"/>
    <s v="R1"/>
    <n v="11"/>
    <n v="259"/>
    <s v="CO"/>
    <s v="A+"/>
    <s v="GD"/>
    <n v="2005"/>
    <n v="2005"/>
    <x v="1"/>
    <n v="19"/>
    <n v="19"/>
    <n v="2"/>
    <n v="1116"/>
    <n v="1116"/>
    <n v="0"/>
    <n v="0"/>
    <n v="0"/>
    <n v="0"/>
    <n v="2232"/>
    <x v="1"/>
    <n v="2"/>
    <s v="S"/>
    <s v="FD"/>
    <s v="G"/>
    <s v="Y"/>
    <n v="0"/>
    <n v="0"/>
    <n v="1"/>
    <n v="0"/>
    <n v="1"/>
    <n v="13"/>
    <n v="440"/>
    <n v="0"/>
    <n v="0"/>
    <n v="0"/>
    <n v="100"/>
    <n v="0"/>
    <n v="100"/>
    <n v="100"/>
    <n v="351919"/>
    <n v="327285"/>
    <n v="594"/>
    <n v="365"/>
    <n v="229"/>
    <n v="0"/>
    <d v="2022-05-17T00:00:00"/>
    <s v="E036464"/>
    <n v="420000"/>
    <n v="420000"/>
    <s v="SWD"/>
    <n v="30"/>
    <s v="N"/>
    <s v="Y"/>
    <n v="411700"/>
    <n v="61700"/>
    <n v="350000"/>
    <n v="0"/>
    <n v="416641.38082155038"/>
    <n v="428619.38137591508"/>
    <n v="-11977.999830999999"/>
    <n v="132535.48800000001"/>
    <n v="88356.992000000013"/>
    <n v="-23255.730391660189"/>
    <n v="37154.252388000001"/>
    <n v="30300.329274"/>
    <n v="-2066.0808999999999"/>
    <n v="69649.984080000009"/>
    <n v="66491.707427999994"/>
    <n v="0"/>
    <n v="4112.8784489"/>
    <n v="9807.1044999999995"/>
    <n v="15532.453640000002"/>
    <n v="0"/>
    <n v="416641.37863623991"/>
    <n v="0"/>
    <n v="351500"/>
    <n v="65100"/>
    <n v="416600"/>
    <n v="1.0081613058089294"/>
    <n v="1.1901870293903327E-2"/>
    <n v="0.99970000000000003"/>
    <n v="0.99819999999999998"/>
    <n v="0.997"/>
    <n v="1.0008999999999999"/>
    <n v="1.0138"/>
    <n v="0.94971499999999998"/>
    <n v="0.95906710936476258"/>
    <n v="358100"/>
    <n v="0"/>
    <n v="358100"/>
    <n v="61800"/>
    <n v="419900"/>
    <n v="2.3142857142857142E-2"/>
    <n v="1.6207455429497568E-3"/>
    <n v="1.9917415593879037E-2"/>
    <n v="0.97124285754523809"/>
  </r>
  <r>
    <n v="2025"/>
    <n v="19120141544"/>
    <n v="-1.7719568419318752"/>
    <n v="0.17"/>
    <n v="7339"/>
    <n v="2"/>
    <s v="RES"/>
    <n v="317"/>
    <s v="MX"/>
    <s v="R1"/>
    <n v="11"/>
    <n v="259"/>
    <s v="CO"/>
    <s v="A+"/>
    <s v="AV"/>
    <n v="2005"/>
    <n v="2005"/>
    <x v="1"/>
    <n v="19"/>
    <n v="19"/>
    <n v="2"/>
    <n v="1158"/>
    <n v="1322"/>
    <n v="0"/>
    <n v="0"/>
    <n v="0"/>
    <n v="0"/>
    <n v="2480"/>
    <x v="1"/>
    <n v="2"/>
    <s v="N"/>
    <s v="FD"/>
    <s v="G"/>
    <s v="Y"/>
    <n v="0"/>
    <n v="0"/>
    <n v="1"/>
    <n v="0"/>
    <n v="1"/>
    <n v="13"/>
    <n v="0"/>
    <n v="502"/>
    <n v="0"/>
    <n v="0"/>
    <n v="100"/>
    <n v="0"/>
    <n v="100"/>
    <n v="100"/>
    <n v="381262"/>
    <n v="346948"/>
    <n v="479"/>
    <n v="365"/>
    <n v="114"/>
    <n v="0"/>
    <d v="2022-09-09T00:00:00"/>
    <s v="E038157"/>
    <n v="400000"/>
    <n v="400000"/>
    <s v="SWD"/>
    <n v="30"/>
    <s v="N"/>
    <s v="Y"/>
    <n v="428500"/>
    <n v="61700"/>
    <n v="366800"/>
    <n v="0"/>
    <n v="422492.13578321395"/>
    <n v="426714.12771814159"/>
    <n v="-4221.9915810000002"/>
    <n v="132535.48800000001"/>
    <n v="88356.992000000013"/>
    <n v="-23255.730391660189"/>
    <n v="37154.252388000001"/>
    <n v="17761.121909000001"/>
    <n v="-2066.0808999999999"/>
    <n v="72271.22004"/>
    <n v="78765.266325999997"/>
    <n v="0"/>
    <n v="-9412.7029999999995"/>
    <n v="9807.1044999999995"/>
    <n v="0"/>
    <n v="24797.193599999999"/>
    <n v="422492.13289033988"/>
    <n v="0"/>
    <n v="357400"/>
    <n v="65100"/>
    <n v="422500"/>
    <n v="0.94674556213017746"/>
    <n v="-1.4002333722287048E-2"/>
    <n v="0.99970000000000003"/>
    <n v="0.99819999999999998"/>
    <n v="0.99680000000000002"/>
    <n v="1.0008999999999999"/>
    <n v="1.0138"/>
    <n v="0.94971499999999998"/>
    <n v="0.95887471877110886"/>
    <n v="356200"/>
    <n v="0"/>
    <n v="356200"/>
    <n v="61800"/>
    <n v="418000"/>
    <n v="-2.8898582333696837E-2"/>
    <n v="1.6207455429497568E-3"/>
    <n v="-2.4504084014002333E-2"/>
    <n v="1.0344450210475"/>
  </r>
  <r>
    <n v="2025"/>
    <n v="19120141441"/>
    <n v="-1.7719568419318752"/>
    <n v="0.17"/>
    <n v="7222"/>
    <n v="2"/>
    <s v="RES"/>
    <n v="317"/>
    <s v="MX"/>
    <s v="R1"/>
    <n v="11"/>
    <n v="259"/>
    <s v="CO"/>
    <s v="A+"/>
    <s v="GD"/>
    <n v="2004"/>
    <n v="2004"/>
    <x v="1"/>
    <n v="20"/>
    <n v="20"/>
    <n v="2"/>
    <n v="1158"/>
    <n v="1322"/>
    <n v="0"/>
    <n v="0"/>
    <n v="0"/>
    <n v="0"/>
    <n v="2480"/>
    <x v="1"/>
    <n v="2"/>
    <s v="N"/>
    <s v="FD"/>
    <s v="G"/>
    <s v="Y"/>
    <n v="0"/>
    <n v="0"/>
    <n v="0"/>
    <n v="0"/>
    <n v="1"/>
    <n v="13"/>
    <n v="0"/>
    <n v="502"/>
    <n v="0"/>
    <n v="0"/>
    <n v="460"/>
    <n v="460"/>
    <n v="100"/>
    <n v="100"/>
    <n v="390417"/>
    <n v="363088"/>
    <n v="923"/>
    <n v="365"/>
    <n v="365"/>
    <n v="193"/>
    <d v="2021-06-22T00:00:00"/>
    <s v="E031858"/>
    <n v="380000"/>
    <n v="380000"/>
    <s v="SWD"/>
    <n v="30"/>
    <s v="N"/>
    <s v="Y"/>
    <n v="427600"/>
    <n v="61700"/>
    <n v="365900"/>
    <n v="0"/>
    <n v="363990.27978292684"/>
    <n v="429337.48943170259"/>
    <n v="-65347.206831000003"/>
    <n v="132535.48800000001"/>
    <n v="88356.992000000013"/>
    <n v="-23255.730391660189"/>
    <n v="37154.252388000001"/>
    <n v="30300.329274"/>
    <n v="-2174.8220000000001"/>
    <n v="72271.22004"/>
    <n v="78765.266325999997"/>
    <n v="0"/>
    <n v="-9412.7029999999995"/>
    <n v="0"/>
    <n v="0"/>
    <n v="24797.193599999999"/>
    <n v="363990.2794053398"/>
    <n v="0"/>
    <n v="298900"/>
    <n v="65100"/>
    <n v="364000"/>
    <n v="1.043956043956044"/>
    <n v="-0.14873713751169318"/>
    <n v="0.99970000000000003"/>
    <n v="0.99819999999999998"/>
    <n v="0.997"/>
    <n v="1.0008999999999999"/>
    <n v="1.0138"/>
    <n v="0.94971499999999998"/>
    <n v="0.95906710936476258"/>
    <n v="358800"/>
    <n v="0"/>
    <n v="358800"/>
    <n v="61800"/>
    <n v="420600"/>
    <n v="-1.9404208800218641E-2"/>
    <n v="1.6207455429497568E-3"/>
    <n v="-1.6370439663236671E-2"/>
    <n v="0.93487577149736845"/>
  </r>
  <r>
    <n v="2025"/>
    <n v="19120144424"/>
    <n v="-1.7147984280919266"/>
    <n v="0.18"/>
    <n v="7895"/>
    <n v="2"/>
    <s v="RES"/>
    <n v="317"/>
    <s v="MX"/>
    <s v="R2"/>
    <n v="11"/>
    <n v="259"/>
    <s v="RN"/>
    <s v="A+"/>
    <s v="AV"/>
    <n v="2004"/>
    <n v="2004"/>
    <x v="1"/>
    <n v="20"/>
    <n v="20"/>
    <n v="1"/>
    <n v="1092"/>
    <n v="0"/>
    <n v="0"/>
    <n v="0"/>
    <n v="0"/>
    <n v="0"/>
    <n v="1092"/>
    <x v="3"/>
    <n v="2"/>
    <s v="N"/>
    <s v="FD"/>
    <s v="G"/>
    <s v="Y"/>
    <n v="0"/>
    <n v="0"/>
    <n v="0"/>
    <n v="1"/>
    <n v="0"/>
    <n v="8"/>
    <n v="440"/>
    <n v="0"/>
    <n v="0"/>
    <n v="240"/>
    <n v="0"/>
    <n v="240"/>
    <n v="100"/>
    <n v="100"/>
    <n v="219182"/>
    <n v="203839"/>
    <n v="188"/>
    <n v="188"/>
    <n v="0"/>
    <n v="0"/>
    <d v="2023-06-27T00:00:00"/>
    <s v="E040650"/>
    <n v="335000"/>
    <n v="329874"/>
    <s v="SWD"/>
    <n v="30"/>
    <s v="N"/>
    <s v="Y"/>
    <n v="331600"/>
    <n v="62500"/>
    <n v="269100"/>
    <n v="5126"/>
    <n v="327184.87901866162"/>
    <n v="325399.35641952784"/>
    <n v="1785.5225928"/>
    <n v="132535.48800000001"/>
    <n v="88356.992000000013"/>
    <n v="-22505.565020573864"/>
    <n v="37154.252388000001"/>
    <n v="17761.121909000001"/>
    <n v="-2174.8220000000001"/>
    <n v="68152.13496000001"/>
    <n v="0"/>
    <n v="0"/>
    <n v="-9412.7029999999995"/>
    <n v="0"/>
    <n v="15532.453640000002"/>
    <n v="0"/>
    <n v="327184.87546922622"/>
    <n v="5100"/>
    <n v="261300"/>
    <n v="65900"/>
    <n v="332300"/>
    <n v="1.0081251880830575"/>
    <n v="2.1109770808202654E-3"/>
    <n v="0.99970000000000003"/>
    <n v="0.99819999999999998"/>
    <n v="0.99680000000000002"/>
    <n v="0.99519999999999997"/>
    <n v="1.0138"/>
    <n v="0.94971499999999998"/>
    <n v="0.95341404747827707"/>
    <n v="253400"/>
    <n v="4900"/>
    <n v="258300"/>
    <n v="62500"/>
    <n v="320800"/>
    <n v="-4.0133779264214048E-2"/>
    <n v="0"/>
    <n v="-3.2569360675512665E-2"/>
    <n v="0.96294185848597003"/>
  </r>
  <r>
    <n v="2025"/>
    <n v="19120144427"/>
    <n v="-1.8325814637483102"/>
    <n v="0.16"/>
    <n v="7031"/>
    <n v="2"/>
    <s v="RES"/>
    <n v="317"/>
    <s v="MX"/>
    <s v="R2"/>
    <n v="11"/>
    <n v="259"/>
    <s v="RN"/>
    <s v="A+"/>
    <s v="AV"/>
    <n v="2004"/>
    <n v="2004"/>
    <x v="1"/>
    <n v="20"/>
    <n v="20"/>
    <n v="1"/>
    <n v="1436"/>
    <n v="0"/>
    <n v="0"/>
    <n v="0"/>
    <n v="0"/>
    <n v="0"/>
    <n v="1436"/>
    <x v="3"/>
    <n v="2"/>
    <s v="N"/>
    <s v="HP"/>
    <s v="G"/>
    <m/>
    <n v="0"/>
    <n v="0"/>
    <n v="0"/>
    <n v="1"/>
    <n v="0"/>
    <n v="8"/>
    <n v="400"/>
    <n v="0"/>
    <n v="0"/>
    <n v="0"/>
    <n v="100"/>
    <n v="0"/>
    <n v="100"/>
    <n v="100"/>
    <n v="254889"/>
    <n v="229400"/>
    <n v="364"/>
    <n v="364"/>
    <n v="0"/>
    <n v="0"/>
    <d v="2023-01-02T00:00:00"/>
    <s v="E039173"/>
    <n v="358000"/>
    <n v="358000"/>
    <s v="SWD"/>
    <n v="30"/>
    <s v="N"/>
    <s v="Y"/>
    <n v="401200"/>
    <n v="60800"/>
    <n v="340400"/>
    <n v="0"/>
    <n v="347367.7392412686"/>
    <n v="343910.66357060533"/>
    <n v="3457.0756584000001"/>
    <n v="132535.48800000001"/>
    <n v="88356.992000000013"/>
    <n v="-24051.387388882686"/>
    <n v="37154.252388000001"/>
    <n v="17761.121909000001"/>
    <n v="-2174.8220000000001"/>
    <n v="89621.305680000005"/>
    <n v="0"/>
    <n v="0"/>
    <n v="-9412.7029999999995"/>
    <n v="0"/>
    <n v="14120.412400000001"/>
    <n v="0"/>
    <n v="347367.73564651737"/>
    <n v="0"/>
    <n v="283100"/>
    <n v="64300"/>
    <n v="347400"/>
    <n v="1.0305123776626368"/>
    <n v="-0.13409770687936193"/>
    <n v="0.99970000000000003"/>
    <n v="0.99819999999999998"/>
    <n v="0.99680000000000002"/>
    <n v="0.99519999999999997"/>
    <n v="1.0138"/>
    <n v="0.94971499999999998"/>
    <n v="0.95341404747827707"/>
    <n v="273400"/>
    <n v="0"/>
    <n v="273400"/>
    <n v="61100"/>
    <n v="334500"/>
    <n v="-0.19682726204465334"/>
    <n v="4.9342105263157892E-3"/>
    <n v="-0.16625124626121635"/>
    <n v="0.94401417781675978"/>
  </r>
  <r>
    <n v="2025"/>
    <n v="19120144451"/>
    <n v="-1.8325814637483102"/>
    <n v="0.16"/>
    <n v="6955"/>
    <n v="2"/>
    <s v="RES"/>
    <n v="317"/>
    <s v="MX"/>
    <s v="R2"/>
    <n v="11"/>
    <n v="259"/>
    <s v="RN"/>
    <s v="A+"/>
    <s v="GD"/>
    <n v="2004"/>
    <n v="2004"/>
    <x v="1"/>
    <n v="20"/>
    <n v="20"/>
    <n v="1"/>
    <n v="1106"/>
    <n v="0"/>
    <n v="0"/>
    <n v="0"/>
    <n v="0"/>
    <n v="0"/>
    <n v="1106"/>
    <x v="3"/>
    <n v="2"/>
    <s v="N"/>
    <s v="FD"/>
    <s v="G"/>
    <s v="Y"/>
    <n v="0"/>
    <n v="0"/>
    <n v="0"/>
    <n v="1"/>
    <n v="0"/>
    <n v="8"/>
    <n v="426"/>
    <n v="0"/>
    <n v="0"/>
    <n v="0"/>
    <n v="272"/>
    <n v="0"/>
    <n v="100"/>
    <n v="100"/>
    <n v="212016"/>
    <n v="197175"/>
    <n v="957"/>
    <n v="365"/>
    <n v="365"/>
    <n v="227"/>
    <d v="2021-05-19T00:00:00"/>
    <s v="E031295"/>
    <n v="260000"/>
    <n v="260000"/>
    <s v="SWD"/>
    <n v="30"/>
    <s v="N"/>
    <s v="Y"/>
    <n v="336700"/>
    <n v="60800"/>
    <n v="275900"/>
    <n v="0"/>
    <n v="263639.0827842232"/>
    <n v="336772.27232499578"/>
    <n v="-73133.186430999995"/>
    <n v="132535.48800000001"/>
    <n v="88356.992000000013"/>
    <n v="-24051.387388882686"/>
    <n v="37154.252388000001"/>
    <n v="30300.329274"/>
    <n v="-2174.8220000000001"/>
    <n v="69025.880279999998"/>
    <n v="0"/>
    <n v="0"/>
    <n v="-9412.7029999999995"/>
    <n v="0"/>
    <n v="15038.239206"/>
    <n v="0"/>
    <n v="263639.08232811734"/>
    <n v="0"/>
    <n v="199300"/>
    <n v="64300"/>
    <n v="263600"/>
    <n v="0.98634294385432475"/>
    <n v="-0.21710721710721712"/>
    <n v="0.99970000000000003"/>
    <n v="0.99819999999999998"/>
    <n v="0.997"/>
    <n v="0.99519999999999997"/>
    <n v="1.0138"/>
    <n v="0.94971499999999998"/>
    <n v="0.95360534243162343"/>
    <n v="266300"/>
    <n v="0"/>
    <n v="266300"/>
    <n v="61100"/>
    <n v="327400"/>
    <n v="-3.4795215657847045E-2"/>
    <n v="4.9342105263157892E-3"/>
    <n v="-2.7621027621027621E-2"/>
    <n v="0.97794928295769223"/>
  </r>
  <r>
    <n v="2025"/>
    <n v="19120144456"/>
    <n v="-1.8325814637483102"/>
    <n v="0.16"/>
    <n v="7002"/>
    <n v="2"/>
    <s v="RES"/>
    <n v="317"/>
    <s v="MX"/>
    <s v="R2"/>
    <n v="11"/>
    <n v="259"/>
    <s v="CP"/>
    <s v="A+"/>
    <s v="AV"/>
    <n v="2004"/>
    <n v="2004"/>
    <x v="1"/>
    <n v="20"/>
    <n v="20"/>
    <n v="1"/>
    <n v="2154"/>
    <n v="0"/>
    <n v="0"/>
    <n v="0"/>
    <n v="0"/>
    <n v="0"/>
    <n v="2154"/>
    <x v="1"/>
    <n v="3"/>
    <s v="B"/>
    <s v="FD"/>
    <s v="G"/>
    <s v="Y"/>
    <n v="0"/>
    <n v="0"/>
    <n v="1"/>
    <n v="0"/>
    <n v="0"/>
    <n v="11"/>
    <n v="730"/>
    <n v="0"/>
    <n v="0"/>
    <n v="224"/>
    <n v="0"/>
    <n v="0"/>
    <n v="100"/>
    <n v="100"/>
    <n v="371550"/>
    <n v="334395"/>
    <n v="250"/>
    <n v="250"/>
    <n v="0"/>
    <n v="0"/>
    <d v="2023-04-26T00:00:00"/>
    <s v="E040068"/>
    <n v="395000"/>
    <n v="395000"/>
    <s v="SWD"/>
    <n v="30"/>
    <s v="N"/>
    <s v="Y"/>
    <n v="391600"/>
    <n v="60800"/>
    <n v="330800"/>
    <n v="0"/>
    <n v="427264.65301060711"/>
    <n v="424890.2878521845"/>
    <n v="2374.3651500000001"/>
    <n v="132535.48800000001"/>
    <n v="88356.992000000013"/>
    <n v="-24051.387388882686"/>
    <n v="37154.252388000001"/>
    <n v="17761.121909000001"/>
    <n v="-2174.8220000000001"/>
    <n v="134431.95852000001"/>
    <n v="0"/>
    <n v="0"/>
    <n v="5299.8242"/>
    <n v="9807.1044999999995"/>
    <n v="25769.752630000003"/>
    <n v="0"/>
    <n v="427264.64990811731"/>
    <n v="0"/>
    <n v="363000"/>
    <n v="64300"/>
    <n v="427300"/>
    <n v="0.92440908027147206"/>
    <n v="9.1164453524004083E-2"/>
    <n v="0.99970000000000003"/>
    <n v="0.99819999999999998"/>
    <n v="0.99680000000000002"/>
    <n v="1.0008999999999999"/>
    <n v="1.0138"/>
    <n v="0.94971499999999998"/>
    <n v="0.95887471877110886"/>
    <n v="355100"/>
    <n v="0"/>
    <n v="355100"/>
    <n v="61100"/>
    <n v="416200"/>
    <n v="7.3458282950423212E-2"/>
    <n v="4.9342105263157892E-3"/>
    <n v="6.2819203268641474E-2"/>
    <n v="1.0596819370886077"/>
  </r>
  <r>
    <n v="2025"/>
    <n v="19120144459"/>
    <n v="-1.8325814637483102"/>
    <n v="0.16"/>
    <n v="7000"/>
    <n v="2"/>
    <s v="RES"/>
    <n v="317"/>
    <s v="MX"/>
    <s v="R2"/>
    <n v="11"/>
    <n v="259"/>
    <s v="RN"/>
    <s v="A+"/>
    <s v="GD"/>
    <n v="2004"/>
    <n v="2004"/>
    <x v="1"/>
    <n v="20"/>
    <n v="20"/>
    <n v="1"/>
    <n v="1380"/>
    <n v="0"/>
    <n v="0"/>
    <n v="0"/>
    <n v="0"/>
    <n v="0"/>
    <n v="1380"/>
    <x v="3"/>
    <n v="2"/>
    <s v="N"/>
    <s v="FD"/>
    <s v="G"/>
    <s v="Y"/>
    <n v="0"/>
    <n v="0"/>
    <n v="0"/>
    <n v="1"/>
    <n v="0"/>
    <n v="8"/>
    <n v="428"/>
    <n v="0"/>
    <n v="0"/>
    <n v="0"/>
    <n v="100"/>
    <n v="0"/>
    <n v="100"/>
    <n v="100"/>
    <n v="253311"/>
    <n v="235579"/>
    <n v="854"/>
    <n v="365"/>
    <n v="365"/>
    <n v="124"/>
    <d v="2021-08-30T00:00:00"/>
    <s v="E032930"/>
    <n v="330000"/>
    <n v="330000"/>
    <s v="SWD"/>
    <n v="30"/>
    <s v="N"/>
    <s v="Y"/>
    <n v="373500"/>
    <n v="60800"/>
    <n v="312700"/>
    <n v="0"/>
    <n v="304397.06805665098"/>
    <n v="353943.31851284485"/>
    <n v="-49546.248231000005"/>
    <n v="132535.48800000001"/>
    <n v="88356.992000000013"/>
    <n v="-24051.387388882686"/>
    <n v="37154.252388000001"/>
    <n v="30300.329274"/>
    <n v="-2174.8220000000001"/>
    <n v="86126.324399999998"/>
    <n v="0"/>
    <n v="0"/>
    <n v="-9412.7029999999995"/>
    <n v="0"/>
    <n v="15108.841268"/>
    <n v="0"/>
    <n v="304397.06671011733"/>
    <n v="0"/>
    <n v="240100"/>
    <n v="64300"/>
    <n v="304400"/>
    <n v="1.0840998685939554"/>
    <n v="-0.18500669344042839"/>
    <n v="0.99970000000000003"/>
    <n v="0.99819999999999998"/>
    <n v="0.997"/>
    <n v="0.99519999999999997"/>
    <n v="1.0138"/>
    <n v="0.94971499999999998"/>
    <n v="0.95360534243162343"/>
    <n v="283500"/>
    <n v="0"/>
    <n v="283500"/>
    <n v="61100"/>
    <n v="344600"/>
    <n v="-9.3380236648544931E-2"/>
    <n v="4.9342105263157892E-3"/>
    <n v="-7.737617135207496E-2"/>
    <n v="0.89410227808787868"/>
  </r>
  <r>
    <n v="2025"/>
    <n v="19120144462"/>
    <n v="-1.8325814637483102"/>
    <n v="0.16"/>
    <n v="7000"/>
    <n v="2"/>
    <s v="RES"/>
    <n v="317"/>
    <s v="MX"/>
    <s v="R2"/>
    <n v="11"/>
    <n v="259"/>
    <s v="RN"/>
    <s v="A+"/>
    <s v="AV"/>
    <n v="2004"/>
    <n v="2004"/>
    <x v="1"/>
    <n v="20"/>
    <n v="20"/>
    <n v="1"/>
    <n v="1380"/>
    <n v="0"/>
    <n v="0"/>
    <n v="0"/>
    <n v="0"/>
    <n v="0"/>
    <n v="1380"/>
    <x v="3"/>
    <n v="2"/>
    <s v="N"/>
    <s v="FD"/>
    <s v="G"/>
    <s v="Y"/>
    <n v="0"/>
    <n v="0"/>
    <n v="0"/>
    <n v="1"/>
    <n v="0"/>
    <n v="8"/>
    <n v="428"/>
    <n v="0"/>
    <n v="0"/>
    <n v="0"/>
    <n v="100"/>
    <n v="0"/>
    <n v="100"/>
    <n v="100"/>
    <n v="246718"/>
    <n v="222046"/>
    <n v="545"/>
    <n v="365"/>
    <n v="180"/>
    <n v="0"/>
    <d v="2022-07-05T00:00:00"/>
    <s v="E037347"/>
    <n v="312000"/>
    <n v="312000"/>
    <s v="SWD"/>
    <n v="30"/>
    <s v="N"/>
    <s v="Y"/>
    <n v="347500"/>
    <n v="60800"/>
    <n v="286700"/>
    <n v="0"/>
    <n v="332730.84470018744"/>
    <n v="341404.11114713986"/>
    <n v="-8673.2658809999994"/>
    <n v="132535.48800000001"/>
    <n v="88356.992000000013"/>
    <n v="-24051.387388882686"/>
    <n v="37154.252388000001"/>
    <n v="17761.121909000001"/>
    <n v="-2174.8220000000001"/>
    <n v="86126.324399999998"/>
    <n v="0"/>
    <n v="0"/>
    <n v="-9412.7029999999995"/>
    <n v="0"/>
    <n v="15108.841268"/>
    <n v="0"/>
    <n v="332730.84169511736"/>
    <n v="0"/>
    <n v="268400"/>
    <n v="64300"/>
    <n v="332700"/>
    <n v="0.93778178539224522"/>
    <n v="-4.2589928057553954E-2"/>
    <n v="0.99970000000000003"/>
    <n v="0.99819999999999998"/>
    <n v="0.99680000000000002"/>
    <n v="0.99519999999999997"/>
    <n v="1.0138"/>
    <n v="0.94971499999999998"/>
    <n v="0.95341404747827707"/>
    <n v="270900"/>
    <n v="0"/>
    <n v="270900"/>
    <n v="61100"/>
    <n v="332000"/>
    <n v="-5.5109870945238927E-2"/>
    <n v="4.9342105263157892E-3"/>
    <n v="-4.4604316546762592E-2"/>
    <n v="1.0363036349967949"/>
  </r>
  <r>
    <n v="2025"/>
    <n v="19120144467"/>
    <n v="-1.8325814637483102"/>
    <n v="0.16"/>
    <n v="7000"/>
    <n v="2"/>
    <s v="RES"/>
    <n v="317"/>
    <s v="MX"/>
    <s v="R2"/>
    <n v="11"/>
    <n v="259"/>
    <s v="RN"/>
    <s v="A+"/>
    <s v="AV"/>
    <n v="2004"/>
    <n v="2004"/>
    <x v="1"/>
    <n v="20"/>
    <n v="20"/>
    <n v="1"/>
    <n v="1380"/>
    <n v="0"/>
    <n v="0"/>
    <n v="0"/>
    <n v="0"/>
    <n v="0"/>
    <n v="1380"/>
    <x v="3"/>
    <n v="2"/>
    <s v="N"/>
    <s v="FD"/>
    <s v="G"/>
    <s v="Y"/>
    <n v="0"/>
    <n v="0"/>
    <n v="0"/>
    <n v="1"/>
    <n v="0"/>
    <n v="8"/>
    <n v="428"/>
    <n v="0"/>
    <n v="0"/>
    <n v="0"/>
    <n v="100"/>
    <n v="0"/>
    <n v="100"/>
    <n v="100"/>
    <n v="248548"/>
    <n v="223693"/>
    <n v="608"/>
    <n v="365"/>
    <n v="243"/>
    <n v="0"/>
    <d v="2022-05-03T00:00:00"/>
    <s v="E036307"/>
    <n v="335000"/>
    <n v="335000"/>
    <s v="SWD"/>
    <n v="30"/>
    <s v="N"/>
    <s v="Y"/>
    <n v="350200"/>
    <n v="60800"/>
    <n v="289400"/>
    <n v="0"/>
    <n v="328481.90084780019"/>
    <n v="341404.11114713986"/>
    <n v="-12922.209531"/>
    <n v="132535.48800000001"/>
    <n v="88356.992000000013"/>
    <n v="-24051.387388882686"/>
    <n v="37154.252388000001"/>
    <n v="17761.121909000001"/>
    <n v="-2174.8220000000001"/>
    <n v="86126.324399999998"/>
    <n v="0"/>
    <n v="0"/>
    <n v="-9412.7029999999995"/>
    <n v="0"/>
    <n v="15108.841268"/>
    <n v="0"/>
    <n v="328481.89804511738"/>
    <n v="0"/>
    <n v="264200"/>
    <n v="64300"/>
    <n v="328500"/>
    <n v="1.0197869101978692"/>
    <n v="-6.196459166190748E-2"/>
    <n v="0.99970000000000003"/>
    <n v="0.99819999999999998"/>
    <n v="0.99680000000000002"/>
    <n v="0.99519999999999997"/>
    <n v="1.0138"/>
    <n v="0.94971499999999998"/>
    <n v="0.95341404747827707"/>
    <n v="270900"/>
    <n v="0"/>
    <n v="270900"/>
    <n v="61100"/>
    <n v="332000"/>
    <n v="-6.392536281962681E-2"/>
    <n v="4.9342105263157892E-3"/>
    <n v="-5.1970302684180465E-2"/>
    <n v="0.95247101632537312"/>
  </r>
  <r>
    <n v="2025"/>
    <n v="19120144473"/>
    <n v="-1.8325814637483102"/>
    <n v="0.16"/>
    <n v="7017"/>
    <n v="2"/>
    <s v="RES"/>
    <n v="317"/>
    <s v="MX"/>
    <s v="R2"/>
    <n v="11"/>
    <n v="259"/>
    <s v="RN"/>
    <s v="A+"/>
    <s v="AV"/>
    <n v="2004"/>
    <n v="2004"/>
    <x v="1"/>
    <n v="20"/>
    <n v="20"/>
    <n v="1"/>
    <n v="1543"/>
    <n v="0"/>
    <n v="0"/>
    <n v="0"/>
    <n v="0"/>
    <n v="0"/>
    <n v="1543"/>
    <x v="0"/>
    <n v="2"/>
    <s v="S"/>
    <s v="FD"/>
    <s v="G"/>
    <s v="Y"/>
    <n v="0"/>
    <n v="0"/>
    <n v="0"/>
    <n v="0"/>
    <n v="0"/>
    <n v="8"/>
    <n v="433"/>
    <n v="0"/>
    <n v="0"/>
    <n v="0"/>
    <n v="100"/>
    <n v="0"/>
    <n v="100"/>
    <n v="100"/>
    <n v="270988"/>
    <n v="243889"/>
    <n v="829"/>
    <n v="365"/>
    <n v="365"/>
    <n v="99"/>
    <d v="2021-09-24T00:00:00"/>
    <s v="E033319"/>
    <n v="269000"/>
    <n v="269000"/>
    <s v="SWD"/>
    <n v="30"/>
    <s v="N"/>
    <s v="Y"/>
    <n v="355000"/>
    <n v="60800"/>
    <n v="294200"/>
    <n v="0"/>
    <n v="321457.824072711"/>
    <n v="365279.08931420132"/>
    <n v="-43821.263231000004"/>
    <n v="132535.48800000001"/>
    <n v="88356.992000000013"/>
    <n v="-24051.387388882686"/>
    <n v="37154.252388000001"/>
    <n v="17761.121909000001"/>
    <n v="-2174.8220000000001"/>
    <n v="96299.216339999999"/>
    <n v="0"/>
    <n v="0"/>
    <n v="4112.8784489"/>
    <n v="0"/>
    <n v="15285.346423000001"/>
    <n v="0"/>
    <n v="321457.82288901729"/>
    <n v="0"/>
    <n v="257200"/>
    <n v="64300"/>
    <n v="321500"/>
    <n v="0.83670295489891133"/>
    <n v="-9.4366197183098591E-2"/>
    <n v="0.99970000000000003"/>
    <n v="0.99819999999999998"/>
    <n v="0.99680000000000002"/>
    <n v="1.0007999999999999"/>
    <n v="1.0138"/>
    <n v="0.94971499999999998"/>
    <n v="0.95877891752035749"/>
    <n v="295500"/>
    <n v="0"/>
    <n v="295500"/>
    <n v="61100"/>
    <n v="356600"/>
    <n v="4.4187627464309992E-3"/>
    <n v="4.9342105263157892E-3"/>
    <n v="4.507042253521127E-3"/>
    <n v="1.1627462333420076"/>
  </r>
  <r>
    <n v="2025"/>
    <n v="19120144476"/>
    <n v="-1.8325814637483102"/>
    <n v="0.16"/>
    <n v="7012"/>
    <n v="2"/>
    <s v="RES"/>
    <n v="317"/>
    <s v="MX"/>
    <s v="R2"/>
    <n v="11"/>
    <n v="259"/>
    <s v="RN"/>
    <s v="A+"/>
    <s v="AV"/>
    <n v="2004"/>
    <n v="2004"/>
    <x v="1"/>
    <n v="20"/>
    <n v="20"/>
    <n v="1"/>
    <n v="1380"/>
    <n v="0"/>
    <n v="0"/>
    <n v="0"/>
    <n v="0"/>
    <n v="0"/>
    <n v="1380"/>
    <x v="3"/>
    <n v="2"/>
    <s v="N"/>
    <s v="FD"/>
    <s v="G"/>
    <s v="Y"/>
    <n v="0"/>
    <n v="0"/>
    <n v="0"/>
    <n v="1"/>
    <n v="0"/>
    <n v="8"/>
    <n v="428"/>
    <n v="0"/>
    <n v="0"/>
    <n v="0"/>
    <n v="100"/>
    <n v="0"/>
    <n v="100"/>
    <n v="100"/>
    <n v="248548"/>
    <n v="223693"/>
    <n v="969"/>
    <n v="365"/>
    <n v="365"/>
    <n v="239"/>
    <d v="2021-05-07T00:00:00"/>
    <s v="E031203"/>
    <n v="272000"/>
    <n v="272000"/>
    <s v="SWD"/>
    <n v="30"/>
    <s v="N"/>
    <s v="Y"/>
    <n v="350200"/>
    <n v="60800"/>
    <n v="289400"/>
    <n v="0"/>
    <n v="265522.92870330962"/>
    <n v="341404.11114713986"/>
    <n v="-75881.179231000002"/>
    <n v="132535.48800000001"/>
    <n v="88356.992000000013"/>
    <n v="-24051.387388882686"/>
    <n v="37154.252388000001"/>
    <n v="17761.121909000001"/>
    <n v="-2174.8220000000001"/>
    <n v="86126.324399999998"/>
    <n v="0"/>
    <n v="0"/>
    <n v="-9412.7029999999995"/>
    <n v="0"/>
    <n v="15108.841268"/>
    <n v="0"/>
    <n v="265522.92834511731"/>
    <n v="0"/>
    <n v="201200"/>
    <n v="64300"/>
    <n v="265500"/>
    <n v="1.024482109227872"/>
    <n v="-0.24186179326099372"/>
    <n v="0.99970000000000003"/>
    <n v="0.99819999999999998"/>
    <n v="0.99680000000000002"/>
    <n v="0.99519999999999997"/>
    <n v="1.0138"/>
    <n v="0.94971499999999998"/>
    <n v="0.95341404747827707"/>
    <n v="270900"/>
    <n v="0"/>
    <n v="270900"/>
    <n v="61100"/>
    <n v="332000"/>
    <n v="-6.392536281962681E-2"/>
    <n v="4.9342105263157892E-3"/>
    <n v="-5.1970302684180465E-2"/>
    <n v="0.94161331165073525"/>
  </r>
  <r>
    <n v="2025"/>
    <n v="19120144478"/>
    <n v="-1.8325814637483102"/>
    <n v="0.16"/>
    <n v="7009"/>
    <n v="2"/>
    <s v="RES"/>
    <n v="317"/>
    <s v="MX"/>
    <s v="R2"/>
    <n v="11"/>
    <n v="259"/>
    <s v="RN"/>
    <s v="A+"/>
    <s v="AV"/>
    <n v="2004"/>
    <n v="2004"/>
    <x v="1"/>
    <n v="20"/>
    <n v="20"/>
    <n v="1"/>
    <n v="1380"/>
    <n v="0"/>
    <n v="0"/>
    <n v="0"/>
    <n v="0"/>
    <n v="0"/>
    <n v="1380"/>
    <x v="3"/>
    <n v="2"/>
    <s v="N"/>
    <s v="FD"/>
    <s v="G"/>
    <s v="Y"/>
    <n v="0"/>
    <n v="0"/>
    <n v="0"/>
    <n v="1"/>
    <n v="0"/>
    <n v="8"/>
    <n v="428"/>
    <n v="0"/>
    <n v="0"/>
    <n v="0"/>
    <n v="100"/>
    <n v="0"/>
    <n v="100"/>
    <n v="100"/>
    <n v="248548"/>
    <n v="223693"/>
    <n v="917"/>
    <n v="365"/>
    <n v="365"/>
    <n v="187"/>
    <d v="2021-06-28T00:00:00"/>
    <s v="E031912"/>
    <n v="313000"/>
    <n v="313000"/>
    <s v="SWD"/>
    <n v="30"/>
    <s v="N"/>
    <s v="Y"/>
    <n v="365900"/>
    <n v="60800"/>
    <n v="305100"/>
    <n v="0"/>
    <n v="277430.89794989303"/>
    <n v="341404.11114713986"/>
    <n v="-63973.210431"/>
    <n v="132535.48800000001"/>
    <n v="88356.992000000013"/>
    <n v="-24051.387388882686"/>
    <n v="37154.252388000001"/>
    <n v="17761.121909000001"/>
    <n v="-2174.8220000000001"/>
    <n v="86126.324399999998"/>
    <n v="0"/>
    <n v="0"/>
    <n v="-9412.7029999999995"/>
    <n v="0"/>
    <n v="15108.841268"/>
    <n v="0"/>
    <n v="277430.89714511734"/>
    <n v="0"/>
    <n v="213100"/>
    <n v="64300"/>
    <n v="277400"/>
    <n v="1.128334534967556"/>
    <n v="-0.24186936321399288"/>
    <n v="0.99970000000000003"/>
    <n v="0.99819999999999998"/>
    <n v="0.99680000000000002"/>
    <n v="0.99519999999999997"/>
    <n v="1.0138"/>
    <n v="0.94971499999999998"/>
    <n v="0.95341404747827707"/>
    <n v="270900"/>
    <n v="0"/>
    <n v="270900"/>
    <n v="61100"/>
    <n v="332000"/>
    <n v="-0.11209439528023599"/>
    <n v="4.9342105263157892E-3"/>
    <n v="-9.2648264553156598E-2"/>
    <n v="0.85631562162619812"/>
  </r>
  <r>
    <n v="2025"/>
    <n v="19120144493"/>
    <n v="-1.8325814637483102"/>
    <n v="0.16"/>
    <n v="7000"/>
    <n v="2"/>
    <s v="RES"/>
    <n v="317"/>
    <s v="MX"/>
    <s v="R2"/>
    <n v="11"/>
    <n v="259"/>
    <s v="RN"/>
    <s v="A+"/>
    <s v="GD"/>
    <n v="2004"/>
    <n v="2004"/>
    <x v="1"/>
    <n v="20"/>
    <n v="20"/>
    <n v="1"/>
    <n v="1706"/>
    <n v="0"/>
    <n v="0"/>
    <n v="0"/>
    <n v="0"/>
    <n v="0"/>
    <n v="1706"/>
    <x v="0"/>
    <n v="0"/>
    <s v="N"/>
    <s v="FD"/>
    <s v="E"/>
    <s v="Y"/>
    <n v="0"/>
    <n v="0"/>
    <n v="0"/>
    <n v="0"/>
    <n v="0"/>
    <n v="10"/>
    <n v="466"/>
    <n v="0"/>
    <n v="0"/>
    <n v="0"/>
    <n v="100"/>
    <n v="0"/>
    <n v="100"/>
    <n v="100"/>
    <n v="299330"/>
    <n v="278377"/>
    <n v="490"/>
    <n v="365"/>
    <n v="125"/>
    <n v="0"/>
    <d v="2022-08-29T00:00:00"/>
    <s v="E037869"/>
    <n v="345000"/>
    <n v="345000"/>
    <s v="SWD"/>
    <n v="30"/>
    <s v="N"/>
    <s v="Y"/>
    <n v="380900"/>
    <n v="60800"/>
    <n v="320100"/>
    <n v="0"/>
    <n v="370666.67054466181"/>
    <n v="375630.54156492691"/>
    <n v="-4963.8706309999998"/>
    <n v="132535.48800000001"/>
    <n v="88356.992000000013"/>
    <n v="-24051.387388882686"/>
    <n v="37154.252388000001"/>
    <n v="30300.329274"/>
    <n v="-2174.8220000000001"/>
    <n v="106472.10828"/>
    <n v="0"/>
    <n v="0"/>
    <n v="-9412.7029999999995"/>
    <n v="0"/>
    <n v="16450.280446000001"/>
    <n v="0"/>
    <n v="370666.66736811731"/>
    <n v="0"/>
    <n v="306400"/>
    <n v="64300"/>
    <n v="370700"/>
    <n v="0.93067170218505535"/>
    <n v="-2.6778682068784459E-2"/>
    <n v="0.99970000000000003"/>
    <n v="0.99819999999999998"/>
    <n v="0.997"/>
    <n v="1.0007999999999999"/>
    <n v="1.0138"/>
    <n v="0.94971499999999998"/>
    <n v="0.95897128889225147"/>
    <n v="305900"/>
    <n v="0"/>
    <n v="305900"/>
    <n v="61100"/>
    <n v="367000"/>
    <n v="-4.43611371446423E-2"/>
    <n v="4.9342105263157892E-3"/>
    <n v="-3.6492517721186661E-2"/>
    <n v="1.0493800851275361"/>
  </r>
  <r>
    <n v="2025"/>
    <n v="19120144494"/>
    <n v="-1.8325814637483102"/>
    <n v="0.16"/>
    <n v="7159"/>
    <n v="2"/>
    <s v="RES"/>
    <n v="317"/>
    <s v="MX"/>
    <s v="R2"/>
    <n v="11"/>
    <n v="259"/>
    <s v="RN"/>
    <s v="A+"/>
    <s v="GD"/>
    <n v="2004"/>
    <n v="2004"/>
    <x v="1"/>
    <n v="20"/>
    <n v="20"/>
    <n v="1"/>
    <n v="1543"/>
    <n v="0"/>
    <n v="0"/>
    <n v="0"/>
    <n v="0"/>
    <n v="0"/>
    <n v="1543"/>
    <x v="0"/>
    <n v="2"/>
    <s v="S"/>
    <s v="FD"/>
    <s v="G"/>
    <s v="Y"/>
    <n v="0"/>
    <n v="0"/>
    <n v="0"/>
    <n v="1"/>
    <n v="0"/>
    <n v="8"/>
    <n v="433"/>
    <n v="0"/>
    <n v="0"/>
    <n v="0"/>
    <n v="500"/>
    <n v="0"/>
    <n v="100"/>
    <n v="100"/>
    <n v="275036"/>
    <n v="255783"/>
    <n v="684"/>
    <n v="365"/>
    <n v="319"/>
    <n v="0"/>
    <d v="2022-02-16T00:00:00"/>
    <s v="E035427"/>
    <n v="320000"/>
    <n v="320000"/>
    <s v="SWD"/>
    <n v="30"/>
    <s v="N"/>
    <s v="Y"/>
    <n v="370600"/>
    <n v="60800"/>
    <n v="309800"/>
    <n v="0"/>
    <n v="359770.37633641699"/>
    <n v="377818.29667990637"/>
    <n v="-18047.919331000001"/>
    <n v="132535.48800000001"/>
    <n v="88356.992000000013"/>
    <n v="-24051.387388882686"/>
    <n v="37154.252388000001"/>
    <n v="30300.329274"/>
    <n v="-2174.8220000000001"/>
    <n v="96299.216339999999"/>
    <n v="0"/>
    <n v="0"/>
    <n v="4112.8784489"/>
    <n v="0"/>
    <n v="15285.346423000001"/>
    <n v="0"/>
    <n v="359770.37415401731"/>
    <n v="0"/>
    <n v="295500"/>
    <n v="64300"/>
    <n v="359800"/>
    <n v="0.88938299055030567"/>
    <n v="-2.9141932002158661E-2"/>
    <n v="0.99970000000000003"/>
    <n v="0.99819999999999998"/>
    <n v="0.997"/>
    <n v="1.0007999999999999"/>
    <n v="1.0138"/>
    <n v="0.94971499999999998"/>
    <n v="0.95897128889225147"/>
    <n v="308100"/>
    <n v="0"/>
    <n v="308100"/>
    <n v="61100"/>
    <n v="369200"/>
    <n v="-5.4874112330535827E-3"/>
    <n v="4.9342105263157892E-3"/>
    <n v="-3.7776578521316784E-3"/>
    <n v="1.0973502520906249"/>
  </r>
  <r>
    <n v="2025"/>
    <n v="19120144502"/>
    <n v="-1.8325814637483102"/>
    <n v="0.16"/>
    <n v="7018"/>
    <n v="2"/>
    <s v="RES"/>
    <n v="317"/>
    <s v="MX"/>
    <s v="R3"/>
    <n v="11"/>
    <n v="259"/>
    <s v="RN"/>
    <s v="A+"/>
    <s v="AV"/>
    <n v="2004"/>
    <n v="2004"/>
    <x v="1"/>
    <n v="20"/>
    <n v="20"/>
    <n v="1"/>
    <n v="1706"/>
    <n v="0"/>
    <n v="0"/>
    <n v="0"/>
    <n v="0"/>
    <n v="0"/>
    <n v="1706"/>
    <x v="0"/>
    <n v="2"/>
    <s v="N"/>
    <s v="FD"/>
    <s v="E"/>
    <s v="Y"/>
    <n v="0"/>
    <n v="0"/>
    <n v="0"/>
    <n v="0"/>
    <n v="0"/>
    <n v="10"/>
    <n v="466"/>
    <n v="0"/>
    <n v="0"/>
    <n v="0"/>
    <n v="448"/>
    <n v="0"/>
    <n v="100"/>
    <n v="100"/>
    <n v="302843"/>
    <n v="272559"/>
    <n v="718"/>
    <n v="365"/>
    <n v="353"/>
    <n v="0"/>
    <d v="2022-01-13T00:00:00"/>
    <s v="E034875"/>
    <n v="304500"/>
    <n v="304500"/>
    <s v="SWD"/>
    <n v="30"/>
    <s v="N"/>
    <s v="Y"/>
    <n v="380900"/>
    <n v="60800"/>
    <n v="320100"/>
    <n v="0"/>
    <n v="342750.33304650761"/>
    <n v="363091.33419922186"/>
    <n v="-20341.000031"/>
    <n v="132535.48800000001"/>
    <n v="88356.992000000013"/>
    <n v="-24051.387388882686"/>
    <n v="37154.252388000001"/>
    <n v="17761.121909000001"/>
    <n v="-2174.8220000000001"/>
    <n v="106472.10828"/>
    <n v="0"/>
    <n v="0"/>
    <n v="-9412.7029999999995"/>
    <n v="0"/>
    <n v="16450.280446000001"/>
    <n v="0"/>
    <n v="342750.33060311736"/>
    <n v="0"/>
    <n v="278400"/>
    <n v="64300"/>
    <n v="342700"/>
    <n v="0.88853224394514152"/>
    <n v="-0.10028878970858493"/>
    <n v="0.99970000000000003"/>
    <n v="0.99819999999999998"/>
    <n v="0.99680000000000002"/>
    <n v="1.0007999999999999"/>
    <n v="1.0138"/>
    <n v="0.94971499999999998"/>
    <n v="0.95877891752035749"/>
    <n v="293300"/>
    <n v="0"/>
    <n v="293300"/>
    <n v="61100"/>
    <n v="354400"/>
    <n v="-8.3723836301155888E-2"/>
    <n v="4.9342105263157892E-3"/>
    <n v="-6.9572066159096876E-2"/>
    <n v="1.0970738915238094"/>
  </r>
  <r>
    <n v="2025"/>
    <n v="19120144513"/>
    <n v="-1.8325814637483102"/>
    <n v="0.16"/>
    <n v="7013"/>
    <n v="2"/>
    <s v="RES"/>
    <n v="317"/>
    <s v="MX"/>
    <s v="R3"/>
    <n v="11"/>
    <n v="259"/>
    <s v="RN"/>
    <s v="A+"/>
    <s v="AV"/>
    <n v="2004"/>
    <n v="2004"/>
    <x v="1"/>
    <n v="20"/>
    <n v="20"/>
    <n v="1"/>
    <n v="1380"/>
    <n v="0"/>
    <n v="0"/>
    <n v="0"/>
    <n v="0"/>
    <n v="0"/>
    <n v="1380"/>
    <x v="3"/>
    <n v="2"/>
    <s v="N"/>
    <s v="FD"/>
    <s v="G"/>
    <s v="Y"/>
    <n v="0"/>
    <n v="0"/>
    <n v="0"/>
    <n v="1"/>
    <n v="0"/>
    <n v="8"/>
    <n v="428"/>
    <n v="0"/>
    <n v="0"/>
    <n v="0"/>
    <n v="100"/>
    <n v="0"/>
    <n v="100"/>
    <n v="100"/>
    <n v="248548"/>
    <n v="223693"/>
    <n v="859"/>
    <n v="365"/>
    <n v="365"/>
    <n v="129"/>
    <d v="2021-08-25T00:00:00"/>
    <s v="E032920"/>
    <n v="267200"/>
    <n v="267200"/>
    <s v="SWD"/>
    <n v="30"/>
    <s v="N"/>
    <s v="Y"/>
    <n v="365900"/>
    <n v="60800"/>
    <n v="305100"/>
    <n v="0"/>
    <n v="290712.86364800524"/>
    <n v="341404.11114713986"/>
    <n v="-50691.245231000001"/>
    <n v="132535.48800000001"/>
    <n v="88356.992000000013"/>
    <n v="-24051.387388882686"/>
    <n v="37154.252388000001"/>
    <n v="17761.121909000001"/>
    <n v="-2174.8220000000001"/>
    <n v="86126.324399999998"/>
    <n v="0"/>
    <n v="0"/>
    <n v="-9412.7029999999995"/>
    <n v="0"/>
    <n v="15108.841268"/>
    <n v="0"/>
    <n v="290712.86234511738"/>
    <n v="0"/>
    <n v="226400"/>
    <n v="64300"/>
    <n v="290700"/>
    <n v="0.91916064671482633"/>
    <n v="-0.20552063405301996"/>
    <n v="0.99970000000000003"/>
    <n v="0.99819999999999998"/>
    <n v="0.99680000000000002"/>
    <n v="0.99519999999999997"/>
    <n v="1.0138"/>
    <n v="0.94971499999999998"/>
    <n v="0.95341404747827707"/>
    <n v="270900"/>
    <n v="0"/>
    <n v="270900"/>
    <n v="61100"/>
    <n v="332000"/>
    <n v="-0.11209439528023599"/>
    <n v="4.9342105263157892E-3"/>
    <n v="-9.2648264553156598E-2"/>
    <n v="1.0528022259318861"/>
  </r>
  <r>
    <n v="2025"/>
    <n v="19120144515"/>
    <n v="-1.8325814637483102"/>
    <n v="0.16"/>
    <n v="7014"/>
    <n v="2"/>
    <s v="RES"/>
    <n v="317"/>
    <s v="MX"/>
    <s v="R3"/>
    <n v="11"/>
    <n v="259"/>
    <s v="RN"/>
    <s v="A+"/>
    <s v="AV"/>
    <n v="2004"/>
    <n v="2004"/>
    <x v="1"/>
    <n v="20"/>
    <n v="20"/>
    <n v="1"/>
    <n v="1380"/>
    <n v="0"/>
    <n v="0"/>
    <n v="0"/>
    <n v="0"/>
    <n v="0"/>
    <n v="1380"/>
    <x v="3"/>
    <n v="0"/>
    <s v="N"/>
    <s v="FD"/>
    <s v="G"/>
    <s v="Y"/>
    <n v="0"/>
    <n v="0"/>
    <n v="0"/>
    <n v="1"/>
    <n v="0"/>
    <n v="8"/>
    <n v="428"/>
    <n v="0"/>
    <n v="0"/>
    <n v="0"/>
    <n v="100"/>
    <n v="0"/>
    <n v="100"/>
    <n v="100"/>
    <n v="248548"/>
    <n v="223693"/>
    <n v="1071"/>
    <n v="365"/>
    <n v="365"/>
    <n v="341"/>
    <d v="2021-01-25T00:00:00"/>
    <s v="E029945"/>
    <n v="260000"/>
    <n v="260000"/>
    <s v="SWD"/>
    <n v="30"/>
    <s v="N"/>
    <s v="Y"/>
    <n v="365900"/>
    <n v="60800"/>
    <n v="305100"/>
    <n v="0"/>
    <n v="242164.98902731907"/>
    <n v="341404.11114713986"/>
    <n v="-99239.118031000005"/>
    <n v="132535.48800000001"/>
    <n v="88356.992000000013"/>
    <n v="-24051.387388882686"/>
    <n v="37154.252388000001"/>
    <n v="17761.121909000001"/>
    <n v="-2174.8220000000001"/>
    <n v="86126.324399999998"/>
    <n v="0"/>
    <n v="0"/>
    <n v="-9412.7029999999995"/>
    <n v="0"/>
    <n v="15108.841268"/>
    <n v="0"/>
    <n v="242164.98954511731"/>
    <n v="0"/>
    <n v="177900"/>
    <n v="64300"/>
    <n v="242200"/>
    <n v="1.0734929810074318"/>
    <n v="-0.33807051106859798"/>
    <n v="0.99970000000000003"/>
    <n v="0.99819999999999998"/>
    <n v="0.99680000000000002"/>
    <n v="0.99519999999999997"/>
    <n v="1.0138"/>
    <n v="0.94971499999999998"/>
    <n v="0.95341404747827707"/>
    <n v="270900"/>
    <n v="0"/>
    <n v="270900"/>
    <n v="61100"/>
    <n v="332000"/>
    <n v="-0.11209439528023599"/>
    <n v="4.9342105263157892E-3"/>
    <n v="-9.2648264553156598E-2"/>
    <n v="0.89523416141923073"/>
  </r>
  <r>
    <n v="2025"/>
    <n v="19120144537"/>
    <n v="-1.8325814637483102"/>
    <n v="0.16"/>
    <n v="7011"/>
    <n v="2"/>
    <s v="RES"/>
    <n v="317"/>
    <s v="MX"/>
    <s v="R2"/>
    <n v="11"/>
    <n v="259"/>
    <s v="CO"/>
    <s v="A+"/>
    <s v="AV"/>
    <n v="2004"/>
    <n v="2004"/>
    <x v="1"/>
    <n v="20"/>
    <n v="20"/>
    <n v="2"/>
    <n v="1116"/>
    <n v="1116"/>
    <n v="0"/>
    <n v="0"/>
    <n v="0"/>
    <n v="0"/>
    <n v="2232"/>
    <x v="1"/>
    <n v="2"/>
    <s v="N"/>
    <s v="FD"/>
    <s v="G"/>
    <s v="Y"/>
    <n v="0"/>
    <n v="0"/>
    <n v="0"/>
    <n v="0"/>
    <n v="1"/>
    <n v="13"/>
    <n v="440"/>
    <n v="0"/>
    <n v="0"/>
    <n v="0"/>
    <n v="100"/>
    <n v="0"/>
    <n v="100"/>
    <n v="100"/>
    <n v="347819"/>
    <n v="313037"/>
    <n v="612"/>
    <n v="365"/>
    <n v="247"/>
    <n v="0"/>
    <d v="2022-04-29T00:00:00"/>
    <s v="E036239"/>
    <n v="398000"/>
    <n v="398000"/>
    <s v="SWD"/>
    <n v="30"/>
    <s v="N"/>
    <s v="Y"/>
    <n v="409900"/>
    <n v="60800"/>
    <n v="349100"/>
    <n v="0"/>
    <n v="378651.10578727734"/>
    <n v="391843.09029946703"/>
    <n v="-13191.983731"/>
    <n v="132535.48800000001"/>
    <n v="88356.992000000013"/>
    <n v="-24051.387388882686"/>
    <n v="37154.252388000001"/>
    <n v="17761.121909000001"/>
    <n v="-2174.8220000000001"/>
    <n v="69649.984080000009"/>
    <n v="66491.707427999994"/>
    <n v="0"/>
    <n v="-9412.7029999999995"/>
    <n v="0"/>
    <n v="15532.453640000002"/>
    <n v="0"/>
    <n v="378651.10332511738"/>
    <n v="0"/>
    <n v="314300"/>
    <n v="64300"/>
    <n v="378600"/>
    <n v="1.0512414157422081"/>
    <n v="-7.6360087826299092E-2"/>
    <n v="0.99970000000000003"/>
    <n v="0.99819999999999998"/>
    <n v="0.99680000000000002"/>
    <n v="1.0008999999999999"/>
    <n v="1.0138"/>
    <n v="0.94971499999999998"/>
    <n v="0.95887471877110886"/>
    <n v="322100"/>
    <n v="0"/>
    <n v="322100"/>
    <n v="61100"/>
    <n v="383200"/>
    <n v="-7.7341735892294469E-2"/>
    <n v="4.9342105263157892E-3"/>
    <n v="-6.5137838497194442E-2"/>
    <n v="0.92966838258542717"/>
  </r>
  <r>
    <n v="2025"/>
    <n v="19120144543"/>
    <n v="-1.8325814637483102"/>
    <n v="0.16"/>
    <n v="7148"/>
    <n v="2"/>
    <s v="RES"/>
    <n v="317"/>
    <s v="MX"/>
    <s v="R2"/>
    <n v="11"/>
    <n v="259"/>
    <s v="RN"/>
    <s v="A+"/>
    <s v="GD"/>
    <n v="2004"/>
    <n v="2004"/>
    <x v="1"/>
    <n v="20"/>
    <n v="20"/>
    <n v="1"/>
    <n v="1364"/>
    <n v="0"/>
    <n v="0"/>
    <n v="0"/>
    <n v="0"/>
    <n v="0"/>
    <n v="1364"/>
    <x v="3"/>
    <n v="2"/>
    <s v="S"/>
    <s v="FD"/>
    <s v="G"/>
    <s v="Y"/>
    <n v="0"/>
    <n v="0"/>
    <n v="0"/>
    <n v="1"/>
    <n v="0"/>
    <n v="8"/>
    <n v="428"/>
    <n v="0"/>
    <n v="0"/>
    <n v="0"/>
    <n v="100"/>
    <n v="0"/>
    <n v="100"/>
    <n v="100"/>
    <n v="247101"/>
    <n v="229804"/>
    <n v="833"/>
    <n v="365"/>
    <n v="365"/>
    <n v="103"/>
    <d v="2021-09-20T00:00:00"/>
    <s v="E033354"/>
    <n v="298000"/>
    <n v="298000"/>
    <s v="SWD"/>
    <n v="30"/>
    <s v="N"/>
    <s v="Y"/>
    <n v="350700"/>
    <n v="60800"/>
    <n v="289900"/>
    <n v="0"/>
    <n v="321733.07062657754"/>
    <n v="366470.3335024204"/>
    <n v="-44737.260831"/>
    <n v="132535.48800000001"/>
    <n v="88356.992000000013"/>
    <n v="-24051.387388882686"/>
    <n v="37154.252388000001"/>
    <n v="30300.329274"/>
    <n v="-2174.8220000000001"/>
    <n v="85127.758320000008"/>
    <n v="0"/>
    <n v="0"/>
    <n v="4112.8784489"/>
    <n v="0"/>
    <n v="15108.841268"/>
    <n v="0"/>
    <n v="321733.0694790174"/>
    <n v="0"/>
    <n v="257400"/>
    <n v="64300"/>
    <n v="321700"/>
    <n v="0.92632887783649365"/>
    <n v="-8.2691759338465926E-2"/>
    <n v="0.99970000000000003"/>
    <n v="0.99819999999999998"/>
    <n v="0.997"/>
    <n v="0.99519999999999997"/>
    <n v="1.0138"/>
    <n v="0.94971499999999998"/>
    <n v="0.95360534243162343"/>
    <n v="296000"/>
    <n v="0"/>
    <n v="296000"/>
    <n v="61100"/>
    <n v="357100"/>
    <n v="2.1041738530527768E-2"/>
    <n v="4.9342105263157892E-3"/>
    <n v="1.8249215854006275E-2"/>
    <n v="1.0481971113053692"/>
  </r>
  <r>
    <n v="2025"/>
    <n v="19120144544"/>
    <n v="-1.8325814637483102"/>
    <n v="0.16"/>
    <n v="7148"/>
    <n v="2"/>
    <s v="RES"/>
    <n v="317"/>
    <s v="MX"/>
    <s v="R2"/>
    <n v="11"/>
    <n v="259"/>
    <s v="RN"/>
    <s v="A+"/>
    <s v="GD"/>
    <n v="2004"/>
    <n v="2004"/>
    <x v="1"/>
    <n v="20"/>
    <n v="20"/>
    <n v="1"/>
    <n v="1380"/>
    <n v="0"/>
    <n v="0"/>
    <n v="0"/>
    <n v="0"/>
    <n v="0"/>
    <n v="1380"/>
    <x v="3"/>
    <n v="2"/>
    <s v="N"/>
    <s v="FD"/>
    <s v="G"/>
    <s v="Y"/>
    <n v="0"/>
    <n v="0"/>
    <n v="1"/>
    <n v="1"/>
    <n v="0"/>
    <n v="8"/>
    <n v="428"/>
    <n v="0"/>
    <n v="0"/>
    <n v="0"/>
    <n v="100"/>
    <n v="100"/>
    <n v="100"/>
    <n v="100"/>
    <n v="254270"/>
    <n v="239014"/>
    <n v="280"/>
    <n v="280"/>
    <n v="0"/>
    <n v="0"/>
    <d v="2023-03-27T00:00:00"/>
    <s v="E039822"/>
    <n v="335000"/>
    <n v="335000"/>
    <s v="SWD"/>
    <n v="30"/>
    <s v="N"/>
    <s v="Y"/>
    <n v="350200"/>
    <n v="60800"/>
    <n v="289400"/>
    <n v="0"/>
    <n v="366409.71201065322"/>
    <n v="363750.42303321988"/>
    <n v="2659.2889679999998"/>
    <n v="132535.48800000001"/>
    <n v="88356.992000000013"/>
    <n v="-24051.387388882686"/>
    <n v="37154.252388000001"/>
    <n v="30300.329274"/>
    <n v="-2174.8220000000001"/>
    <n v="86126.324399999998"/>
    <n v="0"/>
    <n v="0"/>
    <n v="-9412.7029999999995"/>
    <n v="9807.1044999999995"/>
    <n v="15108.841268"/>
    <n v="0"/>
    <n v="366409.70840911736"/>
    <n v="0"/>
    <n v="302100"/>
    <n v="64300"/>
    <n v="366400"/>
    <n v="0.9143013100436681"/>
    <n v="4.6259280411193607E-2"/>
    <n v="0.99970000000000003"/>
    <n v="0.99819999999999998"/>
    <n v="0.997"/>
    <n v="0.99519999999999997"/>
    <n v="1.0138"/>
    <n v="0.94971499999999998"/>
    <n v="0.95360534243162343"/>
    <n v="293300"/>
    <n v="0"/>
    <n v="293300"/>
    <n v="61100"/>
    <n v="354400"/>
    <n v="1.3476157567380787E-2"/>
    <n v="4.9342105263157892E-3"/>
    <n v="1.1993146773272416E-2"/>
    <n v="1.0658486237850746"/>
  </r>
  <r>
    <n v="2025"/>
    <n v="19120144547"/>
    <n v="-1.8325814637483102"/>
    <n v="0.16"/>
    <n v="7134"/>
    <n v="2"/>
    <s v="RES"/>
    <n v="317"/>
    <s v="MX"/>
    <s v="R2"/>
    <n v="11"/>
    <n v="259"/>
    <s v="RN"/>
    <s v="A+"/>
    <s v="GD"/>
    <n v="2004"/>
    <n v="2004"/>
    <x v="1"/>
    <n v="20"/>
    <n v="20"/>
    <n v="1"/>
    <n v="1380"/>
    <n v="0"/>
    <n v="0"/>
    <n v="0"/>
    <n v="0"/>
    <n v="0"/>
    <n v="1380"/>
    <x v="3"/>
    <n v="2"/>
    <s v="N"/>
    <s v="FD"/>
    <s v="G"/>
    <s v="Y"/>
    <n v="0"/>
    <n v="0"/>
    <n v="0"/>
    <n v="1"/>
    <n v="0"/>
    <n v="8"/>
    <n v="428"/>
    <n v="0"/>
    <n v="0"/>
    <n v="0"/>
    <n v="100"/>
    <n v="0"/>
    <n v="100"/>
    <n v="100"/>
    <n v="248548"/>
    <n v="231150"/>
    <n v="640"/>
    <n v="365"/>
    <n v="275"/>
    <n v="0"/>
    <d v="2022-04-01T00:00:00"/>
    <s v="E035856"/>
    <n v="345000"/>
    <n v="345000"/>
    <s v="SWD"/>
    <n v="30"/>
    <s v="N"/>
    <s v="Y"/>
    <n v="350200"/>
    <n v="60800"/>
    <n v="289400"/>
    <n v="0"/>
    <n v="338862.91451070533"/>
    <n v="353943.31851284485"/>
    <n v="-15080.403130999999"/>
    <n v="132535.48800000001"/>
    <n v="88356.992000000013"/>
    <n v="-24051.387388882686"/>
    <n v="37154.252388000001"/>
    <n v="30300.329274"/>
    <n v="-2174.8220000000001"/>
    <n v="86126.324399999998"/>
    <n v="0"/>
    <n v="0"/>
    <n v="-9412.7029999999995"/>
    <n v="0"/>
    <n v="15108.841268"/>
    <n v="0"/>
    <n v="338862.91181011737"/>
    <n v="0"/>
    <n v="274600"/>
    <n v="64300"/>
    <n v="338900"/>
    <n v="1.0179994098554146"/>
    <n v="-3.2267275842375785E-2"/>
    <n v="0.99970000000000003"/>
    <n v="0.99819999999999998"/>
    <n v="0.997"/>
    <n v="0.99519999999999997"/>
    <n v="1.0138"/>
    <n v="0.94971499999999998"/>
    <n v="0.95360534243162343"/>
    <n v="283500"/>
    <n v="0"/>
    <n v="283500"/>
    <n v="61100"/>
    <n v="344600"/>
    <n v="-2.0387007601935039E-2"/>
    <n v="4.9342105263157892E-3"/>
    <n v="-1.5990862364363222E-2"/>
    <n v="0.95512926628695649"/>
  </r>
  <r>
    <n v="2025"/>
    <n v="19120144549"/>
    <n v="-1.8325814637483102"/>
    <n v="0.16"/>
    <n v="7134"/>
    <n v="2"/>
    <s v="RES"/>
    <n v="317"/>
    <s v="MX"/>
    <s v="R2"/>
    <n v="11"/>
    <n v="259"/>
    <s v="CO"/>
    <s v="A+"/>
    <s v="AV"/>
    <n v="2004"/>
    <n v="2004"/>
    <x v="1"/>
    <n v="20"/>
    <n v="20"/>
    <n v="2"/>
    <n v="1040"/>
    <n v="1040"/>
    <n v="0"/>
    <n v="0"/>
    <n v="0"/>
    <n v="0"/>
    <n v="2080"/>
    <x v="1"/>
    <n v="2"/>
    <s v="N"/>
    <s v="FD"/>
    <s v="G"/>
    <s v="Y"/>
    <n v="0"/>
    <n v="0"/>
    <n v="1"/>
    <n v="0"/>
    <n v="1"/>
    <n v="13"/>
    <n v="440"/>
    <n v="0"/>
    <n v="0"/>
    <n v="0"/>
    <n v="100"/>
    <n v="0"/>
    <n v="100"/>
    <n v="100"/>
    <n v="334442"/>
    <n v="300998"/>
    <n v="798"/>
    <n v="365"/>
    <n v="365"/>
    <n v="68"/>
    <d v="2021-10-25T00:00:00"/>
    <s v="E033838"/>
    <n v="375000"/>
    <n v="375000"/>
    <s v="SWD"/>
    <n v="30"/>
    <s v="N"/>
    <s v="Y"/>
    <n v="406800"/>
    <n v="60800"/>
    <n v="346000"/>
    <n v="0"/>
    <n v="355656.61327634909"/>
    <n v="392378.89685160713"/>
    <n v="-36722.281831"/>
    <n v="132535.48800000001"/>
    <n v="88356.992000000013"/>
    <n v="-24051.387388882686"/>
    <n v="37154.252388000001"/>
    <n v="17761.121909000001"/>
    <n v="-2174.8220000000001"/>
    <n v="64906.7952"/>
    <n v="61963.598319999997"/>
    <n v="0"/>
    <n v="-9412.7029999999995"/>
    <n v="9807.1044999999995"/>
    <n v="15532.453640000002"/>
    <n v="0"/>
    <n v="355656.6117371174"/>
    <n v="0"/>
    <n v="291400"/>
    <n v="64300"/>
    <n v="355700"/>
    <n v="1.0542592071970762"/>
    <n v="-0.12561455260570306"/>
    <n v="0.99970000000000003"/>
    <n v="0.99819999999999998"/>
    <n v="0.99680000000000002"/>
    <n v="1.0008999999999999"/>
    <n v="1.0138"/>
    <n v="0.94971499999999998"/>
    <n v="0.95887471877110886"/>
    <n v="322600"/>
    <n v="0"/>
    <n v="322600"/>
    <n v="61100"/>
    <n v="383700"/>
    <n v="-6.7630057803468202E-2"/>
    <n v="4.9342105263157892E-3"/>
    <n v="-5.6784660766961655E-2"/>
    <n v="0.92527391511733337"/>
  </r>
  <r>
    <n v="2025"/>
    <n v="19120144563"/>
    <n v="-1.7147984280919266"/>
    <n v="0.18"/>
    <n v="7686"/>
    <n v="2"/>
    <s v="RES"/>
    <s v="MX"/>
    <s v="MX"/>
    <s v="R2"/>
    <n v="11"/>
    <n v="259"/>
    <s v="RN"/>
    <s v="G"/>
    <s v="AV"/>
    <n v="2004"/>
    <n v="2004"/>
    <x v="1"/>
    <n v="20"/>
    <n v="20"/>
    <n v="1"/>
    <n v="1706"/>
    <n v="0"/>
    <n v="0"/>
    <n v="0"/>
    <n v="0"/>
    <n v="0"/>
    <n v="1706"/>
    <x v="0"/>
    <n v="2"/>
    <s v="S"/>
    <s v="FD"/>
    <s v="G"/>
    <s v="Y"/>
    <n v="0"/>
    <n v="0"/>
    <n v="1"/>
    <n v="0"/>
    <n v="0"/>
    <n v="10"/>
    <n v="466"/>
    <n v="0"/>
    <n v="0"/>
    <n v="0"/>
    <n v="100"/>
    <n v="0"/>
    <n v="100"/>
    <n v="100"/>
    <n v="342416"/>
    <n v="308174"/>
    <n v="65"/>
    <n v="65"/>
    <n v="0"/>
    <n v="0"/>
    <d v="2023-10-28T00:00:00"/>
    <s v="E041947"/>
    <n v="385000"/>
    <n v="385000"/>
    <s v="SWD"/>
    <n v="30"/>
    <s v="N"/>
    <s v="Y"/>
    <n v="382600"/>
    <n v="62500"/>
    <n v="320100"/>
    <n v="0"/>
    <n v="384350.77388626849"/>
    <n v="383733.43894507858"/>
    <n v="617.33493899999996"/>
    <n v="132535.48800000001"/>
    <n v="88356.992000000013"/>
    <n v="-22505.565020573864"/>
    <n v="32917.849192000001"/>
    <n v="17761.121909000001"/>
    <n v="-2174.8220000000001"/>
    <n v="106472.10828"/>
    <n v="0"/>
    <n v="0"/>
    <n v="4112.8784489"/>
    <n v="9807.1044999999995"/>
    <n v="16450.280446000001"/>
    <n v="0"/>
    <n v="384350.77069432614"/>
    <n v="0"/>
    <n v="318500"/>
    <n v="65900"/>
    <n v="384400"/>
    <n v="1.0015608740894901"/>
    <n v="4.7046523784631472E-3"/>
    <n v="0.99970000000000003"/>
    <n v="1.0019"/>
    <n v="0.99680000000000002"/>
    <n v="1.0007999999999999"/>
    <n v="1.0138"/>
    <n v="0.94971499999999998"/>
    <n v="0.96233279649734105"/>
    <n v="312900"/>
    <n v="0"/>
    <n v="312900"/>
    <n v="62500"/>
    <n v="375400"/>
    <n v="-2.2492970946579195E-2"/>
    <n v="0"/>
    <n v="-1.8818609513852589E-2"/>
    <n v="0.97666840243896114"/>
  </r>
  <r>
    <n v="2025"/>
    <n v="19120144565"/>
    <n v="-1.7719568419318752"/>
    <n v="0.17"/>
    <n v="7558"/>
    <n v="2"/>
    <s v="RES"/>
    <n v="317"/>
    <s v="MX"/>
    <s v="R2"/>
    <n v="11"/>
    <n v="259"/>
    <s v="CO"/>
    <s v="A+"/>
    <s v="GD"/>
    <n v="2004"/>
    <n v="2004"/>
    <x v="1"/>
    <n v="20"/>
    <n v="20"/>
    <n v="2"/>
    <n v="1116"/>
    <n v="1116"/>
    <n v="0"/>
    <n v="0"/>
    <n v="0"/>
    <n v="0"/>
    <n v="2232"/>
    <x v="1"/>
    <n v="3"/>
    <s v="B"/>
    <s v="FD"/>
    <s v="G"/>
    <s v="Y"/>
    <n v="0"/>
    <n v="0"/>
    <n v="1"/>
    <n v="0"/>
    <n v="1"/>
    <n v="13"/>
    <n v="716"/>
    <n v="0"/>
    <n v="0"/>
    <n v="0"/>
    <n v="264"/>
    <n v="0"/>
    <n v="100"/>
    <n v="100"/>
    <n v="362778"/>
    <n v="337384"/>
    <n v="567"/>
    <n v="365"/>
    <n v="202"/>
    <n v="0"/>
    <d v="2022-06-13T00:00:00"/>
    <s v="E037198"/>
    <n v="405000"/>
    <n v="405000"/>
    <s v="SWD"/>
    <n v="30"/>
    <s v="N"/>
    <s v="Y"/>
    <n v="407200"/>
    <n v="61700"/>
    <n v="345500"/>
    <n v="0"/>
    <n v="429283.6458060632"/>
    <n v="439440.67042369058"/>
    <n v="-10157.023981"/>
    <n v="132535.48800000001"/>
    <n v="88356.992000000013"/>
    <n v="-23255.730391660189"/>
    <n v="37154.252388000001"/>
    <n v="30300.329274"/>
    <n v="-2174.8220000000001"/>
    <n v="69649.984080000009"/>
    <n v="66491.707427999994"/>
    <n v="0"/>
    <n v="5299.8242"/>
    <n v="9807.1044999999995"/>
    <n v="25275.538196000001"/>
    <n v="0"/>
    <n v="429283.64369333984"/>
    <n v="0"/>
    <n v="364200"/>
    <n v="65100"/>
    <n v="429300"/>
    <n v="0.94339622641509435"/>
    <n v="5.427308447937132E-2"/>
    <n v="0.99970000000000003"/>
    <n v="0.99819999999999998"/>
    <n v="0.997"/>
    <n v="1.0008999999999999"/>
    <n v="1.0138"/>
    <n v="0.94971499999999998"/>
    <n v="0.95906710936476258"/>
    <n v="368900"/>
    <n v="0"/>
    <n v="368900"/>
    <n v="61800"/>
    <n v="430700"/>
    <n v="6.7727930535455866E-2"/>
    <n v="1.6207455429497568E-3"/>
    <n v="5.7711198428290769E-2"/>
    <n v="1.0383777185654322"/>
  </r>
  <r>
    <n v="2025"/>
    <n v="19120144569"/>
    <n v="-1.8325814637483102"/>
    <n v="0.16"/>
    <n v="7173"/>
    <n v="2"/>
    <s v="RES"/>
    <n v="317"/>
    <s v="MX"/>
    <s v="R1"/>
    <n v="11"/>
    <n v="259"/>
    <s v="RN"/>
    <s v="A+"/>
    <s v="GD"/>
    <n v="2004"/>
    <n v="2004"/>
    <x v="1"/>
    <n v="20"/>
    <n v="20"/>
    <n v="1"/>
    <n v="1364"/>
    <n v="0"/>
    <n v="0"/>
    <n v="0"/>
    <n v="0"/>
    <n v="0"/>
    <n v="1364"/>
    <x v="3"/>
    <n v="2"/>
    <s v="N"/>
    <s v="FD"/>
    <s v="G"/>
    <s v="Y"/>
    <n v="0"/>
    <n v="0"/>
    <n v="0"/>
    <n v="1"/>
    <n v="0"/>
    <n v="8"/>
    <n v="428"/>
    <n v="0"/>
    <n v="0"/>
    <n v="0"/>
    <n v="440"/>
    <n v="0"/>
    <n v="100"/>
    <n v="100"/>
    <n v="250532"/>
    <n v="232995"/>
    <n v="823"/>
    <n v="365"/>
    <n v="365"/>
    <n v="93"/>
    <d v="2021-09-30T00:00:00"/>
    <s v="E033355"/>
    <n v="324000"/>
    <n v="324000"/>
    <s v="SWD"/>
    <n v="30"/>
    <s v="N"/>
    <s v="Y"/>
    <n v="350700"/>
    <n v="60800"/>
    <n v="289900"/>
    <n v="0"/>
    <n v="310497.4836424996"/>
    <n v="352944.75243246107"/>
    <n v="-42447.266831000001"/>
    <n v="132535.48800000001"/>
    <n v="88356.992000000013"/>
    <n v="-24051.387388882686"/>
    <n v="37154.252388000001"/>
    <n v="30300.329274"/>
    <n v="-2174.8220000000001"/>
    <n v="85127.758320000008"/>
    <n v="0"/>
    <n v="0"/>
    <n v="-9412.7029999999995"/>
    <n v="0"/>
    <n v="15108.841268"/>
    <n v="0"/>
    <n v="310497.48203011736"/>
    <n v="0"/>
    <n v="246200"/>
    <n v="64300"/>
    <n v="310500"/>
    <n v="1.0434782608695652"/>
    <n v="-0.1146278870829769"/>
    <n v="0.99970000000000003"/>
    <n v="0.99819999999999998"/>
    <n v="0.997"/>
    <n v="0.99519999999999997"/>
    <n v="1.0138"/>
    <n v="0.94971499999999998"/>
    <n v="0.95360534243162343"/>
    <n v="282500"/>
    <n v="0"/>
    <n v="282500"/>
    <n v="61100"/>
    <n v="343600"/>
    <n v="-2.5526043463263193E-2"/>
    <n v="4.9342105263157892E-3"/>
    <n v="-2.0245223838038208E-2"/>
    <n v="0.92948374434876546"/>
  </r>
  <r>
    <n v="2025"/>
    <n v="19120144572"/>
    <n v="-1.7719568419318752"/>
    <n v="0.17"/>
    <n v="7198"/>
    <n v="2"/>
    <s v="RES"/>
    <n v="317"/>
    <s v="MX"/>
    <s v="R2"/>
    <n v="11"/>
    <n v="259"/>
    <s v="CO"/>
    <s v="A+"/>
    <s v="VG"/>
    <n v="2004"/>
    <n v="2004"/>
    <x v="1"/>
    <n v="20"/>
    <n v="20"/>
    <n v="2"/>
    <n v="1116"/>
    <n v="1116"/>
    <n v="0"/>
    <n v="0"/>
    <n v="0"/>
    <n v="0"/>
    <n v="2232"/>
    <x v="1"/>
    <n v="2"/>
    <s v="B"/>
    <s v="FD"/>
    <s v="G"/>
    <s v="Y"/>
    <n v="0"/>
    <n v="0"/>
    <n v="0"/>
    <n v="0"/>
    <n v="1"/>
    <n v="13"/>
    <n v="440"/>
    <n v="0"/>
    <n v="0"/>
    <n v="0"/>
    <n v="300"/>
    <n v="0"/>
    <n v="100"/>
    <n v="100"/>
    <n v="349809"/>
    <n v="328820"/>
    <n v="781"/>
    <n v="365"/>
    <n v="365"/>
    <n v="51"/>
    <d v="2021-11-11T00:00:00"/>
    <s v="E034196"/>
    <n v="399500"/>
    <n v="399500"/>
    <s v="SWD"/>
    <n v="30"/>
    <s v="N"/>
    <s v="Y"/>
    <n v="410800"/>
    <n v="61700"/>
    <n v="349100"/>
    <n v="0"/>
    <n v="407199.23762241402"/>
    <n v="440028.53125167359"/>
    <n v="-32829.292030999997"/>
    <n v="132535.48800000001"/>
    <n v="88356.992000000013"/>
    <n v="-23255.730391660189"/>
    <n v="37154.252388000001"/>
    <n v="50438.379078999998"/>
    <n v="-2174.8220000000001"/>
    <n v="69649.984080000009"/>
    <n v="66491.707427999994"/>
    <n v="0"/>
    <n v="5299.8242"/>
    <n v="0"/>
    <n v="15532.453640000002"/>
    <n v="0"/>
    <n v="407199.23639233987"/>
    <n v="0"/>
    <n v="342100"/>
    <n v="65100"/>
    <n v="407200"/>
    <n v="0.98109037328094306"/>
    <n v="-8.7633885102239538E-3"/>
    <n v="0.99970000000000003"/>
    <n v="0.99819999999999998"/>
    <n v="1.0007999999999999"/>
    <n v="1.0008999999999999"/>
    <n v="1.0138"/>
    <n v="0.94971499999999998"/>
    <n v="0.962722530644187"/>
    <n v="370000"/>
    <n v="0"/>
    <n v="370000"/>
    <n v="61800"/>
    <n v="431800"/>
    <n v="5.9868232598109423E-2"/>
    <n v="1.6207455429497568E-3"/>
    <n v="5.1119766309639728E-2"/>
    <n v="0.99867511381476837"/>
  </r>
  <r>
    <n v="2025"/>
    <n v="19120144572"/>
    <n v="-1.7719568419318752"/>
    <n v="0.17"/>
    <n v="7198"/>
    <n v="2"/>
    <s v="RES"/>
    <s v="MX"/>
    <s v="MX"/>
    <s v="R2"/>
    <n v="11"/>
    <n v="259"/>
    <s v="CO"/>
    <s v="G"/>
    <s v="VG"/>
    <n v="2004"/>
    <n v="2004"/>
    <x v="1"/>
    <n v="20"/>
    <n v="20"/>
    <n v="2"/>
    <n v="1116"/>
    <n v="1116"/>
    <n v="0"/>
    <n v="0"/>
    <n v="0"/>
    <n v="0"/>
    <n v="2232"/>
    <x v="1"/>
    <n v="2"/>
    <s v="B"/>
    <s v="FD"/>
    <s v="G"/>
    <s v="Y"/>
    <n v="0"/>
    <n v="0"/>
    <n v="0"/>
    <n v="0"/>
    <n v="1"/>
    <n v="13"/>
    <n v="440"/>
    <n v="0"/>
    <n v="0"/>
    <n v="0"/>
    <n v="300"/>
    <n v="0"/>
    <n v="100"/>
    <n v="100"/>
    <n v="398788"/>
    <n v="374861"/>
    <n v="20"/>
    <n v="20"/>
    <n v="0"/>
    <n v="0"/>
    <d v="2023-12-12T00:00:00"/>
    <s v="E042287"/>
    <n v="450000"/>
    <n v="450000"/>
    <s v="SWD"/>
    <n v="30"/>
    <s v="N"/>
    <s v="Y"/>
    <n v="410800"/>
    <n v="61700"/>
    <n v="349100"/>
    <n v="0"/>
    <n v="435982.07726823573"/>
    <n v="435792.12805556186"/>
    <n v="189.94921199999999"/>
    <n v="132535.48800000001"/>
    <n v="88356.992000000013"/>
    <n v="-23255.730391660189"/>
    <n v="32917.849192000001"/>
    <n v="50438.379078999998"/>
    <n v="-2174.8220000000001"/>
    <n v="69649.984080000009"/>
    <n v="66491.707427999994"/>
    <n v="0"/>
    <n v="5299.8242"/>
    <n v="0"/>
    <n v="15532.453640000002"/>
    <n v="0"/>
    <n v="435982.07443933986"/>
    <n v="0"/>
    <n v="370900"/>
    <n v="65100"/>
    <n v="436000"/>
    <n v="1.0321100917431192"/>
    <n v="6.1343719571567673E-2"/>
    <n v="0.99970000000000003"/>
    <n v="1.0019"/>
    <n v="1.0007999999999999"/>
    <n v="1.0008999999999999"/>
    <n v="1.0138"/>
    <n v="0.94971499999999998"/>
    <n v="0.9662910273015537"/>
    <n v="366200"/>
    <n v="0"/>
    <n v="366200"/>
    <n v="61800"/>
    <n v="428000"/>
    <n v="4.8983099398453168E-2"/>
    <n v="1.6207455429497568E-3"/>
    <n v="4.1869522882181112E-2"/>
    <n v="0.95153322047111111"/>
  </r>
  <r>
    <n v="2025"/>
    <n v="19120144574"/>
    <n v="-1.4271163556401458"/>
    <n v="0.24"/>
    <n v="10609"/>
    <n v="2"/>
    <s v="RES"/>
    <n v="317"/>
    <s v="MX"/>
    <s v="R2"/>
    <n v="11"/>
    <n v="259"/>
    <s v="RN"/>
    <s v="A+"/>
    <s v="AV"/>
    <n v="2004"/>
    <n v="2004"/>
    <x v="1"/>
    <n v="20"/>
    <n v="20"/>
    <n v="1"/>
    <n v="1380"/>
    <n v="0"/>
    <n v="0"/>
    <n v="0"/>
    <n v="0"/>
    <n v="0"/>
    <n v="1380"/>
    <x v="3"/>
    <n v="0"/>
    <s v="N"/>
    <s v="FD"/>
    <s v="G"/>
    <s v="Y"/>
    <n v="0"/>
    <n v="0"/>
    <n v="0"/>
    <n v="1"/>
    <n v="0"/>
    <n v="8"/>
    <n v="428"/>
    <n v="0"/>
    <n v="0"/>
    <n v="0"/>
    <n v="300"/>
    <n v="0"/>
    <n v="100"/>
    <n v="100"/>
    <n v="250538"/>
    <n v="225484"/>
    <n v="482"/>
    <n v="365"/>
    <n v="117"/>
    <n v="0"/>
    <d v="2022-09-06T00:00:00"/>
    <s v="E037991"/>
    <n v="330000"/>
    <n v="330000"/>
    <s v="SWD"/>
    <n v="30"/>
    <s v="N"/>
    <s v="Y"/>
    <n v="371600"/>
    <n v="66500"/>
    <n v="305100"/>
    <n v="0"/>
    <n v="342301.24272828334"/>
    <n v="346725.56532284844"/>
    <n v="-4424.3222310000001"/>
    <n v="132535.48800000001"/>
    <n v="88356.992000000013"/>
    <n v="-18729.933155771436"/>
    <n v="37154.252388000001"/>
    <n v="17761.121909000001"/>
    <n v="-2174.8220000000001"/>
    <n v="86126.324399999998"/>
    <n v="0"/>
    <n v="0"/>
    <n v="-9412.7029999999995"/>
    <n v="0"/>
    <n v="15108.841268"/>
    <n v="0"/>
    <n v="342301.23957822862"/>
    <n v="0"/>
    <n v="272700"/>
    <n v="69600"/>
    <n v="342300"/>
    <n v="0.96406660823838741"/>
    <n v="-7.8848223896663072E-2"/>
    <n v="0.99970000000000003"/>
    <n v="0.99819999999999998"/>
    <n v="0.99680000000000002"/>
    <n v="0.99519999999999997"/>
    <n v="1.0138"/>
    <n v="0.94971499999999998"/>
    <n v="0.95341404747827707"/>
    <n v="270900"/>
    <n v="0"/>
    <n v="270900"/>
    <n v="66100"/>
    <n v="337000"/>
    <n v="-0.11209439528023599"/>
    <n v="-6.0150375939849628E-3"/>
    <n v="-9.3110871905274492E-2"/>
    <n v="1.0078050841484849"/>
  </r>
  <r>
    <n v="2025"/>
    <n v="19120131532"/>
    <n v="-1.6094379124341003"/>
    <n v="0.2"/>
    <n v="8904"/>
    <n v="2"/>
    <s v="RES"/>
    <n v="317"/>
    <s v="MX"/>
    <s v="R2"/>
    <n v="11"/>
    <n v="259"/>
    <s v="CO"/>
    <s v="A+"/>
    <s v="AV"/>
    <n v="2003"/>
    <n v="2003"/>
    <x v="2"/>
    <n v="21"/>
    <n v="21"/>
    <n v="1"/>
    <n v="1548"/>
    <n v="0"/>
    <n v="0"/>
    <n v="0"/>
    <n v="0"/>
    <n v="0"/>
    <n v="1548"/>
    <x v="0"/>
    <n v="2"/>
    <s v="N"/>
    <s v="FD"/>
    <s v="E"/>
    <s v="Y"/>
    <n v="0"/>
    <n v="0"/>
    <n v="0"/>
    <n v="0"/>
    <n v="0"/>
    <n v="8"/>
    <n v="420"/>
    <n v="0"/>
    <n v="0"/>
    <n v="0"/>
    <n v="320"/>
    <n v="320"/>
    <n v="100"/>
    <n v="100"/>
    <n v="274107"/>
    <n v="249437"/>
    <n v="851"/>
    <n v="365"/>
    <n v="365"/>
    <n v="121"/>
    <d v="2021-09-02T00:00:00"/>
    <s v="E032951"/>
    <n v="320000"/>
    <n v="320000"/>
    <s v="SWD"/>
    <n v="30"/>
    <s v="N"/>
    <s v="Y"/>
    <n v="353300"/>
    <n v="64000"/>
    <n v="289300"/>
    <n v="0"/>
    <n v="305567.26094879978"/>
    <n v="354426.51317922928"/>
    <n v="-48859.250031000003"/>
    <n v="132535.48800000001"/>
    <n v="88356.992000000013"/>
    <n v="-21122.779792355024"/>
    <n v="37154.252388000001"/>
    <n v="17761.121909000001"/>
    <n v="-2283.5630999999998"/>
    <n v="96611.268240000005"/>
    <n v="0"/>
    <n v="0"/>
    <n v="-9412.7029999999995"/>
    <n v="0"/>
    <n v="14826.43302"/>
    <n v="0"/>
    <n v="305567.25963364507"/>
    <n v="0"/>
    <n v="238300"/>
    <n v="67200"/>
    <n v="305500"/>
    <n v="1.0474631751227497"/>
    <n v="-0.13529578262100198"/>
    <n v="0.99970000000000003"/>
    <n v="0.99819999999999998"/>
    <n v="0.99680000000000002"/>
    <n v="1.0007999999999999"/>
    <n v="0.95920000000000005"/>
    <n v="0.94971499999999998"/>
    <n v="0.90714217566139965"/>
    <n v="274900"/>
    <n v="0"/>
    <n v="274900"/>
    <n v="63900"/>
    <n v="338800"/>
    <n v="-4.9775319737296923E-2"/>
    <n v="-1.5625000000000001E-3"/>
    <n v="-4.1041607698839515E-2"/>
    <n v="0.90606484365312501"/>
  </r>
  <r>
    <n v="2025"/>
    <n v="19120214405"/>
    <n v="0"/>
    <n v="1"/>
    <n v="0"/>
    <n v="2"/>
    <s v="RES"/>
    <n v="317"/>
    <s v="MX"/>
    <s v="R1"/>
    <n v="11"/>
    <n v="259"/>
    <s v="OT"/>
    <s v="A+"/>
    <s v="VG"/>
    <n v="2001"/>
    <n v="2001"/>
    <x v="2"/>
    <n v="23"/>
    <n v="23"/>
    <n v="2"/>
    <n v="1164"/>
    <n v="528"/>
    <n v="0"/>
    <n v="0"/>
    <n v="0"/>
    <n v="0"/>
    <n v="1692"/>
    <x v="0"/>
    <n v="3"/>
    <s v="N"/>
    <s v="HP"/>
    <s v="E"/>
    <m/>
    <n v="0"/>
    <n v="0"/>
    <n v="0"/>
    <n v="2"/>
    <n v="0"/>
    <n v="8"/>
    <n v="1236"/>
    <n v="0"/>
    <n v="0"/>
    <n v="144"/>
    <n v="620"/>
    <n v="0"/>
    <n v="100"/>
    <n v="100"/>
    <n v="309362"/>
    <n v="293894"/>
    <n v="628"/>
    <n v="365"/>
    <n v="263"/>
    <n v="0"/>
    <d v="2022-04-13T00:00:00"/>
    <s v="E036072"/>
    <n v="423750"/>
    <n v="421568"/>
    <s v="SWD"/>
    <n v="30"/>
    <s v="N"/>
    <s v="Y"/>
    <n v="436900"/>
    <n v="86500"/>
    <n v="350400"/>
    <n v="2182"/>
    <n v="430036.48343270825"/>
    <n v="444307.56479629793"/>
    <n v="-14271.080531"/>
    <n v="132535.48800000001"/>
    <n v="88356.992000000013"/>
    <n v="0"/>
    <n v="37154.252388000001"/>
    <n v="50438.379078999998"/>
    <n v="-2501.0453000000002"/>
    <n v="72645.682320000007"/>
    <n v="31458.442223999999"/>
    <n v="0"/>
    <n v="-9412.7029999999995"/>
    <n v="0"/>
    <n v="43632.074316000006"/>
    <n v="0"/>
    <n v="430036.48149600002"/>
    <n v="2200"/>
    <n v="341700"/>
    <n v="88400"/>
    <n v="432300"/>
    <n v="0.98022206800832756"/>
    <n v="-1.0528725108720532E-2"/>
    <n v="0.99970000000000003"/>
    <n v="0.99819999999999998"/>
    <n v="1.0007999999999999"/>
    <n v="1.0007999999999999"/>
    <n v="0.95920000000000005"/>
    <n v="0.94971499999999998"/>
    <n v="0.91078239305971953"/>
    <n v="344100"/>
    <n v="2100"/>
    <n v="346200"/>
    <n v="83900"/>
    <n v="430100"/>
    <n v="-1.1986301369863013E-2"/>
    <n v="-3.0057803468208091E-2"/>
    <n v="-1.556420233463035E-2"/>
    <n v="0.98130718458761068"/>
  </r>
  <r>
    <n v="2025"/>
    <n v="19120214405"/>
    <n v="0"/>
    <n v="1"/>
    <n v="0"/>
    <n v="2"/>
    <s v="RES"/>
    <n v="317"/>
    <s v="MX"/>
    <s v="R1"/>
    <n v="11"/>
    <n v="259"/>
    <s v="OT"/>
    <s v="A+"/>
    <s v="GD"/>
    <n v="2001"/>
    <n v="2001"/>
    <x v="2"/>
    <n v="23"/>
    <n v="23"/>
    <n v="2"/>
    <n v="1164"/>
    <n v="528"/>
    <n v="0"/>
    <n v="0"/>
    <n v="0"/>
    <n v="0"/>
    <n v="1692"/>
    <x v="0"/>
    <n v="3"/>
    <s v="N"/>
    <s v="HP"/>
    <s v="E"/>
    <m/>
    <n v="0"/>
    <n v="0"/>
    <n v="0"/>
    <n v="0"/>
    <n v="0"/>
    <n v="8"/>
    <n v="1236"/>
    <n v="0"/>
    <n v="0"/>
    <n v="144"/>
    <n v="620"/>
    <n v="0"/>
    <n v="100"/>
    <n v="100"/>
    <n v="309362"/>
    <n v="287707"/>
    <n v="1021"/>
    <n v="365"/>
    <n v="365"/>
    <n v="291"/>
    <d v="2021-03-16T00:00:00"/>
    <s v="E030549"/>
    <n v="295000"/>
    <n v="292818"/>
    <s v="SWD"/>
    <n v="30"/>
    <s v="N"/>
    <s v="Y"/>
    <n v="436900"/>
    <n v="86500"/>
    <n v="350400"/>
    <n v="2182"/>
    <n v="336380.36330130306"/>
    <n v="424169.51499171671"/>
    <n v="-87789.148031000004"/>
    <n v="132535.48800000001"/>
    <n v="88356.992000000013"/>
    <n v="0"/>
    <n v="37154.252388000001"/>
    <n v="30300.329274"/>
    <n v="-2501.0453000000002"/>
    <n v="72645.682320000007"/>
    <n v="31458.442223999999"/>
    <n v="0"/>
    <n v="-9412.7029999999995"/>
    <n v="0"/>
    <n v="43632.074316000006"/>
    <n v="0"/>
    <n v="336380.364191"/>
    <n v="2200"/>
    <n v="248000"/>
    <n v="88400"/>
    <n v="338600"/>
    <n v="0.87123449497932659"/>
    <n v="-0.22499427786678874"/>
    <n v="0.99970000000000003"/>
    <n v="0.99819999999999998"/>
    <n v="0.997"/>
    <n v="1.0007999999999999"/>
    <n v="0.95920000000000005"/>
    <n v="0.94971499999999998"/>
    <n v="0.90732418653131552"/>
    <n v="323500"/>
    <n v="2100"/>
    <n v="325600"/>
    <n v="83900"/>
    <n v="409500"/>
    <n v="-7.0776255707762553E-2"/>
    <n v="-3.0057803468208091E-2"/>
    <n v="-6.2714579995422293E-2"/>
    <n v="1.0905452609118644"/>
  </r>
  <r>
    <n v="2025"/>
    <n v="19120112485"/>
    <n v="0.53062825106217038"/>
    <n v="1.7"/>
    <n v="0"/>
    <n v="2"/>
    <s v="RES"/>
    <n v="317"/>
    <s v="MX"/>
    <s v="R1"/>
    <n v="11"/>
    <n v="259"/>
    <s v="CP"/>
    <s v="G"/>
    <s v="VG"/>
    <n v="1995"/>
    <n v="1995"/>
    <x v="2"/>
    <n v="29"/>
    <n v="29"/>
    <n v="1"/>
    <n v="2883"/>
    <n v="0"/>
    <n v="0"/>
    <n v="0"/>
    <n v="0"/>
    <n v="0"/>
    <n v="2883"/>
    <x v="4"/>
    <n v="0"/>
    <s v="B"/>
    <s v="HP"/>
    <s v="G"/>
    <s v="N"/>
    <n v="1"/>
    <n v="0"/>
    <n v="0"/>
    <n v="2"/>
    <n v="0"/>
    <n v="12"/>
    <n v="0"/>
    <n v="0"/>
    <n v="672"/>
    <n v="843"/>
    <n v="0"/>
    <n v="691"/>
    <n v="100"/>
    <n v="100"/>
    <n v="543430"/>
    <n v="499956"/>
    <n v="398"/>
    <n v="365"/>
    <n v="33"/>
    <n v="0"/>
    <d v="2022-11-29T00:00:00"/>
    <s v="E038897"/>
    <n v="550000"/>
    <n v="507115"/>
    <s v="SWD"/>
    <n v="30"/>
    <s v="N"/>
    <s v="Y"/>
    <n v="477500"/>
    <n v="93900"/>
    <n v="383600"/>
    <n v="42885"/>
    <n v="494529.2402196615"/>
    <n v="493288.3043443769"/>
    <n v="1240.9359690000001"/>
    <n v="132535.48800000001"/>
    <n v="88356.992000000013"/>
    <n v="6964.1354986085153"/>
    <n v="32917.849192000001"/>
    <n v="50438.379078999998"/>
    <n v="-3153.4919"/>
    <n v="179929.12554000001"/>
    <n v="0"/>
    <n v="0"/>
    <n v="5299.8242"/>
    <n v="0"/>
    <n v="0"/>
    <n v="0"/>
    <n v="494529.2375786085"/>
    <n v="42900"/>
    <n v="399200"/>
    <n v="95300"/>
    <n v="537400"/>
    <n v="1.0234462225530332"/>
    <n v="0.12544502617801048"/>
    <n v="0.99970000000000003"/>
    <n v="1.0019"/>
    <n v="1.0007999999999999"/>
    <n v="1.0099"/>
    <n v="0.95920000000000005"/>
    <n v="0.94971499999999998"/>
    <n v="0.92247055602826677"/>
    <n v="387700"/>
    <n v="40700"/>
    <n v="428400"/>
    <n v="90500"/>
    <n v="518900"/>
    <n v="0.11678832116788321"/>
    <n v="-3.6208732694355698E-2"/>
    <n v="8.6701570680628268E-2"/>
    <n v="0.94571079267090907"/>
  </r>
  <r>
    <n v="2025"/>
    <n v="19120134442"/>
    <n v="-1.5606477482646683"/>
    <n v="0.21"/>
    <n v="9067"/>
    <n v="2"/>
    <s v="RES"/>
    <n v="317"/>
    <s v="MX"/>
    <s v="R1"/>
    <n v="11"/>
    <n v="259"/>
    <s v="RN"/>
    <s v="G"/>
    <s v="AV"/>
    <n v="1993"/>
    <n v="1993"/>
    <x v="3"/>
    <n v="31"/>
    <n v="31"/>
    <n v="1"/>
    <n v="1773"/>
    <n v="0"/>
    <n v="0"/>
    <n v="0"/>
    <n v="0"/>
    <n v="0"/>
    <n v="1773"/>
    <x v="0"/>
    <n v="2"/>
    <s v="B"/>
    <s v="FD"/>
    <s v="E"/>
    <s v="Y"/>
    <n v="0"/>
    <n v="0"/>
    <n v="0"/>
    <n v="1"/>
    <n v="0"/>
    <n v="9"/>
    <n v="585"/>
    <n v="0"/>
    <n v="0"/>
    <n v="0"/>
    <n v="352"/>
    <n v="0"/>
    <n v="100"/>
    <n v="100"/>
    <n v="345363"/>
    <n v="293559"/>
    <n v="962"/>
    <n v="365"/>
    <n v="365"/>
    <n v="232"/>
    <d v="2021-05-14T00:00:00"/>
    <s v="E031231"/>
    <n v="315000"/>
    <n v="315000"/>
    <s v="SWD"/>
    <n v="30"/>
    <s v="N"/>
    <s v="Y"/>
    <n v="358800"/>
    <n v="64600"/>
    <n v="294200"/>
    <n v="0"/>
    <n v="310044.38220503723"/>
    <n v="384322.56878875056"/>
    <n v="-74278.183430999998"/>
    <n v="132535.48800000001"/>
    <n v="88356.992000000013"/>
    <n v="-20482.442016152701"/>
    <n v="32917.849192000001"/>
    <n v="17761.121909000001"/>
    <n v="-3370.9740999999999"/>
    <n v="110653.60374000001"/>
    <n v="0"/>
    <n v="0"/>
    <n v="5299.8242"/>
    <n v="0"/>
    <n v="20651.103135000001"/>
    <n v="0"/>
    <n v="310044.38262884732"/>
    <n v="0"/>
    <n v="242200"/>
    <n v="67900"/>
    <n v="310100"/>
    <n v="1.0158013544018059"/>
    <n v="-0.13573021181716835"/>
    <n v="0.99970000000000003"/>
    <n v="1.0019"/>
    <n v="0.99680000000000002"/>
    <n v="1.0007999999999999"/>
    <n v="0.95689999999999997"/>
    <n v="0.94971499999999998"/>
    <n v="0.90832141740807426"/>
    <n v="304300"/>
    <n v="0"/>
    <n v="304300"/>
    <n v="64500"/>
    <n v="368800"/>
    <n v="3.4330387491502377E-2"/>
    <n v="-1.5479876160990713E-3"/>
    <n v="2.7870680044593088E-2"/>
    <n v="0.93498989386984133"/>
  </r>
  <r>
    <n v="2025"/>
    <n v="19133512402"/>
    <n v="9.5310179804324935E-2"/>
    <n v="1.1000000000000001"/>
    <n v="48001"/>
    <n v="2"/>
    <s v="RES"/>
    <s v="MX"/>
    <s v="MX"/>
    <s v="RR"/>
    <n v="11"/>
    <n v="259"/>
    <s v="CO"/>
    <s v="G"/>
    <s v="VG"/>
    <n v="1993"/>
    <n v="1993"/>
    <x v="3"/>
    <n v="31"/>
    <n v="31"/>
    <n v="2"/>
    <n v="1081"/>
    <n v="822"/>
    <n v="0"/>
    <n v="0"/>
    <n v="0"/>
    <n v="0"/>
    <n v="1903"/>
    <x v="0"/>
    <n v="3"/>
    <s v="B"/>
    <s v="FD"/>
    <s v="E"/>
    <s v="Y"/>
    <n v="0"/>
    <n v="0"/>
    <n v="0"/>
    <n v="1"/>
    <n v="0"/>
    <n v="11"/>
    <n v="910"/>
    <n v="0"/>
    <n v="0"/>
    <n v="240"/>
    <n v="1435"/>
    <n v="0"/>
    <n v="100"/>
    <n v="100"/>
    <n v="408410"/>
    <n v="371653"/>
    <n v="-22"/>
    <n v="-22"/>
    <n v="0"/>
    <n v="0"/>
    <d v="2024-01-23T00:00:00"/>
    <s v="E042611"/>
    <n v="491500"/>
    <n v="491500"/>
    <s v="SWD"/>
    <n v="30"/>
    <s v="N"/>
    <s v="Y"/>
    <n v="447600"/>
    <n v="87800"/>
    <n v="359800"/>
    <n v="0"/>
    <n v="455784.13157455012"/>
    <n v="455993.07570849115"/>
    <n v="-208.94413320000001"/>
    <n v="132535.48800000001"/>
    <n v="88356.992000000013"/>
    <n v="1250.8813943196776"/>
    <n v="32917.849192000001"/>
    <n v="50438.379078999998"/>
    <n v="-3370.9740999999999"/>
    <n v="67465.620779999997"/>
    <n v="48975.074825999996"/>
    <n v="0"/>
    <n v="5299.8242"/>
    <n v="0"/>
    <n v="32123.93821"/>
    <n v="0"/>
    <n v="455784.12944811967"/>
    <n v="0"/>
    <n v="366200"/>
    <n v="89600"/>
    <n v="455800"/>
    <n v="1.0783238262395787"/>
    <n v="1.8319928507596069E-2"/>
    <n v="0.99970000000000003"/>
    <n v="1.0019"/>
    <n v="1.0007999999999999"/>
    <n v="1.0007999999999999"/>
    <n v="0.95689999999999997"/>
    <n v="0.94971499999999998"/>
    <n v="0.91196636691613231"/>
    <n v="354700"/>
    <n v="0"/>
    <n v="354700"/>
    <n v="85100"/>
    <n v="439800"/>
    <n v="-1.4174541411895497E-2"/>
    <n v="-3.0751708428246014E-2"/>
    <n v="-1.7426273458445041E-2"/>
    <n v="0.89438668538514754"/>
  </r>
  <r>
    <n v="2025"/>
    <n v="19120134439"/>
    <n v="-1.5141277326297755"/>
    <n v="0.22"/>
    <n v="9612"/>
    <n v="2"/>
    <s v="RES"/>
    <n v="317"/>
    <s v="MX"/>
    <s v="R1"/>
    <n v="11"/>
    <n v="259"/>
    <s v="RN"/>
    <s v="G"/>
    <s v="AV"/>
    <n v="1990"/>
    <n v="1990"/>
    <x v="3"/>
    <n v="34"/>
    <n v="34"/>
    <n v="1"/>
    <n v="1814"/>
    <n v="0"/>
    <n v="0"/>
    <n v="0"/>
    <n v="0"/>
    <n v="0"/>
    <n v="1814"/>
    <x v="0"/>
    <n v="2"/>
    <s v="B"/>
    <s v="HP"/>
    <s v="E"/>
    <m/>
    <n v="0"/>
    <n v="0"/>
    <n v="0"/>
    <n v="0"/>
    <n v="0"/>
    <n v="10"/>
    <n v="576"/>
    <n v="0"/>
    <n v="0"/>
    <n v="0"/>
    <n v="270"/>
    <n v="0"/>
    <n v="100"/>
    <n v="100"/>
    <n v="376366"/>
    <n v="316147"/>
    <n v="649"/>
    <n v="365"/>
    <n v="284"/>
    <n v="0"/>
    <d v="2022-03-23T00:00:00"/>
    <s v="E035773"/>
    <n v="360000"/>
    <n v="360000"/>
    <s v="SWD"/>
    <n v="30"/>
    <s v="N"/>
    <s v="Y"/>
    <n v="358400"/>
    <n v="65300"/>
    <n v="293100"/>
    <n v="0"/>
    <n v="371160.60932915984"/>
    <n v="386848.00531021191"/>
    <n v="-15687.395080999999"/>
    <n v="132535.48800000001"/>
    <n v="88356.992000000013"/>
    <n v="-19871.898398035348"/>
    <n v="32917.849192000001"/>
    <n v="17761.121909000001"/>
    <n v="-3697.1974"/>
    <n v="113212.42932000001"/>
    <n v="0"/>
    <n v="0"/>
    <n v="5299.8242"/>
    <n v="0"/>
    <n v="20333.393856000002"/>
    <n v="0"/>
    <n v="371160.60759796464"/>
    <n v="0"/>
    <n v="302700"/>
    <n v="68500"/>
    <n v="371200"/>
    <n v="0.96982758620689657"/>
    <n v="3.5714285714285712E-2"/>
    <n v="0.99970000000000003"/>
    <n v="1.0019"/>
    <n v="0.99680000000000002"/>
    <n v="1.0007999999999999"/>
    <n v="0.95689999999999997"/>
    <n v="0.94971499999999998"/>
    <n v="0.90832141740807426"/>
    <n v="306200"/>
    <n v="0"/>
    <n v="306200"/>
    <n v="65000"/>
    <n v="371200"/>
    <n v="4.4694643466393721E-2"/>
    <n v="-4.5941807044410417E-3"/>
    <n v="3.5714285714285712E-2"/>
    <n v="0.98753501366388885"/>
  </r>
  <r>
    <n v="2025"/>
    <n v="19120134425"/>
    <n v="-1.7147984280919266"/>
    <n v="0.18"/>
    <n v="7996"/>
    <n v="2"/>
    <s v="RES"/>
    <n v="317"/>
    <s v="MX"/>
    <s v="R1"/>
    <n v="11"/>
    <n v="259"/>
    <s v="RN"/>
    <s v="A"/>
    <s v="AV"/>
    <n v="1987"/>
    <n v="1987"/>
    <x v="3"/>
    <n v="37"/>
    <n v="37"/>
    <n v="1"/>
    <n v="1288"/>
    <n v="0"/>
    <n v="0"/>
    <n v="0"/>
    <n v="0"/>
    <n v="0"/>
    <n v="1288"/>
    <x v="3"/>
    <n v="0"/>
    <s v="N"/>
    <s v="HP"/>
    <s v="E"/>
    <m/>
    <n v="0"/>
    <n v="0"/>
    <n v="0"/>
    <n v="1"/>
    <n v="0"/>
    <n v="8"/>
    <n v="0"/>
    <n v="0"/>
    <n v="0"/>
    <n v="0"/>
    <n v="240"/>
    <n v="240"/>
    <n v="100"/>
    <n v="100"/>
    <n v="192523"/>
    <n v="161719"/>
    <n v="747"/>
    <n v="365"/>
    <n v="365"/>
    <n v="17"/>
    <d v="2021-12-15T00:00:00"/>
    <s v="E034495"/>
    <n v="300000"/>
    <n v="300000"/>
    <s v="SWD"/>
    <n v="30"/>
    <s v="N"/>
    <s v="Y"/>
    <n v="289400"/>
    <n v="62500"/>
    <n v="226900"/>
    <n v="0"/>
    <n v="282424.93802308163"/>
    <n v="307468.25176034443"/>
    <n v="-25043.312430999998"/>
    <n v="132535.48800000001"/>
    <n v="88356.992000000013"/>
    <n v="-22505.565020573864"/>
    <n v="24371.765965999999"/>
    <n v="17761.121909000001"/>
    <n v="-4023.4207000000001"/>
    <n v="80384.569440000007"/>
    <n v="0"/>
    <n v="0"/>
    <n v="-9412.7029999999995"/>
    <n v="0"/>
    <n v="0"/>
    <n v="0"/>
    <n v="282424.93616342626"/>
    <n v="0"/>
    <n v="216600"/>
    <n v="65900"/>
    <n v="282500"/>
    <n v="1.0619469026548674"/>
    <n v="-2.3842432619212164E-2"/>
    <n v="0.99970000000000003"/>
    <n v="0.99199999999999999"/>
    <n v="0.99680000000000002"/>
    <n v="0.99519999999999997"/>
    <n v="0.95689999999999997"/>
    <n v="0.94971499999999998"/>
    <n v="0.89431377625485153"/>
    <n v="227600"/>
    <n v="0"/>
    <n v="227600"/>
    <n v="62500"/>
    <n v="290100"/>
    <n v="3.0850594975760249E-3"/>
    <n v="0"/>
    <n v="2.4187975120939877E-3"/>
    <n v="0.88352229189666664"/>
  </r>
  <r>
    <n v="2025"/>
    <n v="19120134425"/>
    <n v="-1.7147984280919266"/>
    <n v="0.18"/>
    <n v="7996"/>
    <n v="2"/>
    <s v="RES"/>
    <n v="317"/>
    <s v="MX"/>
    <s v="R1"/>
    <n v="11"/>
    <n v="259"/>
    <s v="RN"/>
    <s v="A"/>
    <s v="AV"/>
    <n v="1987"/>
    <n v="1987"/>
    <x v="3"/>
    <n v="37"/>
    <n v="37"/>
    <n v="1"/>
    <n v="1288"/>
    <n v="0"/>
    <n v="0"/>
    <n v="0"/>
    <n v="0"/>
    <n v="0"/>
    <n v="1288"/>
    <x v="3"/>
    <n v="0"/>
    <s v="N"/>
    <s v="HP"/>
    <s v="E"/>
    <m/>
    <n v="0"/>
    <n v="0"/>
    <n v="0"/>
    <n v="0"/>
    <n v="0"/>
    <n v="8"/>
    <n v="0"/>
    <n v="0"/>
    <n v="0"/>
    <n v="0"/>
    <n v="240"/>
    <n v="240"/>
    <n v="100"/>
    <n v="100"/>
    <n v="192523"/>
    <n v="161719"/>
    <n v="815"/>
    <n v="365"/>
    <n v="365"/>
    <n v="85"/>
    <d v="2021-10-08T00:00:00"/>
    <s v="E033608"/>
    <n v="290000"/>
    <n v="290000"/>
    <s v="SWD"/>
    <n v="30"/>
    <s v="N"/>
    <s v="Y"/>
    <n v="289400"/>
    <n v="62500"/>
    <n v="226900"/>
    <n v="0"/>
    <n v="266852.97823908791"/>
    <n v="307468.25176034443"/>
    <n v="-40615.271630999996"/>
    <n v="132535.48800000001"/>
    <n v="88356.992000000013"/>
    <n v="-22505.565020573864"/>
    <n v="24371.765965999999"/>
    <n v="17761.121909000001"/>
    <n v="-4023.4207000000001"/>
    <n v="80384.569440000007"/>
    <n v="0"/>
    <n v="0"/>
    <n v="-9412.7029999999995"/>
    <n v="0"/>
    <n v="0"/>
    <n v="0"/>
    <n v="266852.97696342622"/>
    <n v="0"/>
    <n v="201000"/>
    <n v="65900"/>
    <n v="266900"/>
    <n v="1.0865492693892844"/>
    <n v="-7.7747062888735313E-2"/>
    <n v="0.99970000000000003"/>
    <n v="0.99199999999999999"/>
    <n v="0.99680000000000002"/>
    <n v="0.99519999999999997"/>
    <n v="0.95689999999999997"/>
    <n v="0.94971499999999998"/>
    <n v="0.89431377625485153"/>
    <n v="227600"/>
    <n v="0"/>
    <n v="227600"/>
    <n v="62500"/>
    <n v="290100"/>
    <n v="3.0850594975760249E-3"/>
    <n v="0"/>
    <n v="2.4187975120939877E-3"/>
    <n v="0.86029216678965525"/>
  </r>
  <r>
    <n v="2025"/>
    <n v="19120221004"/>
    <n v="1.3190856114264407"/>
    <n v="3.74"/>
    <n v="162969"/>
    <n v="2"/>
    <s v="RES"/>
    <n v="317"/>
    <s v="MX"/>
    <s v="R1"/>
    <n v="11"/>
    <n v="259"/>
    <s v="RN"/>
    <s v="F+"/>
    <s v="FR"/>
    <n v="1979"/>
    <n v="1980"/>
    <x v="4"/>
    <n v="45"/>
    <n v="44"/>
    <n v="1"/>
    <n v="2106"/>
    <n v="0"/>
    <n v="0"/>
    <n v="0"/>
    <n v="0"/>
    <n v="0"/>
    <n v="2106"/>
    <x v="1"/>
    <n v="0"/>
    <s v="N"/>
    <s v="NO"/>
    <s v="G"/>
    <s v="N"/>
    <n v="1"/>
    <n v="0"/>
    <n v="0"/>
    <n v="1"/>
    <n v="0"/>
    <n v="8"/>
    <n v="0"/>
    <n v="0"/>
    <n v="0"/>
    <n v="0"/>
    <n v="0"/>
    <n v="0"/>
    <n v="100"/>
    <n v="153"/>
    <n v="190980"/>
    <n v="204349"/>
    <n v="528"/>
    <n v="365"/>
    <n v="163"/>
    <n v="0"/>
    <d v="2022-07-22T00:00:00"/>
    <s v="E037718"/>
    <n v="350000"/>
    <n v="346676"/>
    <s v="SWD"/>
    <n v="30"/>
    <s v="N"/>
    <s v="Y"/>
    <n v="345500"/>
    <n v="105000"/>
    <n v="240500"/>
    <n v="3324"/>
    <n v="346676.00000000116"/>
    <n v="354202.72604234109"/>
    <n v="-7526.725531"/>
    <n v="132535.48800000001"/>
    <n v="88356.992000000013"/>
    <n v="17312.102990841875"/>
    <n v="-1240.8083630000001"/>
    <n v="0"/>
    <n v="-4784.6084000000001"/>
    <n v="131436.26028000002"/>
    <n v="0"/>
    <n v="0"/>
    <n v="-9412.7029999999995"/>
    <n v="0"/>
    <n v="0"/>
    <n v="0"/>
    <n v="346675.99797684199"/>
    <n v="3300"/>
    <n v="241000"/>
    <n v="105700"/>
    <n v="350000"/>
    <n v="1"/>
    <n v="1.3024602026049204E-2"/>
    <n v="0.99970000000000003"/>
    <n v="1.0022"/>
    <n v="1"/>
    <n v="1.0008999999999999"/>
    <n v="1.0470999999999999"/>
    <n v="0.94971499999999998"/>
    <n v="0.99753132989137128"/>
    <n v="248200"/>
    <n v="3200"/>
    <n v="251400"/>
    <n v="100400"/>
    <n v="351800"/>
    <n v="4.5322245322245325E-2"/>
    <n v="-4.3809523809523812E-2"/>
    <n v="1.8234442836468887E-2"/>
    <n v="0.98363792705428565"/>
  </r>
  <r>
    <n v="2025"/>
    <n v="19120131471"/>
    <n v="-1.3862943611198906"/>
    <n v="0.25"/>
    <n v="10846"/>
    <n v="2"/>
    <s v="RES"/>
    <n v="317"/>
    <s v="MX"/>
    <s v="R1"/>
    <n v="11"/>
    <n v="259"/>
    <s v="RN"/>
    <s v="F+"/>
    <s v="GD"/>
    <n v="1977"/>
    <n v="1979"/>
    <x v="4"/>
    <n v="47"/>
    <n v="45"/>
    <n v="1"/>
    <n v="1040"/>
    <n v="0"/>
    <n v="0"/>
    <n v="0"/>
    <n v="0"/>
    <n v="0"/>
    <n v="1040"/>
    <x v="3"/>
    <n v="0"/>
    <s v="N"/>
    <s v="FD"/>
    <s v="E"/>
    <s v="N"/>
    <n v="1"/>
    <n v="0"/>
    <n v="0"/>
    <n v="0"/>
    <n v="0"/>
    <n v="5"/>
    <n v="0"/>
    <n v="0"/>
    <n v="0"/>
    <n v="0"/>
    <n v="180"/>
    <n v="180"/>
    <n v="100"/>
    <n v="100"/>
    <n v="146023"/>
    <n v="122659"/>
    <n v="691"/>
    <n v="365"/>
    <n v="326"/>
    <n v="0"/>
    <d v="2022-02-09T00:00:00"/>
    <s v="E035477"/>
    <n v="305000"/>
    <n v="285609"/>
    <s v="SWD"/>
    <n v="30"/>
    <s v="N"/>
    <s v="Y"/>
    <n v="286700"/>
    <n v="67100"/>
    <n v="219600"/>
    <n v="19391"/>
    <n v="263838.54905957548"/>
    <n v="282358.57427555241"/>
    <n v="-18520.024181000001"/>
    <n v="132535.48800000001"/>
    <n v="88356.992000000013"/>
    <n v="-18194.172195827363"/>
    <n v="-1240.8083630000001"/>
    <n v="30300.329274"/>
    <n v="-4893.3495000000003"/>
    <n v="64906.7952"/>
    <n v="0"/>
    <n v="0"/>
    <n v="-9412.7029999999995"/>
    <n v="0"/>
    <n v="0"/>
    <n v="0"/>
    <n v="263838.5472341727"/>
    <n v="19400"/>
    <n v="193700"/>
    <n v="70200"/>
    <n v="283300"/>
    <n v="1.0765972467349101"/>
    <n v="-1.1859086152772933E-2"/>
    <n v="0.99970000000000003"/>
    <n v="1.0022"/>
    <n v="0.997"/>
    <n v="0.99519999999999997"/>
    <n v="1.0470999999999999"/>
    <n v="0.94971499999999998"/>
    <n v="0.98887496250311624"/>
    <n v="210700"/>
    <n v="18400"/>
    <n v="229100"/>
    <n v="66600"/>
    <n v="295700"/>
    <n v="4.3260473588342438E-2"/>
    <n v="-7.4515648286140089E-3"/>
    <n v="3.1391698639693058E-2"/>
    <n v="0.90878680596393435"/>
  </r>
  <r>
    <n v="2025"/>
    <n v="19120131428"/>
    <n v="-1.3862943611198906"/>
    <n v="0.25"/>
    <n v="10679"/>
    <n v="2"/>
    <s v="RES"/>
    <n v="317"/>
    <s v="MX"/>
    <s v="R1"/>
    <n v="11"/>
    <n v="259"/>
    <s v="RN"/>
    <s v="F+"/>
    <s v="GD"/>
    <n v="1976"/>
    <n v="1979"/>
    <x v="4"/>
    <n v="48"/>
    <n v="45"/>
    <n v="1"/>
    <n v="1248"/>
    <n v="0"/>
    <n v="0"/>
    <n v="0"/>
    <n v="0"/>
    <n v="0"/>
    <n v="1248"/>
    <x v="3"/>
    <n v="0"/>
    <s v="N"/>
    <s v="ER"/>
    <s v="E"/>
    <s v="N"/>
    <n v="1"/>
    <n v="0"/>
    <n v="0"/>
    <n v="1"/>
    <n v="0"/>
    <n v="8"/>
    <n v="0"/>
    <n v="0"/>
    <n v="0"/>
    <n v="0"/>
    <n v="0"/>
    <n v="0"/>
    <n v="100"/>
    <n v="100"/>
    <n v="168624"/>
    <n v="141644"/>
    <n v="859"/>
    <n v="365"/>
    <n v="365"/>
    <n v="129"/>
    <d v="2021-08-25T00:00:00"/>
    <s v="E032865"/>
    <n v="259000"/>
    <n v="259000"/>
    <s v="SWD"/>
    <n v="30"/>
    <s v="N"/>
    <s v="Y"/>
    <n v="279400"/>
    <n v="67100"/>
    <n v="212300"/>
    <n v="0"/>
    <n v="244648.68582140683"/>
    <n v="295339.93332054152"/>
    <n v="-50691.245231000001"/>
    <n v="132535.48800000001"/>
    <n v="88356.992000000013"/>
    <n v="-18194.172195827363"/>
    <n v="-1240.8083630000001"/>
    <n v="30300.329274"/>
    <n v="-4893.3495000000003"/>
    <n v="77888.154240000003"/>
    <n v="0"/>
    <n v="0"/>
    <n v="-9412.7029999999995"/>
    <n v="0"/>
    <n v="0"/>
    <n v="0"/>
    <n v="244648.68522417266"/>
    <n v="0"/>
    <n v="174500"/>
    <n v="70200"/>
    <n v="244700"/>
    <n v="1.0584389047813649"/>
    <n v="-0.12419470293486042"/>
    <n v="0.99970000000000003"/>
    <n v="1.0022"/>
    <n v="0.997"/>
    <n v="0.99519999999999997"/>
    <n v="1.0470999999999999"/>
    <n v="0.94971499999999998"/>
    <n v="0.98887496250311624"/>
    <n v="223700"/>
    <n v="0"/>
    <n v="223700"/>
    <n v="66600"/>
    <n v="290300"/>
    <n v="5.3697597739048517E-2"/>
    <n v="-7.4515648286140089E-3"/>
    <n v="3.9012168933428779E-2"/>
    <n v="0.92513032729343625"/>
  </r>
  <r>
    <n v="2025"/>
    <n v="19120131490"/>
    <n v="-1.3862943611198906"/>
    <n v="0.25"/>
    <n v="11098"/>
    <n v="2"/>
    <s v="RES"/>
    <n v="317"/>
    <s v="MX"/>
    <s v="R1"/>
    <n v="11"/>
    <n v="259"/>
    <s v="RN"/>
    <s v="F+"/>
    <s v="AV"/>
    <n v="1974"/>
    <n v="1979"/>
    <x v="4"/>
    <n v="50"/>
    <n v="45"/>
    <n v="1"/>
    <n v="1025"/>
    <n v="0"/>
    <n v="0"/>
    <n v="0"/>
    <n v="0"/>
    <n v="0"/>
    <n v="1025"/>
    <x v="3"/>
    <n v="1"/>
    <s v="N"/>
    <s v="FD"/>
    <s v="E"/>
    <s v="N"/>
    <n v="0"/>
    <n v="0"/>
    <n v="1"/>
    <n v="0"/>
    <n v="0"/>
    <n v="5"/>
    <n v="288"/>
    <n v="0"/>
    <n v="0"/>
    <n v="0"/>
    <n v="264"/>
    <n v="264"/>
    <n v="100"/>
    <n v="100"/>
    <n v="158935"/>
    <n v="123969"/>
    <n v="320"/>
    <n v="320"/>
    <n v="0"/>
    <n v="0"/>
    <d v="2023-02-15T00:00:00"/>
    <s v="E039441"/>
    <n v="270000"/>
    <n v="270000"/>
    <s v="SWD"/>
    <n v="30"/>
    <s v="N"/>
    <s v="Y"/>
    <n v="269200"/>
    <n v="67100"/>
    <n v="202100"/>
    <n v="0"/>
    <n v="291896.19995652861"/>
    <n v="288857.01255374774"/>
    <n v="3039.1873919999998"/>
    <n v="132535.48800000001"/>
    <n v="88356.992000000013"/>
    <n v="-18194.172195827363"/>
    <n v="-1240.8083630000001"/>
    <n v="17761.121909000001"/>
    <n v="-4893.3495000000003"/>
    <n v="63970.639500000005"/>
    <n v="0"/>
    <n v="0"/>
    <n v="-9412.7029999999995"/>
    <n v="9807.1044999999995"/>
    <n v="10166.696928000001"/>
    <n v="0"/>
    <n v="291896.19717017276"/>
    <n v="0"/>
    <n v="221700"/>
    <n v="70200"/>
    <n v="291900"/>
    <n v="0.92497430626927035"/>
    <n v="8.4323922734026752E-2"/>
    <n v="0.99970000000000003"/>
    <n v="1.0022"/>
    <n v="0.99680000000000002"/>
    <n v="0.99519999999999997"/>
    <n v="1.0470999999999999"/>
    <n v="0.94971499999999998"/>
    <n v="0.98867659240030714"/>
    <n v="217200"/>
    <n v="0"/>
    <n v="217200"/>
    <n v="66600"/>
    <n v="283800"/>
    <n v="7.4715487382483917E-2"/>
    <n v="-7.4515648286140089E-3"/>
    <n v="5.423476968796434E-2"/>
    <n v="1.062367360711111"/>
  </r>
  <r>
    <n v="2025"/>
    <n v="19120131476"/>
    <n v="-1.3470736479666092"/>
    <n v="0.26"/>
    <n v="11199"/>
    <n v="2"/>
    <s v="RES"/>
    <n v="317"/>
    <s v="MX"/>
    <s v="R1"/>
    <n v="11"/>
    <n v="259"/>
    <s v="RN"/>
    <s v="A"/>
    <s v="AV"/>
    <n v="1973"/>
    <n v="1978"/>
    <x v="5"/>
    <n v="51"/>
    <n v="46"/>
    <n v="1"/>
    <n v="1411"/>
    <n v="0"/>
    <n v="0"/>
    <n v="0"/>
    <n v="0"/>
    <n v="0"/>
    <n v="1411"/>
    <x v="3"/>
    <n v="0"/>
    <s v="N"/>
    <s v="FD"/>
    <s v="E"/>
    <s v="Y"/>
    <n v="0"/>
    <n v="0"/>
    <n v="0"/>
    <n v="0"/>
    <n v="0"/>
    <n v="5"/>
    <n v="0"/>
    <n v="0"/>
    <n v="0"/>
    <n v="0"/>
    <n v="405"/>
    <n v="0"/>
    <n v="100"/>
    <n v="100"/>
    <n v="197744"/>
    <n v="152263"/>
    <n v="801"/>
    <n v="365"/>
    <n v="365"/>
    <n v="71"/>
    <d v="2021-10-22T00:00:00"/>
    <s v="E033794"/>
    <n v="282000"/>
    <n v="282000"/>
    <s v="SWD"/>
    <n v="30"/>
    <s v="N"/>
    <s v="Y"/>
    <n v="294400"/>
    <n v="67600"/>
    <n v="226800"/>
    <n v="0"/>
    <n v="281582.9145183104"/>
    <n v="318992.19631933287"/>
    <n v="-37409.280031000002"/>
    <n v="132535.48800000001"/>
    <n v="88356.992000000013"/>
    <n v="-17679.426966554776"/>
    <n v="24371.765965999999"/>
    <n v="17761.121909000001"/>
    <n v="-5002.0906000000004"/>
    <n v="88061.046180000005"/>
    <n v="0"/>
    <n v="0"/>
    <n v="-9412.7029999999995"/>
    <n v="0"/>
    <n v="0"/>
    <n v="0"/>
    <n v="281582.91345744528"/>
    <n v="0"/>
    <n v="210900"/>
    <n v="70700"/>
    <n v="281600"/>
    <n v="1.0014204545454546"/>
    <n v="-4.3478260869565216E-2"/>
    <n v="0.99970000000000003"/>
    <n v="0.99199999999999999"/>
    <n v="0.99680000000000002"/>
    <n v="0.99519999999999997"/>
    <n v="1.0558000000000001"/>
    <n v="0.94971499999999998"/>
    <n v="0.98674520322904413"/>
    <n v="246600"/>
    <n v="0"/>
    <n v="246600"/>
    <n v="67100"/>
    <n v="313700"/>
    <n v="8.7301587301587297E-2"/>
    <n v="-7.3964497041420114E-3"/>
    <n v="6.5557065217391311E-2"/>
    <n v="0.97975432613120561"/>
  </r>
  <r>
    <n v="2025"/>
    <n v="19120131468"/>
    <n v="-1.4696759700589417"/>
    <n v="0.23"/>
    <n v="9878"/>
    <n v="2"/>
    <s v="RES"/>
    <n v="317"/>
    <s v="MX"/>
    <s v="R1"/>
    <n v="11"/>
    <n v="259"/>
    <s v="RN"/>
    <s v="F"/>
    <s v="AV"/>
    <n v="1972"/>
    <n v="1978"/>
    <x v="5"/>
    <n v="52"/>
    <n v="46"/>
    <n v="1"/>
    <n v="1344"/>
    <n v="0"/>
    <n v="0"/>
    <n v="0"/>
    <n v="0"/>
    <n v="0"/>
    <n v="1344"/>
    <x v="3"/>
    <n v="0"/>
    <s v="N"/>
    <s v="ER"/>
    <s v="E"/>
    <s v="N"/>
    <n v="0"/>
    <n v="0"/>
    <n v="0"/>
    <n v="0"/>
    <n v="0"/>
    <n v="5"/>
    <n v="0"/>
    <n v="0"/>
    <n v="0"/>
    <n v="0"/>
    <n v="0"/>
    <n v="0"/>
    <n v="100"/>
    <n v="100"/>
    <n v="161734"/>
    <n v="124535"/>
    <n v="825"/>
    <n v="365"/>
    <n v="365"/>
    <n v="95"/>
    <d v="2021-09-28T00:00:00"/>
    <s v="E033470"/>
    <n v="245000"/>
    <n v="245000"/>
    <s v="SWD"/>
    <n v="30"/>
    <s v="N"/>
    <s v="Y"/>
    <n v="264500"/>
    <n v="65900"/>
    <n v="198600"/>
    <n v="0"/>
    <n v="245924.59507189234"/>
    <n v="288829.86267903016"/>
    <n v="-42905.265631000002"/>
    <n v="132535.48800000001"/>
    <n v="88356.992000000013"/>
    <n v="-19288.499197039939"/>
    <n v="0"/>
    <n v="17761.121909000001"/>
    <n v="-5002.0906000000004"/>
    <n v="83879.550719999999"/>
    <n v="0"/>
    <n v="0"/>
    <n v="-9412.7029999999995"/>
    <n v="0"/>
    <n v="0"/>
    <n v="0"/>
    <n v="245924.5942009601"/>
    <n v="0"/>
    <n v="176900"/>
    <n v="69100"/>
    <n v="246000"/>
    <n v="0.99593495934959353"/>
    <n v="-6.9943289224952743E-2"/>
    <n v="0.99970000000000003"/>
    <n v="1.0003"/>
    <n v="0.99680000000000002"/>
    <n v="0.99519999999999997"/>
    <n v="1.0558000000000001"/>
    <n v="0.94971499999999998"/>
    <n v="0.99500123668348062"/>
    <n v="219100"/>
    <n v="0"/>
    <n v="219100"/>
    <n v="65600"/>
    <n v="284700"/>
    <n v="0.10322255790533737"/>
    <n v="-4.552352048558422E-3"/>
    <n v="7.6370510396975427E-2"/>
    <n v="0.98691728313877558"/>
  </r>
  <r>
    <n v="2025"/>
    <n v="19120134412"/>
    <n v="-1.7147984280919266"/>
    <n v="0.18"/>
    <n v="7800"/>
    <n v="2"/>
    <s v="RES"/>
    <n v="317"/>
    <s v="MX"/>
    <s v="R1"/>
    <n v="11"/>
    <n v="259"/>
    <s v="RN"/>
    <s v="F+"/>
    <s v="AV"/>
    <n v="1965"/>
    <n v="1976"/>
    <x v="5"/>
    <n v="59"/>
    <n v="48"/>
    <n v="1"/>
    <n v="1216"/>
    <n v="0"/>
    <n v="0"/>
    <n v="0"/>
    <n v="0"/>
    <n v="0"/>
    <n v="1216"/>
    <x v="3"/>
    <n v="0"/>
    <s v="N"/>
    <s v="FD"/>
    <s v="G"/>
    <s v="N"/>
    <n v="0"/>
    <n v="0"/>
    <n v="0"/>
    <n v="0"/>
    <n v="0"/>
    <n v="5"/>
    <n v="0"/>
    <n v="0"/>
    <n v="0"/>
    <n v="0"/>
    <n v="160"/>
    <n v="160"/>
    <n v="100"/>
    <n v="100"/>
    <n v="160011"/>
    <n v="118408"/>
    <n v="753"/>
    <n v="365"/>
    <n v="365"/>
    <n v="23"/>
    <d v="2021-12-09T00:00:00"/>
    <s v="E034454"/>
    <n v="230000"/>
    <n v="223638"/>
    <s v="SWD"/>
    <n v="30"/>
    <s v="N"/>
    <s v="Y"/>
    <n v="258800"/>
    <n v="62500"/>
    <n v="196300"/>
    <n v="6362"/>
    <n v="249748.66743173086"/>
    <n v="276165.97762052249"/>
    <n v="-26417.308830999998"/>
    <n v="132535.48800000001"/>
    <n v="88356.992000000013"/>
    <n v="-22505.565020573864"/>
    <n v="-1240.8083630000001"/>
    <n v="17761.121909000001"/>
    <n v="-5219.5727999999999"/>
    <n v="75891.02208000001"/>
    <n v="0"/>
    <n v="0"/>
    <n v="-9412.7029999999995"/>
    <n v="0"/>
    <n v="0"/>
    <n v="0"/>
    <n v="249748.66597442623"/>
    <n v="6400"/>
    <n v="183900"/>
    <n v="65900"/>
    <n v="256200"/>
    <n v="0.89773614363778298"/>
    <n v="-1.0046367851622875E-2"/>
    <n v="0.99970000000000003"/>
    <n v="1.0022"/>
    <n v="0.99680000000000002"/>
    <n v="0.99519999999999997"/>
    <n v="1.0558000000000001"/>
    <n v="0.94971499999999998"/>
    <n v="0.9968911720525685"/>
    <n v="209900"/>
    <n v="6000"/>
    <n v="215900"/>
    <n v="62500"/>
    <n v="278400"/>
    <n v="9.9847172694854811E-2"/>
    <n v="0"/>
    <n v="7.5734157650695522E-2"/>
    <n v="1.095576918126087"/>
  </r>
  <r>
    <n v="2025"/>
    <n v="19120143016"/>
    <n v="-1.2729656758128873"/>
    <n v="0.28000000000000003"/>
    <n v="12075"/>
    <n v="2"/>
    <s v="RES"/>
    <n v="317"/>
    <s v="MX"/>
    <s v="R2"/>
    <n v="11"/>
    <n v="259"/>
    <s v="RN"/>
    <s v="F+"/>
    <s v="GD"/>
    <n v="1960"/>
    <n v="1975"/>
    <x v="6"/>
    <n v="64"/>
    <n v="49"/>
    <n v="1"/>
    <n v="1008"/>
    <n v="0"/>
    <n v="0"/>
    <n v="168"/>
    <n v="0"/>
    <n v="168"/>
    <n v="1176"/>
    <x v="3"/>
    <n v="0"/>
    <s v="N"/>
    <s v="HP"/>
    <s v="E"/>
    <s v="N"/>
    <n v="0"/>
    <n v="1"/>
    <n v="0"/>
    <n v="0"/>
    <n v="0"/>
    <n v="5"/>
    <n v="0"/>
    <n v="0"/>
    <n v="360"/>
    <n v="0"/>
    <n v="0"/>
    <n v="0"/>
    <n v="100"/>
    <n v="100"/>
    <n v="188386"/>
    <n v="148825"/>
    <n v="671"/>
    <n v="365"/>
    <n v="306"/>
    <n v="0"/>
    <d v="2022-03-01T00:00:00"/>
    <s v="E035519"/>
    <n v="289900"/>
    <n v="271385"/>
    <s v="SWD"/>
    <n v="30"/>
    <s v="N"/>
    <s v="Y"/>
    <n v="276700"/>
    <n v="68700"/>
    <n v="208000"/>
    <n v="18515"/>
    <n v="274757.21671517979"/>
    <n v="291928.37086690671"/>
    <n v="-17171.153181000001"/>
    <n v="132535.48800000001"/>
    <n v="88356.992000000013"/>
    <n v="-16706.81015135027"/>
    <n v="-1240.8083630000001"/>
    <n v="30300.329274"/>
    <n v="-5328.3139000000001"/>
    <n v="62909.663040000007"/>
    <n v="0"/>
    <n v="10514.531327999999"/>
    <n v="-9412.7029999999995"/>
    <n v="0"/>
    <n v="0"/>
    <n v="0"/>
    <n v="274757.21504664974"/>
    <n v="18500"/>
    <n v="203100"/>
    <n v="71700"/>
    <n v="293300"/>
    <n v="0.98840777361063759"/>
    <n v="5.9992771955186125E-2"/>
    <n v="0.99970000000000003"/>
    <n v="1.0022"/>
    <n v="0.997"/>
    <n v="0.99519999999999997"/>
    <n v="1"/>
    <n v="0.94971499999999998"/>
    <n v="0.94439400487357117"/>
    <n v="212900"/>
    <n v="17600"/>
    <n v="230500"/>
    <n v="68000"/>
    <n v="298500"/>
    <n v="0.10817307692307693"/>
    <n v="-1.0189228529839884E-2"/>
    <n v="7.8785688471268517E-2"/>
    <n v="0.9704341042393928"/>
  </r>
  <r>
    <n v="2025"/>
    <n v="19120142530"/>
    <n v="-1.2729656758128873"/>
    <n v="0.28000000000000003"/>
    <n v="12018"/>
    <n v="2"/>
    <s v="RES"/>
    <n v="317"/>
    <s v="MX"/>
    <s v="R2"/>
    <n v="11"/>
    <n v="259"/>
    <s v="TD"/>
    <s v="A"/>
    <s v="GD"/>
    <n v="1958"/>
    <n v="1974"/>
    <x v="6"/>
    <n v="66"/>
    <n v="50"/>
    <n v="1"/>
    <n v="1904"/>
    <n v="0"/>
    <n v="0"/>
    <n v="0"/>
    <n v="0"/>
    <n v="0"/>
    <n v="1904"/>
    <x v="0"/>
    <n v="0"/>
    <s v="B"/>
    <s v="HP"/>
    <s v="G"/>
    <s v="N"/>
    <n v="0"/>
    <n v="1"/>
    <n v="0"/>
    <n v="1"/>
    <n v="1"/>
    <n v="7"/>
    <n v="0"/>
    <n v="0"/>
    <n v="442"/>
    <n v="0"/>
    <n v="320"/>
    <n v="320"/>
    <n v="100"/>
    <n v="100"/>
    <n v="277835"/>
    <n v="216711"/>
    <n v="858"/>
    <n v="365"/>
    <n v="365"/>
    <n v="128"/>
    <d v="2021-08-26T00:00:00"/>
    <s v="E032826"/>
    <n v="317500"/>
    <n v="307547"/>
    <s v="SWD"/>
    <n v="30"/>
    <s v="N"/>
    <s v="Y"/>
    <n v="327500"/>
    <n v="68700"/>
    <n v="258800"/>
    <n v="9953"/>
    <n v="327087.65201723384"/>
    <n v="377549.90010778036"/>
    <n v="-50462.245831"/>
    <n v="132535.48800000001"/>
    <n v="88356.992000000013"/>
    <n v="-16706.81015135027"/>
    <n v="24371.765965999999"/>
    <n v="30300.329274"/>
    <n v="-5437.0550000000003"/>
    <n v="118829.36352000001"/>
    <n v="0"/>
    <n v="0"/>
    <n v="5299.8242"/>
    <n v="0"/>
    <n v="0"/>
    <n v="0"/>
    <n v="327087.65197764972"/>
    <n v="10000"/>
    <n v="255400"/>
    <n v="71700"/>
    <n v="337100"/>
    <n v="0.9418570157223376"/>
    <n v="2.931297709923664E-2"/>
    <n v="0.99970000000000003"/>
    <n v="0.99199999999999999"/>
    <n v="0.997"/>
    <n v="1.0007999999999999"/>
    <n v="1"/>
    <n v="0.94971499999999998"/>
    <n v="0.9400423609025278"/>
    <n v="298000"/>
    <n v="9500"/>
    <n v="307500"/>
    <n v="68000"/>
    <n v="375500"/>
    <n v="0.18817619783616693"/>
    <n v="-1.0189228529839884E-2"/>
    <n v="0.14656488549618321"/>
    <n v="1.0237409580125985"/>
  </r>
  <r>
    <n v="2025"/>
    <n v="19120131542"/>
    <n v="-1.2729656758128873"/>
    <n v="0.28000000000000003"/>
    <n v="12197"/>
    <n v="2"/>
    <s v="RES"/>
    <n v="317"/>
    <s v="MX"/>
    <s v="R2"/>
    <n v="11"/>
    <n v="259"/>
    <s v="BG"/>
    <s v="F+"/>
    <s v="AV"/>
    <n v="1955"/>
    <n v="1974"/>
    <x v="6"/>
    <n v="69"/>
    <n v="50"/>
    <n v="1"/>
    <n v="861"/>
    <n v="0"/>
    <n v="0"/>
    <n v="0"/>
    <n v="0"/>
    <n v="0"/>
    <n v="861"/>
    <x v="5"/>
    <n v="0"/>
    <s v="N"/>
    <s v="FD"/>
    <s v="O"/>
    <s v="N"/>
    <n v="0"/>
    <n v="0"/>
    <n v="0"/>
    <n v="0"/>
    <n v="0"/>
    <n v="5"/>
    <n v="0"/>
    <n v="0"/>
    <n v="0"/>
    <n v="0"/>
    <n v="360"/>
    <n v="72"/>
    <n v="100"/>
    <n v="100"/>
    <n v="120277"/>
    <n v="85397"/>
    <n v="580"/>
    <n v="365"/>
    <n v="215"/>
    <n v="0"/>
    <d v="2022-05-31T00:00:00"/>
    <s v="E037094"/>
    <n v="235000"/>
    <n v="225737"/>
    <s v="SWD"/>
    <n v="30"/>
    <s v="N"/>
    <s v="Y"/>
    <n v="259900"/>
    <n v="68700"/>
    <n v="191200"/>
    <n v="9263"/>
    <n v="248557.77444575191"/>
    <n v="259591.56525514173"/>
    <n v="-11033.790131"/>
    <n v="132535.48800000001"/>
    <n v="88356.992000000013"/>
    <n v="-16706.81015135027"/>
    <n v="-1240.8083630000001"/>
    <n v="17761.121909000001"/>
    <n v="-5437.0550000000003"/>
    <n v="53735.337180000002"/>
    <n v="0"/>
    <n v="0"/>
    <n v="-9412.7029999999995"/>
    <n v="0"/>
    <n v="0"/>
    <n v="0"/>
    <n v="248557.77244364977"/>
    <n v="9300"/>
    <n v="176900"/>
    <n v="71700"/>
    <n v="257900"/>
    <n v="0.91120589375727024"/>
    <n v="-7.6952674105425162E-3"/>
    <n v="0.99970000000000003"/>
    <n v="1.0022"/>
    <n v="0.99680000000000002"/>
    <n v="1"/>
    <n v="1"/>
    <n v="0.94971499999999998"/>
    <n v="0.94875859900640003"/>
    <n v="181200"/>
    <n v="8800"/>
    <n v="190000"/>
    <n v="68000"/>
    <n v="258000"/>
    <n v="-6.2761506276150627E-3"/>
    <n v="-1.0189228529839884E-2"/>
    <n v="-7.310504040015391E-3"/>
    <n v="1.0509200419957447"/>
  </r>
  <r>
    <n v="2025"/>
    <n v="19120142463"/>
    <n v="-1.9661128563728327"/>
    <n v="0.14000000000000001"/>
    <n v="6108"/>
    <n v="2"/>
    <s v="RES"/>
    <n v="317"/>
    <s v="MX"/>
    <s v="R1M"/>
    <n v="11"/>
    <n v="259"/>
    <s v="CO"/>
    <s v="A"/>
    <s v="AV"/>
    <n v="1930"/>
    <n v="1970"/>
    <x v="7"/>
    <n v="94"/>
    <n v="54"/>
    <n v="2"/>
    <n v="1360"/>
    <n v="400"/>
    <n v="0"/>
    <n v="0"/>
    <n v="0"/>
    <n v="0"/>
    <n v="1760"/>
    <x v="0"/>
    <n v="0"/>
    <s v="B"/>
    <s v="FD"/>
    <s v="G"/>
    <s v="Y"/>
    <n v="0"/>
    <n v="1"/>
    <n v="0"/>
    <n v="0"/>
    <n v="0"/>
    <n v="5"/>
    <n v="0"/>
    <n v="0"/>
    <n v="0"/>
    <n v="0"/>
    <n v="0"/>
    <n v="0"/>
    <n v="100"/>
    <n v="100"/>
    <n v="225721"/>
    <n v="151233"/>
    <n v="1035"/>
    <n v="365"/>
    <n v="365"/>
    <n v="305"/>
    <d v="2021-03-02T00:00:00"/>
    <s v="E030454"/>
    <n v="277000"/>
    <n v="267614"/>
    <s v="SWD"/>
    <n v="30"/>
    <s v="N"/>
    <s v="Y"/>
    <n v="293600"/>
    <n v="59000"/>
    <n v="234600"/>
    <n v="9386"/>
    <n v="254364.40515789902"/>
    <n v="345359.54856854683"/>
    <n v="-90995.139630999998"/>
    <n v="132535.48800000001"/>
    <n v="88356.992000000013"/>
    <n v="-25803.896249263951"/>
    <n v="24371.765965999999"/>
    <n v="17761.121909000001"/>
    <n v="-5872.0194000000001"/>
    <n v="84878.116800000003"/>
    <n v="23832.153200000001"/>
    <n v="0"/>
    <n v="5299.8242"/>
    <n v="0"/>
    <n v="0"/>
    <n v="0"/>
    <n v="254364.40679473607"/>
    <n v="9400"/>
    <n v="191800"/>
    <n v="62600"/>
    <n v="263800"/>
    <n v="1.050037907505686"/>
    <n v="-0.10149863760217984"/>
    <n v="0.99970000000000003"/>
    <n v="0.99199999999999999"/>
    <n v="0.99680000000000002"/>
    <n v="1.0007999999999999"/>
    <n v="0.98240000000000005"/>
    <n v="0.94971499999999998"/>
    <n v="0.92331236006170647"/>
    <n v="272600"/>
    <n v="8900"/>
    <n v="281500"/>
    <n v="59400"/>
    <n v="340900"/>
    <n v="0.1999147485080989"/>
    <n v="6.7796610169491523E-3"/>
    <n v="0.16110354223433243"/>
    <n v="0.90218361144043324"/>
  </r>
  <r>
    <n v="2025"/>
    <n v="19120142425"/>
    <n v="-2.4079456086518722"/>
    <n v="0.09"/>
    <n v="4080"/>
    <n v="2"/>
    <s v="RES"/>
    <n v="317"/>
    <s v="MX"/>
    <s v="R2"/>
    <n v="11"/>
    <n v="259"/>
    <s v="BG"/>
    <s v="F"/>
    <s v="AV"/>
    <n v="1925"/>
    <n v="1978"/>
    <x v="7"/>
    <n v="99"/>
    <n v="46"/>
    <n v="1"/>
    <n v="834"/>
    <n v="0"/>
    <n v="0"/>
    <n v="0"/>
    <n v="0"/>
    <n v="0"/>
    <n v="834"/>
    <x v="5"/>
    <n v="0"/>
    <s v="N"/>
    <s v="HP"/>
    <s v="E"/>
    <s v="N"/>
    <n v="0"/>
    <n v="0"/>
    <n v="0"/>
    <n v="1"/>
    <n v="0"/>
    <n v="5"/>
    <n v="0"/>
    <n v="0"/>
    <n v="0"/>
    <n v="96"/>
    <n v="0"/>
    <n v="96"/>
    <n v="100"/>
    <n v="100"/>
    <n v="112262"/>
    <n v="86442"/>
    <n v="458"/>
    <n v="365"/>
    <n v="93"/>
    <n v="0"/>
    <d v="2022-09-30T00:00:00"/>
    <s v="E038277"/>
    <n v="230000"/>
    <n v="230000"/>
    <s v="SWD"/>
    <n v="30"/>
    <s v="N"/>
    <s v="Y"/>
    <n v="214200"/>
    <n v="52800"/>
    <n v="161400"/>
    <n v="0"/>
    <n v="241880.73976071755"/>
    <n v="244686.41707818283"/>
    <n v="-2805.6770309999997"/>
    <n v="132535.48800000001"/>
    <n v="88356.992000000013"/>
    <n v="-31602.651118487549"/>
    <n v="0"/>
    <n v="17761.121909000001"/>
    <n v="-5002.0906000000004"/>
    <n v="52050.25692"/>
    <n v="0"/>
    <n v="0"/>
    <n v="-9412.7029999999995"/>
    <n v="0"/>
    <n v="0"/>
    <n v="0"/>
    <n v="241880.73707951247"/>
    <n v="0"/>
    <n v="185100"/>
    <n v="56800"/>
    <n v="241900"/>
    <n v="0.95080611823067385"/>
    <n v="0.12931839402427639"/>
    <n v="0.99970000000000003"/>
    <n v="1.0003"/>
    <n v="0.99680000000000002"/>
    <n v="1"/>
    <n v="0.98240000000000005"/>
    <n v="0.94971499999999998"/>
    <n v="0.93029342027358464"/>
    <n v="178700"/>
    <n v="0"/>
    <n v="178700"/>
    <n v="53900"/>
    <n v="232600"/>
    <n v="0.10718711276332094"/>
    <n v="2.0833333333333332E-2"/>
    <n v="8.5901027077497666E-2"/>
    <n v="0.99910575203913043"/>
  </r>
  <r>
    <n v="2025"/>
    <n v="19120141009"/>
    <n v="-0.84397007029452897"/>
    <n v="0.43"/>
    <n v="18878"/>
    <n v="2"/>
    <s v="RES"/>
    <n v="317"/>
    <s v="MX"/>
    <s v="R1"/>
    <n v="11"/>
    <n v="259"/>
    <s v="TD"/>
    <s v="A"/>
    <s v="GD"/>
    <n v="1920"/>
    <n v="1966"/>
    <x v="8"/>
    <n v="104"/>
    <n v="58"/>
    <n v="1"/>
    <n v="1036"/>
    <n v="0"/>
    <n v="0"/>
    <n v="1036"/>
    <n v="0"/>
    <n v="1036"/>
    <n v="2072"/>
    <x v="1"/>
    <n v="0"/>
    <s v="N"/>
    <s v="FD"/>
    <s v="E"/>
    <s v="N"/>
    <n v="1"/>
    <n v="1"/>
    <n v="0"/>
    <n v="0"/>
    <n v="0"/>
    <n v="5"/>
    <n v="0"/>
    <n v="0"/>
    <n v="0"/>
    <n v="0"/>
    <n v="0"/>
    <n v="0"/>
    <n v="100"/>
    <n v="100"/>
    <n v="246263"/>
    <n v="177309"/>
    <n v="413"/>
    <n v="365"/>
    <n v="48"/>
    <n v="0"/>
    <d v="2022-11-14T00:00:00"/>
    <s v="E038730"/>
    <n v="385000"/>
    <n v="366713"/>
    <s v="SWD"/>
    <n v="30"/>
    <s v="N"/>
    <s v="Y"/>
    <n v="295300"/>
    <n v="74700"/>
    <n v="220600"/>
    <n v="18287"/>
    <n v="378494.40233002137"/>
    <n v="378265.11975292431"/>
    <n v="229.28271900000027"/>
    <n v="132535.48800000001"/>
    <n v="88356.992000000013"/>
    <n v="-11076.534116937963"/>
    <n v="24371.765965999999"/>
    <n v="30300.329274"/>
    <n v="-6306.9838"/>
    <n v="64657.153680000003"/>
    <n v="0"/>
    <n v="64839.609855999995"/>
    <n v="-9412.7029999999995"/>
    <n v="0"/>
    <n v="0"/>
    <n v="0"/>
    <n v="378494.40057806211"/>
    <n v="18300"/>
    <n v="301200"/>
    <n v="77300"/>
    <n v="396800"/>
    <n v="0.97026209677419351"/>
    <n v="0.34371825262444972"/>
    <n v="0.99970000000000003"/>
    <n v="0.99199999999999999"/>
    <n v="0.997"/>
    <n v="1.0008999999999999"/>
    <n v="1"/>
    <n v="0.94971499999999998"/>
    <n v="0.94013628999534382"/>
    <n v="293100"/>
    <n v="17400"/>
    <n v="310500"/>
    <n v="73400"/>
    <n v="383900"/>
    <n v="0.40752493200362649"/>
    <n v="-1.7402945113788489E-2"/>
    <n v="0.30003386386725361"/>
    <n v="0.99773839667272735"/>
  </r>
  <r>
    <n v="2025"/>
    <n v="19120142497"/>
    <n v="-1.5141277326297755"/>
    <n v="0.22"/>
    <n v="9778"/>
    <n v="2"/>
    <s v="RES"/>
    <s v="MX"/>
    <s v="MX"/>
    <s v="R2"/>
    <n v="11"/>
    <n v="259"/>
    <s v="RN"/>
    <s v="F+"/>
    <s v="GD"/>
    <n v="1920"/>
    <n v="1991"/>
    <x v="8"/>
    <n v="104"/>
    <n v="33"/>
    <n v="1"/>
    <n v="1430"/>
    <n v="0"/>
    <n v="0"/>
    <n v="0"/>
    <n v="0"/>
    <n v="0"/>
    <n v="1430"/>
    <x v="3"/>
    <n v="0"/>
    <s v="N"/>
    <s v="FD"/>
    <s v="E"/>
    <s v="N"/>
    <n v="0"/>
    <n v="0"/>
    <n v="0"/>
    <n v="0"/>
    <n v="0"/>
    <n v="8"/>
    <n v="0"/>
    <n v="0"/>
    <n v="0"/>
    <n v="200"/>
    <n v="0"/>
    <n v="200"/>
    <n v="100"/>
    <n v="100"/>
    <n v="190770"/>
    <n v="169785"/>
    <n v="129"/>
    <n v="129"/>
    <n v="0"/>
    <n v="0"/>
    <d v="2023-08-25T00:00:00"/>
    <s v="E041326"/>
    <n v="325000"/>
    <n v="325000"/>
    <s v="SWD"/>
    <n v="30"/>
    <s v="N"/>
    <s v="Y"/>
    <n v="290800"/>
    <n v="65300"/>
    <n v="225500"/>
    <n v="0"/>
    <n v="307550.96230377106"/>
    <n v="306325.78988202487"/>
    <n v="1225.1724174000001"/>
    <n v="132535.48800000001"/>
    <n v="88356.992000000013"/>
    <n v="-19871.898398035348"/>
    <n v="-1240.8083630000001"/>
    <n v="30300.329274"/>
    <n v="-3588.4563000000003"/>
    <n v="89246.843399999998"/>
    <n v="0"/>
    <n v="0"/>
    <n v="-9412.7029999999995"/>
    <n v="0"/>
    <n v="0"/>
    <n v="0"/>
    <n v="307550.9590303647"/>
    <n v="0"/>
    <n v="239100"/>
    <n v="68500"/>
    <n v="307600"/>
    <n v="1.0565669700910274"/>
    <n v="5.7771664374140302E-2"/>
    <n v="0.99970000000000003"/>
    <n v="1.0022"/>
    <n v="0.997"/>
    <n v="0.99519999999999997"/>
    <n v="1"/>
    <n v="0.94971499999999998"/>
    <n v="0.94439400487357117"/>
    <n v="230500"/>
    <n v="0"/>
    <n v="230500"/>
    <n v="65000"/>
    <n v="295500"/>
    <n v="2.2172949002217297E-2"/>
    <n v="-4.5941807044410417E-3"/>
    <n v="1.6162310866574967E-2"/>
    <n v="0.9130005305150769"/>
  </r>
  <r>
    <n v="2025"/>
    <n v="19120142501"/>
    <n v="-2.0402208285265546"/>
    <n v="0.13"/>
    <n v="5490"/>
    <n v="2"/>
    <s v="RES"/>
    <n v="317"/>
    <s v="MX"/>
    <s v="R2"/>
    <n v="11"/>
    <n v="259"/>
    <s v="TD"/>
    <s v="A"/>
    <s v="AV"/>
    <n v="1920"/>
    <n v="1966"/>
    <x v="8"/>
    <n v="104"/>
    <n v="58"/>
    <n v="1"/>
    <n v="1389"/>
    <n v="0"/>
    <n v="0"/>
    <n v="240"/>
    <n v="0"/>
    <n v="240"/>
    <n v="1629"/>
    <x v="0"/>
    <n v="0"/>
    <s v="N"/>
    <s v="HP"/>
    <s v="E"/>
    <m/>
    <n v="0"/>
    <n v="0"/>
    <n v="0"/>
    <n v="0"/>
    <n v="1"/>
    <n v="7"/>
    <n v="0"/>
    <n v="0"/>
    <n v="0"/>
    <n v="0"/>
    <n v="162"/>
    <n v="162"/>
    <n v="100"/>
    <n v="100"/>
    <n v="227549"/>
    <n v="143356"/>
    <n v="851"/>
    <n v="365"/>
    <n v="365"/>
    <n v="121"/>
    <d v="2021-09-02T00:00:00"/>
    <s v="E032952"/>
    <n v="295000"/>
    <n v="292164"/>
    <s v="SWD"/>
    <n v="30"/>
    <s v="N"/>
    <s v="Y"/>
    <n v="276400"/>
    <n v="57900"/>
    <n v="218500"/>
    <n v="2836"/>
    <n v="273378.69507702865"/>
    <n v="322237.94730745826"/>
    <n v="-48859.250031000003"/>
    <n v="132535.48800000001"/>
    <n v="88356.992000000013"/>
    <n v="-26776.513064468461"/>
    <n v="24371.765965999999"/>
    <n v="17761.121909000001"/>
    <n v="-6306.9838"/>
    <n v="86688.017820000008"/>
    <n v="0"/>
    <n v="15020.759039999999"/>
    <n v="-9412.7029999999995"/>
    <n v="0"/>
    <n v="0"/>
    <n v="0"/>
    <n v="273378.69483953161"/>
    <n v="2800"/>
    <n v="211800"/>
    <n v="61600"/>
    <n v="276200"/>
    <n v="1.0680666183924692"/>
    <n v="-7.2358900144717795E-4"/>
    <n v="0.99970000000000003"/>
    <n v="0.99199999999999999"/>
    <n v="0.99680000000000002"/>
    <n v="1.0007999999999999"/>
    <n v="1"/>
    <n v="0.94971499999999998"/>
    <n v="0.93985378670776309"/>
    <n v="252700"/>
    <n v="2700"/>
    <n v="255400"/>
    <n v="58500"/>
    <n v="313900"/>
    <n v="0.1688787185354691"/>
    <n v="1.0362694300518135E-2"/>
    <n v="0.13567293777134587"/>
    <n v="0.89844322023389833"/>
  </r>
  <r>
    <n v="2025"/>
    <n v="19120213404"/>
    <n v="0.82417544296634937"/>
    <n v="2.2799999999999998"/>
    <n v="99438"/>
    <n v="2"/>
    <s v="RES"/>
    <n v="317"/>
    <s v="MX"/>
    <s v="R1"/>
    <n v="11"/>
    <n v="400"/>
    <s v="CO"/>
    <s v="F+"/>
    <s v="GD"/>
    <n v="1920"/>
    <n v="1966"/>
    <x v="8"/>
    <n v="104"/>
    <n v="58"/>
    <n v="2"/>
    <n v="966"/>
    <n v="250"/>
    <n v="0"/>
    <n v="0"/>
    <n v="0"/>
    <n v="0"/>
    <n v="1216"/>
    <x v="3"/>
    <n v="0"/>
    <s v="N"/>
    <s v="FD"/>
    <s v="G"/>
    <s v="N"/>
    <n v="0"/>
    <n v="0"/>
    <n v="0"/>
    <n v="1"/>
    <n v="0"/>
    <n v="8"/>
    <n v="0"/>
    <n v="0"/>
    <n v="0"/>
    <n v="0"/>
    <n v="168"/>
    <n v="168"/>
    <n v="100"/>
    <n v="100"/>
    <n v="170155"/>
    <n v="122512"/>
    <n v="627"/>
    <n v="365"/>
    <n v="262"/>
    <n v="0"/>
    <d v="2022-04-14T00:00:00"/>
    <s v="E036008"/>
    <n v="330000"/>
    <n v="326658"/>
    <s v="SWD"/>
    <n v="30"/>
    <s v="N"/>
    <s v="Y"/>
    <n v="295200"/>
    <n v="98100"/>
    <n v="197100"/>
    <n v="3342"/>
    <n v="306028.94426608353"/>
    <n v="320232.58207646059"/>
    <n v="-14203.636981"/>
    <n v="132535.48800000001"/>
    <n v="88356.992000000013"/>
    <n v="10816.743073807562"/>
    <n v="-1240.8083630000001"/>
    <n v="30300.329274"/>
    <n v="-6306.9838"/>
    <n v="60288.427080000001"/>
    <n v="14895.095749999999"/>
    <n v="0"/>
    <n v="-9412.7029999999995"/>
    <n v="0"/>
    <n v="0"/>
    <n v="0"/>
    <n v="306028.94303380762"/>
    <n v="3300"/>
    <n v="206900"/>
    <n v="99200"/>
    <n v="309400"/>
    <n v="1.0665804783451842"/>
    <n v="4.8102981029810296E-2"/>
    <n v="0.99970000000000003"/>
    <n v="1.0022"/>
    <n v="0.997"/>
    <n v="0.99519999999999997"/>
    <n v="1"/>
    <n v="0.94971499999999998"/>
    <n v="0.94439400487357117"/>
    <n v="213700"/>
    <n v="3200"/>
    <n v="216900"/>
    <n v="94200"/>
    <n v="311100"/>
    <n v="0.1004566210045662"/>
    <n v="-3.9755351681957186E-2"/>
    <n v="5.386178861788618E-2"/>
    <n v="0.89968594854242423"/>
  </r>
  <r>
    <n v="2025"/>
    <n v="20120642006"/>
    <n v="0.85441532815606758"/>
    <n v="2.35"/>
    <n v="102501"/>
    <n v="2"/>
    <s v="RES"/>
    <n v="317"/>
    <s v="MX"/>
    <s v="R1"/>
    <n v="11"/>
    <n v="259"/>
    <s v="FH"/>
    <s v="F"/>
    <s v="AV"/>
    <n v="1920"/>
    <n v="1966"/>
    <x v="8"/>
    <n v="104"/>
    <n v="58"/>
    <n v="2"/>
    <n v="1100"/>
    <n v="576"/>
    <n v="0"/>
    <n v="0"/>
    <n v="0"/>
    <n v="0"/>
    <n v="1676"/>
    <x v="0"/>
    <n v="0"/>
    <s v="N"/>
    <s v="ER"/>
    <s v="E"/>
    <m/>
    <n v="1"/>
    <n v="0"/>
    <n v="0"/>
    <n v="0"/>
    <n v="0"/>
    <n v="5"/>
    <n v="0"/>
    <n v="0"/>
    <n v="0"/>
    <n v="336"/>
    <n v="0"/>
    <n v="336"/>
    <n v="100"/>
    <n v="100"/>
    <n v="191135"/>
    <n v="120415"/>
    <n v="606"/>
    <n v="365"/>
    <n v="241"/>
    <n v="0"/>
    <d v="2022-05-05T00:00:00"/>
    <s v="E036292"/>
    <n v="310000"/>
    <n v="300450"/>
    <s v="SWD"/>
    <n v="30"/>
    <s v="N"/>
    <s v="Y"/>
    <n v="302700"/>
    <n v="98500"/>
    <n v="204200"/>
    <n v="9550"/>
    <n v="324329.93352547387"/>
    <n v="337117.25671838853"/>
    <n v="-12787.322431000001"/>
    <n v="132535.48800000001"/>
    <n v="88356.992000000013"/>
    <n v="11213.621034040569"/>
    <n v="0"/>
    <n v="17761.121909000001"/>
    <n v="-6306.9838"/>
    <n v="68651.418000000005"/>
    <n v="34318.300607999998"/>
    <n v="0"/>
    <n v="-9412.7029999999995"/>
    <n v="0"/>
    <n v="0"/>
    <n v="0"/>
    <n v="324329.93232004065"/>
    <n v="9600"/>
    <n v="224800"/>
    <n v="99600"/>
    <n v="334000"/>
    <n v="0.92814371257485029"/>
    <n v="0.10340270895275851"/>
    <n v="0.99970000000000003"/>
    <n v="1.0003"/>
    <n v="0.99680000000000002"/>
    <n v="1.0007999999999999"/>
    <n v="1"/>
    <n v="0.94971499999999998"/>
    <n v="0.94771748270541878"/>
    <n v="230600"/>
    <n v="9100"/>
    <n v="239700"/>
    <n v="94600"/>
    <n v="334300"/>
    <n v="0.17384916748285995"/>
    <n v="-3.9593908629441621E-2"/>
    <n v="0.10439378923026098"/>
    <n v="1.0371376695774193"/>
  </r>
  <r>
    <n v="2025"/>
    <n v="19133541411"/>
    <n v="-0.96758402626170559"/>
    <n v="0.38"/>
    <n v="0"/>
    <n v="2"/>
    <s v="RES"/>
    <n v="317"/>
    <s v="MX"/>
    <s v="R1"/>
    <n v="11"/>
    <n v="259"/>
    <s v="FH"/>
    <s v="F"/>
    <s v="AV"/>
    <n v="1902"/>
    <n v="1950"/>
    <x v="9"/>
    <n v="122"/>
    <n v="74"/>
    <n v="2"/>
    <n v="1120"/>
    <n v="416"/>
    <n v="0"/>
    <n v="0"/>
    <n v="0"/>
    <n v="0"/>
    <n v="1536"/>
    <x v="0"/>
    <n v="0"/>
    <s v="N"/>
    <s v="SP"/>
    <s v="G"/>
    <m/>
    <n v="1"/>
    <n v="0"/>
    <n v="0"/>
    <n v="0"/>
    <n v="0"/>
    <n v="5"/>
    <n v="0"/>
    <n v="0"/>
    <n v="0"/>
    <n v="0"/>
    <n v="0"/>
    <n v="120"/>
    <n v="100"/>
    <n v="100"/>
    <n v="170311"/>
    <n v="93671"/>
    <n v="167"/>
    <n v="167"/>
    <n v="0"/>
    <n v="0"/>
    <d v="2023-07-18T00:00:00"/>
    <s v="E040960"/>
    <n v="340000"/>
    <n v="301635"/>
    <s v="SWD"/>
    <n v="30"/>
    <s v="N"/>
    <s v="Y"/>
    <n v="282400"/>
    <n v="73000"/>
    <n v="209400"/>
    <n v="38365"/>
    <n v="304766.31677061185"/>
    <n v="303180.24084478553"/>
    <n v="1586.0759201999999"/>
    <n v="132535.48800000001"/>
    <n v="88356.992000000013"/>
    <n v="-12698.883355131054"/>
    <n v="0"/>
    <n v="17761.121909000001"/>
    <n v="-8046.8414000000002"/>
    <n v="69899.625599999999"/>
    <n v="24785.439328"/>
    <n v="0"/>
    <n v="-9412.7029999999995"/>
    <n v="0"/>
    <n v="0"/>
    <n v="0"/>
    <n v="304766.31500206899"/>
    <n v="38400"/>
    <n v="229100"/>
    <n v="75700"/>
    <n v="343200"/>
    <n v="0.99067599067599066"/>
    <n v="0.21529745042492918"/>
    <n v="0.99970000000000003"/>
    <n v="1.0003"/>
    <n v="0.99680000000000002"/>
    <n v="1.0007999999999999"/>
    <n v="1"/>
    <n v="0.94971499999999998"/>
    <n v="0.94771748270541878"/>
    <n v="220600"/>
    <n v="36400"/>
    <n v="257000"/>
    <n v="71900"/>
    <n v="328900"/>
    <n v="0.22731614135625597"/>
    <n v="-1.5068493150684932E-2"/>
    <n v="0.1646600566572238"/>
    <n v="0.97201787035352938"/>
  </r>
  <r>
    <n v="2025"/>
    <n v="19133511002"/>
    <n v="-0.51082562376599072"/>
    <n v="0.6"/>
    <n v="0"/>
    <n v="2"/>
    <s v="RES"/>
    <n v="317"/>
    <s v="MX"/>
    <s v="R1"/>
    <n v="11"/>
    <n v="259"/>
    <s v="TD"/>
    <s v="F"/>
    <s v="AV"/>
    <n v="1901"/>
    <n v="1949"/>
    <x v="9"/>
    <n v="123"/>
    <n v="75"/>
    <n v="1"/>
    <n v="888"/>
    <n v="0"/>
    <n v="0"/>
    <n v="888"/>
    <n v="888"/>
    <n v="0"/>
    <n v="888"/>
    <x v="5"/>
    <n v="0"/>
    <s v="N"/>
    <s v="FD"/>
    <s v="G"/>
    <m/>
    <n v="0"/>
    <n v="1"/>
    <n v="0"/>
    <n v="0"/>
    <n v="0"/>
    <n v="5"/>
    <n v="0"/>
    <n v="0"/>
    <n v="0"/>
    <n v="0"/>
    <n v="0"/>
    <n v="0"/>
    <n v="100"/>
    <n v="100"/>
    <n v="146249"/>
    <n v="80437"/>
    <n v="1022"/>
    <n v="365"/>
    <n v="365"/>
    <n v="292"/>
    <d v="2021-03-15T00:00:00"/>
    <n v="458877"/>
    <n v="260000"/>
    <n v="246666"/>
    <s v="RC"/>
    <n v="30"/>
    <s v="N"/>
    <s v="Y"/>
    <n v="234200"/>
    <n v="79400"/>
    <n v="154800"/>
    <n v="13334"/>
    <n v="237360.15310751068"/>
    <n v="325378.30420651252"/>
    <n v="-88018.147431000005"/>
    <n v="132535.48800000001"/>
    <n v="88356.992000000013"/>
    <n v="-6704.2394613300912"/>
    <n v="0"/>
    <n v="17761.121909000001"/>
    <n v="-8155.5825000000004"/>
    <n v="55420.417440000005"/>
    <n v="0"/>
    <n v="55576.808447999996"/>
    <n v="-9412.7029999999995"/>
    <n v="0"/>
    <n v="0"/>
    <n v="0"/>
    <n v="237360.15540466996"/>
    <n v="13300"/>
    <n v="155700"/>
    <n v="81700"/>
    <n v="250700"/>
    <n v="1.0370961308336657"/>
    <n v="7.0452604611443218E-2"/>
    <n v="0.99970000000000003"/>
    <n v="1.0003"/>
    <n v="0.99680000000000002"/>
    <n v="1"/>
    <n v="1"/>
    <n v="0.94971499999999998"/>
    <n v="0.94695991477359998"/>
    <n v="236700"/>
    <n v="12700"/>
    <n v="249400"/>
    <n v="77500"/>
    <n v="326900"/>
    <n v="0.61111111111111116"/>
    <n v="-2.3929471032745592E-2"/>
    <n v="0.39581554227156279"/>
    <n v="0.91877635603461527"/>
  </r>
  <r>
    <n v="2025"/>
    <n v="20120632005"/>
    <n v="-9.431067947124129E-2"/>
    <n v="0.91"/>
    <n v="39612"/>
    <n v="2"/>
    <s v="RES"/>
    <n v="317"/>
    <s v="MX"/>
    <s v="AG"/>
    <n v="11"/>
    <n v="259"/>
    <s v="FH"/>
    <s v="F"/>
    <s v="GD"/>
    <n v="1901"/>
    <n v="2003"/>
    <x v="9"/>
    <n v="123"/>
    <n v="21"/>
    <n v="2"/>
    <n v="1036"/>
    <n v="518"/>
    <n v="0"/>
    <n v="0"/>
    <n v="0"/>
    <n v="0"/>
    <n v="1554"/>
    <x v="0"/>
    <n v="0"/>
    <s v="N"/>
    <s v="FD"/>
    <s v="G"/>
    <s v="Y"/>
    <n v="0"/>
    <n v="0"/>
    <n v="0"/>
    <n v="0"/>
    <n v="0"/>
    <n v="5"/>
    <n v="0"/>
    <n v="0"/>
    <n v="0"/>
    <n v="0"/>
    <n v="0"/>
    <n v="0"/>
    <n v="100"/>
    <n v="100"/>
    <n v="183410"/>
    <n v="170571"/>
    <n v="748"/>
    <n v="365"/>
    <n v="365"/>
    <n v="18"/>
    <d v="2021-12-14T00:00:00"/>
    <s v="E034424"/>
    <n v="350000"/>
    <n v="339017"/>
    <s v="SWD"/>
    <n v="30"/>
    <s v="N"/>
    <s v="Y"/>
    <n v="335600"/>
    <n v="85200"/>
    <n v="250400"/>
    <n v="10983"/>
    <n v="308506.26176380063"/>
    <n v="333778.57490965142"/>
    <n v="-25272.311830999999"/>
    <n v="132535.48800000001"/>
    <n v="88356.992000000013"/>
    <n v="-1237.763631108681"/>
    <n v="0"/>
    <n v="30300.329274"/>
    <n v="-2283.5630999999998"/>
    <n v="64657.153680000003"/>
    <n v="30862.638393999998"/>
    <n v="0"/>
    <n v="-9412.7029999999995"/>
    <n v="0"/>
    <n v="0"/>
    <n v="0"/>
    <n v="308506.25978589134"/>
    <n v="11000"/>
    <n v="221400"/>
    <n v="87100"/>
    <n v="319500"/>
    <n v="1.0954616588419406"/>
    <n v="-4.7973778307508937E-2"/>
    <n v="0.99970000000000003"/>
    <n v="1.0003"/>
    <n v="0.997"/>
    <n v="1.0007999999999999"/>
    <n v="1"/>
    <n v="0.94971499999999998"/>
    <n v="0.94790763468830508"/>
    <n v="239800"/>
    <n v="10400"/>
    <n v="250200"/>
    <n v="82700"/>
    <n v="332900"/>
    <n v="-7.9872204472843447E-4"/>
    <n v="-2.9342723004694836E-2"/>
    <n v="-8.045292014302742E-3"/>
    <n v="0.87893625191142855"/>
  </r>
  <r>
    <n v="2025"/>
    <n v="19120213018"/>
    <n v="0.24686007793152581"/>
    <n v="1.28"/>
    <n v="55597"/>
    <n v="2"/>
    <s v="RES"/>
    <n v="317"/>
    <s v="MX"/>
    <s v="R1"/>
    <n v="11"/>
    <n v="259"/>
    <s v="FH"/>
    <s v="A+"/>
    <s v="AV"/>
    <n v="1900"/>
    <n v="1974"/>
    <x v="9"/>
    <n v="124"/>
    <n v="50"/>
    <n v="2"/>
    <n v="1137"/>
    <n v="932"/>
    <n v="0"/>
    <n v="0"/>
    <n v="0"/>
    <n v="0"/>
    <n v="2069"/>
    <x v="1"/>
    <n v="0"/>
    <s v="N"/>
    <s v="FD"/>
    <s v="G"/>
    <s v="Y"/>
    <n v="1"/>
    <n v="0"/>
    <n v="0"/>
    <n v="0"/>
    <n v="0"/>
    <n v="8"/>
    <n v="0"/>
    <n v="0"/>
    <n v="0"/>
    <n v="144"/>
    <n v="388"/>
    <n v="144"/>
    <n v="100"/>
    <n v="100"/>
    <n v="350359"/>
    <n v="248755"/>
    <n v="703"/>
    <n v="365"/>
    <n v="338"/>
    <n v="0"/>
    <d v="2022-01-28T00:00:00"/>
    <s v="E035027"/>
    <n v="425000"/>
    <n v="376837"/>
    <s v="SWD"/>
    <n v="30"/>
    <s v="N"/>
    <s v="Y"/>
    <n v="404400"/>
    <n v="90000"/>
    <n v="314400"/>
    <n v="48163"/>
    <n v="371358.14057105297"/>
    <n v="390687.48842557974"/>
    <n v="-19329.346781"/>
    <n v="132535.48800000001"/>
    <n v="88356.992000000013"/>
    <n v="3239.870904858361"/>
    <n v="37154.252388000001"/>
    <n v="17761.121909000001"/>
    <n v="-5437.0550000000003"/>
    <n v="70960.602060000005"/>
    <n v="55528.916956000001"/>
    <n v="0"/>
    <n v="-9412.7029999999995"/>
    <n v="0"/>
    <n v="0"/>
    <n v="0"/>
    <n v="371358.13943685847"/>
    <n v="48200"/>
    <n v="279800"/>
    <n v="91600"/>
    <n v="419600"/>
    <n v="1.0128693994280267"/>
    <n v="3.7586547972304651E-2"/>
    <n v="0.99970000000000003"/>
    <n v="0.99819999999999998"/>
    <n v="0.99680000000000002"/>
    <n v="1.0008999999999999"/>
    <n v="1"/>
    <n v="0.94971499999999998"/>
    <n v="0.94582237006422254"/>
    <n v="291900"/>
    <n v="45700"/>
    <n v="337600"/>
    <n v="87000"/>
    <n v="424600"/>
    <n v="7.3791348600508899E-2"/>
    <n v="-3.3333333333333333E-2"/>
    <n v="4.9950544015825916E-2"/>
    <n v="0.9535780075741175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B5D18F-DA4B-4D8D-AF8D-E6FD9DFD08DB}" name="PivotTable1" cacheId="372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Sales">
  <location ref="A3:D14" firstHeaderRow="0" firstDataRow="1" firstDataCol="1"/>
  <pivotFields count="105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7">
        <item x="5"/>
        <item x="3"/>
        <item x="0"/>
        <item x="1"/>
        <item x="4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9" showAll="0"/>
    <pivotField numFmtId="9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7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unt of Parcel" fld="1" subtotal="count" baseField="0" baseItem="0"/>
    <dataField name="Average of Unadj Ratio " fld="87" subtotal="average" baseField="0" baseItem="0" numFmtId="9"/>
    <dataField name="Average of Final Ratio" fld="104" subtotal="average" baseField="0" baseItem="0" numFmtId="9"/>
  </dataFields>
  <formats count="4">
    <format dxfId="107">
      <pivotArea outline="0" collapsedLevelsAreSubtotals="1" fieldPosition="0">
        <references count="1">
          <reference field="4294967294" count="2" selected="0">
            <x v="1"/>
            <x v="2"/>
          </reference>
        </references>
      </pivotArea>
    </format>
    <format dxfId="108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109">
      <pivotArea field="28" type="button" dataOnly="0" labelOnly="1" outline="0"/>
    </format>
    <format dxfId="11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CDA4C3-C157-460D-817F-0B548791C2D4}" name="PivotTable11" cacheId="372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I3:K15" firstHeaderRow="0" firstDataRow="1" firstDataCol="1"/>
  <pivotFields count="71"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3">
        <item x="7"/>
        <item x="3"/>
        <item x="1"/>
        <item x="2"/>
        <item x="0"/>
        <item x="4"/>
        <item x="5"/>
        <item x="6"/>
        <item x="8"/>
        <item x="10"/>
        <item x="9"/>
        <item m="1"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9" showAll="0"/>
    <pivotField dataField="1" numFmtId="9" showAll="0"/>
  </pivotFields>
  <rowFields count="1">
    <field x="11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Parcel" fld="1" subtotal="count" baseField="0" baseItem="0"/>
    <dataField name="Average of Adjusted Total Difference" fld="70" subtotal="average" baseField="0" baseItem="0" numFmtId="9"/>
  </dataFields>
  <formats count="2">
    <format dxfId="10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953B2DA-80B1-4597-95EE-AA3A1FE31D05}" name="Sales" displayName="Sales" ref="A1:DA320" totalsRowShown="0" headerRowDxfId="104">
  <autoFilter ref="A1:DA320" xr:uid="{1953B2DA-80B1-4597-95EE-AA3A1FE31D05}"/>
  <sortState xmlns:xlrd2="http://schemas.microsoft.com/office/spreadsheetml/2017/richdata2" ref="A2:DA320">
    <sortCondition ref="S1:S320"/>
  </sortState>
  <tableColumns count="105">
    <tableColumn id="1" xr3:uid="{A15B433E-2425-4FA8-B217-CD815008E71D}" name="Year"/>
    <tableColumn id="2" xr3:uid="{9D67FD85-FBF9-4F1A-A2C8-396421FE816C}" name="Parcel"/>
    <tableColumn id="3" xr3:uid="{6ECF7061-4BEB-4539-ADAC-5A026C5D3A7A}" name="LnAcres"/>
    <tableColumn id="4" xr3:uid="{2E83151C-4D39-4B3F-9B8A-BD60AC51D937}" name="Acres"/>
    <tableColumn id="5" xr3:uid="{E99FABD4-C0F6-4DA9-95C8-31E936F352AD}" name="Sqft"/>
    <tableColumn id="6" xr3:uid="{9ED3AE48-9E87-4B71-90C9-4E8B9C6B0487}" name="Cycle"/>
    <tableColumn id="7" xr3:uid="{3BD31D9F-9EBE-466F-934E-F56A86FCD872}" name="Type"/>
    <tableColumn id="8" xr3:uid="{FB07E737-5904-4447-9E36-22070DA9536F}" name="Nbhd"/>
    <tableColumn id="9" xr3:uid="{F5FBBDDE-6AAB-4A58-867C-5D89E590714B}" name="TNbhd"/>
    <tableColumn id="10" xr3:uid="{8E6E199B-E67F-4F89-BC5E-D99EE7140B1C}" name="Zone"/>
    <tableColumn id="11" xr3:uid="{8AD946DC-DAF4-4938-AF75-3B7DE1C0CBDA}" name="Use"/>
    <tableColumn id="12" xr3:uid="{20F825F3-C295-4A76-A966-12E4380705C9}" name="Subtype"/>
    <tableColumn id="13" xr3:uid="{A82759D5-2A60-4CD7-B6CF-EF1ED80A7F42}" name="Style"/>
    <tableColumn id="14" xr3:uid="{AF0CB34A-C309-4113-A37A-B256CAEB62A4}" name="Qlty"/>
    <tableColumn id="15" xr3:uid="{4E2713FF-D994-42FA-98B1-47719BA9DB23}" name="Cnd"/>
    <tableColumn id="16" xr3:uid="{DC94E7BE-080B-45DF-960C-CFA4D7B449A8}" name="YrBlt"/>
    <tableColumn id="17" xr3:uid="{A2E506A5-38C4-4EBF-B599-ECCB24AB12F9}" name="EffYr"/>
    <tableColumn id="18" xr3:uid="{D34894A3-8162-4B8E-9D0F-F329BC2AEC52}" name="Decade"/>
    <tableColumn id="19" xr3:uid="{87C44279-6DC1-4F87-9DA4-AEEA1EAC2F79}" name="Age"/>
    <tableColumn id="20" xr3:uid="{4846C3FF-2192-40BC-87B8-CE508824B2D4}" name="EffAge"/>
    <tableColumn id="21" xr3:uid="{C3B3BE8B-0D9D-4B23-AAD4-1CC6C4876F48}" name="#Stories"/>
    <tableColumn id="22" xr3:uid="{37440128-81FF-4A65-9D4D-C20D5688FF03}" name="MainFn"/>
    <tableColumn id="23" xr3:uid="{7B696CD7-92D5-4B38-83EC-90DE8CA24F54}" name="UpprFn"/>
    <tableColumn id="24" xr3:uid="{2F0F5582-C355-4A86-9E03-3AFF79A37769}" name="AddFn"/>
    <tableColumn id="25" xr3:uid="{E7145AA0-377A-4DFC-A522-B82D840C1FF0}" name="Bsmt"/>
    <tableColumn id="26" xr3:uid="{68D990BC-FEEE-4BA1-A4AF-D0F3610F70E0}" name="UnfinBsmt"/>
    <tableColumn id="27" xr3:uid="{B34845C8-E14A-41B7-8888-6EDDE3075DE9}" name="FnBsmt"/>
    <tableColumn id="28" xr3:uid="{E051C3D1-DB28-40C3-AC11-B08BC8324F74}" name="Living Area"/>
    <tableColumn id="29" xr3:uid="{32ACD42D-93CD-489F-83DC-3033A0A99A8B}" name="LivArea Range"/>
    <tableColumn id="30" xr3:uid="{E796EE10-7BF2-4383-AB5D-0343F7590251}" name="GarSpace"/>
    <tableColumn id="31" xr3:uid="{5C874420-491E-4588-BDC8-453084A80787}" name="MsnryTrim"/>
    <tableColumn id="32" xr3:uid="{F9383382-228B-46EE-A2EE-EAEE75A965FF}" name="Heat"/>
    <tableColumn id="33" xr3:uid="{D8A93AA7-1124-4887-A790-CAB1EE3EE726}" name="Fuel"/>
    <tableColumn id="34" xr3:uid="{F4E08A8D-50B8-4E15-B9DC-A64E4071C87D}" name="AC"/>
    <tableColumn id="35" xr3:uid="{D9D066DB-64DC-4B4D-9BEC-A7116344047F}" name="WdStove"/>
    <tableColumn id="36" xr3:uid="{9C573934-7D45-4740-BE50-6133B1A82D9B}" name="MsnryFP"/>
    <tableColumn id="37" xr3:uid="{9C89C21E-D82A-4343-B9DB-5C6ABF5ECFFD}" name="PrefabFP"/>
    <tableColumn id="38" xr3:uid="{3DFB7DB1-F191-43B3-933C-BC44D8334111}" name="3/4Bath"/>
    <tableColumn id="39" xr3:uid="{CCDC3349-D103-4F8E-AD63-F819E04F7015}" name="1/2Bath"/>
    <tableColumn id="40" xr3:uid="{15E05C5E-FF14-422D-AAA7-6CF7180D9BB4}" name="Fixtures"/>
    <tableColumn id="41" xr3:uid="{50EA7562-004E-4A6F-9C94-A63A4A49237C}" name="AttGar"/>
    <tableColumn id="42" xr3:uid="{6D718BAB-5BFD-46DA-9BB2-2A41BA7CC39B}" name="BltinGar"/>
    <tableColumn id="43" xr3:uid="{729FE9CB-D031-48B9-8473-ACB193A4AE65}" name="Carport"/>
    <tableColumn id="44" xr3:uid="{327B6672-7612-428E-8254-3C9D97A95637}" name="WdDeck"/>
    <tableColumn id="45" xr3:uid="{A88A38AD-4FD5-4860-AE22-1673E0511FDB}" name="Patio"/>
    <tableColumn id="46" xr3:uid="{575A200E-CFA2-490D-B672-F30D437E0B4B}" name="CoverSf"/>
    <tableColumn id="47" xr3:uid="{743B3CC3-F851-4FDB-9A6C-81194AEC8B47}" name="%Comp"/>
    <tableColumn id="48" xr3:uid="{F7EC241E-966E-4D79-8AE5-6987CBB4339C}" name="Ecn"/>
    <tableColumn id="49" xr3:uid="{DA2748E2-3596-4079-8AAF-2DC46B97E811}" name="Rcn"/>
    <tableColumn id="50" xr3:uid="{571D7123-5C8A-4B4A-8705-757E2F7E56F0}" name="Rcnld"/>
    <tableColumn id="51" xr3:uid="{C5A5A24B-8C72-4AF0-850D-DFBBE0A52CE7}" name="Days Prior"/>
    <tableColumn id="52" xr3:uid="{BE2DFED1-EAB9-478D-9F47-E67EA8211A7C}" name="DP1"/>
    <tableColumn id="53" xr3:uid="{701EBE2A-A929-4C8D-8175-04DAAA71E278}" name="DP2"/>
    <tableColumn id="54" xr3:uid="{DBDFF9D0-B2CC-4DDD-B57E-ABAAC5A3D83E}" name="DP3"/>
    <tableColumn id="55" xr3:uid="{9E2F77BA-A66E-462B-B346-90BDF72C2F1C}" name="Date" dataDxfId="103"/>
    <tableColumn id="56" xr3:uid="{7E9D4A58-DED7-4AB6-A016-002BF2F74469}" name="Excise"/>
    <tableColumn id="57" xr3:uid="{E5D1074B-A086-4934-95A2-955D5FEDD235}" name="Price"/>
    <tableColumn id="58" xr3:uid="{9E50E4FB-9184-489E-9387-EAA92452E7EA}" name="SP-Det"/>
    <tableColumn id="59" xr3:uid="{2CEFA334-C239-4744-BB63-A46F939BF31E}" name="SaleType"/>
    <tableColumn id="60" xr3:uid="{8C3A6FE6-BC6B-4F10-95AC-1B721BD1FD12}" name="Verify"/>
    <tableColumn id="61" xr3:uid="{3CE6EB62-529C-4BC3-9327-AF000F52D0A1}" name="Mult"/>
    <tableColumn id="62" xr3:uid="{28B2D25C-56CD-4C1B-A940-35F7D763BE74}" name="Bench"/>
    <tableColumn id="63" xr3:uid="{C12B0C43-416A-4524-B37A-BE1814D9DEF8}" name="24Final"/>
    <tableColumn id="64" xr3:uid="{24A7C590-BD09-46F7-8342-5F9FD210BAE7}" name="24Lnd"/>
    <tableColumn id="65" xr3:uid="{7E8D2F75-9967-4832-B2CD-CB6939B63B40}" name="24Bldg"/>
    <tableColumn id="66" xr3:uid="{869E5432-548B-48FB-89E2-7FF0ECDB0E4D}" name="25Det"/>
    <tableColumn id="68" xr3:uid="{B8EB7D38-C1F2-4A86-8061-C8706E68AC56}" name="Mdl Formula DP"/>
    <tableColumn id="69" xr3:uid="{3812E09A-2D0E-458B-8ECF-9DDA0F7785E4}" name="Mdl Formula Total"/>
    <tableColumn id="70" xr3:uid="{3882B488-8C85-4B22-83F4-E0776825FEBD}" name="Days Prior Total" dataDxfId="102">
      <calculatedColumnFormula>(Sales[[#This Row],[DP1]]*Lookups!$B$61)+(Sales[[#This Row],[DP2]]*Lookups!$B$62)+(Sales[[#This Row],[DP3]]*Lookups!$B$63)</calculatedColumnFormula>
    </tableColumn>
    <tableColumn id="71" xr3:uid="{CB8AA240-CA03-4B6B-BAB3-F8BC44B4F22D}" name="Mdl Res Intercept" dataDxfId="101">
      <calculatedColumnFormula>Lookups!$B$58*0.6</calculatedColumnFormula>
    </tableColumn>
    <tableColumn id="72" xr3:uid="{8844D6B8-F6E3-41A8-BCD0-5A458FD0C2CB}" name="Mdl Land Intercept" dataDxfId="100">
      <calculatedColumnFormula>Lookups!$B$58*0.4</calculatedColumnFormula>
    </tableColumn>
    <tableColumn id="73" xr3:uid="{925B3AA4-3DFA-4C3A-AFDF-768372ED24D4}" name="Mdl LnAcres" dataDxfId="99">
      <calculatedColumnFormula>Lookups!$B$59*Sales[[#This Row],[LnAcres]]</calculatedColumnFormula>
    </tableColumn>
    <tableColumn id="74" xr3:uid="{84147FC0-CF9E-4F9E-86E5-188B24C8A1BD}" name="Mdl Qlty" dataDxfId="98">
      <calculatedColumnFormula>VLOOKUP(Sales[[#This Row],[Qlty]],Lookups!$A$66:$E$79,2,FALSE)</calculatedColumnFormula>
    </tableColumn>
    <tableColumn id="75" xr3:uid="{4D674D02-B7D7-4FDE-A571-FE7B301EDF1A}" name="Mdl Condition" dataDxfId="97">
      <calculatedColumnFormula>VLOOKUP(Sales[[#This Row],[Cnd]],Lookups!$A$80:$E$91,2,FALSE)</calculatedColumnFormula>
    </tableColumn>
    <tableColumn id="76" xr3:uid="{E9BDF422-6B1E-4DE0-9560-59CE64925770}" name="Mdl EffAge" dataDxfId="96">
      <calculatedColumnFormula>Sales[[#This Row],[EffAge]]*Lookups!$B$65</calculatedColumnFormula>
    </tableColumn>
    <tableColumn id="77" xr3:uid="{1C0ABDFF-330D-465A-98C2-E7A838D28A48}" name="Mdl MainFn" dataDxfId="95">
      <calculatedColumnFormula>Sales[[#This Row],[MainFn]]*Lookups!$B$90</calculatedColumnFormula>
    </tableColumn>
    <tableColumn id="78" xr3:uid="{7655BB2E-FD01-4525-9B92-20275F1F797A}" name="Mdl UpprFn" dataDxfId="94">
      <calculatedColumnFormula>Sales[[#This Row],[UpprFn]]*Lookups!$B$91</calculatedColumnFormula>
    </tableColumn>
    <tableColumn id="80" xr3:uid="{B9830D10-816D-44A7-8114-2DE5AE9692A3}" name="Mdl Bsmt Area" dataDxfId="93">
      <calculatedColumnFormula>Sales[[#This Row],[Bsmt]]*Lookups!$B$95</calculatedColumnFormula>
    </tableColumn>
    <tableColumn id="105" xr3:uid="{B1B93CDE-E4AB-48A0-BEAA-32CCAFA1D9D0}" name="Mdl Msnry Trim " dataDxfId="92">
      <calculatedColumnFormula>VLOOKUP(Sales[[#This Row],[MsnryTrim]],Lookups!$A$90:$E$99,2,FALSE)</calculatedColumnFormula>
    </tableColumn>
    <tableColumn id="79" xr3:uid="{B7C78F91-2AF9-4D1E-A007-2720388E27D7}" name="Mdl Prefab" dataDxfId="91">
      <calculatedColumnFormula>Sales[[#This Row],[PrefabFP]]*Lookups!$B$92</calculatedColumnFormula>
    </tableColumn>
    <tableColumn id="81" xr3:uid="{928F4532-FBE5-45B9-9E77-26749B0C606D}" name="Mdl AttGar" dataDxfId="90">
      <calculatedColumnFormula>Sales[[#This Row],[AttGar]]*Lookups!$B$93</calculatedColumnFormula>
    </tableColumn>
    <tableColumn id="67" xr3:uid="{B46CE509-AC62-4DAD-A136-19C5FDC96E14}" name="Mdl BltinGar" dataDxfId="89">
      <calculatedColumnFormula>Sales[[#This Row],[BltinGar]]*Lookups!$B$94</calculatedColumnFormula>
    </tableColumn>
    <tableColumn id="82" xr3:uid="{969663A1-6DEE-45AE-BC50-6DE0D57A056C}" name="Match Mdl Value" dataDxfId="88">
      <calculatedColumnFormula>SUM(Sales[[#This Row],[Days Prior Total]:[Mdl BltinGar]])</calculatedColumnFormula>
    </tableColumn>
    <tableColumn id="83" xr3:uid="{F1BD24DD-1309-4A7F-80CE-41B5ED470C45}" name="Unadj Det Value" dataDxfId="87">
      <calculatedColumnFormula>ROUND(Sales[[#This Row],[25Det]],-2)</calculatedColumnFormula>
    </tableColumn>
    <tableColumn id="84" xr3:uid="{01E20619-9201-4869-A5C9-F500C7535232}" name="Unadj Res Value" dataDxfId="86">
      <calculatedColumnFormula>ROUND(SUM(Sales[[#This Row],[Mdl Qlty]:[Mdl BltinGar]])+Sales[[#This Row],[Mdl Res Intercept]]+Sales[[#This Row],[Days Prior Total]],-2)</calculatedColumnFormula>
    </tableColumn>
    <tableColumn id="85" xr3:uid="{89842331-927C-46A0-A614-2188C8765F90}" name="Unadj Land Value" dataDxfId="85">
      <calculatedColumnFormula>ROUND(Sales[[#This Row],[Mdl Land Intercept]]+Sales[[#This Row],[Mdl LnAcres]],-2)</calculatedColumnFormula>
    </tableColumn>
    <tableColumn id="86" xr3:uid="{4CB6EFB0-5768-4EFF-A148-E211BAFBFA5A}" name="Unadj Total Value" dataDxfId="84">
      <calculatedColumnFormula>Sales[[#This Row],[Unadj Res Value]]+Sales[[#This Row],[Unadj Det Value]]+Sales[[#This Row],[Unadj Land Value]]</calculatedColumnFormula>
    </tableColumn>
    <tableColumn id="87" xr3:uid="{4C817063-01FC-4772-B3A3-20A9C6F3A7EA}" name="Unadj Ratio ">
      <calculatedColumnFormula>Sales[[#This Row],[Price]]/Sales[[#This Row],[Unadj Total Value]]</calculatedColumnFormula>
    </tableColumn>
    <tableColumn id="88" xr3:uid="{73C67C3E-5F82-46C5-9EE7-548E30DC4CCE}" name="Unadj Diff">
      <calculatedColumnFormula>(Sales[[#This Row],[Unadj Total Value]]-Sales[[#This Row],[24Final]])/Sales[[#This Row],[24Final]]</calculatedColumnFormula>
    </tableColumn>
    <tableColumn id="89" xr3:uid="{0F83F88E-78E9-47AC-8C93-C4920D108346}" name="Nbhd Adj" dataDxfId="83">
      <calculatedColumnFormula>VLOOKUP(Sales[[#This Row],[TNbhd]],Lookups!$M$3:$P$5,4,FALSE)</calculatedColumnFormula>
    </tableColumn>
    <tableColumn id="90" xr3:uid="{60BEAC71-B194-4936-8307-311FCD4B9368}" name="Quality Adj" dataDxfId="82">
      <calculatedColumnFormula>VLOOKUP(Sales[[#This Row],[Qlty]],Lookups!$M$8:$P$22,4,FALSE)</calculatedColumnFormula>
    </tableColumn>
    <tableColumn id="91" xr3:uid="{9D5CBC80-8E2D-4BA3-9188-C51023759AA0}" name="Condition Adj" dataDxfId="81">
      <calculatedColumnFormula>VLOOKUP(Sales[[#This Row],[Cnd]],Lookups!$R$8:$U$17,4,FALSE)</calculatedColumnFormula>
    </tableColumn>
    <tableColumn id="92" xr3:uid="{ED71D03F-7731-4F75-B364-826B8E6DE5D4}" name="Living Area Adj" dataDxfId="80">
      <calculatedColumnFormula>VLOOKUP(Sales[[#This Row],[LivArea Range]],Lookups!$R$25:$U$43,4,FALSE)</calculatedColumnFormula>
    </tableColumn>
    <tableColumn id="93" xr3:uid="{4233DAE5-2FF2-4903-929A-6C30ECA20421}" name="Decade Adj" dataDxfId="79">
      <calculatedColumnFormula>VLOOKUP(Sales[[#This Row],[Decade]],Lookups!$M$24:$P$40,4,FALSE)</calculatedColumnFormula>
    </tableColumn>
    <tableColumn id="94" xr3:uid="{58B3D8A1-6C0A-4232-B9AB-4702F8EF338F}" name="Det/Nbhd Adj" dataDxfId="78">
      <calculatedColumnFormula>Sales[[#This Row],[Nbhd Adj]]*0.95</calculatedColumnFormula>
    </tableColumn>
    <tableColumn id="95" xr3:uid="{ED3F5DCE-CD35-40F0-A619-CB45D6D9DA2A}" name="Res Adj " dataDxfId="77">
      <calculatedColumnFormula>Sales[[#This Row],[Nbhd Adj]]*Sales[[#This Row],[Quality Adj]]*Sales[[#This Row],[Condition Adj]]*Sales[[#This Row],[Living Area Adj]]*Sales[[#This Row],[Decade Adj]]*0.95</calculatedColumnFormula>
    </tableColumn>
    <tableColumn id="96" xr3:uid="{76C88EDF-6B14-44C5-8CB6-C0E5ABBD9FB1}" name="Adjusted Res" dataDxfId="76">
      <calculatedColumnFormula>ROUND(SUM(Sales[[#This Row],[Mdl Qlty]:[Mdl BltinGar]])+Sales[[#This Row],[Mdl Res Intercept]]*Sales[[#This Row],[Res Adj ]],-2)</calculatedColumnFormula>
    </tableColumn>
    <tableColumn id="97" xr3:uid="{D0DFC76D-BD38-403B-921D-3BB34C125B4E}" name="Adj Det " dataDxfId="75">
      <calculatedColumnFormula>ROUND(Sales[[#This Row],[25Det]]*Sales[[#This Row],[Det/Nbhd Adj]],-2)</calculatedColumnFormula>
    </tableColumn>
    <tableColumn id="98" xr3:uid="{37759B83-E66F-4AB3-9CEC-36B9C083835C}" name="Adjusted Impr Total" dataDxfId="74">
      <calculatedColumnFormula>Sales[[#This Row],[Adjusted Res]]+Sales[[#This Row],[Adj Det ]]</calculatedColumnFormula>
    </tableColumn>
    <tableColumn id="99" xr3:uid="{0EB697E8-EF81-4289-8E9E-5F28C4EEA9A0}" name="Adjusted Land Total" dataDxfId="73">
      <calculatedColumnFormula>ROUND((Sales[[#This Row],[Mdl Land Intercept]]+Sales[[#This Row],[Mdl LnAcres]])*Sales[[#This Row],[Det/Nbhd Adj]],-2)</calculatedColumnFormula>
    </tableColumn>
    <tableColumn id="100" xr3:uid="{2BADD074-7A57-4057-A3B1-C8409C906CCE}" name="Adjusted Total" dataDxfId="72">
      <calculatedColumnFormula>Sales[[#This Row],[Adjusted Impr Total]]+Sales[[#This Row],[Adjusted Land Total]]</calculatedColumnFormula>
    </tableColumn>
    <tableColumn id="101" xr3:uid="{33D84564-3EF2-4783-B558-71C880E2E091}" name="Adjusted Imp Diff">
      <calculatedColumnFormula>IFERROR((Sales[[#This Row],[Adjusted Impr Total]]-Sales[[#This Row],[24Bldg]])/Sales[[#This Row],[24Bldg]],0)</calculatedColumnFormula>
    </tableColumn>
    <tableColumn id="102" xr3:uid="{CF22B9C2-2F1B-42DF-A541-17B895ADAEE8}" name="Adjusted Lnd Diff">
      <calculatedColumnFormula>(Sales[[#This Row],[Adjusted Land Total]]-Sales[[#This Row],[24Lnd]])/Sales[[#This Row],[24Lnd]]</calculatedColumnFormula>
    </tableColumn>
    <tableColumn id="103" xr3:uid="{7E219865-59BC-4E72-81EF-6EDA34165682}" name="Adjusted Total Difference" dataDxfId="71">
      <calculatedColumnFormula>(Sales[[#This Row],[Adjusted Total]]-Sales[[#This Row],[24Final]])/Sales[[#This Row],[24Final]]</calculatedColumnFormula>
    </tableColumn>
    <tableColumn id="104" xr3:uid="{2BEFBD0A-570D-4712-8ABA-E0AA50AE8CF9}" name="Final Ratio">
      <calculatedColumnFormula>(Sales[[#This Row],[Adjusted Total]]+Sales[[#This Row],[Days Prior Total]])/Sales[[#This Row],[Price]]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98E7D41-A532-4451-B99D-51ECA0FF37B2}" name="Inventory" displayName="Inventory" ref="A1:BS1404" totalsRowShown="0" headerRowDxfId="68" dataDxfId="67" headerRowBorderDxfId="65" tableBorderDxfId="66" headerRowCellStyle="Normal_Inventory" dataCellStyle="Normal_Inventory">
  <autoFilter ref="A1:BS1404" xr:uid="{A98E7D41-A532-4451-B99D-51ECA0FF37B2}"/>
  <sortState xmlns:xlrd2="http://schemas.microsoft.com/office/spreadsheetml/2017/richdata2" ref="A2:BS1404">
    <sortCondition ref="O1:O1404"/>
  </sortState>
  <tableColumns count="71">
    <tableColumn id="1" xr3:uid="{FC12B532-77D0-4673-85D6-02A9A5EBF570}" name="Year" dataDxfId="64" dataCellStyle="Normal_Inventory"/>
    <tableColumn id="2" xr3:uid="{1B38D5C0-71FC-4F9F-95FD-B5F0D3D4847A}" name="Parcel" dataDxfId="63" dataCellStyle="Normal_Inventory"/>
    <tableColumn id="67" xr3:uid="{CD98F6AB-C870-4E66-808D-D6DF8132D7F4}" name="LnAcres" dataDxfId="62" dataCellStyle="Normal_Inventory">
      <calculatedColumnFormula>LN(Inventory[[#This Row],[Acres]])</calculatedColumnFormula>
    </tableColumn>
    <tableColumn id="3" xr3:uid="{2DB67B56-97FF-4121-AEB6-0D7BCEE4839D}" name="Acres" dataDxfId="61" dataCellStyle="Normal_Inventory"/>
    <tableColumn id="4" xr3:uid="{641116DF-0A01-4E0E-ABF9-BF33F939A53F}" name="Sqft" dataDxfId="60" dataCellStyle="Normal_Inventory"/>
    <tableColumn id="5" xr3:uid="{61892368-CC37-4689-BAEA-196004680388}" name="Cycle" dataDxfId="59" dataCellStyle="Normal_Inventory"/>
    <tableColumn id="6" xr3:uid="{F40938EB-FE7F-41E7-B385-7930779B4DB5}" name="Type" dataDxfId="58" dataCellStyle="Normal_Inventory"/>
    <tableColumn id="7" xr3:uid="{6B56F786-2BC8-404F-A071-F338B66D7DAE}" name="Nbhd" dataDxfId="57" dataCellStyle="Normal_Inventory"/>
    <tableColumn id="8" xr3:uid="{2353F934-5A0D-46C3-A4CF-609C123C6674}" name="Use" dataDxfId="56" dataCellStyle="Normal_Inventory"/>
    <tableColumn id="9" xr3:uid="{7D7721EE-DDA6-4DB3-94A8-E8B7F0C5422A}" name="Subtype" dataDxfId="55" dataCellStyle="Normal_Inventory"/>
    <tableColumn id="10" xr3:uid="{B745D1DC-4B9D-408F-9725-8086E26F10DC}" name="Style" dataDxfId="54" dataCellStyle="Normal_Inventory"/>
    <tableColumn id="11" xr3:uid="{746E69E1-35AB-469E-B4CB-12EC59F5683D}" name="Qlty" dataDxfId="53" dataCellStyle="Normal_Inventory"/>
    <tableColumn id="12" xr3:uid="{8B723D7C-77CC-48B4-8E05-8D87051D0084}" name="Cnd" dataDxfId="52" dataCellStyle="Normal_Inventory"/>
    <tableColumn id="73" xr3:uid="{8EC1D744-5134-4DFE-8902-1DF8EE1750D3}" name="Decade" dataDxfId="51" dataCellStyle="Normal_Inventory"/>
    <tableColumn id="69" xr3:uid="{A8A6382D-BEE0-48AA-9B87-6D986E3369F3}" name="Age " dataDxfId="50" dataCellStyle="Normal_Inventory">
      <calculatedColumnFormula>2024-Inventory[[#This Row],[YrBlt]]</calculatedColumnFormula>
    </tableColumn>
    <tableColumn id="68" xr3:uid="{6AB22EC8-CCC1-4B84-A1B6-B3FBD80292F4}" name="EffAge" dataDxfId="49" dataCellStyle="Normal_Inventory">
      <calculatedColumnFormula>2024-Inventory[[#This Row],[EffYr]]</calculatedColumnFormula>
    </tableColumn>
    <tableColumn id="13" xr3:uid="{C941157A-AB88-4DAE-B677-F0DDD11CF15B}" name="YrBlt" dataDxfId="48" dataCellStyle="Normal_Inventory"/>
    <tableColumn id="14" xr3:uid="{A0349C76-B456-43D1-A159-E041169237F5}" name="EffYr" dataDxfId="47" dataCellStyle="Normal_Inventory"/>
    <tableColumn id="15" xr3:uid="{06121CE2-2331-490F-8C35-0D3955B57F4C}" name="MainFn" dataDxfId="46" dataCellStyle="Normal_Inventory"/>
    <tableColumn id="16" xr3:uid="{1192C1D8-5325-4C17-9D74-E9AB33D16247}" name="UpprFn" dataCellStyle="Normal_Inventory"/>
    <tableColumn id="17" xr3:uid="{63D9737B-EE35-42FF-BBBB-353C665B6DAF}" name="Bsmt Area" dataCellStyle="Normal_Inventory"/>
    <tableColumn id="18" xr3:uid="{4E1E7296-0E4D-4B2A-BD46-A42E85DC8DB3}" name="AddFn" dataCellStyle="Normal_Inventory"/>
    <tableColumn id="19" xr3:uid="{8BF9A394-2F18-4272-B9C3-771D8997E52E}" name="FnBsmt" dataCellStyle="Normal_Inventory"/>
    <tableColumn id="70" xr3:uid="{559EC18E-2627-4C2F-8AE5-1931F5B839CB}" name="Unfin Bsmt" dataDxfId="45" dataCellStyle="Normal_Inventory">
      <calculatedColumnFormula>Inventory[[#This Row],[Bsmt Area]]-Inventory[[#This Row],[FnBsmt]]</calculatedColumnFormula>
    </tableColumn>
    <tableColumn id="71" xr3:uid="{887D8146-3EA4-4653-8227-41D43191242D}" name="Living Area " dataDxfId="44" dataCellStyle="Normal_Inventory">
      <calculatedColumnFormula>Inventory[[#This Row],[MainFn]]+Inventory[[#This Row],[UpprFn]]+Inventory[[#This Row],[AddFn]]+Inventory[[#This Row],[FnBsmt]]</calculatedColumnFormula>
    </tableColumn>
    <tableColumn id="72" xr3:uid="{909795AF-2438-47D0-AB3C-87E9854AEC25}" name="LivArea Range" dataCellStyle="Normal_Inventory"/>
    <tableColumn id="20" xr3:uid="{E8C22146-40FD-48F8-BB63-5B3101027140}" name="Msnry Trim" dataDxfId="43" dataCellStyle="Normal_Inventory"/>
    <tableColumn id="21" xr3:uid="{E3009B8D-1262-406C-86E0-7E28C712C386}" name="Prefab" dataDxfId="42" dataCellStyle="Normal_Inventory"/>
    <tableColumn id="22" xr3:uid="{83B08747-7897-4362-84C3-5831D18A3375}" name="AttGar" dataDxfId="41" dataCellStyle="Normal_Inventory"/>
    <tableColumn id="23" xr3:uid="{F9393810-7665-4D8D-BD30-D0D41E7DC6EC}" name="BltinGar" dataCellStyle="Normal_Inventory"/>
    <tableColumn id="24" xr3:uid="{26426350-458E-4535-AD45-8FD43FA62B7B}" name="Phy" dataCellStyle="Normal_Inventory"/>
    <tableColumn id="25" xr3:uid="{2E3878A4-66C7-4751-9360-450093815406}" name="Fun" dataCellStyle="Normal_Inventory"/>
    <tableColumn id="26" xr3:uid="{E59B4029-FA8B-40F1-8863-BE2C7F2D5734}" name="Ecn" dataCellStyle="Normal_Inventory"/>
    <tableColumn id="27" xr3:uid="{C0CC2BFD-1BE4-4BE4-86C8-5EB1A0E7DBFC}" name="% Complete" dataCellStyle="Normal_Inventory"/>
    <tableColumn id="28" xr3:uid="{DECA0CCA-0277-403E-83F0-8B0367640443}" name="Rcn" dataDxfId="40" dataCellStyle="Normal_Inventory"/>
    <tableColumn id="29" xr3:uid="{20CE1374-D54F-432A-B828-29D70B72EA8E}" name="Rcnld" dataDxfId="39" dataCellStyle="Normal_Inventory"/>
    <tableColumn id="30" xr3:uid="{B3B30B25-D9ED-472D-BA43-93C81F026127}" name="25Det" dataDxfId="38" dataCellStyle="Normal_Inventory"/>
    <tableColumn id="32" xr3:uid="{5525B4AC-8B2E-4B54-B195-AF2ABF20305D}" name="24Crop" dataDxfId="37" dataCellStyle="Normal_Inventory"/>
    <tableColumn id="33" xr3:uid="{EE8EE2C0-2D0F-4CBA-9D80-389B4C7B203C}" name="24Lnd" dataDxfId="36" dataCellStyle="Normal_Inventory"/>
    <tableColumn id="34" xr3:uid="{5B17059C-7238-473D-9970-0F7EB45CD123}" name="24Bldg" dataDxfId="35" dataCellStyle="Normal_Inventory"/>
    <tableColumn id="35" xr3:uid="{1BB4B25C-DF87-4A1A-B8C7-CF1B9EF1D115}" name="24Final" dataDxfId="34" dataCellStyle="Normal_Inventory"/>
    <tableColumn id="36" xr3:uid="{B97B07DB-2317-45E9-A270-2C8EA120723B}" name="Mdl Res Intercept" dataDxfId="33" dataCellStyle="Normal_Inventory">
      <calculatedColumnFormula>Lookups!$B$58*0.6</calculatedColumnFormula>
    </tableColumn>
    <tableColumn id="37" xr3:uid="{568FF4B6-1ECB-4E53-8C55-3FC4B5DFC489}" name="Mdl Land Intercept" dataDxfId="32" dataCellStyle="Normal_Inventory">
      <calculatedColumnFormula>Lookups!$B$58*0.4</calculatedColumnFormula>
    </tableColumn>
    <tableColumn id="38" xr3:uid="{8063E284-D4E7-4BB2-BFB8-BBBCBF0E62B2}" name="Mdl LnAcres" dataDxfId="31" dataCellStyle="Normal_Inventory">
      <calculatedColumnFormula>Lookups!$B$59*Inventory[[#This Row],[LnAcres]]</calculatedColumnFormula>
    </tableColumn>
    <tableColumn id="39" xr3:uid="{46E9BDD0-10C6-4C9A-A866-03421CBEACFE}" name="Mdl Qlty" dataDxfId="30" dataCellStyle="Normal_Inventory">
      <calculatedColumnFormula>VLOOKUP(Inventory[[#This Row],[Qlty]],Lookups!$A$66:$E$79,2,FALSE)</calculatedColumnFormula>
    </tableColumn>
    <tableColumn id="40" xr3:uid="{0F324631-6B49-456E-A264-B4DF3B6C834C}" name="Mdl Condition" dataDxfId="29" dataCellStyle="Normal_Inventory">
      <calculatedColumnFormula>VLOOKUP(Inventory[[#This Row],[Cnd]],Lookups!$A$80:$E$88,2,FALSE)</calculatedColumnFormula>
    </tableColumn>
    <tableColumn id="41" xr3:uid="{3B8DEE25-BA88-4D8D-B24A-FCBE4C960038}" name="Mdl EffAge" dataDxfId="28" dataCellStyle="Normal_Inventory">
      <calculatedColumnFormula>Inventory[[#This Row],[EffAge]]*Lookups!$B$65</calculatedColumnFormula>
    </tableColumn>
    <tableColumn id="42" xr3:uid="{899072E3-C85A-4172-B987-1CFA09FD18FE}" name="Mdl MainFn" dataDxfId="27" dataCellStyle="Normal_Inventory">
      <calculatedColumnFormula>Inventory[[#This Row],[MainFn]]*Lookups!$B$90</calculatedColumnFormula>
    </tableColumn>
    <tableColumn id="43" xr3:uid="{962318E5-66A4-4F68-A489-6D527CEC64A2}" name="Mdl UpprFn" dataDxfId="26" dataCellStyle="Normal_Inventory">
      <calculatedColumnFormula>Inventory[[#This Row],[UpprFn]]*Lookups!$B$91</calculatedColumnFormula>
    </tableColumn>
    <tableColumn id="45" xr3:uid="{0DA3BE72-4E51-452A-A6D4-9936F8BBF76F}" name="Mdl Bsmt Area" dataDxfId="25" dataCellStyle="Normal_Inventory">
      <calculatedColumnFormula>Inventory[[#This Row],[Bsmt Area]]*Lookups!$B$95</calculatedColumnFormula>
    </tableColumn>
    <tableColumn id="46" xr3:uid="{97DF6261-0598-47A7-9185-2106E0D50691}" name="Mdl Garage Area" dataDxfId="24" dataCellStyle="Normal_Inventory">
      <calculatedColumnFormula>Inventory[[#This Row],[AttGar]]*Lookups!$B$93</calculatedColumnFormula>
    </tableColumn>
    <tableColumn id="47" xr3:uid="{A703DCBB-013B-41F2-8D0B-ECC73A0ED90D}" name="Unadj Det Value" dataDxfId="23" dataCellStyle="Normal_Inventory">
      <calculatedColumnFormula>ROUND(Inventory[[#This Row],[25Det]],-2)</calculatedColumnFormula>
    </tableColumn>
    <tableColumn id="48" xr3:uid="{9604C397-F74B-4B48-9CC8-54288C56B190}" name="Unadj Res Value" dataDxfId="22" dataCellStyle="Normal_Inventory">
      <calculatedColumnFormula>ROUND(SUM(Inventory[[#This Row],[Mdl Qlty]:[Mdl Garage Area]])+Inventory[[#This Row],[Mdl Res Intercept]],-2)</calculatedColumnFormula>
    </tableColumn>
    <tableColumn id="49" xr3:uid="{66ED6433-A75B-4D3F-A742-13BB3EBF0CDE}" name="Unadj Land Value" dataDxfId="21" dataCellStyle="Normal_Inventory">
      <calculatedColumnFormula>ROUND(Inventory[[#This Row],[Mdl Land Intercept]]+Inventory[[#This Row],[Mdl LnAcres]],-2)</calculatedColumnFormula>
    </tableColumn>
    <tableColumn id="50" xr3:uid="{5E6D9E42-FA51-4F88-AF47-1B7A26BF6171}" name="Unadj Total Value" dataDxfId="20" dataCellStyle="Normal_Inventory">
      <calculatedColumnFormula>Inventory[[#This Row],[Unadj Res Value]]+Inventory[[#This Row],[Unadj Det Value]]+Inventory[[#This Row],[Unadj Land Value]]</calculatedColumnFormula>
    </tableColumn>
    <tableColumn id="51" xr3:uid="{829782F5-1323-4EE3-83DE-EC9D9DACC030}" name="Unadj Diff" dataDxfId="19" dataCellStyle="Normal_Inventory">
      <calculatedColumnFormula>(Inventory[[#This Row],[Unadj Total Value]]-Inventory[[#This Row],[24Final]])/Inventory[[#This Row],[24Final]]</calculatedColumnFormula>
    </tableColumn>
    <tableColumn id="52" xr3:uid="{8108A57F-5557-48D0-8A24-F82B98EE7C6A}" name="Nbhd Adj" dataDxfId="18" dataCellStyle="Normal_Inventory">
      <calculatedColumnFormula>VLOOKUP(Inventory[[#This Row],[Nbhd]],Lookups!$M$3:$P$5,4,FALSE)</calculatedColumnFormula>
    </tableColumn>
    <tableColumn id="53" xr3:uid="{5D7FC896-C0DF-4C53-881D-775911AB4B09}" name="Quality Adj" dataDxfId="17" dataCellStyle="Normal_Inventory">
      <calculatedColumnFormula>VLOOKUP(Inventory[[#This Row],[Qlty]],Lookups!$M$8:$P$22,4,FALSE)</calculatedColumnFormula>
    </tableColumn>
    <tableColumn id="54" xr3:uid="{D0CB2930-A1D8-4883-8D8F-6520DF86FAB1}" name="Condition Adj" dataDxfId="16" dataCellStyle="Normal_Inventory">
      <calculatedColumnFormula>VLOOKUP(Inventory[[#This Row],[Cnd]],Lookups!$R$8:$U$17,4,FALSE)</calculatedColumnFormula>
    </tableColumn>
    <tableColumn id="55" xr3:uid="{7629202F-0851-4F85-AF2F-E1252922B6F4}" name="Living Area Adj" dataDxfId="15" dataCellStyle="Normal_Inventory">
      <calculatedColumnFormula>VLOOKUP(Inventory[[#This Row],[LivArea Range]],Lookups!$R$25:$U$43,4,FALSE)</calculatedColumnFormula>
    </tableColumn>
    <tableColumn id="56" xr3:uid="{30E4FB05-1FC0-44BC-9781-1906EA716C30}" name="Decade Adj" dataDxfId="14" dataCellStyle="Normal_Inventory">
      <calculatedColumnFormula>VLOOKUP(Inventory[[#This Row],[Decade]],Lookups!$M$24:$P$40,4,FALSE)</calculatedColumnFormula>
    </tableColumn>
    <tableColumn id="57" xr3:uid="{F22A6AFC-B150-4987-BC37-B6185B07A949}" name="Det/Nbhd Adj" dataDxfId="13" dataCellStyle="Normal_Inventory">
      <calculatedColumnFormula>Inventory[[#This Row],[Nbhd Adj]]*0.95</calculatedColumnFormula>
    </tableColumn>
    <tableColumn id="58" xr3:uid="{096F753D-5F53-4181-8A57-5A77F20638CE}" name="Res Adj " dataDxfId="12" dataCellStyle="Normal_Inventory">
      <calculatedColumnFormula>AVERAGE(Inventory[[#This Row],[Nbhd Adj]],Inventory[[#This Row],[Quality Adj]],Inventory[[#This Row],[Condition Adj]],Inventory[[#This Row],[Living Area Adj]],Inventory[[#This Row],[Decade Adj]])*0.95</calculatedColumnFormula>
    </tableColumn>
    <tableColumn id="59" xr3:uid="{5FFB9B0C-8370-48FD-8EF7-5FB37AB44DCE}" name="Adjusted Res" dataDxfId="11" dataCellStyle="Normal_Inventory">
      <calculatedColumnFormula>ROUND((SUM(Inventory[[#This Row],[Mdl Qlty]:[Mdl Garage Area]])+Inventory[[#This Row],[Mdl Res Intercept]])*Inventory[[#This Row],[Res Adj ]],-2)</calculatedColumnFormula>
    </tableColumn>
    <tableColumn id="60" xr3:uid="{3A6C2C0B-24B4-400B-BB00-0795E18BFB0F}" name="Adj Det " dataDxfId="10" dataCellStyle="Normal_Inventory">
      <calculatedColumnFormula>ROUND(Inventory[[#This Row],[25Det]]*Inventory[[#This Row],[Det/Nbhd Adj]],-2)</calculatedColumnFormula>
    </tableColumn>
    <tableColumn id="61" xr3:uid="{9074A983-2B98-43C9-9AA7-FDB7A6180076}" name="Adjusted Impr Total" dataDxfId="9" dataCellStyle="Normal_Inventory">
      <calculatedColumnFormula>Inventory[[#This Row],[Adjusted Res]]+Inventory[[#This Row],[Adj Det ]]</calculatedColumnFormula>
    </tableColumn>
    <tableColumn id="62" xr3:uid="{FEDCF0D9-D6EB-481E-AF2A-1C05DF1116E7}" name="Adjusted Land Total" dataDxfId="8" dataCellStyle="Normal_Inventory">
      <calculatedColumnFormula>ROUND((Inventory[[#This Row],[Mdl Land Intercept]]+Inventory[[#This Row],[Mdl LnAcres]])*Inventory[[#This Row],[Det/Nbhd Adj]],-2)</calculatedColumnFormula>
    </tableColumn>
    <tableColumn id="63" xr3:uid="{0FAF9549-C786-4EF4-B050-27926156B159}" name="Adjusted Total" dataDxfId="7" dataCellStyle="Normal_Inventory">
      <calculatedColumnFormula>Inventory[[#This Row],[Adjusted Impr Total]]+Inventory[[#This Row],[Adjusted Land Total]]</calculatedColumnFormula>
    </tableColumn>
    <tableColumn id="64" xr3:uid="{00490135-6343-4611-BF20-AAD54008537B}" name="Adjusted Imp Diff" dataDxfId="6" dataCellStyle="Normal_Inventory">
      <calculatedColumnFormula>IFERROR((Inventory[[#This Row],[Adjusted Impr Total]]-Inventory[[#This Row],[24Bldg]])/Inventory[[#This Row],[24Bldg]],0)</calculatedColumnFormula>
    </tableColumn>
    <tableColumn id="65" xr3:uid="{4EBDE2D5-0291-4088-A928-186AFF126937}" name="Adjusted Lnd Diff" dataDxfId="5" dataCellStyle="Percent">
      <calculatedColumnFormula>(Inventory[[#This Row],[Adjusted Land Total]]-Inventory[[#This Row],[24Lnd]])/Inventory[[#This Row],[24Lnd]]</calculatedColumnFormula>
    </tableColumn>
    <tableColumn id="66" xr3:uid="{DBA19F91-ECD3-4526-9DCE-E56335CF7A5A}" name="Adjusted Total Difference" dataDxfId="4" dataCellStyle="Percent">
      <calculatedColumnFormula>(Inventory[[#This Row],[Adjusted Total]]-Inventory[[#This Row],[24Final]])/Inventory[[#This Row],[24Final]]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62093-D0E7-4F41-800B-0EDC158F8927}">
  <sheetPr codeName="Sheet1"/>
  <dimension ref="A1:U99"/>
  <sheetViews>
    <sheetView tabSelected="1" zoomScaleNormal="100" workbookViewId="0">
      <selection activeCell="N28" sqref="N28"/>
    </sheetView>
  </sheetViews>
  <sheetFormatPr defaultRowHeight="14.45" customHeight="1"/>
  <cols>
    <col min="1" max="1" width="12.28515625" bestFit="1" customWidth="1"/>
    <col min="18" max="18" width="10.7109375" bestFit="1" customWidth="1"/>
  </cols>
  <sheetData>
    <row r="1" spans="13:21"/>
    <row r="2" spans="13:21"/>
    <row r="3" spans="13:21" ht="43.15">
      <c r="M3" s="19" t="s">
        <v>0</v>
      </c>
      <c r="N3" s="19" t="s">
        <v>1</v>
      </c>
      <c r="O3" s="19" t="s">
        <v>2</v>
      </c>
      <c r="P3" s="19" t="s">
        <v>3</v>
      </c>
      <c r="R3" s="19" t="s">
        <v>4</v>
      </c>
    </row>
    <row r="4" spans="13:21">
      <c r="M4" s="15" t="s">
        <v>5</v>
      </c>
      <c r="N4" s="15">
        <v>319</v>
      </c>
      <c r="O4" s="15">
        <v>1.0002929542443475</v>
      </c>
      <c r="P4" s="15">
        <f>ROUND(1/O4,4)</f>
        <v>0.99970000000000003</v>
      </c>
      <c r="R4" s="15">
        <v>0.95</v>
      </c>
    </row>
    <row r="5" spans="13:21">
      <c r="M5" s="16" t="s">
        <v>6</v>
      </c>
      <c r="N5" s="16">
        <v>319</v>
      </c>
      <c r="O5" s="16">
        <v>1.0002929542443475</v>
      </c>
      <c r="P5" s="15"/>
    </row>
    <row r="6" spans="13:21"/>
    <row r="7" spans="13:21"/>
    <row r="8" spans="13:21" ht="43.15">
      <c r="M8" s="19" t="s">
        <v>7</v>
      </c>
      <c r="N8" s="19" t="s">
        <v>1</v>
      </c>
      <c r="O8" s="19" t="s">
        <v>2</v>
      </c>
      <c r="P8" s="19" t="s">
        <v>3</v>
      </c>
      <c r="R8" s="19" t="s">
        <v>8</v>
      </c>
      <c r="S8" s="19" t="s">
        <v>1</v>
      </c>
      <c r="T8" s="19" t="s">
        <v>2</v>
      </c>
      <c r="U8" s="19" t="s">
        <v>3</v>
      </c>
    </row>
    <row r="9" spans="13:21">
      <c r="M9" s="39" t="s">
        <v>9</v>
      </c>
      <c r="N9" s="39"/>
      <c r="O9" s="39">
        <v>1</v>
      </c>
      <c r="P9" s="24">
        <f t="shared" ref="P9:P16" si="0">ROUND(1/O9,4)</f>
        <v>1</v>
      </c>
      <c r="R9" s="40" t="s">
        <v>10</v>
      </c>
      <c r="S9" s="40"/>
      <c r="T9" s="40">
        <v>1</v>
      </c>
      <c r="U9" s="24">
        <f t="shared" ref="U9:U11" si="1">ROUND(1/T9,4)</f>
        <v>1</v>
      </c>
    </row>
    <row r="10" spans="13:21">
      <c r="M10" s="39" t="s">
        <v>11</v>
      </c>
      <c r="N10" s="39"/>
      <c r="O10" s="39">
        <v>1</v>
      </c>
      <c r="P10" s="24">
        <f t="shared" si="0"/>
        <v>1</v>
      </c>
      <c r="R10" s="40" t="s">
        <v>12</v>
      </c>
      <c r="S10" s="40"/>
      <c r="T10" s="40">
        <v>1</v>
      </c>
      <c r="U10" s="24">
        <f t="shared" si="1"/>
        <v>1</v>
      </c>
    </row>
    <row r="11" spans="13:21">
      <c r="M11" s="15" t="s">
        <v>13</v>
      </c>
      <c r="N11" s="15">
        <v>6</v>
      </c>
      <c r="O11" s="15">
        <v>0.99968642841778577</v>
      </c>
      <c r="P11" s="15">
        <f t="shared" si="0"/>
        <v>1.0003</v>
      </c>
      <c r="R11" s="40" t="s">
        <v>14</v>
      </c>
      <c r="S11" s="40"/>
      <c r="T11" s="40">
        <v>1</v>
      </c>
      <c r="U11" s="24">
        <f t="shared" si="1"/>
        <v>1</v>
      </c>
    </row>
    <row r="12" spans="13:21">
      <c r="M12" s="15" t="s">
        <v>15</v>
      </c>
      <c r="N12" s="15">
        <v>9</v>
      </c>
      <c r="O12" s="15">
        <v>0.99783419080304958</v>
      </c>
      <c r="P12" s="15">
        <f t="shared" si="0"/>
        <v>1.0022</v>
      </c>
      <c r="R12" s="15" t="s">
        <v>16</v>
      </c>
      <c r="S12" s="15">
        <v>1</v>
      </c>
      <c r="T12" s="15">
        <v>1</v>
      </c>
      <c r="U12" s="15">
        <f t="shared" ref="U12:U16" si="2">ROUND(1/T12,4)</f>
        <v>1</v>
      </c>
    </row>
    <row r="13" spans="13:21">
      <c r="M13" s="15" t="s">
        <v>17</v>
      </c>
      <c r="N13" s="15">
        <v>8</v>
      </c>
      <c r="O13" s="15">
        <v>1.008045303225275</v>
      </c>
      <c r="P13" s="15">
        <f t="shared" si="0"/>
        <v>0.99199999999999999</v>
      </c>
      <c r="R13" s="15" t="s">
        <v>18</v>
      </c>
      <c r="S13" s="15">
        <v>50</v>
      </c>
      <c r="T13" s="15">
        <v>1.0031849793516172</v>
      </c>
      <c r="U13" s="15">
        <f t="shared" si="2"/>
        <v>0.99680000000000002</v>
      </c>
    </row>
    <row r="14" spans="13:21">
      <c r="M14" s="15" t="s">
        <v>19</v>
      </c>
      <c r="N14" s="15">
        <v>165</v>
      </c>
      <c r="O14" s="15">
        <v>1.0018146905859033</v>
      </c>
      <c r="P14" s="15">
        <f t="shared" si="0"/>
        <v>0.99819999999999998</v>
      </c>
      <c r="R14" s="15" t="s">
        <v>20</v>
      </c>
      <c r="S14" s="15">
        <v>59</v>
      </c>
      <c r="T14" s="15">
        <v>1.0029869081052261</v>
      </c>
      <c r="U14" s="15">
        <f t="shared" si="2"/>
        <v>0.997</v>
      </c>
    </row>
    <row r="15" spans="13:21">
      <c r="M15" s="15" t="s">
        <v>21</v>
      </c>
      <c r="N15" s="15">
        <v>130</v>
      </c>
      <c r="O15" s="15">
        <v>0.99808345695002454</v>
      </c>
      <c r="P15" s="15">
        <f t="shared" si="0"/>
        <v>1.0019</v>
      </c>
      <c r="R15" s="15" t="s">
        <v>22</v>
      </c>
      <c r="S15" s="15">
        <v>32</v>
      </c>
      <c r="T15" s="15">
        <v>0.99921096211621563</v>
      </c>
      <c r="U15" s="15">
        <f t="shared" si="2"/>
        <v>1.0007999999999999</v>
      </c>
    </row>
    <row r="16" spans="13:21">
      <c r="M16" s="15" t="s">
        <v>23</v>
      </c>
      <c r="N16" s="15">
        <v>1</v>
      </c>
      <c r="O16" s="15">
        <v>1.0001903402331669</v>
      </c>
      <c r="P16" s="15">
        <f t="shared" si="0"/>
        <v>0.99980000000000002</v>
      </c>
      <c r="R16" s="15" t="s">
        <v>24</v>
      </c>
      <c r="S16" s="15">
        <v>177</v>
      </c>
      <c r="T16" s="15">
        <v>0.99877528288383477</v>
      </c>
      <c r="U16" s="15">
        <f t="shared" si="2"/>
        <v>1.0012000000000001</v>
      </c>
    </row>
    <row r="17" spans="13:21">
      <c r="M17" s="15" t="s">
        <v>25</v>
      </c>
      <c r="N17" s="15"/>
      <c r="O17" s="15"/>
      <c r="P17" s="15">
        <v>1</v>
      </c>
      <c r="R17" s="20" t="s">
        <v>6</v>
      </c>
      <c r="S17" s="20">
        <v>319</v>
      </c>
      <c r="T17" s="20">
        <v>1.0002929542443466</v>
      </c>
      <c r="U17" s="20"/>
    </row>
    <row r="18" spans="13:21">
      <c r="M18" s="15" t="s">
        <v>26</v>
      </c>
      <c r="N18" s="15"/>
      <c r="O18" s="15"/>
      <c r="P18" s="15">
        <v>1</v>
      </c>
    </row>
    <row r="19" spans="13:21">
      <c r="M19" s="15" t="s">
        <v>27</v>
      </c>
      <c r="N19" s="15"/>
      <c r="O19" s="15"/>
      <c r="P19" s="15">
        <v>1</v>
      </c>
    </row>
    <row r="20" spans="13:21">
      <c r="M20" s="15" t="s">
        <v>28</v>
      </c>
      <c r="N20" s="15"/>
      <c r="O20" s="15"/>
      <c r="P20" s="15">
        <v>1</v>
      </c>
    </row>
    <row r="21" spans="13:21">
      <c r="M21" s="15" t="s">
        <v>29</v>
      </c>
      <c r="N21" s="15"/>
      <c r="O21" s="15"/>
      <c r="P21" s="15">
        <v>1</v>
      </c>
    </row>
    <row r="22" spans="13:21">
      <c r="M22" s="20" t="s">
        <v>6</v>
      </c>
      <c r="N22" s="20">
        <v>319</v>
      </c>
      <c r="O22" s="20">
        <v>1.0002929542443464</v>
      </c>
      <c r="P22" s="20"/>
    </row>
    <row r="23" spans="13:21"/>
    <row r="24" spans="13:21" ht="43.15">
      <c r="M24" s="19" t="s">
        <v>30</v>
      </c>
      <c r="N24" s="19" t="s">
        <v>1</v>
      </c>
      <c r="O24" s="19" t="s">
        <v>2</v>
      </c>
      <c r="P24" s="19" t="s">
        <v>3</v>
      </c>
    </row>
    <row r="25" spans="13:21" ht="43.15">
      <c r="M25" s="15">
        <v>0</v>
      </c>
      <c r="N25" s="15">
        <v>0</v>
      </c>
      <c r="O25" s="15">
        <v>1</v>
      </c>
      <c r="P25" s="15">
        <f t="shared" ref="P25:P39" si="3">ROUND(1/O25,4)</f>
        <v>1</v>
      </c>
      <c r="R25" s="19" t="s">
        <v>31</v>
      </c>
      <c r="S25" s="19" t="s">
        <v>1</v>
      </c>
      <c r="T25" s="19" t="s">
        <v>2</v>
      </c>
      <c r="U25" s="19" t="s">
        <v>3</v>
      </c>
    </row>
    <row r="26" spans="13:21">
      <c r="M26" s="15">
        <v>10</v>
      </c>
      <c r="N26" s="15">
        <v>190</v>
      </c>
      <c r="O26" s="15">
        <v>0.99764536275887494</v>
      </c>
      <c r="P26" s="15">
        <f t="shared" si="3"/>
        <v>1.0024</v>
      </c>
      <c r="R26" s="39">
        <v>500</v>
      </c>
      <c r="S26" s="40"/>
      <c r="T26" s="40">
        <v>1</v>
      </c>
      <c r="U26" s="24">
        <f t="shared" ref="U26:U32" si="4">ROUND(1/T26,4)</f>
        <v>1</v>
      </c>
    </row>
    <row r="27" spans="13:21">
      <c r="M27" s="15">
        <v>20</v>
      </c>
      <c r="N27" s="15">
        <v>99</v>
      </c>
      <c r="O27" s="15">
        <v>1.0044145207463644</v>
      </c>
      <c r="P27" s="15">
        <f t="shared" si="3"/>
        <v>0.99560000000000004</v>
      </c>
      <c r="R27" s="15">
        <v>1000</v>
      </c>
      <c r="S27" s="15">
        <v>3</v>
      </c>
      <c r="T27" s="15">
        <v>0.96636938094053659</v>
      </c>
      <c r="U27" s="15">
        <v>1</v>
      </c>
    </row>
    <row r="28" spans="13:21">
      <c r="M28" s="15">
        <v>30</v>
      </c>
      <c r="N28" s="15">
        <v>4</v>
      </c>
      <c r="O28" s="15">
        <v>0.98059149016585923</v>
      </c>
      <c r="P28" s="15">
        <f t="shared" si="3"/>
        <v>1.0198</v>
      </c>
      <c r="R28" s="15">
        <v>1500</v>
      </c>
      <c r="S28" s="15">
        <v>89</v>
      </c>
      <c r="T28" s="15">
        <v>1.0047814852331984</v>
      </c>
      <c r="U28" s="15">
        <f t="shared" si="4"/>
        <v>0.99519999999999997</v>
      </c>
    </row>
    <row r="29" spans="13:21">
      <c r="M29" s="15">
        <v>40</v>
      </c>
      <c r="N29" s="15">
        <v>5</v>
      </c>
      <c r="O29" s="15">
        <v>1.0424897877784864</v>
      </c>
      <c r="P29" s="15">
        <f t="shared" si="3"/>
        <v>0.95920000000000005</v>
      </c>
      <c r="R29" s="15">
        <v>2000</v>
      </c>
      <c r="S29" s="15">
        <v>111</v>
      </c>
      <c r="T29" s="15">
        <v>0.99920009960794276</v>
      </c>
      <c r="U29" s="15">
        <f t="shared" si="4"/>
        <v>1.0007999999999999</v>
      </c>
    </row>
    <row r="30" spans="13:21">
      <c r="M30" s="15">
        <v>50</v>
      </c>
      <c r="N30" s="15">
        <v>4</v>
      </c>
      <c r="O30" s="15">
        <v>1.0150026144463864</v>
      </c>
      <c r="P30" s="15">
        <f t="shared" si="3"/>
        <v>0.98519999999999996</v>
      </c>
      <c r="R30" s="15">
        <v>2500</v>
      </c>
      <c r="S30" s="15">
        <v>92</v>
      </c>
      <c r="T30" s="15">
        <v>0.99910663163947389</v>
      </c>
      <c r="U30" s="15">
        <f t="shared" si="4"/>
        <v>1.0008999999999999</v>
      </c>
    </row>
    <row r="31" spans="13:21">
      <c r="M31" s="15">
        <v>60</v>
      </c>
      <c r="N31" s="15">
        <v>3</v>
      </c>
      <c r="O31" s="15">
        <v>0.9650305191776104</v>
      </c>
      <c r="P31" s="15">
        <f t="shared" si="3"/>
        <v>1.0362</v>
      </c>
      <c r="R31" s="15">
        <v>3000</v>
      </c>
      <c r="S31" s="15">
        <v>17</v>
      </c>
      <c r="T31" s="15">
        <v>0.99020906774298023</v>
      </c>
      <c r="U31" s="15">
        <f t="shared" si="4"/>
        <v>1.0099</v>
      </c>
    </row>
    <row r="32" spans="13:21">
      <c r="M32" s="24">
        <v>70</v>
      </c>
      <c r="N32" s="24">
        <v>3</v>
      </c>
      <c r="O32" s="24">
        <v>0.9471568943634151</v>
      </c>
      <c r="P32" s="15">
        <f t="shared" si="3"/>
        <v>1.0558000000000001</v>
      </c>
      <c r="R32" s="15">
        <v>3500</v>
      </c>
      <c r="S32" s="15">
        <v>7</v>
      </c>
      <c r="T32" s="15">
        <v>1.015173822346668</v>
      </c>
      <c r="U32" s="15">
        <f t="shared" si="4"/>
        <v>0.98509999999999998</v>
      </c>
    </row>
    <row r="33" spans="13:21">
      <c r="M33" s="24">
        <v>80</v>
      </c>
      <c r="N33" s="24"/>
      <c r="O33" s="24">
        <v>1</v>
      </c>
      <c r="P33" s="15">
        <f t="shared" si="3"/>
        <v>1</v>
      </c>
      <c r="R33" s="24">
        <v>4000</v>
      </c>
      <c r="S33" s="24"/>
      <c r="T33" s="24"/>
      <c r="U33" s="24">
        <v>1</v>
      </c>
    </row>
    <row r="34" spans="13:21">
      <c r="M34" s="15">
        <v>90</v>
      </c>
      <c r="N34" s="15">
        <v>2</v>
      </c>
      <c r="O34" s="15">
        <v>1.00042201286818</v>
      </c>
      <c r="P34" s="15">
        <f t="shared" si="3"/>
        <v>0.99960000000000004</v>
      </c>
      <c r="R34" s="24">
        <v>4500</v>
      </c>
      <c r="S34" s="24"/>
      <c r="T34" s="24"/>
      <c r="U34" s="24">
        <v>1</v>
      </c>
    </row>
    <row r="35" spans="13:21">
      <c r="M35" s="15">
        <v>100</v>
      </c>
      <c r="N35" s="15">
        <v>2</v>
      </c>
      <c r="O35" s="15">
        <v>1.00042201286818</v>
      </c>
      <c r="P35" s="15">
        <f t="shared" si="3"/>
        <v>0.99960000000000004</v>
      </c>
      <c r="R35" s="24">
        <v>5000</v>
      </c>
      <c r="S35" s="24"/>
      <c r="T35" s="24"/>
      <c r="U35" s="24">
        <v>1</v>
      </c>
    </row>
    <row r="36" spans="13:21">
      <c r="M36" s="24">
        <v>110</v>
      </c>
      <c r="N36" s="24">
        <v>5</v>
      </c>
      <c r="O36" s="24">
        <v>1.0179239752355449</v>
      </c>
      <c r="P36" s="15">
        <f t="shared" si="3"/>
        <v>0.98240000000000005</v>
      </c>
      <c r="R36" s="24">
        <v>5500</v>
      </c>
      <c r="S36" s="24"/>
      <c r="T36" s="24"/>
      <c r="U36" s="24">
        <v>1</v>
      </c>
    </row>
    <row r="37" spans="13:21">
      <c r="M37" s="15">
        <v>120</v>
      </c>
      <c r="N37" s="15">
        <v>4</v>
      </c>
      <c r="O37" s="15">
        <v>1.0340257949449059</v>
      </c>
      <c r="P37" s="15">
        <f t="shared" si="3"/>
        <v>0.96709999999999996</v>
      </c>
      <c r="R37" s="24">
        <v>6000</v>
      </c>
      <c r="S37" s="24"/>
      <c r="T37" s="24"/>
      <c r="U37" s="24">
        <v>1</v>
      </c>
    </row>
    <row r="38" spans="13:21">
      <c r="M38" s="24">
        <v>130</v>
      </c>
      <c r="N38" s="24">
        <v>4</v>
      </c>
      <c r="O38" s="24">
        <v>1.0340257949449059</v>
      </c>
      <c r="P38" s="15">
        <f t="shared" si="3"/>
        <v>0.96709999999999996</v>
      </c>
      <c r="R38" s="24">
        <v>6500</v>
      </c>
      <c r="S38" s="24"/>
      <c r="T38" s="24"/>
      <c r="U38" s="24">
        <v>1</v>
      </c>
    </row>
    <row r="39" spans="13:21">
      <c r="M39" s="24">
        <v>140</v>
      </c>
      <c r="N39" s="24"/>
      <c r="O39" s="24">
        <v>1</v>
      </c>
      <c r="P39" s="15">
        <f t="shared" si="3"/>
        <v>1</v>
      </c>
      <c r="R39" s="24">
        <v>7000</v>
      </c>
      <c r="S39" s="24"/>
      <c r="T39" s="24"/>
      <c r="U39" s="24">
        <v>1</v>
      </c>
    </row>
    <row r="40" spans="13:21">
      <c r="M40" s="20" t="s">
        <v>6</v>
      </c>
      <c r="N40" s="20">
        <v>319</v>
      </c>
      <c r="O40" s="20">
        <v>1.0002929542443471</v>
      </c>
      <c r="P40" s="20"/>
      <c r="R40" s="24">
        <v>7500</v>
      </c>
      <c r="S40" s="24"/>
      <c r="T40" s="24"/>
      <c r="U40" s="24">
        <v>1</v>
      </c>
    </row>
    <row r="41" spans="13:21">
      <c r="R41" s="24">
        <v>8000</v>
      </c>
      <c r="S41" s="24"/>
      <c r="T41" s="24"/>
      <c r="U41" s="24">
        <v>1</v>
      </c>
    </row>
    <row r="42" spans="13:21">
      <c r="R42" s="24">
        <v>8500</v>
      </c>
      <c r="S42" s="24"/>
      <c r="T42" s="24"/>
      <c r="U42" s="24">
        <v>1</v>
      </c>
    </row>
    <row r="43" spans="13:21">
      <c r="R43" s="20" t="s">
        <v>6</v>
      </c>
      <c r="S43" s="20">
        <v>319</v>
      </c>
      <c r="T43" s="20">
        <v>1.0002929542443471</v>
      </c>
      <c r="U43" s="20"/>
    </row>
    <row r="44" spans="13:21"/>
    <row r="45" spans="13:21"/>
    <row r="46" spans="13:21"/>
    <row r="47" spans="13:21"/>
    <row r="48" spans="13:21"/>
    <row r="49" spans="1:5"/>
    <row r="50" spans="1:5"/>
    <row r="51" spans="1:5"/>
    <row r="52" spans="1:5"/>
    <row r="53" spans="1:5"/>
    <row r="54" spans="1:5"/>
    <row r="55" spans="1:5">
      <c r="A55" t="s">
        <v>32</v>
      </c>
    </row>
    <row r="56" spans="1:5">
      <c r="A56" t="s">
        <v>33</v>
      </c>
    </row>
    <row r="57" spans="1:5">
      <c r="A57" s="25" t="s">
        <v>34</v>
      </c>
      <c r="B57" s="26" t="s">
        <v>35</v>
      </c>
      <c r="C57" s="26" t="s">
        <v>36</v>
      </c>
      <c r="D57" s="26" t="s">
        <v>37</v>
      </c>
      <c r="E57" s="26" t="s">
        <v>38</v>
      </c>
    </row>
    <row r="58" spans="1:5">
      <c r="A58" s="15" t="s">
        <v>39</v>
      </c>
      <c r="B58" s="15">
        <v>220892.48</v>
      </c>
      <c r="C58" s="15">
        <v>31532.69</v>
      </c>
      <c r="D58" s="15">
        <v>7.01</v>
      </c>
      <c r="E58" s="15" t="s">
        <v>40</v>
      </c>
    </row>
    <row r="59" spans="1:5">
      <c r="A59" s="15" t="s">
        <v>41</v>
      </c>
      <c r="B59" s="15">
        <v>13124.321</v>
      </c>
      <c r="C59" s="15">
        <v>3883.279</v>
      </c>
      <c r="D59" s="15">
        <v>3.38</v>
      </c>
      <c r="E59" s="15">
        <v>8.0000000000000004E-4</v>
      </c>
    </row>
    <row r="60" spans="1:5">
      <c r="A60" s="25" t="s">
        <v>42</v>
      </c>
      <c r="B60" s="80"/>
      <c r="C60" s="80"/>
      <c r="D60" s="80"/>
      <c r="E60" s="80"/>
    </row>
    <row r="61" spans="1:5">
      <c r="A61" s="15" t="s">
        <v>43</v>
      </c>
      <c r="B61" s="15">
        <v>9.4974606000000001</v>
      </c>
      <c r="C61" s="15">
        <v>23.71134</v>
      </c>
      <c r="D61" s="15">
        <v>0.4</v>
      </c>
      <c r="E61" s="15">
        <v>0.68899999999999995</v>
      </c>
    </row>
    <row r="62" spans="1:5">
      <c r="A62" s="15" t="s">
        <v>44</v>
      </c>
      <c r="B62" s="15">
        <v>-67.443550000000002</v>
      </c>
      <c r="C62" s="15">
        <v>14.848330000000001</v>
      </c>
      <c r="D62" s="15">
        <v>-4.54</v>
      </c>
      <c r="E62" s="15" t="s">
        <v>40</v>
      </c>
    </row>
    <row r="63" spans="1:5">
      <c r="A63" s="15" t="s">
        <v>45</v>
      </c>
      <c r="B63" s="15">
        <v>-228.99940000000001</v>
      </c>
      <c r="C63" s="15">
        <v>16.884630000000001</v>
      </c>
      <c r="D63" s="15">
        <v>-13.56</v>
      </c>
      <c r="E63" s="15" t="s">
        <v>40</v>
      </c>
    </row>
    <row r="64" spans="1:5">
      <c r="A64" s="80"/>
      <c r="B64" s="80"/>
      <c r="C64" s="80"/>
      <c r="D64" s="80"/>
      <c r="E64" s="80"/>
    </row>
    <row r="65" spans="1:5">
      <c r="A65" s="27" t="s">
        <v>46</v>
      </c>
      <c r="B65" s="15">
        <v>-108.7411</v>
      </c>
      <c r="C65" s="15">
        <v>323.51249999999999</v>
      </c>
      <c r="D65" s="15">
        <v>-0.34</v>
      </c>
      <c r="E65" s="15">
        <v>0.73699999999999999</v>
      </c>
    </row>
    <row r="66" spans="1:5">
      <c r="A66" s="25" t="s">
        <v>47</v>
      </c>
      <c r="B66" s="80"/>
      <c r="C66" s="80"/>
      <c r="D66" s="80"/>
      <c r="E66" s="80"/>
    </row>
    <row r="67" spans="1:5">
      <c r="A67" s="15" t="s">
        <v>9</v>
      </c>
      <c r="B67" s="28">
        <v>-18031.051255923801</v>
      </c>
      <c r="C67" s="29"/>
      <c r="D67" s="29"/>
      <c r="E67" s="29"/>
    </row>
    <row r="68" spans="1:5">
      <c r="A68" s="15" t="s">
        <v>11</v>
      </c>
      <c r="B68" s="28">
        <v>-9114.1675108666695</v>
      </c>
      <c r="C68" s="29"/>
      <c r="D68" s="29"/>
      <c r="E68" s="29"/>
    </row>
    <row r="69" spans="1:5">
      <c r="A69" s="15" t="s">
        <v>13</v>
      </c>
      <c r="B69" s="29">
        <v>0</v>
      </c>
      <c r="C69" s="29"/>
      <c r="D69" s="29"/>
      <c r="E69" s="29"/>
    </row>
    <row r="70" spans="1:5">
      <c r="A70" s="15" t="s">
        <v>15</v>
      </c>
      <c r="B70" s="29">
        <v>-1240.8083630000001</v>
      </c>
      <c r="C70" s="29"/>
      <c r="D70" s="29"/>
      <c r="E70" s="29"/>
    </row>
    <row r="71" spans="1:5">
      <c r="A71" s="15" t="s">
        <v>17</v>
      </c>
      <c r="B71" s="29">
        <v>24371.765965999999</v>
      </c>
      <c r="C71" s="29"/>
      <c r="D71" s="29"/>
      <c r="E71" s="29"/>
    </row>
    <row r="72" spans="1:5">
      <c r="A72" s="15" t="s">
        <v>19</v>
      </c>
      <c r="B72" s="29">
        <v>37154.252388000001</v>
      </c>
      <c r="C72" s="29"/>
      <c r="D72" s="29"/>
      <c r="E72" s="29"/>
    </row>
    <row r="73" spans="1:5">
      <c r="A73" s="15" t="s">
        <v>21</v>
      </c>
      <c r="B73" s="29">
        <v>32917.849192000001</v>
      </c>
      <c r="C73" s="29"/>
      <c r="D73" s="29"/>
      <c r="E73" s="29"/>
    </row>
    <row r="74" spans="1:5">
      <c r="A74" s="15" t="s">
        <v>23</v>
      </c>
      <c r="B74" s="29">
        <v>39366.494398000003</v>
      </c>
      <c r="C74" s="29"/>
      <c r="D74" s="29"/>
      <c r="E74" s="29"/>
    </row>
    <row r="75" spans="1:5">
      <c r="A75" s="15" t="s">
        <v>25</v>
      </c>
      <c r="B75" s="28">
        <v>53304.018704533402</v>
      </c>
      <c r="C75" s="29"/>
      <c r="D75" s="29"/>
      <c r="E75" s="29"/>
    </row>
    <row r="76" spans="1:5">
      <c r="A76" s="15" t="s">
        <v>26</v>
      </c>
      <c r="B76" s="28">
        <v>62220.902449590503</v>
      </c>
      <c r="C76" s="29"/>
      <c r="D76" s="29"/>
      <c r="E76" s="29"/>
    </row>
    <row r="77" spans="1:5">
      <c r="A77" s="15" t="s">
        <v>27</v>
      </c>
      <c r="B77" s="28">
        <v>71137.786194647706</v>
      </c>
      <c r="C77" s="29"/>
      <c r="D77" s="29"/>
      <c r="E77" s="29"/>
    </row>
    <row r="78" spans="1:5">
      <c r="A78" s="15" t="s">
        <v>28</v>
      </c>
      <c r="B78" s="28">
        <v>80054.669939704807</v>
      </c>
      <c r="C78" s="29"/>
      <c r="D78" s="29"/>
      <c r="E78" s="29"/>
    </row>
    <row r="79" spans="1:5">
      <c r="A79" s="15" t="s">
        <v>29</v>
      </c>
      <c r="B79" s="28">
        <v>88971.553684761893</v>
      </c>
      <c r="C79" s="29"/>
      <c r="D79" s="29"/>
      <c r="E79" s="29"/>
    </row>
    <row r="80" spans="1:5">
      <c r="A80" s="25" t="s">
        <v>8</v>
      </c>
      <c r="B80" s="80"/>
      <c r="C80" s="80"/>
      <c r="D80" s="80"/>
      <c r="E80" s="80"/>
    </row>
    <row r="81" spans="1:5" ht="13.15" customHeight="1">
      <c r="A81" s="15" t="s">
        <v>10</v>
      </c>
      <c r="B81" s="24">
        <v>-34535.685555160002</v>
      </c>
      <c r="C81" s="15"/>
      <c r="D81" s="15"/>
      <c r="E81" s="15"/>
    </row>
    <row r="82" spans="1:5">
      <c r="A82" s="15" t="s">
        <v>12</v>
      </c>
      <c r="B82" s="24">
        <v>-21793.704082519998</v>
      </c>
      <c r="C82" s="15"/>
      <c r="D82" s="15"/>
      <c r="E82" s="15"/>
    </row>
    <row r="83" spans="1:5">
      <c r="A83" s="15" t="s">
        <v>14</v>
      </c>
      <c r="B83" s="24">
        <v>-9051.7226098799892</v>
      </c>
      <c r="C83" s="15"/>
      <c r="D83" s="15"/>
      <c r="E83" s="15"/>
    </row>
    <row r="84" spans="1:5">
      <c r="A84" s="15" t="s">
        <v>16</v>
      </c>
      <c r="B84" s="15">
        <v>0</v>
      </c>
      <c r="C84" s="15"/>
      <c r="D84" s="15"/>
      <c r="E84" s="15"/>
    </row>
    <row r="85" spans="1:5">
      <c r="A85" s="15" t="s">
        <v>18</v>
      </c>
      <c r="B85" s="15">
        <v>17761.121909000001</v>
      </c>
      <c r="C85" s="15"/>
      <c r="D85" s="15"/>
      <c r="E85" s="15"/>
    </row>
    <row r="86" spans="1:5">
      <c r="A86" s="15" t="s">
        <v>20</v>
      </c>
      <c r="B86" s="15">
        <v>30300.329274</v>
      </c>
      <c r="C86" s="15"/>
      <c r="D86" s="15"/>
      <c r="E86" s="15"/>
    </row>
    <row r="87" spans="1:5">
      <c r="A87" s="15" t="s">
        <v>22</v>
      </c>
      <c r="B87" s="15">
        <v>50438.379078999998</v>
      </c>
      <c r="C87" s="15"/>
      <c r="D87" s="15"/>
      <c r="E87" s="15"/>
    </row>
    <row r="88" spans="1:5">
      <c r="A88" s="15" t="s">
        <v>24</v>
      </c>
      <c r="B88" s="15">
        <v>47371.278778200001</v>
      </c>
      <c r="C88" s="15"/>
      <c r="D88" s="15"/>
      <c r="E88" s="15"/>
    </row>
    <row r="89" spans="1:5">
      <c r="A89" s="80"/>
      <c r="B89" s="80"/>
      <c r="C89" s="80"/>
      <c r="D89" s="80"/>
      <c r="E89" s="80"/>
    </row>
    <row r="90" spans="1:5">
      <c r="A90" s="27" t="s">
        <v>48</v>
      </c>
      <c r="B90" s="15">
        <v>62.410380000000004</v>
      </c>
      <c r="C90" s="15">
        <v>5.531466</v>
      </c>
      <c r="D90" s="15">
        <v>11.28</v>
      </c>
      <c r="E90" s="15" t="s">
        <v>40</v>
      </c>
    </row>
    <row r="91" spans="1:5">
      <c r="A91" s="27" t="s">
        <v>49</v>
      </c>
      <c r="B91" s="15">
        <v>59.580382999999998</v>
      </c>
      <c r="C91" s="15">
        <v>4.1578889999999999</v>
      </c>
      <c r="D91" s="15">
        <v>14.33</v>
      </c>
      <c r="E91" s="15" t="s">
        <v>40</v>
      </c>
    </row>
    <row r="92" spans="1:5">
      <c r="A92" s="27" t="s">
        <v>50</v>
      </c>
      <c r="B92" s="15">
        <v>9807.1044999999995</v>
      </c>
      <c r="C92" s="15">
        <v>2875.8420000000001</v>
      </c>
      <c r="D92" s="15">
        <v>3.41</v>
      </c>
      <c r="E92" s="15">
        <v>6.9999999999999999E-4</v>
      </c>
    </row>
    <row r="93" spans="1:5">
      <c r="A93" s="27" t="s">
        <v>51</v>
      </c>
      <c r="B93" s="15">
        <v>35.301031000000002</v>
      </c>
      <c r="C93" s="15">
        <v>9.3969810000000003</v>
      </c>
      <c r="D93" s="15">
        <v>3.76</v>
      </c>
      <c r="E93" s="15">
        <v>2.0000000000000001E-4</v>
      </c>
    </row>
    <row r="94" spans="1:5">
      <c r="A94" s="27" t="s">
        <v>52</v>
      </c>
      <c r="B94" s="15">
        <v>49.396799999999999</v>
      </c>
      <c r="C94" s="15">
        <v>11.008279999999999</v>
      </c>
      <c r="D94" s="15">
        <v>4.49</v>
      </c>
      <c r="E94" s="15" t="s">
        <v>40</v>
      </c>
    </row>
    <row r="95" spans="1:5">
      <c r="A95" s="27" t="s">
        <v>53</v>
      </c>
      <c r="B95" s="15">
        <v>62.586495999999997</v>
      </c>
      <c r="C95" s="15">
        <v>19.10483</v>
      </c>
      <c r="D95" s="15">
        <v>3.28</v>
      </c>
      <c r="E95" s="15">
        <v>1.1999999999999999E-3</v>
      </c>
    </row>
    <row r="96" spans="1:5">
      <c r="A96" s="25" t="s">
        <v>54</v>
      </c>
      <c r="B96" s="80"/>
      <c r="C96" s="80"/>
      <c r="D96" s="80"/>
      <c r="E96" s="80"/>
    </row>
    <row r="97" spans="1:5">
      <c r="A97" s="15" t="s">
        <v>55</v>
      </c>
      <c r="B97" s="15">
        <v>5299.8242</v>
      </c>
      <c r="C97" s="15">
        <v>3714.3380000000002</v>
      </c>
      <c r="D97" s="15">
        <v>1.43</v>
      </c>
      <c r="E97" s="15">
        <v>0.1547</v>
      </c>
    </row>
    <row r="98" spans="1:5">
      <c r="A98" s="15" t="s">
        <v>56</v>
      </c>
      <c r="B98" s="15">
        <v>-9412.7029999999995</v>
      </c>
      <c r="C98" s="15">
        <v>2269.3420000000001</v>
      </c>
      <c r="D98" s="15">
        <v>-4.1500000000000004</v>
      </c>
      <c r="E98" s="15" t="s">
        <v>40</v>
      </c>
    </row>
    <row r="99" spans="1:5">
      <c r="A99" s="15" t="s">
        <v>57</v>
      </c>
      <c r="B99" s="15">
        <v>4112.8784489</v>
      </c>
      <c r="C99" s="15"/>
      <c r="D99" s="15"/>
      <c r="E99" s="15"/>
    </row>
  </sheetData>
  <mergeCells count="6">
    <mergeCell ref="B60:E60"/>
    <mergeCell ref="B66:E66"/>
    <mergeCell ref="B80:E80"/>
    <mergeCell ref="B96:E96"/>
    <mergeCell ref="A64:E64"/>
    <mergeCell ref="A89:E89"/>
  </mergeCells>
  <conditionalFormatting sqref="N22:P22">
    <cfRule type="iconSet" priority="1">
      <iconSet iconSet="3Arrows">
        <cfvo type="percent" val="0"/>
        <cfvo type="percent" val="33"/>
        <cfvo type="percent" val="67"/>
      </iconSet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D69AD-1E72-4DBC-BD01-4355A3DA96CD}">
  <sheetPr codeName="Sheet2"/>
  <dimension ref="A1:K16"/>
  <sheetViews>
    <sheetView workbookViewId="0">
      <selection activeCell="A3" sqref="A3:C14"/>
    </sheetView>
  </sheetViews>
  <sheetFormatPr defaultRowHeight="14.45" customHeight="1"/>
  <cols>
    <col min="1" max="1" width="10.7109375" bestFit="1" customWidth="1"/>
    <col min="2" max="2" width="6.140625" bestFit="1" customWidth="1"/>
    <col min="3" max="5" width="10.140625" bestFit="1" customWidth="1"/>
    <col min="9" max="9" width="12.5703125" bestFit="1" customWidth="1"/>
    <col min="10" max="10" width="14" bestFit="1" customWidth="1"/>
    <col min="11" max="11" width="33.85546875" bestFit="1" customWidth="1"/>
  </cols>
  <sheetData>
    <row r="1" spans="1:11"/>
    <row r="2" spans="1:11"/>
    <row r="3" spans="1:11" ht="43.15">
      <c r="A3" s="11" t="s">
        <v>0</v>
      </c>
      <c r="B3" s="8" t="s">
        <v>1</v>
      </c>
      <c r="C3" s="23" t="s">
        <v>2</v>
      </c>
      <c r="D3" s="23" t="s">
        <v>58</v>
      </c>
      <c r="I3" s="11" t="s">
        <v>59</v>
      </c>
      <c r="J3" t="s">
        <v>1</v>
      </c>
      <c r="K3" s="17" t="s">
        <v>60</v>
      </c>
    </row>
    <row r="4" spans="1:11">
      <c r="A4" s="12">
        <v>10</v>
      </c>
      <c r="B4">
        <v>190</v>
      </c>
      <c r="C4" s="18">
        <v>0.99764536275887494</v>
      </c>
      <c r="D4" s="18">
        <v>0.97626758379051837</v>
      </c>
      <c r="I4" s="12" t="s">
        <v>9</v>
      </c>
      <c r="J4">
        <v>3</v>
      </c>
      <c r="K4" s="18">
        <v>0.27686064550602141</v>
      </c>
    </row>
    <row r="5" spans="1:11">
      <c r="A5" s="12">
        <v>20</v>
      </c>
      <c r="B5">
        <v>99</v>
      </c>
      <c r="C5" s="18">
        <v>1.0044145207463644</v>
      </c>
      <c r="D5" s="18">
        <v>0.97325442622431224</v>
      </c>
      <c r="I5" s="12" t="s">
        <v>11</v>
      </c>
      <c r="J5">
        <v>27</v>
      </c>
      <c r="K5" s="18">
        <v>0.18071533280968413</v>
      </c>
    </row>
    <row r="6" spans="1:11">
      <c r="A6" s="12">
        <v>30</v>
      </c>
      <c r="B6">
        <v>4</v>
      </c>
      <c r="C6" s="18">
        <v>0.98059149016585923</v>
      </c>
      <c r="D6" s="18">
        <v>0.9809070204558773</v>
      </c>
      <c r="I6" s="12" t="s">
        <v>13</v>
      </c>
      <c r="J6">
        <v>65</v>
      </c>
      <c r="K6" s="18">
        <v>0.1578030821311755</v>
      </c>
    </row>
    <row r="7" spans="1:11">
      <c r="A7" s="12">
        <v>40</v>
      </c>
      <c r="B7">
        <v>5</v>
      </c>
      <c r="C7" s="18">
        <v>1.0424897877784864</v>
      </c>
      <c r="D7" s="18">
        <v>0.91214521032103979</v>
      </c>
      <c r="I7" s="12" t="s">
        <v>15</v>
      </c>
      <c r="J7">
        <v>103</v>
      </c>
      <c r="K7" s="18">
        <v>7.5545846117294257E-2</v>
      </c>
    </row>
    <row r="8" spans="1:11">
      <c r="A8" s="12">
        <v>50</v>
      </c>
      <c r="B8">
        <v>4</v>
      </c>
      <c r="C8" s="18">
        <v>1.0150026144463864</v>
      </c>
      <c r="D8" s="18">
        <v>0.96998060525569185</v>
      </c>
      <c r="I8" s="12" t="s">
        <v>17</v>
      </c>
      <c r="J8">
        <v>106</v>
      </c>
      <c r="K8" s="18">
        <v>0.10088670004571873</v>
      </c>
    </row>
    <row r="9" spans="1:11">
      <c r="A9" s="12">
        <v>60</v>
      </c>
      <c r="B9">
        <v>3</v>
      </c>
      <c r="C9" s="18">
        <v>0.9650305191776104</v>
      </c>
      <c r="D9" s="18">
        <v>1.0207495091320229</v>
      </c>
      <c r="I9" s="12" t="s">
        <v>61</v>
      </c>
      <c r="J9">
        <v>442</v>
      </c>
      <c r="K9" s="18">
        <v>2.6336219048825851E-3</v>
      </c>
    </row>
    <row r="10" spans="1:11">
      <c r="A10" s="12">
        <v>70</v>
      </c>
      <c r="B10">
        <v>3</v>
      </c>
      <c r="C10" s="18">
        <v>0.9471568943634151</v>
      </c>
      <c r="D10" s="18">
        <v>1.015031701415912</v>
      </c>
      <c r="I10" s="12" t="s">
        <v>21</v>
      </c>
      <c r="J10">
        <v>635</v>
      </c>
      <c r="K10" s="18">
        <v>6.7621599855066986E-4</v>
      </c>
    </row>
    <row r="11" spans="1:11">
      <c r="A11" s="12">
        <v>100</v>
      </c>
      <c r="B11">
        <v>2</v>
      </c>
      <c r="C11" s="18">
        <v>1.00042201286818</v>
      </c>
      <c r="D11" s="18">
        <v>0.95064468173978178</v>
      </c>
      <c r="I11" s="12" t="s">
        <v>23</v>
      </c>
      <c r="J11">
        <v>15</v>
      </c>
      <c r="K11" s="18">
        <v>-6.5273216057264494E-2</v>
      </c>
    </row>
    <row r="12" spans="1:11">
      <c r="A12" s="12">
        <v>110</v>
      </c>
      <c r="B12">
        <v>5</v>
      </c>
      <c r="C12" s="18">
        <v>1.0179239752355449</v>
      </c>
      <c r="D12" s="18">
        <v>0.94920115310830899</v>
      </c>
      <c r="I12" s="12" t="s">
        <v>25</v>
      </c>
      <c r="J12">
        <v>4</v>
      </c>
      <c r="K12" s="18">
        <v>-7.8494209956015415E-3</v>
      </c>
    </row>
    <row r="13" spans="1:11">
      <c r="A13" s="12">
        <v>130</v>
      </c>
      <c r="B13">
        <v>4</v>
      </c>
      <c r="C13" s="18">
        <v>1.0340257949449059</v>
      </c>
      <c r="D13" s="18">
        <v>0.93082712146842272</v>
      </c>
      <c r="I13" s="12" t="s">
        <v>26</v>
      </c>
      <c r="J13">
        <v>2</v>
      </c>
      <c r="K13" s="18">
        <v>-9.5233290971563675E-2</v>
      </c>
    </row>
    <row r="14" spans="1:11">
      <c r="A14" s="12" t="s">
        <v>6</v>
      </c>
      <c r="B14">
        <v>319</v>
      </c>
      <c r="C14" s="18">
        <v>1.0004627309019887</v>
      </c>
      <c r="D14" s="18">
        <v>0.97393496212349662</v>
      </c>
      <c r="I14" s="12" t="s">
        <v>27</v>
      </c>
      <c r="J14">
        <v>1</v>
      </c>
      <c r="K14" s="18">
        <v>-0.14635686324030811</v>
      </c>
    </row>
    <row r="15" spans="1:11">
      <c r="I15" s="12" t="s">
        <v>6</v>
      </c>
      <c r="J15">
        <v>1403</v>
      </c>
      <c r="K15" s="18">
        <v>2.4724481316355348E-2</v>
      </c>
    </row>
    <row r="16" spans="1:11"/>
  </sheetData>
  <sortState xmlns:xlrd2="http://schemas.microsoft.com/office/spreadsheetml/2017/richdata2" columnSort="1" ref="A3:D16">
    <sortCondition ref="D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DA320"/>
  <sheetViews>
    <sheetView topLeftCell="CK253" workbookViewId="0">
      <selection activeCell="A270" sqref="A270:XFD270"/>
    </sheetView>
  </sheetViews>
  <sheetFormatPr defaultRowHeight="14.45" customHeight="1"/>
  <cols>
    <col min="2" max="2" width="12" bestFit="1" customWidth="1"/>
    <col min="3" max="3" width="9.42578125" customWidth="1"/>
    <col min="12" max="12" width="9.85546875" customWidth="1"/>
    <col min="18" max="18" width="9.140625" customWidth="1"/>
    <col min="21" max="21" width="9.5703125" customWidth="1"/>
    <col min="22" max="22" width="9.28515625" customWidth="1"/>
    <col min="23" max="23" width="9.140625" customWidth="1"/>
    <col min="26" max="26" width="11.7109375" customWidth="1"/>
    <col min="27" max="27" width="9.140625" customWidth="1"/>
    <col min="28" max="28" width="12.140625" customWidth="1"/>
    <col min="29" max="29" width="14.7109375" customWidth="1"/>
    <col min="30" max="30" width="10.7109375" customWidth="1"/>
    <col min="31" max="31" width="12" customWidth="1"/>
    <col min="35" max="35" width="10.5703125" customWidth="1"/>
    <col min="36" max="36" width="10.28515625" customWidth="1"/>
    <col min="37" max="37" width="10.42578125" customWidth="1"/>
    <col min="38" max="39" width="9.7109375" customWidth="1"/>
    <col min="40" max="40" width="9.28515625" customWidth="1"/>
    <col min="42" max="42" width="9.5703125" customWidth="1"/>
    <col min="43" max="43" width="9.28515625" customWidth="1"/>
    <col min="44" max="44" width="9.85546875" customWidth="1"/>
    <col min="46" max="46" width="9.42578125" customWidth="1"/>
    <col min="47" max="47" width="9.28515625" customWidth="1"/>
    <col min="51" max="51" width="11.28515625" customWidth="1"/>
    <col min="55" max="55" width="10.5703125" bestFit="1" customWidth="1"/>
    <col min="59" max="59" width="10.42578125" customWidth="1"/>
    <col min="67" max="67" width="16.28515625" customWidth="1"/>
    <col min="68" max="68" width="18.28515625" customWidth="1"/>
    <col min="74" max="74" width="9.5703125" customWidth="1"/>
    <col min="92" max="92" width="10.28515625" bestFit="1" customWidth="1"/>
  </cols>
  <sheetData>
    <row r="1" spans="1:105" ht="57.6">
      <c r="A1" s="8" t="s">
        <v>62</v>
      </c>
      <c r="B1" s="8" t="s">
        <v>63</v>
      </c>
      <c r="C1" s="8" t="s">
        <v>41</v>
      </c>
      <c r="D1" s="8" t="s">
        <v>64</v>
      </c>
      <c r="E1" s="8" t="s">
        <v>65</v>
      </c>
      <c r="F1" s="8" t="s">
        <v>66</v>
      </c>
      <c r="G1" s="8" t="s">
        <v>67</v>
      </c>
      <c r="H1" s="8" t="s">
        <v>68</v>
      </c>
      <c r="I1" s="8" t="s">
        <v>69</v>
      </c>
      <c r="J1" s="8" t="s">
        <v>70</v>
      </c>
      <c r="K1" s="8" t="s">
        <v>71</v>
      </c>
      <c r="L1" s="8" t="s">
        <v>72</v>
      </c>
      <c r="M1" s="8" t="s">
        <v>73</v>
      </c>
      <c r="N1" s="8" t="s">
        <v>74</v>
      </c>
      <c r="O1" s="8" t="s">
        <v>75</v>
      </c>
      <c r="P1" s="8" t="s">
        <v>76</v>
      </c>
      <c r="Q1" s="8" t="s">
        <v>77</v>
      </c>
      <c r="R1" s="8" t="s">
        <v>30</v>
      </c>
      <c r="S1" s="8" t="s">
        <v>78</v>
      </c>
      <c r="T1" s="8" t="s">
        <v>46</v>
      </c>
      <c r="U1" s="8" t="s">
        <v>79</v>
      </c>
      <c r="V1" s="8" t="s">
        <v>48</v>
      </c>
      <c r="W1" s="8" t="s">
        <v>49</v>
      </c>
      <c r="X1" s="8" t="s">
        <v>80</v>
      </c>
      <c r="Y1" s="8" t="s">
        <v>53</v>
      </c>
      <c r="Z1" s="8" t="s">
        <v>81</v>
      </c>
      <c r="AA1" s="8" t="s">
        <v>82</v>
      </c>
      <c r="AB1" s="8" t="s">
        <v>83</v>
      </c>
      <c r="AC1" s="8" t="s">
        <v>84</v>
      </c>
      <c r="AD1" s="8" t="s">
        <v>85</v>
      </c>
      <c r="AE1" s="8" t="s">
        <v>86</v>
      </c>
      <c r="AF1" s="8" t="s">
        <v>87</v>
      </c>
      <c r="AG1" s="8" t="s">
        <v>88</v>
      </c>
      <c r="AH1" s="8" t="s">
        <v>89</v>
      </c>
      <c r="AI1" s="8" t="s">
        <v>90</v>
      </c>
      <c r="AJ1" s="8" t="s">
        <v>91</v>
      </c>
      <c r="AK1" s="8" t="s">
        <v>50</v>
      </c>
      <c r="AL1" s="8" t="s">
        <v>92</v>
      </c>
      <c r="AM1" s="8" t="s">
        <v>93</v>
      </c>
      <c r="AN1" s="8" t="s">
        <v>94</v>
      </c>
      <c r="AO1" s="8" t="s">
        <v>51</v>
      </c>
      <c r="AP1" s="8" t="s">
        <v>52</v>
      </c>
      <c r="AQ1" s="8" t="s">
        <v>95</v>
      </c>
      <c r="AR1" s="8" t="s">
        <v>96</v>
      </c>
      <c r="AS1" s="8" t="s">
        <v>97</v>
      </c>
      <c r="AT1" s="8" t="s">
        <v>98</v>
      </c>
      <c r="AU1" s="8" t="s">
        <v>99</v>
      </c>
      <c r="AV1" s="8" t="s">
        <v>100</v>
      </c>
      <c r="AW1" s="8" t="s">
        <v>101</v>
      </c>
      <c r="AX1" s="8" t="s">
        <v>102</v>
      </c>
      <c r="AY1" s="8" t="s">
        <v>103</v>
      </c>
      <c r="AZ1" s="8" t="s">
        <v>43</v>
      </c>
      <c r="BA1" s="8" t="s">
        <v>44</v>
      </c>
      <c r="BB1" s="8" t="s">
        <v>45</v>
      </c>
      <c r="BC1" s="8" t="s">
        <v>104</v>
      </c>
      <c r="BD1" s="8" t="s">
        <v>105</v>
      </c>
      <c r="BE1" s="8" t="s">
        <v>106</v>
      </c>
      <c r="BF1" s="8" t="s">
        <v>107</v>
      </c>
      <c r="BG1" s="8" t="s">
        <v>108</v>
      </c>
      <c r="BH1" s="8" t="s">
        <v>109</v>
      </c>
      <c r="BI1" s="8" t="s">
        <v>110</v>
      </c>
      <c r="BJ1" s="8" t="s">
        <v>111</v>
      </c>
      <c r="BK1" s="8" t="s">
        <v>112</v>
      </c>
      <c r="BL1" s="8" t="s">
        <v>113</v>
      </c>
      <c r="BM1" s="8" t="s">
        <v>114</v>
      </c>
      <c r="BN1" s="8" t="s">
        <v>115</v>
      </c>
      <c r="BO1" s="8" t="s">
        <v>116</v>
      </c>
      <c r="BP1" s="8" t="s">
        <v>117</v>
      </c>
      <c r="BQ1" s="8" t="s">
        <v>118</v>
      </c>
      <c r="BR1" s="8" t="s">
        <v>119</v>
      </c>
      <c r="BS1" s="8" t="s">
        <v>120</v>
      </c>
      <c r="BT1" s="8" t="s">
        <v>121</v>
      </c>
      <c r="BU1" s="8" t="s">
        <v>122</v>
      </c>
      <c r="BV1" s="8" t="s">
        <v>123</v>
      </c>
      <c r="BW1" s="8" t="s">
        <v>124</v>
      </c>
      <c r="BX1" s="8" t="s">
        <v>125</v>
      </c>
      <c r="BY1" s="8" t="s">
        <v>126</v>
      </c>
      <c r="BZ1" s="8" t="s">
        <v>127</v>
      </c>
      <c r="CA1" s="8" t="s">
        <v>128</v>
      </c>
      <c r="CB1" s="8" t="s">
        <v>129</v>
      </c>
      <c r="CC1" s="8" t="s">
        <v>130</v>
      </c>
      <c r="CD1" s="8" t="s">
        <v>131</v>
      </c>
      <c r="CE1" s="8" t="s">
        <v>132</v>
      </c>
      <c r="CF1" s="8" t="s">
        <v>133</v>
      </c>
      <c r="CG1" s="8" t="s">
        <v>134</v>
      </c>
      <c r="CH1" s="8" t="s">
        <v>135</v>
      </c>
      <c r="CI1" s="8" t="s">
        <v>136</v>
      </c>
      <c r="CJ1" s="9" t="s">
        <v>137</v>
      </c>
      <c r="CK1" s="9" t="s">
        <v>138</v>
      </c>
      <c r="CL1" s="8" t="s">
        <v>139</v>
      </c>
      <c r="CM1" s="8" t="s">
        <v>140</v>
      </c>
      <c r="CN1" s="8" t="s">
        <v>141</v>
      </c>
      <c r="CO1" s="8" t="s">
        <v>142</v>
      </c>
      <c r="CP1" s="8" t="s">
        <v>143</v>
      </c>
      <c r="CQ1" s="8" t="s">
        <v>144</v>
      </c>
      <c r="CR1" s="8" t="s">
        <v>145</v>
      </c>
      <c r="CS1" s="8" t="s">
        <v>146</v>
      </c>
      <c r="CT1" s="8" t="s">
        <v>147</v>
      </c>
      <c r="CU1" s="8" t="s">
        <v>148</v>
      </c>
      <c r="CV1" s="8" t="s">
        <v>149</v>
      </c>
      <c r="CW1" s="8" t="s">
        <v>150</v>
      </c>
      <c r="CX1" s="9" t="s">
        <v>151</v>
      </c>
      <c r="CY1" s="9" t="s">
        <v>152</v>
      </c>
      <c r="CZ1" s="8" t="s">
        <v>153</v>
      </c>
      <c r="DA1" s="9" t="s">
        <v>154</v>
      </c>
    </row>
    <row r="2" spans="1:105">
      <c r="A2">
        <v>2025</v>
      </c>
      <c r="B2">
        <v>19120114460</v>
      </c>
      <c r="C2">
        <v>-1.7147984280919266</v>
      </c>
      <c r="D2">
        <v>0.18</v>
      </c>
      <c r="E2">
        <v>7992</v>
      </c>
      <c r="F2">
        <v>2</v>
      </c>
      <c r="G2" t="s">
        <v>155</v>
      </c>
      <c r="H2">
        <v>317</v>
      </c>
      <c r="I2" t="s">
        <v>5</v>
      </c>
      <c r="J2" t="s">
        <v>156</v>
      </c>
      <c r="K2">
        <v>11</v>
      </c>
      <c r="L2">
        <v>259</v>
      </c>
      <c r="M2" t="s">
        <v>157</v>
      </c>
      <c r="N2" t="s">
        <v>19</v>
      </c>
      <c r="O2" t="s">
        <v>24</v>
      </c>
      <c r="P2">
        <v>2022</v>
      </c>
      <c r="Q2">
        <v>2022</v>
      </c>
      <c r="R2">
        <v>10</v>
      </c>
      <c r="S2">
        <v>2</v>
      </c>
      <c r="T2">
        <v>2</v>
      </c>
      <c r="U2">
        <v>1</v>
      </c>
      <c r="V2">
        <v>1580</v>
      </c>
      <c r="W2">
        <v>0</v>
      </c>
      <c r="X2">
        <v>0</v>
      </c>
      <c r="Y2">
        <v>0</v>
      </c>
      <c r="Z2">
        <v>0</v>
      </c>
      <c r="AA2">
        <v>0</v>
      </c>
      <c r="AB2">
        <v>1580</v>
      </c>
      <c r="AC2">
        <v>2000</v>
      </c>
      <c r="AD2">
        <v>3</v>
      </c>
      <c r="AE2" t="s">
        <v>56</v>
      </c>
      <c r="AF2" t="s">
        <v>158</v>
      </c>
      <c r="AG2" t="s">
        <v>21</v>
      </c>
      <c r="AI2">
        <v>0</v>
      </c>
      <c r="AJ2">
        <v>0</v>
      </c>
      <c r="AK2">
        <v>0</v>
      </c>
      <c r="AL2">
        <v>0</v>
      </c>
      <c r="AM2">
        <v>0</v>
      </c>
      <c r="AN2">
        <v>9</v>
      </c>
      <c r="AO2">
        <v>616</v>
      </c>
      <c r="AP2">
        <v>0</v>
      </c>
      <c r="AQ2">
        <v>0</v>
      </c>
      <c r="AR2">
        <v>0</v>
      </c>
      <c r="AS2">
        <v>144</v>
      </c>
      <c r="AT2">
        <v>0</v>
      </c>
      <c r="AU2">
        <v>100</v>
      </c>
      <c r="AV2">
        <v>100</v>
      </c>
      <c r="AW2">
        <v>283858</v>
      </c>
      <c r="AX2">
        <v>281019</v>
      </c>
      <c r="AY2">
        <v>434</v>
      </c>
      <c r="AZ2">
        <v>365</v>
      </c>
      <c r="BA2">
        <v>69</v>
      </c>
      <c r="BB2">
        <v>0</v>
      </c>
      <c r="BC2" s="2">
        <v>44858</v>
      </c>
      <c r="BD2" t="s">
        <v>159</v>
      </c>
      <c r="BE2">
        <v>389990</v>
      </c>
      <c r="BF2">
        <v>389990</v>
      </c>
      <c r="BG2" t="s">
        <v>160</v>
      </c>
      <c r="BH2">
        <v>30</v>
      </c>
      <c r="BI2" t="s">
        <v>56</v>
      </c>
      <c r="BJ2" t="s">
        <v>161</v>
      </c>
      <c r="BK2">
        <v>392600</v>
      </c>
      <c r="BL2">
        <v>62500</v>
      </c>
      <c r="BM2">
        <v>330100</v>
      </c>
      <c r="BN2">
        <v>0</v>
      </c>
      <c r="BO2">
        <v>392449.06846907281</v>
      </c>
      <c r="BP2">
        <v>393636.1005094382</v>
      </c>
      <c r="BQ2">
        <f>(Sales[[#This Row],[DP1]]*Lookups!$B$61)+(Sales[[#This Row],[DP2]]*Lookups!$B$62)+(Sales[[#This Row],[DP3]]*Lookups!$B$63)</f>
        <v>-1187.0318309999998</v>
      </c>
      <c r="BR2">
        <f>Lookups!$B$58*0.6</f>
        <v>132535.48800000001</v>
      </c>
      <c r="BS2">
        <f>Lookups!$B$58*0.4</f>
        <v>88356.992000000013</v>
      </c>
      <c r="BT2">
        <f>Lookups!$B$59*Sales[[#This Row],[LnAcres]]</f>
        <v>-22505.565020573864</v>
      </c>
      <c r="BU2">
        <f>VLOOKUP(Sales[[#This Row],[Qlty]],Lookups!$A$66:$E$79,2,FALSE)</f>
        <v>37154.252388000001</v>
      </c>
      <c r="BV2">
        <f>VLOOKUP(Sales[[#This Row],[Cnd]],Lookups!$A$80:$E$91,2,FALSE)</f>
        <v>47371.278778200001</v>
      </c>
      <c r="BW2">
        <f>Sales[[#This Row],[EffAge]]*Lookups!$B$65</f>
        <v>-217.48220000000001</v>
      </c>
      <c r="BX2">
        <f>Sales[[#This Row],[MainFn]]*Lookups!$B$90</f>
        <v>98608.400399999999</v>
      </c>
      <c r="BY2">
        <f>Sales[[#This Row],[UpprFn]]*Lookups!$B$91</f>
        <v>0</v>
      </c>
      <c r="BZ2">
        <f>Sales[[#This Row],[Bsmt]]*Lookups!$B$95</f>
        <v>0</v>
      </c>
      <c r="CA2">
        <f>VLOOKUP(Sales[[#This Row],[MsnryTrim]],Lookups!$A$90:$E$99,2,FALSE)</f>
        <v>-9412.7029999999995</v>
      </c>
      <c r="CB2">
        <f>Sales[[#This Row],[PrefabFP]]*Lookups!$B$92</f>
        <v>0</v>
      </c>
      <c r="CC2">
        <f>Sales[[#This Row],[AttGar]]*Lookups!$B$93</f>
        <v>21745.435096000001</v>
      </c>
      <c r="CD2">
        <f>Sales[[#This Row],[BltinGar]]*Lookups!$B$94</f>
        <v>0</v>
      </c>
      <c r="CE2">
        <f>SUM(Sales[[#This Row],[Days Prior Total]:[Mdl BltinGar]])</f>
        <v>392449.0646106262</v>
      </c>
      <c r="CF2">
        <f>ROUND(Sales[[#This Row],[25Det]],-2)</f>
        <v>0</v>
      </c>
      <c r="CG2">
        <f>ROUND(SUM(Sales[[#This Row],[Mdl Qlty]:[Mdl BltinGar]])+Sales[[#This Row],[Mdl Res Intercept]]+Sales[[#This Row],[Days Prior Total]],-2)</f>
        <v>326600</v>
      </c>
      <c r="CH2">
        <f>ROUND(Sales[[#This Row],[Mdl Land Intercept]]+Sales[[#This Row],[Mdl LnAcres]],-2)</f>
        <v>65900</v>
      </c>
      <c r="CI2">
        <f>Sales[[#This Row],[Unadj Res Value]]+Sales[[#This Row],[Unadj Det Value]]+Sales[[#This Row],[Unadj Land Value]]</f>
        <v>392500</v>
      </c>
      <c r="CJ2" s="10">
        <f>Sales[[#This Row],[Price]]/Sales[[#This Row],[Unadj Total Value]]</f>
        <v>0.99360509554140131</v>
      </c>
      <c r="CK2" s="10">
        <f>(Sales[[#This Row],[Unadj Total Value]]-Sales[[#This Row],[24Final]])/Sales[[#This Row],[24Final]]</f>
        <v>-2.5471217524197657E-4</v>
      </c>
      <c r="CL2">
        <f>VLOOKUP(Sales[[#This Row],[TNbhd]],Lookups!$M$3:$P$5,4,FALSE)</f>
        <v>0.99970000000000003</v>
      </c>
      <c r="CM2">
        <f>VLOOKUP(Sales[[#This Row],[Qlty]],Lookups!$M$8:$P$22,4,FALSE)</f>
        <v>0.99819999999999998</v>
      </c>
      <c r="CN2">
        <f>VLOOKUP(Sales[[#This Row],[Cnd]],Lookups!$R$8:$U$17,4,FALSE)</f>
        <v>1.0012000000000001</v>
      </c>
      <c r="CO2">
        <f>VLOOKUP(Sales[[#This Row],[LivArea Range]],Lookups!$R$25:$U$43,4,FALSE)</f>
        <v>1.0007999999999999</v>
      </c>
      <c r="CP2">
        <f>VLOOKUP(Sales[[#This Row],[Decade]],Lookups!$M$24:$P$40,4,FALSE)</f>
        <v>1.0024</v>
      </c>
      <c r="CQ2">
        <f>Sales[[#This Row],[Nbhd Adj]]*0.95</f>
        <v>0.94971499999999998</v>
      </c>
      <c r="CR2">
        <f>Sales[[#This Row],[Nbhd Adj]]*Sales[[#This Row],[Quality Adj]]*Sales[[#This Row],[Condition Adj]]*Sales[[#This Row],[Living Area Adj]]*Sales[[#This Row],[Decade Adj]]*0.95</f>
        <v>0.95218219995315945</v>
      </c>
      <c r="CS2">
        <f>ROUND(SUM(Sales[[#This Row],[Mdl Qlty]:[Mdl BltinGar]])+Sales[[#This Row],[Mdl Res Intercept]]*Sales[[#This Row],[Res Adj ]],-2)</f>
        <v>321400</v>
      </c>
      <c r="CT2">
        <f>ROUND(Sales[[#This Row],[25Det]]*Sales[[#This Row],[Det/Nbhd Adj]],-2)</f>
        <v>0</v>
      </c>
      <c r="CU2">
        <f>Sales[[#This Row],[Adjusted Res]]+Sales[[#This Row],[Adj Det ]]</f>
        <v>321400</v>
      </c>
      <c r="CV2">
        <f>ROUND((Sales[[#This Row],[Mdl Land Intercept]]+Sales[[#This Row],[Mdl LnAcres]])*Sales[[#This Row],[Det/Nbhd Adj]],-2)</f>
        <v>62500</v>
      </c>
      <c r="CW2">
        <f>Sales[[#This Row],[Adjusted Impr Total]]+Sales[[#This Row],[Adjusted Land Total]]</f>
        <v>383900</v>
      </c>
      <c r="CX2" s="10">
        <f>IFERROR((Sales[[#This Row],[Adjusted Impr Total]]-Sales[[#This Row],[24Bldg]])/Sales[[#This Row],[24Bldg]],0)</f>
        <v>-2.6355649803089971E-2</v>
      </c>
      <c r="CY2" s="10">
        <f>(Sales[[#This Row],[Adjusted Land Total]]-Sales[[#This Row],[24Lnd]])/Sales[[#This Row],[24Lnd]]</f>
        <v>0</v>
      </c>
      <c r="CZ2">
        <f>(Sales[[#This Row],[Adjusted Total]]-Sales[[#This Row],[24Final]])/Sales[[#This Row],[24Final]]</f>
        <v>-2.215995924605196E-2</v>
      </c>
      <c r="DA2" s="10">
        <f>(Sales[[#This Row],[Adjusted Total]]+Sales[[#This Row],[Days Prior Total]])/Sales[[#This Row],[Price]]</f>
        <v>0.98134046557347621</v>
      </c>
    </row>
    <row r="3" spans="1:105">
      <c r="A3">
        <v>2025</v>
      </c>
      <c r="B3">
        <v>19120114467</v>
      </c>
      <c r="C3">
        <v>-1.5606477482646683</v>
      </c>
      <c r="D3">
        <v>0.21</v>
      </c>
      <c r="E3">
        <v>9068</v>
      </c>
      <c r="F3">
        <v>2</v>
      </c>
      <c r="G3" t="s">
        <v>155</v>
      </c>
      <c r="H3">
        <v>317</v>
      </c>
      <c r="I3" t="s">
        <v>5</v>
      </c>
      <c r="J3" t="s">
        <v>156</v>
      </c>
      <c r="K3">
        <v>11</v>
      </c>
      <c r="L3">
        <v>259</v>
      </c>
      <c r="M3" t="s">
        <v>157</v>
      </c>
      <c r="N3" t="s">
        <v>21</v>
      </c>
      <c r="O3" t="s">
        <v>24</v>
      </c>
      <c r="P3">
        <v>2022</v>
      </c>
      <c r="Q3">
        <v>2022</v>
      </c>
      <c r="R3">
        <v>10</v>
      </c>
      <c r="S3">
        <v>2</v>
      </c>
      <c r="T3">
        <v>2</v>
      </c>
      <c r="U3">
        <v>2</v>
      </c>
      <c r="V3">
        <v>918</v>
      </c>
      <c r="W3">
        <v>1296</v>
      </c>
      <c r="X3">
        <v>0</v>
      </c>
      <c r="Y3">
        <v>0</v>
      </c>
      <c r="Z3">
        <v>0</v>
      </c>
      <c r="AA3">
        <v>0</v>
      </c>
      <c r="AB3">
        <v>2214</v>
      </c>
      <c r="AC3">
        <v>2500</v>
      </c>
      <c r="AD3">
        <v>2</v>
      </c>
      <c r="AE3" t="s">
        <v>57</v>
      </c>
      <c r="AF3" t="s">
        <v>158</v>
      </c>
      <c r="AG3" t="s">
        <v>21</v>
      </c>
      <c r="AI3">
        <v>0</v>
      </c>
      <c r="AJ3">
        <v>0</v>
      </c>
      <c r="AK3">
        <v>0</v>
      </c>
      <c r="AL3">
        <v>0</v>
      </c>
      <c r="AM3">
        <v>1</v>
      </c>
      <c r="AN3">
        <v>13</v>
      </c>
      <c r="AO3">
        <v>0</v>
      </c>
      <c r="AP3">
        <v>400</v>
      </c>
      <c r="AQ3">
        <v>0</v>
      </c>
      <c r="AR3">
        <v>0</v>
      </c>
      <c r="AS3">
        <v>192</v>
      </c>
      <c r="AT3">
        <v>0</v>
      </c>
      <c r="AU3">
        <v>100</v>
      </c>
      <c r="AV3">
        <v>100</v>
      </c>
      <c r="AW3">
        <v>401092</v>
      </c>
      <c r="AX3">
        <v>397081</v>
      </c>
      <c r="AY3">
        <v>676</v>
      </c>
      <c r="AZ3">
        <v>365</v>
      </c>
      <c r="BA3">
        <v>311</v>
      </c>
      <c r="BB3">
        <v>0</v>
      </c>
      <c r="BC3" s="2">
        <v>44616</v>
      </c>
      <c r="BD3" t="s">
        <v>162</v>
      </c>
      <c r="BE3">
        <v>456517</v>
      </c>
      <c r="BF3">
        <v>456517</v>
      </c>
      <c r="BG3" t="s">
        <v>160</v>
      </c>
      <c r="BH3">
        <v>30</v>
      </c>
      <c r="BI3" t="s">
        <v>56</v>
      </c>
      <c r="BJ3" t="s">
        <v>161</v>
      </c>
      <c r="BK3">
        <v>431100</v>
      </c>
      <c r="BL3">
        <v>64600</v>
      </c>
      <c r="BM3">
        <v>366500</v>
      </c>
      <c r="BN3">
        <v>0</v>
      </c>
      <c r="BO3">
        <v>421353.81888589216</v>
      </c>
      <c r="BP3">
        <v>438862.19080368167</v>
      </c>
      <c r="BQ3">
        <f>(Sales[[#This Row],[DP1]]*Lookups!$B$61)+(Sales[[#This Row],[DP2]]*Lookups!$B$62)+(Sales[[#This Row],[DP3]]*Lookups!$B$63)</f>
        <v>-17508.370931000001</v>
      </c>
      <c r="BR3">
        <f>Lookups!$B$58*0.6</f>
        <v>132535.48800000001</v>
      </c>
      <c r="BS3">
        <f>Lookups!$B$58*0.4</f>
        <v>88356.992000000013</v>
      </c>
      <c r="BT3">
        <f>Lookups!$B$59*Sales[[#This Row],[LnAcres]]</f>
        <v>-20482.442016152701</v>
      </c>
      <c r="BU3">
        <f>VLOOKUP(Sales[[#This Row],[Qlty]],Lookups!$A$66:$E$79,2,FALSE)</f>
        <v>32917.849192000001</v>
      </c>
      <c r="BV3">
        <f>VLOOKUP(Sales[[#This Row],[Cnd]],Lookups!$A$80:$E$91,2,FALSE)</f>
        <v>47371.278778200001</v>
      </c>
      <c r="BW3">
        <f>Sales[[#This Row],[EffAge]]*Lookups!$B$65</f>
        <v>-217.48220000000001</v>
      </c>
      <c r="BX3">
        <f>Sales[[#This Row],[MainFn]]*Lookups!$B$90</f>
        <v>57292.728840000003</v>
      </c>
      <c r="BY3">
        <f>Sales[[#This Row],[UpprFn]]*Lookups!$B$91</f>
        <v>77216.176368</v>
      </c>
      <c r="BZ3">
        <f>Sales[[#This Row],[Bsmt]]*Lookups!$B$95</f>
        <v>0</v>
      </c>
      <c r="CA3">
        <f>VLOOKUP(Sales[[#This Row],[MsnryTrim]],Lookups!$A$90:$E$99,2,FALSE)</f>
        <v>4112.8784489</v>
      </c>
      <c r="CB3">
        <f>Sales[[#This Row],[PrefabFP]]*Lookups!$B$92</f>
        <v>0</v>
      </c>
      <c r="CC3">
        <f>Sales[[#This Row],[AttGar]]*Lookups!$B$93</f>
        <v>0</v>
      </c>
      <c r="CD3">
        <f>Sales[[#This Row],[BltinGar]]*Lookups!$B$94</f>
        <v>19758.72</v>
      </c>
      <c r="CE3">
        <f>SUM(Sales[[#This Row],[Days Prior Total]:[Mdl BltinGar]])</f>
        <v>421353.8164799473</v>
      </c>
      <c r="CF3">
        <f>ROUND(Sales[[#This Row],[25Det]],-2)</f>
        <v>0</v>
      </c>
      <c r="CG3">
        <f>ROUND(SUM(Sales[[#This Row],[Mdl Qlty]:[Mdl BltinGar]])+Sales[[#This Row],[Mdl Res Intercept]]+Sales[[#This Row],[Days Prior Total]],-2)</f>
        <v>353500</v>
      </c>
      <c r="CH3">
        <f>ROUND(Sales[[#This Row],[Mdl Land Intercept]]+Sales[[#This Row],[Mdl LnAcres]],-2)</f>
        <v>67900</v>
      </c>
      <c r="CI3">
        <f>Sales[[#This Row],[Unadj Res Value]]+Sales[[#This Row],[Unadj Det Value]]+Sales[[#This Row],[Unadj Land Value]]</f>
        <v>421400</v>
      </c>
      <c r="CJ3" s="10">
        <f>Sales[[#This Row],[Price]]/Sales[[#This Row],[Unadj Total Value]]</f>
        <v>1.0833341243474133</v>
      </c>
      <c r="CK3" s="10">
        <f>(Sales[[#This Row],[Unadj Total Value]]-Sales[[#This Row],[24Final]])/Sales[[#This Row],[24Final]]</f>
        <v>-2.2500579911853398E-2</v>
      </c>
      <c r="CL3">
        <f>VLOOKUP(Sales[[#This Row],[TNbhd]],Lookups!$M$3:$P$5,4,FALSE)</f>
        <v>0.99970000000000003</v>
      </c>
      <c r="CM3">
        <f>VLOOKUP(Sales[[#This Row],[Qlty]],Lookups!$M$8:$P$22,4,FALSE)</f>
        <v>1.0019</v>
      </c>
      <c r="CN3">
        <f>VLOOKUP(Sales[[#This Row],[Cnd]],Lookups!$R$8:$U$17,4,FALSE)</f>
        <v>1.0012000000000001</v>
      </c>
      <c r="CO3">
        <f>VLOOKUP(Sales[[#This Row],[LivArea Range]],Lookups!$R$25:$U$43,4,FALSE)</f>
        <v>1.0008999999999999</v>
      </c>
      <c r="CP3">
        <f>VLOOKUP(Sales[[#This Row],[Decade]],Lookups!$M$24:$P$40,4,FALSE)</f>
        <v>1.0024</v>
      </c>
      <c r="CQ3">
        <f>Sales[[#This Row],[Nbhd Adj]]*0.95</f>
        <v>0.94971499999999998</v>
      </c>
      <c r="CR3">
        <f>Sales[[#This Row],[Nbhd Adj]]*Sales[[#This Row],[Quality Adj]]*Sales[[#This Row],[Condition Adj]]*Sales[[#This Row],[Living Area Adj]]*Sales[[#This Row],[Decade Adj]]*0.95</f>
        <v>0.95580712182867422</v>
      </c>
      <c r="CS3">
        <f>ROUND(SUM(Sales[[#This Row],[Mdl Qlty]:[Mdl BltinGar]])+Sales[[#This Row],[Mdl Res Intercept]]*Sales[[#This Row],[Res Adj ]],-2)</f>
        <v>365100</v>
      </c>
      <c r="CT3">
        <f>ROUND(Sales[[#This Row],[25Det]]*Sales[[#This Row],[Det/Nbhd Adj]],-2)</f>
        <v>0</v>
      </c>
      <c r="CU3">
        <f>Sales[[#This Row],[Adjusted Res]]+Sales[[#This Row],[Adj Det ]]</f>
        <v>365100</v>
      </c>
      <c r="CV3">
        <f>ROUND((Sales[[#This Row],[Mdl Land Intercept]]+Sales[[#This Row],[Mdl LnAcres]])*Sales[[#This Row],[Det/Nbhd Adj]],-2)</f>
        <v>64500</v>
      </c>
      <c r="CW3">
        <f>Sales[[#This Row],[Adjusted Impr Total]]+Sales[[#This Row],[Adjusted Land Total]]</f>
        <v>429600</v>
      </c>
      <c r="CX3" s="10">
        <f>IFERROR((Sales[[#This Row],[Adjusted Impr Total]]-Sales[[#This Row],[24Bldg]])/Sales[[#This Row],[24Bldg]],0)</f>
        <v>-3.819918144611187E-3</v>
      </c>
      <c r="CY3" s="10">
        <f>(Sales[[#This Row],[Adjusted Land Total]]-Sales[[#This Row],[24Lnd]])/Sales[[#This Row],[24Lnd]]</f>
        <v>-1.5479876160990713E-3</v>
      </c>
      <c r="CZ3">
        <f>(Sales[[#This Row],[Adjusted Total]]-Sales[[#This Row],[24Final]])/Sales[[#This Row],[24Final]]</f>
        <v>-3.4794711203897009E-3</v>
      </c>
      <c r="DA3" s="10">
        <f>(Sales[[#This Row],[Adjusted Total]]+Sales[[#This Row],[Days Prior Total]])/Sales[[#This Row],[Price]]</f>
        <v>0.90268627251340039</v>
      </c>
    </row>
    <row r="4" spans="1:105">
      <c r="A4">
        <v>2025</v>
      </c>
      <c r="B4">
        <v>19120114468</v>
      </c>
      <c r="C4">
        <v>-1.6607312068216509</v>
      </c>
      <c r="D4">
        <v>0.19</v>
      </c>
      <c r="E4">
        <v>8138</v>
      </c>
      <c r="F4">
        <v>2</v>
      </c>
      <c r="G4" t="s">
        <v>155</v>
      </c>
      <c r="H4">
        <v>317</v>
      </c>
      <c r="I4" t="s">
        <v>5</v>
      </c>
      <c r="J4" t="s">
        <v>156</v>
      </c>
      <c r="K4">
        <v>11</v>
      </c>
      <c r="L4">
        <v>259</v>
      </c>
      <c r="M4" t="s">
        <v>157</v>
      </c>
      <c r="N4" t="s">
        <v>21</v>
      </c>
      <c r="O4" t="s">
        <v>24</v>
      </c>
      <c r="P4">
        <v>2022</v>
      </c>
      <c r="Q4">
        <v>2022</v>
      </c>
      <c r="R4">
        <v>10</v>
      </c>
      <c r="S4">
        <v>2</v>
      </c>
      <c r="T4">
        <v>2</v>
      </c>
      <c r="U4">
        <v>2</v>
      </c>
      <c r="V4">
        <v>1316</v>
      </c>
      <c r="W4">
        <v>1686</v>
      </c>
      <c r="X4">
        <v>0</v>
      </c>
      <c r="Y4">
        <v>0</v>
      </c>
      <c r="Z4">
        <v>0</v>
      </c>
      <c r="AA4">
        <v>0</v>
      </c>
      <c r="AB4">
        <v>3002</v>
      </c>
      <c r="AC4">
        <v>3500</v>
      </c>
      <c r="AD4">
        <v>2</v>
      </c>
      <c r="AE4" t="s">
        <v>56</v>
      </c>
      <c r="AF4" t="s">
        <v>158</v>
      </c>
      <c r="AG4" t="s">
        <v>21</v>
      </c>
      <c r="AI4">
        <v>0</v>
      </c>
      <c r="AJ4">
        <v>0</v>
      </c>
      <c r="AK4">
        <v>0</v>
      </c>
      <c r="AL4">
        <v>0</v>
      </c>
      <c r="AM4">
        <v>0</v>
      </c>
      <c r="AN4">
        <v>14</v>
      </c>
      <c r="AO4">
        <v>0</v>
      </c>
      <c r="AP4">
        <v>460</v>
      </c>
      <c r="AQ4">
        <v>0</v>
      </c>
      <c r="AR4">
        <v>0</v>
      </c>
      <c r="AS4">
        <v>0</v>
      </c>
      <c r="AT4">
        <v>0</v>
      </c>
      <c r="AU4">
        <v>100</v>
      </c>
      <c r="AV4">
        <v>100</v>
      </c>
      <c r="AW4">
        <v>509466</v>
      </c>
      <c r="AX4">
        <v>504371</v>
      </c>
      <c r="AY4">
        <v>682</v>
      </c>
      <c r="AZ4">
        <v>365</v>
      </c>
      <c r="BA4">
        <v>317</v>
      </c>
      <c r="BB4">
        <v>0</v>
      </c>
      <c r="BC4" s="2">
        <v>44610</v>
      </c>
      <c r="BD4" t="s">
        <v>163</v>
      </c>
      <c r="BE4">
        <v>496129</v>
      </c>
      <c r="BF4">
        <v>496129</v>
      </c>
      <c r="BG4" t="s">
        <v>160</v>
      </c>
      <c r="BH4">
        <v>30</v>
      </c>
      <c r="BI4" t="s">
        <v>56</v>
      </c>
      <c r="BJ4" t="s">
        <v>161</v>
      </c>
      <c r="BK4">
        <v>480200</v>
      </c>
      <c r="BL4">
        <v>63200</v>
      </c>
      <c r="BM4">
        <v>417000</v>
      </c>
      <c r="BN4">
        <v>0</v>
      </c>
      <c r="BO4">
        <v>457149.53756576864</v>
      </c>
      <c r="BP4">
        <v>475062.57080283313</v>
      </c>
      <c r="BQ4">
        <f>(Sales[[#This Row],[DP1]]*Lookups!$B$61)+(Sales[[#This Row],[DP2]]*Lookups!$B$62)+(Sales[[#This Row],[DP3]]*Lookups!$B$63)</f>
        <v>-17913.032231000001</v>
      </c>
      <c r="BR4">
        <f>Lookups!$B$58*0.6</f>
        <v>132535.48800000001</v>
      </c>
      <c r="BS4">
        <f>Lookups!$B$58*0.4</f>
        <v>88356.992000000013</v>
      </c>
      <c r="BT4">
        <f>Lookups!$B$59*Sales[[#This Row],[LnAcres]]</f>
        <v>-21795.969453044734</v>
      </c>
      <c r="BU4">
        <f>VLOOKUP(Sales[[#This Row],[Qlty]],Lookups!$A$66:$E$79,2,FALSE)</f>
        <v>32917.849192000001</v>
      </c>
      <c r="BV4">
        <f>VLOOKUP(Sales[[#This Row],[Cnd]],Lookups!$A$80:$E$91,2,FALSE)</f>
        <v>47371.278778200001</v>
      </c>
      <c r="BW4">
        <f>Sales[[#This Row],[EffAge]]*Lookups!$B$65</f>
        <v>-217.48220000000001</v>
      </c>
      <c r="BX4">
        <f>Sales[[#This Row],[MainFn]]*Lookups!$B$90</f>
        <v>82132.06008000001</v>
      </c>
      <c r="BY4">
        <f>Sales[[#This Row],[UpprFn]]*Lookups!$B$91</f>
        <v>100452.525738</v>
      </c>
      <c r="BZ4">
        <f>Sales[[#This Row],[Bsmt]]*Lookups!$B$95</f>
        <v>0</v>
      </c>
      <c r="CA4">
        <f>VLOOKUP(Sales[[#This Row],[MsnryTrim]],Lookups!$A$90:$E$99,2,FALSE)</f>
        <v>-9412.7029999999995</v>
      </c>
      <c r="CB4">
        <f>Sales[[#This Row],[PrefabFP]]*Lookups!$B$92</f>
        <v>0</v>
      </c>
      <c r="CC4">
        <f>Sales[[#This Row],[AttGar]]*Lookups!$B$93</f>
        <v>0</v>
      </c>
      <c r="CD4">
        <f>Sales[[#This Row],[BltinGar]]*Lookups!$B$94</f>
        <v>22722.527999999998</v>
      </c>
      <c r="CE4">
        <f>SUM(Sales[[#This Row],[Days Prior Total]:[Mdl BltinGar]])</f>
        <v>457149.5349041553</v>
      </c>
      <c r="CF4">
        <f>ROUND(Sales[[#This Row],[25Det]],-2)</f>
        <v>0</v>
      </c>
      <c r="CG4">
        <f>ROUND(SUM(Sales[[#This Row],[Mdl Qlty]:[Mdl BltinGar]])+Sales[[#This Row],[Mdl Res Intercept]]+Sales[[#This Row],[Days Prior Total]],-2)</f>
        <v>390600</v>
      </c>
      <c r="CH4">
        <f>ROUND(Sales[[#This Row],[Mdl Land Intercept]]+Sales[[#This Row],[Mdl LnAcres]],-2)</f>
        <v>66600</v>
      </c>
      <c r="CI4">
        <f>Sales[[#This Row],[Unadj Res Value]]+Sales[[#This Row],[Unadj Det Value]]+Sales[[#This Row],[Unadj Land Value]]</f>
        <v>457200</v>
      </c>
      <c r="CJ4" s="10">
        <f>Sales[[#This Row],[Price]]/Sales[[#This Row],[Unadj Total Value]]</f>
        <v>1.0851465441819772</v>
      </c>
      <c r="CK4" s="10">
        <f>(Sales[[#This Row],[Unadj Total Value]]-Sales[[#This Row],[24Final]])/Sales[[#This Row],[24Final]]</f>
        <v>-4.7896709704289879E-2</v>
      </c>
      <c r="CL4">
        <f>VLOOKUP(Sales[[#This Row],[TNbhd]],Lookups!$M$3:$P$5,4,FALSE)</f>
        <v>0.99970000000000003</v>
      </c>
      <c r="CM4">
        <f>VLOOKUP(Sales[[#This Row],[Qlty]],Lookups!$M$8:$P$22,4,FALSE)</f>
        <v>1.0019</v>
      </c>
      <c r="CN4">
        <f>VLOOKUP(Sales[[#This Row],[Cnd]],Lookups!$R$8:$U$17,4,FALSE)</f>
        <v>1.0012000000000001</v>
      </c>
      <c r="CO4">
        <f>VLOOKUP(Sales[[#This Row],[LivArea Range]],Lookups!$R$25:$U$43,4,FALSE)</f>
        <v>0.98509999999999998</v>
      </c>
      <c r="CP4">
        <f>VLOOKUP(Sales[[#This Row],[Decade]],Lookups!$M$24:$P$40,4,FALSE)</f>
        <v>1.0024</v>
      </c>
      <c r="CQ4">
        <f>Sales[[#This Row],[Nbhd Adj]]*0.95</f>
        <v>0.94971499999999998</v>
      </c>
      <c r="CR4">
        <f>Sales[[#This Row],[Nbhd Adj]]*Sales[[#This Row],[Quality Adj]]*Sales[[#This Row],[Condition Adj]]*Sales[[#This Row],[Living Area Adj]]*Sales[[#This Row],[Decade Adj]]*0.95</f>
        <v>0.94071894865963335</v>
      </c>
      <c r="CS4">
        <f>ROUND(SUM(Sales[[#This Row],[Mdl Qlty]:[Mdl BltinGar]])+Sales[[#This Row],[Mdl Res Intercept]]*Sales[[#This Row],[Res Adj ]],-2)</f>
        <v>400600</v>
      </c>
      <c r="CT4">
        <f>ROUND(Sales[[#This Row],[25Det]]*Sales[[#This Row],[Det/Nbhd Adj]],-2)</f>
        <v>0</v>
      </c>
      <c r="CU4">
        <f>Sales[[#This Row],[Adjusted Res]]+Sales[[#This Row],[Adj Det ]]</f>
        <v>400600</v>
      </c>
      <c r="CV4">
        <f>ROUND((Sales[[#This Row],[Mdl Land Intercept]]+Sales[[#This Row],[Mdl LnAcres]])*Sales[[#This Row],[Det/Nbhd Adj]],-2)</f>
        <v>63200</v>
      </c>
      <c r="CW4">
        <f>Sales[[#This Row],[Adjusted Impr Total]]+Sales[[#This Row],[Adjusted Land Total]]</f>
        <v>463800</v>
      </c>
      <c r="CX4" s="10">
        <f>IFERROR((Sales[[#This Row],[Adjusted Impr Total]]-Sales[[#This Row],[24Bldg]])/Sales[[#This Row],[24Bldg]],0)</f>
        <v>-3.9328537170263786E-2</v>
      </c>
      <c r="CY4" s="10">
        <f>(Sales[[#This Row],[Adjusted Land Total]]-Sales[[#This Row],[24Lnd]])/Sales[[#This Row],[24Lnd]]</f>
        <v>0</v>
      </c>
      <c r="CZ4">
        <f>(Sales[[#This Row],[Adjusted Total]]-Sales[[#This Row],[24Final]])/Sales[[#This Row],[24Final]]</f>
        <v>-3.4152436484798002E-2</v>
      </c>
      <c r="DA4" s="10">
        <f>(Sales[[#This Row],[Adjusted Total]]+Sales[[#This Row],[Days Prior Total]])/Sales[[#This Row],[Price]]</f>
        <v>0.89873191804752384</v>
      </c>
    </row>
    <row r="5" spans="1:105">
      <c r="A5">
        <v>2025</v>
      </c>
      <c r="B5">
        <v>19120114470</v>
      </c>
      <c r="C5">
        <v>-1.6607312068216509</v>
      </c>
      <c r="D5">
        <v>0.19</v>
      </c>
      <c r="E5">
        <v>8387</v>
      </c>
      <c r="F5">
        <v>2</v>
      </c>
      <c r="G5" t="s">
        <v>155</v>
      </c>
      <c r="H5">
        <v>317</v>
      </c>
      <c r="I5" t="s">
        <v>5</v>
      </c>
      <c r="J5" t="s">
        <v>156</v>
      </c>
      <c r="K5">
        <v>11</v>
      </c>
      <c r="L5">
        <v>259</v>
      </c>
      <c r="M5" t="s">
        <v>157</v>
      </c>
      <c r="N5" t="s">
        <v>19</v>
      </c>
      <c r="O5" t="s">
        <v>24</v>
      </c>
      <c r="P5">
        <v>2022</v>
      </c>
      <c r="Q5">
        <v>2022</v>
      </c>
      <c r="R5">
        <v>10</v>
      </c>
      <c r="S5">
        <v>2</v>
      </c>
      <c r="T5">
        <v>2</v>
      </c>
      <c r="U5">
        <v>1</v>
      </c>
      <c r="V5">
        <v>1580</v>
      </c>
      <c r="W5">
        <v>0</v>
      </c>
      <c r="X5">
        <v>0</v>
      </c>
      <c r="Y5">
        <v>0</v>
      </c>
      <c r="Z5">
        <v>0</v>
      </c>
      <c r="AA5">
        <v>0</v>
      </c>
      <c r="AB5">
        <v>1580</v>
      </c>
      <c r="AC5">
        <v>2000</v>
      </c>
      <c r="AD5">
        <v>3</v>
      </c>
      <c r="AE5" t="s">
        <v>56</v>
      </c>
      <c r="AF5" t="s">
        <v>158</v>
      </c>
      <c r="AG5" t="s">
        <v>21</v>
      </c>
      <c r="AI5">
        <v>0</v>
      </c>
      <c r="AJ5">
        <v>0</v>
      </c>
      <c r="AK5">
        <v>1</v>
      </c>
      <c r="AL5">
        <v>0</v>
      </c>
      <c r="AM5">
        <v>0</v>
      </c>
      <c r="AN5">
        <v>10</v>
      </c>
      <c r="AO5">
        <v>598</v>
      </c>
      <c r="AP5">
        <v>0</v>
      </c>
      <c r="AQ5">
        <v>0</v>
      </c>
      <c r="AR5">
        <v>0</v>
      </c>
      <c r="AS5">
        <v>100</v>
      </c>
      <c r="AT5">
        <v>0</v>
      </c>
      <c r="AU5">
        <v>100</v>
      </c>
      <c r="AV5">
        <v>100</v>
      </c>
      <c r="AW5">
        <v>292296</v>
      </c>
      <c r="AX5">
        <v>289373</v>
      </c>
      <c r="AY5">
        <v>619</v>
      </c>
      <c r="AZ5">
        <v>365</v>
      </c>
      <c r="BA5">
        <v>254</v>
      </c>
      <c r="BB5">
        <v>0</v>
      </c>
      <c r="BC5" s="2">
        <v>44673</v>
      </c>
      <c r="BD5" t="s">
        <v>164</v>
      </c>
      <c r="BE5">
        <v>409043</v>
      </c>
      <c r="BF5">
        <v>409043</v>
      </c>
      <c r="BG5" t="s">
        <v>160</v>
      </c>
      <c r="BH5">
        <v>30</v>
      </c>
      <c r="BI5" t="s">
        <v>56</v>
      </c>
      <c r="BJ5" t="s">
        <v>161</v>
      </c>
      <c r="BK5">
        <v>397900</v>
      </c>
      <c r="BL5">
        <v>63200</v>
      </c>
      <c r="BM5">
        <v>334700</v>
      </c>
      <c r="BN5">
        <v>0</v>
      </c>
      <c r="BO5">
        <v>389853.29265351791</v>
      </c>
      <c r="BP5">
        <v>403517.38203819504</v>
      </c>
      <c r="BQ5">
        <f>(Sales[[#This Row],[DP1]]*Lookups!$B$61)+(Sales[[#This Row],[DP2]]*Lookups!$B$62)+(Sales[[#This Row],[DP3]]*Lookups!$B$63)</f>
        <v>-13664.088581</v>
      </c>
      <c r="BR5">
        <f>Lookups!$B$58*0.6</f>
        <v>132535.48800000001</v>
      </c>
      <c r="BS5">
        <f>Lookups!$B$58*0.4</f>
        <v>88356.992000000013</v>
      </c>
      <c r="BT5">
        <f>Lookups!$B$59*Sales[[#This Row],[LnAcres]]</f>
        <v>-21795.969453044734</v>
      </c>
      <c r="BU5">
        <f>VLOOKUP(Sales[[#This Row],[Qlty]],Lookups!$A$66:$E$79,2,FALSE)</f>
        <v>37154.252388000001</v>
      </c>
      <c r="BV5">
        <f>VLOOKUP(Sales[[#This Row],[Cnd]],Lookups!$A$80:$E$91,2,FALSE)</f>
        <v>47371.278778200001</v>
      </c>
      <c r="BW5">
        <f>Sales[[#This Row],[EffAge]]*Lookups!$B$65</f>
        <v>-217.48220000000001</v>
      </c>
      <c r="BX5">
        <f>Sales[[#This Row],[MainFn]]*Lookups!$B$90</f>
        <v>98608.400399999999</v>
      </c>
      <c r="BY5">
        <f>Sales[[#This Row],[UpprFn]]*Lookups!$B$91</f>
        <v>0</v>
      </c>
      <c r="BZ5">
        <f>Sales[[#This Row],[Bsmt]]*Lookups!$B$95</f>
        <v>0</v>
      </c>
      <c r="CA5">
        <f>VLOOKUP(Sales[[#This Row],[MsnryTrim]],Lookups!$A$90:$E$99,2,FALSE)</f>
        <v>-9412.7029999999995</v>
      </c>
      <c r="CB5">
        <f>Sales[[#This Row],[PrefabFP]]*Lookups!$B$92</f>
        <v>9807.1044999999995</v>
      </c>
      <c r="CC5">
        <f>Sales[[#This Row],[AttGar]]*Lookups!$B$93</f>
        <v>21110.016538</v>
      </c>
      <c r="CD5">
        <f>Sales[[#This Row],[BltinGar]]*Lookups!$B$94</f>
        <v>0</v>
      </c>
      <c r="CE5">
        <f>SUM(Sales[[#This Row],[Days Prior Total]:[Mdl BltinGar]])</f>
        <v>389853.28937015531</v>
      </c>
      <c r="CF5">
        <f>ROUND(Sales[[#This Row],[25Det]],-2)</f>
        <v>0</v>
      </c>
      <c r="CG5">
        <f>ROUND(SUM(Sales[[#This Row],[Mdl Qlty]:[Mdl BltinGar]])+Sales[[#This Row],[Mdl Res Intercept]]+Sales[[#This Row],[Days Prior Total]],-2)</f>
        <v>323300</v>
      </c>
      <c r="CH5">
        <f>ROUND(Sales[[#This Row],[Mdl Land Intercept]]+Sales[[#This Row],[Mdl LnAcres]],-2)</f>
        <v>66600</v>
      </c>
      <c r="CI5">
        <f>Sales[[#This Row],[Unadj Res Value]]+Sales[[#This Row],[Unadj Det Value]]+Sales[[#This Row],[Unadj Land Value]]</f>
        <v>389900</v>
      </c>
      <c r="CJ5" s="10">
        <f>Sales[[#This Row],[Price]]/Sales[[#This Row],[Unadj Total Value]]</f>
        <v>1.0490972044113875</v>
      </c>
      <c r="CK5" s="10">
        <f>(Sales[[#This Row],[Unadj Total Value]]-Sales[[#This Row],[24Final]])/Sales[[#This Row],[24Final]]</f>
        <v>-2.0105554159336517E-2</v>
      </c>
      <c r="CL5">
        <f>VLOOKUP(Sales[[#This Row],[TNbhd]],Lookups!$M$3:$P$5,4,FALSE)</f>
        <v>0.99970000000000003</v>
      </c>
      <c r="CM5">
        <f>VLOOKUP(Sales[[#This Row],[Qlty]],Lookups!$M$8:$P$22,4,FALSE)</f>
        <v>0.99819999999999998</v>
      </c>
      <c r="CN5">
        <f>VLOOKUP(Sales[[#This Row],[Cnd]],Lookups!$R$8:$U$17,4,FALSE)</f>
        <v>1.0012000000000001</v>
      </c>
      <c r="CO5">
        <f>VLOOKUP(Sales[[#This Row],[LivArea Range]],Lookups!$R$25:$U$43,4,FALSE)</f>
        <v>1.0007999999999999</v>
      </c>
      <c r="CP5">
        <f>VLOOKUP(Sales[[#This Row],[Decade]],Lookups!$M$24:$P$40,4,FALSE)</f>
        <v>1.0024</v>
      </c>
      <c r="CQ5">
        <f>Sales[[#This Row],[Nbhd Adj]]*0.95</f>
        <v>0.94971499999999998</v>
      </c>
      <c r="CR5">
        <f>Sales[[#This Row],[Nbhd Adj]]*Sales[[#This Row],[Quality Adj]]*Sales[[#This Row],[Condition Adj]]*Sales[[#This Row],[Living Area Adj]]*Sales[[#This Row],[Decade Adj]]*0.95</f>
        <v>0.95218219995315945</v>
      </c>
      <c r="CS5">
        <f>ROUND(SUM(Sales[[#This Row],[Mdl Qlty]:[Mdl BltinGar]])+Sales[[#This Row],[Mdl Res Intercept]]*Sales[[#This Row],[Res Adj ]],-2)</f>
        <v>330600</v>
      </c>
      <c r="CT5">
        <f>ROUND(Sales[[#This Row],[25Det]]*Sales[[#This Row],[Det/Nbhd Adj]],-2)</f>
        <v>0</v>
      </c>
      <c r="CU5">
        <f>Sales[[#This Row],[Adjusted Res]]+Sales[[#This Row],[Adj Det ]]</f>
        <v>330600</v>
      </c>
      <c r="CV5">
        <f>ROUND((Sales[[#This Row],[Mdl Land Intercept]]+Sales[[#This Row],[Mdl LnAcres]])*Sales[[#This Row],[Det/Nbhd Adj]],-2)</f>
        <v>63200</v>
      </c>
      <c r="CW5">
        <f>Sales[[#This Row],[Adjusted Impr Total]]+Sales[[#This Row],[Adjusted Land Total]]</f>
        <v>393800</v>
      </c>
      <c r="CX5" s="10">
        <f>IFERROR((Sales[[#This Row],[Adjusted Impr Total]]-Sales[[#This Row],[24Bldg]])/Sales[[#This Row],[24Bldg]],0)</f>
        <v>-1.2249775918733195E-2</v>
      </c>
      <c r="CY5" s="10">
        <f>(Sales[[#This Row],[Adjusted Land Total]]-Sales[[#This Row],[24Lnd]])/Sales[[#This Row],[24Lnd]]</f>
        <v>0</v>
      </c>
      <c r="CZ5">
        <f>(Sales[[#This Row],[Adjusted Total]]-Sales[[#This Row],[24Final]])/Sales[[#This Row],[24Final]]</f>
        <v>-1.0304096506659964E-2</v>
      </c>
      <c r="DA5" s="10">
        <f>(Sales[[#This Row],[Adjusted Total]]+Sales[[#This Row],[Days Prior Total]])/Sales[[#This Row],[Price]]</f>
        <v>0.92932995166522836</v>
      </c>
    </row>
    <row r="6" spans="1:105">
      <c r="A6">
        <v>2025</v>
      </c>
      <c r="B6">
        <v>19120114471</v>
      </c>
      <c r="C6">
        <v>-1.8325814637483102</v>
      </c>
      <c r="D6">
        <v>0.16</v>
      </c>
      <c r="E6">
        <v>7004</v>
      </c>
      <c r="F6">
        <v>2</v>
      </c>
      <c r="G6" t="s">
        <v>155</v>
      </c>
      <c r="H6">
        <v>317</v>
      </c>
      <c r="I6" t="s">
        <v>5</v>
      </c>
      <c r="J6" t="s">
        <v>156</v>
      </c>
      <c r="K6">
        <v>11</v>
      </c>
      <c r="L6">
        <v>259</v>
      </c>
      <c r="M6" t="s">
        <v>157</v>
      </c>
      <c r="N6" t="s">
        <v>19</v>
      </c>
      <c r="O6" t="s">
        <v>24</v>
      </c>
      <c r="P6">
        <v>2022</v>
      </c>
      <c r="Q6">
        <v>2022</v>
      </c>
      <c r="R6">
        <v>10</v>
      </c>
      <c r="S6">
        <v>2</v>
      </c>
      <c r="T6">
        <v>2</v>
      </c>
      <c r="U6">
        <v>1</v>
      </c>
      <c r="V6">
        <v>1580</v>
      </c>
      <c r="W6">
        <v>0</v>
      </c>
      <c r="X6">
        <v>0</v>
      </c>
      <c r="Y6">
        <v>0</v>
      </c>
      <c r="Z6">
        <v>0</v>
      </c>
      <c r="AA6">
        <v>0</v>
      </c>
      <c r="AB6">
        <v>1580</v>
      </c>
      <c r="AC6">
        <v>2000</v>
      </c>
      <c r="AD6">
        <v>2</v>
      </c>
      <c r="AE6" t="s">
        <v>56</v>
      </c>
      <c r="AF6" t="s">
        <v>158</v>
      </c>
      <c r="AG6" t="s">
        <v>21</v>
      </c>
      <c r="AI6">
        <v>0</v>
      </c>
      <c r="AJ6">
        <v>0</v>
      </c>
      <c r="AK6">
        <v>0</v>
      </c>
      <c r="AL6">
        <v>1</v>
      </c>
      <c r="AM6">
        <v>0</v>
      </c>
      <c r="AN6">
        <v>9</v>
      </c>
      <c r="AO6">
        <v>480</v>
      </c>
      <c r="AP6">
        <v>0</v>
      </c>
      <c r="AQ6">
        <v>0</v>
      </c>
      <c r="AR6">
        <v>0</v>
      </c>
      <c r="AS6">
        <v>100</v>
      </c>
      <c r="AT6">
        <v>0</v>
      </c>
      <c r="AU6">
        <v>100</v>
      </c>
      <c r="AV6">
        <v>100</v>
      </c>
      <c r="AW6">
        <v>279034</v>
      </c>
      <c r="AX6">
        <v>276244</v>
      </c>
      <c r="AY6">
        <v>686</v>
      </c>
      <c r="AZ6">
        <v>365</v>
      </c>
      <c r="BA6">
        <v>321</v>
      </c>
      <c r="BB6">
        <v>0</v>
      </c>
      <c r="BC6" s="2">
        <v>44606</v>
      </c>
      <c r="BD6" t="s">
        <v>165</v>
      </c>
      <c r="BE6">
        <v>386449</v>
      </c>
      <c r="BF6">
        <v>386449</v>
      </c>
      <c r="BG6" t="s">
        <v>160</v>
      </c>
      <c r="BH6">
        <v>30</v>
      </c>
      <c r="BI6" t="s">
        <v>56</v>
      </c>
      <c r="BJ6" t="s">
        <v>161</v>
      </c>
      <c r="BK6">
        <v>385000</v>
      </c>
      <c r="BL6">
        <v>60800</v>
      </c>
      <c r="BM6">
        <v>324200</v>
      </c>
      <c r="BN6">
        <v>0</v>
      </c>
      <c r="BO6">
        <v>369106.53054105514</v>
      </c>
      <c r="BP6">
        <v>387289.33799096954</v>
      </c>
      <c r="BQ6">
        <f>(Sales[[#This Row],[DP1]]*Lookups!$B$61)+(Sales[[#This Row],[DP2]]*Lookups!$B$62)+(Sales[[#This Row],[DP3]]*Lookups!$B$63)</f>
        <v>-18182.806431000001</v>
      </c>
      <c r="BR6">
        <f>Lookups!$B$58*0.6</f>
        <v>132535.48800000001</v>
      </c>
      <c r="BS6">
        <f>Lookups!$B$58*0.4</f>
        <v>88356.992000000013</v>
      </c>
      <c r="BT6">
        <f>Lookups!$B$59*Sales[[#This Row],[LnAcres]]</f>
        <v>-24051.387388882686</v>
      </c>
      <c r="BU6">
        <f>VLOOKUP(Sales[[#This Row],[Qlty]],Lookups!$A$66:$E$79,2,FALSE)</f>
        <v>37154.252388000001</v>
      </c>
      <c r="BV6">
        <f>VLOOKUP(Sales[[#This Row],[Cnd]],Lookups!$A$80:$E$91,2,FALSE)</f>
        <v>47371.278778200001</v>
      </c>
      <c r="BW6">
        <f>Sales[[#This Row],[EffAge]]*Lookups!$B$65</f>
        <v>-217.48220000000001</v>
      </c>
      <c r="BX6">
        <f>Sales[[#This Row],[MainFn]]*Lookups!$B$90</f>
        <v>98608.400399999999</v>
      </c>
      <c r="BY6">
        <f>Sales[[#This Row],[UpprFn]]*Lookups!$B$91</f>
        <v>0</v>
      </c>
      <c r="BZ6">
        <f>Sales[[#This Row],[Bsmt]]*Lookups!$B$95</f>
        <v>0</v>
      </c>
      <c r="CA6">
        <f>VLOOKUP(Sales[[#This Row],[MsnryTrim]],Lookups!$A$90:$E$99,2,FALSE)</f>
        <v>-9412.7029999999995</v>
      </c>
      <c r="CB6">
        <f>Sales[[#This Row],[PrefabFP]]*Lookups!$B$92</f>
        <v>0</v>
      </c>
      <c r="CC6">
        <f>Sales[[#This Row],[AttGar]]*Lookups!$B$93</f>
        <v>16944.494880000002</v>
      </c>
      <c r="CD6">
        <f>Sales[[#This Row],[BltinGar]]*Lookups!$B$94</f>
        <v>0</v>
      </c>
      <c r="CE6">
        <f>SUM(Sales[[#This Row],[Days Prior Total]:[Mdl BltinGar]])</f>
        <v>369106.52742631733</v>
      </c>
      <c r="CF6">
        <f>ROUND(Sales[[#This Row],[25Det]],-2)</f>
        <v>0</v>
      </c>
      <c r="CG6">
        <f>ROUND(SUM(Sales[[#This Row],[Mdl Qlty]:[Mdl BltinGar]])+Sales[[#This Row],[Mdl Res Intercept]]+Sales[[#This Row],[Days Prior Total]],-2)</f>
        <v>304800</v>
      </c>
      <c r="CH6">
        <f>ROUND(Sales[[#This Row],[Mdl Land Intercept]]+Sales[[#This Row],[Mdl LnAcres]],-2)</f>
        <v>64300</v>
      </c>
      <c r="CI6">
        <f>Sales[[#This Row],[Unadj Res Value]]+Sales[[#This Row],[Unadj Det Value]]+Sales[[#This Row],[Unadj Land Value]]</f>
        <v>369100</v>
      </c>
      <c r="CJ6" s="10">
        <f>Sales[[#This Row],[Price]]/Sales[[#This Row],[Unadj Total Value]]</f>
        <v>1.047003522080737</v>
      </c>
      <c r="CK6" s="10">
        <f>(Sales[[#This Row],[Unadj Total Value]]-Sales[[#This Row],[24Final]])/Sales[[#This Row],[24Final]]</f>
        <v>-4.12987012987013E-2</v>
      </c>
      <c r="CL6">
        <f>VLOOKUP(Sales[[#This Row],[TNbhd]],Lookups!$M$3:$P$5,4,FALSE)</f>
        <v>0.99970000000000003</v>
      </c>
      <c r="CM6">
        <f>VLOOKUP(Sales[[#This Row],[Qlty]],Lookups!$M$8:$P$22,4,FALSE)</f>
        <v>0.99819999999999998</v>
      </c>
      <c r="CN6">
        <f>VLOOKUP(Sales[[#This Row],[Cnd]],Lookups!$R$8:$U$17,4,FALSE)</f>
        <v>1.0012000000000001</v>
      </c>
      <c r="CO6">
        <f>VLOOKUP(Sales[[#This Row],[LivArea Range]],Lookups!$R$25:$U$43,4,FALSE)</f>
        <v>1.0007999999999999</v>
      </c>
      <c r="CP6">
        <f>VLOOKUP(Sales[[#This Row],[Decade]],Lookups!$M$24:$P$40,4,FALSE)</f>
        <v>1.0024</v>
      </c>
      <c r="CQ6">
        <f>Sales[[#This Row],[Nbhd Adj]]*0.95</f>
        <v>0.94971499999999998</v>
      </c>
      <c r="CR6">
        <f>Sales[[#This Row],[Nbhd Adj]]*Sales[[#This Row],[Quality Adj]]*Sales[[#This Row],[Condition Adj]]*Sales[[#This Row],[Living Area Adj]]*Sales[[#This Row],[Decade Adj]]*0.95</f>
        <v>0.95218219995315945</v>
      </c>
      <c r="CS6">
        <f>ROUND(SUM(Sales[[#This Row],[Mdl Qlty]:[Mdl BltinGar]])+Sales[[#This Row],[Mdl Res Intercept]]*Sales[[#This Row],[Res Adj ]],-2)</f>
        <v>316600</v>
      </c>
      <c r="CT6">
        <f>ROUND(Sales[[#This Row],[25Det]]*Sales[[#This Row],[Det/Nbhd Adj]],-2)</f>
        <v>0</v>
      </c>
      <c r="CU6">
        <f>Sales[[#This Row],[Adjusted Res]]+Sales[[#This Row],[Adj Det ]]</f>
        <v>316600</v>
      </c>
      <c r="CV6">
        <f>ROUND((Sales[[#This Row],[Mdl Land Intercept]]+Sales[[#This Row],[Mdl LnAcres]])*Sales[[#This Row],[Det/Nbhd Adj]],-2)</f>
        <v>61100</v>
      </c>
      <c r="CW6">
        <f>Sales[[#This Row],[Adjusted Impr Total]]+Sales[[#This Row],[Adjusted Land Total]]</f>
        <v>377700</v>
      </c>
      <c r="CX6" s="10">
        <f>IFERROR((Sales[[#This Row],[Adjusted Impr Total]]-Sales[[#This Row],[24Bldg]])/Sales[[#This Row],[24Bldg]],0)</f>
        <v>-2.3442319555829736E-2</v>
      </c>
      <c r="CY6" s="10">
        <f>(Sales[[#This Row],[Adjusted Land Total]]-Sales[[#This Row],[24Lnd]])/Sales[[#This Row],[24Lnd]]</f>
        <v>4.9342105263157892E-3</v>
      </c>
      <c r="CZ6">
        <f>(Sales[[#This Row],[Adjusted Total]]-Sales[[#This Row],[24Final]])/Sales[[#This Row],[24Final]]</f>
        <v>-1.896103896103896E-2</v>
      </c>
      <c r="DA6" s="10">
        <f>(Sales[[#This Row],[Adjusted Total]]+Sales[[#This Row],[Days Prior Total]])/Sales[[#This Row],[Price]]</f>
        <v>0.93030954555193568</v>
      </c>
    </row>
    <row r="7" spans="1:105">
      <c r="A7">
        <v>2025</v>
      </c>
      <c r="B7">
        <v>19120114472</v>
      </c>
      <c r="C7">
        <v>-1.8325814637483102</v>
      </c>
      <c r="D7">
        <v>0.16</v>
      </c>
      <c r="E7">
        <v>7001</v>
      </c>
      <c r="F7">
        <v>2</v>
      </c>
      <c r="G7" t="s">
        <v>155</v>
      </c>
      <c r="H7">
        <v>317</v>
      </c>
      <c r="I7" t="s">
        <v>5</v>
      </c>
      <c r="J7" t="s">
        <v>156</v>
      </c>
      <c r="K7">
        <v>11</v>
      </c>
      <c r="L7">
        <v>259</v>
      </c>
      <c r="M7" t="s">
        <v>157</v>
      </c>
      <c r="N7" t="s">
        <v>19</v>
      </c>
      <c r="O7" t="s">
        <v>24</v>
      </c>
      <c r="P7">
        <v>2022</v>
      </c>
      <c r="Q7">
        <v>2022</v>
      </c>
      <c r="R7">
        <v>10</v>
      </c>
      <c r="S7">
        <v>2</v>
      </c>
      <c r="T7">
        <v>2</v>
      </c>
      <c r="U7">
        <v>1</v>
      </c>
      <c r="V7">
        <v>1452</v>
      </c>
      <c r="W7">
        <v>0</v>
      </c>
      <c r="X7">
        <v>0</v>
      </c>
      <c r="Y7">
        <v>0</v>
      </c>
      <c r="Z7">
        <v>0</v>
      </c>
      <c r="AA7">
        <v>0</v>
      </c>
      <c r="AB7">
        <v>1452</v>
      </c>
      <c r="AC7">
        <v>1500</v>
      </c>
      <c r="AD7">
        <v>3</v>
      </c>
      <c r="AE7" t="s">
        <v>56</v>
      </c>
      <c r="AF7" t="s">
        <v>158</v>
      </c>
      <c r="AG7" t="s">
        <v>21</v>
      </c>
      <c r="AI7">
        <v>0</v>
      </c>
      <c r="AJ7">
        <v>0</v>
      </c>
      <c r="AK7">
        <v>0</v>
      </c>
      <c r="AL7">
        <v>1</v>
      </c>
      <c r="AM7">
        <v>0</v>
      </c>
      <c r="AN7">
        <v>9</v>
      </c>
      <c r="AO7">
        <v>616</v>
      </c>
      <c r="AP7">
        <v>0</v>
      </c>
      <c r="AQ7">
        <v>0</v>
      </c>
      <c r="AR7">
        <v>0</v>
      </c>
      <c r="AS7">
        <v>100</v>
      </c>
      <c r="AT7">
        <v>0</v>
      </c>
      <c r="AU7">
        <v>100</v>
      </c>
      <c r="AV7">
        <v>100</v>
      </c>
      <c r="AW7">
        <v>265015</v>
      </c>
      <c r="AX7">
        <v>262365</v>
      </c>
      <c r="AY7">
        <v>637</v>
      </c>
      <c r="AZ7">
        <v>365</v>
      </c>
      <c r="BA7">
        <v>272</v>
      </c>
      <c r="BB7">
        <v>0</v>
      </c>
      <c r="BC7" s="2">
        <v>44655</v>
      </c>
      <c r="BD7" t="s">
        <v>166</v>
      </c>
      <c r="BE7">
        <v>382464</v>
      </c>
      <c r="BF7">
        <v>382464</v>
      </c>
      <c r="BG7" t="s">
        <v>160</v>
      </c>
      <c r="BH7">
        <v>30</v>
      </c>
      <c r="BI7" t="s">
        <v>56</v>
      </c>
      <c r="BJ7" t="s">
        <v>161</v>
      </c>
      <c r="BK7">
        <v>382600</v>
      </c>
      <c r="BL7">
        <v>60800</v>
      </c>
      <c r="BM7">
        <v>321800</v>
      </c>
      <c r="BN7">
        <v>0</v>
      </c>
      <c r="BO7">
        <v>369223.67617223185</v>
      </c>
      <c r="BP7">
        <v>384101.74951473397</v>
      </c>
      <c r="BQ7">
        <f>(Sales[[#This Row],[DP1]]*Lookups!$B$61)+(Sales[[#This Row],[DP2]]*Lookups!$B$62)+(Sales[[#This Row],[DP3]]*Lookups!$B$63)</f>
        <v>-14878.072480999999</v>
      </c>
      <c r="BR7">
        <f>Lookups!$B$58*0.6</f>
        <v>132535.48800000001</v>
      </c>
      <c r="BS7">
        <f>Lookups!$B$58*0.4</f>
        <v>88356.992000000013</v>
      </c>
      <c r="BT7">
        <f>Lookups!$B$59*Sales[[#This Row],[LnAcres]]</f>
        <v>-24051.387388882686</v>
      </c>
      <c r="BU7">
        <f>VLOOKUP(Sales[[#This Row],[Qlty]],Lookups!$A$66:$E$79,2,FALSE)</f>
        <v>37154.252388000001</v>
      </c>
      <c r="BV7">
        <f>VLOOKUP(Sales[[#This Row],[Cnd]],Lookups!$A$80:$E$91,2,FALSE)</f>
        <v>47371.278778200001</v>
      </c>
      <c r="BW7">
        <f>Sales[[#This Row],[EffAge]]*Lookups!$B$65</f>
        <v>-217.48220000000001</v>
      </c>
      <c r="BX7">
        <f>Sales[[#This Row],[MainFn]]*Lookups!$B$90</f>
        <v>90619.871760000009</v>
      </c>
      <c r="BY7">
        <f>Sales[[#This Row],[UpprFn]]*Lookups!$B$91</f>
        <v>0</v>
      </c>
      <c r="BZ7">
        <f>Sales[[#This Row],[Bsmt]]*Lookups!$B$95</f>
        <v>0</v>
      </c>
      <c r="CA7">
        <f>VLOOKUP(Sales[[#This Row],[MsnryTrim]],Lookups!$A$90:$E$99,2,FALSE)</f>
        <v>-9412.7029999999995</v>
      </c>
      <c r="CB7">
        <f>Sales[[#This Row],[PrefabFP]]*Lookups!$B$92</f>
        <v>0</v>
      </c>
      <c r="CC7">
        <f>Sales[[#This Row],[AttGar]]*Lookups!$B$93</f>
        <v>21745.435096000001</v>
      </c>
      <c r="CD7">
        <f>Sales[[#This Row],[BltinGar]]*Lookups!$B$94</f>
        <v>0</v>
      </c>
      <c r="CE7">
        <f>SUM(Sales[[#This Row],[Days Prior Total]:[Mdl BltinGar]])</f>
        <v>369223.67295231728</v>
      </c>
      <c r="CF7">
        <f>ROUND(Sales[[#This Row],[25Det]],-2)</f>
        <v>0</v>
      </c>
      <c r="CG7">
        <f>ROUND(SUM(Sales[[#This Row],[Mdl Qlty]:[Mdl BltinGar]])+Sales[[#This Row],[Mdl Res Intercept]]+Sales[[#This Row],[Days Prior Total]],-2)</f>
        <v>304900</v>
      </c>
      <c r="CH7">
        <f>ROUND(Sales[[#This Row],[Mdl Land Intercept]]+Sales[[#This Row],[Mdl LnAcres]],-2)</f>
        <v>64300</v>
      </c>
      <c r="CI7">
        <f>Sales[[#This Row],[Unadj Res Value]]+Sales[[#This Row],[Unadj Det Value]]+Sales[[#This Row],[Unadj Land Value]]</f>
        <v>369200</v>
      </c>
      <c r="CJ7" s="10">
        <f>Sales[[#This Row],[Price]]/Sales[[#This Row],[Unadj Total Value]]</f>
        <v>1.0359263271939327</v>
      </c>
      <c r="CK7" s="10">
        <f>(Sales[[#This Row],[Unadj Total Value]]-Sales[[#This Row],[24Final]])/Sales[[#This Row],[24Final]]</f>
        <v>-3.5023523261892314E-2</v>
      </c>
      <c r="CL7">
        <f>VLOOKUP(Sales[[#This Row],[TNbhd]],Lookups!$M$3:$P$5,4,FALSE)</f>
        <v>0.99970000000000003</v>
      </c>
      <c r="CM7">
        <f>VLOOKUP(Sales[[#This Row],[Qlty]],Lookups!$M$8:$P$22,4,FALSE)</f>
        <v>0.99819999999999998</v>
      </c>
      <c r="CN7">
        <f>VLOOKUP(Sales[[#This Row],[Cnd]],Lookups!$R$8:$U$17,4,FALSE)</f>
        <v>1.0012000000000001</v>
      </c>
      <c r="CO7">
        <f>VLOOKUP(Sales[[#This Row],[LivArea Range]],Lookups!$R$25:$U$43,4,FALSE)</f>
        <v>0.99519999999999997</v>
      </c>
      <c r="CP7">
        <f>VLOOKUP(Sales[[#This Row],[Decade]],Lookups!$M$24:$P$40,4,FALSE)</f>
        <v>1.0024</v>
      </c>
      <c r="CQ7">
        <f>Sales[[#This Row],[Nbhd Adj]]*0.95</f>
        <v>0.94971499999999998</v>
      </c>
      <c r="CR7">
        <f>Sales[[#This Row],[Nbhd Adj]]*Sales[[#This Row],[Quality Adj]]*Sales[[#This Row],[Condition Adj]]*Sales[[#This Row],[Living Area Adj]]*Sales[[#This Row],[Decade Adj]]*0.95</f>
        <v>0.94685424199978463</v>
      </c>
      <c r="CS7">
        <f>ROUND(SUM(Sales[[#This Row],[Mdl Qlty]:[Mdl BltinGar]])+Sales[[#This Row],[Mdl Res Intercept]]*Sales[[#This Row],[Res Adj ]],-2)</f>
        <v>312800</v>
      </c>
      <c r="CT7">
        <f>ROUND(Sales[[#This Row],[25Det]]*Sales[[#This Row],[Det/Nbhd Adj]],-2)</f>
        <v>0</v>
      </c>
      <c r="CU7">
        <f>Sales[[#This Row],[Adjusted Res]]+Sales[[#This Row],[Adj Det ]]</f>
        <v>312800</v>
      </c>
      <c r="CV7">
        <f>ROUND((Sales[[#This Row],[Mdl Land Intercept]]+Sales[[#This Row],[Mdl LnAcres]])*Sales[[#This Row],[Det/Nbhd Adj]],-2)</f>
        <v>61100</v>
      </c>
      <c r="CW7">
        <f>Sales[[#This Row],[Adjusted Impr Total]]+Sales[[#This Row],[Adjusted Land Total]]</f>
        <v>373900</v>
      </c>
      <c r="CX7" s="10">
        <f>IFERROR((Sales[[#This Row],[Adjusted Impr Total]]-Sales[[#This Row],[24Bldg]])/Sales[[#This Row],[24Bldg]],0)</f>
        <v>-2.7967681789931635E-2</v>
      </c>
      <c r="CY7" s="10">
        <f>(Sales[[#This Row],[Adjusted Land Total]]-Sales[[#This Row],[24Lnd]])/Sales[[#This Row],[24Lnd]]</f>
        <v>4.9342105263157892E-3</v>
      </c>
      <c r="CZ7">
        <f>(Sales[[#This Row],[Adjusted Total]]-Sales[[#This Row],[24Final]])/Sales[[#This Row],[24Final]]</f>
        <v>-2.2739153162571878E-2</v>
      </c>
      <c r="DA7" s="10">
        <f>(Sales[[#This Row],[Adjusted Total]]+Sales[[#This Row],[Days Prior Total]])/Sales[[#This Row],[Price]]</f>
        <v>0.9387077673166625</v>
      </c>
    </row>
    <row r="8" spans="1:105">
      <c r="A8">
        <v>2025</v>
      </c>
      <c r="B8">
        <v>19120114473</v>
      </c>
      <c r="C8">
        <v>-1.8325814637483102</v>
      </c>
      <c r="D8">
        <v>0.16</v>
      </c>
      <c r="E8">
        <v>7001</v>
      </c>
      <c r="F8">
        <v>2</v>
      </c>
      <c r="G8" t="s">
        <v>155</v>
      </c>
      <c r="H8">
        <v>317</v>
      </c>
      <c r="I8" t="s">
        <v>5</v>
      </c>
      <c r="J8" t="s">
        <v>156</v>
      </c>
      <c r="K8">
        <v>11</v>
      </c>
      <c r="L8">
        <v>259</v>
      </c>
      <c r="M8" t="s">
        <v>157</v>
      </c>
      <c r="N8" t="s">
        <v>19</v>
      </c>
      <c r="O8" t="s">
        <v>24</v>
      </c>
      <c r="P8">
        <v>2022</v>
      </c>
      <c r="Q8">
        <v>2022</v>
      </c>
      <c r="R8">
        <v>10</v>
      </c>
      <c r="S8">
        <v>2</v>
      </c>
      <c r="T8">
        <v>2</v>
      </c>
      <c r="U8">
        <v>1</v>
      </c>
      <c r="V8">
        <v>1619</v>
      </c>
      <c r="W8">
        <v>0</v>
      </c>
      <c r="X8">
        <v>0</v>
      </c>
      <c r="Y8">
        <v>0</v>
      </c>
      <c r="Z8">
        <v>0</v>
      </c>
      <c r="AA8">
        <v>0</v>
      </c>
      <c r="AB8">
        <v>1619</v>
      </c>
      <c r="AC8">
        <v>2000</v>
      </c>
      <c r="AD8">
        <v>2</v>
      </c>
      <c r="AE8" t="s">
        <v>57</v>
      </c>
      <c r="AF8" t="s">
        <v>158</v>
      </c>
      <c r="AG8" t="s">
        <v>21</v>
      </c>
      <c r="AI8">
        <v>0</v>
      </c>
      <c r="AJ8">
        <v>0</v>
      </c>
      <c r="AK8">
        <v>1</v>
      </c>
      <c r="AL8">
        <v>0</v>
      </c>
      <c r="AM8">
        <v>0</v>
      </c>
      <c r="AN8">
        <v>9</v>
      </c>
      <c r="AO8">
        <v>480</v>
      </c>
      <c r="AP8">
        <v>0</v>
      </c>
      <c r="AQ8">
        <v>0</v>
      </c>
      <c r="AR8">
        <v>0</v>
      </c>
      <c r="AS8">
        <v>0</v>
      </c>
      <c r="AT8">
        <v>0</v>
      </c>
      <c r="AU8">
        <v>100</v>
      </c>
      <c r="AV8">
        <v>100</v>
      </c>
      <c r="AW8">
        <v>293457</v>
      </c>
      <c r="AX8">
        <v>290522</v>
      </c>
      <c r="AY8">
        <v>636</v>
      </c>
      <c r="AZ8">
        <v>365</v>
      </c>
      <c r="BA8">
        <v>271</v>
      </c>
      <c r="BB8">
        <v>0</v>
      </c>
      <c r="BC8" s="2">
        <v>44656</v>
      </c>
      <c r="BD8" t="s">
        <v>167</v>
      </c>
      <c r="BE8">
        <v>404418</v>
      </c>
      <c r="BF8">
        <v>404418</v>
      </c>
      <c r="BG8" t="s">
        <v>160</v>
      </c>
      <c r="BH8">
        <v>30</v>
      </c>
      <c r="BI8" t="s">
        <v>56</v>
      </c>
      <c r="BJ8" t="s">
        <v>161</v>
      </c>
      <c r="BK8">
        <v>398100</v>
      </c>
      <c r="BL8">
        <v>60800</v>
      </c>
      <c r="BM8">
        <v>337300</v>
      </c>
      <c r="BN8">
        <v>0</v>
      </c>
      <c r="BO8">
        <v>398245.39861294982</v>
      </c>
      <c r="BP8">
        <v>413056.02840223938</v>
      </c>
      <c r="BQ8">
        <f>(Sales[[#This Row],[DP1]]*Lookups!$B$61)+(Sales[[#This Row],[DP2]]*Lookups!$B$62)+(Sales[[#This Row],[DP3]]*Lookups!$B$63)</f>
        <v>-14810.628930999999</v>
      </c>
      <c r="BR8">
        <f>Lookups!$B$58*0.6</f>
        <v>132535.48800000001</v>
      </c>
      <c r="BS8">
        <f>Lookups!$B$58*0.4</f>
        <v>88356.992000000013</v>
      </c>
      <c r="BT8">
        <f>Lookups!$B$59*Sales[[#This Row],[LnAcres]]</f>
        <v>-24051.387388882686</v>
      </c>
      <c r="BU8">
        <f>VLOOKUP(Sales[[#This Row],[Qlty]],Lookups!$A$66:$E$79,2,FALSE)</f>
        <v>37154.252388000001</v>
      </c>
      <c r="BV8">
        <f>VLOOKUP(Sales[[#This Row],[Cnd]],Lookups!$A$80:$E$91,2,FALSE)</f>
        <v>47371.278778200001</v>
      </c>
      <c r="BW8">
        <f>Sales[[#This Row],[EffAge]]*Lookups!$B$65</f>
        <v>-217.48220000000001</v>
      </c>
      <c r="BX8">
        <f>Sales[[#This Row],[MainFn]]*Lookups!$B$90</f>
        <v>101042.40522</v>
      </c>
      <c r="BY8">
        <f>Sales[[#This Row],[UpprFn]]*Lookups!$B$91</f>
        <v>0</v>
      </c>
      <c r="BZ8">
        <f>Sales[[#This Row],[Bsmt]]*Lookups!$B$95</f>
        <v>0</v>
      </c>
      <c r="CA8">
        <f>VLOOKUP(Sales[[#This Row],[MsnryTrim]],Lookups!$A$90:$E$99,2,FALSE)</f>
        <v>4112.8784489</v>
      </c>
      <c r="CB8">
        <f>Sales[[#This Row],[PrefabFP]]*Lookups!$B$92</f>
        <v>9807.1044999999995</v>
      </c>
      <c r="CC8">
        <f>Sales[[#This Row],[AttGar]]*Lookups!$B$93</f>
        <v>16944.494880000002</v>
      </c>
      <c r="CD8">
        <f>Sales[[#This Row],[BltinGar]]*Lookups!$B$94</f>
        <v>0</v>
      </c>
      <c r="CE8">
        <f>SUM(Sales[[#This Row],[Days Prior Total]:[Mdl BltinGar]])</f>
        <v>398245.39569521736</v>
      </c>
      <c r="CF8">
        <f>ROUND(Sales[[#This Row],[25Det]],-2)</f>
        <v>0</v>
      </c>
      <c r="CG8">
        <f>ROUND(SUM(Sales[[#This Row],[Mdl Qlty]:[Mdl BltinGar]])+Sales[[#This Row],[Mdl Res Intercept]]+Sales[[#This Row],[Days Prior Total]],-2)</f>
        <v>333900</v>
      </c>
      <c r="CH8">
        <f>ROUND(Sales[[#This Row],[Mdl Land Intercept]]+Sales[[#This Row],[Mdl LnAcres]],-2)</f>
        <v>64300</v>
      </c>
      <c r="CI8">
        <f>Sales[[#This Row],[Unadj Res Value]]+Sales[[#This Row],[Unadj Det Value]]+Sales[[#This Row],[Unadj Land Value]]</f>
        <v>398200</v>
      </c>
      <c r="CJ8" s="10">
        <f>Sales[[#This Row],[Price]]/Sales[[#This Row],[Unadj Total Value]]</f>
        <v>1.0156152687091913</v>
      </c>
      <c r="CK8" s="10">
        <f>(Sales[[#This Row],[Unadj Total Value]]-Sales[[#This Row],[24Final]])/Sales[[#This Row],[24Final]]</f>
        <v>2.5119316754584274E-4</v>
      </c>
      <c r="CL8">
        <f>VLOOKUP(Sales[[#This Row],[TNbhd]],Lookups!$M$3:$P$5,4,FALSE)</f>
        <v>0.99970000000000003</v>
      </c>
      <c r="CM8">
        <f>VLOOKUP(Sales[[#This Row],[Qlty]],Lookups!$M$8:$P$22,4,FALSE)</f>
        <v>0.99819999999999998</v>
      </c>
      <c r="CN8">
        <f>VLOOKUP(Sales[[#This Row],[Cnd]],Lookups!$R$8:$U$17,4,FALSE)</f>
        <v>1.0012000000000001</v>
      </c>
      <c r="CO8">
        <f>VLOOKUP(Sales[[#This Row],[LivArea Range]],Lookups!$R$25:$U$43,4,FALSE)</f>
        <v>1.0007999999999999</v>
      </c>
      <c r="CP8">
        <f>VLOOKUP(Sales[[#This Row],[Decade]],Lookups!$M$24:$P$40,4,FALSE)</f>
        <v>1.0024</v>
      </c>
      <c r="CQ8">
        <f>Sales[[#This Row],[Nbhd Adj]]*0.95</f>
        <v>0.94971499999999998</v>
      </c>
      <c r="CR8">
        <f>Sales[[#This Row],[Nbhd Adj]]*Sales[[#This Row],[Quality Adj]]*Sales[[#This Row],[Condition Adj]]*Sales[[#This Row],[Living Area Adj]]*Sales[[#This Row],[Decade Adj]]*0.95</f>
        <v>0.95218219995315945</v>
      </c>
      <c r="CS8">
        <f>ROUND(SUM(Sales[[#This Row],[Mdl Qlty]:[Mdl BltinGar]])+Sales[[#This Row],[Mdl Res Intercept]]*Sales[[#This Row],[Res Adj ]],-2)</f>
        <v>342400</v>
      </c>
      <c r="CT8">
        <f>ROUND(Sales[[#This Row],[25Det]]*Sales[[#This Row],[Det/Nbhd Adj]],-2)</f>
        <v>0</v>
      </c>
      <c r="CU8">
        <f>Sales[[#This Row],[Adjusted Res]]+Sales[[#This Row],[Adj Det ]]</f>
        <v>342400</v>
      </c>
      <c r="CV8">
        <f>ROUND((Sales[[#This Row],[Mdl Land Intercept]]+Sales[[#This Row],[Mdl LnAcres]])*Sales[[#This Row],[Det/Nbhd Adj]],-2)</f>
        <v>61100</v>
      </c>
      <c r="CW8">
        <f>Sales[[#This Row],[Adjusted Impr Total]]+Sales[[#This Row],[Adjusted Land Total]]</f>
        <v>403500</v>
      </c>
      <c r="CX8" s="10">
        <f>IFERROR((Sales[[#This Row],[Adjusted Impr Total]]-Sales[[#This Row],[24Bldg]])/Sales[[#This Row],[24Bldg]],0)</f>
        <v>1.5120071153276016E-2</v>
      </c>
      <c r="CY8" s="10">
        <f>(Sales[[#This Row],[Adjusted Land Total]]-Sales[[#This Row],[24Lnd]])/Sales[[#This Row],[24Lnd]]</f>
        <v>4.9342105263157892E-3</v>
      </c>
      <c r="CZ8">
        <f>(Sales[[#This Row],[Adjusted Total]]-Sales[[#This Row],[24Final]])/Sales[[#This Row],[24Final]]</f>
        <v>1.3564431047475508E-2</v>
      </c>
      <c r="DA8" s="10">
        <f>(Sales[[#This Row],[Adjusted Total]]+Sales[[#This Row],[Days Prior Total]])/Sales[[#This Row],[Price]]</f>
        <v>0.96110798992379165</v>
      </c>
    </row>
    <row r="9" spans="1:105">
      <c r="A9">
        <v>2025</v>
      </c>
      <c r="B9">
        <v>19120114474</v>
      </c>
      <c r="C9">
        <v>-1.8325814637483102</v>
      </c>
      <c r="D9">
        <v>0.16</v>
      </c>
      <c r="E9">
        <v>7001</v>
      </c>
      <c r="F9">
        <v>2</v>
      </c>
      <c r="G9" t="s">
        <v>155</v>
      </c>
      <c r="H9">
        <v>317</v>
      </c>
      <c r="I9" t="s">
        <v>5</v>
      </c>
      <c r="J9" t="s">
        <v>156</v>
      </c>
      <c r="K9">
        <v>11</v>
      </c>
      <c r="L9">
        <v>259</v>
      </c>
      <c r="M9" t="s">
        <v>157</v>
      </c>
      <c r="N9" t="s">
        <v>19</v>
      </c>
      <c r="O9" t="s">
        <v>24</v>
      </c>
      <c r="P9">
        <v>2022</v>
      </c>
      <c r="Q9">
        <v>2022</v>
      </c>
      <c r="R9">
        <v>10</v>
      </c>
      <c r="S9">
        <v>2</v>
      </c>
      <c r="T9">
        <v>2</v>
      </c>
      <c r="U9">
        <v>1</v>
      </c>
      <c r="V9">
        <v>1580</v>
      </c>
      <c r="W9">
        <v>0</v>
      </c>
      <c r="X9">
        <v>0</v>
      </c>
      <c r="Y9">
        <v>0</v>
      </c>
      <c r="Z9">
        <v>0</v>
      </c>
      <c r="AA9">
        <v>0</v>
      </c>
      <c r="AB9">
        <v>1580</v>
      </c>
      <c r="AC9">
        <v>2000</v>
      </c>
      <c r="AD9">
        <v>3</v>
      </c>
      <c r="AE9" t="s">
        <v>57</v>
      </c>
      <c r="AF9" t="s">
        <v>158</v>
      </c>
      <c r="AG9" t="s">
        <v>21</v>
      </c>
      <c r="AI9">
        <v>0</v>
      </c>
      <c r="AJ9">
        <v>0</v>
      </c>
      <c r="AK9">
        <v>0</v>
      </c>
      <c r="AL9">
        <v>0</v>
      </c>
      <c r="AM9">
        <v>0</v>
      </c>
      <c r="AN9">
        <v>10</v>
      </c>
      <c r="AO9">
        <v>616</v>
      </c>
      <c r="AP9">
        <v>0</v>
      </c>
      <c r="AQ9">
        <v>0</v>
      </c>
      <c r="AR9">
        <v>0</v>
      </c>
      <c r="AS9">
        <v>100</v>
      </c>
      <c r="AT9">
        <v>0</v>
      </c>
      <c r="AU9">
        <v>100</v>
      </c>
      <c r="AV9">
        <v>100</v>
      </c>
      <c r="AW9">
        <v>289625</v>
      </c>
      <c r="AX9">
        <v>286729</v>
      </c>
      <c r="AY9">
        <v>592</v>
      </c>
      <c r="AZ9">
        <v>365</v>
      </c>
      <c r="BA9">
        <v>227</v>
      </c>
      <c r="BB9">
        <v>0</v>
      </c>
      <c r="BC9" s="2">
        <v>44700</v>
      </c>
      <c r="BD9" t="s">
        <v>168</v>
      </c>
      <c r="BE9">
        <v>404324</v>
      </c>
      <c r="BF9">
        <v>404324</v>
      </c>
      <c r="BG9" t="s">
        <v>160</v>
      </c>
      <c r="BH9">
        <v>30</v>
      </c>
      <c r="BI9" t="s">
        <v>56</v>
      </c>
      <c r="BJ9" t="s">
        <v>161</v>
      </c>
      <c r="BK9">
        <v>396200</v>
      </c>
      <c r="BL9">
        <v>60800</v>
      </c>
      <c r="BM9">
        <v>335400</v>
      </c>
      <c r="BN9">
        <v>0</v>
      </c>
      <c r="BO9">
        <v>393772.74577982369</v>
      </c>
      <c r="BP9">
        <v>405615.85922776349</v>
      </c>
      <c r="BQ9">
        <f>(Sales[[#This Row],[DP1]]*Lookups!$B$61)+(Sales[[#This Row],[DP2]]*Lookups!$B$62)+(Sales[[#This Row],[DP3]]*Lookups!$B$63)</f>
        <v>-11843.112730999999</v>
      </c>
      <c r="BR9">
        <f>Lookups!$B$58*0.6</f>
        <v>132535.48800000001</v>
      </c>
      <c r="BS9">
        <f>Lookups!$B$58*0.4</f>
        <v>88356.992000000013</v>
      </c>
      <c r="BT9">
        <f>Lookups!$B$59*Sales[[#This Row],[LnAcres]]</f>
        <v>-24051.387388882686</v>
      </c>
      <c r="BU9">
        <f>VLOOKUP(Sales[[#This Row],[Qlty]],Lookups!$A$66:$E$79,2,FALSE)</f>
        <v>37154.252388000001</v>
      </c>
      <c r="BV9">
        <f>VLOOKUP(Sales[[#This Row],[Cnd]],Lookups!$A$80:$E$91,2,FALSE)</f>
        <v>47371.278778200001</v>
      </c>
      <c r="BW9">
        <f>Sales[[#This Row],[EffAge]]*Lookups!$B$65</f>
        <v>-217.48220000000001</v>
      </c>
      <c r="BX9">
        <f>Sales[[#This Row],[MainFn]]*Lookups!$B$90</f>
        <v>98608.400399999999</v>
      </c>
      <c r="BY9">
        <f>Sales[[#This Row],[UpprFn]]*Lookups!$B$91</f>
        <v>0</v>
      </c>
      <c r="BZ9">
        <f>Sales[[#This Row],[Bsmt]]*Lookups!$B$95</f>
        <v>0</v>
      </c>
      <c r="CA9">
        <f>VLOOKUP(Sales[[#This Row],[MsnryTrim]],Lookups!$A$90:$E$99,2,FALSE)</f>
        <v>4112.8784489</v>
      </c>
      <c r="CB9">
        <f>Sales[[#This Row],[PrefabFP]]*Lookups!$B$92</f>
        <v>0</v>
      </c>
      <c r="CC9">
        <f>Sales[[#This Row],[AttGar]]*Lookups!$B$93</f>
        <v>21745.435096000001</v>
      </c>
      <c r="CD9">
        <f>Sales[[#This Row],[BltinGar]]*Lookups!$B$94</f>
        <v>0</v>
      </c>
      <c r="CE9">
        <f>SUM(Sales[[#This Row],[Days Prior Total]:[Mdl BltinGar]])</f>
        <v>393772.74279121729</v>
      </c>
      <c r="CF9">
        <f>ROUND(Sales[[#This Row],[25Det]],-2)</f>
        <v>0</v>
      </c>
      <c r="CG9">
        <f>ROUND(SUM(Sales[[#This Row],[Mdl Qlty]:[Mdl BltinGar]])+Sales[[#This Row],[Mdl Res Intercept]]+Sales[[#This Row],[Days Prior Total]],-2)</f>
        <v>329500</v>
      </c>
      <c r="CH9">
        <f>ROUND(Sales[[#This Row],[Mdl Land Intercept]]+Sales[[#This Row],[Mdl LnAcres]],-2)</f>
        <v>64300</v>
      </c>
      <c r="CI9">
        <f>Sales[[#This Row],[Unadj Res Value]]+Sales[[#This Row],[Unadj Det Value]]+Sales[[#This Row],[Unadj Land Value]]</f>
        <v>393800</v>
      </c>
      <c r="CJ9" s="10">
        <f>Sales[[#This Row],[Price]]/Sales[[#This Row],[Unadj Total Value]]</f>
        <v>1.0267242254951752</v>
      </c>
      <c r="CK9" s="10">
        <f>(Sales[[#This Row],[Unadj Total Value]]-Sales[[#This Row],[24Final]])/Sales[[#This Row],[24Final]]</f>
        <v>-6.0575466935890963E-3</v>
      </c>
      <c r="CL9">
        <f>VLOOKUP(Sales[[#This Row],[TNbhd]],Lookups!$M$3:$P$5,4,FALSE)</f>
        <v>0.99970000000000003</v>
      </c>
      <c r="CM9">
        <f>VLOOKUP(Sales[[#This Row],[Qlty]],Lookups!$M$8:$P$22,4,FALSE)</f>
        <v>0.99819999999999998</v>
      </c>
      <c r="CN9">
        <f>VLOOKUP(Sales[[#This Row],[Cnd]],Lookups!$R$8:$U$17,4,FALSE)</f>
        <v>1.0012000000000001</v>
      </c>
      <c r="CO9">
        <f>VLOOKUP(Sales[[#This Row],[LivArea Range]],Lookups!$R$25:$U$43,4,FALSE)</f>
        <v>1.0007999999999999</v>
      </c>
      <c r="CP9">
        <f>VLOOKUP(Sales[[#This Row],[Decade]],Lookups!$M$24:$P$40,4,FALSE)</f>
        <v>1.0024</v>
      </c>
      <c r="CQ9">
        <f>Sales[[#This Row],[Nbhd Adj]]*0.95</f>
        <v>0.94971499999999998</v>
      </c>
      <c r="CR9">
        <f>Sales[[#This Row],[Nbhd Adj]]*Sales[[#This Row],[Quality Adj]]*Sales[[#This Row],[Condition Adj]]*Sales[[#This Row],[Living Area Adj]]*Sales[[#This Row],[Decade Adj]]*0.95</f>
        <v>0.95218219995315945</v>
      </c>
      <c r="CS9">
        <f>ROUND(SUM(Sales[[#This Row],[Mdl Qlty]:[Mdl BltinGar]])+Sales[[#This Row],[Mdl Res Intercept]]*Sales[[#This Row],[Res Adj ]],-2)</f>
        <v>335000</v>
      </c>
      <c r="CT9">
        <f>ROUND(Sales[[#This Row],[25Det]]*Sales[[#This Row],[Det/Nbhd Adj]],-2)</f>
        <v>0</v>
      </c>
      <c r="CU9">
        <f>Sales[[#This Row],[Adjusted Res]]+Sales[[#This Row],[Adj Det ]]</f>
        <v>335000</v>
      </c>
      <c r="CV9">
        <f>ROUND((Sales[[#This Row],[Mdl Land Intercept]]+Sales[[#This Row],[Mdl LnAcres]])*Sales[[#This Row],[Det/Nbhd Adj]],-2)</f>
        <v>61100</v>
      </c>
      <c r="CW9">
        <f>Sales[[#This Row],[Adjusted Impr Total]]+Sales[[#This Row],[Adjusted Land Total]]</f>
        <v>396100</v>
      </c>
      <c r="CX9" s="10">
        <f>IFERROR((Sales[[#This Row],[Adjusted Impr Total]]-Sales[[#This Row],[24Bldg]])/Sales[[#This Row],[24Bldg]],0)</f>
        <v>-1.1926058437686344E-3</v>
      </c>
      <c r="CY9" s="10">
        <f>(Sales[[#This Row],[Adjusted Land Total]]-Sales[[#This Row],[24Lnd]])/Sales[[#This Row],[24Lnd]]</f>
        <v>4.9342105263157892E-3</v>
      </c>
      <c r="CZ9">
        <f>(Sales[[#This Row],[Adjusted Total]]-Sales[[#This Row],[24Final]])/Sales[[#This Row],[24Final]]</f>
        <v>-2.5239777889954568E-4</v>
      </c>
      <c r="DA9" s="10">
        <f>(Sales[[#This Row],[Adjusted Total]]+Sales[[#This Row],[Days Prior Total]])/Sales[[#This Row],[Price]]</f>
        <v>0.95036873217765949</v>
      </c>
    </row>
    <row r="10" spans="1:105">
      <c r="A10">
        <v>2025</v>
      </c>
      <c r="B10">
        <v>19120114475</v>
      </c>
      <c r="C10">
        <v>-1.8325814637483102</v>
      </c>
      <c r="D10">
        <v>0.16</v>
      </c>
      <c r="E10">
        <v>7001</v>
      </c>
      <c r="F10">
        <v>2</v>
      </c>
      <c r="G10" t="s">
        <v>155</v>
      </c>
      <c r="H10">
        <v>317</v>
      </c>
      <c r="I10" t="s">
        <v>5</v>
      </c>
      <c r="J10" t="s">
        <v>156</v>
      </c>
      <c r="K10">
        <v>11</v>
      </c>
      <c r="L10">
        <v>259</v>
      </c>
      <c r="M10" t="s">
        <v>157</v>
      </c>
      <c r="N10" t="s">
        <v>19</v>
      </c>
      <c r="O10" t="s">
        <v>24</v>
      </c>
      <c r="P10">
        <v>2022</v>
      </c>
      <c r="Q10">
        <v>2022</v>
      </c>
      <c r="R10">
        <v>10</v>
      </c>
      <c r="S10">
        <v>2</v>
      </c>
      <c r="T10">
        <v>2</v>
      </c>
      <c r="U10">
        <v>1</v>
      </c>
      <c r="V10">
        <v>1580</v>
      </c>
      <c r="W10">
        <v>0</v>
      </c>
      <c r="X10">
        <v>0</v>
      </c>
      <c r="Y10">
        <v>0</v>
      </c>
      <c r="Z10">
        <v>0</v>
      </c>
      <c r="AA10">
        <v>0</v>
      </c>
      <c r="AB10">
        <v>1580</v>
      </c>
      <c r="AC10">
        <v>2000</v>
      </c>
      <c r="AD10">
        <v>2</v>
      </c>
      <c r="AE10" t="s">
        <v>56</v>
      </c>
      <c r="AF10" t="s">
        <v>158</v>
      </c>
      <c r="AG10" t="s">
        <v>21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9</v>
      </c>
      <c r="AO10">
        <v>400</v>
      </c>
      <c r="AP10">
        <v>0</v>
      </c>
      <c r="AQ10">
        <v>0</v>
      </c>
      <c r="AR10">
        <v>0</v>
      </c>
      <c r="AS10">
        <v>100</v>
      </c>
      <c r="AT10">
        <v>0</v>
      </c>
      <c r="AU10">
        <v>100</v>
      </c>
      <c r="AV10">
        <v>100</v>
      </c>
      <c r="AW10">
        <v>276104</v>
      </c>
      <c r="AX10">
        <v>273343</v>
      </c>
      <c r="AY10">
        <v>571</v>
      </c>
      <c r="AZ10">
        <v>365</v>
      </c>
      <c r="BA10">
        <v>206</v>
      </c>
      <c r="BB10">
        <v>0</v>
      </c>
      <c r="BC10" s="2">
        <v>44721</v>
      </c>
      <c r="BD10" t="s">
        <v>169</v>
      </c>
      <c r="BE10">
        <v>368290</v>
      </c>
      <c r="BF10">
        <v>368290</v>
      </c>
      <c r="BG10" t="s">
        <v>160</v>
      </c>
      <c r="BH10">
        <v>30</v>
      </c>
      <c r="BI10" t="s">
        <v>56</v>
      </c>
      <c r="BJ10" t="s">
        <v>161</v>
      </c>
      <c r="BK10">
        <v>381600</v>
      </c>
      <c r="BL10">
        <v>60800</v>
      </c>
      <c r="BM10">
        <v>320800</v>
      </c>
      <c r="BN10">
        <v>0</v>
      </c>
      <c r="BO10">
        <v>374038.45670941303</v>
      </c>
      <c r="BP10">
        <v>384465.25553989032</v>
      </c>
      <c r="BQ10">
        <f>(Sales[[#This Row],[DP1]]*Lookups!$B$61)+(Sales[[#This Row],[DP2]]*Lookups!$B$62)+(Sales[[#This Row],[DP3]]*Lookups!$B$63)</f>
        <v>-10426.798181</v>
      </c>
      <c r="BR10">
        <f>Lookups!$B$58*0.6</f>
        <v>132535.48800000001</v>
      </c>
      <c r="BS10">
        <f>Lookups!$B$58*0.4</f>
        <v>88356.992000000013</v>
      </c>
      <c r="BT10">
        <f>Lookups!$B$59*Sales[[#This Row],[LnAcres]]</f>
        <v>-24051.387388882686</v>
      </c>
      <c r="BU10">
        <f>VLOOKUP(Sales[[#This Row],[Qlty]],Lookups!$A$66:$E$79,2,FALSE)</f>
        <v>37154.252388000001</v>
      </c>
      <c r="BV10">
        <f>VLOOKUP(Sales[[#This Row],[Cnd]],Lookups!$A$80:$E$91,2,FALSE)</f>
        <v>47371.278778200001</v>
      </c>
      <c r="BW10">
        <f>Sales[[#This Row],[EffAge]]*Lookups!$B$65</f>
        <v>-217.48220000000001</v>
      </c>
      <c r="BX10">
        <f>Sales[[#This Row],[MainFn]]*Lookups!$B$90</f>
        <v>98608.400399999999</v>
      </c>
      <c r="BY10">
        <f>Sales[[#This Row],[UpprFn]]*Lookups!$B$91</f>
        <v>0</v>
      </c>
      <c r="BZ10">
        <f>Sales[[#This Row],[Bsmt]]*Lookups!$B$95</f>
        <v>0</v>
      </c>
      <c r="CA10">
        <f>VLOOKUP(Sales[[#This Row],[MsnryTrim]],Lookups!$A$90:$E$99,2,FALSE)</f>
        <v>-9412.7029999999995</v>
      </c>
      <c r="CB10">
        <f>Sales[[#This Row],[PrefabFP]]*Lookups!$B$92</f>
        <v>0</v>
      </c>
      <c r="CC10">
        <f>Sales[[#This Row],[AttGar]]*Lookups!$B$93</f>
        <v>14120.412400000001</v>
      </c>
      <c r="CD10">
        <f>Sales[[#This Row],[BltinGar]]*Lookups!$B$94</f>
        <v>0</v>
      </c>
      <c r="CE10">
        <f>SUM(Sales[[#This Row],[Days Prior Total]:[Mdl BltinGar]])</f>
        <v>374038.45319631731</v>
      </c>
      <c r="CF10">
        <f>ROUND(Sales[[#This Row],[25Det]],-2)</f>
        <v>0</v>
      </c>
      <c r="CG10">
        <f>ROUND(SUM(Sales[[#This Row],[Mdl Qlty]:[Mdl BltinGar]])+Sales[[#This Row],[Mdl Res Intercept]]+Sales[[#This Row],[Days Prior Total]],-2)</f>
        <v>309700</v>
      </c>
      <c r="CH10">
        <f>ROUND(Sales[[#This Row],[Mdl Land Intercept]]+Sales[[#This Row],[Mdl LnAcres]],-2)</f>
        <v>64300</v>
      </c>
      <c r="CI10">
        <f>Sales[[#This Row],[Unadj Res Value]]+Sales[[#This Row],[Unadj Det Value]]+Sales[[#This Row],[Unadj Land Value]]</f>
        <v>374000</v>
      </c>
      <c r="CJ10" s="10">
        <f>Sales[[#This Row],[Price]]/Sales[[#This Row],[Unadj Total Value]]</f>
        <v>0.98473262032085562</v>
      </c>
      <c r="CK10" s="10">
        <f>(Sales[[#This Row],[Unadj Total Value]]-Sales[[#This Row],[24Final]])/Sales[[#This Row],[24Final]]</f>
        <v>-1.9916142557651992E-2</v>
      </c>
      <c r="CL10">
        <f>VLOOKUP(Sales[[#This Row],[TNbhd]],Lookups!$M$3:$P$5,4,FALSE)</f>
        <v>0.99970000000000003</v>
      </c>
      <c r="CM10">
        <f>VLOOKUP(Sales[[#This Row],[Qlty]],Lookups!$M$8:$P$22,4,FALSE)</f>
        <v>0.99819999999999998</v>
      </c>
      <c r="CN10">
        <f>VLOOKUP(Sales[[#This Row],[Cnd]],Lookups!$R$8:$U$17,4,FALSE)</f>
        <v>1.0012000000000001</v>
      </c>
      <c r="CO10">
        <f>VLOOKUP(Sales[[#This Row],[LivArea Range]],Lookups!$R$25:$U$43,4,FALSE)</f>
        <v>1.0007999999999999</v>
      </c>
      <c r="CP10">
        <f>VLOOKUP(Sales[[#This Row],[Decade]],Lookups!$M$24:$P$40,4,FALSE)</f>
        <v>1.0024</v>
      </c>
      <c r="CQ10">
        <f>Sales[[#This Row],[Nbhd Adj]]*0.95</f>
        <v>0.94971499999999998</v>
      </c>
      <c r="CR10">
        <f>Sales[[#This Row],[Nbhd Adj]]*Sales[[#This Row],[Quality Adj]]*Sales[[#This Row],[Condition Adj]]*Sales[[#This Row],[Living Area Adj]]*Sales[[#This Row],[Decade Adj]]*0.95</f>
        <v>0.95218219995315945</v>
      </c>
      <c r="CS10">
        <f>ROUND(SUM(Sales[[#This Row],[Mdl Qlty]:[Mdl BltinGar]])+Sales[[#This Row],[Mdl Res Intercept]]*Sales[[#This Row],[Res Adj ]],-2)</f>
        <v>313800</v>
      </c>
      <c r="CT10">
        <f>ROUND(Sales[[#This Row],[25Det]]*Sales[[#This Row],[Det/Nbhd Adj]],-2)</f>
        <v>0</v>
      </c>
      <c r="CU10">
        <f>Sales[[#This Row],[Adjusted Res]]+Sales[[#This Row],[Adj Det ]]</f>
        <v>313800</v>
      </c>
      <c r="CV10">
        <f>ROUND((Sales[[#This Row],[Mdl Land Intercept]]+Sales[[#This Row],[Mdl LnAcres]])*Sales[[#This Row],[Det/Nbhd Adj]],-2)</f>
        <v>61100</v>
      </c>
      <c r="CW10">
        <f>Sales[[#This Row],[Adjusted Impr Total]]+Sales[[#This Row],[Adjusted Land Total]]</f>
        <v>374900</v>
      </c>
      <c r="CX10" s="10">
        <f>IFERROR((Sales[[#This Row],[Adjusted Impr Total]]-Sales[[#This Row],[24Bldg]])/Sales[[#This Row],[24Bldg]],0)</f>
        <v>-2.1820448877805487E-2</v>
      </c>
      <c r="CY10" s="10">
        <f>(Sales[[#This Row],[Adjusted Land Total]]-Sales[[#This Row],[24Lnd]])/Sales[[#This Row],[24Lnd]]</f>
        <v>4.9342105263157892E-3</v>
      </c>
      <c r="CZ10">
        <f>(Sales[[#This Row],[Adjusted Total]]-Sales[[#This Row],[24Final]])/Sales[[#This Row],[24Final]]</f>
        <v>-1.7557651991614256E-2</v>
      </c>
      <c r="DA10" s="10">
        <f>(Sales[[#This Row],[Adjusted Total]]+Sales[[#This Row],[Days Prior Total]])/Sales[[#This Row],[Price]]</f>
        <v>0.98963643275407964</v>
      </c>
    </row>
    <row r="11" spans="1:105">
      <c r="A11">
        <v>2025</v>
      </c>
      <c r="B11">
        <v>19120114476</v>
      </c>
      <c r="C11">
        <v>-1.8325814637483102</v>
      </c>
      <c r="D11">
        <v>0.16</v>
      </c>
      <c r="E11">
        <v>7001</v>
      </c>
      <c r="F11">
        <v>2</v>
      </c>
      <c r="G11" t="s">
        <v>155</v>
      </c>
      <c r="H11">
        <v>317</v>
      </c>
      <c r="I11" t="s">
        <v>5</v>
      </c>
      <c r="J11" t="s">
        <v>156</v>
      </c>
      <c r="K11">
        <v>11</v>
      </c>
      <c r="L11">
        <v>259</v>
      </c>
      <c r="M11" t="s">
        <v>157</v>
      </c>
      <c r="N11" t="s">
        <v>19</v>
      </c>
      <c r="O11" t="s">
        <v>24</v>
      </c>
      <c r="P11">
        <v>2022</v>
      </c>
      <c r="Q11">
        <v>2022</v>
      </c>
      <c r="R11">
        <v>10</v>
      </c>
      <c r="S11">
        <v>2</v>
      </c>
      <c r="T11">
        <v>2</v>
      </c>
      <c r="U11">
        <v>1</v>
      </c>
      <c r="V11">
        <v>1240</v>
      </c>
      <c r="W11">
        <v>0</v>
      </c>
      <c r="X11">
        <v>0</v>
      </c>
      <c r="Y11">
        <v>0</v>
      </c>
      <c r="Z11">
        <v>0</v>
      </c>
      <c r="AA11">
        <v>0</v>
      </c>
      <c r="AB11">
        <v>1240</v>
      </c>
      <c r="AC11">
        <v>1500</v>
      </c>
      <c r="AD11">
        <v>2</v>
      </c>
      <c r="AE11" t="s">
        <v>56</v>
      </c>
      <c r="AF11" t="s">
        <v>158</v>
      </c>
      <c r="AG11" t="s">
        <v>21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9</v>
      </c>
      <c r="AO11">
        <v>484</v>
      </c>
      <c r="AP11">
        <v>0</v>
      </c>
      <c r="AQ11">
        <v>0</v>
      </c>
      <c r="AR11">
        <v>0</v>
      </c>
      <c r="AS11">
        <v>116</v>
      </c>
      <c r="AT11">
        <v>0</v>
      </c>
      <c r="AU11">
        <v>100</v>
      </c>
      <c r="AV11">
        <v>100</v>
      </c>
      <c r="AW11">
        <v>231209</v>
      </c>
      <c r="AX11">
        <v>228897</v>
      </c>
      <c r="AY11">
        <v>571</v>
      </c>
      <c r="AZ11">
        <v>365</v>
      </c>
      <c r="BA11">
        <v>206</v>
      </c>
      <c r="BB11">
        <v>0</v>
      </c>
      <c r="BC11" s="2">
        <v>44721</v>
      </c>
      <c r="BD11" t="s">
        <v>170</v>
      </c>
      <c r="BE11">
        <v>349693</v>
      </c>
      <c r="BF11">
        <v>349693</v>
      </c>
      <c r="BG11" t="s">
        <v>160</v>
      </c>
      <c r="BH11">
        <v>30</v>
      </c>
      <c r="BI11" t="s">
        <v>56</v>
      </c>
      <c r="BJ11" t="s">
        <v>161</v>
      </c>
      <c r="BK11">
        <v>366300</v>
      </c>
      <c r="BL11">
        <v>60800</v>
      </c>
      <c r="BM11">
        <v>305500</v>
      </c>
      <c r="BN11">
        <v>0</v>
      </c>
      <c r="BO11">
        <v>355784.214074891</v>
      </c>
      <c r="BP11">
        <v>366211.01290536829</v>
      </c>
      <c r="BQ11">
        <f>(Sales[[#This Row],[DP1]]*Lookups!$B$61)+(Sales[[#This Row],[DP2]]*Lookups!$B$62)+(Sales[[#This Row],[DP3]]*Lookups!$B$63)</f>
        <v>-10426.798181</v>
      </c>
      <c r="BR11">
        <f>Lookups!$B$58*0.6</f>
        <v>132535.48800000001</v>
      </c>
      <c r="BS11">
        <f>Lookups!$B$58*0.4</f>
        <v>88356.992000000013</v>
      </c>
      <c r="BT11">
        <f>Lookups!$B$59*Sales[[#This Row],[LnAcres]]</f>
        <v>-24051.387388882686</v>
      </c>
      <c r="BU11">
        <f>VLOOKUP(Sales[[#This Row],[Qlty]],Lookups!$A$66:$E$79,2,FALSE)</f>
        <v>37154.252388000001</v>
      </c>
      <c r="BV11">
        <f>VLOOKUP(Sales[[#This Row],[Cnd]],Lookups!$A$80:$E$91,2,FALSE)</f>
        <v>47371.278778200001</v>
      </c>
      <c r="BW11">
        <f>Sales[[#This Row],[EffAge]]*Lookups!$B$65</f>
        <v>-217.48220000000001</v>
      </c>
      <c r="BX11">
        <f>Sales[[#This Row],[MainFn]]*Lookups!$B$90</f>
        <v>77388.871200000009</v>
      </c>
      <c r="BY11">
        <f>Sales[[#This Row],[UpprFn]]*Lookups!$B$91</f>
        <v>0</v>
      </c>
      <c r="BZ11">
        <f>Sales[[#This Row],[Bsmt]]*Lookups!$B$95</f>
        <v>0</v>
      </c>
      <c r="CA11">
        <f>VLOOKUP(Sales[[#This Row],[MsnryTrim]],Lookups!$A$90:$E$99,2,FALSE)</f>
        <v>-9412.7029999999995</v>
      </c>
      <c r="CB11">
        <f>Sales[[#This Row],[PrefabFP]]*Lookups!$B$92</f>
        <v>0</v>
      </c>
      <c r="CC11">
        <f>Sales[[#This Row],[AttGar]]*Lookups!$B$93</f>
        <v>17085.699004000002</v>
      </c>
      <c r="CD11">
        <f>Sales[[#This Row],[BltinGar]]*Lookups!$B$94</f>
        <v>0</v>
      </c>
      <c r="CE11">
        <f>SUM(Sales[[#This Row],[Days Prior Total]:[Mdl BltinGar]])</f>
        <v>355784.21060031728</v>
      </c>
      <c r="CF11">
        <f>ROUND(Sales[[#This Row],[25Det]],-2)</f>
        <v>0</v>
      </c>
      <c r="CG11">
        <f>ROUND(SUM(Sales[[#This Row],[Mdl Qlty]:[Mdl BltinGar]])+Sales[[#This Row],[Mdl Res Intercept]]+Sales[[#This Row],[Days Prior Total]],-2)</f>
        <v>291500</v>
      </c>
      <c r="CH11">
        <f>ROUND(Sales[[#This Row],[Mdl Land Intercept]]+Sales[[#This Row],[Mdl LnAcres]],-2)</f>
        <v>64300</v>
      </c>
      <c r="CI11">
        <f>Sales[[#This Row],[Unadj Res Value]]+Sales[[#This Row],[Unadj Det Value]]+Sales[[#This Row],[Unadj Land Value]]</f>
        <v>355800</v>
      </c>
      <c r="CJ11" s="10">
        <f>Sales[[#This Row],[Price]]/Sales[[#This Row],[Unadj Total Value]]</f>
        <v>0.98283586284429458</v>
      </c>
      <c r="CK11" s="10">
        <f>(Sales[[#This Row],[Unadj Total Value]]-Sales[[#This Row],[24Final]])/Sales[[#This Row],[24Final]]</f>
        <v>-2.8665028665028666E-2</v>
      </c>
      <c r="CL11">
        <f>VLOOKUP(Sales[[#This Row],[TNbhd]],Lookups!$M$3:$P$5,4,FALSE)</f>
        <v>0.99970000000000003</v>
      </c>
      <c r="CM11">
        <f>VLOOKUP(Sales[[#This Row],[Qlty]],Lookups!$M$8:$P$22,4,FALSE)</f>
        <v>0.99819999999999998</v>
      </c>
      <c r="CN11">
        <f>VLOOKUP(Sales[[#This Row],[Cnd]],Lookups!$R$8:$U$17,4,FALSE)</f>
        <v>1.0012000000000001</v>
      </c>
      <c r="CO11">
        <f>VLOOKUP(Sales[[#This Row],[LivArea Range]],Lookups!$R$25:$U$43,4,FALSE)</f>
        <v>0.99519999999999997</v>
      </c>
      <c r="CP11">
        <f>VLOOKUP(Sales[[#This Row],[Decade]],Lookups!$M$24:$P$40,4,FALSE)</f>
        <v>1.0024</v>
      </c>
      <c r="CQ11">
        <f>Sales[[#This Row],[Nbhd Adj]]*0.95</f>
        <v>0.94971499999999998</v>
      </c>
      <c r="CR11">
        <f>Sales[[#This Row],[Nbhd Adj]]*Sales[[#This Row],[Quality Adj]]*Sales[[#This Row],[Condition Adj]]*Sales[[#This Row],[Living Area Adj]]*Sales[[#This Row],[Decade Adj]]*0.95</f>
        <v>0.94685424199978463</v>
      </c>
      <c r="CS11">
        <f>ROUND(SUM(Sales[[#This Row],[Mdl Qlty]:[Mdl BltinGar]])+Sales[[#This Row],[Mdl Res Intercept]]*Sales[[#This Row],[Res Adj ]],-2)</f>
        <v>294900</v>
      </c>
      <c r="CT11">
        <f>ROUND(Sales[[#This Row],[25Det]]*Sales[[#This Row],[Det/Nbhd Adj]],-2)</f>
        <v>0</v>
      </c>
      <c r="CU11">
        <f>Sales[[#This Row],[Adjusted Res]]+Sales[[#This Row],[Adj Det ]]</f>
        <v>294900</v>
      </c>
      <c r="CV11">
        <f>ROUND((Sales[[#This Row],[Mdl Land Intercept]]+Sales[[#This Row],[Mdl LnAcres]])*Sales[[#This Row],[Det/Nbhd Adj]],-2)</f>
        <v>61100</v>
      </c>
      <c r="CW11">
        <f>Sales[[#This Row],[Adjusted Impr Total]]+Sales[[#This Row],[Adjusted Land Total]]</f>
        <v>356000</v>
      </c>
      <c r="CX11" s="10">
        <f>IFERROR((Sales[[#This Row],[Adjusted Impr Total]]-Sales[[#This Row],[24Bldg]])/Sales[[#This Row],[24Bldg]],0)</f>
        <v>-3.4697217675941083E-2</v>
      </c>
      <c r="CY11" s="10">
        <f>(Sales[[#This Row],[Adjusted Land Total]]-Sales[[#This Row],[24Lnd]])/Sales[[#This Row],[24Lnd]]</f>
        <v>4.9342105263157892E-3</v>
      </c>
      <c r="CZ11">
        <f>(Sales[[#This Row],[Adjusted Total]]-Sales[[#This Row],[24Final]])/Sales[[#This Row],[24Final]]</f>
        <v>-2.8119028119028118E-2</v>
      </c>
      <c r="DA11" s="10">
        <f>(Sales[[#This Row],[Adjusted Total]]+Sales[[#This Row],[Days Prior Total]])/Sales[[#This Row],[Price]]</f>
        <v>0.98821881427137526</v>
      </c>
    </row>
    <row r="12" spans="1:105">
      <c r="A12">
        <v>2025</v>
      </c>
      <c r="B12">
        <v>19120114477</v>
      </c>
      <c r="C12">
        <v>-1.8325814637483102</v>
      </c>
      <c r="D12">
        <v>0.16</v>
      </c>
      <c r="E12">
        <v>7001</v>
      </c>
      <c r="F12">
        <v>2</v>
      </c>
      <c r="G12" t="s">
        <v>155</v>
      </c>
      <c r="H12">
        <v>317</v>
      </c>
      <c r="I12" t="s">
        <v>5</v>
      </c>
      <c r="J12" t="s">
        <v>156</v>
      </c>
      <c r="K12">
        <v>11</v>
      </c>
      <c r="L12">
        <v>259</v>
      </c>
      <c r="M12" t="s">
        <v>157</v>
      </c>
      <c r="N12" t="s">
        <v>19</v>
      </c>
      <c r="O12" t="s">
        <v>24</v>
      </c>
      <c r="P12">
        <v>2022</v>
      </c>
      <c r="Q12">
        <v>2022</v>
      </c>
      <c r="R12">
        <v>10</v>
      </c>
      <c r="S12">
        <v>2</v>
      </c>
      <c r="T12">
        <v>2</v>
      </c>
      <c r="U12">
        <v>1</v>
      </c>
      <c r="V12">
        <v>1619</v>
      </c>
      <c r="W12">
        <v>0</v>
      </c>
      <c r="X12">
        <v>0</v>
      </c>
      <c r="Y12">
        <v>0</v>
      </c>
      <c r="Z12">
        <v>0</v>
      </c>
      <c r="AA12">
        <v>0</v>
      </c>
      <c r="AB12">
        <v>1619</v>
      </c>
      <c r="AC12">
        <v>2000</v>
      </c>
      <c r="AD12">
        <v>2</v>
      </c>
      <c r="AE12" t="s">
        <v>56</v>
      </c>
      <c r="AF12" t="s">
        <v>158</v>
      </c>
      <c r="AG12" t="s">
        <v>21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9</v>
      </c>
      <c r="AO12">
        <v>480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100</v>
      </c>
      <c r="AV12">
        <v>100</v>
      </c>
      <c r="AW12">
        <v>290160</v>
      </c>
      <c r="AX12">
        <v>287258</v>
      </c>
      <c r="AY12">
        <v>627</v>
      </c>
      <c r="AZ12">
        <v>365</v>
      </c>
      <c r="BA12">
        <v>262</v>
      </c>
      <c r="BB12">
        <v>0</v>
      </c>
      <c r="BC12" s="2">
        <v>44665</v>
      </c>
      <c r="BD12" t="s">
        <v>171</v>
      </c>
      <c r="BE12">
        <v>399219</v>
      </c>
      <c r="BF12">
        <v>399219</v>
      </c>
      <c r="BG12" t="s">
        <v>160</v>
      </c>
      <c r="BH12">
        <v>30</v>
      </c>
      <c r="BI12" t="s">
        <v>56</v>
      </c>
      <c r="BJ12" t="s">
        <v>161</v>
      </c>
      <c r="BK12">
        <v>398100</v>
      </c>
      <c r="BL12">
        <v>60800</v>
      </c>
      <c r="BM12">
        <v>337300</v>
      </c>
      <c r="BN12">
        <v>0</v>
      </c>
      <c r="BO12">
        <v>375519.70500152785</v>
      </c>
      <c r="BP12">
        <v>389723.34281190502</v>
      </c>
      <c r="BQ12">
        <f>(Sales[[#This Row],[DP1]]*Lookups!$B$61)+(Sales[[#This Row],[DP2]]*Lookups!$B$62)+(Sales[[#This Row],[DP3]]*Lookups!$B$63)</f>
        <v>-14203.636981</v>
      </c>
      <c r="BR12">
        <f>Lookups!$B$58*0.6</f>
        <v>132535.48800000001</v>
      </c>
      <c r="BS12">
        <f>Lookups!$B$58*0.4</f>
        <v>88356.992000000013</v>
      </c>
      <c r="BT12">
        <f>Lookups!$B$59*Sales[[#This Row],[LnAcres]]</f>
        <v>-24051.387388882686</v>
      </c>
      <c r="BU12">
        <f>VLOOKUP(Sales[[#This Row],[Qlty]],Lookups!$A$66:$E$79,2,FALSE)</f>
        <v>37154.252388000001</v>
      </c>
      <c r="BV12">
        <f>VLOOKUP(Sales[[#This Row],[Cnd]],Lookups!$A$80:$E$91,2,FALSE)</f>
        <v>47371.278778200001</v>
      </c>
      <c r="BW12">
        <f>Sales[[#This Row],[EffAge]]*Lookups!$B$65</f>
        <v>-217.48220000000001</v>
      </c>
      <c r="BX12">
        <f>Sales[[#This Row],[MainFn]]*Lookups!$B$90</f>
        <v>101042.40522</v>
      </c>
      <c r="BY12">
        <f>Sales[[#This Row],[UpprFn]]*Lookups!$B$91</f>
        <v>0</v>
      </c>
      <c r="BZ12">
        <f>Sales[[#This Row],[Bsmt]]*Lookups!$B$95</f>
        <v>0</v>
      </c>
      <c r="CA12">
        <f>VLOOKUP(Sales[[#This Row],[MsnryTrim]],Lookups!$A$90:$E$99,2,FALSE)</f>
        <v>-9412.7029999999995</v>
      </c>
      <c r="CB12">
        <f>Sales[[#This Row],[PrefabFP]]*Lookups!$B$92</f>
        <v>0</v>
      </c>
      <c r="CC12">
        <f>Sales[[#This Row],[AttGar]]*Lookups!$B$93</f>
        <v>16944.494880000002</v>
      </c>
      <c r="CD12">
        <f>Sales[[#This Row],[BltinGar]]*Lookups!$B$94</f>
        <v>0</v>
      </c>
      <c r="CE12">
        <f>SUM(Sales[[#This Row],[Days Prior Total]:[Mdl BltinGar]])</f>
        <v>375519.70169631735</v>
      </c>
      <c r="CF12">
        <f>ROUND(Sales[[#This Row],[25Det]],-2)</f>
        <v>0</v>
      </c>
      <c r="CG12">
        <f>ROUND(SUM(Sales[[#This Row],[Mdl Qlty]:[Mdl BltinGar]])+Sales[[#This Row],[Mdl Res Intercept]]+Sales[[#This Row],[Days Prior Total]],-2)</f>
        <v>311200</v>
      </c>
      <c r="CH12">
        <f>ROUND(Sales[[#This Row],[Mdl Land Intercept]]+Sales[[#This Row],[Mdl LnAcres]],-2)</f>
        <v>64300</v>
      </c>
      <c r="CI12">
        <f>Sales[[#This Row],[Unadj Res Value]]+Sales[[#This Row],[Unadj Det Value]]+Sales[[#This Row],[Unadj Land Value]]</f>
        <v>375500</v>
      </c>
      <c r="CJ12" s="10">
        <f>Sales[[#This Row],[Price]]/Sales[[#This Row],[Unadj Total Value]]</f>
        <v>1.0631664447403462</v>
      </c>
      <c r="CK12" s="10">
        <f>(Sales[[#This Row],[Unadj Total Value]]-Sales[[#This Row],[24Final]])/Sales[[#This Row],[24Final]]</f>
        <v>-5.6769655865360459E-2</v>
      </c>
      <c r="CL12">
        <f>VLOOKUP(Sales[[#This Row],[TNbhd]],Lookups!$M$3:$P$5,4,FALSE)</f>
        <v>0.99970000000000003</v>
      </c>
      <c r="CM12">
        <f>VLOOKUP(Sales[[#This Row],[Qlty]],Lookups!$M$8:$P$22,4,FALSE)</f>
        <v>0.99819999999999998</v>
      </c>
      <c r="CN12">
        <f>VLOOKUP(Sales[[#This Row],[Cnd]],Lookups!$R$8:$U$17,4,FALSE)</f>
        <v>1.0012000000000001</v>
      </c>
      <c r="CO12">
        <f>VLOOKUP(Sales[[#This Row],[LivArea Range]],Lookups!$R$25:$U$43,4,FALSE)</f>
        <v>1.0007999999999999</v>
      </c>
      <c r="CP12">
        <f>VLOOKUP(Sales[[#This Row],[Decade]],Lookups!$M$24:$P$40,4,FALSE)</f>
        <v>1.0024</v>
      </c>
      <c r="CQ12">
        <f>Sales[[#This Row],[Nbhd Adj]]*0.95</f>
        <v>0.94971499999999998</v>
      </c>
      <c r="CR12">
        <f>Sales[[#This Row],[Nbhd Adj]]*Sales[[#This Row],[Quality Adj]]*Sales[[#This Row],[Condition Adj]]*Sales[[#This Row],[Living Area Adj]]*Sales[[#This Row],[Decade Adj]]*0.95</f>
        <v>0.95218219995315945</v>
      </c>
      <c r="CS12">
        <f>ROUND(SUM(Sales[[#This Row],[Mdl Qlty]:[Mdl BltinGar]])+Sales[[#This Row],[Mdl Res Intercept]]*Sales[[#This Row],[Res Adj ]],-2)</f>
        <v>319100</v>
      </c>
      <c r="CT12">
        <f>ROUND(Sales[[#This Row],[25Det]]*Sales[[#This Row],[Det/Nbhd Adj]],-2)</f>
        <v>0</v>
      </c>
      <c r="CU12">
        <f>Sales[[#This Row],[Adjusted Res]]+Sales[[#This Row],[Adj Det ]]</f>
        <v>319100</v>
      </c>
      <c r="CV12">
        <f>ROUND((Sales[[#This Row],[Mdl Land Intercept]]+Sales[[#This Row],[Mdl LnAcres]])*Sales[[#This Row],[Det/Nbhd Adj]],-2)</f>
        <v>61100</v>
      </c>
      <c r="CW12">
        <f>Sales[[#This Row],[Adjusted Impr Total]]+Sales[[#This Row],[Adjusted Land Total]]</f>
        <v>380200</v>
      </c>
      <c r="CX12" s="10">
        <f>IFERROR((Sales[[#This Row],[Adjusted Impr Total]]-Sales[[#This Row],[24Bldg]])/Sales[[#This Row],[24Bldg]],0)</f>
        <v>-5.3957900978357544E-2</v>
      </c>
      <c r="CY12" s="10">
        <f>(Sales[[#This Row],[Adjusted Land Total]]-Sales[[#This Row],[24Lnd]])/Sales[[#This Row],[24Lnd]]</f>
        <v>4.9342105263157892E-3</v>
      </c>
      <c r="CZ12">
        <f>(Sales[[#This Row],[Adjusted Total]]-Sales[[#This Row],[24Final]])/Sales[[#This Row],[24Final]]</f>
        <v>-4.4963576990705856E-2</v>
      </c>
      <c r="DA12" s="10">
        <f>(Sales[[#This Row],[Adjusted Total]]+Sales[[#This Row],[Days Prior Total]])/Sales[[#This Row],[Price]]</f>
        <v>0.91678092229828734</v>
      </c>
    </row>
    <row r="13" spans="1:105">
      <c r="A13">
        <v>2025</v>
      </c>
      <c r="B13">
        <v>19120114478</v>
      </c>
      <c r="C13">
        <v>-1.8325814637483102</v>
      </c>
      <c r="D13">
        <v>0.16</v>
      </c>
      <c r="E13">
        <v>7002</v>
      </c>
      <c r="F13">
        <v>2</v>
      </c>
      <c r="G13" t="s">
        <v>155</v>
      </c>
      <c r="H13">
        <v>317</v>
      </c>
      <c r="I13" t="s">
        <v>5</v>
      </c>
      <c r="J13" t="s">
        <v>156</v>
      </c>
      <c r="K13">
        <v>11</v>
      </c>
      <c r="L13">
        <v>259</v>
      </c>
      <c r="M13" t="s">
        <v>157</v>
      </c>
      <c r="N13" t="s">
        <v>19</v>
      </c>
      <c r="O13" t="s">
        <v>24</v>
      </c>
      <c r="P13">
        <v>2022</v>
      </c>
      <c r="Q13">
        <v>2022</v>
      </c>
      <c r="R13">
        <v>10</v>
      </c>
      <c r="S13">
        <v>2</v>
      </c>
      <c r="T13">
        <v>2</v>
      </c>
      <c r="U13">
        <v>1</v>
      </c>
      <c r="V13">
        <v>1452</v>
      </c>
      <c r="W13">
        <v>0</v>
      </c>
      <c r="X13">
        <v>0</v>
      </c>
      <c r="Y13">
        <v>0</v>
      </c>
      <c r="Z13">
        <v>0</v>
      </c>
      <c r="AA13">
        <v>0</v>
      </c>
      <c r="AB13">
        <v>1452</v>
      </c>
      <c r="AC13">
        <v>1500</v>
      </c>
      <c r="AD13">
        <v>2</v>
      </c>
      <c r="AE13" t="s">
        <v>57</v>
      </c>
      <c r="AF13" t="s">
        <v>158</v>
      </c>
      <c r="AG13" t="s">
        <v>21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9</v>
      </c>
      <c r="AO13">
        <v>400</v>
      </c>
      <c r="AP13">
        <v>0</v>
      </c>
      <c r="AQ13">
        <v>0</v>
      </c>
      <c r="AR13">
        <v>0</v>
      </c>
      <c r="AS13">
        <v>100</v>
      </c>
      <c r="AT13">
        <v>0</v>
      </c>
      <c r="AU13">
        <v>100</v>
      </c>
      <c r="AV13">
        <v>100</v>
      </c>
      <c r="AW13">
        <v>257722</v>
      </c>
      <c r="AX13">
        <v>255145</v>
      </c>
      <c r="AY13">
        <v>228</v>
      </c>
      <c r="AZ13">
        <v>228</v>
      </c>
      <c r="BA13">
        <v>0</v>
      </c>
      <c r="BB13">
        <v>0</v>
      </c>
      <c r="BC13" s="2">
        <v>45064</v>
      </c>
      <c r="BD13" t="s">
        <v>172</v>
      </c>
      <c r="BE13">
        <v>389000</v>
      </c>
      <c r="BF13">
        <v>389000</v>
      </c>
      <c r="BG13" t="s">
        <v>160</v>
      </c>
      <c r="BH13">
        <v>30</v>
      </c>
      <c r="BI13" t="s">
        <v>56</v>
      </c>
      <c r="BJ13" t="s">
        <v>161</v>
      </c>
      <c r="BK13">
        <v>373300</v>
      </c>
      <c r="BL13">
        <v>60800</v>
      </c>
      <c r="BM13">
        <v>312500</v>
      </c>
      <c r="BN13">
        <v>0</v>
      </c>
      <c r="BO13">
        <v>392167.72899126093</v>
      </c>
      <c r="BP13">
        <v>390002.30796677945</v>
      </c>
      <c r="BQ13">
        <f>(Sales[[#This Row],[DP1]]*Lookups!$B$61)+(Sales[[#This Row],[DP2]]*Lookups!$B$62)+(Sales[[#This Row],[DP3]]*Lookups!$B$63)</f>
        <v>2165.4210168</v>
      </c>
      <c r="BR13">
        <f>Lookups!$B$58*0.6</f>
        <v>132535.48800000001</v>
      </c>
      <c r="BS13">
        <f>Lookups!$B$58*0.4</f>
        <v>88356.992000000013</v>
      </c>
      <c r="BT13">
        <f>Lookups!$B$59*Sales[[#This Row],[LnAcres]]</f>
        <v>-24051.387388882686</v>
      </c>
      <c r="BU13">
        <f>VLOOKUP(Sales[[#This Row],[Qlty]],Lookups!$A$66:$E$79,2,FALSE)</f>
        <v>37154.252388000001</v>
      </c>
      <c r="BV13">
        <f>VLOOKUP(Sales[[#This Row],[Cnd]],Lookups!$A$80:$E$91,2,FALSE)</f>
        <v>47371.278778200001</v>
      </c>
      <c r="BW13">
        <f>Sales[[#This Row],[EffAge]]*Lookups!$B$65</f>
        <v>-217.48220000000001</v>
      </c>
      <c r="BX13">
        <f>Sales[[#This Row],[MainFn]]*Lookups!$B$90</f>
        <v>90619.871760000009</v>
      </c>
      <c r="BY13">
        <f>Sales[[#This Row],[UpprFn]]*Lookups!$B$91</f>
        <v>0</v>
      </c>
      <c r="BZ13">
        <f>Sales[[#This Row],[Bsmt]]*Lookups!$B$95</f>
        <v>0</v>
      </c>
      <c r="CA13">
        <f>VLOOKUP(Sales[[#This Row],[MsnryTrim]],Lookups!$A$90:$E$99,2,FALSE)</f>
        <v>4112.8784489</v>
      </c>
      <c r="CB13">
        <f>Sales[[#This Row],[PrefabFP]]*Lookups!$B$92</f>
        <v>0</v>
      </c>
      <c r="CC13">
        <f>Sales[[#This Row],[AttGar]]*Lookups!$B$93</f>
        <v>14120.412400000001</v>
      </c>
      <c r="CD13">
        <f>Sales[[#This Row],[BltinGar]]*Lookups!$B$94</f>
        <v>0</v>
      </c>
      <c r="CE13">
        <f>SUM(Sales[[#This Row],[Days Prior Total]:[Mdl BltinGar]])</f>
        <v>392167.72520301735</v>
      </c>
      <c r="CF13">
        <f>ROUND(Sales[[#This Row],[25Det]],-2)</f>
        <v>0</v>
      </c>
      <c r="CG13">
        <f>ROUND(SUM(Sales[[#This Row],[Mdl Qlty]:[Mdl BltinGar]])+Sales[[#This Row],[Mdl Res Intercept]]+Sales[[#This Row],[Days Prior Total]],-2)</f>
        <v>327900</v>
      </c>
      <c r="CH13">
        <f>ROUND(Sales[[#This Row],[Mdl Land Intercept]]+Sales[[#This Row],[Mdl LnAcres]],-2)</f>
        <v>64300</v>
      </c>
      <c r="CI13">
        <f>Sales[[#This Row],[Unadj Res Value]]+Sales[[#This Row],[Unadj Det Value]]+Sales[[#This Row],[Unadj Land Value]]</f>
        <v>392200</v>
      </c>
      <c r="CJ13" s="10">
        <f>Sales[[#This Row],[Price]]/Sales[[#This Row],[Unadj Total Value]]</f>
        <v>0.99184089750127491</v>
      </c>
      <c r="CK13" s="10">
        <f>(Sales[[#This Row],[Unadj Total Value]]-Sales[[#This Row],[24Final]])/Sales[[#This Row],[24Final]]</f>
        <v>5.0629520492901155E-2</v>
      </c>
      <c r="CL13">
        <f>VLOOKUP(Sales[[#This Row],[TNbhd]],Lookups!$M$3:$P$5,4,FALSE)</f>
        <v>0.99970000000000003</v>
      </c>
      <c r="CM13">
        <f>VLOOKUP(Sales[[#This Row],[Qlty]],Lookups!$M$8:$P$22,4,FALSE)</f>
        <v>0.99819999999999998</v>
      </c>
      <c r="CN13">
        <f>VLOOKUP(Sales[[#This Row],[Cnd]],Lookups!$R$8:$U$17,4,FALSE)</f>
        <v>1.0012000000000001</v>
      </c>
      <c r="CO13">
        <f>VLOOKUP(Sales[[#This Row],[LivArea Range]],Lookups!$R$25:$U$43,4,FALSE)</f>
        <v>0.99519999999999997</v>
      </c>
      <c r="CP13">
        <f>VLOOKUP(Sales[[#This Row],[Decade]],Lookups!$M$24:$P$40,4,FALSE)</f>
        <v>1.0024</v>
      </c>
      <c r="CQ13">
        <f>Sales[[#This Row],[Nbhd Adj]]*0.95</f>
        <v>0.94971499999999998</v>
      </c>
      <c r="CR13">
        <f>Sales[[#This Row],[Nbhd Adj]]*Sales[[#This Row],[Quality Adj]]*Sales[[#This Row],[Condition Adj]]*Sales[[#This Row],[Living Area Adj]]*Sales[[#This Row],[Decade Adj]]*0.95</f>
        <v>0.94685424199978463</v>
      </c>
      <c r="CS13">
        <f>ROUND(SUM(Sales[[#This Row],[Mdl Qlty]:[Mdl BltinGar]])+Sales[[#This Row],[Mdl Res Intercept]]*Sales[[#This Row],[Res Adj ]],-2)</f>
        <v>318700</v>
      </c>
      <c r="CT13">
        <f>ROUND(Sales[[#This Row],[25Det]]*Sales[[#This Row],[Det/Nbhd Adj]],-2)</f>
        <v>0</v>
      </c>
      <c r="CU13">
        <f>Sales[[#This Row],[Adjusted Res]]+Sales[[#This Row],[Adj Det ]]</f>
        <v>318700</v>
      </c>
      <c r="CV13">
        <f>ROUND((Sales[[#This Row],[Mdl Land Intercept]]+Sales[[#This Row],[Mdl LnAcres]])*Sales[[#This Row],[Det/Nbhd Adj]],-2)</f>
        <v>61100</v>
      </c>
      <c r="CW13">
        <f>Sales[[#This Row],[Adjusted Impr Total]]+Sales[[#This Row],[Adjusted Land Total]]</f>
        <v>379800</v>
      </c>
      <c r="CX13" s="10">
        <f>IFERROR((Sales[[#This Row],[Adjusted Impr Total]]-Sales[[#This Row],[24Bldg]])/Sales[[#This Row],[24Bldg]],0)</f>
        <v>1.984E-2</v>
      </c>
      <c r="CY13" s="10">
        <f>(Sales[[#This Row],[Adjusted Land Total]]-Sales[[#This Row],[24Lnd]])/Sales[[#This Row],[24Lnd]]</f>
        <v>4.9342105263157892E-3</v>
      </c>
      <c r="CZ13">
        <f>(Sales[[#This Row],[Adjusted Total]]-Sales[[#This Row],[24Final]])/Sales[[#This Row],[24Final]]</f>
        <v>1.7412268952585051E-2</v>
      </c>
      <c r="DA13" s="10">
        <f>(Sales[[#This Row],[Adjusted Total]]+Sales[[#This Row],[Days Prior Total]])/Sales[[#This Row],[Price]]</f>
        <v>0.98191624940051414</v>
      </c>
    </row>
    <row r="14" spans="1:105">
      <c r="A14">
        <v>2025</v>
      </c>
      <c r="B14">
        <v>19120114478</v>
      </c>
      <c r="C14">
        <v>-1.8325814637483102</v>
      </c>
      <c r="D14">
        <v>0.16</v>
      </c>
      <c r="E14">
        <v>7002</v>
      </c>
      <c r="F14">
        <v>2</v>
      </c>
      <c r="G14" t="s">
        <v>155</v>
      </c>
      <c r="H14">
        <v>317</v>
      </c>
      <c r="I14" t="s">
        <v>5</v>
      </c>
      <c r="J14" t="s">
        <v>156</v>
      </c>
      <c r="K14">
        <v>11</v>
      </c>
      <c r="L14">
        <v>259</v>
      </c>
      <c r="M14" t="s">
        <v>157</v>
      </c>
      <c r="N14" t="s">
        <v>19</v>
      </c>
      <c r="O14" t="s">
        <v>24</v>
      </c>
      <c r="P14">
        <v>2022</v>
      </c>
      <c r="Q14">
        <v>2022</v>
      </c>
      <c r="R14">
        <v>10</v>
      </c>
      <c r="S14">
        <v>2</v>
      </c>
      <c r="T14">
        <v>2</v>
      </c>
      <c r="U14">
        <v>1</v>
      </c>
      <c r="V14">
        <v>1452</v>
      </c>
      <c r="W14">
        <v>0</v>
      </c>
      <c r="X14">
        <v>0</v>
      </c>
      <c r="Y14">
        <v>0</v>
      </c>
      <c r="Z14">
        <v>0</v>
      </c>
      <c r="AA14">
        <v>0</v>
      </c>
      <c r="AB14">
        <v>1452</v>
      </c>
      <c r="AC14">
        <v>1500</v>
      </c>
      <c r="AD14">
        <v>2</v>
      </c>
      <c r="AE14" t="s">
        <v>57</v>
      </c>
      <c r="AF14" t="s">
        <v>158</v>
      </c>
      <c r="AG14" t="s">
        <v>21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9</v>
      </c>
      <c r="AO14">
        <v>400</v>
      </c>
      <c r="AP14">
        <v>0</v>
      </c>
      <c r="AQ14">
        <v>0</v>
      </c>
      <c r="AR14">
        <v>0</v>
      </c>
      <c r="AS14">
        <v>100</v>
      </c>
      <c r="AT14">
        <v>0</v>
      </c>
      <c r="AU14">
        <v>100</v>
      </c>
      <c r="AV14">
        <v>100</v>
      </c>
      <c r="AW14">
        <v>257722</v>
      </c>
      <c r="AX14">
        <v>255145</v>
      </c>
      <c r="AY14">
        <v>587</v>
      </c>
      <c r="AZ14">
        <v>365</v>
      </c>
      <c r="BA14">
        <v>222</v>
      </c>
      <c r="BB14">
        <v>0</v>
      </c>
      <c r="BC14" s="2">
        <v>44705</v>
      </c>
      <c r="BD14" t="s">
        <v>173</v>
      </c>
      <c r="BE14">
        <v>370636</v>
      </c>
      <c r="BF14">
        <v>370636</v>
      </c>
      <c r="BG14" t="s">
        <v>160</v>
      </c>
      <c r="BH14">
        <v>30</v>
      </c>
      <c r="BI14" t="s">
        <v>56</v>
      </c>
      <c r="BJ14" t="s">
        <v>161</v>
      </c>
      <c r="BK14">
        <v>373300</v>
      </c>
      <c r="BL14">
        <v>60800</v>
      </c>
      <c r="BM14">
        <v>312500</v>
      </c>
      <c r="BN14">
        <v>0</v>
      </c>
      <c r="BO14">
        <v>378496.41228490218</v>
      </c>
      <c r="BP14">
        <v>390002.30796677945</v>
      </c>
      <c r="BQ14">
        <f>(Sales[[#This Row],[DP1]]*Lookups!$B$61)+(Sales[[#This Row],[DP2]]*Lookups!$B$62)+(Sales[[#This Row],[DP3]]*Lookups!$B$63)</f>
        <v>-11505.894980999999</v>
      </c>
      <c r="BR14">
        <f>Lookups!$B$58*0.6</f>
        <v>132535.48800000001</v>
      </c>
      <c r="BS14">
        <f>Lookups!$B$58*0.4</f>
        <v>88356.992000000013</v>
      </c>
      <c r="BT14">
        <f>Lookups!$B$59*Sales[[#This Row],[LnAcres]]</f>
        <v>-24051.387388882686</v>
      </c>
      <c r="BU14">
        <f>VLOOKUP(Sales[[#This Row],[Qlty]],Lookups!$A$66:$E$79,2,FALSE)</f>
        <v>37154.252388000001</v>
      </c>
      <c r="BV14">
        <f>VLOOKUP(Sales[[#This Row],[Cnd]],Lookups!$A$80:$E$91,2,FALSE)</f>
        <v>47371.278778200001</v>
      </c>
      <c r="BW14">
        <f>Sales[[#This Row],[EffAge]]*Lookups!$B$65</f>
        <v>-217.48220000000001</v>
      </c>
      <c r="BX14">
        <f>Sales[[#This Row],[MainFn]]*Lookups!$B$90</f>
        <v>90619.871760000009</v>
      </c>
      <c r="BY14">
        <f>Sales[[#This Row],[UpprFn]]*Lookups!$B$91</f>
        <v>0</v>
      </c>
      <c r="BZ14">
        <f>Sales[[#This Row],[Bsmt]]*Lookups!$B$95</f>
        <v>0</v>
      </c>
      <c r="CA14">
        <f>VLOOKUP(Sales[[#This Row],[MsnryTrim]],Lookups!$A$90:$E$99,2,FALSE)</f>
        <v>4112.8784489</v>
      </c>
      <c r="CB14">
        <f>Sales[[#This Row],[PrefabFP]]*Lookups!$B$92</f>
        <v>0</v>
      </c>
      <c r="CC14">
        <f>Sales[[#This Row],[AttGar]]*Lookups!$B$93</f>
        <v>14120.412400000001</v>
      </c>
      <c r="CD14">
        <f>Sales[[#This Row],[BltinGar]]*Lookups!$B$94</f>
        <v>0</v>
      </c>
      <c r="CE14">
        <f>SUM(Sales[[#This Row],[Days Prior Total]:[Mdl BltinGar]])</f>
        <v>378496.40920521726</v>
      </c>
      <c r="CF14">
        <f>ROUND(Sales[[#This Row],[25Det]],-2)</f>
        <v>0</v>
      </c>
      <c r="CG14">
        <f>ROUND(SUM(Sales[[#This Row],[Mdl Qlty]:[Mdl BltinGar]])+Sales[[#This Row],[Mdl Res Intercept]]+Sales[[#This Row],[Days Prior Total]],-2)</f>
        <v>314200</v>
      </c>
      <c r="CH14">
        <f>ROUND(Sales[[#This Row],[Mdl Land Intercept]]+Sales[[#This Row],[Mdl LnAcres]],-2)</f>
        <v>64300</v>
      </c>
      <c r="CI14">
        <f>Sales[[#This Row],[Unadj Res Value]]+Sales[[#This Row],[Unadj Det Value]]+Sales[[#This Row],[Unadj Land Value]]</f>
        <v>378500</v>
      </c>
      <c r="CJ14" s="10">
        <f>Sales[[#This Row],[Price]]/Sales[[#This Row],[Unadj Total Value]]</f>
        <v>0.97922324966974905</v>
      </c>
      <c r="CK14" s="10">
        <f>(Sales[[#This Row],[Unadj Total Value]]-Sales[[#This Row],[24Final]])/Sales[[#This Row],[24Final]]</f>
        <v>1.3929815162068041E-2</v>
      </c>
      <c r="CL14">
        <f>VLOOKUP(Sales[[#This Row],[TNbhd]],Lookups!$M$3:$P$5,4,FALSE)</f>
        <v>0.99970000000000003</v>
      </c>
      <c r="CM14">
        <f>VLOOKUP(Sales[[#This Row],[Qlty]],Lookups!$M$8:$P$22,4,FALSE)</f>
        <v>0.99819999999999998</v>
      </c>
      <c r="CN14">
        <f>VLOOKUP(Sales[[#This Row],[Cnd]],Lookups!$R$8:$U$17,4,FALSE)</f>
        <v>1.0012000000000001</v>
      </c>
      <c r="CO14">
        <f>VLOOKUP(Sales[[#This Row],[LivArea Range]],Lookups!$R$25:$U$43,4,FALSE)</f>
        <v>0.99519999999999997</v>
      </c>
      <c r="CP14">
        <f>VLOOKUP(Sales[[#This Row],[Decade]],Lookups!$M$24:$P$40,4,FALSE)</f>
        <v>1.0024</v>
      </c>
      <c r="CQ14">
        <f>Sales[[#This Row],[Nbhd Adj]]*0.95</f>
        <v>0.94971499999999998</v>
      </c>
      <c r="CR14">
        <f>Sales[[#This Row],[Nbhd Adj]]*Sales[[#This Row],[Quality Adj]]*Sales[[#This Row],[Condition Adj]]*Sales[[#This Row],[Living Area Adj]]*Sales[[#This Row],[Decade Adj]]*0.95</f>
        <v>0.94685424199978463</v>
      </c>
      <c r="CS14">
        <f>ROUND(SUM(Sales[[#This Row],[Mdl Qlty]:[Mdl BltinGar]])+Sales[[#This Row],[Mdl Res Intercept]]*Sales[[#This Row],[Res Adj ]],-2)</f>
        <v>318700</v>
      </c>
      <c r="CT14">
        <f>ROUND(Sales[[#This Row],[25Det]]*Sales[[#This Row],[Det/Nbhd Adj]],-2)</f>
        <v>0</v>
      </c>
      <c r="CU14">
        <f>Sales[[#This Row],[Adjusted Res]]+Sales[[#This Row],[Adj Det ]]</f>
        <v>318700</v>
      </c>
      <c r="CV14">
        <f>ROUND((Sales[[#This Row],[Mdl Land Intercept]]+Sales[[#This Row],[Mdl LnAcres]])*Sales[[#This Row],[Det/Nbhd Adj]],-2)</f>
        <v>61100</v>
      </c>
      <c r="CW14">
        <f>Sales[[#This Row],[Adjusted Impr Total]]+Sales[[#This Row],[Adjusted Land Total]]</f>
        <v>379800</v>
      </c>
      <c r="CX14" s="10">
        <f>IFERROR((Sales[[#This Row],[Adjusted Impr Total]]-Sales[[#This Row],[24Bldg]])/Sales[[#This Row],[24Bldg]],0)</f>
        <v>1.984E-2</v>
      </c>
      <c r="CY14" s="10">
        <f>(Sales[[#This Row],[Adjusted Land Total]]-Sales[[#This Row],[24Lnd]])/Sales[[#This Row],[24Lnd]]</f>
        <v>4.9342105263157892E-3</v>
      </c>
      <c r="CZ14">
        <f>(Sales[[#This Row],[Adjusted Total]]-Sales[[#This Row],[24Final]])/Sales[[#This Row],[24Final]]</f>
        <v>1.7412268952585051E-2</v>
      </c>
      <c r="DA14" s="10">
        <f>(Sales[[#This Row],[Adjusted Total]]+Sales[[#This Row],[Days Prior Total]])/Sales[[#This Row],[Price]]</f>
        <v>0.99368141524028974</v>
      </c>
    </row>
    <row r="15" spans="1:105">
      <c r="A15">
        <v>2025</v>
      </c>
      <c r="B15">
        <v>19120114479</v>
      </c>
      <c r="C15">
        <v>-1.8325814637483102</v>
      </c>
      <c r="D15">
        <v>0.16</v>
      </c>
      <c r="E15">
        <v>7027</v>
      </c>
      <c r="F15">
        <v>2</v>
      </c>
      <c r="G15" t="s">
        <v>155</v>
      </c>
      <c r="H15">
        <v>317</v>
      </c>
      <c r="I15" t="s">
        <v>5</v>
      </c>
      <c r="J15" t="s">
        <v>156</v>
      </c>
      <c r="K15">
        <v>11</v>
      </c>
      <c r="L15">
        <v>259</v>
      </c>
      <c r="M15" t="s">
        <v>157</v>
      </c>
      <c r="N15" t="s">
        <v>21</v>
      </c>
      <c r="O15" t="s">
        <v>24</v>
      </c>
      <c r="P15">
        <v>2022</v>
      </c>
      <c r="Q15">
        <v>2022</v>
      </c>
      <c r="R15">
        <v>10</v>
      </c>
      <c r="S15">
        <v>2</v>
      </c>
      <c r="T15">
        <v>2</v>
      </c>
      <c r="U15">
        <v>2</v>
      </c>
      <c r="V15">
        <v>918</v>
      </c>
      <c r="W15">
        <v>1296</v>
      </c>
      <c r="X15">
        <v>0</v>
      </c>
      <c r="Y15">
        <v>0</v>
      </c>
      <c r="Z15">
        <v>0</v>
      </c>
      <c r="AA15">
        <v>0</v>
      </c>
      <c r="AB15">
        <v>2214</v>
      </c>
      <c r="AC15">
        <v>2500</v>
      </c>
      <c r="AD15">
        <v>2</v>
      </c>
      <c r="AE15" t="s">
        <v>56</v>
      </c>
      <c r="AF15" t="s">
        <v>158</v>
      </c>
      <c r="AG15" t="s">
        <v>21</v>
      </c>
      <c r="AI15">
        <v>0</v>
      </c>
      <c r="AJ15">
        <v>0</v>
      </c>
      <c r="AK15">
        <v>0</v>
      </c>
      <c r="AL15">
        <v>0</v>
      </c>
      <c r="AM15">
        <v>1</v>
      </c>
      <c r="AN15">
        <v>13</v>
      </c>
      <c r="AO15">
        <v>0</v>
      </c>
      <c r="AP15">
        <v>400</v>
      </c>
      <c r="AQ15">
        <v>0</v>
      </c>
      <c r="AR15">
        <v>0</v>
      </c>
      <c r="AS15">
        <v>100</v>
      </c>
      <c r="AT15">
        <v>0</v>
      </c>
      <c r="AU15">
        <v>100</v>
      </c>
      <c r="AV15">
        <v>100</v>
      </c>
      <c r="AW15">
        <v>392433</v>
      </c>
      <c r="AX15">
        <v>388509</v>
      </c>
      <c r="AY15">
        <v>698</v>
      </c>
      <c r="AZ15">
        <v>365</v>
      </c>
      <c r="BA15">
        <v>333</v>
      </c>
      <c r="BB15">
        <v>0</v>
      </c>
      <c r="BC15" s="2">
        <v>44594</v>
      </c>
      <c r="BD15" t="s">
        <v>174</v>
      </c>
      <c r="BE15">
        <v>426408</v>
      </c>
      <c r="BF15">
        <v>426408</v>
      </c>
      <c r="BG15" t="s">
        <v>160</v>
      </c>
      <c r="BH15">
        <v>30</v>
      </c>
      <c r="BI15" t="s">
        <v>56</v>
      </c>
      <c r="BJ15" t="s">
        <v>161</v>
      </c>
      <c r="BK15">
        <v>416300</v>
      </c>
      <c r="BL15">
        <v>60800</v>
      </c>
      <c r="BM15">
        <v>355500</v>
      </c>
      <c r="BN15">
        <v>0</v>
      </c>
      <c r="BO15">
        <v>402775.53431102622</v>
      </c>
      <c r="BP15">
        <v>421767.66439949069</v>
      </c>
      <c r="BQ15">
        <f>(Sales[[#This Row],[DP1]]*Lookups!$B$61)+(Sales[[#This Row],[DP2]]*Lookups!$B$62)+(Sales[[#This Row],[DP3]]*Lookups!$B$63)</f>
        <v>-18992.129031</v>
      </c>
      <c r="BR15">
        <f>Lookups!$B$58*0.6</f>
        <v>132535.48800000001</v>
      </c>
      <c r="BS15">
        <f>Lookups!$B$58*0.4</f>
        <v>88356.992000000013</v>
      </c>
      <c r="BT15">
        <f>Lookups!$B$59*Sales[[#This Row],[LnAcres]]</f>
        <v>-24051.387388882686</v>
      </c>
      <c r="BU15">
        <f>VLOOKUP(Sales[[#This Row],[Qlty]],Lookups!$A$66:$E$79,2,FALSE)</f>
        <v>32917.849192000001</v>
      </c>
      <c r="BV15">
        <f>VLOOKUP(Sales[[#This Row],[Cnd]],Lookups!$A$80:$E$91,2,FALSE)</f>
        <v>47371.278778200001</v>
      </c>
      <c r="BW15">
        <f>Sales[[#This Row],[EffAge]]*Lookups!$B$65</f>
        <v>-217.48220000000001</v>
      </c>
      <c r="BX15">
        <f>Sales[[#This Row],[MainFn]]*Lookups!$B$90</f>
        <v>57292.728840000003</v>
      </c>
      <c r="BY15">
        <f>Sales[[#This Row],[UpprFn]]*Lookups!$B$91</f>
        <v>77216.176368</v>
      </c>
      <c r="BZ15">
        <f>Sales[[#This Row],[Bsmt]]*Lookups!$B$95</f>
        <v>0</v>
      </c>
      <c r="CA15">
        <f>VLOOKUP(Sales[[#This Row],[MsnryTrim]],Lookups!$A$90:$E$99,2,FALSE)</f>
        <v>-9412.7029999999995</v>
      </c>
      <c r="CB15">
        <f>Sales[[#This Row],[PrefabFP]]*Lookups!$B$92</f>
        <v>0</v>
      </c>
      <c r="CC15">
        <f>Sales[[#This Row],[AttGar]]*Lookups!$B$93</f>
        <v>0</v>
      </c>
      <c r="CD15">
        <f>Sales[[#This Row],[BltinGar]]*Lookups!$B$94</f>
        <v>19758.72</v>
      </c>
      <c r="CE15">
        <f>SUM(Sales[[#This Row],[Days Prior Total]:[Mdl BltinGar]])</f>
        <v>402775.53155831737</v>
      </c>
      <c r="CF15">
        <f>ROUND(Sales[[#This Row],[25Det]],-2)</f>
        <v>0</v>
      </c>
      <c r="CG15">
        <f>ROUND(SUM(Sales[[#This Row],[Mdl Qlty]:[Mdl BltinGar]])+Sales[[#This Row],[Mdl Res Intercept]]+Sales[[#This Row],[Days Prior Total]],-2)</f>
        <v>338500</v>
      </c>
      <c r="CH15">
        <f>ROUND(Sales[[#This Row],[Mdl Land Intercept]]+Sales[[#This Row],[Mdl LnAcres]],-2)</f>
        <v>64300</v>
      </c>
      <c r="CI15">
        <f>Sales[[#This Row],[Unadj Res Value]]+Sales[[#This Row],[Unadj Det Value]]+Sales[[#This Row],[Unadj Land Value]]</f>
        <v>402800</v>
      </c>
      <c r="CJ15" s="10">
        <f>Sales[[#This Row],[Price]]/Sales[[#This Row],[Unadj Total Value]]</f>
        <v>1.0586097318768619</v>
      </c>
      <c r="CK15" s="10">
        <f>(Sales[[#This Row],[Unadj Total Value]]-Sales[[#This Row],[24Final]])/Sales[[#This Row],[24Final]]</f>
        <v>-3.2428537112659139E-2</v>
      </c>
      <c r="CL15">
        <f>VLOOKUP(Sales[[#This Row],[TNbhd]],Lookups!$M$3:$P$5,4,FALSE)</f>
        <v>0.99970000000000003</v>
      </c>
      <c r="CM15">
        <f>VLOOKUP(Sales[[#This Row],[Qlty]],Lookups!$M$8:$P$22,4,FALSE)</f>
        <v>1.0019</v>
      </c>
      <c r="CN15">
        <f>VLOOKUP(Sales[[#This Row],[Cnd]],Lookups!$R$8:$U$17,4,FALSE)</f>
        <v>1.0012000000000001</v>
      </c>
      <c r="CO15">
        <f>VLOOKUP(Sales[[#This Row],[LivArea Range]],Lookups!$R$25:$U$43,4,FALSE)</f>
        <v>1.0008999999999999</v>
      </c>
      <c r="CP15">
        <f>VLOOKUP(Sales[[#This Row],[Decade]],Lookups!$M$24:$P$40,4,FALSE)</f>
        <v>1.0024</v>
      </c>
      <c r="CQ15">
        <f>Sales[[#This Row],[Nbhd Adj]]*0.95</f>
        <v>0.94971499999999998</v>
      </c>
      <c r="CR15">
        <f>Sales[[#This Row],[Nbhd Adj]]*Sales[[#This Row],[Quality Adj]]*Sales[[#This Row],[Condition Adj]]*Sales[[#This Row],[Living Area Adj]]*Sales[[#This Row],[Decade Adj]]*0.95</f>
        <v>0.95580712182867422</v>
      </c>
      <c r="CS15">
        <f>ROUND(SUM(Sales[[#This Row],[Mdl Qlty]:[Mdl BltinGar]])+Sales[[#This Row],[Mdl Res Intercept]]*Sales[[#This Row],[Res Adj ]],-2)</f>
        <v>351600</v>
      </c>
      <c r="CT15">
        <f>ROUND(Sales[[#This Row],[25Det]]*Sales[[#This Row],[Det/Nbhd Adj]],-2)</f>
        <v>0</v>
      </c>
      <c r="CU15">
        <f>Sales[[#This Row],[Adjusted Res]]+Sales[[#This Row],[Adj Det ]]</f>
        <v>351600</v>
      </c>
      <c r="CV15">
        <f>ROUND((Sales[[#This Row],[Mdl Land Intercept]]+Sales[[#This Row],[Mdl LnAcres]])*Sales[[#This Row],[Det/Nbhd Adj]],-2)</f>
        <v>61100</v>
      </c>
      <c r="CW15">
        <f>Sales[[#This Row],[Adjusted Impr Total]]+Sales[[#This Row],[Adjusted Land Total]]</f>
        <v>412700</v>
      </c>
      <c r="CX15" s="10">
        <f>IFERROR((Sales[[#This Row],[Adjusted Impr Total]]-Sales[[#This Row],[24Bldg]])/Sales[[#This Row],[24Bldg]],0)</f>
        <v>-1.0970464135021098E-2</v>
      </c>
      <c r="CY15" s="10">
        <f>(Sales[[#This Row],[Adjusted Land Total]]-Sales[[#This Row],[24Lnd]])/Sales[[#This Row],[24Lnd]]</f>
        <v>4.9342105263157892E-3</v>
      </c>
      <c r="CZ15">
        <f>(Sales[[#This Row],[Adjusted Total]]-Sales[[#This Row],[24Final]])/Sales[[#This Row],[24Final]]</f>
        <v>-8.6476098967091033E-3</v>
      </c>
      <c r="DA15" s="10">
        <f>(Sales[[#This Row],[Adjusted Total]]+Sales[[#This Row],[Days Prior Total]])/Sales[[#This Row],[Price]]</f>
        <v>0.92331258083572532</v>
      </c>
    </row>
    <row r="16" spans="1:105">
      <c r="A16">
        <v>2025</v>
      </c>
      <c r="B16">
        <v>19120114487</v>
      </c>
      <c r="C16">
        <v>-1.6094379124341003</v>
      </c>
      <c r="D16">
        <v>0.2</v>
      </c>
      <c r="E16">
        <v>8561</v>
      </c>
      <c r="F16">
        <v>2</v>
      </c>
      <c r="G16" t="s">
        <v>155</v>
      </c>
      <c r="H16">
        <v>317</v>
      </c>
      <c r="I16" t="s">
        <v>5</v>
      </c>
      <c r="J16" t="s">
        <v>156</v>
      </c>
      <c r="K16">
        <v>11</v>
      </c>
      <c r="L16">
        <v>259</v>
      </c>
      <c r="M16" t="s">
        <v>157</v>
      </c>
      <c r="N16" t="s">
        <v>21</v>
      </c>
      <c r="O16" t="s">
        <v>24</v>
      </c>
      <c r="P16">
        <v>2022</v>
      </c>
      <c r="Q16">
        <v>2022</v>
      </c>
      <c r="R16">
        <v>10</v>
      </c>
      <c r="S16">
        <v>2</v>
      </c>
      <c r="T16">
        <v>2</v>
      </c>
      <c r="U16">
        <v>1</v>
      </c>
      <c r="V16">
        <v>1842</v>
      </c>
      <c r="W16">
        <v>0</v>
      </c>
      <c r="X16">
        <v>0</v>
      </c>
      <c r="Y16">
        <v>0</v>
      </c>
      <c r="Z16">
        <v>0</v>
      </c>
      <c r="AA16">
        <v>0</v>
      </c>
      <c r="AB16">
        <v>1842</v>
      </c>
      <c r="AC16">
        <v>2000</v>
      </c>
      <c r="AD16">
        <v>3</v>
      </c>
      <c r="AE16" t="s">
        <v>56</v>
      </c>
      <c r="AF16" t="s">
        <v>158</v>
      </c>
      <c r="AG16" t="s">
        <v>21</v>
      </c>
      <c r="AI16">
        <v>0</v>
      </c>
      <c r="AJ16">
        <v>0</v>
      </c>
      <c r="AK16">
        <v>1</v>
      </c>
      <c r="AL16">
        <v>0</v>
      </c>
      <c r="AM16">
        <v>0</v>
      </c>
      <c r="AN16">
        <v>9</v>
      </c>
      <c r="AO16">
        <v>808</v>
      </c>
      <c r="AP16">
        <v>0</v>
      </c>
      <c r="AQ16">
        <v>0</v>
      </c>
      <c r="AR16">
        <v>0</v>
      </c>
      <c r="AS16">
        <v>216</v>
      </c>
      <c r="AT16">
        <v>0</v>
      </c>
      <c r="AU16">
        <v>100</v>
      </c>
      <c r="AV16">
        <v>100</v>
      </c>
      <c r="AW16">
        <v>370341</v>
      </c>
      <c r="AX16">
        <v>366638</v>
      </c>
      <c r="AY16">
        <v>579</v>
      </c>
      <c r="AZ16">
        <v>365</v>
      </c>
      <c r="BA16">
        <v>214</v>
      </c>
      <c r="BB16">
        <v>0</v>
      </c>
      <c r="BC16" s="2">
        <v>44713</v>
      </c>
      <c r="BD16" t="s">
        <v>175</v>
      </c>
      <c r="BE16">
        <v>420698</v>
      </c>
      <c r="BF16">
        <v>420698</v>
      </c>
      <c r="BG16" t="s">
        <v>160</v>
      </c>
      <c r="BH16">
        <v>30</v>
      </c>
      <c r="BI16" t="s">
        <v>56</v>
      </c>
      <c r="BJ16" t="s">
        <v>161</v>
      </c>
      <c r="BK16">
        <v>408800</v>
      </c>
      <c r="BL16">
        <v>64000</v>
      </c>
      <c r="BM16">
        <v>344800</v>
      </c>
      <c r="BN16">
        <v>0</v>
      </c>
      <c r="BO16">
        <v>412752.55723970116</v>
      </c>
      <c r="BP16">
        <v>423718.90449587855</v>
      </c>
      <c r="BQ16">
        <f>(Sales[[#This Row],[DP1]]*Lookups!$B$61)+(Sales[[#This Row],[DP2]]*Lookups!$B$62)+(Sales[[#This Row],[DP3]]*Lookups!$B$63)</f>
        <v>-10966.346581</v>
      </c>
      <c r="BR16">
        <f>Lookups!$B$58*0.6</f>
        <v>132535.48800000001</v>
      </c>
      <c r="BS16">
        <f>Lookups!$B$58*0.4</f>
        <v>88356.992000000013</v>
      </c>
      <c r="BT16">
        <f>Lookups!$B$59*Sales[[#This Row],[LnAcres]]</f>
        <v>-21122.779792355024</v>
      </c>
      <c r="BU16">
        <f>VLOOKUP(Sales[[#This Row],[Qlty]],Lookups!$A$66:$E$79,2,FALSE)</f>
        <v>32917.849192000001</v>
      </c>
      <c r="BV16">
        <f>VLOOKUP(Sales[[#This Row],[Cnd]],Lookups!$A$80:$E$91,2,FALSE)</f>
        <v>47371.278778200001</v>
      </c>
      <c r="BW16">
        <f>Sales[[#This Row],[EffAge]]*Lookups!$B$65</f>
        <v>-217.48220000000001</v>
      </c>
      <c r="BX16">
        <f>Sales[[#This Row],[MainFn]]*Lookups!$B$90</f>
        <v>114959.91996</v>
      </c>
      <c r="BY16">
        <f>Sales[[#This Row],[UpprFn]]*Lookups!$B$91</f>
        <v>0</v>
      </c>
      <c r="BZ16">
        <f>Sales[[#This Row],[Bsmt]]*Lookups!$B$95</f>
        <v>0</v>
      </c>
      <c r="CA16">
        <f>VLOOKUP(Sales[[#This Row],[MsnryTrim]],Lookups!$A$90:$E$99,2,FALSE)</f>
        <v>-9412.7029999999995</v>
      </c>
      <c r="CB16">
        <f>Sales[[#This Row],[PrefabFP]]*Lookups!$B$92</f>
        <v>9807.1044999999995</v>
      </c>
      <c r="CC16">
        <f>Sales[[#This Row],[AttGar]]*Lookups!$B$93</f>
        <v>28523.233048000002</v>
      </c>
      <c r="CD16">
        <f>Sales[[#This Row],[BltinGar]]*Lookups!$B$94</f>
        <v>0</v>
      </c>
      <c r="CE16">
        <f>SUM(Sales[[#This Row],[Days Prior Total]:[Mdl BltinGar]])</f>
        <v>412752.55390484503</v>
      </c>
      <c r="CF16">
        <f>ROUND(Sales[[#This Row],[25Det]],-2)</f>
        <v>0</v>
      </c>
      <c r="CG16">
        <f>ROUND(SUM(Sales[[#This Row],[Mdl Qlty]:[Mdl BltinGar]])+Sales[[#This Row],[Mdl Res Intercept]]+Sales[[#This Row],[Days Prior Total]],-2)</f>
        <v>345500</v>
      </c>
      <c r="CH16">
        <f>ROUND(Sales[[#This Row],[Mdl Land Intercept]]+Sales[[#This Row],[Mdl LnAcres]],-2)</f>
        <v>67200</v>
      </c>
      <c r="CI16">
        <f>Sales[[#This Row],[Unadj Res Value]]+Sales[[#This Row],[Unadj Det Value]]+Sales[[#This Row],[Unadj Land Value]]</f>
        <v>412700</v>
      </c>
      <c r="CJ16" s="10">
        <f>Sales[[#This Row],[Price]]/Sales[[#This Row],[Unadj Total Value]]</f>
        <v>1.0193796946934819</v>
      </c>
      <c r="CK16" s="10">
        <f>(Sales[[#This Row],[Unadj Total Value]]-Sales[[#This Row],[24Final]])/Sales[[#This Row],[24Final]]</f>
        <v>9.5401174168297451E-3</v>
      </c>
      <c r="CL16">
        <f>VLOOKUP(Sales[[#This Row],[TNbhd]],Lookups!$M$3:$P$5,4,FALSE)</f>
        <v>0.99970000000000003</v>
      </c>
      <c r="CM16">
        <f>VLOOKUP(Sales[[#This Row],[Qlty]],Lookups!$M$8:$P$22,4,FALSE)</f>
        <v>1.0019</v>
      </c>
      <c r="CN16">
        <f>VLOOKUP(Sales[[#This Row],[Cnd]],Lookups!$R$8:$U$17,4,FALSE)</f>
        <v>1.0012000000000001</v>
      </c>
      <c r="CO16">
        <f>VLOOKUP(Sales[[#This Row],[LivArea Range]],Lookups!$R$25:$U$43,4,FALSE)</f>
        <v>1.0007999999999999</v>
      </c>
      <c r="CP16">
        <f>VLOOKUP(Sales[[#This Row],[Decade]],Lookups!$M$24:$P$40,4,FALSE)</f>
        <v>1.0024</v>
      </c>
      <c r="CQ16">
        <f>Sales[[#This Row],[Nbhd Adj]]*0.95</f>
        <v>0.94971499999999998</v>
      </c>
      <c r="CR16">
        <f>Sales[[#This Row],[Nbhd Adj]]*Sales[[#This Row],[Quality Adj]]*Sales[[#This Row],[Condition Adj]]*Sales[[#This Row],[Living Area Adj]]*Sales[[#This Row],[Decade Adj]]*0.95</f>
        <v>0.95571162706178159</v>
      </c>
      <c r="CS16">
        <f>ROUND(SUM(Sales[[#This Row],[Mdl Qlty]:[Mdl BltinGar]])+Sales[[#This Row],[Mdl Res Intercept]]*Sales[[#This Row],[Res Adj ]],-2)</f>
        <v>350600</v>
      </c>
      <c r="CT16">
        <f>ROUND(Sales[[#This Row],[25Det]]*Sales[[#This Row],[Det/Nbhd Adj]],-2)</f>
        <v>0</v>
      </c>
      <c r="CU16">
        <f>Sales[[#This Row],[Adjusted Res]]+Sales[[#This Row],[Adj Det ]]</f>
        <v>350600</v>
      </c>
      <c r="CV16">
        <f>ROUND((Sales[[#This Row],[Mdl Land Intercept]]+Sales[[#This Row],[Mdl LnAcres]])*Sales[[#This Row],[Det/Nbhd Adj]],-2)</f>
        <v>63900</v>
      </c>
      <c r="CW16">
        <f>Sales[[#This Row],[Adjusted Impr Total]]+Sales[[#This Row],[Adjusted Land Total]]</f>
        <v>414500</v>
      </c>
      <c r="CX16" s="10">
        <f>IFERROR((Sales[[#This Row],[Adjusted Impr Total]]-Sales[[#This Row],[24Bldg]])/Sales[[#This Row],[24Bldg]],0)</f>
        <v>1.6821345707656612E-2</v>
      </c>
      <c r="CY16" s="10">
        <f>(Sales[[#This Row],[Adjusted Land Total]]-Sales[[#This Row],[24Lnd]])/Sales[[#This Row],[24Lnd]]</f>
        <v>-1.5625000000000001E-3</v>
      </c>
      <c r="CZ16">
        <f>(Sales[[#This Row],[Adjusted Total]]-Sales[[#This Row],[24Final]])/Sales[[#This Row],[24Final]]</f>
        <v>1.3943248532289627E-2</v>
      </c>
      <c r="DA16" s="10">
        <f>(Sales[[#This Row],[Adjusted Total]]+Sales[[#This Row],[Days Prior Total]])/Sales[[#This Row],[Price]]</f>
        <v>0.95920031333403055</v>
      </c>
    </row>
    <row r="17" spans="1:105">
      <c r="A17">
        <v>2025</v>
      </c>
      <c r="B17">
        <v>19120114488</v>
      </c>
      <c r="C17">
        <v>-1.6607312068216509</v>
      </c>
      <c r="D17">
        <v>0.19</v>
      </c>
      <c r="E17">
        <v>8461</v>
      </c>
      <c r="F17">
        <v>2</v>
      </c>
      <c r="G17" t="s">
        <v>155</v>
      </c>
      <c r="H17">
        <v>317</v>
      </c>
      <c r="I17" t="s">
        <v>5</v>
      </c>
      <c r="J17" t="s">
        <v>156</v>
      </c>
      <c r="K17">
        <v>11</v>
      </c>
      <c r="L17">
        <v>259</v>
      </c>
      <c r="M17" t="s">
        <v>157</v>
      </c>
      <c r="N17" t="s">
        <v>21</v>
      </c>
      <c r="O17" t="s">
        <v>24</v>
      </c>
      <c r="P17">
        <v>2022</v>
      </c>
      <c r="Q17">
        <v>2022</v>
      </c>
      <c r="R17">
        <v>10</v>
      </c>
      <c r="S17">
        <v>2</v>
      </c>
      <c r="T17">
        <v>2</v>
      </c>
      <c r="U17">
        <v>2</v>
      </c>
      <c r="V17">
        <v>1328</v>
      </c>
      <c r="W17">
        <v>1686</v>
      </c>
      <c r="X17">
        <v>0</v>
      </c>
      <c r="Y17">
        <v>0</v>
      </c>
      <c r="Z17">
        <v>0</v>
      </c>
      <c r="AA17">
        <v>0</v>
      </c>
      <c r="AB17">
        <v>3014</v>
      </c>
      <c r="AC17">
        <v>3500</v>
      </c>
      <c r="AD17">
        <v>2</v>
      </c>
      <c r="AE17" t="s">
        <v>57</v>
      </c>
      <c r="AF17" t="s">
        <v>158</v>
      </c>
      <c r="AG17" t="s">
        <v>21</v>
      </c>
      <c r="AI17">
        <v>0</v>
      </c>
      <c r="AJ17">
        <v>0</v>
      </c>
      <c r="AK17">
        <v>1</v>
      </c>
      <c r="AL17">
        <v>0</v>
      </c>
      <c r="AM17">
        <v>0</v>
      </c>
      <c r="AN17">
        <v>14</v>
      </c>
      <c r="AO17">
        <v>0</v>
      </c>
      <c r="AP17">
        <v>460</v>
      </c>
      <c r="AQ17">
        <v>0</v>
      </c>
      <c r="AR17">
        <v>0</v>
      </c>
      <c r="AS17">
        <v>0</v>
      </c>
      <c r="AT17">
        <v>0</v>
      </c>
      <c r="AU17">
        <v>100</v>
      </c>
      <c r="AV17">
        <v>100</v>
      </c>
      <c r="AW17">
        <v>514186</v>
      </c>
      <c r="AX17">
        <v>509044</v>
      </c>
      <c r="AY17">
        <v>601</v>
      </c>
      <c r="AZ17">
        <v>365</v>
      </c>
      <c r="BA17">
        <v>236</v>
      </c>
      <c r="BB17">
        <v>0</v>
      </c>
      <c r="BC17" s="2">
        <v>44691</v>
      </c>
      <c r="BD17" t="s">
        <v>176</v>
      </c>
      <c r="BE17">
        <v>486475</v>
      </c>
      <c r="BF17">
        <v>486475</v>
      </c>
      <c r="BG17" t="s">
        <v>160</v>
      </c>
      <c r="BH17">
        <v>30</v>
      </c>
      <c r="BI17" t="s">
        <v>56</v>
      </c>
      <c r="BJ17" t="s">
        <v>161</v>
      </c>
      <c r="BK17">
        <v>478400</v>
      </c>
      <c r="BL17">
        <v>63200</v>
      </c>
      <c r="BM17">
        <v>415200</v>
      </c>
      <c r="BN17">
        <v>0</v>
      </c>
      <c r="BO17">
        <v>486694.07552660309</v>
      </c>
      <c r="BP17">
        <v>499144.18095345533</v>
      </c>
      <c r="BQ17">
        <f>(Sales[[#This Row],[DP1]]*Lookups!$B$61)+(Sales[[#This Row],[DP2]]*Lookups!$B$62)+(Sales[[#This Row],[DP3]]*Lookups!$B$63)</f>
        <v>-12450.104681000001</v>
      </c>
      <c r="BR17">
        <f>Lookups!$B$58*0.6</f>
        <v>132535.48800000001</v>
      </c>
      <c r="BS17">
        <f>Lookups!$B$58*0.4</f>
        <v>88356.992000000013</v>
      </c>
      <c r="BT17">
        <f>Lookups!$B$59*Sales[[#This Row],[LnAcres]]</f>
        <v>-21795.969453044734</v>
      </c>
      <c r="BU17">
        <f>VLOOKUP(Sales[[#This Row],[Qlty]],Lookups!$A$66:$E$79,2,FALSE)</f>
        <v>32917.849192000001</v>
      </c>
      <c r="BV17">
        <f>VLOOKUP(Sales[[#This Row],[Cnd]],Lookups!$A$80:$E$91,2,FALSE)</f>
        <v>47371.278778200001</v>
      </c>
      <c r="BW17">
        <f>Sales[[#This Row],[EffAge]]*Lookups!$B$65</f>
        <v>-217.48220000000001</v>
      </c>
      <c r="BX17">
        <f>Sales[[#This Row],[MainFn]]*Lookups!$B$90</f>
        <v>82880.98464000001</v>
      </c>
      <c r="BY17">
        <f>Sales[[#This Row],[UpprFn]]*Lookups!$B$91</f>
        <v>100452.525738</v>
      </c>
      <c r="BZ17">
        <f>Sales[[#This Row],[Bsmt]]*Lookups!$B$95</f>
        <v>0</v>
      </c>
      <c r="CA17">
        <f>VLOOKUP(Sales[[#This Row],[MsnryTrim]],Lookups!$A$90:$E$99,2,FALSE)</f>
        <v>4112.8784489</v>
      </c>
      <c r="CB17">
        <f>Sales[[#This Row],[PrefabFP]]*Lookups!$B$92</f>
        <v>9807.1044999999995</v>
      </c>
      <c r="CC17">
        <f>Sales[[#This Row],[AttGar]]*Lookups!$B$93</f>
        <v>0</v>
      </c>
      <c r="CD17">
        <f>Sales[[#This Row],[BltinGar]]*Lookups!$B$94</f>
        <v>22722.527999999998</v>
      </c>
      <c r="CE17">
        <f>SUM(Sales[[#This Row],[Days Prior Total]:[Mdl BltinGar]])</f>
        <v>486694.07296305528</v>
      </c>
      <c r="CF17">
        <f>ROUND(Sales[[#This Row],[25Det]],-2)</f>
        <v>0</v>
      </c>
      <c r="CG17">
        <f>ROUND(SUM(Sales[[#This Row],[Mdl Qlty]:[Mdl BltinGar]])+Sales[[#This Row],[Mdl Res Intercept]]+Sales[[#This Row],[Days Prior Total]],-2)</f>
        <v>420100</v>
      </c>
      <c r="CH17">
        <f>ROUND(Sales[[#This Row],[Mdl Land Intercept]]+Sales[[#This Row],[Mdl LnAcres]],-2)</f>
        <v>66600</v>
      </c>
      <c r="CI17">
        <f>Sales[[#This Row],[Unadj Res Value]]+Sales[[#This Row],[Unadj Det Value]]+Sales[[#This Row],[Unadj Land Value]]</f>
        <v>486700</v>
      </c>
      <c r="CJ17" s="10">
        <f>Sales[[#This Row],[Price]]/Sales[[#This Row],[Unadj Total Value]]</f>
        <v>0.9995377028970619</v>
      </c>
      <c r="CK17" s="10">
        <f>(Sales[[#This Row],[Unadj Total Value]]-Sales[[#This Row],[24Final]])/Sales[[#This Row],[24Final]]</f>
        <v>1.7349498327759196E-2</v>
      </c>
      <c r="CL17">
        <f>VLOOKUP(Sales[[#This Row],[TNbhd]],Lookups!$M$3:$P$5,4,FALSE)</f>
        <v>0.99970000000000003</v>
      </c>
      <c r="CM17">
        <f>VLOOKUP(Sales[[#This Row],[Qlty]],Lookups!$M$8:$P$22,4,FALSE)</f>
        <v>1.0019</v>
      </c>
      <c r="CN17">
        <f>VLOOKUP(Sales[[#This Row],[Cnd]],Lookups!$R$8:$U$17,4,FALSE)</f>
        <v>1.0012000000000001</v>
      </c>
      <c r="CO17">
        <f>VLOOKUP(Sales[[#This Row],[LivArea Range]],Lookups!$R$25:$U$43,4,FALSE)</f>
        <v>0.98509999999999998</v>
      </c>
      <c r="CP17">
        <f>VLOOKUP(Sales[[#This Row],[Decade]],Lookups!$M$24:$P$40,4,FALSE)</f>
        <v>1.0024</v>
      </c>
      <c r="CQ17">
        <f>Sales[[#This Row],[Nbhd Adj]]*0.95</f>
        <v>0.94971499999999998</v>
      </c>
      <c r="CR17">
        <f>Sales[[#This Row],[Nbhd Adj]]*Sales[[#This Row],[Quality Adj]]*Sales[[#This Row],[Condition Adj]]*Sales[[#This Row],[Living Area Adj]]*Sales[[#This Row],[Decade Adj]]*0.95</f>
        <v>0.94071894865963335</v>
      </c>
      <c r="CS17">
        <f>ROUND(SUM(Sales[[#This Row],[Mdl Qlty]:[Mdl BltinGar]])+Sales[[#This Row],[Mdl Res Intercept]]*Sales[[#This Row],[Res Adj ]],-2)</f>
        <v>424700</v>
      </c>
      <c r="CT17">
        <f>ROUND(Sales[[#This Row],[25Det]]*Sales[[#This Row],[Det/Nbhd Adj]],-2)</f>
        <v>0</v>
      </c>
      <c r="CU17">
        <f>Sales[[#This Row],[Adjusted Res]]+Sales[[#This Row],[Adj Det ]]</f>
        <v>424700</v>
      </c>
      <c r="CV17">
        <f>ROUND((Sales[[#This Row],[Mdl Land Intercept]]+Sales[[#This Row],[Mdl LnAcres]])*Sales[[#This Row],[Det/Nbhd Adj]],-2)</f>
        <v>63200</v>
      </c>
      <c r="CW17">
        <f>Sales[[#This Row],[Adjusted Impr Total]]+Sales[[#This Row],[Adjusted Land Total]]</f>
        <v>487900</v>
      </c>
      <c r="CX17" s="10">
        <f>IFERROR((Sales[[#This Row],[Adjusted Impr Total]]-Sales[[#This Row],[24Bldg]])/Sales[[#This Row],[24Bldg]],0)</f>
        <v>2.2880539499036609E-2</v>
      </c>
      <c r="CY17" s="10">
        <f>(Sales[[#This Row],[Adjusted Land Total]]-Sales[[#This Row],[24Lnd]])/Sales[[#This Row],[24Lnd]]</f>
        <v>0</v>
      </c>
      <c r="CZ17">
        <f>(Sales[[#This Row],[Adjusted Total]]-Sales[[#This Row],[24Final]])/Sales[[#This Row],[24Final]]</f>
        <v>1.9857859531772576E-2</v>
      </c>
      <c r="DA17" s="10">
        <f>(Sales[[#This Row],[Adjusted Total]]+Sales[[#This Row],[Days Prior Total]])/Sales[[#This Row],[Price]]</f>
        <v>0.97733674971786832</v>
      </c>
    </row>
    <row r="18" spans="1:105">
      <c r="A18">
        <v>2025</v>
      </c>
      <c r="B18">
        <v>19120114489</v>
      </c>
      <c r="C18">
        <v>-1.6607312068216509</v>
      </c>
      <c r="D18">
        <v>0.19</v>
      </c>
      <c r="E18">
        <v>8323</v>
      </c>
      <c r="F18">
        <v>2</v>
      </c>
      <c r="G18" t="s">
        <v>155</v>
      </c>
      <c r="H18">
        <v>317</v>
      </c>
      <c r="I18" t="s">
        <v>5</v>
      </c>
      <c r="J18" t="s">
        <v>156</v>
      </c>
      <c r="K18">
        <v>11</v>
      </c>
      <c r="L18">
        <v>259</v>
      </c>
      <c r="M18" t="s">
        <v>157</v>
      </c>
      <c r="N18" t="s">
        <v>21</v>
      </c>
      <c r="O18" t="s">
        <v>24</v>
      </c>
      <c r="P18">
        <v>2022</v>
      </c>
      <c r="Q18">
        <v>2022</v>
      </c>
      <c r="R18">
        <v>10</v>
      </c>
      <c r="S18">
        <v>2</v>
      </c>
      <c r="T18">
        <v>2</v>
      </c>
      <c r="U18">
        <v>1</v>
      </c>
      <c r="V18">
        <v>1842</v>
      </c>
      <c r="W18">
        <v>0</v>
      </c>
      <c r="X18">
        <v>0</v>
      </c>
      <c r="Y18">
        <v>0</v>
      </c>
      <c r="Z18">
        <v>0</v>
      </c>
      <c r="AA18">
        <v>0</v>
      </c>
      <c r="AB18">
        <v>1842</v>
      </c>
      <c r="AC18">
        <v>2000</v>
      </c>
      <c r="AD18">
        <v>3</v>
      </c>
      <c r="AE18" t="s">
        <v>56</v>
      </c>
      <c r="AF18" t="s">
        <v>158</v>
      </c>
      <c r="AG18" t="s">
        <v>21</v>
      </c>
      <c r="AI18">
        <v>0</v>
      </c>
      <c r="AJ18">
        <v>0</v>
      </c>
      <c r="AK18">
        <v>1</v>
      </c>
      <c r="AL18">
        <v>0</v>
      </c>
      <c r="AM18">
        <v>0</v>
      </c>
      <c r="AN18">
        <v>9</v>
      </c>
      <c r="AO18">
        <v>656</v>
      </c>
      <c r="AP18">
        <v>0</v>
      </c>
      <c r="AQ18">
        <v>0</v>
      </c>
      <c r="AR18">
        <v>0</v>
      </c>
      <c r="AS18">
        <v>268</v>
      </c>
      <c r="AT18">
        <v>0</v>
      </c>
      <c r="AU18">
        <v>100</v>
      </c>
      <c r="AV18">
        <v>100</v>
      </c>
      <c r="AW18">
        <v>365193</v>
      </c>
      <c r="AX18">
        <v>361541</v>
      </c>
      <c r="AY18">
        <v>667</v>
      </c>
      <c r="AZ18">
        <v>365</v>
      </c>
      <c r="BA18">
        <v>302</v>
      </c>
      <c r="BB18">
        <v>0</v>
      </c>
      <c r="BC18" s="2">
        <v>44625</v>
      </c>
      <c r="BD18" t="s">
        <v>177</v>
      </c>
      <c r="BE18">
        <v>424655</v>
      </c>
      <c r="BF18">
        <v>424655</v>
      </c>
      <c r="BG18" t="s">
        <v>160</v>
      </c>
      <c r="BH18">
        <v>30</v>
      </c>
      <c r="BI18" t="s">
        <v>56</v>
      </c>
      <c r="BJ18" t="s">
        <v>161</v>
      </c>
      <c r="BK18">
        <v>401400</v>
      </c>
      <c r="BL18">
        <v>63200</v>
      </c>
      <c r="BM18">
        <v>338200</v>
      </c>
      <c r="BN18">
        <v>0</v>
      </c>
      <c r="BO18">
        <v>400778.57824652304</v>
      </c>
      <c r="BP18">
        <v>417679.95818540012</v>
      </c>
      <c r="BQ18">
        <f>(Sales[[#This Row],[DP1]]*Lookups!$B$61)+(Sales[[#This Row],[DP2]]*Lookups!$B$62)+(Sales[[#This Row],[DP3]]*Lookups!$B$63)</f>
        <v>-16901.378981000002</v>
      </c>
      <c r="BR18">
        <f>Lookups!$B$58*0.6</f>
        <v>132535.48800000001</v>
      </c>
      <c r="BS18">
        <f>Lookups!$B$58*0.4</f>
        <v>88356.992000000013</v>
      </c>
      <c r="BT18">
        <f>Lookups!$B$59*Sales[[#This Row],[LnAcres]]</f>
        <v>-21795.969453044734</v>
      </c>
      <c r="BU18">
        <f>VLOOKUP(Sales[[#This Row],[Qlty]],Lookups!$A$66:$E$79,2,FALSE)</f>
        <v>32917.849192000001</v>
      </c>
      <c r="BV18">
        <f>VLOOKUP(Sales[[#This Row],[Cnd]],Lookups!$A$80:$E$91,2,FALSE)</f>
        <v>47371.278778200001</v>
      </c>
      <c r="BW18">
        <f>Sales[[#This Row],[EffAge]]*Lookups!$B$65</f>
        <v>-217.48220000000001</v>
      </c>
      <c r="BX18">
        <f>Sales[[#This Row],[MainFn]]*Lookups!$B$90</f>
        <v>114959.91996</v>
      </c>
      <c r="BY18">
        <f>Sales[[#This Row],[UpprFn]]*Lookups!$B$91</f>
        <v>0</v>
      </c>
      <c r="BZ18">
        <f>Sales[[#This Row],[Bsmt]]*Lookups!$B$95</f>
        <v>0</v>
      </c>
      <c r="CA18">
        <f>VLOOKUP(Sales[[#This Row],[MsnryTrim]],Lookups!$A$90:$E$99,2,FALSE)</f>
        <v>-9412.7029999999995</v>
      </c>
      <c r="CB18">
        <f>Sales[[#This Row],[PrefabFP]]*Lookups!$B$92</f>
        <v>9807.1044999999995</v>
      </c>
      <c r="CC18">
        <f>Sales[[#This Row],[AttGar]]*Lookups!$B$93</f>
        <v>23157.476336</v>
      </c>
      <c r="CD18">
        <f>Sales[[#This Row],[BltinGar]]*Lookups!$B$94</f>
        <v>0</v>
      </c>
      <c r="CE18">
        <f>SUM(Sales[[#This Row],[Days Prior Total]:[Mdl BltinGar]])</f>
        <v>400778.57513215533</v>
      </c>
      <c r="CF18">
        <f>ROUND(Sales[[#This Row],[25Det]],-2)</f>
        <v>0</v>
      </c>
      <c r="CG18">
        <f>ROUND(SUM(Sales[[#This Row],[Mdl Qlty]:[Mdl BltinGar]])+Sales[[#This Row],[Mdl Res Intercept]]+Sales[[#This Row],[Days Prior Total]],-2)</f>
        <v>334200</v>
      </c>
      <c r="CH18">
        <f>ROUND(Sales[[#This Row],[Mdl Land Intercept]]+Sales[[#This Row],[Mdl LnAcres]],-2)</f>
        <v>66600</v>
      </c>
      <c r="CI18">
        <f>Sales[[#This Row],[Unadj Res Value]]+Sales[[#This Row],[Unadj Det Value]]+Sales[[#This Row],[Unadj Land Value]]</f>
        <v>400800</v>
      </c>
      <c r="CJ18" s="10">
        <f>Sales[[#This Row],[Price]]/Sales[[#This Row],[Unadj Total Value]]</f>
        <v>1.0595184630738523</v>
      </c>
      <c r="CK18" s="10">
        <f>(Sales[[#This Row],[Unadj Total Value]]-Sales[[#This Row],[24Final]])/Sales[[#This Row],[24Final]]</f>
        <v>-1.4947683109118087E-3</v>
      </c>
      <c r="CL18">
        <f>VLOOKUP(Sales[[#This Row],[TNbhd]],Lookups!$M$3:$P$5,4,FALSE)</f>
        <v>0.99970000000000003</v>
      </c>
      <c r="CM18">
        <f>VLOOKUP(Sales[[#This Row],[Qlty]],Lookups!$M$8:$P$22,4,FALSE)</f>
        <v>1.0019</v>
      </c>
      <c r="CN18">
        <f>VLOOKUP(Sales[[#This Row],[Cnd]],Lookups!$R$8:$U$17,4,FALSE)</f>
        <v>1.0012000000000001</v>
      </c>
      <c r="CO18">
        <f>VLOOKUP(Sales[[#This Row],[LivArea Range]],Lookups!$R$25:$U$43,4,FALSE)</f>
        <v>1.0007999999999999</v>
      </c>
      <c r="CP18">
        <f>VLOOKUP(Sales[[#This Row],[Decade]],Lookups!$M$24:$P$40,4,FALSE)</f>
        <v>1.0024</v>
      </c>
      <c r="CQ18">
        <f>Sales[[#This Row],[Nbhd Adj]]*0.95</f>
        <v>0.94971499999999998</v>
      </c>
      <c r="CR18">
        <f>Sales[[#This Row],[Nbhd Adj]]*Sales[[#This Row],[Quality Adj]]*Sales[[#This Row],[Condition Adj]]*Sales[[#This Row],[Living Area Adj]]*Sales[[#This Row],[Decade Adj]]*0.95</f>
        <v>0.95571162706178159</v>
      </c>
      <c r="CS18">
        <f>ROUND(SUM(Sales[[#This Row],[Mdl Qlty]:[Mdl BltinGar]])+Sales[[#This Row],[Mdl Res Intercept]]*Sales[[#This Row],[Res Adj ]],-2)</f>
        <v>345200</v>
      </c>
      <c r="CT18">
        <f>ROUND(Sales[[#This Row],[25Det]]*Sales[[#This Row],[Det/Nbhd Adj]],-2)</f>
        <v>0</v>
      </c>
      <c r="CU18">
        <f>Sales[[#This Row],[Adjusted Res]]+Sales[[#This Row],[Adj Det ]]</f>
        <v>345200</v>
      </c>
      <c r="CV18">
        <f>ROUND((Sales[[#This Row],[Mdl Land Intercept]]+Sales[[#This Row],[Mdl LnAcres]])*Sales[[#This Row],[Det/Nbhd Adj]],-2)</f>
        <v>63200</v>
      </c>
      <c r="CW18">
        <f>Sales[[#This Row],[Adjusted Impr Total]]+Sales[[#This Row],[Adjusted Land Total]]</f>
        <v>408400</v>
      </c>
      <c r="CX18" s="10">
        <f>IFERROR((Sales[[#This Row],[Adjusted Impr Total]]-Sales[[#This Row],[24Bldg]])/Sales[[#This Row],[24Bldg]],0)</f>
        <v>2.0697811945594322E-2</v>
      </c>
      <c r="CY18" s="10">
        <f>(Sales[[#This Row],[Adjusted Land Total]]-Sales[[#This Row],[24Lnd]])/Sales[[#This Row],[24Lnd]]</f>
        <v>0</v>
      </c>
      <c r="CZ18">
        <f>(Sales[[#This Row],[Adjusted Total]]-Sales[[#This Row],[24Final]])/Sales[[#This Row],[24Final]]</f>
        <v>1.7438963627304436E-2</v>
      </c>
      <c r="DA18" s="10">
        <f>(Sales[[#This Row],[Adjusted Total]]+Sales[[#This Row],[Days Prior Total]])/Sales[[#This Row],[Price]]</f>
        <v>0.92192160935112033</v>
      </c>
    </row>
    <row r="19" spans="1:105">
      <c r="A19">
        <v>2025</v>
      </c>
      <c r="B19">
        <v>19120114490</v>
      </c>
      <c r="C19">
        <v>-1.8325814637483102</v>
      </c>
      <c r="D19">
        <v>0.16</v>
      </c>
      <c r="E19">
        <v>7081</v>
      </c>
      <c r="F19">
        <v>2</v>
      </c>
      <c r="G19" t="s">
        <v>155</v>
      </c>
      <c r="H19">
        <v>317</v>
      </c>
      <c r="I19" t="s">
        <v>5</v>
      </c>
      <c r="J19" t="s">
        <v>156</v>
      </c>
      <c r="K19">
        <v>11</v>
      </c>
      <c r="L19">
        <v>259</v>
      </c>
      <c r="M19" t="s">
        <v>157</v>
      </c>
      <c r="N19" t="s">
        <v>19</v>
      </c>
      <c r="O19" t="s">
        <v>24</v>
      </c>
      <c r="P19">
        <v>2022</v>
      </c>
      <c r="Q19">
        <v>2022</v>
      </c>
      <c r="R19">
        <v>10</v>
      </c>
      <c r="S19">
        <v>2</v>
      </c>
      <c r="T19">
        <v>2</v>
      </c>
      <c r="U19">
        <v>1</v>
      </c>
      <c r="V19">
        <v>1464</v>
      </c>
      <c r="W19">
        <v>0</v>
      </c>
      <c r="X19">
        <v>0</v>
      </c>
      <c r="Y19">
        <v>0</v>
      </c>
      <c r="Z19">
        <v>0</v>
      </c>
      <c r="AA19">
        <v>0</v>
      </c>
      <c r="AB19">
        <v>1464</v>
      </c>
      <c r="AC19">
        <v>1500</v>
      </c>
      <c r="AD19">
        <v>2</v>
      </c>
      <c r="AE19" t="s">
        <v>56</v>
      </c>
      <c r="AF19" t="s">
        <v>158</v>
      </c>
      <c r="AG19" t="s">
        <v>21</v>
      </c>
      <c r="AI19">
        <v>0</v>
      </c>
      <c r="AJ19">
        <v>0</v>
      </c>
      <c r="AK19">
        <v>1</v>
      </c>
      <c r="AL19">
        <v>1</v>
      </c>
      <c r="AM19">
        <v>0</v>
      </c>
      <c r="AN19">
        <v>9</v>
      </c>
      <c r="AO19">
        <v>400</v>
      </c>
      <c r="AP19">
        <v>0</v>
      </c>
      <c r="AQ19">
        <v>0</v>
      </c>
      <c r="AR19">
        <v>0</v>
      </c>
      <c r="AS19">
        <v>100</v>
      </c>
      <c r="AT19">
        <v>0</v>
      </c>
      <c r="AU19">
        <v>100</v>
      </c>
      <c r="AV19">
        <v>100</v>
      </c>
      <c r="AW19">
        <v>262619</v>
      </c>
      <c r="AX19">
        <v>259993</v>
      </c>
      <c r="AY19">
        <v>669</v>
      </c>
      <c r="AZ19">
        <v>365</v>
      </c>
      <c r="BA19">
        <v>304</v>
      </c>
      <c r="BB19">
        <v>0</v>
      </c>
      <c r="BC19" s="2">
        <v>44623</v>
      </c>
      <c r="BD19" t="s">
        <v>178</v>
      </c>
      <c r="BE19">
        <v>371689</v>
      </c>
      <c r="BF19">
        <v>371689</v>
      </c>
      <c r="BG19" t="s">
        <v>160</v>
      </c>
      <c r="BH19">
        <v>30</v>
      </c>
      <c r="BI19" t="s">
        <v>56</v>
      </c>
      <c r="BJ19" t="s">
        <v>161</v>
      </c>
      <c r="BK19">
        <v>373900</v>
      </c>
      <c r="BL19">
        <v>60800</v>
      </c>
      <c r="BM19">
        <v>313100</v>
      </c>
      <c r="BN19">
        <v>0</v>
      </c>
      <c r="BO19">
        <v>369996.48893218103</v>
      </c>
      <c r="BP19">
        <v>387032.755977483</v>
      </c>
      <c r="BQ19">
        <f>(Sales[[#This Row],[DP1]]*Lookups!$B$61)+(Sales[[#This Row],[DP2]]*Lookups!$B$62)+(Sales[[#This Row],[DP3]]*Lookups!$B$63)</f>
        <v>-17036.266081000002</v>
      </c>
      <c r="BR19">
        <f>Lookups!$B$58*0.6</f>
        <v>132535.48800000001</v>
      </c>
      <c r="BS19">
        <f>Lookups!$B$58*0.4</f>
        <v>88356.992000000013</v>
      </c>
      <c r="BT19">
        <f>Lookups!$B$59*Sales[[#This Row],[LnAcres]]</f>
        <v>-24051.387388882686</v>
      </c>
      <c r="BU19">
        <f>VLOOKUP(Sales[[#This Row],[Qlty]],Lookups!$A$66:$E$79,2,FALSE)</f>
        <v>37154.252388000001</v>
      </c>
      <c r="BV19">
        <f>VLOOKUP(Sales[[#This Row],[Cnd]],Lookups!$A$80:$E$91,2,FALSE)</f>
        <v>47371.278778200001</v>
      </c>
      <c r="BW19">
        <f>Sales[[#This Row],[EffAge]]*Lookups!$B$65</f>
        <v>-217.48220000000001</v>
      </c>
      <c r="BX19">
        <f>Sales[[#This Row],[MainFn]]*Lookups!$B$90</f>
        <v>91368.796320000009</v>
      </c>
      <c r="BY19">
        <f>Sales[[#This Row],[UpprFn]]*Lookups!$B$91</f>
        <v>0</v>
      </c>
      <c r="BZ19">
        <f>Sales[[#This Row],[Bsmt]]*Lookups!$B$95</f>
        <v>0</v>
      </c>
      <c r="CA19">
        <f>VLOOKUP(Sales[[#This Row],[MsnryTrim]],Lookups!$A$90:$E$99,2,FALSE)</f>
        <v>-9412.7029999999995</v>
      </c>
      <c r="CB19">
        <f>Sales[[#This Row],[PrefabFP]]*Lookups!$B$92</f>
        <v>9807.1044999999995</v>
      </c>
      <c r="CC19">
        <f>Sales[[#This Row],[AttGar]]*Lookups!$B$93</f>
        <v>14120.412400000001</v>
      </c>
      <c r="CD19">
        <f>Sales[[#This Row],[BltinGar]]*Lookups!$B$94</f>
        <v>0</v>
      </c>
      <c r="CE19">
        <f>SUM(Sales[[#This Row],[Days Prior Total]:[Mdl BltinGar]])</f>
        <v>369996.48571631731</v>
      </c>
      <c r="CF19">
        <f>ROUND(Sales[[#This Row],[25Det]],-2)</f>
        <v>0</v>
      </c>
      <c r="CG19">
        <f>ROUND(SUM(Sales[[#This Row],[Mdl Qlty]:[Mdl BltinGar]])+Sales[[#This Row],[Mdl Res Intercept]]+Sales[[#This Row],[Days Prior Total]],-2)</f>
        <v>305700</v>
      </c>
      <c r="CH19">
        <f>ROUND(Sales[[#This Row],[Mdl Land Intercept]]+Sales[[#This Row],[Mdl LnAcres]],-2)</f>
        <v>64300</v>
      </c>
      <c r="CI19">
        <f>Sales[[#This Row],[Unadj Res Value]]+Sales[[#This Row],[Unadj Det Value]]+Sales[[#This Row],[Unadj Land Value]]</f>
        <v>370000</v>
      </c>
      <c r="CJ19" s="10">
        <f>Sales[[#This Row],[Price]]/Sales[[#This Row],[Unadj Total Value]]</f>
        <v>1.0045648648648648</v>
      </c>
      <c r="CK19" s="10">
        <f>(Sales[[#This Row],[Unadj Total Value]]-Sales[[#This Row],[24Final]])/Sales[[#This Row],[24Final]]</f>
        <v>-1.0430596416154053E-2</v>
      </c>
      <c r="CL19">
        <f>VLOOKUP(Sales[[#This Row],[TNbhd]],Lookups!$M$3:$P$5,4,FALSE)</f>
        <v>0.99970000000000003</v>
      </c>
      <c r="CM19">
        <f>VLOOKUP(Sales[[#This Row],[Qlty]],Lookups!$M$8:$P$22,4,FALSE)</f>
        <v>0.99819999999999998</v>
      </c>
      <c r="CN19">
        <f>VLOOKUP(Sales[[#This Row],[Cnd]],Lookups!$R$8:$U$17,4,FALSE)</f>
        <v>1.0012000000000001</v>
      </c>
      <c r="CO19">
        <f>VLOOKUP(Sales[[#This Row],[LivArea Range]],Lookups!$R$25:$U$43,4,FALSE)</f>
        <v>0.99519999999999997</v>
      </c>
      <c r="CP19">
        <f>VLOOKUP(Sales[[#This Row],[Decade]],Lookups!$M$24:$P$40,4,FALSE)</f>
        <v>1.0024</v>
      </c>
      <c r="CQ19">
        <f>Sales[[#This Row],[Nbhd Adj]]*0.95</f>
        <v>0.94971499999999998</v>
      </c>
      <c r="CR19">
        <f>Sales[[#This Row],[Nbhd Adj]]*Sales[[#This Row],[Quality Adj]]*Sales[[#This Row],[Condition Adj]]*Sales[[#This Row],[Living Area Adj]]*Sales[[#This Row],[Decade Adj]]*0.95</f>
        <v>0.94685424199978463</v>
      </c>
      <c r="CS19">
        <f>ROUND(SUM(Sales[[#This Row],[Mdl Qlty]:[Mdl BltinGar]])+Sales[[#This Row],[Mdl Res Intercept]]*Sales[[#This Row],[Res Adj ]],-2)</f>
        <v>315700</v>
      </c>
      <c r="CT19">
        <f>ROUND(Sales[[#This Row],[25Det]]*Sales[[#This Row],[Det/Nbhd Adj]],-2)</f>
        <v>0</v>
      </c>
      <c r="CU19">
        <f>Sales[[#This Row],[Adjusted Res]]+Sales[[#This Row],[Adj Det ]]</f>
        <v>315700</v>
      </c>
      <c r="CV19">
        <f>ROUND((Sales[[#This Row],[Mdl Land Intercept]]+Sales[[#This Row],[Mdl LnAcres]])*Sales[[#This Row],[Det/Nbhd Adj]],-2)</f>
        <v>61100</v>
      </c>
      <c r="CW19">
        <f>Sales[[#This Row],[Adjusted Impr Total]]+Sales[[#This Row],[Adjusted Land Total]]</f>
        <v>376800</v>
      </c>
      <c r="CX19" s="10">
        <f>IFERROR((Sales[[#This Row],[Adjusted Impr Total]]-Sales[[#This Row],[24Bldg]])/Sales[[#This Row],[24Bldg]],0)</f>
        <v>8.30405621207282E-3</v>
      </c>
      <c r="CY19" s="10">
        <f>(Sales[[#This Row],[Adjusted Land Total]]-Sales[[#This Row],[24Lnd]])/Sales[[#This Row],[24Lnd]]</f>
        <v>4.9342105263157892E-3</v>
      </c>
      <c r="CZ19">
        <f>(Sales[[#This Row],[Adjusted Total]]-Sales[[#This Row],[24Final]])/Sales[[#This Row],[24Final]]</f>
        <v>7.75608451457609E-3</v>
      </c>
      <c r="DA19" s="10">
        <f>(Sales[[#This Row],[Adjusted Total]]+Sales[[#This Row],[Days Prior Total]])/Sales[[#This Row],[Price]]</f>
        <v>0.96791601021014884</v>
      </c>
    </row>
    <row r="20" spans="1:105">
      <c r="A20">
        <v>2025</v>
      </c>
      <c r="B20">
        <v>19120114494</v>
      </c>
      <c r="C20">
        <v>-1.8325814637483102</v>
      </c>
      <c r="D20">
        <v>0.16</v>
      </c>
      <c r="E20">
        <v>7001</v>
      </c>
      <c r="F20">
        <v>2</v>
      </c>
      <c r="G20" t="s">
        <v>155</v>
      </c>
      <c r="H20">
        <v>317</v>
      </c>
      <c r="I20" t="s">
        <v>5</v>
      </c>
      <c r="J20" t="s">
        <v>156</v>
      </c>
      <c r="K20">
        <v>11</v>
      </c>
      <c r="L20">
        <v>259</v>
      </c>
      <c r="M20" t="s">
        <v>157</v>
      </c>
      <c r="N20" t="s">
        <v>19</v>
      </c>
      <c r="O20" t="s">
        <v>24</v>
      </c>
      <c r="P20">
        <v>2022</v>
      </c>
      <c r="Q20">
        <v>2022</v>
      </c>
      <c r="R20">
        <v>10</v>
      </c>
      <c r="S20">
        <v>2</v>
      </c>
      <c r="T20">
        <v>2</v>
      </c>
      <c r="U20">
        <v>1</v>
      </c>
      <c r="V20">
        <v>1580</v>
      </c>
      <c r="W20">
        <v>0</v>
      </c>
      <c r="X20">
        <v>0</v>
      </c>
      <c r="Y20">
        <v>0</v>
      </c>
      <c r="Z20">
        <v>0</v>
      </c>
      <c r="AA20">
        <v>0</v>
      </c>
      <c r="AB20">
        <v>1580</v>
      </c>
      <c r="AC20">
        <v>2000</v>
      </c>
      <c r="AD20">
        <v>2</v>
      </c>
      <c r="AE20" t="s">
        <v>57</v>
      </c>
      <c r="AF20" t="s">
        <v>158</v>
      </c>
      <c r="AG20" t="s">
        <v>21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9</v>
      </c>
      <c r="AO20">
        <v>400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100</v>
      </c>
      <c r="AV20">
        <v>100</v>
      </c>
      <c r="AW20">
        <v>283942</v>
      </c>
      <c r="AX20">
        <v>281103</v>
      </c>
      <c r="AY20">
        <v>570</v>
      </c>
      <c r="AZ20">
        <v>365</v>
      </c>
      <c r="BA20">
        <v>205</v>
      </c>
      <c r="BB20">
        <v>0</v>
      </c>
      <c r="BC20" s="2">
        <v>44722</v>
      </c>
      <c r="BD20" t="s">
        <v>179</v>
      </c>
      <c r="BE20">
        <v>402447</v>
      </c>
      <c r="BF20">
        <v>402447</v>
      </c>
      <c r="BG20" t="s">
        <v>160</v>
      </c>
      <c r="BH20">
        <v>30</v>
      </c>
      <c r="BI20" t="s">
        <v>56</v>
      </c>
      <c r="BJ20" t="s">
        <v>161</v>
      </c>
      <c r="BK20">
        <v>396100</v>
      </c>
      <c r="BL20">
        <v>60800</v>
      </c>
      <c r="BM20">
        <v>335300</v>
      </c>
      <c r="BN20">
        <v>0</v>
      </c>
      <c r="BO20">
        <v>387631.48133258487</v>
      </c>
      <c r="BP20">
        <v>397990.83660984965</v>
      </c>
      <c r="BQ20">
        <f>(Sales[[#This Row],[DP1]]*Lookups!$B$61)+(Sales[[#This Row],[DP2]]*Lookups!$B$62)+(Sales[[#This Row],[DP3]]*Lookups!$B$63)</f>
        <v>-10359.354631</v>
      </c>
      <c r="BR20">
        <f>Lookups!$B$58*0.6</f>
        <v>132535.48800000001</v>
      </c>
      <c r="BS20">
        <f>Lookups!$B$58*0.4</f>
        <v>88356.992000000013</v>
      </c>
      <c r="BT20">
        <f>Lookups!$B$59*Sales[[#This Row],[LnAcres]]</f>
        <v>-24051.387388882686</v>
      </c>
      <c r="BU20">
        <f>VLOOKUP(Sales[[#This Row],[Qlty]],Lookups!$A$66:$E$79,2,FALSE)</f>
        <v>37154.252388000001</v>
      </c>
      <c r="BV20">
        <f>VLOOKUP(Sales[[#This Row],[Cnd]],Lookups!$A$80:$E$91,2,FALSE)</f>
        <v>47371.278778200001</v>
      </c>
      <c r="BW20">
        <f>Sales[[#This Row],[EffAge]]*Lookups!$B$65</f>
        <v>-217.48220000000001</v>
      </c>
      <c r="BX20">
        <f>Sales[[#This Row],[MainFn]]*Lookups!$B$90</f>
        <v>98608.400399999999</v>
      </c>
      <c r="BY20">
        <f>Sales[[#This Row],[UpprFn]]*Lookups!$B$91</f>
        <v>0</v>
      </c>
      <c r="BZ20">
        <f>Sales[[#This Row],[Bsmt]]*Lookups!$B$95</f>
        <v>0</v>
      </c>
      <c r="CA20">
        <f>VLOOKUP(Sales[[#This Row],[MsnryTrim]],Lookups!$A$90:$E$99,2,FALSE)</f>
        <v>4112.8784489</v>
      </c>
      <c r="CB20">
        <f>Sales[[#This Row],[PrefabFP]]*Lookups!$B$92</f>
        <v>0</v>
      </c>
      <c r="CC20">
        <f>Sales[[#This Row],[AttGar]]*Lookups!$B$93</f>
        <v>14120.412400000001</v>
      </c>
      <c r="CD20">
        <f>Sales[[#This Row],[BltinGar]]*Lookups!$B$94</f>
        <v>0</v>
      </c>
      <c r="CE20">
        <f>SUM(Sales[[#This Row],[Days Prior Total]:[Mdl BltinGar]])</f>
        <v>387631.47819521732</v>
      </c>
      <c r="CF20">
        <f>ROUND(Sales[[#This Row],[25Det]],-2)</f>
        <v>0</v>
      </c>
      <c r="CG20">
        <f>ROUND(SUM(Sales[[#This Row],[Mdl Qlty]:[Mdl BltinGar]])+Sales[[#This Row],[Mdl Res Intercept]]+Sales[[#This Row],[Days Prior Total]],-2)</f>
        <v>323300</v>
      </c>
      <c r="CH20">
        <f>ROUND(Sales[[#This Row],[Mdl Land Intercept]]+Sales[[#This Row],[Mdl LnAcres]],-2)</f>
        <v>64300</v>
      </c>
      <c r="CI20">
        <f>Sales[[#This Row],[Unadj Res Value]]+Sales[[#This Row],[Unadj Det Value]]+Sales[[#This Row],[Unadj Land Value]]</f>
        <v>387600</v>
      </c>
      <c r="CJ20" s="10">
        <f>Sales[[#This Row],[Price]]/Sales[[#This Row],[Unadj Total Value]]</f>
        <v>1.0383049535603714</v>
      </c>
      <c r="CK20" s="10">
        <f>(Sales[[#This Row],[Unadj Total Value]]-Sales[[#This Row],[24Final]])/Sales[[#This Row],[24Final]]</f>
        <v>-2.1459227467811159E-2</v>
      </c>
      <c r="CL20">
        <f>VLOOKUP(Sales[[#This Row],[TNbhd]],Lookups!$M$3:$P$5,4,FALSE)</f>
        <v>0.99970000000000003</v>
      </c>
      <c r="CM20">
        <f>VLOOKUP(Sales[[#This Row],[Qlty]],Lookups!$M$8:$P$22,4,FALSE)</f>
        <v>0.99819999999999998</v>
      </c>
      <c r="CN20">
        <f>VLOOKUP(Sales[[#This Row],[Cnd]],Lookups!$R$8:$U$17,4,FALSE)</f>
        <v>1.0012000000000001</v>
      </c>
      <c r="CO20">
        <f>VLOOKUP(Sales[[#This Row],[LivArea Range]],Lookups!$R$25:$U$43,4,FALSE)</f>
        <v>1.0007999999999999</v>
      </c>
      <c r="CP20">
        <f>VLOOKUP(Sales[[#This Row],[Decade]],Lookups!$M$24:$P$40,4,FALSE)</f>
        <v>1.0024</v>
      </c>
      <c r="CQ20">
        <f>Sales[[#This Row],[Nbhd Adj]]*0.95</f>
        <v>0.94971499999999998</v>
      </c>
      <c r="CR20">
        <f>Sales[[#This Row],[Nbhd Adj]]*Sales[[#This Row],[Quality Adj]]*Sales[[#This Row],[Condition Adj]]*Sales[[#This Row],[Living Area Adj]]*Sales[[#This Row],[Decade Adj]]*0.95</f>
        <v>0.95218219995315945</v>
      </c>
      <c r="CS20">
        <f>ROUND(SUM(Sales[[#This Row],[Mdl Qlty]:[Mdl BltinGar]])+Sales[[#This Row],[Mdl Res Intercept]]*Sales[[#This Row],[Res Adj ]],-2)</f>
        <v>327300</v>
      </c>
      <c r="CT20">
        <f>ROUND(Sales[[#This Row],[25Det]]*Sales[[#This Row],[Det/Nbhd Adj]],-2)</f>
        <v>0</v>
      </c>
      <c r="CU20">
        <f>Sales[[#This Row],[Adjusted Res]]+Sales[[#This Row],[Adj Det ]]</f>
        <v>327300</v>
      </c>
      <c r="CV20">
        <f>ROUND((Sales[[#This Row],[Mdl Land Intercept]]+Sales[[#This Row],[Mdl LnAcres]])*Sales[[#This Row],[Det/Nbhd Adj]],-2)</f>
        <v>61100</v>
      </c>
      <c r="CW20">
        <f>Sales[[#This Row],[Adjusted Impr Total]]+Sales[[#This Row],[Adjusted Land Total]]</f>
        <v>388400</v>
      </c>
      <c r="CX20" s="10">
        <f>IFERROR((Sales[[#This Row],[Adjusted Impr Total]]-Sales[[#This Row],[24Bldg]])/Sales[[#This Row],[24Bldg]],0)</f>
        <v>-2.3859230539815091E-2</v>
      </c>
      <c r="CY20" s="10">
        <f>(Sales[[#This Row],[Adjusted Land Total]]-Sales[[#This Row],[24Lnd]])/Sales[[#This Row],[24Lnd]]</f>
        <v>4.9342105263157892E-3</v>
      </c>
      <c r="CZ20">
        <f>(Sales[[#This Row],[Adjusted Total]]-Sales[[#This Row],[24Final]])/Sales[[#This Row],[24Final]]</f>
        <v>-1.9439535470840697E-2</v>
      </c>
      <c r="DA20" s="10">
        <f>(Sales[[#This Row],[Adjusted Total]]+Sales[[#This Row],[Days Prior Total]])/Sales[[#This Row],[Price]]</f>
        <v>0.93935510854596993</v>
      </c>
    </row>
    <row r="21" spans="1:105">
      <c r="A21">
        <v>2025</v>
      </c>
      <c r="B21">
        <v>19120114497</v>
      </c>
      <c r="C21">
        <v>-1.8325814637483102</v>
      </c>
      <c r="D21">
        <v>0.16</v>
      </c>
      <c r="E21">
        <v>7001</v>
      </c>
      <c r="F21">
        <v>2</v>
      </c>
      <c r="G21" t="s">
        <v>155</v>
      </c>
      <c r="H21">
        <v>317</v>
      </c>
      <c r="I21" t="s">
        <v>5</v>
      </c>
      <c r="J21" t="s">
        <v>156</v>
      </c>
      <c r="K21">
        <v>11</v>
      </c>
      <c r="L21">
        <v>259</v>
      </c>
      <c r="M21" t="s">
        <v>157</v>
      </c>
      <c r="N21" t="s">
        <v>19</v>
      </c>
      <c r="O21" t="s">
        <v>24</v>
      </c>
      <c r="P21">
        <v>2022</v>
      </c>
      <c r="Q21">
        <v>2022</v>
      </c>
      <c r="R21">
        <v>10</v>
      </c>
      <c r="S21">
        <v>2</v>
      </c>
      <c r="T21">
        <v>2</v>
      </c>
      <c r="U21">
        <v>1</v>
      </c>
      <c r="V21">
        <v>1592</v>
      </c>
      <c r="W21">
        <v>0</v>
      </c>
      <c r="X21">
        <v>0</v>
      </c>
      <c r="Y21">
        <v>0</v>
      </c>
      <c r="Z21">
        <v>0</v>
      </c>
      <c r="AA21">
        <v>0</v>
      </c>
      <c r="AB21">
        <v>1592</v>
      </c>
      <c r="AC21">
        <v>2000</v>
      </c>
      <c r="AD21">
        <v>2</v>
      </c>
      <c r="AE21" t="s">
        <v>56</v>
      </c>
      <c r="AF21" t="s">
        <v>158</v>
      </c>
      <c r="AG21" t="s">
        <v>21</v>
      </c>
      <c r="AI21">
        <v>0</v>
      </c>
      <c r="AJ21">
        <v>0</v>
      </c>
      <c r="AK21">
        <v>1</v>
      </c>
      <c r="AL21">
        <v>0</v>
      </c>
      <c r="AM21">
        <v>0</v>
      </c>
      <c r="AN21">
        <v>10</v>
      </c>
      <c r="AO21">
        <v>400</v>
      </c>
      <c r="AP21">
        <v>0</v>
      </c>
      <c r="AQ21">
        <v>0</v>
      </c>
      <c r="AR21">
        <v>0</v>
      </c>
      <c r="AS21">
        <v>100</v>
      </c>
      <c r="AT21">
        <v>0</v>
      </c>
      <c r="AU21">
        <v>100</v>
      </c>
      <c r="AV21">
        <v>100</v>
      </c>
      <c r="AW21">
        <v>283649</v>
      </c>
      <c r="AX21">
        <v>280813</v>
      </c>
      <c r="AY21">
        <v>509</v>
      </c>
      <c r="AZ21">
        <v>365</v>
      </c>
      <c r="BA21">
        <v>144</v>
      </c>
      <c r="BB21">
        <v>0</v>
      </c>
      <c r="BC21" s="2">
        <v>44783</v>
      </c>
      <c r="BD21" t="s">
        <v>180</v>
      </c>
      <c r="BE21">
        <v>390534</v>
      </c>
      <c r="BF21">
        <v>390534</v>
      </c>
      <c r="BG21" t="s">
        <v>160</v>
      </c>
      <c r="BH21">
        <v>30</v>
      </c>
      <c r="BI21" t="s">
        <v>56</v>
      </c>
      <c r="BJ21" t="s">
        <v>161</v>
      </c>
      <c r="BK21">
        <v>382200</v>
      </c>
      <c r="BL21">
        <v>60800</v>
      </c>
      <c r="BM21">
        <v>321400</v>
      </c>
      <c r="BN21">
        <v>0</v>
      </c>
      <c r="BO21">
        <v>388775.98608925065</v>
      </c>
      <c r="BP21">
        <v>395021.2846205532</v>
      </c>
      <c r="BQ21">
        <f>(Sales[[#This Row],[DP1]]*Lookups!$B$61)+(Sales[[#This Row],[DP2]]*Lookups!$B$62)+(Sales[[#This Row],[DP3]]*Lookups!$B$63)</f>
        <v>-6245.298080999999</v>
      </c>
      <c r="BR21">
        <f>Lookups!$B$58*0.6</f>
        <v>132535.48800000001</v>
      </c>
      <c r="BS21">
        <f>Lookups!$B$58*0.4</f>
        <v>88356.992000000013</v>
      </c>
      <c r="BT21">
        <f>Lookups!$B$59*Sales[[#This Row],[LnAcres]]</f>
        <v>-24051.387388882686</v>
      </c>
      <c r="BU21">
        <f>VLOOKUP(Sales[[#This Row],[Qlty]],Lookups!$A$66:$E$79,2,FALSE)</f>
        <v>37154.252388000001</v>
      </c>
      <c r="BV21">
        <f>VLOOKUP(Sales[[#This Row],[Cnd]],Lookups!$A$80:$E$91,2,FALSE)</f>
        <v>47371.278778200001</v>
      </c>
      <c r="BW21">
        <f>Sales[[#This Row],[EffAge]]*Lookups!$B$65</f>
        <v>-217.48220000000001</v>
      </c>
      <c r="BX21">
        <f>Sales[[#This Row],[MainFn]]*Lookups!$B$90</f>
        <v>99357.324960000013</v>
      </c>
      <c r="BY21">
        <f>Sales[[#This Row],[UpprFn]]*Lookups!$B$91</f>
        <v>0</v>
      </c>
      <c r="BZ21">
        <f>Sales[[#This Row],[Bsmt]]*Lookups!$B$95</f>
        <v>0</v>
      </c>
      <c r="CA21">
        <f>VLOOKUP(Sales[[#This Row],[MsnryTrim]],Lookups!$A$90:$E$99,2,FALSE)</f>
        <v>-9412.7029999999995</v>
      </c>
      <c r="CB21">
        <f>Sales[[#This Row],[PrefabFP]]*Lookups!$B$92</f>
        <v>9807.1044999999995</v>
      </c>
      <c r="CC21">
        <f>Sales[[#This Row],[AttGar]]*Lookups!$B$93</f>
        <v>14120.412400000001</v>
      </c>
      <c r="CD21">
        <f>Sales[[#This Row],[BltinGar]]*Lookups!$B$94</f>
        <v>0</v>
      </c>
      <c r="CE21">
        <f>SUM(Sales[[#This Row],[Days Prior Total]:[Mdl BltinGar]])</f>
        <v>388775.98235631734</v>
      </c>
      <c r="CF21">
        <f>ROUND(Sales[[#This Row],[25Det]],-2)</f>
        <v>0</v>
      </c>
      <c r="CG21">
        <f>ROUND(SUM(Sales[[#This Row],[Mdl Qlty]:[Mdl BltinGar]])+Sales[[#This Row],[Mdl Res Intercept]]+Sales[[#This Row],[Days Prior Total]],-2)</f>
        <v>324500</v>
      </c>
      <c r="CH21">
        <f>ROUND(Sales[[#This Row],[Mdl Land Intercept]]+Sales[[#This Row],[Mdl LnAcres]],-2)</f>
        <v>64300</v>
      </c>
      <c r="CI21">
        <f>Sales[[#This Row],[Unadj Res Value]]+Sales[[#This Row],[Unadj Det Value]]+Sales[[#This Row],[Unadj Land Value]]</f>
        <v>388800</v>
      </c>
      <c r="CJ21" s="10">
        <f>Sales[[#This Row],[Price]]/Sales[[#This Row],[Unadj Total Value]]</f>
        <v>1.0044598765432098</v>
      </c>
      <c r="CK21" s="10">
        <f>(Sales[[#This Row],[Unadj Total Value]]-Sales[[#This Row],[24Final]])/Sales[[#This Row],[24Final]]</f>
        <v>1.726844583987441E-2</v>
      </c>
      <c r="CL21">
        <f>VLOOKUP(Sales[[#This Row],[TNbhd]],Lookups!$M$3:$P$5,4,FALSE)</f>
        <v>0.99970000000000003</v>
      </c>
      <c r="CM21">
        <f>VLOOKUP(Sales[[#This Row],[Qlty]],Lookups!$M$8:$P$22,4,FALSE)</f>
        <v>0.99819999999999998</v>
      </c>
      <c r="CN21">
        <f>VLOOKUP(Sales[[#This Row],[Cnd]],Lookups!$R$8:$U$17,4,FALSE)</f>
        <v>1.0012000000000001</v>
      </c>
      <c r="CO21">
        <f>VLOOKUP(Sales[[#This Row],[LivArea Range]],Lookups!$R$25:$U$43,4,FALSE)</f>
        <v>1.0007999999999999</v>
      </c>
      <c r="CP21">
        <f>VLOOKUP(Sales[[#This Row],[Decade]],Lookups!$M$24:$P$40,4,FALSE)</f>
        <v>1.0024</v>
      </c>
      <c r="CQ21">
        <f>Sales[[#This Row],[Nbhd Adj]]*0.95</f>
        <v>0.94971499999999998</v>
      </c>
      <c r="CR21">
        <f>Sales[[#This Row],[Nbhd Adj]]*Sales[[#This Row],[Quality Adj]]*Sales[[#This Row],[Condition Adj]]*Sales[[#This Row],[Living Area Adj]]*Sales[[#This Row],[Decade Adj]]*0.95</f>
        <v>0.95218219995315945</v>
      </c>
      <c r="CS21">
        <f>ROUND(SUM(Sales[[#This Row],[Mdl Qlty]:[Mdl BltinGar]])+Sales[[#This Row],[Mdl Res Intercept]]*Sales[[#This Row],[Res Adj ]],-2)</f>
        <v>324400</v>
      </c>
      <c r="CT21">
        <f>ROUND(Sales[[#This Row],[25Det]]*Sales[[#This Row],[Det/Nbhd Adj]],-2)</f>
        <v>0</v>
      </c>
      <c r="CU21">
        <f>Sales[[#This Row],[Adjusted Res]]+Sales[[#This Row],[Adj Det ]]</f>
        <v>324400</v>
      </c>
      <c r="CV21">
        <f>ROUND((Sales[[#This Row],[Mdl Land Intercept]]+Sales[[#This Row],[Mdl LnAcres]])*Sales[[#This Row],[Det/Nbhd Adj]],-2)</f>
        <v>61100</v>
      </c>
      <c r="CW21">
        <f>Sales[[#This Row],[Adjusted Impr Total]]+Sales[[#This Row],[Adjusted Land Total]]</f>
        <v>385500</v>
      </c>
      <c r="CX21" s="10">
        <f>IFERROR((Sales[[#This Row],[Adjusted Impr Total]]-Sales[[#This Row],[24Bldg]])/Sales[[#This Row],[24Bldg]],0)</f>
        <v>9.3341630367143741E-3</v>
      </c>
      <c r="CY21" s="10">
        <f>(Sales[[#This Row],[Adjusted Land Total]]-Sales[[#This Row],[24Lnd]])/Sales[[#This Row],[24Lnd]]</f>
        <v>4.9342105263157892E-3</v>
      </c>
      <c r="CZ21">
        <f>(Sales[[#This Row],[Adjusted Total]]-Sales[[#This Row],[24Final]])/Sales[[#This Row],[24Final]]</f>
        <v>8.634222919937205E-3</v>
      </c>
      <c r="DA21" s="10">
        <f>(Sales[[#This Row],[Adjusted Total]]+Sales[[#This Row],[Days Prior Total]])/Sales[[#This Row],[Price]]</f>
        <v>0.97111826862449879</v>
      </c>
    </row>
    <row r="22" spans="1:105">
      <c r="A22">
        <v>2025</v>
      </c>
      <c r="B22">
        <v>19120114498</v>
      </c>
      <c r="C22">
        <v>-1.8325814637483102</v>
      </c>
      <c r="D22">
        <v>0.16</v>
      </c>
      <c r="E22">
        <v>7001</v>
      </c>
      <c r="F22">
        <v>2</v>
      </c>
      <c r="G22" t="s">
        <v>155</v>
      </c>
      <c r="H22">
        <v>317</v>
      </c>
      <c r="I22" t="s">
        <v>5</v>
      </c>
      <c r="J22" t="s">
        <v>156</v>
      </c>
      <c r="K22">
        <v>11</v>
      </c>
      <c r="L22">
        <v>259</v>
      </c>
      <c r="M22" t="s">
        <v>157</v>
      </c>
      <c r="N22" t="s">
        <v>21</v>
      </c>
      <c r="O22" t="s">
        <v>24</v>
      </c>
      <c r="P22">
        <v>2022</v>
      </c>
      <c r="Q22">
        <v>2022</v>
      </c>
      <c r="R22">
        <v>10</v>
      </c>
      <c r="S22">
        <v>2</v>
      </c>
      <c r="T22">
        <v>2</v>
      </c>
      <c r="U22">
        <v>2</v>
      </c>
      <c r="V22">
        <v>930</v>
      </c>
      <c r="W22">
        <v>1296</v>
      </c>
      <c r="X22">
        <v>0</v>
      </c>
      <c r="Y22">
        <v>0</v>
      </c>
      <c r="Z22">
        <v>0</v>
      </c>
      <c r="AA22">
        <v>0</v>
      </c>
      <c r="AB22">
        <v>2226</v>
      </c>
      <c r="AC22">
        <v>2500</v>
      </c>
      <c r="AD22">
        <v>2</v>
      </c>
      <c r="AE22" t="s">
        <v>56</v>
      </c>
      <c r="AF22" t="s">
        <v>158</v>
      </c>
      <c r="AG22" t="s">
        <v>21</v>
      </c>
      <c r="AI22">
        <v>0</v>
      </c>
      <c r="AJ22">
        <v>0</v>
      </c>
      <c r="AK22">
        <v>1</v>
      </c>
      <c r="AL22">
        <v>0</v>
      </c>
      <c r="AM22">
        <v>1</v>
      </c>
      <c r="AN22">
        <v>13</v>
      </c>
      <c r="AO22">
        <v>0</v>
      </c>
      <c r="AP22">
        <v>400</v>
      </c>
      <c r="AQ22">
        <v>0</v>
      </c>
      <c r="AR22">
        <v>0</v>
      </c>
      <c r="AS22">
        <v>0</v>
      </c>
      <c r="AT22">
        <v>0</v>
      </c>
      <c r="AU22">
        <v>100</v>
      </c>
      <c r="AV22">
        <v>100</v>
      </c>
      <c r="AW22">
        <v>405220</v>
      </c>
      <c r="AX22">
        <v>401168</v>
      </c>
      <c r="AY22">
        <v>585</v>
      </c>
      <c r="AZ22">
        <v>365</v>
      </c>
      <c r="BA22">
        <v>220</v>
      </c>
      <c r="BB22">
        <v>0</v>
      </c>
      <c r="BC22" s="2">
        <v>44707</v>
      </c>
      <c r="BD22" t="s">
        <v>181</v>
      </c>
      <c r="BE22">
        <v>437008</v>
      </c>
      <c r="BF22">
        <v>437008</v>
      </c>
      <c r="BG22" t="s">
        <v>160</v>
      </c>
      <c r="BH22">
        <v>30</v>
      </c>
      <c r="BI22" t="s">
        <v>56</v>
      </c>
      <c r="BJ22" t="s">
        <v>161</v>
      </c>
      <c r="BK22">
        <v>427900</v>
      </c>
      <c r="BL22">
        <v>60800</v>
      </c>
      <c r="BM22">
        <v>367100</v>
      </c>
      <c r="BN22">
        <v>0</v>
      </c>
      <c r="BO22">
        <v>420952.68490470119</v>
      </c>
      <c r="BP22">
        <v>432323.69348015351</v>
      </c>
      <c r="BQ22">
        <f>(Sales[[#This Row],[DP1]]*Lookups!$B$61)+(Sales[[#This Row],[DP2]]*Lookups!$B$62)+(Sales[[#This Row],[DP3]]*Lookups!$B$63)</f>
        <v>-11371.007881</v>
      </c>
      <c r="BR22">
        <f>Lookups!$B$58*0.6</f>
        <v>132535.48800000001</v>
      </c>
      <c r="BS22">
        <f>Lookups!$B$58*0.4</f>
        <v>88356.992000000013</v>
      </c>
      <c r="BT22">
        <f>Lookups!$B$59*Sales[[#This Row],[LnAcres]]</f>
        <v>-24051.387388882686</v>
      </c>
      <c r="BU22">
        <f>VLOOKUP(Sales[[#This Row],[Qlty]],Lookups!$A$66:$E$79,2,FALSE)</f>
        <v>32917.849192000001</v>
      </c>
      <c r="BV22">
        <f>VLOOKUP(Sales[[#This Row],[Cnd]],Lookups!$A$80:$E$91,2,FALSE)</f>
        <v>47371.278778200001</v>
      </c>
      <c r="BW22">
        <f>Sales[[#This Row],[EffAge]]*Lookups!$B$65</f>
        <v>-217.48220000000001</v>
      </c>
      <c r="BX22">
        <f>Sales[[#This Row],[MainFn]]*Lookups!$B$90</f>
        <v>58041.653400000003</v>
      </c>
      <c r="BY22">
        <f>Sales[[#This Row],[UpprFn]]*Lookups!$B$91</f>
        <v>77216.176368</v>
      </c>
      <c r="BZ22">
        <f>Sales[[#This Row],[Bsmt]]*Lookups!$B$95</f>
        <v>0</v>
      </c>
      <c r="CA22">
        <f>VLOOKUP(Sales[[#This Row],[MsnryTrim]],Lookups!$A$90:$E$99,2,FALSE)</f>
        <v>-9412.7029999999995</v>
      </c>
      <c r="CB22">
        <f>Sales[[#This Row],[PrefabFP]]*Lookups!$B$92</f>
        <v>9807.1044999999995</v>
      </c>
      <c r="CC22">
        <f>Sales[[#This Row],[AttGar]]*Lookups!$B$93</f>
        <v>0</v>
      </c>
      <c r="CD22">
        <f>Sales[[#This Row],[BltinGar]]*Lookups!$B$94</f>
        <v>19758.72</v>
      </c>
      <c r="CE22">
        <f>SUM(Sales[[#This Row],[Days Prior Total]:[Mdl BltinGar]])</f>
        <v>420952.68176831736</v>
      </c>
      <c r="CF22">
        <f>ROUND(Sales[[#This Row],[25Det]],-2)</f>
        <v>0</v>
      </c>
      <c r="CG22">
        <f>ROUND(SUM(Sales[[#This Row],[Mdl Qlty]:[Mdl BltinGar]])+Sales[[#This Row],[Mdl Res Intercept]]+Sales[[#This Row],[Days Prior Total]],-2)</f>
        <v>356600</v>
      </c>
      <c r="CH22">
        <f>ROUND(Sales[[#This Row],[Mdl Land Intercept]]+Sales[[#This Row],[Mdl LnAcres]],-2)</f>
        <v>64300</v>
      </c>
      <c r="CI22">
        <f>Sales[[#This Row],[Unadj Res Value]]+Sales[[#This Row],[Unadj Det Value]]+Sales[[#This Row],[Unadj Land Value]]</f>
        <v>420900</v>
      </c>
      <c r="CJ22" s="10">
        <f>Sales[[#This Row],[Price]]/Sales[[#This Row],[Unadj Total Value]]</f>
        <v>1.0382703730102163</v>
      </c>
      <c r="CK22" s="10">
        <f>(Sales[[#This Row],[Unadj Total Value]]-Sales[[#This Row],[24Final]])/Sales[[#This Row],[24Final]]</f>
        <v>-1.635896237438654E-2</v>
      </c>
      <c r="CL22">
        <f>VLOOKUP(Sales[[#This Row],[TNbhd]],Lookups!$M$3:$P$5,4,FALSE)</f>
        <v>0.99970000000000003</v>
      </c>
      <c r="CM22">
        <f>VLOOKUP(Sales[[#This Row],[Qlty]],Lookups!$M$8:$P$22,4,FALSE)</f>
        <v>1.0019</v>
      </c>
      <c r="CN22">
        <f>VLOOKUP(Sales[[#This Row],[Cnd]],Lookups!$R$8:$U$17,4,FALSE)</f>
        <v>1.0012000000000001</v>
      </c>
      <c r="CO22">
        <f>VLOOKUP(Sales[[#This Row],[LivArea Range]],Lookups!$R$25:$U$43,4,FALSE)</f>
        <v>1.0008999999999999</v>
      </c>
      <c r="CP22">
        <f>VLOOKUP(Sales[[#This Row],[Decade]],Lookups!$M$24:$P$40,4,FALSE)</f>
        <v>1.0024</v>
      </c>
      <c r="CQ22">
        <f>Sales[[#This Row],[Nbhd Adj]]*0.95</f>
        <v>0.94971499999999998</v>
      </c>
      <c r="CR22">
        <f>Sales[[#This Row],[Nbhd Adj]]*Sales[[#This Row],[Quality Adj]]*Sales[[#This Row],[Condition Adj]]*Sales[[#This Row],[Living Area Adj]]*Sales[[#This Row],[Decade Adj]]*0.95</f>
        <v>0.95580712182867422</v>
      </c>
      <c r="CS22">
        <f>ROUND(SUM(Sales[[#This Row],[Mdl Qlty]:[Mdl BltinGar]])+Sales[[#This Row],[Mdl Res Intercept]]*Sales[[#This Row],[Res Adj ]],-2)</f>
        <v>362200</v>
      </c>
      <c r="CT22">
        <f>ROUND(Sales[[#This Row],[25Det]]*Sales[[#This Row],[Det/Nbhd Adj]],-2)</f>
        <v>0</v>
      </c>
      <c r="CU22">
        <f>Sales[[#This Row],[Adjusted Res]]+Sales[[#This Row],[Adj Det ]]</f>
        <v>362200</v>
      </c>
      <c r="CV22">
        <f>ROUND((Sales[[#This Row],[Mdl Land Intercept]]+Sales[[#This Row],[Mdl LnAcres]])*Sales[[#This Row],[Det/Nbhd Adj]],-2)</f>
        <v>61100</v>
      </c>
      <c r="CW22">
        <f>Sales[[#This Row],[Adjusted Impr Total]]+Sales[[#This Row],[Adjusted Land Total]]</f>
        <v>423300</v>
      </c>
      <c r="CX22" s="10">
        <f>IFERROR((Sales[[#This Row],[Adjusted Impr Total]]-Sales[[#This Row],[24Bldg]])/Sales[[#This Row],[24Bldg]],0)</f>
        <v>-1.3347861618087714E-2</v>
      </c>
      <c r="CY22" s="10">
        <f>(Sales[[#This Row],[Adjusted Land Total]]-Sales[[#This Row],[24Lnd]])/Sales[[#This Row],[24Lnd]]</f>
        <v>4.9342105263157892E-3</v>
      </c>
      <c r="CZ22">
        <f>(Sales[[#This Row],[Adjusted Total]]-Sales[[#This Row],[24Final]])/Sales[[#This Row],[24Final]]</f>
        <v>-1.0750175274596869E-2</v>
      </c>
      <c r="DA22" s="10">
        <f>(Sales[[#This Row],[Adjusted Total]]+Sales[[#This Row],[Days Prior Total]])/Sales[[#This Row],[Price]]</f>
        <v>0.94261201652830151</v>
      </c>
    </row>
    <row r="23" spans="1:105">
      <c r="A23">
        <v>2025</v>
      </c>
      <c r="B23">
        <v>19120114499</v>
      </c>
      <c r="C23">
        <v>-1.8325814637483102</v>
      </c>
      <c r="D23">
        <v>0.16</v>
      </c>
      <c r="E23">
        <v>7002</v>
      </c>
      <c r="F23">
        <v>2</v>
      </c>
      <c r="G23" t="s">
        <v>155</v>
      </c>
      <c r="H23">
        <v>317</v>
      </c>
      <c r="I23" t="s">
        <v>5</v>
      </c>
      <c r="J23" t="s">
        <v>156</v>
      </c>
      <c r="K23">
        <v>11</v>
      </c>
      <c r="L23">
        <v>259</v>
      </c>
      <c r="M23" t="s">
        <v>157</v>
      </c>
      <c r="N23" t="s">
        <v>19</v>
      </c>
      <c r="O23" t="s">
        <v>24</v>
      </c>
      <c r="P23">
        <v>2022</v>
      </c>
      <c r="Q23">
        <v>2022</v>
      </c>
      <c r="R23">
        <v>10</v>
      </c>
      <c r="S23">
        <v>2</v>
      </c>
      <c r="T23">
        <v>2</v>
      </c>
      <c r="U23">
        <v>1</v>
      </c>
      <c r="V23">
        <v>1592</v>
      </c>
      <c r="W23">
        <v>0</v>
      </c>
      <c r="X23">
        <v>0</v>
      </c>
      <c r="Y23">
        <v>0</v>
      </c>
      <c r="Z23">
        <v>0</v>
      </c>
      <c r="AA23">
        <v>0</v>
      </c>
      <c r="AB23">
        <v>1592</v>
      </c>
      <c r="AC23">
        <v>2000</v>
      </c>
      <c r="AD23">
        <v>3</v>
      </c>
      <c r="AE23" t="s">
        <v>56</v>
      </c>
      <c r="AF23" t="s">
        <v>158</v>
      </c>
      <c r="AG23" t="s">
        <v>21</v>
      </c>
      <c r="AI23">
        <v>0</v>
      </c>
      <c r="AJ23">
        <v>0</v>
      </c>
      <c r="AK23">
        <v>1</v>
      </c>
      <c r="AL23">
        <v>0</v>
      </c>
      <c r="AM23">
        <v>0</v>
      </c>
      <c r="AN23">
        <v>10</v>
      </c>
      <c r="AO23">
        <v>616</v>
      </c>
      <c r="AP23">
        <v>0</v>
      </c>
      <c r="AQ23">
        <v>0</v>
      </c>
      <c r="AR23">
        <v>0</v>
      </c>
      <c r="AS23">
        <v>100</v>
      </c>
      <c r="AT23">
        <v>0</v>
      </c>
      <c r="AU23">
        <v>100</v>
      </c>
      <c r="AV23">
        <v>100</v>
      </c>
      <c r="AW23">
        <v>290942</v>
      </c>
      <c r="AX23">
        <v>288033</v>
      </c>
      <c r="AY23">
        <v>616</v>
      </c>
      <c r="AZ23">
        <v>365</v>
      </c>
      <c r="BA23">
        <v>251</v>
      </c>
      <c r="BB23">
        <v>0</v>
      </c>
      <c r="BC23" s="2">
        <v>44676</v>
      </c>
      <c r="BD23" t="s">
        <v>182</v>
      </c>
      <c r="BE23">
        <v>403005</v>
      </c>
      <c r="BF23">
        <v>403005</v>
      </c>
      <c r="BG23" t="s">
        <v>160</v>
      </c>
      <c r="BH23">
        <v>30</v>
      </c>
      <c r="BI23" t="s">
        <v>56</v>
      </c>
      <c r="BJ23" t="s">
        <v>161</v>
      </c>
      <c r="BK23">
        <v>391500</v>
      </c>
      <c r="BL23">
        <v>60800</v>
      </c>
      <c r="BM23">
        <v>330700</v>
      </c>
      <c r="BN23">
        <v>0</v>
      </c>
      <c r="BO23">
        <v>389184.54851342732</v>
      </c>
      <c r="BP23">
        <v>402646.30723846704</v>
      </c>
      <c r="BQ23">
        <f>(Sales[[#This Row],[DP1]]*Lookups!$B$61)+(Sales[[#This Row],[DP2]]*Lookups!$B$62)+(Sales[[#This Row],[DP3]]*Lookups!$B$63)</f>
        <v>-13461.757931</v>
      </c>
      <c r="BR23">
        <f>Lookups!$B$58*0.6</f>
        <v>132535.48800000001</v>
      </c>
      <c r="BS23">
        <f>Lookups!$B$58*0.4</f>
        <v>88356.992000000013</v>
      </c>
      <c r="BT23">
        <f>Lookups!$B$59*Sales[[#This Row],[LnAcres]]</f>
        <v>-24051.387388882686</v>
      </c>
      <c r="BU23">
        <f>VLOOKUP(Sales[[#This Row],[Qlty]],Lookups!$A$66:$E$79,2,FALSE)</f>
        <v>37154.252388000001</v>
      </c>
      <c r="BV23">
        <f>VLOOKUP(Sales[[#This Row],[Cnd]],Lookups!$A$80:$E$91,2,FALSE)</f>
        <v>47371.278778200001</v>
      </c>
      <c r="BW23">
        <f>Sales[[#This Row],[EffAge]]*Lookups!$B$65</f>
        <v>-217.48220000000001</v>
      </c>
      <c r="BX23">
        <f>Sales[[#This Row],[MainFn]]*Lookups!$B$90</f>
        <v>99357.324960000013</v>
      </c>
      <c r="BY23">
        <f>Sales[[#This Row],[UpprFn]]*Lookups!$B$91</f>
        <v>0</v>
      </c>
      <c r="BZ23">
        <f>Sales[[#This Row],[Bsmt]]*Lookups!$B$95</f>
        <v>0</v>
      </c>
      <c r="CA23">
        <f>VLOOKUP(Sales[[#This Row],[MsnryTrim]],Lookups!$A$90:$E$99,2,FALSE)</f>
        <v>-9412.7029999999995</v>
      </c>
      <c r="CB23">
        <f>Sales[[#This Row],[PrefabFP]]*Lookups!$B$92</f>
        <v>9807.1044999999995</v>
      </c>
      <c r="CC23">
        <f>Sales[[#This Row],[AttGar]]*Lookups!$B$93</f>
        <v>21745.435096000001</v>
      </c>
      <c r="CD23">
        <f>Sales[[#This Row],[BltinGar]]*Lookups!$B$94</f>
        <v>0</v>
      </c>
      <c r="CE23">
        <f>SUM(Sales[[#This Row],[Days Prior Total]:[Mdl BltinGar]])</f>
        <v>389184.5452023173</v>
      </c>
      <c r="CF23">
        <f>ROUND(Sales[[#This Row],[25Det]],-2)</f>
        <v>0</v>
      </c>
      <c r="CG23">
        <f>ROUND(SUM(Sales[[#This Row],[Mdl Qlty]:[Mdl BltinGar]])+Sales[[#This Row],[Mdl Res Intercept]]+Sales[[#This Row],[Days Prior Total]],-2)</f>
        <v>324900</v>
      </c>
      <c r="CH23">
        <f>ROUND(Sales[[#This Row],[Mdl Land Intercept]]+Sales[[#This Row],[Mdl LnAcres]],-2)</f>
        <v>64300</v>
      </c>
      <c r="CI23">
        <f>Sales[[#This Row],[Unadj Res Value]]+Sales[[#This Row],[Unadj Det Value]]+Sales[[#This Row],[Unadj Land Value]]</f>
        <v>389200</v>
      </c>
      <c r="CJ23" s="10">
        <f>Sales[[#This Row],[Price]]/Sales[[#This Row],[Unadj Total Value]]</f>
        <v>1.0354701952723535</v>
      </c>
      <c r="CK23" s="10">
        <f>(Sales[[#This Row],[Unadj Total Value]]-Sales[[#This Row],[24Final]])/Sales[[#This Row],[24Final]]</f>
        <v>-5.8748403575989783E-3</v>
      </c>
      <c r="CL23">
        <f>VLOOKUP(Sales[[#This Row],[TNbhd]],Lookups!$M$3:$P$5,4,FALSE)</f>
        <v>0.99970000000000003</v>
      </c>
      <c r="CM23">
        <f>VLOOKUP(Sales[[#This Row],[Qlty]],Lookups!$M$8:$P$22,4,FALSE)</f>
        <v>0.99819999999999998</v>
      </c>
      <c r="CN23">
        <f>VLOOKUP(Sales[[#This Row],[Cnd]],Lookups!$R$8:$U$17,4,FALSE)</f>
        <v>1.0012000000000001</v>
      </c>
      <c r="CO23">
        <f>VLOOKUP(Sales[[#This Row],[LivArea Range]],Lookups!$R$25:$U$43,4,FALSE)</f>
        <v>1.0007999999999999</v>
      </c>
      <c r="CP23">
        <f>VLOOKUP(Sales[[#This Row],[Decade]],Lookups!$M$24:$P$40,4,FALSE)</f>
        <v>1.0024</v>
      </c>
      <c r="CQ23">
        <f>Sales[[#This Row],[Nbhd Adj]]*0.95</f>
        <v>0.94971499999999998</v>
      </c>
      <c r="CR23">
        <f>Sales[[#This Row],[Nbhd Adj]]*Sales[[#This Row],[Quality Adj]]*Sales[[#This Row],[Condition Adj]]*Sales[[#This Row],[Living Area Adj]]*Sales[[#This Row],[Decade Adj]]*0.95</f>
        <v>0.95218219995315945</v>
      </c>
      <c r="CS23">
        <f>ROUND(SUM(Sales[[#This Row],[Mdl Qlty]:[Mdl BltinGar]])+Sales[[#This Row],[Mdl Res Intercept]]*Sales[[#This Row],[Res Adj ]],-2)</f>
        <v>332000</v>
      </c>
      <c r="CT23">
        <f>ROUND(Sales[[#This Row],[25Det]]*Sales[[#This Row],[Det/Nbhd Adj]],-2)</f>
        <v>0</v>
      </c>
      <c r="CU23">
        <f>Sales[[#This Row],[Adjusted Res]]+Sales[[#This Row],[Adj Det ]]</f>
        <v>332000</v>
      </c>
      <c r="CV23">
        <f>ROUND((Sales[[#This Row],[Mdl Land Intercept]]+Sales[[#This Row],[Mdl LnAcres]])*Sales[[#This Row],[Det/Nbhd Adj]],-2)</f>
        <v>61100</v>
      </c>
      <c r="CW23">
        <f>Sales[[#This Row],[Adjusted Impr Total]]+Sales[[#This Row],[Adjusted Land Total]]</f>
        <v>393100</v>
      </c>
      <c r="CX23" s="10">
        <f>IFERROR((Sales[[#This Row],[Adjusted Impr Total]]-Sales[[#This Row],[24Bldg]])/Sales[[#This Row],[24Bldg]],0)</f>
        <v>3.9310553371635923E-3</v>
      </c>
      <c r="CY23" s="10">
        <f>(Sales[[#This Row],[Adjusted Land Total]]-Sales[[#This Row],[24Lnd]])/Sales[[#This Row],[24Lnd]]</f>
        <v>4.9342105263157892E-3</v>
      </c>
      <c r="CZ23">
        <f>(Sales[[#This Row],[Adjusted Total]]-Sales[[#This Row],[24Final]])/Sales[[#This Row],[24Final]]</f>
        <v>4.0868454661558114E-3</v>
      </c>
      <c r="DA23" s="10">
        <f>(Sales[[#This Row],[Adjusted Total]]+Sales[[#This Row],[Days Prior Total]])/Sales[[#This Row],[Price]]</f>
        <v>0.94201868976563574</v>
      </c>
    </row>
    <row r="24" spans="1:105">
      <c r="A24">
        <v>2025</v>
      </c>
      <c r="B24">
        <v>19120114500</v>
      </c>
      <c r="C24">
        <v>-1.8325814637483102</v>
      </c>
      <c r="D24">
        <v>0.16</v>
      </c>
      <c r="E24">
        <v>7002</v>
      </c>
      <c r="F24">
        <v>2</v>
      </c>
      <c r="G24" t="s">
        <v>155</v>
      </c>
      <c r="H24">
        <v>317</v>
      </c>
      <c r="I24" t="s">
        <v>5</v>
      </c>
      <c r="J24" t="s">
        <v>156</v>
      </c>
      <c r="K24">
        <v>11</v>
      </c>
      <c r="L24">
        <v>259</v>
      </c>
      <c r="M24" t="s">
        <v>157</v>
      </c>
      <c r="N24" t="s">
        <v>19</v>
      </c>
      <c r="O24" t="s">
        <v>24</v>
      </c>
      <c r="P24">
        <v>2022</v>
      </c>
      <c r="Q24">
        <v>2022</v>
      </c>
      <c r="R24">
        <v>10</v>
      </c>
      <c r="S24">
        <v>2</v>
      </c>
      <c r="T24">
        <v>2</v>
      </c>
      <c r="U24">
        <v>1</v>
      </c>
      <c r="V24">
        <v>1464</v>
      </c>
      <c r="W24">
        <v>0</v>
      </c>
      <c r="X24">
        <v>0</v>
      </c>
      <c r="Y24">
        <v>0</v>
      </c>
      <c r="Z24">
        <v>0</v>
      </c>
      <c r="AA24">
        <v>0</v>
      </c>
      <c r="AB24">
        <v>1464</v>
      </c>
      <c r="AC24">
        <v>1500</v>
      </c>
      <c r="AD24">
        <v>2</v>
      </c>
      <c r="AE24" t="s">
        <v>56</v>
      </c>
      <c r="AF24" t="s">
        <v>158</v>
      </c>
      <c r="AG24" t="s">
        <v>21</v>
      </c>
      <c r="AI24">
        <v>0</v>
      </c>
      <c r="AJ24">
        <v>0</v>
      </c>
      <c r="AK24">
        <v>1</v>
      </c>
      <c r="AL24">
        <v>0</v>
      </c>
      <c r="AM24">
        <v>0</v>
      </c>
      <c r="AN24">
        <v>9</v>
      </c>
      <c r="AO24">
        <v>400</v>
      </c>
      <c r="AP24">
        <v>0</v>
      </c>
      <c r="AQ24">
        <v>0</v>
      </c>
      <c r="AR24">
        <v>0</v>
      </c>
      <c r="AS24">
        <v>100</v>
      </c>
      <c r="AT24">
        <v>0</v>
      </c>
      <c r="AU24">
        <v>100</v>
      </c>
      <c r="AV24">
        <v>100</v>
      </c>
      <c r="AW24">
        <v>262619</v>
      </c>
      <c r="AX24">
        <v>259993</v>
      </c>
      <c r="AY24">
        <v>628</v>
      </c>
      <c r="AZ24">
        <v>365</v>
      </c>
      <c r="BA24">
        <v>263</v>
      </c>
      <c r="BB24">
        <v>0</v>
      </c>
      <c r="BC24" s="2">
        <v>44664</v>
      </c>
      <c r="BD24" t="s">
        <v>183</v>
      </c>
      <c r="BE24">
        <v>365437</v>
      </c>
      <c r="BF24">
        <v>365437</v>
      </c>
      <c r="BG24" t="s">
        <v>160</v>
      </c>
      <c r="BH24">
        <v>30</v>
      </c>
      <c r="BI24" t="s">
        <v>56</v>
      </c>
      <c r="BJ24" t="s">
        <v>161</v>
      </c>
      <c r="BK24">
        <v>373900</v>
      </c>
      <c r="BL24">
        <v>60800</v>
      </c>
      <c r="BM24">
        <v>313100</v>
      </c>
      <c r="BN24">
        <v>0</v>
      </c>
      <c r="BO24">
        <v>372761.67461389338</v>
      </c>
      <c r="BP24">
        <v>387032.755977483</v>
      </c>
      <c r="BQ24">
        <f>(Sales[[#This Row],[DP1]]*Lookups!$B$61)+(Sales[[#This Row],[DP2]]*Lookups!$B$62)+(Sales[[#This Row],[DP3]]*Lookups!$B$63)</f>
        <v>-14271.080531</v>
      </c>
      <c r="BR24">
        <f>Lookups!$B$58*0.6</f>
        <v>132535.48800000001</v>
      </c>
      <c r="BS24">
        <f>Lookups!$B$58*0.4</f>
        <v>88356.992000000013</v>
      </c>
      <c r="BT24">
        <f>Lookups!$B$59*Sales[[#This Row],[LnAcres]]</f>
        <v>-24051.387388882686</v>
      </c>
      <c r="BU24">
        <f>VLOOKUP(Sales[[#This Row],[Qlty]],Lookups!$A$66:$E$79,2,FALSE)</f>
        <v>37154.252388000001</v>
      </c>
      <c r="BV24">
        <f>VLOOKUP(Sales[[#This Row],[Cnd]],Lookups!$A$80:$E$91,2,FALSE)</f>
        <v>47371.278778200001</v>
      </c>
      <c r="BW24">
        <f>Sales[[#This Row],[EffAge]]*Lookups!$B$65</f>
        <v>-217.48220000000001</v>
      </c>
      <c r="BX24">
        <f>Sales[[#This Row],[MainFn]]*Lookups!$B$90</f>
        <v>91368.796320000009</v>
      </c>
      <c r="BY24">
        <f>Sales[[#This Row],[UpprFn]]*Lookups!$B$91</f>
        <v>0</v>
      </c>
      <c r="BZ24">
        <f>Sales[[#This Row],[Bsmt]]*Lookups!$B$95</f>
        <v>0</v>
      </c>
      <c r="CA24">
        <f>VLOOKUP(Sales[[#This Row],[MsnryTrim]],Lookups!$A$90:$E$99,2,FALSE)</f>
        <v>-9412.7029999999995</v>
      </c>
      <c r="CB24">
        <f>Sales[[#This Row],[PrefabFP]]*Lookups!$B$92</f>
        <v>9807.1044999999995</v>
      </c>
      <c r="CC24">
        <f>Sales[[#This Row],[AttGar]]*Lookups!$B$93</f>
        <v>14120.412400000001</v>
      </c>
      <c r="CD24">
        <f>Sales[[#This Row],[BltinGar]]*Lookups!$B$94</f>
        <v>0</v>
      </c>
      <c r="CE24">
        <f>SUM(Sales[[#This Row],[Days Prior Total]:[Mdl BltinGar]])</f>
        <v>372761.67126631737</v>
      </c>
      <c r="CF24">
        <f>ROUND(Sales[[#This Row],[25Det]],-2)</f>
        <v>0</v>
      </c>
      <c r="CG24">
        <f>ROUND(SUM(Sales[[#This Row],[Mdl Qlty]:[Mdl BltinGar]])+Sales[[#This Row],[Mdl Res Intercept]]+Sales[[#This Row],[Days Prior Total]],-2)</f>
        <v>308500</v>
      </c>
      <c r="CH24">
        <f>ROUND(Sales[[#This Row],[Mdl Land Intercept]]+Sales[[#This Row],[Mdl LnAcres]],-2)</f>
        <v>64300</v>
      </c>
      <c r="CI24">
        <f>Sales[[#This Row],[Unadj Res Value]]+Sales[[#This Row],[Unadj Det Value]]+Sales[[#This Row],[Unadj Land Value]]</f>
        <v>372800</v>
      </c>
      <c r="CJ24" s="10">
        <f>Sales[[#This Row],[Price]]/Sales[[#This Row],[Unadj Total Value]]</f>
        <v>0.9802494635193133</v>
      </c>
      <c r="CK24" s="10">
        <f>(Sales[[#This Row],[Unadj Total Value]]-Sales[[#This Row],[24Final]])/Sales[[#This Row],[24Final]]</f>
        <v>-2.941963091735758E-3</v>
      </c>
      <c r="CL24">
        <f>VLOOKUP(Sales[[#This Row],[TNbhd]],Lookups!$M$3:$P$5,4,FALSE)</f>
        <v>0.99970000000000003</v>
      </c>
      <c r="CM24">
        <f>VLOOKUP(Sales[[#This Row],[Qlty]],Lookups!$M$8:$P$22,4,FALSE)</f>
        <v>0.99819999999999998</v>
      </c>
      <c r="CN24">
        <f>VLOOKUP(Sales[[#This Row],[Cnd]],Lookups!$R$8:$U$17,4,FALSE)</f>
        <v>1.0012000000000001</v>
      </c>
      <c r="CO24">
        <f>VLOOKUP(Sales[[#This Row],[LivArea Range]],Lookups!$R$25:$U$43,4,FALSE)</f>
        <v>0.99519999999999997</v>
      </c>
      <c r="CP24">
        <f>VLOOKUP(Sales[[#This Row],[Decade]],Lookups!$M$24:$P$40,4,FALSE)</f>
        <v>1.0024</v>
      </c>
      <c r="CQ24">
        <f>Sales[[#This Row],[Nbhd Adj]]*0.95</f>
        <v>0.94971499999999998</v>
      </c>
      <c r="CR24">
        <f>Sales[[#This Row],[Nbhd Adj]]*Sales[[#This Row],[Quality Adj]]*Sales[[#This Row],[Condition Adj]]*Sales[[#This Row],[Living Area Adj]]*Sales[[#This Row],[Decade Adj]]*0.95</f>
        <v>0.94685424199978463</v>
      </c>
      <c r="CS24">
        <f>ROUND(SUM(Sales[[#This Row],[Mdl Qlty]:[Mdl BltinGar]])+Sales[[#This Row],[Mdl Res Intercept]]*Sales[[#This Row],[Res Adj ]],-2)</f>
        <v>315700</v>
      </c>
      <c r="CT24">
        <f>ROUND(Sales[[#This Row],[25Det]]*Sales[[#This Row],[Det/Nbhd Adj]],-2)</f>
        <v>0</v>
      </c>
      <c r="CU24">
        <f>Sales[[#This Row],[Adjusted Res]]+Sales[[#This Row],[Adj Det ]]</f>
        <v>315700</v>
      </c>
      <c r="CV24">
        <f>ROUND((Sales[[#This Row],[Mdl Land Intercept]]+Sales[[#This Row],[Mdl LnAcres]])*Sales[[#This Row],[Det/Nbhd Adj]],-2)</f>
        <v>61100</v>
      </c>
      <c r="CW24">
        <f>Sales[[#This Row],[Adjusted Impr Total]]+Sales[[#This Row],[Adjusted Land Total]]</f>
        <v>376800</v>
      </c>
      <c r="CX24" s="10">
        <f>IFERROR((Sales[[#This Row],[Adjusted Impr Total]]-Sales[[#This Row],[24Bldg]])/Sales[[#This Row],[24Bldg]],0)</f>
        <v>8.30405621207282E-3</v>
      </c>
      <c r="CY24" s="10">
        <f>(Sales[[#This Row],[Adjusted Land Total]]-Sales[[#This Row],[24Lnd]])/Sales[[#This Row],[24Lnd]]</f>
        <v>4.9342105263157892E-3</v>
      </c>
      <c r="CZ24">
        <f>(Sales[[#This Row],[Adjusted Total]]-Sales[[#This Row],[24Final]])/Sales[[#This Row],[24Final]]</f>
        <v>7.75608451457609E-3</v>
      </c>
      <c r="DA24" s="10">
        <f>(Sales[[#This Row],[Adjusted Total]]+Sales[[#This Row],[Days Prior Total]])/Sales[[#This Row],[Price]]</f>
        <v>0.99204218365682739</v>
      </c>
    </row>
    <row r="25" spans="1:105">
      <c r="A25">
        <v>2025</v>
      </c>
      <c r="B25">
        <v>19120114501</v>
      </c>
      <c r="C25">
        <v>-1.8325814637483102</v>
      </c>
      <c r="D25">
        <v>0.16</v>
      </c>
      <c r="E25">
        <v>7002</v>
      </c>
      <c r="F25">
        <v>2</v>
      </c>
      <c r="G25" t="s">
        <v>155</v>
      </c>
      <c r="H25">
        <v>317</v>
      </c>
      <c r="I25" t="s">
        <v>5</v>
      </c>
      <c r="J25" t="s">
        <v>156</v>
      </c>
      <c r="K25">
        <v>11</v>
      </c>
      <c r="L25">
        <v>259</v>
      </c>
      <c r="M25" t="s">
        <v>157</v>
      </c>
      <c r="N25" t="s">
        <v>21</v>
      </c>
      <c r="O25" t="s">
        <v>24</v>
      </c>
      <c r="P25">
        <v>2022</v>
      </c>
      <c r="Q25">
        <v>2022</v>
      </c>
      <c r="R25">
        <v>10</v>
      </c>
      <c r="S25">
        <v>2</v>
      </c>
      <c r="T25">
        <v>2</v>
      </c>
      <c r="U25">
        <v>1</v>
      </c>
      <c r="V25">
        <v>1842</v>
      </c>
      <c r="W25">
        <v>0</v>
      </c>
      <c r="X25">
        <v>0</v>
      </c>
      <c r="Y25">
        <v>0</v>
      </c>
      <c r="Z25">
        <v>0</v>
      </c>
      <c r="AA25">
        <v>0</v>
      </c>
      <c r="AB25">
        <v>1842</v>
      </c>
      <c r="AC25">
        <v>2000</v>
      </c>
      <c r="AD25">
        <v>2</v>
      </c>
      <c r="AE25" t="s">
        <v>56</v>
      </c>
      <c r="AF25" t="s">
        <v>158</v>
      </c>
      <c r="AG25" t="s">
        <v>21</v>
      </c>
      <c r="AI25">
        <v>0</v>
      </c>
      <c r="AJ25">
        <v>0</v>
      </c>
      <c r="AK25">
        <v>1</v>
      </c>
      <c r="AL25">
        <v>0</v>
      </c>
      <c r="AM25">
        <v>0</v>
      </c>
      <c r="AN25">
        <v>9</v>
      </c>
      <c r="AO25">
        <v>420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100</v>
      </c>
      <c r="AV25">
        <v>100</v>
      </c>
      <c r="AW25">
        <v>363077</v>
      </c>
      <c r="AX25">
        <v>359446</v>
      </c>
      <c r="AY25">
        <v>602</v>
      </c>
      <c r="AZ25">
        <v>365</v>
      </c>
      <c r="BA25">
        <v>237</v>
      </c>
      <c r="BB25">
        <v>0</v>
      </c>
      <c r="BC25" s="2">
        <v>44690</v>
      </c>
      <c r="BD25" t="s">
        <v>184</v>
      </c>
      <c r="BE25">
        <v>406943</v>
      </c>
      <c r="BF25">
        <v>406943</v>
      </c>
      <c r="BG25" t="s">
        <v>160</v>
      </c>
      <c r="BH25">
        <v>30</v>
      </c>
      <c r="BI25" t="s">
        <v>56</v>
      </c>
      <c r="BJ25" t="s">
        <v>161</v>
      </c>
      <c r="BK25">
        <v>403000</v>
      </c>
      <c r="BL25">
        <v>60800</v>
      </c>
      <c r="BM25">
        <v>342200</v>
      </c>
      <c r="BN25">
        <v>0</v>
      </c>
      <c r="BO25">
        <v>394575.94806314301</v>
      </c>
      <c r="BP25">
        <v>407093.49704320781</v>
      </c>
      <c r="BQ25">
        <f>(Sales[[#This Row],[DP1]]*Lookups!$B$61)+(Sales[[#This Row],[DP2]]*Lookups!$B$62)+(Sales[[#This Row],[DP3]]*Lookups!$B$63)</f>
        <v>-12517.548231000001</v>
      </c>
      <c r="BR25">
        <f>Lookups!$B$58*0.6</f>
        <v>132535.48800000001</v>
      </c>
      <c r="BS25">
        <f>Lookups!$B$58*0.4</f>
        <v>88356.992000000013</v>
      </c>
      <c r="BT25">
        <f>Lookups!$B$59*Sales[[#This Row],[LnAcres]]</f>
        <v>-24051.387388882686</v>
      </c>
      <c r="BU25">
        <f>VLOOKUP(Sales[[#This Row],[Qlty]],Lookups!$A$66:$E$79,2,FALSE)</f>
        <v>32917.849192000001</v>
      </c>
      <c r="BV25">
        <f>VLOOKUP(Sales[[#This Row],[Cnd]],Lookups!$A$80:$E$91,2,FALSE)</f>
        <v>47371.278778200001</v>
      </c>
      <c r="BW25">
        <f>Sales[[#This Row],[EffAge]]*Lookups!$B$65</f>
        <v>-217.48220000000001</v>
      </c>
      <c r="BX25">
        <f>Sales[[#This Row],[MainFn]]*Lookups!$B$90</f>
        <v>114959.91996</v>
      </c>
      <c r="BY25">
        <f>Sales[[#This Row],[UpprFn]]*Lookups!$B$91</f>
        <v>0</v>
      </c>
      <c r="BZ25">
        <f>Sales[[#This Row],[Bsmt]]*Lookups!$B$95</f>
        <v>0</v>
      </c>
      <c r="CA25">
        <f>VLOOKUP(Sales[[#This Row],[MsnryTrim]],Lookups!$A$90:$E$99,2,FALSE)</f>
        <v>-9412.7029999999995</v>
      </c>
      <c r="CB25">
        <f>Sales[[#This Row],[PrefabFP]]*Lookups!$B$92</f>
        <v>9807.1044999999995</v>
      </c>
      <c r="CC25">
        <f>Sales[[#This Row],[AttGar]]*Lookups!$B$93</f>
        <v>14826.43302</v>
      </c>
      <c r="CD25">
        <f>Sales[[#This Row],[BltinGar]]*Lookups!$B$94</f>
        <v>0</v>
      </c>
      <c r="CE25">
        <f>SUM(Sales[[#This Row],[Days Prior Total]:[Mdl BltinGar]])</f>
        <v>394575.94463031727</v>
      </c>
      <c r="CF25">
        <f>ROUND(Sales[[#This Row],[25Det]],-2)</f>
        <v>0</v>
      </c>
      <c r="CG25">
        <f>ROUND(SUM(Sales[[#This Row],[Mdl Qlty]:[Mdl BltinGar]])+Sales[[#This Row],[Mdl Res Intercept]]+Sales[[#This Row],[Days Prior Total]],-2)</f>
        <v>330300</v>
      </c>
      <c r="CH25">
        <f>ROUND(Sales[[#This Row],[Mdl Land Intercept]]+Sales[[#This Row],[Mdl LnAcres]],-2)</f>
        <v>64300</v>
      </c>
      <c r="CI25">
        <f>Sales[[#This Row],[Unadj Res Value]]+Sales[[#This Row],[Unadj Det Value]]+Sales[[#This Row],[Unadj Land Value]]</f>
        <v>394600</v>
      </c>
      <c r="CJ25" s="10">
        <f>Sales[[#This Row],[Price]]/Sales[[#This Row],[Unadj Total Value]]</f>
        <v>1.0312797769893562</v>
      </c>
      <c r="CK25" s="10">
        <f>(Sales[[#This Row],[Unadj Total Value]]-Sales[[#This Row],[24Final]])/Sales[[#This Row],[24Final]]</f>
        <v>-2.0843672456575684E-2</v>
      </c>
      <c r="CL25">
        <f>VLOOKUP(Sales[[#This Row],[TNbhd]],Lookups!$M$3:$P$5,4,FALSE)</f>
        <v>0.99970000000000003</v>
      </c>
      <c r="CM25">
        <f>VLOOKUP(Sales[[#This Row],[Qlty]],Lookups!$M$8:$P$22,4,FALSE)</f>
        <v>1.0019</v>
      </c>
      <c r="CN25">
        <f>VLOOKUP(Sales[[#This Row],[Cnd]],Lookups!$R$8:$U$17,4,FALSE)</f>
        <v>1.0012000000000001</v>
      </c>
      <c r="CO25">
        <f>VLOOKUP(Sales[[#This Row],[LivArea Range]],Lookups!$R$25:$U$43,4,FALSE)</f>
        <v>1.0007999999999999</v>
      </c>
      <c r="CP25">
        <f>VLOOKUP(Sales[[#This Row],[Decade]],Lookups!$M$24:$P$40,4,FALSE)</f>
        <v>1.0024</v>
      </c>
      <c r="CQ25">
        <f>Sales[[#This Row],[Nbhd Adj]]*0.95</f>
        <v>0.94971499999999998</v>
      </c>
      <c r="CR25">
        <f>Sales[[#This Row],[Nbhd Adj]]*Sales[[#This Row],[Quality Adj]]*Sales[[#This Row],[Condition Adj]]*Sales[[#This Row],[Living Area Adj]]*Sales[[#This Row],[Decade Adj]]*0.95</f>
        <v>0.95571162706178159</v>
      </c>
      <c r="CS25">
        <f>ROUND(SUM(Sales[[#This Row],[Mdl Qlty]:[Mdl BltinGar]])+Sales[[#This Row],[Mdl Res Intercept]]*Sales[[#This Row],[Res Adj ]],-2)</f>
        <v>336900</v>
      </c>
      <c r="CT25">
        <f>ROUND(Sales[[#This Row],[25Det]]*Sales[[#This Row],[Det/Nbhd Adj]],-2)</f>
        <v>0</v>
      </c>
      <c r="CU25">
        <f>Sales[[#This Row],[Adjusted Res]]+Sales[[#This Row],[Adj Det ]]</f>
        <v>336900</v>
      </c>
      <c r="CV25">
        <f>ROUND((Sales[[#This Row],[Mdl Land Intercept]]+Sales[[#This Row],[Mdl LnAcres]])*Sales[[#This Row],[Det/Nbhd Adj]],-2)</f>
        <v>61100</v>
      </c>
      <c r="CW25">
        <f>Sales[[#This Row],[Adjusted Impr Total]]+Sales[[#This Row],[Adjusted Land Total]]</f>
        <v>398000</v>
      </c>
      <c r="CX25" s="10">
        <f>IFERROR((Sales[[#This Row],[Adjusted Impr Total]]-Sales[[#This Row],[24Bldg]])/Sales[[#This Row],[24Bldg]],0)</f>
        <v>-1.5488018702513151E-2</v>
      </c>
      <c r="CY25" s="10">
        <f>(Sales[[#This Row],[Adjusted Land Total]]-Sales[[#This Row],[24Lnd]])/Sales[[#This Row],[24Lnd]]</f>
        <v>4.9342105263157892E-3</v>
      </c>
      <c r="CZ25">
        <f>(Sales[[#This Row],[Adjusted Total]]-Sales[[#This Row],[24Final]])/Sales[[#This Row],[24Final]]</f>
        <v>-1.2406947890818859E-2</v>
      </c>
      <c r="DA25" s="10">
        <f>(Sales[[#This Row],[Adjusted Total]]+Sales[[#This Row],[Days Prior Total]])/Sales[[#This Row],[Price]]</f>
        <v>0.94726399463561228</v>
      </c>
    </row>
    <row r="26" spans="1:105">
      <c r="A26">
        <v>2025</v>
      </c>
      <c r="B26">
        <v>19120114502</v>
      </c>
      <c r="C26">
        <v>-1.8325814637483102</v>
      </c>
      <c r="D26">
        <v>0.16</v>
      </c>
      <c r="E26">
        <v>7002</v>
      </c>
      <c r="F26">
        <v>2</v>
      </c>
      <c r="G26" t="s">
        <v>155</v>
      </c>
      <c r="H26">
        <v>317</v>
      </c>
      <c r="I26" t="s">
        <v>5</v>
      </c>
      <c r="J26" t="s">
        <v>156</v>
      </c>
      <c r="K26">
        <v>11</v>
      </c>
      <c r="L26">
        <v>259</v>
      </c>
      <c r="M26" t="s">
        <v>157</v>
      </c>
      <c r="N26" t="s">
        <v>19</v>
      </c>
      <c r="O26" t="s">
        <v>24</v>
      </c>
      <c r="P26">
        <v>2022</v>
      </c>
      <c r="Q26">
        <v>2022</v>
      </c>
      <c r="R26">
        <v>10</v>
      </c>
      <c r="S26">
        <v>2</v>
      </c>
      <c r="T26">
        <v>2</v>
      </c>
      <c r="U26">
        <v>1</v>
      </c>
      <c r="V26">
        <v>1592</v>
      </c>
      <c r="W26">
        <v>0</v>
      </c>
      <c r="X26">
        <v>0</v>
      </c>
      <c r="Y26">
        <v>0</v>
      </c>
      <c r="Z26">
        <v>0</v>
      </c>
      <c r="AA26">
        <v>0</v>
      </c>
      <c r="AB26">
        <v>1592</v>
      </c>
      <c r="AC26">
        <v>2000</v>
      </c>
      <c r="AD26">
        <v>3</v>
      </c>
      <c r="AE26" t="s">
        <v>56</v>
      </c>
      <c r="AF26" t="s">
        <v>158</v>
      </c>
      <c r="AG26" t="s">
        <v>21</v>
      </c>
      <c r="AI26">
        <v>0</v>
      </c>
      <c r="AJ26">
        <v>0</v>
      </c>
      <c r="AK26">
        <v>1</v>
      </c>
      <c r="AL26">
        <v>0</v>
      </c>
      <c r="AM26">
        <v>0</v>
      </c>
      <c r="AN26">
        <v>10</v>
      </c>
      <c r="AO26">
        <v>616</v>
      </c>
      <c r="AP26">
        <v>0</v>
      </c>
      <c r="AQ26">
        <v>0</v>
      </c>
      <c r="AR26">
        <v>0</v>
      </c>
      <c r="AS26">
        <v>100</v>
      </c>
      <c r="AT26">
        <v>0</v>
      </c>
      <c r="AU26">
        <v>100</v>
      </c>
      <c r="AV26">
        <v>100</v>
      </c>
      <c r="AW26">
        <v>294496</v>
      </c>
      <c r="AX26">
        <v>291551</v>
      </c>
      <c r="AY26">
        <v>588</v>
      </c>
      <c r="AZ26">
        <v>365</v>
      </c>
      <c r="BA26">
        <v>223</v>
      </c>
      <c r="BB26">
        <v>0</v>
      </c>
      <c r="BC26" s="2">
        <v>44704</v>
      </c>
      <c r="BD26" t="s">
        <v>185</v>
      </c>
      <c r="BE26">
        <v>391429</v>
      </c>
      <c r="BF26">
        <v>391429</v>
      </c>
      <c r="BG26" t="s">
        <v>160</v>
      </c>
      <c r="BH26">
        <v>30</v>
      </c>
      <c r="BI26" t="s">
        <v>56</v>
      </c>
      <c r="BJ26" t="s">
        <v>161</v>
      </c>
      <c r="BK26">
        <v>396800</v>
      </c>
      <c r="BL26">
        <v>60800</v>
      </c>
      <c r="BM26">
        <v>336000</v>
      </c>
      <c r="BN26">
        <v>0</v>
      </c>
      <c r="BO26">
        <v>391072.96800337726</v>
      </c>
      <c r="BP26">
        <v>402646.30723846704</v>
      </c>
      <c r="BQ26">
        <f>(Sales[[#This Row],[DP1]]*Lookups!$B$61)+(Sales[[#This Row],[DP2]]*Lookups!$B$62)+(Sales[[#This Row],[DP3]]*Lookups!$B$63)</f>
        <v>-11573.338530999999</v>
      </c>
      <c r="BR26">
        <f>Lookups!$B$58*0.6</f>
        <v>132535.48800000001</v>
      </c>
      <c r="BS26">
        <f>Lookups!$B$58*0.4</f>
        <v>88356.992000000013</v>
      </c>
      <c r="BT26">
        <f>Lookups!$B$59*Sales[[#This Row],[LnAcres]]</f>
        <v>-24051.387388882686</v>
      </c>
      <c r="BU26">
        <f>VLOOKUP(Sales[[#This Row],[Qlty]],Lookups!$A$66:$E$79,2,FALSE)</f>
        <v>37154.252388000001</v>
      </c>
      <c r="BV26">
        <f>VLOOKUP(Sales[[#This Row],[Cnd]],Lookups!$A$80:$E$91,2,FALSE)</f>
        <v>47371.278778200001</v>
      </c>
      <c r="BW26">
        <f>Sales[[#This Row],[EffAge]]*Lookups!$B$65</f>
        <v>-217.48220000000001</v>
      </c>
      <c r="BX26">
        <f>Sales[[#This Row],[MainFn]]*Lookups!$B$90</f>
        <v>99357.324960000013</v>
      </c>
      <c r="BY26">
        <f>Sales[[#This Row],[UpprFn]]*Lookups!$B$91</f>
        <v>0</v>
      </c>
      <c r="BZ26">
        <f>Sales[[#This Row],[Bsmt]]*Lookups!$B$95</f>
        <v>0</v>
      </c>
      <c r="CA26">
        <f>VLOOKUP(Sales[[#This Row],[MsnryTrim]],Lookups!$A$90:$E$99,2,FALSE)</f>
        <v>-9412.7029999999995</v>
      </c>
      <c r="CB26">
        <f>Sales[[#This Row],[PrefabFP]]*Lookups!$B$92</f>
        <v>9807.1044999999995</v>
      </c>
      <c r="CC26">
        <f>Sales[[#This Row],[AttGar]]*Lookups!$B$93</f>
        <v>21745.435096000001</v>
      </c>
      <c r="CD26">
        <f>Sales[[#This Row],[BltinGar]]*Lookups!$B$94</f>
        <v>0</v>
      </c>
      <c r="CE26">
        <f>SUM(Sales[[#This Row],[Days Prior Total]:[Mdl BltinGar]])</f>
        <v>391072.96460231731</v>
      </c>
      <c r="CF26">
        <f>ROUND(Sales[[#This Row],[25Det]],-2)</f>
        <v>0</v>
      </c>
      <c r="CG26">
        <f>ROUND(SUM(Sales[[#This Row],[Mdl Qlty]:[Mdl BltinGar]])+Sales[[#This Row],[Mdl Res Intercept]]+Sales[[#This Row],[Days Prior Total]],-2)</f>
        <v>326800</v>
      </c>
      <c r="CH26">
        <f>ROUND(Sales[[#This Row],[Mdl Land Intercept]]+Sales[[#This Row],[Mdl LnAcres]],-2)</f>
        <v>64300</v>
      </c>
      <c r="CI26">
        <f>Sales[[#This Row],[Unadj Res Value]]+Sales[[#This Row],[Unadj Det Value]]+Sales[[#This Row],[Unadj Land Value]]</f>
        <v>391100</v>
      </c>
      <c r="CJ26" s="10">
        <f>Sales[[#This Row],[Price]]/Sales[[#This Row],[Unadj Total Value]]</f>
        <v>1.0008412170800307</v>
      </c>
      <c r="CK26" s="10">
        <f>(Sales[[#This Row],[Unadj Total Value]]-Sales[[#This Row],[24Final]])/Sales[[#This Row],[24Final]]</f>
        <v>-1.4364919354838709E-2</v>
      </c>
      <c r="CL26">
        <f>VLOOKUP(Sales[[#This Row],[TNbhd]],Lookups!$M$3:$P$5,4,FALSE)</f>
        <v>0.99970000000000003</v>
      </c>
      <c r="CM26">
        <f>VLOOKUP(Sales[[#This Row],[Qlty]],Lookups!$M$8:$P$22,4,FALSE)</f>
        <v>0.99819999999999998</v>
      </c>
      <c r="CN26">
        <f>VLOOKUP(Sales[[#This Row],[Cnd]],Lookups!$R$8:$U$17,4,FALSE)</f>
        <v>1.0012000000000001</v>
      </c>
      <c r="CO26">
        <f>VLOOKUP(Sales[[#This Row],[LivArea Range]],Lookups!$R$25:$U$43,4,FALSE)</f>
        <v>1.0007999999999999</v>
      </c>
      <c r="CP26">
        <f>VLOOKUP(Sales[[#This Row],[Decade]],Lookups!$M$24:$P$40,4,FALSE)</f>
        <v>1.0024</v>
      </c>
      <c r="CQ26">
        <f>Sales[[#This Row],[Nbhd Adj]]*0.95</f>
        <v>0.94971499999999998</v>
      </c>
      <c r="CR26">
        <f>Sales[[#This Row],[Nbhd Adj]]*Sales[[#This Row],[Quality Adj]]*Sales[[#This Row],[Condition Adj]]*Sales[[#This Row],[Living Area Adj]]*Sales[[#This Row],[Decade Adj]]*0.95</f>
        <v>0.95218219995315945</v>
      </c>
      <c r="CS26">
        <f>ROUND(SUM(Sales[[#This Row],[Mdl Qlty]:[Mdl BltinGar]])+Sales[[#This Row],[Mdl Res Intercept]]*Sales[[#This Row],[Res Adj ]],-2)</f>
        <v>332000</v>
      </c>
      <c r="CT26">
        <f>ROUND(Sales[[#This Row],[25Det]]*Sales[[#This Row],[Det/Nbhd Adj]],-2)</f>
        <v>0</v>
      </c>
      <c r="CU26">
        <f>Sales[[#This Row],[Adjusted Res]]+Sales[[#This Row],[Adj Det ]]</f>
        <v>332000</v>
      </c>
      <c r="CV26">
        <f>ROUND((Sales[[#This Row],[Mdl Land Intercept]]+Sales[[#This Row],[Mdl LnAcres]])*Sales[[#This Row],[Det/Nbhd Adj]],-2)</f>
        <v>61100</v>
      </c>
      <c r="CW26">
        <f>Sales[[#This Row],[Adjusted Impr Total]]+Sales[[#This Row],[Adjusted Land Total]]</f>
        <v>393100</v>
      </c>
      <c r="CX26" s="10">
        <f>IFERROR((Sales[[#This Row],[Adjusted Impr Total]]-Sales[[#This Row],[24Bldg]])/Sales[[#This Row],[24Bldg]],0)</f>
        <v>-1.1904761904761904E-2</v>
      </c>
      <c r="CY26" s="10">
        <f>(Sales[[#This Row],[Adjusted Land Total]]-Sales[[#This Row],[24Lnd]])/Sales[[#This Row],[24Lnd]]</f>
        <v>4.9342105263157892E-3</v>
      </c>
      <c r="CZ26">
        <f>(Sales[[#This Row],[Adjusted Total]]-Sales[[#This Row],[24Final]])/Sales[[#This Row],[24Final]]</f>
        <v>-9.3245967741935488E-3</v>
      </c>
      <c r="DA26" s="10">
        <f>(Sales[[#This Row],[Adjusted Total]]+Sales[[#This Row],[Days Prior Total]])/Sales[[#This Row],[Price]]</f>
        <v>0.9747020825462599</v>
      </c>
    </row>
    <row r="27" spans="1:105">
      <c r="A27">
        <v>2025</v>
      </c>
      <c r="B27">
        <v>19120114503</v>
      </c>
      <c r="C27">
        <v>-1.8325814637483102</v>
      </c>
      <c r="D27">
        <v>0.16</v>
      </c>
      <c r="E27">
        <v>7002</v>
      </c>
      <c r="F27">
        <v>2</v>
      </c>
      <c r="G27" t="s">
        <v>155</v>
      </c>
      <c r="H27">
        <v>317</v>
      </c>
      <c r="I27" t="s">
        <v>5</v>
      </c>
      <c r="J27" t="s">
        <v>156</v>
      </c>
      <c r="K27">
        <v>11</v>
      </c>
      <c r="L27">
        <v>259</v>
      </c>
      <c r="M27" t="s">
        <v>157</v>
      </c>
      <c r="N27" t="s">
        <v>19</v>
      </c>
      <c r="O27" t="s">
        <v>24</v>
      </c>
      <c r="P27">
        <v>2022</v>
      </c>
      <c r="Q27">
        <v>2022</v>
      </c>
      <c r="R27">
        <v>10</v>
      </c>
      <c r="S27">
        <v>2</v>
      </c>
      <c r="T27">
        <v>2</v>
      </c>
      <c r="U27">
        <v>1</v>
      </c>
      <c r="V27">
        <v>1452</v>
      </c>
      <c r="W27">
        <v>0</v>
      </c>
      <c r="X27">
        <v>0</v>
      </c>
      <c r="Y27">
        <v>0</v>
      </c>
      <c r="Z27">
        <v>0</v>
      </c>
      <c r="AA27">
        <v>0</v>
      </c>
      <c r="AB27">
        <v>1452</v>
      </c>
      <c r="AC27">
        <v>1500</v>
      </c>
      <c r="AD27">
        <v>2</v>
      </c>
      <c r="AE27" t="s">
        <v>56</v>
      </c>
      <c r="AF27" t="s">
        <v>158</v>
      </c>
      <c r="AG27" t="s">
        <v>21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9</v>
      </c>
      <c r="AO27">
        <v>400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100</v>
      </c>
      <c r="AV27">
        <v>100</v>
      </c>
      <c r="AW27">
        <v>263890</v>
      </c>
      <c r="AX27">
        <v>261251</v>
      </c>
      <c r="AY27">
        <v>602</v>
      </c>
      <c r="AZ27">
        <v>365</v>
      </c>
      <c r="BA27">
        <v>237</v>
      </c>
      <c r="BB27">
        <v>0</v>
      </c>
      <c r="BC27" s="2">
        <v>44690</v>
      </c>
      <c r="BD27" t="s">
        <v>186</v>
      </c>
      <c r="BE27">
        <v>372434</v>
      </c>
      <c r="BF27">
        <v>372434</v>
      </c>
      <c r="BG27" t="s">
        <v>160</v>
      </c>
      <c r="BH27">
        <v>30</v>
      </c>
      <c r="BI27" t="s">
        <v>56</v>
      </c>
      <c r="BJ27" t="s">
        <v>161</v>
      </c>
      <c r="BK27">
        <v>384400</v>
      </c>
      <c r="BL27">
        <v>60800</v>
      </c>
      <c r="BM27">
        <v>323600</v>
      </c>
      <c r="BN27">
        <v>0</v>
      </c>
      <c r="BO27">
        <v>363959.17791675543</v>
      </c>
      <c r="BP27">
        <v>376476.72689682012</v>
      </c>
      <c r="BQ27">
        <f>(Sales[[#This Row],[DP1]]*Lookups!$B$61)+(Sales[[#This Row],[DP2]]*Lookups!$B$62)+(Sales[[#This Row],[DP3]]*Lookups!$B$63)</f>
        <v>-12517.548231000001</v>
      </c>
      <c r="BR27">
        <f>Lookups!$B$58*0.6</f>
        <v>132535.48800000001</v>
      </c>
      <c r="BS27">
        <f>Lookups!$B$58*0.4</f>
        <v>88356.992000000013</v>
      </c>
      <c r="BT27">
        <f>Lookups!$B$59*Sales[[#This Row],[LnAcres]]</f>
        <v>-24051.387388882686</v>
      </c>
      <c r="BU27">
        <f>VLOOKUP(Sales[[#This Row],[Qlty]],Lookups!$A$66:$E$79,2,FALSE)</f>
        <v>37154.252388000001</v>
      </c>
      <c r="BV27">
        <f>VLOOKUP(Sales[[#This Row],[Cnd]],Lookups!$A$80:$E$91,2,FALSE)</f>
        <v>47371.278778200001</v>
      </c>
      <c r="BW27">
        <f>Sales[[#This Row],[EffAge]]*Lookups!$B$65</f>
        <v>-217.48220000000001</v>
      </c>
      <c r="BX27">
        <f>Sales[[#This Row],[MainFn]]*Lookups!$B$90</f>
        <v>90619.871760000009</v>
      </c>
      <c r="BY27">
        <f>Sales[[#This Row],[UpprFn]]*Lookups!$B$91</f>
        <v>0</v>
      </c>
      <c r="BZ27">
        <f>Sales[[#This Row],[Bsmt]]*Lookups!$B$95</f>
        <v>0</v>
      </c>
      <c r="CA27">
        <f>VLOOKUP(Sales[[#This Row],[MsnryTrim]],Lookups!$A$90:$E$99,2,FALSE)</f>
        <v>-9412.7029999999995</v>
      </c>
      <c r="CB27">
        <f>Sales[[#This Row],[PrefabFP]]*Lookups!$B$92</f>
        <v>0</v>
      </c>
      <c r="CC27">
        <f>Sales[[#This Row],[AttGar]]*Lookups!$B$93</f>
        <v>14120.412400000001</v>
      </c>
      <c r="CD27">
        <f>Sales[[#This Row],[BltinGar]]*Lookups!$B$94</f>
        <v>0</v>
      </c>
      <c r="CE27">
        <f>SUM(Sales[[#This Row],[Days Prior Total]:[Mdl BltinGar]])</f>
        <v>363959.17450631736</v>
      </c>
      <c r="CF27">
        <f>ROUND(Sales[[#This Row],[25Det]],-2)</f>
        <v>0</v>
      </c>
      <c r="CG27">
        <f>ROUND(SUM(Sales[[#This Row],[Mdl Qlty]:[Mdl BltinGar]])+Sales[[#This Row],[Mdl Res Intercept]]+Sales[[#This Row],[Days Prior Total]],-2)</f>
        <v>299700</v>
      </c>
      <c r="CH27">
        <f>ROUND(Sales[[#This Row],[Mdl Land Intercept]]+Sales[[#This Row],[Mdl LnAcres]],-2)</f>
        <v>64300</v>
      </c>
      <c r="CI27">
        <f>Sales[[#This Row],[Unadj Res Value]]+Sales[[#This Row],[Unadj Det Value]]+Sales[[#This Row],[Unadj Land Value]]</f>
        <v>364000</v>
      </c>
      <c r="CJ27" s="10">
        <f>Sales[[#This Row],[Price]]/Sales[[#This Row],[Unadj Total Value]]</f>
        <v>1.0231703296703296</v>
      </c>
      <c r="CK27" s="10">
        <f>(Sales[[#This Row],[Unadj Total Value]]-Sales[[#This Row],[24Final]])/Sales[[#This Row],[24Final]]</f>
        <v>-5.3069719042663895E-2</v>
      </c>
      <c r="CL27">
        <f>VLOOKUP(Sales[[#This Row],[TNbhd]],Lookups!$M$3:$P$5,4,FALSE)</f>
        <v>0.99970000000000003</v>
      </c>
      <c r="CM27">
        <f>VLOOKUP(Sales[[#This Row],[Qlty]],Lookups!$M$8:$P$22,4,FALSE)</f>
        <v>0.99819999999999998</v>
      </c>
      <c r="CN27">
        <f>VLOOKUP(Sales[[#This Row],[Cnd]],Lookups!$R$8:$U$17,4,FALSE)</f>
        <v>1.0012000000000001</v>
      </c>
      <c r="CO27">
        <f>VLOOKUP(Sales[[#This Row],[LivArea Range]],Lookups!$R$25:$U$43,4,FALSE)</f>
        <v>0.99519999999999997</v>
      </c>
      <c r="CP27">
        <f>VLOOKUP(Sales[[#This Row],[Decade]],Lookups!$M$24:$P$40,4,FALSE)</f>
        <v>1.0024</v>
      </c>
      <c r="CQ27">
        <f>Sales[[#This Row],[Nbhd Adj]]*0.95</f>
        <v>0.94971499999999998</v>
      </c>
      <c r="CR27">
        <f>Sales[[#This Row],[Nbhd Adj]]*Sales[[#This Row],[Quality Adj]]*Sales[[#This Row],[Condition Adj]]*Sales[[#This Row],[Living Area Adj]]*Sales[[#This Row],[Decade Adj]]*0.95</f>
        <v>0.94685424199978463</v>
      </c>
      <c r="CS27">
        <f>ROUND(SUM(Sales[[#This Row],[Mdl Qlty]:[Mdl BltinGar]])+Sales[[#This Row],[Mdl Res Intercept]]*Sales[[#This Row],[Res Adj ]],-2)</f>
        <v>305100</v>
      </c>
      <c r="CT27">
        <f>ROUND(Sales[[#This Row],[25Det]]*Sales[[#This Row],[Det/Nbhd Adj]],-2)</f>
        <v>0</v>
      </c>
      <c r="CU27">
        <f>Sales[[#This Row],[Adjusted Res]]+Sales[[#This Row],[Adj Det ]]</f>
        <v>305100</v>
      </c>
      <c r="CV27">
        <f>ROUND((Sales[[#This Row],[Mdl Land Intercept]]+Sales[[#This Row],[Mdl LnAcres]])*Sales[[#This Row],[Det/Nbhd Adj]],-2)</f>
        <v>61100</v>
      </c>
      <c r="CW27">
        <f>Sales[[#This Row],[Adjusted Impr Total]]+Sales[[#This Row],[Adjusted Land Total]]</f>
        <v>366200</v>
      </c>
      <c r="CX27" s="10">
        <f>IFERROR((Sales[[#This Row],[Adjusted Impr Total]]-Sales[[#This Row],[24Bldg]])/Sales[[#This Row],[24Bldg]],0)</f>
        <v>-5.7169344870210137E-2</v>
      </c>
      <c r="CY27" s="10">
        <f>(Sales[[#This Row],[Adjusted Land Total]]-Sales[[#This Row],[24Lnd]])/Sales[[#This Row],[24Lnd]]</f>
        <v>4.9342105263157892E-3</v>
      </c>
      <c r="CZ27">
        <f>(Sales[[#This Row],[Adjusted Total]]-Sales[[#This Row],[24Final]])/Sales[[#This Row],[24Final]]</f>
        <v>-4.7346514047866807E-2</v>
      </c>
      <c r="DA27" s="10">
        <f>(Sales[[#This Row],[Adjusted Total]]+Sales[[#This Row],[Days Prior Total]])/Sales[[#This Row],[Price]]</f>
        <v>0.94965135237115827</v>
      </c>
    </row>
    <row r="28" spans="1:105">
      <c r="A28">
        <v>2025</v>
      </c>
      <c r="B28">
        <v>19120114504</v>
      </c>
      <c r="C28">
        <v>-1.8325814637483102</v>
      </c>
      <c r="D28">
        <v>0.16</v>
      </c>
      <c r="E28">
        <v>7002</v>
      </c>
      <c r="F28">
        <v>2</v>
      </c>
      <c r="G28" t="s">
        <v>155</v>
      </c>
      <c r="H28">
        <v>317</v>
      </c>
      <c r="I28" t="s">
        <v>5</v>
      </c>
      <c r="J28" t="s">
        <v>156</v>
      </c>
      <c r="K28">
        <v>11</v>
      </c>
      <c r="L28">
        <v>259</v>
      </c>
      <c r="M28" t="s">
        <v>157</v>
      </c>
      <c r="N28" t="s">
        <v>19</v>
      </c>
      <c r="O28" t="s">
        <v>24</v>
      </c>
      <c r="P28">
        <v>2022</v>
      </c>
      <c r="Q28">
        <v>2022</v>
      </c>
      <c r="R28">
        <v>10</v>
      </c>
      <c r="S28">
        <v>2</v>
      </c>
      <c r="T28">
        <v>2</v>
      </c>
      <c r="U28">
        <v>1</v>
      </c>
      <c r="V28">
        <v>1619</v>
      </c>
      <c r="W28">
        <v>0</v>
      </c>
      <c r="X28">
        <v>0</v>
      </c>
      <c r="Y28">
        <v>0</v>
      </c>
      <c r="Z28">
        <v>0</v>
      </c>
      <c r="AA28">
        <v>0</v>
      </c>
      <c r="AB28">
        <v>1619</v>
      </c>
      <c r="AC28">
        <v>2000</v>
      </c>
      <c r="AD28">
        <v>2</v>
      </c>
      <c r="AE28" t="s">
        <v>56</v>
      </c>
      <c r="AF28" t="s">
        <v>158</v>
      </c>
      <c r="AG28" t="s">
        <v>21</v>
      </c>
      <c r="AI28">
        <v>0</v>
      </c>
      <c r="AJ28">
        <v>0</v>
      </c>
      <c r="AK28">
        <v>0</v>
      </c>
      <c r="AL28">
        <v>1</v>
      </c>
      <c r="AM28">
        <v>0</v>
      </c>
      <c r="AN28">
        <v>9</v>
      </c>
      <c r="AO28">
        <v>400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100</v>
      </c>
      <c r="AV28">
        <v>100</v>
      </c>
      <c r="AW28">
        <v>287230</v>
      </c>
      <c r="AX28">
        <v>284358</v>
      </c>
      <c r="AY28">
        <v>571</v>
      </c>
      <c r="AZ28">
        <v>365</v>
      </c>
      <c r="BA28">
        <v>206</v>
      </c>
      <c r="BB28">
        <v>0</v>
      </c>
      <c r="BC28" s="2">
        <v>44721</v>
      </c>
      <c r="BD28" t="s">
        <v>187</v>
      </c>
      <c r="BE28">
        <v>395545</v>
      </c>
      <c r="BF28">
        <v>395545</v>
      </c>
      <c r="BG28" t="s">
        <v>160</v>
      </c>
      <c r="BH28">
        <v>30</v>
      </c>
      <c r="BI28" t="s">
        <v>56</v>
      </c>
      <c r="BJ28" t="s">
        <v>161</v>
      </c>
      <c r="BK28">
        <v>394700</v>
      </c>
      <c r="BL28">
        <v>60800</v>
      </c>
      <c r="BM28">
        <v>333900</v>
      </c>
      <c r="BN28">
        <v>0</v>
      </c>
      <c r="BO28">
        <v>376472.46153034852</v>
      </c>
      <c r="BP28">
        <v>386899.26036082581</v>
      </c>
      <c r="BQ28">
        <f>(Sales[[#This Row],[DP1]]*Lookups!$B$61)+(Sales[[#This Row],[DP2]]*Lookups!$B$62)+(Sales[[#This Row],[DP3]]*Lookups!$B$63)</f>
        <v>-10426.798181</v>
      </c>
      <c r="BR28">
        <f>Lookups!$B$58*0.6</f>
        <v>132535.48800000001</v>
      </c>
      <c r="BS28">
        <f>Lookups!$B$58*0.4</f>
        <v>88356.992000000013</v>
      </c>
      <c r="BT28">
        <f>Lookups!$B$59*Sales[[#This Row],[LnAcres]]</f>
        <v>-24051.387388882686</v>
      </c>
      <c r="BU28">
        <f>VLOOKUP(Sales[[#This Row],[Qlty]],Lookups!$A$66:$E$79,2,FALSE)</f>
        <v>37154.252388000001</v>
      </c>
      <c r="BV28">
        <f>VLOOKUP(Sales[[#This Row],[Cnd]],Lookups!$A$80:$E$91,2,FALSE)</f>
        <v>47371.278778200001</v>
      </c>
      <c r="BW28">
        <f>Sales[[#This Row],[EffAge]]*Lookups!$B$65</f>
        <v>-217.48220000000001</v>
      </c>
      <c r="BX28">
        <f>Sales[[#This Row],[MainFn]]*Lookups!$B$90</f>
        <v>101042.40522</v>
      </c>
      <c r="BY28">
        <f>Sales[[#This Row],[UpprFn]]*Lookups!$B$91</f>
        <v>0</v>
      </c>
      <c r="BZ28">
        <f>Sales[[#This Row],[Bsmt]]*Lookups!$B$95</f>
        <v>0</v>
      </c>
      <c r="CA28">
        <f>VLOOKUP(Sales[[#This Row],[MsnryTrim]],Lookups!$A$90:$E$99,2,FALSE)</f>
        <v>-9412.7029999999995</v>
      </c>
      <c r="CB28">
        <f>Sales[[#This Row],[PrefabFP]]*Lookups!$B$92</f>
        <v>0</v>
      </c>
      <c r="CC28">
        <f>Sales[[#This Row],[AttGar]]*Lookups!$B$93</f>
        <v>14120.412400000001</v>
      </c>
      <c r="CD28">
        <f>Sales[[#This Row],[BltinGar]]*Lookups!$B$94</f>
        <v>0</v>
      </c>
      <c r="CE28">
        <f>SUM(Sales[[#This Row],[Days Prior Total]:[Mdl BltinGar]])</f>
        <v>376472.45801631734</v>
      </c>
      <c r="CF28">
        <f>ROUND(Sales[[#This Row],[25Det]],-2)</f>
        <v>0</v>
      </c>
      <c r="CG28">
        <f>ROUND(SUM(Sales[[#This Row],[Mdl Qlty]:[Mdl BltinGar]])+Sales[[#This Row],[Mdl Res Intercept]]+Sales[[#This Row],[Days Prior Total]],-2)</f>
        <v>312200</v>
      </c>
      <c r="CH28">
        <f>ROUND(Sales[[#This Row],[Mdl Land Intercept]]+Sales[[#This Row],[Mdl LnAcres]],-2)</f>
        <v>64300</v>
      </c>
      <c r="CI28">
        <f>Sales[[#This Row],[Unadj Res Value]]+Sales[[#This Row],[Unadj Det Value]]+Sales[[#This Row],[Unadj Land Value]]</f>
        <v>376500</v>
      </c>
      <c r="CJ28" s="10">
        <f>Sales[[#This Row],[Price]]/Sales[[#This Row],[Unadj Total Value]]</f>
        <v>1.0505843293492696</v>
      </c>
      <c r="CK28" s="10">
        <f>(Sales[[#This Row],[Unadj Total Value]]-Sales[[#This Row],[24Final]])/Sales[[#This Row],[24Final]]</f>
        <v>-4.6110970357233341E-2</v>
      </c>
      <c r="CL28">
        <f>VLOOKUP(Sales[[#This Row],[TNbhd]],Lookups!$M$3:$P$5,4,FALSE)</f>
        <v>0.99970000000000003</v>
      </c>
      <c r="CM28">
        <f>VLOOKUP(Sales[[#This Row],[Qlty]],Lookups!$M$8:$P$22,4,FALSE)</f>
        <v>0.99819999999999998</v>
      </c>
      <c r="CN28">
        <f>VLOOKUP(Sales[[#This Row],[Cnd]],Lookups!$R$8:$U$17,4,FALSE)</f>
        <v>1.0012000000000001</v>
      </c>
      <c r="CO28">
        <f>VLOOKUP(Sales[[#This Row],[LivArea Range]],Lookups!$R$25:$U$43,4,FALSE)</f>
        <v>1.0007999999999999</v>
      </c>
      <c r="CP28">
        <f>VLOOKUP(Sales[[#This Row],[Decade]],Lookups!$M$24:$P$40,4,FALSE)</f>
        <v>1.0024</v>
      </c>
      <c r="CQ28">
        <f>Sales[[#This Row],[Nbhd Adj]]*0.95</f>
        <v>0.94971499999999998</v>
      </c>
      <c r="CR28">
        <f>Sales[[#This Row],[Nbhd Adj]]*Sales[[#This Row],[Quality Adj]]*Sales[[#This Row],[Condition Adj]]*Sales[[#This Row],[Living Area Adj]]*Sales[[#This Row],[Decade Adj]]*0.95</f>
        <v>0.95218219995315945</v>
      </c>
      <c r="CS28">
        <f>ROUND(SUM(Sales[[#This Row],[Mdl Qlty]:[Mdl BltinGar]])+Sales[[#This Row],[Mdl Res Intercept]]*Sales[[#This Row],[Res Adj ]],-2)</f>
        <v>316300</v>
      </c>
      <c r="CT28">
        <f>ROUND(Sales[[#This Row],[25Det]]*Sales[[#This Row],[Det/Nbhd Adj]],-2)</f>
        <v>0</v>
      </c>
      <c r="CU28">
        <f>Sales[[#This Row],[Adjusted Res]]+Sales[[#This Row],[Adj Det ]]</f>
        <v>316300</v>
      </c>
      <c r="CV28">
        <f>ROUND((Sales[[#This Row],[Mdl Land Intercept]]+Sales[[#This Row],[Mdl LnAcres]])*Sales[[#This Row],[Det/Nbhd Adj]],-2)</f>
        <v>61100</v>
      </c>
      <c r="CW28">
        <f>Sales[[#This Row],[Adjusted Impr Total]]+Sales[[#This Row],[Adjusted Land Total]]</f>
        <v>377400</v>
      </c>
      <c r="CX28" s="10">
        <f>IFERROR((Sales[[#This Row],[Adjusted Impr Total]]-Sales[[#This Row],[24Bldg]])/Sales[[#This Row],[24Bldg]],0)</f>
        <v>-5.2710392333033845E-2</v>
      </c>
      <c r="CY28" s="10">
        <f>(Sales[[#This Row],[Adjusted Land Total]]-Sales[[#This Row],[24Lnd]])/Sales[[#This Row],[24Lnd]]</f>
        <v>4.9342105263157892E-3</v>
      </c>
      <c r="CZ28">
        <f>(Sales[[#This Row],[Adjusted Total]]-Sales[[#This Row],[24Final]])/Sales[[#This Row],[24Final]]</f>
        <v>-4.3830757537370153E-2</v>
      </c>
      <c r="DA28" s="10">
        <f>(Sales[[#This Row],[Adjusted Total]]+Sales[[#This Row],[Days Prior Total]])/Sales[[#This Row],[Price]]</f>
        <v>0.92776599835416962</v>
      </c>
    </row>
    <row r="29" spans="1:105">
      <c r="A29">
        <v>2025</v>
      </c>
      <c r="B29">
        <v>19120114505</v>
      </c>
      <c r="C29">
        <v>-1.8325814637483102</v>
      </c>
      <c r="D29">
        <v>0.16</v>
      </c>
      <c r="E29">
        <v>7026</v>
      </c>
      <c r="F29">
        <v>2</v>
      </c>
      <c r="G29" t="s">
        <v>155</v>
      </c>
      <c r="H29">
        <v>317</v>
      </c>
      <c r="I29" t="s">
        <v>5</v>
      </c>
      <c r="J29" t="s">
        <v>156</v>
      </c>
      <c r="K29">
        <v>11</v>
      </c>
      <c r="L29">
        <v>259</v>
      </c>
      <c r="M29" t="s">
        <v>157</v>
      </c>
      <c r="N29" t="s">
        <v>21</v>
      </c>
      <c r="O29" t="s">
        <v>24</v>
      </c>
      <c r="P29">
        <v>2022</v>
      </c>
      <c r="Q29">
        <v>2022</v>
      </c>
      <c r="R29">
        <v>10</v>
      </c>
      <c r="S29">
        <v>2</v>
      </c>
      <c r="T29">
        <v>2</v>
      </c>
      <c r="U29">
        <v>2</v>
      </c>
      <c r="V29">
        <v>930</v>
      </c>
      <c r="W29">
        <v>1296</v>
      </c>
      <c r="X29">
        <v>0</v>
      </c>
      <c r="Y29">
        <v>0</v>
      </c>
      <c r="Z29">
        <v>0</v>
      </c>
      <c r="AA29">
        <v>0</v>
      </c>
      <c r="AB29">
        <v>2226</v>
      </c>
      <c r="AC29">
        <v>2500</v>
      </c>
      <c r="AD29">
        <v>2</v>
      </c>
      <c r="AE29" t="s">
        <v>56</v>
      </c>
      <c r="AF29" t="s">
        <v>158</v>
      </c>
      <c r="AG29" t="s">
        <v>21</v>
      </c>
      <c r="AI29">
        <v>0</v>
      </c>
      <c r="AJ29">
        <v>0</v>
      </c>
      <c r="AK29">
        <v>1</v>
      </c>
      <c r="AL29">
        <v>0</v>
      </c>
      <c r="AM29">
        <v>1</v>
      </c>
      <c r="AN29">
        <v>13</v>
      </c>
      <c r="AO29">
        <v>0</v>
      </c>
      <c r="AP29">
        <v>400</v>
      </c>
      <c r="AQ29">
        <v>0</v>
      </c>
      <c r="AR29">
        <v>0</v>
      </c>
      <c r="AS29">
        <v>0</v>
      </c>
      <c r="AT29">
        <v>0</v>
      </c>
      <c r="AU29">
        <v>100</v>
      </c>
      <c r="AV29">
        <v>100</v>
      </c>
      <c r="AW29">
        <v>405220</v>
      </c>
      <c r="AX29">
        <v>401168</v>
      </c>
      <c r="AY29">
        <v>571</v>
      </c>
      <c r="AZ29">
        <v>365</v>
      </c>
      <c r="BA29">
        <v>206</v>
      </c>
      <c r="BB29">
        <v>0</v>
      </c>
      <c r="BC29" s="2">
        <v>44721</v>
      </c>
      <c r="BD29" t="s">
        <v>188</v>
      </c>
      <c r="BE29">
        <v>439106</v>
      </c>
      <c r="BF29">
        <v>439106</v>
      </c>
      <c r="BG29" t="s">
        <v>160</v>
      </c>
      <c r="BH29">
        <v>30</v>
      </c>
      <c r="BI29" t="s">
        <v>56</v>
      </c>
      <c r="BJ29" t="s">
        <v>161</v>
      </c>
      <c r="BK29">
        <v>427900</v>
      </c>
      <c r="BL29">
        <v>60800</v>
      </c>
      <c r="BM29">
        <v>367100</v>
      </c>
      <c r="BN29">
        <v>0</v>
      </c>
      <c r="BO29">
        <v>421896.89464967611</v>
      </c>
      <c r="BP29">
        <v>432323.69348015351</v>
      </c>
      <c r="BQ29">
        <f>(Sales[[#This Row],[DP1]]*Lookups!$B$61)+(Sales[[#This Row],[DP2]]*Lookups!$B$62)+(Sales[[#This Row],[DP3]]*Lookups!$B$63)</f>
        <v>-10426.798181</v>
      </c>
      <c r="BR29">
        <f>Lookups!$B$58*0.6</f>
        <v>132535.48800000001</v>
      </c>
      <c r="BS29">
        <f>Lookups!$B$58*0.4</f>
        <v>88356.992000000013</v>
      </c>
      <c r="BT29">
        <f>Lookups!$B$59*Sales[[#This Row],[LnAcres]]</f>
        <v>-24051.387388882686</v>
      </c>
      <c r="BU29">
        <f>VLOOKUP(Sales[[#This Row],[Qlty]],Lookups!$A$66:$E$79,2,FALSE)</f>
        <v>32917.849192000001</v>
      </c>
      <c r="BV29">
        <f>VLOOKUP(Sales[[#This Row],[Cnd]],Lookups!$A$80:$E$91,2,FALSE)</f>
        <v>47371.278778200001</v>
      </c>
      <c r="BW29">
        <f>Sales[[#This Row],[EffAge]]*Lookups!$B$65</f>
        <v>-217.48220000000001</v>
      </c>
      <c r="BX29">
        <f>Sales[[#This Row],[MainFn]]*Lookups!$B$90</f>
        <v>58041.653400000003</v>
      </c>
      <c r="BY29">
        <f>Sales[[#This Row],[UpprFn]]*Lookups!$B$91</f>
        <v>77216.176368</v>
      </c>
      <c r="BZ29">
        <f>Sales[[#This Row],[Bsmt]]*Lookups!$B$95</f>
        <v>0</v>
      </c>
      <c r="CA29">
        <f>VLOOKUP(Sales[[#This Row],[MsnryTrim]],Lookups!$A$90:$E$99,2,FALSE)</f>
        <v>-9412.7029999999995</v>
      </c>
      <c r="CB29">
        <f>Sales[[#This Row],[PrefabFP]]*Lookups!$B$92</f>
        <v>9807.1044999999995</v>
      </c>
      <c r="CC29">
        <f>Sales[[#This Row],[AttGar]]*Lookups!$B$93</f>
        <v>0</v>
      </c>
      <c r="CD29">
        <f>Sales[[#This Row],[BltinGar]]*Lookups!$B$94</f>
        <v>19758.72</v>
      </c>
      <c r="CE29">
        <f>SUM(Sales[[#This Row],[Days Prior Total]:[Mdl BltinGar]])</f>
        <v>421896.89146831736</v>
      </c>
      <c r="CF29">
        <f>ROUND(Sales[[#This Row],[25Det]],-2)</f>
        <v>0</v>
      </c>
      <c r="CG29">
        <f>ROUND(SUM(Sales[[#This Row],[Mdl Qlty]:[Mdl BltinGar]])+Sales[[#This Row],[Mdl Res Intercept]]+Sales[[#This Row],[Days Prior Total]],-2)</f>
        <v>357600</v>
      </c>
      <c r="CH29">
        <f>ROUND(Sales[[#This Row],[Mdl Land Intercept]]+Sales[[#This Row],[Mdl LnAcres]],-2)</f>
        <v>64300</v>
      </c>
      <c r="CI29">
        <f>Sales[[#This Row],[Unadj Res Value]]+Sales[[#This Row],[Unadj Det Value]]+Sales[[#This Row],[Unadj Land Value]]</f>
        <v>421900</v>
      </c>
      <c r="CJ29" s="10">
        <f>Sales[[#This Row],[Price]]/Sales[[#This Row],[Unadj Total Value]]</f>
        <v>1.0407821758710596</v>
      </c>
      <c r="CK29" s="10">
        <f>(Sales[[#This Row],[Unadj Total Value]]-Sales[[#This Row],[24Final]])/Sales[[#This Row],[24Final]]</f>
        <v>-1.4021967749474177E-2</v>
      </c>
      <c r="CL29">
        <f>VLOOKUP(Sales[[#This Row],[TNbhd]],Lookups!$M$3:$P$5,4,FALSE)</f>
        <v>0.99970000000000003</v>
      </c>
      <c r="CM29">
        <f>VLOOKUP(Sales[[#This Row],[Qlty]],Lookups!$M$8:$P$22,4,FALSE)</f>
        <v>1.0019</v>
      </c>
      <c r="CN29">
        <f>VLOOKUP(Sales[[#This Row],[Cnd]],Lookups!$R$8:$U$17,4,FALSE)</f>
        <v>1.0012000000000001</v>
      </c>
      <c r="CO29">
        <f>VLOOKUP(Sales[[#This Row],[LivArea Range]],Lookups!$R$25:$U$43,4,FALSE)</f>
        <v>1.0008999999999999</v>
      </c>
      <c r="CP29">
        <f>VLOOKUP(Sales[[#This Row],[Decade]],Lookups!$M$24:$P$40,4,FALSE)</f>
        <v>1.0024</v>
      </c>
      <c r="CQ29">
        <f>Sales[[#This Row],[Nbhd Adj]]*0.95</f>
        <v>0.94971499999999998</v>
      </c>
      <c r="CR29">
        <f>Sales[[#This Row],[Nbhd Adj]]*Sales[[#This Row],[Quality Adj]]*Sales[[#This Row],[Condition Adj]]*Sales[[#This Row],[Living Area Adj]]*Sales[[#This Row],[Decade Adj]]*0.95</f>
        <v>0.95580712182867422</v>
      </c>
      <c r="CS29">
        <f>ROUND(SUM(Sales[[#This Row],[Mdl Qlty]:[Mdl BltinGar]])+Sales[[#This Row],[Mdl Res Intercept]]*Sales[[#This Row],[Res Adj ]],-2)</f>
        <v>362200</v>
      </c>
      <c r="CT29">
        <f>ROUND(Sales[[#This Row],[25Det]]*Sales[[#This Row],[Det/Nbhd Adj]],-2)</f>
        <v>0</v>
      </c>
      <c r="CU29">
        <f>Sales[[#This Row],[Adjusted Res]]+Sales[[#This Row],[Adj Det ]]</f>
        <v>362200</v>
      </c>
      <c r="CV29">
        <f>ROUND((Sales[[#This Row],[Mdl Land Intercept]]+Sales[[#This Row],[Mdl LnAcres]])*Sales[[#This Row],[Det/Nbhd Adj]],-2)</f>
        <v>61100</v>
      </c>
      <c r="CW29">
        <f>Sales[[#This Row],[Adjusted Impr Total]]+Sales[[#This Row],[Adjusted Land Total]]</f>
        <v>423300</v>
      </c>
      <c r="CX29" s="10">
        <f>IFERROR((Sales[[#This Row],[Adjusted Impr Total]]-Sales[[#This Row],[24Bldg]])/Sales[[#This Row],[24Bldg]],0)</f>
        <v>-1.3347861618087714E-2</v>
      </c>
      <c r="CY29" s="10">
        <f>(Sales[[#This Row],[Adjusted Land Total]]-Sales[[#This Row],[24Lnd]])/Sales[[#This Row],[24Lnd]]</f>
        <v>4.9342105263157892E-3</v>
      </c>
      <c r="CZ29">
        <f>(Sales[[#This Row],[Adjusted Total]]-Sales[[#This Row],[24Final]])/Sales[[#This Row],[24Final]]</f>
        <v>-1.0750175274596869E-2</v>
      </c>
      <c r="DA29" s="10">
        <f>(Sales[[#This Row],[Adjusted Total]]+Sales[[#This Row],[Days Prior Total]])/Sales[[#This Row],[Price]]</f>
        <v>0.94025862051304243</v>
      </c>
    </row>
    <row r="30" spans="1:105">
      <c r="A30">
        <v>2025</v>
      </c>
      <c r="B30">
        <v>19120114507</v>
      </c>
      <c r="C30">
        <v>-1.6607312068216509</v>
      </c>
      <c r="D30">
        <v>0.19</v>
      </c>
      <c r="E30">
        <v>8207</v>
      </c>
      <c r="F30">
        <v>2</v>
      </c>
      <c r="G30" t="s">
        <v>155</v>
      </c>
      <c r="H30">
        <v>317</v>
      </c>
      <c r="I30" t="s">
        <v>5</v>
      </c>
      <c r="J30" t="s">
        <v>156</v>
      </c>
      <c r="K30">
        <v>11</v>
      </c>
      <c r="L30">
        <v>259</v>
      </c>
      <c r="M30" t="s">
        <v>157</v>
      </c>
      <c r="N30" t="s">
        <v>21</v>
      </c>
      <c r="O30" t="s">
        <v>24</v>
      </c>
      <c r="P30">
        <v>2022</v>
      </c>
      <c r="Q30">
        <v>2022</v>
      </c>
      <c r="R30">
        <v>10</v>
      </c>
      <c r="S30">
        <v>2</v>
      </c>
      <c r="T30">
        <v>2</v>
      </c>
      <c r="U30">
        <v>1</v>
      </c>
      <c r="V30">
        <v>1592</v>
      </c>
      <c r="W30">
        <v>0</v>
      </c>
      <c r="X30">
        <v>0</v>
      </c>
      <c r="Y30">
        <v>0</v>
      </c>
      <c r="Z30">
        <v>0</v>
      </c>
      <c r="AA30">
        <v>0</v>
      </c>
      <c r="AB30">
        <v>1592</v>
      </c>
      <c r="AC30">
        <v>2000</v>
      </c>
      <c r="AD30">
        <v>3</v>
      </c>
      <c r="AE30" t="s">
        <v>57</v>
      </c>
      <c r="AF30" t="s">
        <v>158</v>
      </c>
      <c r="AG30" t="s">
        <v>21</v>
      </c>
      <c r="AI30">
        <v>0</v>
      </c>
      <c r="AJ30">
        <v>0</v>
      </c>
      <c r="AK30">
        <v>1</v>
      </c>
      <c r="AL30">
        <v>0</v>
      </c>
      <c r="AM30">
        <v>0</v>
      </c>
      <c r="AN30">
        <v>10</v>
      </c>
      <c r="AO30">
        <v>616</v>
      </c>
      <c r="AP30">
        <v>0</v>
      </c>
      <c r="AQ30">
        <v>0</v>
      </c>
      <c r="AR30">
        <v>0</v>
      </c>
      <c r="AS30">
        <v>268</v>
      </c>
      <c r="AT30">
        <v>0</v>
      </c>
      <c r="AU30">
        <v>100</v>
      </c>
      <c r="AV30">
        <v>100</v>
      </c>
      <c r="AW30">
        <v>338607</v>
      </c>
      <c r="AX30">
        <v>335221</v>
      </c>
      <c r="AY30">
        <v>451</v>
      </c>
      <c r="AZ30">
        <v>365</v>
      </c>
      <c r="BA30">
        <v>86</v>
      </c>
      <c r="BB30">
        <v>0</v>
      </c>
      <c r="BC30" s="2">
        <v>44841</v>
      </c>
      <c r="BD30" t="s">
        <v>189</v>
      </c>
      <c r="BE30">
        <v>434518</v>
      </c>
      <c r="BF30">
        <v>434518</v>
      </c>
      <c r="BG30" t="s">
        <v>160</v>
      </c>
      <c r="BH30">
        <v>30</v>
      </c>
      <c r="BI30" t="s">
        <v>56</v>
      </c>
      <c r="BJ30" t="s">
        <v>161</v>
      </c>
      <c r="BK30">
        <v>400500</v>
      </c>
      <c r="BL30">
        <v>63200</v>
      </c>
      <c r="BM30">
        <v>337300</v>
      </c>
      <c r="BN30">
        <v>0</v>
      </c>
      <c r="BO30">
        <v>411857.33057884552</v>
      </c>
      <c r="BP30">
        <v>414190.9030238234</v>
      </c>
      <c r="BQ30">
        <f>(Sales[[#This Row],[DP1]]*Lookups!$B$61)+(Sales[[#This Row],[DP2]]*Lookups!$B$62)+(Sales[[#This Row],[DP3]]*Lookups!$B$63)</f>
        <v>-2333.572181</v>
      </c>
      <c r="BR30">
        <f>Lookups!$B$58*0.6</f>
        <v>132535.48800000001</v>
      </c>
      <c r="BS30">
        <f>Lookups!$B$58*0.4</f>
        <v>88356.992000000013</v>
      </c>
      <c r="BT30">
        <f>Lookups!$B$59*Sales[[#This Row],[LnAcres]]</f>
        <v>-21795.969453044734</v>
      </c>
      <c r="BU30">
        <f>VLOOKUP(Sales[[#This Row],[Qlty]],Lookups!$A$66:$E$79,2,FALSE)</f>
        <v>32917.849192000001</v>
      </c>
      <c r="BV30">
        <f>VLOOKUP(Sales[[#This Row],[Cnd]],Lookups!$A$80:$E$91,2,FALSE)</f>
        <v>47371.278778200001</v>
      </c>
      <c r="BW30">
        <f>Sales[[#This Row],[EffAge]]*Lookups!$B$65</f>
        <v>-217.48220000000001</v>
      </c>
      <c r="BX30">
        <f>Sales[[#This Row],[MainFn]]*Lookups!$B$90</f>
        <v>99357.324960000013</v>
      </c>
      <c r="BY30">
        <f>Sales[[#This Row],[UpprFn]]*Lookups!$B$91</f>
        <v>0</v>
      </c>
      <c r="BZ30">
        <f>Sales[[#This Row],[Bsmt]]*Lookups!$B$95</f>
        <v>0</v>
      </c>
      <c r="CA30">
        <f>VLOOKUP(Sales[[#This Row],[MsnryTrim]],Lookups!$A$90:$E$99,2,FALSE)</f>
        <v>4112.8784489</v>
      </c>
      <c r="CB30">
        <f>Sales[[#This Row],[PrefabFP]]*Lookups!$B$92</f>
        <v>9807.1044999999995</v>
      </c>
      <c r="CC30">
        <f>Sales[[#This Row],[AttGar]]*Lookups!$B$93</f>
        <v>21745.435096000001</v>
      </c>
      <c r="CD30">
        <f>Sales[[#This Row],[BltinGar]]*Lookups!$B$94</f>
        <v>0</v>
      </c>
      <c r="CE30">
        <f>SUM(Sales[[#This Row],[Days Prior Total]:[Mdl BltinGar]])</f>
        <v>411857.32714105526</v>
      </c>
      <c r="CF30">
        <f>ROUND(Sales[[#This Row],[25Det]],-2)</f>
        <v>0</v>
      </c>
      <c r="CG30">
        <f>ROUND(SUM(Sales[[#This Row],[Mdl Qlty]:[Mdl BltinGar]])+Sales[[#This Row],[Mdl Res Intercept]]+Sales[[#This Row],[Days Prior Total]],-2)</f>
        <v>345300</v>
      </c>
      <c r="CH30">
        <f>ROUND(Sales[[#This Row],[Mdl Land Intercept]]+Sales[[#This Row],[Mdl LnAcres]],-2)</f>
        <v>66600</v>
      </c>
      <c r="CI30">
        <f>Sales[[#This Row],[Unadj Res Value]]+Sales[[#This Row],[Unadj Det Value]]+Sales[[#This Row],[Unadj Land Value]]</f>
        <v>411900</v>
      </c>
      <c r="CJ30" s="10">
        <f>Sales[[#This Row],[Price]]/Sales[[#This Row],[Unadj Total Value]]</f>
        <v>1.0549113862588007</v>
      </c>
      <c r="CK30" s="10">
        <f>(Sales[[#This Row],[Unadj Total Value]]-Sales[[#This Row],[24Final]])/Sales[[#This Row],[24Final]]</f>
        <v>2.8464419475655429E-2</v>
      </c>
      <c r="CL30">
        <f>VLOOKUP(Sales[[#This Row],[TNbhd]],Lookups!$M$3:$P$5,4,FALSE)</f>
        <v>0.99970000000000003</v>
      </c>
      <c r="CM30">
        <f>VLOOKUP(Sales[[#This Row],[Qlty]],Lookups!$M$8:$P$22,4,FALSE)</f>
        <v>1.0019</v>
      </c>
      <c r="CN30">
        <f>VLOOKUP(Sales[[#This Row],[Cnd]],Lookups!$R$8:$U$17,4,FALSE)</f>
        <v>1.0012000000000001</v>
      </c>
      <c r="CO30">
        <f>VLOOKUP(Sales[[#This Row],[LivArea Range]],Lookups!$R$25:$U$43,4,FALSE)</f>
        <v>1.0007999999999999</v>
      </c>
      <c r="CP30">
        <f>VLOOKUP(Sales[[#This Row],[Decade]],Lookups!$M$24:$P$40,4,FALSE)</f>
        <v>1.0024</v>
      </c>
      <c r="CQ30">
        <f>Sales[[#This Row],[Nbhd Adj]]*0.95</f>
        <v>0.94971499999999998</v>
      </c>
      <c r="CR30">
        <f>Sales[[#This Row],[Nbhd Adj]]*Sales[[#This Row],[Quality Adj]]*Sales[[#This Row],[Condition Adj]]*Sales[[#This Row],[Living Area Adj]]*Sales[[#This Row],[Decade Adj]]*0.95</f>
        <v>0.95571162706178159</v>
      </c>
      <c r="CS30">
        <f>ROUND(SUM(Sales[[#This Row],[Mdl Qlty]:[Mdl BltinGar]])+Sales[[#This Row],[Mdl Res Intercept]]*Sales[[#This Row],[Res Adj ]],-2)</f>
        <v>341800</v>
      </c>
      <c r="CT30">
        <f>ROUND(Sales[[#This Row],[25Det]]*Sales[[#This Row],[Det/Nbhd Adj]],-2)</f>
        <v>0</v>
      </c>
      <c r="CU30">
        <f>Sales[[#This Row],[Adjusted Res]]+Sales[[#This Row],[Adj Det ]]</f>
        <v>341800</v>
      </c>
      <c r="CV30">
        <f>ROUND((Sales[[#This Row],[Mdl Land Intercept]]+Sales[[#This Row],[Mdl LnAcres]])*Sales[[#This Row],[Det/Nbhd Adj]],-2)</f>
        <v>63200</v>
      </c>
      <c r="CW30">
        <f>Sales[[#This Row],[Adjusted Impr Total]]+Sales[[#This Row],[Adjusted Land Total]]</f>
        <v>405000</v>
      </c>
      <c r="CX30" s="10">
        <f>IFERROR((Sales[[#This Row],[Adjusted Impr Total]]-Sales[[#This Row],[24Bldg]])/Sales[[#This Row],[24Bldg]],0)</f>
        <v>1.3341239252890602E-2</v>
      </c>
      <c r="CY30" s="10">
        <f>(Sales[[#This Row],[Adjusted Land Total]]-Sales[[#This Row],[24Lnd]])/Sales[[#This Row],[24Lnd]]</f>
        <v>0</v>
      </c>
      <c r="CZ30">
        <f>(Sales[[#This Row],[Adjusted Total]]-Sales[[#This Row],[24Final]])/Sales[[#This Row],[24Final]]</f>
        <v>1.1235955056179775E-2</v>
      </c>
      <c r="DA30" s="10">
        <f>(Sales[[#This Row],[Adjusted Total]]+Sales[[#This Row],[Days Prior Total]])/Sales[[#This Row],[Price]]</f>
        <v>0.92669677163891939</v>
      </c>
    </row>
    <row r="31" spans="1:105">
      <c r="A31">
        <v>2025</v>
      </c>
      <c r="B31">
        <v>19120114508</v>
      </c>
      <c r="C31">
        <v>-1.6607312068216509</v>
      </c>
      <c r="D31">
        <v>0.19</v>
      </c>
      <c r="E31">
        <v>8131</v>
      </c>
      <c r="F31">
        <v>2</v>
      </c>
      <c r="G31" t="s">
        <v>155</v>
      </c>
      <c r="H31">
        <v>317</v>
      </c>
      <c r="I31" t="s">
        <v>5</v>
      </c>
      <c r="J31" t="s">
        <v>156</v>
      </c>
      <c r="K31">
        <v>11</v>
      </c>
      <c r="L31">
        <v>259</v>
      </c>
      <c r="M31" t="s">
        <v>157</v>
      </c>
      <c r="N31" t="s">
        <v>21</v>
      </c>
      <c r="O31" t="s">
        <v>24</v>
      </c>
      <c r="P31">
        <v>2022</v>
      </c>
      <c r="Q31">
        <v>2022</v>
      </c>
      <c r="R31">
        <v>10</v>
      </c>
      <c r="S31">
        <v>2</v>
      </c>
      <c r="T31">
        <v>2</v>
      </c>
      <c r="U31">
        <v>1</v>
      </c>
      <c r="V31">
        <v>1830</v>
      </c>
      <c r="W31">
        <v>0</v>
      </c>
      <c r="X31">
        <v>0</v>
      </c>
      <c r="Y31">
        <v>0</v>
      </c>
      <c r="Z31">
        <v>0</v>
      </c>
      <c r="AA31">
        <v>0</v>
      </c>
      <c r="AB31">
        <v>1830</v>
      </c>
      <c r="AC31">
        <v>2000</v>
      </c>
      <c r="AD31">
        <v>3</v>
      </c>
      <c r="AE31" t="s">
        <v>56</v>
      </c>
      <c r="AF31" t="s">
        <v>158</v>
      </c>
      <c r="AG31" t="s">
        <v>21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9</v>
      </c>
      <c r="AO31">
        <v>680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100</v>
      </c>
      <c r="AV31">
        <v>100</v>
      </c>
      <c r="AW31">
        <v>368367</v>
      </c>
      <c r="AX31">
        <v>364683</v>
      </c>
      <c r="AY31">
        <v>438</v>
      </c>
      <c r="AZ31">
        <v>365</v>
      </c>
      <c r="BA31">
        <v>73</v>
      </c>
      <c r="BB31">
        <v>0</v>
      </c>
      <c r="BC31" s="2">
        <v>44854</v>
      </c>
      <c r="BD31" t="s">
        <v>190</v>
      </c>
      <c r="BE31">
        <v>444773</v>
      </c>
      <c r="BF31">
        <v>444773</v>
      </c>
      <c r="BG31" t="s">
        <v>160</v>
      </c>
      <c r="BH31">
        <v>30</v>
      </c>
      <c r="BI31" t="s">
        <v>56</v>
      </c>
      <c r="BJ31" t="s">
        <v>161</v>
      </c>
      <c r="BK31">
        <v>416900</v>
      </c>
      <c r="BL31">
        <v>63200</v>
      </c>
      <c r="BM31">
        <v>353700</v>
      </c>
      <c r="BN31">
        <v>0</v>
      </c>
      <c r="BO31">
        <v>406514.34758684563</v>
      </c>
      <c r="BP31">
        <v>407971.15384006099</v>
      </c>
      <c r="BQ31">
        <f>(Sales[[#This Row],[DP1]]*Lookups!$B$61)+(Sales[[#This Row],[DP2]]*Lookups!$B$62)+(Sales[[#This Row],[DP3]]*Lookups!$B$63)</f>
        <v>-1456.8060309999996</v>
      </c>
      <c r="BR31">
        <f>Lookups!$B$58*0.6</f>
        <v>132535.48800000001</v>
      </c>
      <c r="BS31">
        <f>Lookups!$B$58*0.4</f>
        <v>88356.992000000013</v>
      </c>
      <c r="BT31">
        <f>Lookups!$B$59*Sales[[#This Row],[LnAcres]]</f>
        <v>-21795.969453044734</v>
      </c>
      <c r="BU31">
        <f>VLOOKUP(Sales[[#This Row],[Qlty]],Lookups!$A$66:$E$79,2,FALSE)</f>
        <v>32917.849192000001</v>
      </c>
      <c r="BV31">
        <f>VLOOKUP(Sales[[#This Row],[Cnd]],Lookups!$A$80:$E$91,2,FALSE)</f>
        <v>47371.278778200001</v>
      </c>
      <c r="BW31">
        <f>Sales[[#This Row],[EffAge]]*Lookups!$B$65</f>
        <v>-217.48220000000001</v>
      </c>
      <c r="BX31">
        <f>Sales[[#This Row],[MainFn]]*Lookups!$B$90</f>
        <v>114210.9954</v>
      </c>
      <c r="BY31">
        <f>Sales[[#This Row],[UpprFn]]*Lookups!$B$91</f>
        <v>0</v>
      </c>
      <c r="BZ31">
        <f>Sales[[#This Row],[Bsmt]]*Lookups!$B$95</f>
        <v>0</v>
      </c>
      <c r="CA31">
        <f>VLOOKUP(Sales[[#This Row],[MsnryTrim]],Lookups!$A$90:$E$99,2,FALSE)</f>
        <v>-9412.7029999999995</v>
      </c>
      <c r="CB31">
        <f>Sales[[#This Row],[PrefabFP]]*Lookups!$B$92</f>
        <v>0</v>
      </c>
      <c r="CC31">
        <f>Sales[[#This Row],[AttGar]]*Lookups!$B$93</f>
        <v>24004.701080000003</v>
      </c>
      <c r="CD31">
        <f>Sales[[#This Row],[BltinGar]]*Lookups!$B$94</f>
        <v>0</v>
      </c>
      <c r="CE31">
        <f>SUM(Sales[[#This Row],[Days Prior Total]:[Mdl BltinGar]])</f>
        <v>406514.34376615536</v>
      </c>
      <c r="CF31">
        <f>ROUND(Sales[[#This Row],[25Det]],-2)</f>
        <v>0</v>
      </c>
      <c r="CG31">
        <f>ROUND(SUM(Sales[[#This Row],[Mdl Qlty]:[Mdl BltinGar]])+Sales[[#This Row],[Mdl Res Intercept]]+Sales[[#This Row],[Days Prior Total]],-2)</f>
        <v>340000</v>
      </c>
      <c r="CH31">
        <f>ROUND(Sales[[#This Row],[Mdl Land Intercept]]+Sales[[#This Row],[Mdl LnAcres]],-2)</f>
        <v>66600</v>
      </c>
      <c r="CI31">
        <f>Sales[[#This Row],[Unadj Res Value]]+Sales[[#This Row],[Unadj Det Value]]+Sales[[#This Row],[Unadj Land Value]]</f>
        <v>406600</v>
      </c>
      <c r="CJ31" s="10">
        <f>Sales[[#This Row],[Price]]/Sales[[#This Row],[Unadj Total Value]]</f>
        <v>1.0938834235120511</v>
      </c>
      <c r="CK31" s="10">
        <f>(Sales[[#This Row],[Unadj Total Value]]-Sales[[#This Row],[24Final]])/Sales[[#This Row],[24Final]]</f>
        <v>-2.4706164547853203E-2</v>
      </c>
      <c r="CL31">
        <f>VLOOKUP(Sales[[#This Row],[TNbhd]],Lookups!$M$3:$P$5,4,FALSE)</f>
        <v>0.99970000000000003</v>
      </c>
      <c r="CM31">
        <f>VLOOKUP(Sales[[#This Row],[Qlty]],Lookups!$M$8:$P$22,4,FALSE)</f>
        <v>1.0019</v>
      </c>
      <c r="CN31">
        <f>VLOOKUP(Sales[[#This Row],[Cnd]],Lookups!$R$8:$U$17,4,FALSE)</f>
        <v>1.0012000000000001</v>
      </c>
      <c r="CO31">
        <f>VLOOKUP(Sales[[#This Row],[LivArea Range]],Lookups!$R$25:$U$43,4,FALSE)</f>
        <v>1.0007999999999999</v>
      </c>
      <c r="CP31">
        <f>VLOOKUP(Sales[[#This Row],[Decade]],Lookups!$M$24:$P$40,4,FALSE)</f>
        <v>1.0024</v>
      </c>
      <c r="CQ31">
        <f>Sales[[#This Row],[Nbhd Adj]]*0.95</f>
        <v>0.94971499999999998</v>
      </c>
      <c r="CR31">
        <f>Sales[[#This Row],[Nbhd Adj]]*Sales[[#This Row],[Quality Adj]]*Sales[[#This Row],[Condition Adj]]*Sales[[#This Row],[Living Area Adj]]*Sales[[#This Row],[Decade Adj]]*0.95</f>
        <v>0.95571162706178159</v>
      </c>
      <c r="CS31">
        <f>ROUND(SUM(Sales[[#This Row],[Mdl Qlty]:[Mdl BltinGar]])+Sales[[#This Row],[Mdl Res Intercept]]*Sales[[#This Row],[Res Adj ]],-2)</f>
        <v>335500</v>
      </c>
      <c r="CT31">
        <f>ROUND(Sales[[#This Row],[25Det]]*Sales[[#This Row],[Det/Nbhd Adj]],-2)</f>
        <v>0</v>
      </c>
      <c r="CU31">
        <f>Sales[[#This Row],[Adjusted Res]]+Sales[[#This Row],[Adj Det ]]</f>
        <v>335500</v>
      </c>
      <c r="CV31">
        <f>ROUND((Sales[[#This Row],[Mdl Land Intercept]]+Sales[[#This Row],[Mdl LnAcres]])*Sales[[#This Row],[Det/Nbhd Adj]],-2)</f>
        <v>63200</v>
      </c>
      <c r="CW31">
        <f>Sales[[#This Row],[Adjusted Impr Total]]+Sales[[#This Row],[Adjusted Land Total]]</f>
        <v>398700</v>
      </c>
      <c r="CX31" s="10">
        <f>IFERROR((Sales[[#This Row],[Adjusted Impr Total]]-Sales[[#This Row],[24Bldg]])/Sales[[#This Row],[24Bldg]],0)</f>
        <v>-5.1456036188860618E-2</v>
      </c>
      <c r="CY31" s="10">
        <f>(Sales[[#This Row],[Adjusted Land Total]]-Sales[[#This Row],[24Lnd]])/Sales[[#This Row],[24Lnd]]</f>
        <v>0</v>
      </c>
      <c r="CZ31">
        <f>(Sales[[#This Row],[Adjusted Total]]-Sales[[#This Row],[24Final]])/Sales[[#This Row],[24Final]]</f>
        <v>-4.3655552890381387E-2</v>
      </c>
      <c r="DA31" s="10">
        <f>(Sales[[#This Row],[Adjusted Total]]+Sales[[#This Row],[Days Prior Total]])/Sales[[#This Row],[Price]]</f>
        <v>0.89313693495108748</v>
      </c>
    </row>
    <row r="32" spans="1:105">
      <c r="A32">
        <v>2025</v>
      </c>
      <c r="B32">
        <v>19120114509</v>
      </c>
      <c r="C32">
        <v>-1.6607312068216509</v>
      </c>
      <c r="D32">
        <v>0.19</v>
      </c>
      <c r="E32">
        <v>8228</v>
      </c>
      <c r="F32">
        <v>2</v>
      </c>
      <c r="G32" t="s">
        <v>155</v>
      </c>
      <c r="H32">
        <v>317</v>
      </c>
      <c r="I32" t="s">
        <v>5</v>
      </c>
      <c r="J32" t="s">
        <v>156</v>
      </c>
      <c r="K32">
        <v>11</v>
      </c>
      <c r="L32">
        <v>259</v>
      </c>
      <c r="M32" t="s">
        <v>157</v>
      </c>
      <c r="N32" t="s">
        <v>21</v>
      </c>
      <c r="O32" t="s">
        <v>24</v>
      </c>
      <c r="P32">
        <v>2022</v>
      </c>
      <c r="Q32">
        <v>2022</v>
      </c>
      <c r="R32">
        <v>10</v>
      </c>
      <c r="S32">
        <v>2</v>
      </c>
      <c r="T32">
        <v>2</v>
      </c>
      <c r="U32">
        <v>1</v>
      </c>
      <c r="V32">
        <v>1830</v>
      </c>
      <c r="W32">
        <v>0</v>
      </c>
      <c r="X32">
        <v>0</v>
      </c>
      <c r="Y32">
        <v>0</v>
      </c>
      <c r="Z32">
        <v>0</v>
      </c>
      <c r="AA32">
        <v>0</v>
      </c>
      <c r="AB32">
        <v>1830</v>
      </c>
      <c r="AC32">
        <v>2000</v>
      </c>
      <c r="AD32">
        <v>3</v>
      </c>
      <c r="AE32" t="s">
        <v>57</v>
      </c>
      <c r="AF32" t="s">
        <v>158</v>
      </c>
      <c r="AG32" t="s">
        <v>21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9</v>
      </c>
      <c r="AO32">
        <v>808</v>
      </c>
      <c r="AP32">
        <v>0</v>
      </c>
      <c r="AQ32">
        <v>0</v>
      </c>
      <c r="AR32">
        <v>0</v>
      </c>
      <c r="AS32">
        <v>210</v>
      </c>
      <c r="AT32">
        <v>0</v>
      </c>
      <c r="AU32">
        <v>100</v>
      </c>
      <c r="AV32">
        <v>100</v>
      </c>
      <c r="AW32">
        <v>364664</v>
      </c>
      <c r="AX32">
        <v>361017</v>
      </c>
      <c r="AY32">
        <v>434</v>
      </c>
      <c r="AZ32">
        <v>365</v>
      </c>
      <c r="BA32">
        <v>69</v>
      </c>
      <c r="BB32">
        <v>0</v>
      </c>
      <c r="BC32" s="2">
        <v>44858</v>
      </c>
      <c r="BD32" t="s">
        <v>191</v>
      </c>
      <c r="BE32">
        <v>471257</v>
      </c>
      <c r="BF32">
        <v>471257</v>
      </c>
      <c r="BG32" t="s">
        <v>160</v>
      </c>
      <c r="BH32">
        <v>30</v>
      </c>
      <c r="BI32" t="s">
        <v>56</v>
      </c>
      <c r="BJ32" t="s">
        <v>161</v>
      </c>
      <c r="BK32">
        <v>407400</v>
      </c>
      <c r="BL32">
        <v>63200</v>
      </c>
      <c r="BM32">
        <v>344200</v>
      </c>
      <c r="BN32">
        <v>0</v>
      </c>
      <c r="BO32">
        <v>424828.23479138158</v>
      </c>
      <c r="BP32">
        <v>426015.26683174702</v>
      </c>
      <c r="BQ32">
        <f>(Sales[[#This Row],[DP1]]*Lookups!$B$61)+(Sales[[#This Row],[DP2]]*Lookups!$B$62)+(Sales[[#This Row],[DP3]]*Lookups!$B$63)</f>
        <v>-1187.0318309999998</v>
      </c>
      <c r="BR32">
        <f>Lookups!$B$58*0.6</f>
        <v>132535.48800000001</v>
      </c>
      <c r="BS32">
        <f>Lookups!$B$58*0.4</f>
        <v>88356.992000000013</v>
      </c>
      <c r="BT32">
        <f>Lookups!$B$59*Sales[[#This Row],[LnAcres]]</f>
        <v>-21795.969453044734</v>
      </c>
      <c r="BU32">
        <f>VLOOKUP(Sales[[#This Row],[Qlty]],Lookups!$A$66:$E$79,2,FALSE)</f>
        <v>32917.849192000001</v>
      </c>
      <c r="BV32">
        <f>VLOOKUP(Sales[[#This Row],[Cnd]],Lookups!$A$80:$E$91,2,FALSE)</f>
        <v>47371.278778200001</v>
      </c>
      <c r="BW32">
        <f>Sales[[#This Row],[EffAge]]*Lookups!$B$65</f>
        <v>-217.48220000000001</v>
      </c>
      <c r="BX32">
        <f>Sales[[#This Row],[MainFn]]*Lookups!$B$90</f>
        <v>114210.9954</v>
      </c>
      <c r="BY32">
        <f>Sales[[#This Row],[UpprFn]]*Lookups!$B$91</f>
        <v>0</v>
      </c>
      <c r="BZ32">
        <f>Sales[[#This Row],[Bsmt]]*Lookups!$B$95</f>
        <v>0</v>
      </c>
      <c r="CA32">
        <f>VLOOKUP(Sales[[#This Row],[MsnryTrim]],Lookups!$A$90:$E$99,2,FALSE)</f>
        <v>4112.8784489</v>
      </c>
      <c r="CB32">
        <f>Sales[[#This Row],[PrefabFP]]*Lookups!$B$92</f>
        <v>0</v>
      </c>
      <c r="CC32">
        <f>Sales[[#This Row],[AttGar]]*Lookups!$B$93</f>
        <v>28523.233048000002</v>
      </c>
      <c r="CD32">
        <f>Sales[[#This Row],[BltinGar]]*Lookups!$B$94</f>
        <v>0</v>
      </c>
      <c r="CE32">
        <f>SUM(Sales[[#This Row],[Days Prior Total]:[Mdl BltinGar]])</f>
        <v>424828.23138305533</v>
      </c>
      <c r="CF32">
        <f>ROUND(Sales[[#This Row],[25Det]],-2)</f>
        <v>0</v>
      </c>
      <c r="CG32">
        <f>ROUND(SUM(Sales[[#This Row],[Mdl Qlty]:[Mdl BltinGar]])+Sales[[#This Row],[Mdl Res Intercept]]+Sales[[#This Row],[Days Prior Total]],-2)</f>
        <v>358300</v>
      </c>
      <c r="CH32">
        <f>ROUND(Sales[[#This Row],[Mdl Land Intercept]]+Sales[[#This Row],[Mdl LnAcres]],-2)</f>
        <v>66600</v>
      </c>
      <c r="CI32">
        <f>Sales[[#This Row],[Unadj Res Value]]+Sales[[#This Row],[Unadj Det Value]]+Sales[[#This Row],[Unadj Land Value]]</f>
        <v>424900</v>
      </c>
      <c r="CJ32" s="10">
        <f>Sales[[#This Row],[Price]]/Sales[[#This Row],[Unadj Total Value]]</f>
        <v>1.1091009649329253</v>
      </c>
      <c r="CK32" s="10">
        <f>(Sales[[#This Row],[Unadj Total Value]]-Sales[[#This Row],[24Final]])/Sales[[#This Row],[24Final]]</f>
        <v>4.29553264604811E-2</v>
      </c>
      <c r="CL32">
        <f>VLOOKUP(Sales[[#This Row],[TNbhd]],Lookups!$M$3:$P$5,4,FALSE)</f>
        <v>0.99970000000000003</v>
      </c>
      <c r="CM32">
        <f>VLOOKUP(Sales[[#This Row],[Qlty]],Lookups!$M$8:$P$22,4,FALSE)</f>
        <v>1.0019</v>
      </c>
      <c r="CN32">
        <f>VLOOKUP(Sales[[#This Row],[Cnd]],Lookups!$R$8:$U$17,4,FALSE)</f>
        <v>1.0012000000000001</v>
      </c>
      <c r="CO32">
        <f>VLOOKUP(Sales[[#This Row],[LivArea Range]],Lookups!$R$25:$U$43,4,FALSE)</f>
        <v>1.0007999999999999</v>
      </c>
      <c r="CP32">
        <f>VLOOKUP(Sales[[#This Row],[Decade]],Lookups!$M$24:$P$40,4,FALSE)</f>
        <v>1.0024</v>
      </c>
      <c r="CQ32">
        <f>Sales[[#This Row],[Nbhd Adj]]*0.95</f>
        <v>0.94971499999999998</v>
      </c>
      <c r="CR32">
        <f>Sales[[#This Row],[Nbhd Adj]]*Sales[[#This Row],[Quality Adj]]*Sales[[#This Row],[Condition Adj]]*Sales[[#This Row],[Living Area Adj]]*Sales[[#This Row],[Decade Adj]]*0.95</f>
        <v>0.95571162706178159</v>
      </c>
      <c r="CS32">
        <f>ROUND(SUM(Sales[[#This Row],[Mdl Qlty]:[Mdl BltinGar]])+Sales[[#This Row],[Mdl Res Intercept]]*Sales[[#This Row],[Res Adj ]],-2)</f>
        <v>353600</v>
      </c>
      <c r="CT32">
        <f>ROUND(Sales[[#This Row],[25Det]]*Sales[[#This Row],[Det/Nbhd Adj]],-2)</f>
        <v>0</v>
      </c>
      <c r="CU32">
        <f>Sales[[#This Row],[Adjusted Res]]+Sales[[#This Row],[Adj Det ]]</f>
        <v>353600</v>
      </c>
      <c r="CV32">
        <f>ROUND((Sales[[#This Row],[Mdl Land Intercept]]+Sales[[#This Row],[Mdl LnAcres]])*Sales[[#This Row],[Det/Nbhd Adj]],-2)</f>
        <v>63200</v>
      </c>
      <c r="CW32">
        <f>Sales[[#This Row],[Adjusted Impr Total]]+Sales[[#This Row],[Adjusted Land Total]]</f>
        <v>416800</v>
      </c>
      <c r="CX32" s="10">
        <f>IFERROR((Sales[[#This Row],[Adjusted Impr Total]]-Sales[[#This Row],[24Bldg]])/Sales[[#This Row],[24Bldg]],0)</f>
        <v>2.7309703660662404E-2</v>
      </c>
      <c r="CY32" s="10">
        <f>(Sales[[#This Row],[Adjusted Land Total]]-Sales[[#This Row],[24Lnd]])/Sales[[#This Row],[24Lnd]]</f>
        <v>0</v>
      </c>
      <c r="CZ32">
        <f>(Sales[[#This Row],[Adjusted Total]]-Sales[[#This Row],[24Final]])/Sales[[#This Row],[24Final]]</f>
        <v>2.3073146784486992E-2</v>
      </c>
      <c r="DA32" s="10">
        <f>(Sales[[#This Row],[Adjusted Total]]+Sales[[#This Row],[Days Prior Total]])/Sales[[#This Row],[Price]]</f>
        <v>0.88192423278381016</v>
      </c>
    </row>
    <row r="33" spans="1:105">
      <c r="A33">
        <v>2025</v>
      </c>
      <c r="B33">
        <v>19120114510</v>
      </c>
      <c r="C33">
        <v>-1.5141277326297755</v>
      </c>
      <c r="D33">
        <v>0.22</v>
      </c>
      <c r="E33">
        <v>9614</v>
      </c>
      <c r="F33">
        <v>2</v>
      </c>
      <c r="G33" t="s">
        <v>155</v>
      </c>
      <c r="H33">
        <v>317</v>
      </c>
      <c r="I33" t="s">
        <v>5</v>
      </c>
      <c r="J33" t="s">
        <v>156</v>
      </c>
      <c r="K33">
        <v>11</v>
      </c>
      <c r="L33">
        <v>259</v>
      </c>
      <c r="M33" t="s">
        <v>157</v>
      </c>
      <c r="N33" t="s">
        <v>21</v>
      </c>
      <c r="O33" t="s">
        <v>24</v>
      </c>
      <c r="P33">
        <v>2022</v>
      </c>
      <c r="Q33">
        <v>2022</v>
      </c>
      <c r="R33">
        <v>10</v>
      </c>
      <c r="S33">
        <v>2</v>
      </c>
      <c r="T33">
        <v>2</v>
      </c>
      <c r="U33">
        <v>1</v>
      </c>
      <c r="V33">
        <v>1842</v>
      </c>
      <c r="W33">
        <v>0</v>
      </c>
      <c r="X33">
        <v>0</v>
      </c>
      <c r="Y33">
        <v>0</v>
      </c>
      <c r="Z33">
        <v>0</v>
      </c>
      <c r="AA33">
        <v>0</v>
      </c>
      <c r="AB33">
        <v>1842</v>
      </c>
      <c r="AC33">
        <v>2000</v>
      </c>
      <c r="AD33">
        <v>2</v>
      </c>
      <c r="AE33" t="s">
        <v>56</v>
      </c>
      <c r="AF33" t="s">
        <v>158</v>
      </c>
      <c r="AG33" t="s">
        <v>21</v>
      </c>
      <c r="AI33">
        <v>0</v>
      </c>
      <c r="AJ33">
        <v>0</v>
      </c>
      <c r="AK33">
        <v>1</v>
      </c>
      <c r="AL33">
        <v>0</v>
      </c>
      <c r="AM33">
        <v>0</v>
      </c>
      <c r="AN33">
        <v>9</v>
      </c>
      <c r="AO33">
        <v>500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100</v>
      </c>
      <c r="AV33">
        <v>100</v>
      </c>
      <c r="AW33">
        <v>366456</v>
      </c>
      <c r="AX33">
        <v>362791</v>
      </c>
      <c r="AY33">
        <v>408</v>
      </c>
      <c r="AZ33">
        <v>365</v>
      </c>
      <c r="BA33">
        <v>43</v>
      </c>
      <c r="BB33">
        <v>0</v>
      </c>
      <c r="BC33" s="2">
        <v>44884</v>
      </c>
      <c r="BD33" t="s">
        <v>192</v>
      </c>
      <c r="BE33">
        <v>447178</v>
      </c>
      <c r="BF33">
        <v>447178</v>
      </c>
      <c r="BG33" t="s">
        <v>160</v>
      </c>
      <c r="BH33">
        <v>30</v>
      </c>
      <c r="BI33" t="s">
        <v>56</v>
      </c>
      <c r="BJ33" t="s">
        <v>161</v>
      </c>
      <c r="BK33">
        <v>410900</v>
      </c>
      <c r="BL33">
        <v>65300</v>
      </c>
      <c r="BM33">
        <v>345600</v>
      </c>
      <c r="BN33">
        <v>0</v>
      </c>
      <c r="BO33">
        <v>414663.5687832096</v>
      </c>
      <c r="BP33">
        <v>414097.06844005006</v>
      </c>
      <c r="BQ33">
        <f>(Sales[[#This Row],[DP1]]*Lookups!$B$61)+(Sales[[#This Row],[DP2]]*Lookups!$B$62)+(Sales[[#This Row],[DP3]]*Lookups!$B$63)</f>
        <v>566.50046900000007</v>
      </c>
      <c r="BR33">
        <f>Lookups!$B$58*0.6</f>
        <v>132535.48800000001</v>
      </c>
      <c r="BS33">
        <f>Lookups!$B$58*0.4</f>
        <v>88356.992000000013</v>
      </c>
      <c r="BT33">
        <f>Lookups!$B$59*Sales[[#This Row],[LnAcres]]</f>
        <v>-19871.898398035348</v>
      </c>
      <c r="BU33">
        <f>VLOOKUP(Sales[[#This Row],[Qlty]],Lookups!$A$66:$E$79,2,FALSE)</f>
        <v>32917.849192000001</v>
      </c>
      <c r="BV33">
        <f>VLOOKUP(Sales[[#This Row],[Cnd]],Lookups!$A$80:$E$91,2,FALSE)</f>
        <v>47371.278778200001</v>
      </c>
      <c r="BW33">
        <f>Sales[[#This Row],[EffAge]]*Lookups!$B$65</f>
        <v>-217.48220000000001</v>
      </c>
      <c r="BX33">
        <f>Sales[[#This Row],[MainFn]]*Lookups!$B$90</f>
        <v>114959.91996</v>
      </c>
      <c r="BY33">
        <f>Sales[[#This Row],[UpprFn]]*Lookups!$B$91</f>
        <v>0</v>
      </c>
      <c r="BZ33">
        <f>Sales[[#This Row],[Bsmt]]*Lookups!$B$95</f>
        <v>0</v>
      </c>
      <c r="CA33">
        <f>VLOOKUP(Sales[[#This Row],[MsnryTrim]],Lookups!$A$90:$E$99,2,FALSE)</f>
        <v>-9412.7029999999995</v>
      </c>
      <c r="CB33">
        <f>Sales[[#This Row],[PrefabFP]]*Lookups!$B$92</f>
        <v>9807.1044999999995</v>
      </c>
      <c r="CC33">
        <f>Sales[[#This Row],[AttGar]]*Lookups!$B$93</f>
        <v>17650.515500000001</v>
      </c>
      <c r="CD33">
        <f>Sales[[#This Row],[BltinGar]]*Lookups!$B$94</f>
        <v>0</v>
      </c>
      <c r="CE33">
        <f>SUM(Sales[[#This Row],[Days Prior Total]:[Mdl BltinGar]])</f>
        <v>414663.56480116467</v>
      </c>
      <c r="CF33">
        <f>ROUND(Sales[[#This Row],[25Det]],-2)</f>
        <v>0</v>
      </c>
      <c r="CG33">
        <f>ROUND(SUM(Sales[[#This Row],[Mdl Qlty]:[Mdl BltinGar]])+Sales[[#This Row],[Mdl Res Intercept]]+Sales[[#This Row],[Days Prior Total]],-2)</f>
        <v>346200</v>
      </c>
      <c r="CH33">
        <f>ROUND(Sales[[#This Row],[Mdl Land Intercept]]+Sales[[#This Row],[Mdl LnAcres]],-2)</f>
        <v>68500</v>
      </c>
      <c r="CI33">
        <f>Sales[[#This Row],[Unadj Res Value]]+Sales[[#This Row],[Unadj Det Value]]+Sales[[#This Row],[Unadj Land Value]]</f>
        <v>414700</v>
      </c>
      <c r="CJ33" s="10">
        <f>Sales[[#This Row],[Price]]/Sales[[#This Row],[Unadj Total Value]]</f>
        <v>1.078316855558235</v>
      </c>
      <c r="CK33" s="10">
        <f>(Sales[[#This Row],[Unadj Total Value]]-Sales[[#This Row],[24Final]])/Sales[[#This Row],[24Final]]</f>
        <v>9.2479922122170842E-3</v>
      </c>
      <c r="CL33">
        <f>VLOOKUP(Sales[[#This Row],[TNbhd]],Lookups!$M$3:$P$5,4,FALSE)</f>
        <v>0.99970000000000003</v>
      </c>
      <c r="CM33">
        <f>VLOOKUP(Sales[[#This Row],[Qlty]],Lookups!$M$8:$P$22,4,FALSE)</f>
        <v>1.0019</v>
      </c>
      <c r="CN33">
        <f>VLOOKUP(Sales[[#This Row],[Cnd]],Lookups!$R$8:$U$17,4,FALSE)</f>
        <v>1.0012000000000001</v>
      </c>
      <c r="CO33">
        <f>VLOOKUP(Sales[[#This Row],[LivArea Range]],Lookups!$R$25:$U$43,4,FALSE)</f>
        <v>1.0007999999999999</v>
      </c>
      <c r="CP33">
        <f>VLOOKUP(Sales[[#This Row],[Decade]],Lookups!$M$24:$P$40,4,FALSE)</f>
        <v>1.0024</v>
      </c>
      <c r="CQ33">
        <f>Sales[[#This Row],[Nbhd Adj]]*0.95</f>
        <v>0.94971499999999998</v>
      </c>
      <c r="CR33">
        <f>Sales[[#This Row],[Nbhd Adj]]*Sales[[#This Row],[Quality Adj]]*Sales[[#This Row],[Condition Adj]]*Sales[[#This Row],[Living Area Adj]]*Sales[[#This Row],[Decade Adj]]*0.95</f>
        <v>0.95571162706178159</v>
      </c>
      <c r="CS33">
        <f>ROUND(SUM(Sales[[#This Row],[Mdl Qlty]:[Mdl BltinGar]])+Sales[[#This Row],[Mdl Res Intercept]]*Sales[[#This Row],[Res Adj ]],-2)</f>
        <v>339700</v>
      </c>
      <c r="CT33">
        <f>ROUND(Sales[[#This Row],[25Det]]*Sales[[#This Row],[Det/Nbhd Adj]],-2)</f>
        <v>0</v>
      </c>
      <c r="CU33">
        <f>Sales[[#This Row],[Adjusted Res]]+Sales[[#This Row],[Adj Det ]]</f>
        <v>339700</v>
      </c>
      <c r="CV33">
        <f>ROUND((Sales[[#This Row],[Mdl Land Intercept]]+Sales[[#This Row],[Mdl LnAcres]])*Sales[[#This Row],[Det/Nbhd Adj]],-2)</f>
        <v>65000</v>
      </c>
      <c r="CW33">
        <f>Sales[[#This Row],[Adjusted Impr Total]]+Sales[[#This Row],[Adjusted Land Total]]</f>
        <v>404700</v>
      </c>
      <c r="CX33" s="10">
        <f>IFERROR((Sales[[#This Row],[Adjusted Impr Total]]-Sales[[#This Row],[24Bldg]])/Sales[[#This Row],[24Bldg]],0)</f>
        <v>-1.7071759259259259E-2</v>
      </c>
      <c r="CY33" s="10">
        <f>(Sales[[#This Row],[Adjusted Land Total]]-Sales[[#This Row],[24Lnd]])/Sales[[#This Row],[24Lnd]]</f>
        <v>-4.5941807044410417E-3</v>
      </c>
      <c r="CZ33">
        <f>(Sales[[#This Row],[Adjusted Total]]-Sales[[#This Row],[24Final]])/Sales[[#This Row],[24Final]]</f>
        <v>-1.5088829398880507E-2</v>
      </c>
      <c r="DA33" s="10">
        <f>(Sales[[#This Row],[Adjusted Total]]+Sales[[#This Row],[Days Prior Total]])/Sales[[#This Row],[Price]]</f>
        <v>0.90627557811207171</v>
      </c>
    </row>
    <row r="34" spans="1:105">
      <c r="A34">
        <v>2025</v>
      </c>
      <c r="B34">
        <v>19120114511</v>
      </c>
      <c r="C34">
        <v>-1.6607312068216509</v>
      </c>
      <c r="D34">
        <v>0.19</v>
      </c>
      <c r="E34">
        <v>8220</v>
      </c>
      <c r="F34">
        <v>2</v>
      </c>
      <c r="G34" t="s">
        <v>155</v>
      </c>
      <c r="H34">
        <v>317</v>
      </c>
      <c r="I34" t="s">
        <v>5</v>
      </c>
      <c r="J34" t="s">
        <v>156</v>
      </c>
      <c r="K34">
        <v>11</v>
      </c>
      <c r="L34">
        <v>259</v>
      </c>
      <c r="M34" t="s">
        <v>193</v>
      </c>
      <c r="N34" t="s">
        <v>19</v>
      </c>
      <c r="O34" t="s">
        <v>24</v>
      </c>
      <c r="P34">
        <v>2022</v>
      </c>
      <c r="Q34">
        <v>2022</v>
      </c>
      <c r="R34">
        <v>10</v>
      </c>
      <c r="S34">
        <v>2</v>
      </c>
      <c r="T34">
        <v>2</v>
      </c>
      <c r="U34">
        <v>1</v>
      </c>
      <c r="V34">
        <v>1240</v>
      </c>
      <c r="W34">
        <v>0</v>
      </c>
      <c r="X34">
        <v>0</v>
      </c>
      <c r="Y34">
        <v>0</v>
      </c>
      <c r="Z34">
        <v>0</v>
      </c>
      <c r="AA34">
        <v>0</v>
      </c>
      <c r="AB34">
        <v>1240</v>
      </c>
      <c r="AC34">
        <v>1500</v>
      </c>
      <c r="AD34">
        <v>2</v>
      </c>
      <c r="AE34" t="s">
        <v>56</v>
      </c>
      <c r="AF34" t="s">
        <v>158</v>
      </c>
      <c r="AG34" t="s">
        <v>27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9</v>
      </c>
      <c r="AO34">
        <v>404</v>
      </c>
      <c r="AP34">
        <v>0</v>
      </c>
      <c r="AQ34">
        <v>0</v>
      </c>
      <c r="AR34">
        <v>0</v>
      </c>
      <c r="AS34">
        <v>126</v>
      </c>
      <c r="AT34">
        <v>0</v>
      </c>
      <c r="AU34">
        <v>100</v>
      </c>
      <c r="AV34">
        <v>100</v>
      </c>
      <c r="AW34">
        <v>228399</v>
      </c>
      <c r="AX34">
        <v>226115</v>
      </c>
      <c r="AY34">
        <v>462</v>
      </c>
      <c r="AZ34">
        <v>365</v>
      </c>
      <c r="BA34">
        <v>97</v>
      </c>
      <c r="BB34">
        <v>0</v>
      </c>
      <c r="BC34" s="2">
        <v>44830</v>
      </c>
      <c r="BD34">
        <v>463329</v>
      </c>
      <c r="BE34">
        <v>311000</v>
      </c>
      <c r="BF34">
        <v>311000</v>
      </c>
      <c r="BG34" t="s">
        <v>160</v>
      </c>
      <c r="BH34">
        <v>30</v>
      </c>
      <c r="BI34" t="s">
        <v>56</v>
      </c>
      <c r="BJ34" t="s">
        <v>161</v>
      </c>
      <c r="BK34">
        <v>348200</v>
      </c>
      <c r="BL34">
        <v>63200</v>
      </c>
      <c r="BM34">
        <v>285000</v>
      </c>
      <c r="BN34">
        <v>0</v>
      </c>
      <c r="BO34">
        <v>362566.89683548262</v>
      </c>
      <c r="BP34">
        <v>365642.34836579784</v>
      </c>
      <c r="BQ34">
        <f>(Sales[[#This Row],[DP1]]*Lookups!$B$61)+(Sales[[#This Row],[DP2]]*Lookups!$B$62)+(Sales[[#This Row],[DP3]]*Lookups!$B$63)</f>
        <v>-3075.4512310000005</v>
      </c>
      <c r="BR34">
        <f>Lookups!$B$58*0.6</f>
        <v>132535.48800000001</v>
      </c>
      <c r="BS34">
        <f>Lookups!$B$58*0.4</f>
        <v>88356.992000000013</v>
      </c>
      <c r="BT34">
        <f>Lookups!$B$59*Sales[[#This Row],[LnAcres]]</f>
        <v>-21795.969453044734</v>
      </c>
      <c r="BU34">
        <f>VLOOKUP(Sales[[#This Row],[Qlty]],Lookups!$A$66:$E$79,2,FALSE)</f>
        <v>37154.252388000001</v>
      </c>
      <c r="BV34">
        <f>VLOOKUP(Sales[[#This Row],[Cnd]],Lookups!$A$80:$E$91,2,FALSE)</f>
        <v>47371.278778200001</v>
      </c>
      <c r="BW34">
        <f>Sales[[#This Row],[EffAge]]*Lookups!$B$65</f>
        <v>-217.48220000000001</v>
      </c>
      <c r="BX34">
        <f>Sales[[#This Row],[MainFn]]*Lookups!$B$90</f>
        <v>77388.871200000009</v>
      </c>
      <c r="BY34">
        <f>Sales[[#This Row],[UpprFn]]*Lookups!$B$91</f>
        <v>0</v>
      </c>
      <c r="BZ34">
        <f>Sales[[#This Row],[Bsmt]]*Lookups!$B$95</f>
        <v>0</v>
      </c>
      <c r="CA34">
        <f>VLOOKUP(Sales[[#This Row],[MsnryTrim]],Lookups!$A$90:$E$99,2,FALSE)</f>
        <v>-9412.7029999999995</v>
      </c>
      <c r="CB34">
        <f>Sales[[#This Row],[PrefabFP]]*Lookups!$B$92</f>
        <v>0</v>
      </c>
      <c r="CC34">
        <f>Sales[[#This Row],[AttGar]]*Lookups!$B$93</f>
        <v>14261.616524000001</v>
      </c>
      <c r="CD34">
        <f>Sales[[#This Row],[BltinGar]]*Lookups!$B$94</f>
        <v>0</v>
      </c>
      <c r="CE34">
        <f>SUM(Sales[[#This Row],[Days Prior Total]:[Mdl BltinGar]])</f>
        <v>362566.89300615527</v>
      </c>
      <c r="CF34">
        <f>ROUND(Sales[[#This Row],[25Det]],-2)</f>
        <v>0</v>
      </c>
      <c r="CG34">
        <f>ROUND(SUM(Sales[[#This Row],[Mdl Qlty]:[Mdl BltinGar]])+Sales[[#This Row],[Mdl Res Intercept]]+Sales[[#This Row],[Days Prior Total]],-2)</f>
        <v>296000</v>
      </c>
      <c r="CH34">
        <f>ROUND(Sales[[#This Row],[Mdl Land Intercept]]+Sales[[#This Row],[Mdl LnAcres]],-2)</f>
        <v>66600</v>
      </c>
      <c r="CI34">
        <f>Sales[[#This Row],[Unadj Res Value]]+Sales[[#This Row],[Unadj Det Value]]+Sales[[#This Row],[Unadj Land Value]]</f>
        <v>362600</v>
      </c>
      <c r="CJ34" s="10">
        <f>Sales[[#This Row],[Price]]/Sales[[#This Row],[Unadj Total Value]]</f>
        <v>0.85769442912300053</v>
      </c>
      <c r="CK34" s="10">
        <f>(Sales[[#This Row],[Unadj Total Value]]-Sales[[#This Row],[24Final]])/Sales[[#This Row],[24Final]]</f>
        <v>4.1355542791499139E-2</v>
      </c>
      <c r="CL34">
        <f>VLOOKUP(Sales[[#This Row],[TNbhd]],Lookups!$M$3:$P$5,4,FALSE)</f>
        <v>0.99970000000000003</v>
      </c>
      <c r="CM34">
        <f>VLOOKUP(Sales[[#This Row],[Qlty]],Lookups!$M$8:$P$22,4,FALSE)</f>
        <v>0.99819999999999998</v>
      </c>
      <c r="CN34">
        <f>VLOOKUP(Sales[[#This Row],[Cnd]],Lookups!$R$8:$U$17,4,FALSE)</f>
        <v>1.0012000000000001</v>
      </c>
      <c r="CO34">
        <f>VLOOKUP(Sales[[#This Row],[LivArea Range]],Lookups!$R$25:$U$43,4,FALSE)</f>
        <v>0.99519999999999997</v>
      </c>
      <c r="CP34">
        <f>VLOOKUP(Sales[[#This Row],[Decade]],Lookups!$M$24:$P$40,4,FALSE)</f>
        <v>1.0024</v>
      </c>
      <c r="CQ34">
        <f>Sales[[#This Row],[Nbhd Adj]]*0.95</f>
        <v>0.94971499999999998</v>
      </c>
      <c r="CR34">
        <f>Sales[[#This Row],[Nbhd Adj]]*Sales[[#This Row],[Quality Adj]]*Sales[[#This Row],[Condition Adj]]*Sales[[#This Row],[Living Area Adj]]*Sales[[#This Row],[Decade Adj]]*0.95</f>
        <v>0.94685424199978463</v>
      </c>
      <c r="CS34">
        <f>ROUND(SUM(Sales[[#This Row],[Mdl Qlty]:[Mdl BltinGar]])+Sales[[#This Row],[Mdl Res Intercept]]*Sales[[#This Row],[Res Adj ]],-2)</f>
        <v>292000</v>
      </c>
      <c r="CT34">
        <f>ROUND(Sales[[#This Row],[25Det]]*Sales[[#This Row],[Det/Nbhd Adj]],-2)</f>
        <v>0</v>
      </c>
      <c r="CU34">
        <f>Sales[[#This Row],[Adjusted Res]]+Sales[[#This Row],[Adj Det ]]</f>
        <v>292000</v>
      </c>
      <c r="CV34">
        <f>ROUND((Sales[[#This Row],[Mdl Land Intercept]]+Sales[[#This Row],[Mdl LnAcres]])*Sales[[#This Row],[Det/Nbhd Adj]],-2)</f>
        <v>63200</v>
      </c>
      <c r="CW34">
        <f>Sales[[#This Row],[Adjusted Impr Total]]+Sales[[#This Row],[Adjusted Land Total]]</f>
        <v>355200</v>
      </c>
      <c r="CX34" s="10">
        <f>IFERROR((Sales[[#This Row],[Adjusted Impr Total]]-Sales[[#This Row],[24Bldg]])/Sales[[#This Row],[24Bldg]],0)</f>
        <v>2.456140350877193E-2</v>
      </c>
      <c r="CY34" s="10">
        <f>(Sales[[#This Row],[Adjusted Land Total]]-Sales[[#This Row],[24Lnd]])/Sales[[#This Row],[24Lnd]]</f>
        <v>0</v>
      </c>
      <c r="CZ34">
        <f>(Sales[[#This Row],[Adjusted Total]]-Sales[[#This Row],[24Final]])/Sales[[#This Row],[24Final]]</f>
        <v>2.0103388856978748E-2</v>
      </c>
      <c r="DA34" s="10">
        <f>(Sales[[#This Row],[Adjusted Total]]+Sales[[#This Row],[Days Prior Total]])/Sales[[#This Row],[Price]]</f>
        <v>1.1322332757845659</v>
      </c>
    </row>
    <row r="35" spans="1:105">
      <c r="A35">
        <v>2025</v>
      </c>
      <c r="B35">
        <v>19120114512</v>
      </c>
      <c r="C35">
        <v>-1.8325814637483102</v>
      </c>
      <c r="D35">
        <v>0.16</v>
      </c>
      <c r="E35">
        <v>7004</v>
      </c>
      <c r="F35">
        <v>2</v>
      </c>
      <c r="G35" t="s">
        <v>155</v>
      </c>
      <c r="H35">
        <v>317</v>
      </c>
      <c r="I35" t="s">
        <v>5</v>
      </c>
      <c r="J35" t="s">
        <v>156</v>
      </c>
      <c r="K35">
        <v>11</v>
      </c>
      <c r="L35">
        <v>259</v>
      </c>
      <c r="M35" t="s">
        <v>157</v>
      </c>
      <c r="N35" t="s">
        <v>19</v>
      </c>
      <c r="O35" t="s">
        <v>24</v>
      </c>
      <c r="P35">
        <v>2022</v>
      </c>
      <c r="Q35">
        <v>2022</v>
      </c>
      <c r="R35">
        <v>10</v>
      </c>
      <c r="S35">
        <v>2</v>
      </c>
      <c r="T35">
        <v>2</v>
      </c>
      <c r="U35">
        <v>1</v>
      </c>
      <c r="V35">
        <v>1592</v>
      </c>
      <c r="W35">
        <v>0</v>
      </c>
      <c r="X35">
        <v>0</v>
      </c>
      <c r="Y35">
        <v>0</v>
      </c>
      <c r="Z35">
        <v>0</v>
      </c>
      <c r="AA35">
        <v>0</v>
      </c>
      <c r="AB35">
        <v>1592</v>
      </c>
      <c r="AC35">
        <v>2000</v>
      </c>
      <c r="AD35">
        <v>2</v>
      </c>
      <c r="AE35" t="s">
        <v>56</v>
      </c>
      <c r="AF35" t="s">
        <v>158</v>
      </c>
      <c r="AG35" t="s">
        <v>21</v>
      </c>
      <c r="AI35">
        <v>0</v>
      </c>
      <c r="AJ35">
        <v>0</v>
      </c>
      <c r="AK35">
        <v>1</v>
      </c>
      <c r="AL35">
        <v>0</v>
      </c>
      <c r="AM35">
        <v>0</v>
      </c>
      <c r="AN35">
        <v>9</v>
      </c>
      <c r="AO35">
        <v>480</v>
      </c>
      <c r="AP35">
        <v>0</v>
      </c>
      <c r="AQ35">
        <v>0</v>
      </c>
      <c r="AR35">
        <v>0</v>
      </c>
      <c r="AS35">
        <v>150</v>
      </c>
      <c r="AT35">
        <v>0</v>
      </c>
      <c r="AU35">
        <v>100</v>
      </c>
      <c r="AV35">
        <v>100</v>
      </c>
      <c r="AW35">
        <v>287982</v>
      </c>
      <c r="AX35">
        <v>285102</v>
      </c>
      <c r="AY35">
        <v>543</v>
      </c>
      <c r="AZ35">
        <v>365</v>
      </c>
      <c r="BA35">
        <v>178</v>
      </c>
      <c r="BB35">
        <v>0</v>
      </c>
      <c r="BC35" s="2">
        <v>44749</v>
      </c>
      <c r="BD35" t="s">
        <v>194</v>
      </c>
      <c r="BE35">
        <v>379530</v>
      </c>
      <c r="BF35">
        <v>379530</v>
      </c>
      <c r="BG35" t="s">
        <v>160</v>
      </c>
      <c r="BH35">
        <v>30</v>
      </c>
      <c r="BI35" t="s">
        <v>56</v>
      </c>
      <c r="BJ35" t="s">
        <v>161</v>
      </c>
      <c r="BK35">
        <v>391000</v>
      </c>
      <c r="BL35">
        <v>60800</v>
      </c>
      <c r="BM35">
        <v>330200</v>
      </c>
      <c r="BN35">
        <v>0</v>
      </c>
      <c r="BO35">
        <v>389306.98773110501</v>
      </c>
      <c r="BP35">
        <v>397845.36707163241</v>
      </c>
      <c r="BQ35">
        <f>(Sales[[#This Row],[DP1]]*Lookups!$B$61)+(Sales[[#This Row],[DP2]]*Lookups!$B$62)+(Sales[[#This Row],[DP3]]*Lookups!$B$63)</f>
        <v>-8538.3787809999994</v>
      </c>
      <c r="BR35">
        <f>Lookups!$B$58*0.6</f>
        <v>132535.48800000001</v>
      </c>
      <c r="BS35">
        <f>Lookups!$B$58*0.4</f>
        <v>88356.992000000013</v>
      </c>
      <c r="BT35">
        <f>Lookups!$B$59*Sales[[#This Row],[LnAcres]]</f>
        <v>-24051.387388882686</v>
      </c>
      <c r="BU35">
        <f>VLOOKUP(Sales[[#This Row],[Qlty]],Lookups!$A$66:$E$79,2,FALSE)</f>
        <v>37154.252388000001</v>
      </c>
      <c r="BV35">
        <f>VLOOKUP(Sales[[#This Row],[Cnd]],Lookups!$A$80:$E$91,2,FALSE)</f>
        <v>47371.278778200001</v>
      </c>
      <c r="BW35">
        <f>Sales[[#This Row],[EffAge]]*Lookups!$B$65</f>
        <v>-217.48220000000001</v>
      </c>
      <c r="BX35">
        <f>Sales[[#This Row],[MainFn]]*Lookups!$B$90</f>
        <v>99357.324960000013</v>
      </c>
      <c r="BY35">
        <f>Sales[[#This Row],[UpprFn]]*Lookups!$B$91</f>
        <v>0</v>
      </c>
      <c r="BZ35">
        <f>Sales[[#This Row],[Bsmt]]*Lookups!$B$95</f>
        <v>0</v>
      </c>
      <c r="CA35">
        <f>VLOOKUP(Sales[[#This Row],[MsnryTrim]],Lookups!$A$90:$E$99,2,FALSE)</f>
        <v>-9412.7029999999995</v>
      </c>
      <c r="CB35">
        <f>Sales[[#This Row],[PrefabFP]]*Lookups!$B$92</f>
        <v>9807.1044999999995</v>
      </c>
      <c r="CC35">
        <f>Sales[[#This Row],[AttGar]]*Lookups!$B$93</f>
        <v>16944.494880000002</v>
      </c>
      <c r="CD35">
        <f>Sales[[#This Row],[BltinGar]]*Lookups!$B$94</f>
        <v>0</v>
      </c>
      <c r="CE35">
        <f>SUM(Sales[[#This Row],[Days Prior Total]:[Mdl BltinGar]])</f>
        <v>389306.98413631733</v>
      </c>
      <c r="CF35">
        <f>ROUND(Sales[[#This Row],[25Det]],-2)</f>
        <v>0</v>
      </c>
      <c r="CG35">
        <f>ROUND(SUM(Sales[[#This Row],[Mdl Qlty]:[Mdl BltinGar]])+Sales[[#This Row],[Mdl Res Intercept]]+Sales[[#This Row],[Days Prior Total]],-2)</f>
        <v>325000</v>
      </c>
      <c r="CH35">
        <f>ROUND(Sales[[#This Row],[Mdl Land Intercept]]+Sales[[#This Row],[Mdl LnAcres]],-2)</f>
        <v>64300</v>
      </c>
      <c r="CI35">
        <f>Sales[[#This Row],[Unadj Res Value]]+Sales[[#This Row],[Unadj Det Value]]+Sales[[#This Row],[Unadj Land Value]]</f>
        <v>389300</v>
      </c>
      <c r="CJ35" s="10">
        <f>Sales[[#This Row],[Price]]/Sales[[#This Row],[Unadj Total Value]]</f>
        <v>0.97490367325969685</v>
      </c>
      <c r="CK35" s="10">
        <f>(Sales[[#This Row],[Unadj Total Value]]-Sales[[#This Row],[24Final]])/Sales[[#This Row],[24Final]]</f>
        <v>-4.3478260869565218E-3</v>
      </c>
      <c r="CL35">
        <f>VLOOKUP(Sales[[#This Row],[TNbhd]],Lookups!$M$3:$P$5,4,FALSE)</f>
        <v>0.99970000000000003</v>
      </c>
      <c r="CM35">
        <f>VLOOKUP(Sales[[#This Row],[Qlty]],Lookups!$M$8:$P$22,4,FALSE)</f>
        <v>0.99819999999999998</v>
      </c>
      <c r="CN35">
        <f>VLOOKUP(Sales[[#This Row],[Cnd]],Lookups!$R$8:$U$17,4,FALSE)</f>
        <v>1.0012000000000001</v>
      </c>
      <c r="CO35">
        <f>VLOOKUP(Sales[[#This Row],[LivArea Range]],Lookups!$R$25:$U$43,4,FALSE)</f>
        <v>1.0007999999999999</v>
      </c>
      <c r="CP35">
        <f>VLOOKUP(Sales[[#This Row],[Decade]],Lookups!$M$24:$P$40,4,FALSE)</f>
        <v>1.0024</v>
      </c>
      <c r="CQ35">
        <f>Sales[[#This Row],[Nbhd Adj]]*0.95</f>
        <v>0.94971499999999998</v>
      </c>
      <c r="CR35">
        <f>Sales[[#This Row],[Nbhd Adj]]*Sales[[#This Row],[Quality Adj]]*Sales[[#This Row],[Condition Adj]]*Sales[[#This Row],[Living Area Adj]]*Sales[[#This Row],[Decade Adj]]*0.95</f>
        <v>0.95218219995315945</v>
      </c>
      <c r="CS35">
        <f>ROUND(SUM(Sales[[#This Row],[Mdl Qlty]:[Mdl BltinGar]])+Sales[[#This Row],[Mdl Res Intercept]]*Sales[[#This Row],[Res Adj ]],-2)</f>
        <v>327200</v>
      </c>
      <c r="CT35">
        <f>ROUND(Sales[[#This Row],[25Det]]*Sales[[#This Row],[Det/Nbhd Adj]],-2)</f>
        <v>0</v>
      </c>
      <c r="CU35">
        <f>Sales[[#This Row],[Adjusted Res]]+Sales[[#This Row],[Adj Det ]]</f>
        <v>327200</v>
      </c>
      <c r="CV35">
        <f>ROUND((Sales[[#This Row],[Mdl Land Intercept]]+Sales[[#This Row],[Mdl LnAcres]])*Sales[[#This Row],[Det/Nbhd Adj]],-2)</f>
        <v>61100</v>
      </c>
      <c r="CW35">
        <f>Sales[[#This Row],[Adjusted Impr Total]]+Sales[[#This Row],[Adjusted Land Total]]</f>
        <v>388300</v>
      </c>
      <c r="CX35" s="10">
        <f>IFERROR((Sales[[#This Row],[Adjusted Impr Total]]-Sales[[#This Row],[24Bldg]])/Sales[[#This Row],[24Bldg]],0)</f>
        <v>-9.085402786190187E-3</v>
      </c>
      <c r="CY35" s="10">
        <f>(Sales[[#This Row],[Adjusted Land Total]]-Sales[[#This Row],[24Lnd]])/Sales[[#This Row],[24Lnd]]</f>
        <v>4.9342105263157892E-3</v>
      </c>
      <c r="CZ35">
        <f>(Sales[[#This Row],[Adjusted Total]]-Sales[[#This Row],[24Final]])/Sales[[#This Row],[24Final]]</f>
        <v>-6.9053708439897696E-3</v>
      </c>
      <c r="DA35" s="10">
        <f>(Sales[[#This Row],[Adjusted Total]]+Sales[[#This Row],[Days Prior Total]])/Sales[[#This Row],[Price]]</f>
        <v>1.0006102843490634</v>
      </c>
    </row>
    <row r="36" spans="1:105">
      <c r="A36">
        <v>2025</v>
      </c>
      <c r="B36">
        <v>19120114513</v>
      </c>
      <c r="C36">
        <v>-1.8325814637483102</v>
      </c>
      <c r="D36">
        <v>0.16</v>
      </c>
      <c r="E36">
        <v>7004</v>
      </c>
      <c r="F36">
        <v>2</v>
      </c>
      <c r="G36" t="s">
        <v>155</v>
      </c>
      <c r="H36">
        <v>317</v>
      </c>
      <c r="I36" t="s">
        <v>5</v>
      </c>
      <c r="J36" t="s">
        <v>156</v>
      </c>
      <c r="K36">
        <v>11</v>
      </c>
      <c r="L36">
        <v>259</v>
      </c>
      <c r="M36" t="s">
        <v>157</v>
      </c>
      <c r="N36" t="s">
        <v>21</v>
      </c>
      <c r="O36" t="s">
        <v>24</v>
      </c>
      <c r="P36">
        <v>2022</v>
      </c>
      <c r="Q36">
        <v>2022</v>
      </c>
      <c r="R36">
        <v>10</v>
      </c>
      <c r="S36">
        <v>2</v>
      </c>
      <c r="T36">
        <v>2</v>
      </c>
      <c r="U36">
        <v>2</v>
      </c>
      <c r="V36">
        <v>1316</v>
      </c>
      <c r="W36">
        <v>1686</v>
      </c>
      <c r="X36">
        <v>0</v>
      </c>
      <c r="Y36">
        <v>0</v>
      </c>
      <c r="Z36">
        <v>0</v>
      </c>
      <c r="AA36">
        <v>0</v>
      </c>
      <c r="AB36">
        <v>3002</v>
      </c>
      <c r="AC36">
        <v>3500</v>
      </c>
      <c r="AD36">
        <v>2</v>
      </c>
      <c r="AE36" t="s">
        <v>56</v>
      </c>
      <c r="AF36" t="s">
        <v>158</v>
      </c>
      <c r="AG36" t="s">
        <v>21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14</v>
      </c>
      <c r="AO36">
        <v>0</v>
      </c>
      <c r="AP36">
        <v>480</v>
      </c>
      <c r="AQ36">
        <v>0</v>
      </c>
      <c r="AR36">
        <v>0</v>
      </c>
      <c r="AS36">
        <v>400</v>
      </c>
      <c r="AT36">
        <v>0</v>
      </c>
      <c r="AU36">
        <v>100</v>
      </c>
      <c r="AV36">
        <v>100</v>
      </c>
      <c r="AW36">
        <v>504925</v>
      </c>
      <c r="AX36">
        <v>499876</v>
      </c>
      <c r="AY36">
        <v>511</v>
      </c>
      <c r="AZ36">
        <v>365</v>
      </c>
      <c r="BA36">
        <v>146</v>
      </c>
      <c r="BB36">
        <v>0</v>
      </c>
      <c r="BC36" s="2">
        <v>44781</v>
      </c>
      <c r="BD36" t="s">
        <v>195</v>
      </c>
      <c r="BE36">
        <v>473204</v>
      </c>
      <c r="BF36">
        <v>473204</v>
      </c>
      <c r="BG36" t="s">
        <v>160</v>
      </c>
      <c r="BH36">
        <v>30</v>
      </c>
      <c r="BI36" t="s">
        <v>56</v>
      </c>
      <c r="BJ36" t="s">
        <v>161</v>
      </c>
      <c r="BK36">
        <v>463300</v>
      </c>
      <c r="BL36">
        <v>60800</v>
      </c>
      <c r="BM36">
        <v>402500</v>
      </c>
      <c r="BN36">
        <v>0</v>
      </c>
      <c r="BO36">
        <v>467414.90324795275</v>
      </c>
      <c r="BP36">
        <v>473795.08888568031</v>
      </c>
      <c r="BQ36">
        <f>(Sales[[#This Row],[DP1]]*Lookups!$B$61)+(Sales[[#This Row],[DP2]]*Lookups!$B$62)+(Sales[[#This Row],[DP3]]*Lookups!$B$63)</f>
        <v>-6380.1851809999989</v>
      </c>
      <c r="BR36">
        <f>Lookups!$B$58*0.6</f>
        <v>132535.48800000001</v>
      </c>
      <c r="BS36">
        <f>Lookups!$B$58*0.4</f>
        <v>88356.992000000013</v>
      </c>
      <c r="BT36">
        <f>Lookups!$B$59*Sales[[#This Row],[LnAcres]]</f>
        <v>-24051.387388882686</v>
      </c>
      <c r="BU36">
        <f>VLOOKUP(Sales[[#This Row],[Qlty]],Lookups!$A$66:$E$79,2,FALSE)</f>
        <v>32917.849192000001</v>
      </c>
      <c r="BV36">
        <f>VLOOKUP(Sales[[#This Row],[Cnd]],Lookups!$A$80:$E$91,2,FALSE)</f>
        <v>47371.278778200001</v>
      </c>
      <c r="BW36">
        <f>Sales[[#This Row],[EffAge]]*Lookups!$B$65</f>
        <v>-217.48220000000001</v>
      </c>
      <c r="BX36">
        <f>Sales[[#This Row],[MainFn]]*Lookups!$B$90</f>
        <v>82132.06008000001</v>
      </c>
      <c r="BY36">
        <f>Sales[[#This Row],[UpprFn]]*Lookups!$B$91</f>
        <v>100452.525738</v>
      </c>
      <c r="BZ36">
        <f>Sales[[#This Row],[Bsmt]]*Lookups!$B$95</f>
        <v>0</v>
      </c>
      <c r="CA36">
        <f>VLOOKUP(Sales[[#This Row],[MsnryTrim]],Lookups!$A$90:$E$99,2,FALSE)</f>
        <v>-9412.7029999999995</v>
      </c>
      <c r="CB36">
        <f>Sales[[#This Row],[PrefabFP]]*Lookups!$B$92</f>
        <v>0</v>
      </c>
      <c r="CC36">
        <f>Sales[[#This Row],[AttGar]]*Lookups!$B$93</f>
        <v>0</v>
      </c>
      <c r="CD36">
        <f>Sales[[#This Row],[BltinGar]]*Lookups!$B$94</f>
        <v>23710.464</v>
      </c>
      <c r="CE36">
        <f>SUM(Sales[[#This Row],[Days Prior Total]:[Mdl BltinGar]])</f>
        <v>467414.90001831733</v>
      </c>
      <c r="CF36">
        <f>ROUND(Sales[[#This Row],[25Det]],-2)</f>
        <v>0</v>
      </c>
      <c r="CG36">
        <f>ROUND(SUM(Sales[[#This Row],[Mdl Qlty]:[Mdl BltinGar]])+Sales[[#This Row],[Mdl Res Intercept]]+Sales[[#This Row],[Days Prior Total]],-2)</f>
        <v>403100</v>
      </c>
      <c r="CH36">
        <f>ROUND(Sales[[#This Row],[Mdl Land Intercept]]+Sales[[#This Row],[Mdl LnAcres]],-2)</f>
        <v>64300</v>
      </c>
      <c r="CI36">
        <f>Sales[[#This Row],[Unadj Res Value]]+Sales[[#This Row],[Unadj Det Value]]+Sales[[#This Row],[Unadj Land Value]]</f>
        <v>467400</v>
      </c>
      <c r="CJ36" s="10">
        <f>Sales[[#This Row],[Price]]/Sales[[#This Row],[Unadj Total Value]]</f>
        <v>1.0124176294394522</v>
      </c>
      <c r="CK36" s="10">
        <f>(Sales[[#This Row],[Unadj Total Value]]-Sales[[#This Row],[24Final]])/Sales[[#This Row],[24Final]]</f>
        <v>8.8495575221238937E-3</v>
      </c>
      <c r="CL36">
        <f>VLOOKUP(Sales[[#This Row],[TNbhd]],Lookups!$M$3:$P$5,4,FALSE)</f>
        <v>0.99970000000000003</v>
      </c>
      <c r="CM36">
        <f>VLOOKUP(Sales[[#This Row],[Qlty]],Lookups!$M$8:$P$22,4,FALSE)</f>
        <v>1.0019</v>
      </c>
      <c r="CN36">
        <f>VLOOKUP(Sales[[#This Row],[Cnd]],Lookups!$R$8:$U$17,4,FALSE)</f>
        <v>1.0012000000000001</v>
      </c>
      <c r="CO36">
        <f>VLOOKUP(Sales[[#This Row],[LivArea Range]],Lookups!$R$25:$U$43,4,FALSE)</f>
        <v>0.98509999999999998</v>
      </c>
      <c r="CP36">
        <f>VLOOKUP(Sales[[#This Row],[Decade]],Lookups!$M$24:$P$40,4,FALSE)</f>
        <v>1.0024</v>
      </c>
      <c r="CQ36">
        <f>Sales[[#This Row],[Nbhd Adj]]*0.95</f>
        <v>0.94971499999999998</v>
      </c>
      <c r="CR36">
        <f>Sales[[#This Row],[Nbhd Adj]]*Sales[[#This Row],[Quality Adj]]*Sales[[#This Row],[Condition Adj]]*Sales[[#This Row],[Living Area Adj]]*Sales[[#This Row],[Decade Adj]]*0.95</f>
        <v>0.94071894865963335</v>
      </c>
      <c r="CS36">
        <f>ROUND(SUM(Sales[[#This Row],[Mdl Qlty]:[Mdl BltinGar]])+Sales[[#This Row],[Mdl Res Intercept]]*Sales[[#This Row],[Res Adj ]],-2)</f>
        <v>401600</v>
      </c>
      <c r="CT36">
        <f>ROUND(Sales[[#This Row],[25Det]]*Sales[[#This Row],[Det/Nbhd Adj]],-2)</f>
        <v>0</v>
      </c>
      <c r="CU36">
        <f>Sales[[#This Row],[Adjusted Res]]+Sales[[#This Row],[Adj Det ]]</f>
        <v>401600</v>
      </c>
      <c r="CV36">
        <f>ROUND((Sales[[#This Row],[Mdl Land Intercept]]+Sales[[#This Row],[Mdl LnAcres]])*Sales[[#This Row],[Det/Nbhd Adj]],-2)</f>
        <v>61100</v>
      </c>
      <c r="CW36">
        <f>Sales[[#This Row],[Adjusted Impr Total]]+Sales[[#This Row],[Adjusted Land Total]]</f>
        <v>462700</v>
      </c>
      <c r="CX36" s="10">
        <f>IFERROR((Sales[[#This Row],[Adjusted Impr Total]]-Sales[[#This Row],[24Bldg]])/Sales[[#This Row],[24Bldg]],0)</f>
        <v>-2.2360248447204968E-3</v>
      </c>
      <c r="CY36" s="10">
        <f>(Sales[[#This Row],[Adjusted Land Total]]-Sales[[#This Row],[24Lnd]])/Sales[[#This Row],[24Lnd]]</f>
        <v>4.9342105263157892E-3</v>
      </c>
      <c r="CZ36">
        <f>(Sales[[#This Row],[Adjusted Total]]-Sales[[#This Row],[24Final]])/Sales[[#This Row],[24Final]]</f>
        <v>-1.2950571983595942E-3</v>
      </c>
      <c r="DA36" s="10">
        <f>(Sales[[#This Row],[Adjusted Total]]+Sales[[#This Row],[Days Prior Total]])/Sales[[#This Row],[Price]]</f>
        <v>0.96431943690036437</v>
      </c>
    </row>
    <row r="37" spans="1:105">
      <c r="A37">
        <v>2025</v>
      </c>
      <c r="B37">
        <v>19120114514</v>
      </c>
      <c r="C37">
        <v>-1.8325814637483102</v>
      </c>
      <c r="D37">
        <v>0.16</v>
      </c>
      <c r="E37">
        <v>7004</v>
      </c>
      <c r="F37">
        <v>2</v>
      </c>
      <c r="G37" t="s">
        <v>155</v>
      </c>
      <c r="H37">
        <v>317</v>
      </c>
      <c r="I37" t="s">
        <v>5</v>
      </c>
      <c r="J37" t="s">
        <v>156</v>
      </c>
      <c r="K37">
        <v>11</v>
      </c>
      <c r="L37">
        <v>259</v>
      </c>
      <c r="M37" t="s">
        <v>157</v>
      </c>
      <c r="N37" t="s">
        <v>19</v>
      </c>
      <c r="O37" t="s">
        <v>24</v>
      </c>
      <c r="P37">
        <v>2022</v>
      </c>
      <c r="Q37">
        <v>2022</v>
      </c>
      <c r="R37">
        <v>10</v>
      </c>
      <c r="S37">
        <v>2</v>
      </c>
      <c r="T37">
        <v>2</v>
      </c>
      <c r="U37">
        <v>1</v>
      </c>
      <c r="V37">
        <v>1452</v>
      </c>
      <c r="W37">
        <v>0</v>
      </c>
      <c r="X37">
        <v>0</v>
      </c>
      <c r="Y37">
        <v>0</v>
      </c>
      <c r="Z37">
        <v>0</v>
      </c>
      <c r="AA37">
        <v>0</v>
      </c>
      <c r="AB37">
        <v>1452</v>
      </c>
      <c r="AC37">
        <v>1500</v>
      </c>
      <c r="AD37">
        <v>3</v>
      </c>
      <c r="AE37" t="s">
        <v>57</v>
      </c>
      <c r="AF37" t="s">
        <v>158</v>
      </c>
      <c r="AG37" t="s">
        <v>21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9</v>
      </c>
      <c r="AO37">
        <v>616</v>
      </c>
      <c r="AP37">
        <v>0</v>
      </c>
      <c r="AQ37">
        <v>0</v>
      </c>
      <c r="AR37">
        <v>0</v>
      </c>
      <c r="AS37">
        <v>100</v>
      </c>
      <c r="AT37">
        <v>0</v>
      </c>
      <c r="AU37">
        <v>100</v>
      </c>
      <c r="AV37">
        <v>100</v>
      </c>
      <c r="AW37">
        <v>265015</v>
      </c>
      <c r="AX37">
        <v>262365</v>
      </c>
      <c r="AY37">
        <v>542</v>
      </c>
      <c r="AZ37">
        <v>365</v>
      </c>
      <c r="BA37">
        <v>177</v>
      </c>
      <c r="BB37">
        <v>0</v>
      </c>
      <c r="BC37" s="2">
        <v>44750</v>
      </c>
      <c r="BD37" t="s">
        <v>196</v>
      </c>
      <c r="BE37">
        <v>381121</v>
      </c>
      <c r="BF37">
        <v>381121</v>
      </c>
      <c r="BG37" t="s">
        <v>160</v>
      </c>
      <c r="BH37">
        <v>30</v>
      </c>
      <c r="BI37" t="s">
        <v>56</v>
      </c>
      <c r="BJ37" t="s">
        <v>161</v>
      </c>
      <c r="BK37">
        <v>382600</v>
      </c>
      <c r="BL37">
        <v>60800</v>
      </c>
      <c r="BM37">
        <v>321800</v>
      </c>
      <c r="BN37">
        <v>0</v>
      </c>
      <c r="BO37">
        <v>389156.39479737834</v>
      </c>
      <c r="BP37">
        <v>397627.33058469329</v>
      </c>
      <c r="BQ37">
        <f>(Sales[[#This Row],[DP1]]*Lookups!$B$61)+(Sales[[#This Row],[DP2]]*Lookups!$B$62)+(Sales[[#This Row],[DP3]]*Lookups!$B$63)</f>
        <v>-8470.9352309999995</v>
      </c>
      <c r="BR37">
        <f>Lookups!$B$58*0.6</f>
        <v>132535.48800000001</v>
      </c>
      <c r="BS37">
        <f>Lookups!$B$58*0.4</f>
        <v>88356.992000000013</v>
      </c>
      <c r="BT37">
        <f>Lookups!$B$59*Sales[[#This Row],[LnAcres]]</f>
        <v>-24051.387388882686</v>
      </c>
      <c r="BU37">
        <f>VLOOKUP(Sales[[#This Row],[Qlty]],Lookups!$A$66:$E$79,2,FALSE)</f>
        <v>37154.252388000001</v>
      </c>
      <c r="BV37">
        <f>VLOOKUP(Sales[[#This Row],[Cnd]],Lookups!$A$80:$E$91,2,FALSE)</f>
        <v>47371.278778200001</v>
      </c>
      <c r="BW37">
        <f>Sales[[#This Row],[EffAge]]*Lookups!$B$65</f>
        <v>-217.48220000000001</v>
      </c>
      <c r="BX37">
        <f>Sales[[#This Row],[MainFn]]*Lookups!$B$90</f>
        <v>90619.871760000009</v>
      </c>
      <c r="BY37">
        <f>Sales[[#This Row],[UpprFn]]*Lookups!$B$91</f>
        <v>0</v>
      </c>
      <c r="BZ37">
        <f>Sales[[#This Row],[Bsmt]]*Lookups!$B$95</f>
        <v>0</v>
      </c>
      <c r="CA37">
        <f>VLOOKUP(Sales[[#This Row],[MsnryTrim]],Lookups!$A$90:$E$99,2,FALSE)</f>
        <v>4112.8784489</v>
      </c>
      <c r="CB37">
        <f>Sales[[#This Row],[PrefabFP]]*Lookups!$B$92</f>
        <v>0</v>
      </c>
      <c r="CC37">
        <f>Sales[[#This Row],[AttGar]]*Lookups!$B$93</f>
        <v>21745.435096000001</v>
      </c>
      <c r="CD37">
        <f>Sales[[#This Row],[BltinGar]]*Lookups!$B$94</f>
        <v>0</v>
      </c>
      <c r="CE37">
        <f>SUM(Sales[[#This Row],[Days Prior Total]:[Mdl BltinGar]])</f>
        <v>389156.39165121736</v>
      </c>
      <c r="CF37">
        <f>ROUND(Sales[[#This Row],[25Det]],-2)</f>
        <v>0</v>
      </c>
      <c r="CG37">
        <f>ROUND(SUM(Sales[[#This Row],[Mdl Qlty]:[Mdl BltinGar]])+Sales[[#This Row],[Mdl Res Intercept]]+Sales[[#This Row],[Days Prior Total]],-2)</f>
        <v>324900</v>
      </c>
      <c r="CH37">
        <f>ROUND(Sales[[#This Row],[Mdl Land Intercept]]+Sales[[#This Row],[Mdl LnAcres]],-2)</f>
        <v>64300</v>
      </c>
      <c r="CI37">
        <f>Sales[[#This Row],[Unadj Res Value]]+Sales[[#This Row],[Unadj Det Value]]+Sales[[#This Row],[Unadj Land Value]]</f>
        <v>389200</v>
      </c>
      <c r="CJ37" s="10">
        <f>Sales[[#This Row],[Price]]/Sales[[#This Row],[Unadj Total Value]]</f>
        <v>0.97924203494347384</v>
      </c>
      <c r="CK37" s="10">
        <f>(Sales[[#This Row],[Unadj Total Value]]-Sales[[#This Row],[24Final]])/Sales[[#This Row],[24Final]]</f>
        <v>1.7250392054364874E-2</v>
      </c>
      <c r="CL37">
        <f>VLOOKUP(Sales[[#This Row],[TNbhd]],Lookups!$M$3:$P$5,4,FALSE)</f>
        <v>0.99970000000000003</v>
      </c>
      <c r="CM37">
        <f>VLOOKUP(Sales[[#This Row],[Qlty]],Lookups!$M$8:$P$22,4,FALSE)</f>
        <v>0.99819999999999998</v>
      </c>
      <c r="CN37">
        <f>VLOOKUP(Sales[[#This Row],[Cnd]],Lookups!$R$8:$U$17,4,FALSE)</f>
        <v>1.0012000000000001</v>
      </c>
      <c r="CO37">
        <f>VLOOKUP(Sales[[#This Row],[LivArea Range]],Lookups!$R$25:$U$43,4,FALSE)</f>
        <v>0.99519999999999997</v>
      </c>
      <c r="CP37">
        <f>VLOOKUP(Sales[[#This Row],[Decade]],Lookups!$M$24:$P$40,4,FALSE)</f>
        <v>1.0024</v>
      </c>
      <c r="CQ37">
        <f>Sales[[#This Row],[Nbhd Adj]]*0.95</f>
        <v>0.94971499999999998</v>
      </c>
      <c r="CR37">
        <f>Sales[[#This Row],[Nbhd Adj]]*Sales[[#This Row],[Quality Adj]]*Sales[[#This Row],[Condition Adj]]*Sales[[#This Row],[Living Area Adj]]*Sales[[#This Row],[Decade Adj]]*0.95</f>
        <v>0.94685424199978463</v>
      </c>
      <c r="CS37">
        <f>ROUND(SUM(Sales[[#This Row],[Mdl Qlty]:[Mdl BltinGar]])+Sales[[#This Row],[Mdl Res Intercept]]*Sales[[#This Row],[Res Adj ]],-2)</f>
        <v>326300</v>
      </c>
      <c r="CT37">
        <f>ROUND(Sales[[#This Row],[25Det]]*Sales[[#This Row],[Det/Nbhd Adj]],-2)</f>
        <v>0</v>
      </c>
      <c r="CU37">
        <f>Sales[[#This Row],[Adjusted Res]]+Sales[[#This Row],[Adj Det ]]</f>
        <v>326300</v>
      </c>
      <c r="CV37">
        <f>ROUND((Sales[[#This Row],[Mdl Land Intercept]]+Sales[[#This Row],[Mdl LnAcres]])*Sales[[#This Row],[Det/Nbhd Adj]],-2)</f>
        <v>61100</v>
      </c>
      <c r="CW37">
        <f>Sales[[#This Row],[Adjusted Impr Total]]+Sales[[#This Row],[Adjusted Land Total]]</f>
        <v>387400</v>
      </c>
      <c r="CX37" s="10">
        <f>IFERROR((Sales[[#This Row],[Adjusted Impr Total]]-Sales[[#This Row],[24Bldg]])/Sales[[#This Row],[24Bldg]],0)</f>
        <v>1.3983840894965818E-2</v>
      </c>
      <c r="CY37" s="10">
        <f>(Sales[[#This Row],[Adjusted Land Total]]-Sales[[#This Row],[24Lnd]])/Sales[[#This Row],[24Lnd]]</f>
        <v>4.9342105263157892E-3</v>
      </c>
      <c r="CZ37">
        <f>(Sales[[#This Row],[Adjusted Total]]-Sales[[#This Row],[24Final]])/Sales[[#This Row],[24Final]]</f>
        <v>1.2545739675901725E-2</v>
      </c>
      <c r="DA37" s="10">
        <f>(Sales[[#This Row],[Adjusted Total]]+Sales[[#This Row],[Days Prior Total]])/Sales[[#This Row],[Price]]</f>
        <v>0.99424871568084672</v>
      </c>
    </row>
    <row r="38" spans="1:105">
      <c r="A38">
        <v>2025</v>
      </c>
      <c r="B38">
        <v>19120114515</v>
      </c>
      <c r="C38">
        <v>-1.8325814637483102</v>
      </c>
      <c r="D38">
        <v>0.16</v>
      </c>
      <c r="E38">
        <v>7001</v>
      </c>
      <c r="F38">
        <v>2</v>
      </c>
      <c r="G38" t="s">
        <v>155</v>
      </c>
      <c r="H38">
        <v>317</v>
      </c>
      <c r="I38" t="s">
        <v>5</v>
      </c>
      <c r="J38" t="s">
        <v>156</v>
      </c>
      <c r="K38">
        <v>11</v>
      </c>
      <c r="L38">
        <v>259</v>
      </c>
      <c r="M38" t="s">
        <v>157</v>
      </c>
      <c r="N38" t="s">
        <v>21</v>
      </c>
      <c r="O38" t="s">
        <v>24</v>
      </c>
      <c r="P38">
        <v>2022</v>
      </c>
      <c r="Q38">
        <v>2022</v>
      </c>
      <c r="R38">
        <v>10</v>
      </c>
      <c r="S38">
        <v>2</v>
      </c>
      <c r="T38">
        <v>2</v>
      </c>
      <c r="U38">
        <v>2</v>
      </c>
      <c r="V38">
        <v>898</v>
      </c>
      <c r="W38">
        <v>1296</v>
      </c>
      <c r="X38">
        <v>0</v>
      </c>
      <c r="Y38">
        <v>0</v>
      </c>
      <c r="Z38">
        <v>0</v>
      </c>
      <c r="AA38">
        <v>0</v>
      </c>
      <c r="AB38">
        <v>2194</v>
      </c>
      <c r="AC38">
        <v>2500</v>
      </c>
      <c r="AD38">
        <v>2</v>
      </c>
      <c r="AE38" t="s">
        <v>57</v>
      </c>
      <c r="AF38" t="s">
        <v>158</v>
      </c>
      <c r="AG38" t="s">
        <v>21</v>
      </c>
      <c r="AI38">
        <v>0</v>
      </c>
      <c r="AJ38">
        <v>0</v>
      </c>
      <c r="AK38">
        <v>0</v>
      </c>
      <c r="AL38">
        <v>0</v>
      </c>
      <c r="AM38">
        <v>1</v>
      </c>
      <c r="AN38">
        <v>14</v>
      </c>
      <c r="AO38">
        <v>0</v>
      </c>
      <c r="AP38">
        <v>480</v>
      </c>
      <c r="AQ38">
        <v>0</v>
      </c>
      <c r="AR38">
        <v>0</v>
      </c>
      <c r="AS38">
        <v>0</v>
      </c>
      <c r="AT38">
        <v>0</v>
      </c>
      <c r="AU38">
        <v>100</v>
      </c>
      <c r="AV38">
        <v>100</v>
      </c>
      <c r="AW38">
        <v>402572</v>
      </c>
      <c r="AX38">
        <v>398546</v>
      </c>
      <c r="AY38">
        <v>476</v>
      </c>
      <c r="AZ38">
        <v>365</v>
      </c>
      <c r="BA38">
        <v>111</v>
      </c>
      <c r="BB38">
        <v>0</v>
      </c>
      <c r="BC38" s="2">
        <v>44816</v>
      </c>
      <c r="BD38" t="s">
        <v>197</v>
      </c>
      <c r="BE38">
        <v>451652</v>
      </c>
      <c r="BF38">
        <v>451652</v>
      </c>
      <c r="BG38" t="s">
        <v>160</v>
      </c>
      <c r="BH38">
        <v>30</v>
      </c>
      <c r="BI38" t="s">
        <v>56</v>
      </c>
      <c r="BJ38" t="s">
        <v>161</v>
      </c>
      <c r="BK38">
        <v>429500</v>
      </c>
      <c r="BL38">
        <v>60800</v>
      </c>
      <c r="BM38">
        <v>368700</v>
      </c>
      <c r="BN38">
        <v>0</v>
      </c>
      <c r="BO38">
        <v>433977.12057110382</v>
      </c>
      <c r="BP38">
        <v>437996.78184639395</v>
      </c>
      <c r="BQ38">
        <f>(Sales[[#This Row],[DP1]]*Lookups!$B$61)+(Sales[[#This Row],[DP2]]*Lookups!$B$62)+(Sales[[#This Row],[DP3]]*Lookups!$B$63)</f>
        <v>-4019.6609309999999</v>
      </c>
      <c r="BR38">
        <f>Lookups!$B$58*0.6</f>
        <v>132535.48800000001</v>
      </c>
      <c r="BS38">
        <f>Lookups!$B$58*0.4</f>
        <v>88356.992000000013</v>
      </c>
      <c r="BT38">
        <f>Lookups!$B$59*Sales[[#This Row],[LnAcres]]</f>
        <v>-24051.387388882686</v>
      </c>
      <c r="BU38">
        <f>VLOOKUP(Sales[[#This Row],[Qlty]],Lookups!$A$66:$E$79,2,FALSE)</f>
        <v>32917.849192000001</v>
      </c>
      <c r="BV38">
        <f>VLOOKUP(Sales[[#This Row],[Cnd]],Lookups!$A$80:$E$91,2,FALSE)</f>
        <v>47371.278778200001</v>
      </c>
      <c r="BW38">
        <f>Sales[[#This Row],[EffAge]]*Lookups!$B$65</f>
        <v>-217.48220000000001</v>
      </c>
      <c r="BX38">
        <f>Sales[[#This Row],[MainFn]]*Lookups!$B$90</f>
        <v>56044.521240000002</v>
      </c>
      <c r="BY38">
        <f>Sales[[#This Row],[UpprFn]]*Lookups!$B$91</f>
        <v>77216.176368</v>
      </c>
      <c r="BZ38">
        <f>Sales[[#This Row],[Bsmt]]*Lookups!$B$95</f>
        <v>0</v>
      </c>
      <c r="CA38">
        <f>VLOOKUP(Sales[[#This Row],[MsnryTrim]],Lookups!$A$90:$E$99,2,FALSE)</f>
        <v>4112.8784489</v>
      </c>
      <c r="CB38">
        <f>Sales[[#This Row],[PrefabFP]]*Lookups!$B$92</f>
        <v>0</v>
      </c>
      <c r="CC38">
        <f>Sales[[#This Row],[AttGar]]*Lookups!$B$93</f>
        <v>0</v>
      </c>
      <c r="CD38">
        <f>Sales[[#This Row],[BltinGar]]*Lookups!$B$94</f>
        <v>23710.464</v>
      </c>
      <c r="CE38">
        <f>SUM(Sales[[#This Row],[Days Prior Total]:[Mdl BltinGar]])</f>
        <v>433977.11750721722</v>
      </c>
      <c r="CF38">
        <f>ROUND(Sales[[#This Row],[25Det]],-2)</f>
        <v>0</v>
      </c>
      <c r="CG38">
        <f>ROUND(SUM(Sales[[#This Row],[Mdl Qlty]:[Mdl BltinGar]])+Sales[[#This Row],[Mdl Res Intercept]]+Sales[[#This Row],[Days Prior Total]],-2)</f>
        <v>369700</v>
      </c>
      <c r="CH38">
        <f>ROUND(Sales[[#This Row],[Mdl Land Intercept]]+Sales[[#This Row],[Mdl LnAcres]],-2)</f>
        <v>64300</v>
      </c>
      <c r="CI38">
        <f>Sales[[#This Row],[Unadj Res Value]]+Sales[[#This Row],[Unadj Det Value]]+Sales[[#This Row],[Unadj Land Value]]</f>
        <v>434000</v>
      </c>
      <c r="CJ38" s="10">
        <f>Sales[[#This Row],[Price]]/Sales[[#This Row],[Unadj Total Value]]</f>
        <v>1.0406728110599079</v>
      </c>
      <c r="CK38" s="10">
        <f>(Sales[[#This Row],[Unadj Total Value]]-Sales[[#This Row],[24Final]])/Sales[[#This Row],[24Final]]</f>
        <v>1.0477299185098952E-2</v>
      </c>
      <c r="CL38">
        <f>VLOOKUP(Sales[[#This Row],[TNbhd]],Lookups!$M$3:$P$5,4,FALSE)</f>
        <v>0.99970000000000003</v>
      </c>
      <c r="CM38">
        <f>VLOOKUP(Sales[[#This Row],[Qlty]],Lookups!$M$8:$P$22,4,FALSE)</f>
        <v>1.0019</v>
      </c>
      <c r="CN38">
        <f>VLOOKUP(Sales[[#This Row],[Cnd]],Lookups!$R$8:$U$17,4,FALSE)</f>
        <v>1.0012000000000001</v>
      </c>
      <c r="CO38">
        <f>VLOOKUP(Sales[[#This Row],[LivArea Range]],Lookups!$R$25:$U$43,4,FALSE)</f>
        <v>1.0008999999999999</v>
      </c>
      <c r="CP38">
        <f>VLOOKUP(Sales[[#This Row],[Decade]],Lookups!$M$24:$P$40,4,FALSE)</f>
        <v>1.0024</v>
      </c>
      <c r="CQ38">
        <f>Sales[[#This Row],[Nbhd Adj]]*0.95</f>
        <v>0.94971499999999998</v>
      </c>
      <c r="CR38">
        <f>Sales[[#This Row],[Nbhd Adj]]*Sales[[#This Row],[Quality Adj]]*Sales[[#This Row],[Condition Adj]]*Sales[[#This Row],[Living Area Adj]]*Sales[[#This Row],[Decade Adj]]*0.95</f>
        <v>0.95580712182867422</v>
      </c>
      <c r="CS38">
        <f>ROUND(SUM(Sales[[#This Row],[Mdl Qlty]:[Mdl BltinGar]])+Sales[[#This Row],[Mdl Res Intercept]]*Sales[[#This Row],[Res Adj ]],-2)</f>
        <v>367800</v>
      </c>
      <c r="CT38">
        <f>ROUND(Sales[[#This Row],[25Det]]*Sales[[#This Row],[Det/Nbhd Adj]],-2)</f>
        <v>0</v>
      </c>
      <c r="CU38">
        <f>Sales[[#This Row],[Adjusted Res]]+Sales[[#This Row],[Adj Det ]]</f>
        <v>367800</v>
      </c>
      <c r="CV38">
        <f>ROUND((Sales[[#This Row],[Mdl Land Intercept]]+Sales[[#This Row],[Mdl LnAcres]])*Sales[[#This Row],[Det/Nbhd Adj]],-2)</f>
        <v>61100</v>
      </c>
      <c r="CW38">
        <f>Sales[[#This Row],[Adjusted Impr Total]]+Sales[[#This Row],[Adjusted Land Total]]</f>
        <v>428900</v>
      </c>
      <c r="CX38" s="10">
        <f>IFERROR((Sales[[#This Row],[Adjusted Impr Total]]-Sales[[#This Row],[24Bldg]])/Sales[[#This Row],[24Bldg]],0)</f>
        <v>-2.4410089503661514E-3</v>
      </c>
      <c r="CY38" s="10">
        <f>(Sales[[#This Row],[Adjusted Land Total]]-Sales[[#This Row],[24Lnd]])/Sales[[#This Row],[24Lnd]]</f>
        <v>4.9342105263157892E-3</v>
      </c>
      <c r="CZ38">
        <f>(Sales[[#This Row],[Adjusted Total]]-Sales[[#This Row],[24Final]])/Sales[[#This Row],[24Final]]</f>
        <v>-1.3969732246798604E-3</v>
      </c>
      <c r="DA38" s="10">
        <f>(Sales[[#This Row],[Adjusted Total]]+Sales[[#This Row],[Days Prior Total]])/Sales[[#This Row],[Price]]</f>
        <v>0.94072502517203505</v>
      </c>
    </row>
    <row r="39" spans="1:105">
      <c r="A39">
        <v>2025</v>
      </c>
      <c r="B39">
        <v>19120114516</v>
      </c>
      <c r="C39">
        <v>-1.8325814637483102</v>
      </c>
      <c r="D39">
        <v>0.16</v>
      </c>
      <c r="E39">
        <v>7001</v>
      </c>
      <c r="F39">
        <v>2</v>
      </c>
      <c r="G39" t="s">
        <v>155</v>
      </c>
      <c r="H39">
        <v>317</v>
      </c>
      <c r="I39" t="s">
        <v>5</v>
      </c>
      <c r="J39" t="s">
        <v>156</v>
      </c>
      <c r="K39">
        <v>11</v>
      </c>
      <c r="L39">
        <v>259</v>
      </c>
      <c r="M39" t="s">
        <v>157</v>
      </c>
      <c r="N39" t="s">
        <v>21</v>
      </c>
      <c r="O39" t="s">
        <v>24</v>
      </c>
      <c r="P39">
        <v>2022</v>
      </c>
      <c r="Q39">
        <v>2022</v>
      </c>
      <c r="R39">
        <v>10</v>
      </c>
      <c r="S39">
        <v>2</v>
      </c>
      <c r="T39">
        <v>2</v>
      </c>
      <c r="U39">
        <v>2</v>
      </c>
      <c r="V39">
        <v>930</v>
      </c>
      <c r="W39">
        <v>1296</v>
      </c>
      <c r="X39">
        <v>0</v>
      </c>
      <c r="Y39">
        <v>0</v>
      </c>
      <c r="Z39">
        <v>0</v>
      </c>
      <c r="AA39">
        <v>0</v>
      </c>
      <c r="AB39">
        <v>2226</v>
      </c>
      <c r="AC39">
        <v>2500</v>
      </c>
      <c r="AD39">
        <v>2</v>
      </c>
      <c r="AE39" t="s">
        <v>56</v>
      </c>
      <c r="AF39" t="s">
        <v>158</v>
      </c>
      <c r="AG39" t="s">
        <v>21</v>
      </c>
      <c r="AI39">
        <v>0</v>
      </c>
      <c r="AJ39">
        <v>0</v>
      </c>
      <c r="AK39">
        <v>1</v>
      </c>
      <c r="AL39">
        <v>0</v>
      </c>
      <c r="AM39">
        <v>1</v>
      </c>
      <c r="AN39">
        <v>13</v>
      </c>
      <c r="AO39">
        <v>0</v>
      </c>
      <c r="AP39">
        <v>400</v>
      </c>
      <c r="AQ39">
        <v>0</v>
      </c>
      <c r="AR39">
        <v>0</v>
      </c>
      <c r="AS39">
        <v>0</v>
      </c>
      <c r="AT39">
        <v>0</v>
      </c>
      <c r="AU39">
        <v>100</v>
      </c>
      <c r="AV39">
        <v>100</v>
      </c>
      <c r="AW39">
        <v>405220</v>
      </c>
      <c r="AX39">
        <v>401168</v>
      </c>
      <c r="AY39">
        <v>397</v>
      </c>
      <c r="AZ39">
        <v>365</v>
      </c>
      <c r="BA39">
        <v>32</v>
      </c>
      <c r="BB39">
        <v>0</v>
      </c>
      <c r="BC39" s="2">
        <v>44895</v>
      </c>
      <c r="BD39" t="s">
        <v>198</v>
      </c>
      <c r="BE39">
        <v>456525</v>
      </c>
      <c r="BF39">
        <v>456525</v>
      </c>
      <c r="BG39" t="s">
        <v>160</v>
      </c>
      <c r="BH39">
        <v>30</v>
      </c>
      <c r="BI39" t="s">
        <v>56</v>
      </c>
      <c r="BJ39" t="s">
        <v>161</v>
      </c>
      <c r="BK39">
        <v>427900</v>
      </c>
      <c r="BL39">
        <v>60800</v>
      </c>
      <c r="BM39">
        <v>367100</v>
      </c>
      <c r="BN39">
        <v>0</v>
      </c>
      <c r="BO39">
        <v>433632.0729086505</v>
      </c>
      <c r="BP39">
        <v>432323.69348015351</v>
      </c>
      <c r="BQ39">
        <f>(Sales[[#This Row],[DP1]]*Lookups!$B$61)+(Sales[[#This Row],[DP2]]*Lookups!$B$62)+(Sales[[#This Row],[DP3]]*Lookups!$B$63)</f>
        <v>1308.3795190000001</v>
      </c>
      <c r="BR39">
        <f>Lookups!$B$58*0.6</f>
        <v>132535.48800000001</v>
      </c>
      <c r="BS39">
        <f>Lookups!$B$58*0.4</f>
        <v>88356.992000000013</v>
      </c>
      <c r="BT39">
        <f>Lookups!$B$59*Sales[[#This Row],[LnAcres]]</f>
        <v>-24051.387388882686</v>
      </c>
      <c r="BU39">
        <f>VLOOKUP(Sales[[#This Row],[Qlty]],Lookups!$A$66:$E$79,2,FALSE)</f>
        <v>32917.849192000001</v>
      </c>
      <c r="BV39">
        <f>VLOOKUP(Sales[[#This Row],[Cnd]],Lookups!$A$80:$E$91,2,FALSE)</f>
        <v>47371.278778200001</v>
      </c>
      <c r="BW39">
        <f>Sales[[#This Row],[EffAge]]*Lookups!$B$65</f>
        <v>-217.48220000000001</v>
      </c>
      <c r="BX39">
        <f>Sales[[#This Row],[MainFn]]*Lookups!$B$90</f>
        <v>58041.653400000003</v>
      </c>
      <c r="BY39">
        <f>Sales[[#This Row],[UpprFn]]*Lookups!$B$91</f>
        <v>77216.176368</v>
      </c>
      <c r="BZ39">
        <f>Sales[[#This Row],[Bsmt]]*Lookups!$B$95</f>
        <v>0</v>
      </c>
      <c r="CA39">
        <f>VLOOKUP(Sales[[#This Row],[MsnryTrim]],Lookups!$A$90:$E$99,2,FALSE)</f>
        <v>-9412.7029999999995</v>
      </c>
      <c r="CB39">
        <f>Sales[[#This Row],[PrefabFP]]*Lookups!$B$92</f>
        <v>9807.1044999999995</v>
      </c>
      <c r="CC39">
        <f>Sales[[#This Row],[AttGar]]*Lookups!$B$93</f>
        <v>0</v>
      </c>
      <c r="CD39">
        <f>Sales[[#This Row],[BltinGar]]*Lookups!$B$94</f>
        <v>19758.72</v>
      </c>
      <c r="CE39">
        <f>SUM(Sales[[#This Row],[Days Prior Total]:[Mdl BltinGar]])</f>
        <v>433632.06916831736</v>
      </c>
      <c r="CF39">
        <f>ROUND(Sales[[#This Row],[25Det]],-2)</f>
        <v>0</v>
      </c>
      <c r="CG39">
        <f>ROUND(SUM(Sales[[#This Row],[Mdl Qlty]:[Mdl BltinGar]])+Sales[[#This Row],[Mdl Res Intercept]]+Sales[[#This Row],[Days Prior Total]],-2)</f>
        <v>369300</v>
      </c>
      <c r="CH39">
        <f>ROUND(Sales[[#This Row],[Mdl Land Intercept]]+Sales[[#This Row],[Mdl LnAcres]],-2)</f>
        <v>64300</v>
      </c>
      <c r="CI39">
        <f>Sales[[#This Row],[Unadj Res Value]]+Sales[[#This Row],[Unadj Det Value]]+Sales[[#This Row],[Unadj Land Value]]</f>
        <v>433600</v>
      </c>
      <c r="CJ39" s="10">
        <f>Sales[[#This Row],[Price]]/Sales[[#This Row],[Unadj Total Value]]</f>
        <v>1.0528713099630995</v>
      </c>
      <c r="CK39" s="10">
        <f>(Sales[[#This Row],[Unadj Total Value]]-Sales[[#This Row],[24Final]])/Sales[[#This Row],[24Final]]</f>
        <v>1.3320869362000467E-2</v>
      </c>
      <c r="CL39">
        <f>VLOOKUP(Sales[[#This Row],[TNbhd]],Lookups!$M$3:$P$5,4,FALSE)</f>
        <v>0.99970000000000003</v>
      </c>
      <c r="CM39">
        <f>VLOOKUP(Sales[[#This Row],[Qlty]],Lookups!$M$8:$P$22,4,FALSE)</f>
        <v>1.0019</v>
      </c>
      <c r="CN39">
        <f>VLOOKUP(Sales[[#This Row],[Cnd]],Lookups!$R$8:$U$17,4,FALSE)</f>
        <v>1.0012000000000001</v>
      </c>
      <c r="CO39">
        <f>VLOOKUP(Sales[[#This Row],[LivArea Range]],Lookups!$R$25:$U$43,4,FALSE)</f>
        <v>1.0008999999999999</v>
      </c>
      <c r="CP39">
        <f>VLOOKUP(Sales[[#This Row],[Decade]],Lookups!$M$24:$P$40,4,FALSE)</f>
        <v>1.0024</v>
      </c>
      <c r="CQ39">
        <f>Sales[[#This Row],[Nbhd Adj]]*0.95</f>
        <v>0.94971499999999998</v>
      </c>
      <c r="CR39">
        <f>Sales[[#This Row],[Nbhd Adj]]*Sales[[#This Row],[Quality Adj]]*Sales[[#This Row],[Condition Adj]]*Sales[[#This Row],[Living Area Adj]]*Sales[[#This Row],[Decade Adj]]*0.95</f>
        <v>0.95580712182867422</v>
      </c>
      <c r="CS39">
        <f>ROUND(SUM(Sales[[#This Row],[Mdl Qlty]:[Mdl BltinGar]])+Sales[[#This Row],[Mdl Res Intercept]]*Sales[[#This Row],[Res Adj ]],-2)</f>
        <v>362200</v>
      </c>
      <c r="CT39">
        <f>ROUND(Sales[[#This Row],[25Det]]*Sales[[#This Row],[Det/Nbhd Adj]],-2)</f>
        <v>0</v>
      </c>
      <c r="CU39">
        <f>Sales[[#This Row],[Adjusted Res]]+Sales[[#This Row],[Adj Det ]]</f>
        <v>362200</v>
      </c>
      <c r="CV39">
        <f>ROUND((Sales[[#This Row],[Mdl Land Intercept]]+Sales[[#This Row],[Mdl LnAcres]])*Sales[[#This Row],[Det/Nbhd Adj]],-2)</f>
        <v>61100</v>
      </c>
      <c r="CW39">
        <f>Sales[[#This Row],[Adjusted Impr Total]]+Sales[[#This Row],[Adjusted Land Total]]</f>
        <v>423300</v>
      </c>
      <c r="CX39" s="10">
        <f>IFERROR((Sales[[#This Row],[Adjusted Impr Total]]-Sales[[#This Row],[24Bldg]])/Sales[[#This Row],[24Bldg]],0)</f>
        <v>-1.3347861618087714E-2</v>
      </c>
      <c r="CY39" s="10">
        <f>(Sales[[#This Row],[Adjusted Land Total]]-Sales[[#This Row],[24Lnd]])/Sales[[#This Row],[24Lnd]]</f>
        <v>4.9342105263157892E-3</v>
      </c>
      <c r="CZ39">
        <f>(Sales[[#This Row],[Adjusted Total]]-Sales[[#This Row],[24Final]])/Sales[[#This Row],[24Final]]</f>
        <v>-1.0750175274596869E-2</v>
      </c>
      <c r="DA39" s="10">
        <f>(Sales[[#This Row],[Adjusted Total]]+Sales[[#This Row],[Days Prior Total]])/Sales[[#This Row],[Price]]</f>
        <v>0.93008790212803238</v>
      </c>
    </row>
    <row r="40" spans="1:105">
      <c r="A40">
        <v>2025</v>
      </c>
      <c r="B40">
        <v>19120114517</v>
      </c>
      <c r="C40">
        <v>-1.8325814637483102</v>
      </c>
      <c r="D40">
        <v>0.16</v>
      </c>
      <c r="E40">
        <v>7001</v>
      </c>
      <c r="F40">
        <v>2</v>
      </c>
      <c r="G40" t="s">
        <v>155</v>
      </c>
      <c r="H40">
        <v>317</v>
      </c>
      <c r="I40" t="s">
        <v>5</v>
      </c>
      <c r="J40" t="s">
        <v>156</v>
      </c>
      <c r="K40">
        <v>11</v>
      </c>
      <c r="L40">
        <v>259</v>
      </c>
      <c r="M40" t="s">
        <v>157</v>
      </c>
      <c r="N40" t="s">
        <v>19</v>
      </c>
      <c r="O40" t="s">
        <v>24</v>
      </c>
      <c r="P40">
        <v>2022</v>
      </c>
      <c r="Q40">
        <v>2022</v>
      </c>
      <c r="R40">
        <v>10</v>
      </c>
      <c r="S40">
        <v>2</v>
      </c>
      <c r="T40">
        <v>2</v>
      </c>
      <c r="U40">
        <v>1</v>
      </c>
      <c r="V40">
        <v>1619</v>
      </c>
      <c r="W40">
        <v>0</v>
      </c>
      <c r="X40">
        <v>0</v>
      </c>
      <c r="Y40">
        <v>0</v>
      </c>
      <c r="Z40">
        <v>0</v>
      </c>
      <c r="AA40">
        <v>0</v>
      </c>
      <c r="AB40">
        <v>1619</v>
      </c>
      <c r="AC40">
        <v>2000</v>
      </c>
      <c r="AD40">
        <v>2</v>
      </c>
      <c r="AE40" t="s">
        <v>56</v>
      </c>
      <c r="AF40" t="s">
        <v>158</v>
      </c>
      <c r="AG40" t="s">
        <v>21</v>
      </c>
      <c r="AI40">
        <v>0</v>
      </c>
      <c r="AJ40">
        <v>0</v>
      </c>
      <c r="AK40">
        <v>0</v>
      </c>
      <c r="AL40">
        <v>1</v>
      </c>
      <c r="AM40">
        <v>0</v>
      </c>
      <c r="AN40">
        <v>9</v>
      </c>
      <c r="AO40">
        <v>480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100</v>
      </c>
      <c r="AV40">
        <v>100</v>
      </c>
      <c r="AW40">
        <v>290160</v>
      </c>
      <c r="AX40">
        <v>287258</v>
      </c>
      <c r="AY40">
        <v>461</v>
      </c>
      <c r="AZ40">
        <v>365</v>
      </c>
      <c r="BA40">
        <v>96</v>
      </c>
      <c r="BB40">
        <v>0</v>
      </c>
      <c r="BC40" s="2">
        <v>44831</v>
      </c>
      <c r="BD40" t="s">
        <v>199</v>
      </c>
      <c r="BE40">
        <v>400000</v>
      </c>
      <c r="BF40">
        <v>400000</v>
      </c>
      <c r="BG40" t="s">
        <v>160</v>
      </c>
      <c r="BH40">
        <v>30</v>
      </c>
      <c r="BI40" t="s">
        <v>56</v>
      </c>
      <c r="BJ40" t="s">
        <v>161</v>
      </c>
      <c r="BK40">
        <v>398100</v>
      </c>
      <c r="BL40">
        <v>60800</v>
      </c>
      <c r="BM40">
        <v>337300</v>
      </c>
      <c r="BN40">
        <v>0</v>
      </c>
      <c r="BO40">
        <v>386715.33483480226</v>
      </c>
      <c r="BP40">
        <v>389723.34281190502</v>
      </c>
      <c r="BQ40">
        <f>(Sales[[#This Row],[DP1]]*Lookups!$B$61)+(Sales[[#This Row],[DP2]]*Lookups!$B$62)+(Sales[[#This Row],[DP3]]*Lookups!$B$63)</f>
        <v>-3008.0076809999996</v>
      </c>
      <c r="BR40">
        <f>Lookups!$B$58*0.6</f>
        <v>132535.48800000001</v>
      </c>
      <c r="BS40">
        <f>Lookups!$B$58*0.4</f>
        <v>88356.992000000013</v>
      </c>
      <c r="BT40">
        <f>Lookups!$B$59*Sales[[#This Row],[LnAcres]]</f>
        <v>-24051.387388882686</v>
      </c>
      <c r="BU40">
        <f>VLOOKUP(Sales[[#This Row],[Qlty]],Lookups!$A$66:$E$79,2,FALSE)</f>
        <v>37154.252388000001</v>
      </c>
      <c r="BV40">
        <f>VLOOKUP(Sales[[#This Row],[Cnd]],Lookups!$A$80:$E$91,2,FALSE)</f>
        <v>47371.278778200001</v>
      </c>
      <c r="BW40">
        <f>Sales[[#This Row],[EffAge]]*Lookups!$B$65</f>
        <v>-217.48220000000001</v>
      </c>
      <c r="BX40">
        <f>Sales[[#This Row],[MainFn]]*Lookups!$B$90</f>
        <v>101042.40522</v>
      </c>
      <c r="BY40">
        <f>Sales[[#This Row],[UpprFn]]*Lookups!$B$91</f>
        <v>0</v>
      </c>
      <c r="BZ40">
        <f>Sales[[#This Row],[Bsmt]]*Lookups!$B$95</f>
        <v>0</v>
      </c>
      <c r="CA40">
        <f>VLOOKUP(Sales[[#This Row],[MsnryTrim]],Lookups!$A$90:$E$99,2,FALSE)</f>
        <v>-9412.7029999999995</v>
      </c>
      <c r="CB40">
        <f>Sales[[#This Row],[PrefabFP]]*Lookups!$B$92</f>
        <v>0</v>
      </c>
      <c r="CC40">
        <f>Sales[[#This Row],[AttGar]]*Lookups!$B$93</f>
        <v>16944.494880000002</v>
      </c>
      <c r="CD40">
        <f>Sales[[#This Row],[BltinGar]]*Lookups!$B$94</f>
        <v>0</v>
      </c>
      <c r="CE40">
        <f>SUM(Sales[[#This Row],[Days Prior Total]:[Mdl BltinGar]])</f>
        <v>386715.33099631732</v>
      </c>
      <c r="CF40">
        <f>ROUND(Sales[[#This Row],[25Det]],-2)</f>
        <v>0</v>
      </c>
      <c r="CG40">
        <f>ROUND(SUM(Sales[[#This Row],[Mdl Qlty]:[Mdl BltinGar]])+Sales[[#This Row],[Mdl Res Intercept]]+Sales[[#This Row],[Days Prior Total]],-2)</f>
        <v>322400</v>
      </c>
      <c r="CH40">
        <f>ROUND(Sales[[#This Row],[Mdl Land Intercept]]+Sales[[#This Row],[Mdl LnAcres]],-2)</f>
        <v>64300</v>
      </c>
      <c r="CI40">
        <f>Sales[[#This Row],[Unadj Res Value]]+Sales[[#This Row],[Unadj Det Value]]+Sales[[#This Row],[Unadj Land Value]]</f>
        <v>386700</v>
      </c>
      <c r="CJ40" s="10">
        <f>Sales[[#This Row],[Price]]/Sales[[#This Row],[Unadj Total Value]]</f>
        <v>1.034393586759762</v>
      </c>
      <c r="CK40" s="10">
        <f>(Sales[[#This Row],[Unadj Total Value]]-Sales[[#This Row],[24Final]])/Sales[[#This Row],[24Final]]</f>
        <v>-2.8636021100226075E-2</v>
      </c>
      <c r="CL40">
        <f>VLOOKUP(Sales[[#This Row],[TNbhd]],Lookups!$M$3:$P$5,4,FALSE)</f>
        <v>0.99970000000000003</v>
      </c>
      <c r="CM40">
        <f>VLOOKUP(Sales[[#This Row],[Qlty]],Lookups!$M$8:$P$22,4,FALSE)</f>
        <v>0.99819999999999998</v>
      </c>
      <c r="CN40">
        <f>VLOOKUP(Sales[[#This Row],[Cnd]],Lookups!$R$8:$U$17,4,FALSE)</f>
        <v>1.0012000000000001</v>
      </c>
      <c r="CO40">
        <f>VLOOKUP(Sales[[#This Row],[LivArea Range]],Lookups!$R$25:$U$43,4,FALSE)</f>
        <v>1.0007999999999999</v>
      </c>
      <c r="CP40">
        <f>VLOOKUP(Sales[[#This Row],[Decade]],Lookups!$M$24:$P$40,4,FALSE)</f>
        <v>1.0024</v>
      </c>
      <c r="CQ40">
        <f>Sales[[#This Row],[Nbhd Adj]]*0.95</f>
        <v>0.94971499999999998</v>
      </c>
      <c r="CR40">
        <f>Sales[[#This Row],[Nbhd Adj]]*Sales[[#This Row],[Quality Adj]]*Sales[[#This Row],[Condition Adj]]*Sales[[#This Row],[Living Area Adj]]*Sales[[#This Row],[Decade Adj]]*0.95</f>
        <v>0.95218219995315945</v>
      </c>
      <c r="CS40">
        <f>ROUND(SUM(Sales[[#This Row],[Mdl Qlty]:[Mdl BltinGar]])+Sales[[#This Row],[Mdl Res Intercept]]*Sales[[#This Row],[Res Adj ]],-2)</f>
        <v>319100</v>
      </c>
      <c r="CT40">
        <f>ROUND(Sales[[#This Row],[25Det]]*Sales[[#This Row],[Det/Nbhd Adj]],-2)</f>
        <v>0</v>
      </c>
      <c r="CU40">
        <f>Sales[[#This Row],[Adjusted Res]]+Sales[[#This Row],[Adj Det ]]</f>
        <v>319100</v>
      </c>
      <c r="CV40">
        <f>ROUND((Sales[[#This Row],[Mdl Land Intercept]]+Sales[[#This Row],[Mdl LnAcres]])*Sales[[#This Row],[Det/Nbhd Adj]],-2)</f>
        <v>61100</v>
      </c>
      <c r="CW40">
        <f>Sales[[#This Row],[Adjusted Impr Total]]+Sales[[#This Row],[Adjusted Land Total]]</f>
        <v>380200</v>
      </c>
      <c r="CX40" s="10">
        <f>IFERROR((Sales[[#This Row],[Adjusted Impr Total]]-Sales[[#This Row],[24Bldg]])/Sales[[#This Row],[24Bldg]],0)</f>
        <v>-5.3957900978357544E-2</v>
      </c>
      <c r="CY40" s="10">
        <f>(Sales[[#This Row],[Adjusted Land Total]]-Sales[[#This Row],[24Lnd]])/Sales[[#This Row],[24Lnd]]</f>
        <v>4.9342105263157892E-3</v>
      </c>
      <c r="CZ40">
        <f>(Sales[[#This Row],[Adjusted Total]]-Sales[[#This Row],[24Final]])/Sales[[#This Row],[24Final]]</f>
        <v>-4.4963576990705856E-2</v>
      </c>
      <c r="DA40" s="10">
        <f>(Sales[[#This Row],[Adjusted Total]]+Sales[[#This Row],[Days Prior Total]])/Sales[[#This Row],[Price]]</f>
        <v>0.94297998079750001</v>
      </c>
    </row>
    <row r="41" spans="1:105">
      <c r="A41">
        <v>2025</v>
      </c>
      <c r="B41">
        <v>19120114518</v>
      </c>
      <c r="C41">
        <v>-1.8325814637483102</v>
      </c>
      <c r="D41">
        <v>0.16</v>
      </c>
      <c r="E41">
        <v>7001</v>
      </c>
      <c r="F41">
        <v>2</v>
      </c>
      <c r="G41" t="s">
        <v>155</v>
      </c>
      <c r="H41">
        <v>317</v>
      </c>
      <c r="I41" t="s">
        <v>5</v>
      </c>
      <c r="J41" t="s">
        <v>156</v>
      </c>
      <c r="K41">
        <v>11</v>
      </c>
      <c r="L41">
        <v>259</v>
      </c>
      <c r="M41" t="s">
        <v>157</v>
      </c>
      <c r="N41" t="s">
        <v>21</v>
      </c>
      <c r="O41" t="s">
        <v>24</v>
      </c>
      <c r="P41">
        <v>2022</v>
      </c>
      <c r="Q41">
        <v>2022</v>
      </c>
      <c r="R41">
        <v>10</v>
      </c>
      <c r="S41">
        <v>2</v>
      </c>
      <c r="T41">
        <v>2</v>
      </c>
      <c r="U41">
        <v>2</v>
      </c>
      <c r="V41">
        <v>918</v>
      </c>
      <c r="W41">
        <v>1296</v>
      </c>
      <c r="X41">
        <v>0</v>
      </c>
      <c r="Y41">
        <v>0</v>
      </c>
      <c r="Z41">
        <v>0</v>
      </c>
      <c r="AA41">
        <v>0</v>
      </c>
      <c r="AB41">
        <v>2214</v>
      </c>
      <c r="AC41">
        <v>2500</v>
      </c>
      <c r="AD41">
        <v>3</v>
      </c>
      <c r="AE41" t="s">
        <v>56</v>
      </c>
      <c r="AF41" t="s">
        <v>158</v>
      </c>
      <c r="AG41" t="s">
        <v>21</v>
      </c>
      <c r="AI41">
        <v>0</v>
      </c>
      <c r="AJ41">
        <v>0</v>
      </c>
      <c r="AK41">
        <v>0</v>
      </c>
      <c r="AL41">
        <v>0</v>
      </c>
      <c r="AM41">
        <v>1</v>
      </c>
      <c r="AN41">
        <v>13</v>
      </c>
      <c r="AO41">
        <v>0</v>
      </c>
      <c r="AP41">
        <v>640</v>
      </c>
      <c r="AQ41">
        <v>0</v>
      </c>
      <c r="AR41">
        <v>0</v>
      </c>
      <c r="AS41">
        <v>100</v>
      </c>
      <c r="AT41">
        <v>0</v>
      </c>
      <c r="AU41">
        <v>100</v>
      </c>
      <c r="AV41">
        <v>100</v>
      </c>
      <c r="AW41">
        <v>400859</v>
      </c>
      <c r="AX41">
        <v>396850</v>
      </c>
      <c r="AY41">
        <v>457</v>
      </c>
      <c r="AZ41">
        <v>365</v>
      </c>
      <c r="BA41">
        <v>92</v>
      </c>
      <c r="BB41">
        <v>0</v>
      </c>
      <c r="BC41" s="2">
        <v>44835</v>
      </c>
      <c r="BD41" t="s">
        <v>200</v>
      </c>
      <c r="BE41">
        <v>444990</v>
      </c>
      <c r="BF41">
        <v>444990</v>
      </c>
      <c r="BG41" t="s">
        <v>160</v>
      </c>
      <c r="BH41">
        <v>30</v>
      </c>
      <c r="BI41" t="s">
        <v>56</v>
      </c>
      <c r="BJ41" t="s">
        <v>161</v>
      </c>
      <c r="BK41">
        <v>426600</v>
      </c>
      <c r="BL41">
        <v>60800</v>
      </c>
      <c r="BM41">
        <v>365800</v>
      </c>
      <c r="BN41">
        <v>0</v>
      </c>
      <c r="BO41">
        <v>430884.66256750905</v>
      </c>
      <c r="BP41">
        <v>433622.89633176185</v>
      </c>
      <c r="BQ41">
        <f>(Sales[[#This Row],[DP1]]*Lookups!$B$61)+(Sales[[#This Row],[DP2]]*Lookups!$B$62)+(Sales[[#This Row],[DP3]]*Lookups!$B$63)</f>
        <v>-2738.2334809999998</v>
      </c>
      <c r="BR41">
        <f>Lookups!$B$58*0.6</f>
        <v>132535.48800000001</v>
      </c>
      <c r="BS41">
        <f>Lookups!$B$58*0.4</f>
        <v>88356.992000000013</v>
      </c>
      <c r="BT41">
        <f>Lookups!$B$59*Sales[[#This Row],[LnAcres]]</f>
        <v>-24051.387388882686</v>
      </c>
      <c r="BU41">
        <f>VLOOKUP(Sales[[#This Row],[Qlty]],Lookups!$A$66:$E$79,2,FALSE)</f>
        <v>32917.849192000001</v>
      </c>
      <c r="BV41">
        <f>VLOOKUP(Sales[[#This Row],[Cnd]],Lookups!$A$80:$E$91,2,FALSE)</f>
        <v>47371.278778200001</v>
      </c>
      <c r="BW41">
        <f>Sales[[#This Row],[EffAge]]*Lookups!$B$65</f>
        <v>-217.48220000000001</v>
      </c>
      <c r="BX41">
        <f>Sales[[#This Row],[MainFn]]*Lookups!$B$90</f>
        <v>57292.728840000003</v>
      </c>
      <c r="BY41">
        <f>Sales[[#This Row],[UpprFn]]*Lookups!$B$91</f>
        <v>77216.176368</v>
      </c>
      <c r="BZ41">
        <f>Sales[[#This Row],[Bsmt]]*Lookups!$B$95</f>
        <v>0</v>
      </c>
      <c r="CA41">
        <f>VLOOKUP(Sales[[#This Row],[MsnryTrim]],Lookups!$A$90:$E$99,2,FALSE)</f>
        <v>-9412.7029999999995</v>
      </c>
      <c r="CB41">
        <f>Sales[[#This Row],[PrefabFP]]*Lookups!$B$92</f>
        <v>0</v>
      </c>
      <c r="CC41">
        <f>Sales[[#This Row],[AttGar]]*Lookups!$B$93</f>
        <v>0</v>
      </c>
      <c r="CD41">
        <f>Sales[[#This Row],[BltinGar]]*Lookups!$B$94</f>
        <v>31613.951999999997</v>
      </c>
      <c r="CE41">
        <f>SUM(Sales[[#This Row],[Days Prior Total]:[Mdl BltinGar]])</f>
        <v>430884.65910831728</v>
      </c>
      <c r="CF41">
        <f>ROUND(Sales[[#This Row],[25Det]],-2)</f>
        <v>0</v>
      </c>
      <c r="CG41">
        <f>ROUND(SUM(Sales[[#This Row],[Mdl Qlty]:[Mdl BltinGar]])+Sales[[#This Row],[Mdl Res Intercept]]+Sales[[#This Row],[Days Prior Total]],-2)</f>
        <v>366600</v>
      </c>
      <c r="CH41">
        <f>ROUND(Sales[[#This Row],[Mdl Land Intercept]]+Sales[[#This Row],[Mdl LnAcres]],-2)</f>
        <v>64300</v>
      </c>
      <c r="CI41">
        <f>Sales[[#This Row],[Unadj Res Value]]+Sales[[#This Row],[Unadj Det Value]]+Sales[[#This Row],[Unadj Land Value]]</f>
        <v>430900</v>
      </c>
      <c r="CJ41" s="10">
        <f>Sales[[#This Row],[Price]]/Sales[[#This Row],[Unadj Total Value]]</f>
        <v>1.0326990020886517</v>
      </c>
      <c r="CK41" s="10">
        <f>(Sales[[#This Row],[Unadj Total Value]]-Sales[[#This Row],[24Final]])/Sales[[#This Row],[24Final]]</f>
        <v>1.0079699953117674E-2</v>
      </c>
      <c r="CL41">
        <f>VLOOKUP(Sales[[#This Row],[TNbhd]],Lookups!$M$3:$P$5,4,FALSE)</f>
        <v>0.99970000000000003</v>
      </c>
      <c r="CM41">
        <f>VLOOKUP(Sales[[#This Row],[Qlty]],Lookups!$M$8:$P$22,4,FALSE)</f>
        <v>1.0019</v>
      </c>
      <c r="CN41">
        <f>VLOOKUP(Sales[[#This Row],[Cnd]],Lookups!$R$8:$U$17,4,FALSE)</f>
        <v>1.0012000000000001</v>
      </c>
      <c r="CO41">
        <f>VLOOKUP(Sales[[#This Row],[LivArea Range]],Lookups!$R$25:$U$43,4,FALSE)</f>
        <v>1.0008999999999999</v>
      </c>
      <c r="CP41">
        <f>VLOOKUP(Sales[[#This Row],[Decade]],Lookups!$M$24:$P$40,4,FALSE)</f>
        <v>1.0024</v>
      </c>
      <c r="CQ41">
        <f>Sales[[#This Row],[Nbhd Adj]]*0.95</f>
        <v>0.94971499999999998</v>
      </c>
      <c r="CR41">
        <f>Sales[[#This Row],[Nbhd Adj]]*Sales[[#This Row],[Quality Adj]]*Sales[[#This Row],[Condition Adj]]*Sales[[#This Row],[Living Area Adj]]*Sales[[#This Row],[Decade Adj]]*0.95</f>
        <v>0.95580712182867422</v>
      </c>
      <c r="CS41">
        <f>ROUND(SUM(Sales[[#This Row],[Mdl Qlty]:[Mdl BltinGar]])+Sales[[#This Row],[Mdl Res Intercept]]*Sales[[#This Row],[Res Adj ]],-2)</f>
        <v>363500</v>
      </c>
      <c r="CT41">
        <f>ROUND(Sales[[#This Row],[25Det]]*Sales[[#This Row],[Det/Nbhd Adj]],-2)</f>
        <v>0</v>
      </c>
      <c r="CU41">
        <f>Sales[[#This Row],[Adjusted Res]]+Sales[[#This Row],[Adj Det ]]</f>
        <v>363500</v>
      </c>
      <c r="CV41">
        <f>ROUND((Sales[[#This Row],[Mdl Land Intercept]]+Sales[[#This Row],[Mdl LnAcres]])*Sales[[#This Row],[Det/Nbhd Adj]],-2)</f>
        <v>61100</v>
      </c>
      <c r="CW41">
        <f>Sales[[#This Row],[Adjusted Impr Total]]+Sales[[#This Row],[Adjusted Land Total]]</f>
        <v>424600</v>
      </c>
      <c r="CX41" s="10">
        <f>IFERROR((Sales[[#This Row],[Adjusted Impr Total]]-Sales[[#This Row],[24Bldg]])/Sales[[#This Row],[24Bldg]],0)</f>
        <v>-6.2875888463641335E-3</v>
      </c>
      <c r="CY41" s="10">
        <f>(Sales[[#This Row],[Adjusted Land Total]]-Sales[[#This Row],[24Lnd]])/Sales[[#This Row],[24Lnd]]</f>
        <v>4.9342105263157892E-3</v>
      </c>
      <c r="CZ41">
        <f>(Sales[[#This Row],[Adjusted Total]]-Sales[[#This Row],[24Final]])/Sales[[#This Row],[24Final]]</f>
        <v>-4.6882325363338025E-3</v>
      </c>
      <c r="DA41" s="10">
        <f>(Sales[[#This Row],[Adjusted Total]]+Sales[[#This Row],[Days Prior Total]])/Sales[[#This Row],[Price]]</f>
        <v>0.94802527364435152</v>
      </c>
    </row>
    <row r="42" spans="1:105">
      <c r="A42">
        <v>2025</v>
      </c>
      <c r="B42">
        <v>19120114519</v>
      </c>
      <c r="C42">
        <v>-1.8325814637483102</v>
      </c>
      <c r="D42">
        <v>0.16</v>
      </c>
      <c r="E42">
        <v>7001</v>
      </c>
      <c r="F42">
        <v>2</v>
      </c>
      <c r="G42" t="s">
        <v>155</v>
      </c>
      <c r="H42">
        <v>317</v>
      </c>
      <c r="I42" t="s">
        <v>5</v>
      </c>
      <c r="J42" t="s">
        <v>156</v>
      </c>
      <c r="K42">
        <v>11</v>
      </c>
      <c r="L42">
        <v>259</v>
      </c>
      <c r="M42" t="s">
        <v>157</v>
      </c>
      <c r="N42" t="s">
        <v>19</v>
      </c>
      <c r="O42" t="s">
        <v>24</v>
      </c>
      <c r="P42">
        <v>2022</v>
      </c>
      <c r="Q42">
        <v>2022</v>
      </c>
      <c r="R42">
        <v>10</v>
      </c>
      <c r="S42">
        <v>2</v>
      </c>
      <c r="T42">
        <v>2</v>
      </c>
      <c r="U42">
        <v>1</v>
      </c>
      <c r="V42">
        <v>1452</v>
      </c>
      <c r="W42">
        <v>0</v>
      </c>
      <c r="X42">
        <v>0</v>
      </c>
      <c r="Y42">
        <v>0</v>
      </c>
      <c r="Z42">
        <v>0</v>
      </c>
      <c r="AA42">
        <v>0</v>
      </c>
      <c r="AB42">
        <v>1452</v>
      </c>
      <c r="AC42">
        <v>1500</v>
      </c>
      <c r="AD42">
        <v>2</v>
      </c>
      <c r="AE42" t="s">
        <v>56</v>
      </c>
      <c r="AF42" t="s">
        <v>158</v>
      </c>
      <c r="AG42" t="s">
        <v>21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9</v>
      </c>
      <c r="AO42">
        <v>400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100</v>
      </c>
      <c r="AV42">
        <v>100</v>
      </c>
      <c r="AW42">
        <v>265996</v>
      </c>
      <c r="AX42">
        <v>263336</v>
      </c>
      <c r="AY42">
        <v>476</v>
      </c>
      <c r="AZ42">
        <v>365</v>
      </c>
      <c r="BA42">
        <v>111</v>
      </c>
      <c r="BB42">
        <v>0</v>
      </c>
      <c r="BC42" s="2">
        <v>44816</v>
      </c>
      <c r="BD42" t="s">
        <v>201</v>
      </c>
      <c r="BE42">
        <v>385865</v>
      </c>
      <c r="BF42">
        <v>385865</v>
      </c>
      <c r="BG42" t="s">
        <v>160</v>
      </c>
      <c r="BH42">
        <v>30</v>
      </c>
      <c r="BI42" t="s">
        <v>56</v>
      </c>
      <c r="BJ42" t="s">
        <v>161</v>
      </c>
      <c r="BK42">
        <v>388000</v>
      </c>
      <c r="BL42">
        <v>60800</v>
      </c>
      <c r="BM42">
        <v>327200</v>
      </c>
      <c r="BN42">
        <v>0</v>
      </c>
      <c r="BO42">
        <v>372457.06562153</v>
      </c>
      <c r="BP42">
        <v>376476.72689682012</v>
      </c>
      <c r="BQ42">
        <f>(Sales[[#This Row],[DP1]]*Lookups!$B$61)+(Sales[[#This Row],[DP2]]*Lookups!$B$62)+(Sales[[#This Row],[DP3]]*Lookups!$B$63)</f>
        <v>-4019.6609309999999</v>
      </c>
      <c r="BR42">
        <f>Lookups!$B$58*0.6</f>
        <v>132535.48800000001</v>
      </c>
      <c r="BS42">
        <f>Lookups!$B$58*0.4</f>
        <v>88356.992000000013</v>
      </c>
      <c r="BT42">
        <f>Lookups!$B$59*Sales[[#This Row],[LnAcres]]</f>
        <v>-24051.387388882686</v>
      </c>
      <c r="BU42">
        <f>VLOOKUP(Sales[[#This Row],[Qlty]],Lookups!$A$66:$E$79,2,FALSE)</f>
        <v>37154.252388000001</v>
      </c>
      <c r="BV42">
        <f>VLOOKUP(Sales[[#This Row],[Cnd]],Lookups!$A$80:$E$91,2,FALSE)</f>
        <v>47371.278778200001</v>
      </c>
      <c r="BW42">
        <f>Sales[[#This Row],[EffAge]]*Lookups!$B$65</f>
        <v>-217.48220000000001</v>
      </c>
      <c r="BX42">
        <f>Sales[[#This Row],[MainFn]]*Lookups!$B$90</f>
        <v>90619.871760000009</v>
      </c>
      <c r="BY42">
        <f>Sales[[#This Row],[UpprFn]]*Lookups!$B$91</f>
        <v>0</v>
      </c>
      <c r="BZ42">
        <f>Sales[[#This Row],[Bsmt]]*Lookups!$B$95</f>
        <v>0</v>
      </c>
      <c r="CA42">
        <f>VLOOKUP(Sales[[#This Row],[MsnryTrim]],Lookups!$A$90:$E$99,2,FALSE)</f>
        <v>-9412.7029999999995</v>
      </c>
      <c r="CB42">
        <f>Sales[[#This Row],[PrefabFP]]*Lookups!$B$92</f>
        <v>0</v>
      </c>
      <c r="CC42">
        <f>Sales[[#This Row],[AttGar]]*Lookups!$B$93</f>
        <v>14120.412400000001</v>
      </c>
      <c r="CD42">
        <f>Sales[[#This Row],[BltinGar]]*Lookups!$B$94</f>
        <v>0</v>
      </c>
      <c r="CE42">
        <f>SUM(Sales[[#This Row],[Days Prior Total]:[Mdl BltinGar]])</f>
        <v>372457.0618063173</v>
      </c>
      <c r="CF42">
        <f>ROUND(Sales[[#This Row],[25Det]],-2)</f>
        <v>0</v>
      </c>
      <c r="CG42">
        <f>ROUND(SUM(Sales[[#This Row],[Mdl Qlty]:[Mdl BltinGar]])+Sales[[#This Row],[Mdl Res Intercept]]+Sales[[#This Row],[Days Prior Total]],-2)</f>
        <v>308200</v>
      </c>
      <c r="CH42">
        <f>ROUND(Sales[[#This Row],[Mdl Land Intercept]]+Sales[[#This Row],[Mdl LnAcres]],-2)</f>
        <v>64300</v>
      </c>
      <c r="CI42">
        <f>Sales[[#This Row],[Unadj Res Value]]+Sales[[#This Row],[Unadj Det Value]]+Sales[[#This Row],[Unadj Land Value]]</f>
        <v>372500</v>
      </c>
      <c r="CJ42" s="10">
        <f>Sales[[#This Row],[Price]]/Sales[[#This Row],[Unadj Total Value]]</f>
        <v>1.0358791946308725</v>
      </c>
      <c r="CK42" s="10">
        <f>(Sales[[#This Row],[Unadj Total Value]]-Sales[[#This Row],[24Final]])/Sales[[#This Row],[24Final]]</f>
        <v>-3.994845360824742E-2</v>
      </c>
      <c r="CL42">
        <f>VLOOKUP(Sales[[#This Row],[TNbhd]],Lookups!$M$3:$P$5,4,FALSE)</f>
        <v>0.99970000000000003</v>
      </c>
      <c r="CM42">
        <f>VLOOKUP(Sales[[#This Row],[Qlty]],Lookups!$M$8:$P$22,4,FALSE)</f>
        <v>0.99819999999999998</v>
      </c>
      <c r="CN42">
        <f>VLOOKUP(Sales[[#This Row],[Cnd]],Lookups!$R$8:$U$17,4,FALSE)</f>
        <v>1.0012000000000001</v>
      </c>
      <c r="CO42">
        <f>VLOOKUP(Sales[[#This Row],[LivArea Range]],Lookups!$R$25:$U$43,4,FALSE)</f>
        <v>0.99519999999999997</v>
      </c>
      <c r="CP42">
        <f>VLOOKUP(Sales[[#This Row],[Decade]],Lookups!$M$24:$P$40,4,FALSE)</f>
        <v>1.0024</v>
      </c>
      <c r="CQ42">
        <f>Sales[[#This Row],[Nbhd Adj]]*0.95</f>
        <v>0.94971499999999998</v>
      </c>
      <c r="CR42">
        <f>Sales[[#This Row],[Nbhd Adj]]*Sales[[#This Row],[Quality Adj]]*Sales[[#This Row],[Condition Adj]]*Sales[[#This Row],[Living Area Adj]]*Sales[[#This Row],[Decade Adj]]*0.95</f>
        <v>0.94685424199978463</v>
      </c>
      <c r="CS42">
        <f>ROUND(SUM(Sales[[#This Row],[Mdl Qlty]:[Mdl BltinGar]])+Sales[[#This Row],[Mdl Res Intercept]]*Sales[[#This Row],[Res Adj ]],-2)</f>
        <v>305100</v>
      </c>
      <c r="CT42">
        <f>ROUND(Sales[[#This Row],[25Det]]*Sales[[#This Row],[Det/Nbhd Adj]],-2)</f>
        <v>0</v>
      </c>
      <c r="CU42">
        <f>Sales[[#This Row],[Adjusted Res]]+Sales[[#This Row],[Adj Det ]]</f>
        <v>305100</v>
      </c>
      <c r="CV42">
        <f>ROUND((Sales[[#This Row],[Mdl Land Intercept]]+Sales[[#This Row],[Mdl LnAcres]])*Sales[[#This Row],[Det/Nbhd Adj]],-2)</f>
        <v>61100</v>
      </c>
      <c r="CW42">
        <f>Sales[[#This Row],[Adjusted Impr Total]]+Sales[[#This Row],[Adjusted Land Total]]</f>
        <v>366200</v>
      </c>
      <c r="CX42" s="10">
        <f>IFERROR((Sales[[#This Row],[Adjusted Impr Total]]-Sales[[#This Row],[24Bldg]])/Sales[[#This Row],[24Bldg]],0)</f>
        <v>-6.7542787286063569E-2</v>
      </c>
      <c r="CY42" s="10">
        <f>(Sales[[#This Row],[Adjusted Land Total]]-Sales[[#This Row],[24Lnd]])/Sales[[#This Row],[24Lnd]]</f>
        <v>4.9342105263157892E-3</v>
      </c>
      <c r="CZ42">
        <f>(Sales[[#This Row],[Adjusted Total]]-Sales[[#This Row],[24Final]])/Sales[[#This Row],[24Final]]</f>
        <v>-5.618556701030928E-2</v>
      </c>
      <c r="DA42" s="10">
        <f>(Sales[[#This Row],[Adjusted Total]]+Sales[[#This Row],[Days Prior Total]])/Sales[[#This Row],[Price]]</f>
        <v>0.93861930744949651</v>
      </c>
    </row>
    <row r="43" spans="1:105">
      <c r="A43">
        <v>2025</v>
      </c>
      <c r="B43">
        <v>19120114520</v>
      </c>
      <c r="C43">
        <v>-1.8325814637483102</v>
      </c>
      <c r="D43">
        <v>0.16</v>
      </c>
      <c r="E43">
        <v>7001</v>
      </c>
      <c r="F43">
        <v>2</v>
      </c>
      <c r="G43" t="s">
        <v>155</v>
      </c>
      <c r="H43">
        <v>317</v>
      </c>
      <c r="I43" t="s">
        <v>5</v>
      </c>
      <c r="J43" t="s">
        <v>156</v>
      </c>
      <c r="K43">
        <v>11</v>
      </c>
      <c r="L43">
        <v>259</v>
      </c>
      <c r="M43" t="s">
        <v>157</v>
      </c>
      <c r="N43" t="s">
        <v>19</v>
      </c>
      <c r="O43" t="s">
        <v>24</v>
      </c>
      <c r="P43">
        <v>2022</v>
      </c>
      <c r="Q43">
        <v>2022</v>
      </c>
      <c r="R43">
        <v>10</v>
      </c>
      <c r="S43">
        <v>2</v>
      </c>
      <c r="T43">
        <v>2</v>
      </c>
      <c r="U43">
        <v>1</v>
      </c>
      <c r="V43">
        <v>1631</v>
      </c>
      <c r="W43">
        <v>0</v>
      </c>
      <c r="X43">
        <v>0</v>
      </c>
      <c r="Y43">
        <v>0</v>
      </c>
      <c r="Z43">
        <v>0</v>
      </c>
      <c r="AA43">
        <v>0</v>
      </c>
      <c r="AB43">
        <v>1631</v>
      </c>
      <c r="AC43">
        <v>2000</v>
      </c>
      <c r="AD43">
        <v>2</v>
      </c>
      <c r="AE43" t="s">
        <v>56</v>
      </c>
      <c r="AF43" t="s">
        <v>158</v>
      </c>
      <c r="AG43" t="s">
        <v>21</v>
      </c>
      <c r="AI43">
        <v>0</v>
      </c>
      <c r="AJ43">
        <v>0</v>
      </c>
      <c r="AK43">
        <v>1</v>
      </c>
      <c r="AL43">
        <v>1</v>
      </c>
      <c r="AM43">
        <v>0</v>
      </c>
      <c r="AN43">
        <v>9</v>
      </c>
      <c r="AO43">
        <v>400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100</v>
      </c>
      <c r="AV43">
        <v>100</v>
      </c>
      <c r="AW43">
        <v>292110</v>
      </c>
      <c r="AX43">
        <v>289189</v>
      </c>
      <c r="AY43">
        <v>482</v>
      </c>
      <c r="AZ43">
        <v>365</v>
      </c>
      <c r="BA43">
        <v>117</v>
      </c>
      <c r="BB43">
        <v>0</v>
      </c>
      <c r="BC43" s="2">
        <v>44810</v>
      </c>
      <c r="BD43" t="s">
        <v>202</v>
      </c>
      <c r="BE43">
        <v>409990</v>
      </c>
      <c r="BF43">
        <v>409990</v>
      </c>
      <c r="BG43" t="s">
        <v>160</v>
      </c>
      <c r="BH43">
        <v>30</v>
      </c>
      <c r="BI43" t="s">
        <v>56</v>
      </c>
      <c r="BJ43" t="s">
        <v>161</v>
      </c>
      <c r="BK43">
        <v>395300</v>
      </c>
      <c r="BL43">
        <v>60800</v>
      </c>
      <c r="BM43">
        <v>334500</v>
      </c>
      <c r="BN43">
        <v>0</v>
      </c>
      <c r="BO43">
        <v>393030.96684692352</v>
      </c>
      <c r="BP43">
        <v>397455.28944148863</v>
      </c>
      <c r="BQ43">
        <f>(Sales[[#This Row],[DP1]]*Lookups!$B$61)+(Sales[[#This Row],[DP2]]*Lookups!$B$62)+(Sales[[#This Row],[DP3]]*Lookups!$B$63)</f>
        <v>-4424.3222310000001</v>
      </c>
      <c r="BR43">
        <f>Lookups!$B$58*0.6</f>
        <v>132535.48800000001</v>
      </c>
      <c r="BS43">
        <f>Lookups!$B$58*0.4</f>
        <v>88356.992000000013</v>
      </c>
      <c r="BT43">
        <f>Lookups!$B$59*Sales[[#This Row],[LnAcres]]</f>
        <v>-24051.387388882686</v>
      </c>
      <c r="BU43">
        <f>VLOOKUP(Sales[[#This Row],[Qlty]],Lookups!$A$66:$E$79,2,FALSE)</f>
        <v>37154.252388000001</v>
      </c>
      <c r="BV43">
        <f>VLOOKUP(Sales[[#This Row],[Cnd]],Lookups!$A$80:$E$91,2,FALSE)</f>
        <v>47371.278778200001</v>
      </c>
      <c r="BW43">
        <f>Sales[[#This Row],[EffAge]]*Lookups!$B$65</f>
        <v>-217.48220000000001</v>
      </c>
      <c r="BX43">
        <f>Sales[[#This Row],[MainFn]]*Lookups!$B$90</f>
        <v>101791.32978</v>
      </c>
      <c r="BY43">
        <f>Sales[[#This Row],[UpprFn]]*Lookups!$B$91</f>
        <v>0</v>
      </c>
      <c r="BZ43">
        <f>Sales[[#This Row],[Bsmt]]*Lookups!$B$95</f>
        <v>0</v>
      </c>
      <c r="CA43">
        <f>VLOOKUP(Sales[[#This Row],[MsnryTrim]],Lookups!$A$90:$E$99,2,FALSE)</f>
        <v>-9412.7029999999995</v>
      </c>
      <c r="CB43">
        <f>Sales[[#This Row],[PrefabFP]]*Lookups!$B$92</f>
        <v>9807.1044999999995</v>
      </c>
      <c r="CC43">
        <f>Sales[[#This Row],[AttGar]]*Lookups!$B$93</f>
        <v>14120.412400000001</v>
      </c>
      <c r="CD43">
        <f>Sales[[#This Row],[BltinGar]]*Lookups!$B$94</f>
        <v>0</v>
      </c>
      <c r="CE43">
        <f>SUM(Sales[[#This Row],[Days Prior Total]:[Mdl BltinGar]])</f>
        <v>393030.96302631742</v>
      </c>
      <c r="CF43">
        <f>ROUND(Sales[[#This Row],[25Det]],-2)</f>
        <v>0</v>
      </c>
      <c r="CG43">
        <f>ROUND(SUM(Sales[[#This Row],[Mdl Qlty]:[Mdl BltinGar]])+Sales[[#This Row],[Mdl Res Intercept]]+Sales[[#This Row],[Days Prior Total]],-2)</f>
        <v>328700</v>
      </c>
      <c r="CH43">
        <f>ROUND(Sales[[#This Row],[Mdl Land Intercept]]+Sales[[#This Row],[Mdl LnAcres]],-2)</f>
        <v>64300</v>
      </c>
      <c r="CI43">
        <f>Sales[[#This Row],[Unadj Res Value]]+Sales[[#This Row],[Unadj Det Value]]+Sales[[#This Row],[Unadj Land Value]]</f>
        <v>393000</v>
      </c>
      <c r="CJ43" s="10">
        <f>Sales[[#This Row],[Price]]/Sales[[#This Row],[Unadj Total Value]]</f>
        <v>1.0432315521628499</v>
      </c>
      <c r="CK43" s="10">
        <f>(Sales[[#This Row],[Unadj Total Value]]-Sales[[#This Row],[24Final]])/Sales[[#This Row],[24Final]]</f>
        <v>-5.8183657981280045E-3</v>
      </c>
      <c r="CL43">
        <f>VLOOKUP(Sales[[#This Row],[TNbhd]],Lookups!$M$3:$P$5,4,FALSE)</f>
        <v>0.99970000000000003</v>
      </c>
      <c r="CM43">
        <f>VLOOKUP(Sales[[#This Row],[Qlty]],Lookups!$M$8:$P$22,4,FALSE)</f>
        <v>0.99819999999999998</v>
      </c>
      <c r="CN43">
        <f>VLOOKUP(Sales[[#This Row],[Cnd]],Lookups!$R$8:$U$17,4,FALSE)</f>
        <v>1.0012000000000001</v>
      </c>
      <c r="CO43">
        <f>VLOOKUP(Sales[[#This Row],[LivArea Range]],Lookups!$R$25:$U$43,4,FALSE)</f>
        <v>1.0007999999999999</v>
      </c>
      <c r="CP43">
        <f>VLOOKUP(Sales[[#This Row],[Decade]],Lookups!$M$24:$P$40,4,FALSE)</f>
        <v>1.0024</v>
      </c>
      <c r="CQ43">
        <f>Sales[[#This Row],[Nbhd Adj]]*0.95</f>
        <v>0.94971499999999998</v>
      </c>
      <c r="CR43">
        <f>Sales[[#This Row],[Nbhd Adj]]*Sales[[#This Row],[Quality Adj]]*Sales[[#This Row],[Condition Adj]]*Sales[[#This Row],[Living Area Adj]]*Sales[[#This Row],[Decade Adj]]*0.95</f>
        <v>0.95218219995315945</v>
      </c>
      <c r="CS43">
        <f>ROUND(SUM(Sales[[#This Row],[Mdl Qlty]:[Mdl BltinGar]])+Sales[[#This Row],[Mdl Res Intercept]]*Sales[[#This Row],[Res Adj ]],-2)</f>
        <v>326800</v>
      </c>
      <c r="CT43">
        <f>ROUND(Sales[[#This Row],[25Det]]*Sales[[#This Row],[Det/Nbhd Adj]],-2)</f>
        <v>0</v>
      </c>
      <c r="CU43">
        <f>Sales[[#This Row],[Adjusted Res]]+Sales[[#This Row],[Adj Det ]]</f>
        <v>326800</v>
      </c>
      <c r="CV43">
        <f>ROUND((Sales[[#This Row],[Mdl Land Intercept]]+Sales[[#This Row],[Mdl LnAcres]])*Sales[[#This Row],[Det/Nbhd Adj]],-2)</f>
        <v>61100</v>
      </c>
      <c r="CW43">
        <f>Sales[[#This Row],[Adjusted Impr Total]]+Sales[[#This Row],[Adjusted Land Total]]</f>
        <v>387900</v>
      </c>
      <c r="CX43" s="10">
        <f>IFERROR((Sales[[#This Row],[Adjusted Impr Total]]-Sales[[#This Row],[24Bldg]])/Sales[[#This Row],[24Bldg]],0)</f>
        <v>-2.3019431988041853E-2</v>
      </c>
      <c r="CY43" s="10">
        <f>(Sales[[#This Row],[Adjusted Land Total]]-Sales[[#This Row],[24Lnd]])/Sales[[#This Row],[24Lnd]]</f>
        <v>4.9342105263157892E-3</v>
      </c>
      <c r="CZ43">
        <f>(Sales[[#This Row],[Adjusted Total]]-Sales[[#This Row],[24Final]])/Sales[[#This Row],[24Final]]</f>
        <v>-1.8719959524411838E-2</v>
      </c>
      <c r="DA43" s="10">
        <f>(Sales[[#This Row],[Adjusted Total]]+Sales[[#This Row],[Days Prior Total]])/Sales[[#This Row],[Price]]</f>
        <v>0.935329344054733</v>
      </c>
    </row>
    <row r="44" spans="1:105">
      <c r="A44">
        <v>2025</v>
      </c>
      <c r="B44">
        <v>19120114521</v>
      </c>
      <c r="C44">
        <v>-1.8325814637483102</v>
      </c>
      <c r="D44">
        <v>0.16</v>
      </c>
      <c r="E44">
        <v>7001</v>
      </c>
      <c r="F44">
        <v>2</v>
      </c>
      <c r="G44" t="s">
        <v>155</v>
      </c>
      <c r="H44">
        <v>317</v>
      </c>
      <c r="I44" t="s">
        <v>5</v>
      </c>
      <c r="J44" t="s">
        <v>156</v>
      </c>
      <c r="K44">
        <v>11</v>
      </c>
      <c r="L44">
        <v>259</v>
      </c>
      <c r="M44" t="s">
        <v>157</v>
      </c>
      <c r="N44" t="s">
        <v>19</v>
      </c>
      <c r="O44" t="s">
        <v>24</v>
      </c>
      <c r="P44">
        <v>2022</v>
      </c>
      <c r="Q44">
        <v>2022</v>
      </c>
      <c r="R44">
        <v>10</v>
      </c>
      <c r="S44">
        <v>2</v>
      </c>
      <c r="T44">
        <v>2</v>
      </c>
      <c r="U44">
        <v>1</v>
      </c>
      <c r="V44">
        <v>1619</v>
      </c>
      <c r="W44">
        <v>0</v>
      </c>
      <c r="X44">
        <v>0</v>
      </c>
      <c r="Y44">
        <v>0</v>
      </c>
      <c r="Z44">
        <v>0</v>
      </c>
      <c r="AA44">
        <v>0</v>
      </c>
      <c r="AB44">
        <v>1619</v>
      </c>
      <c r="AC44">
        <v>2000</v>
      </c>
      <c r="AD44">
        <v>2</v>
      </c>
      <c r="AE44" t="s">
        <v>56</v>
      </c>
      <c r="AF44" t="s">
        <v>158</v>
      </c>
      <c r="AG44" t="s">
        <v>21</v>
      </c>
      <c r="AI44">
        <v>0</v>
      </c>
      <c r="AJ44">
        <v>0</v>
      </c>
      <c r="AK44">
        <v>0</v>
      </c>
      <c r="AL44">
        <v>1</v>
      </c>
      <c r="AM44">
        <v>0</v>
      </c>
      <c r="AN44">
        <v>9</v>
      </c>
      <c r="AO44">
        <v>480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100</v>
      </c>
      <c r="AV44">
        <v>100</v>
      </c>
      <c r="AW44">
        <v>290160</v>
      </c>
      <c r="AX44">
        <v>287258</v>
      </c>
      <c r="AY44">
        <v>434</v>
      </c>
      <c r="AZ44">
        <v>365</v>
      </c>
      <c r="BA44">
        <v>69</v>
      </c>
      <c r="BB44">
        <v>0</v>
      </c>
      <c r="BC44" s="2">
        <v>44858</v>
      </c>
      <c r="BD44" t="s">
        <v>203</v>
      </c>
      <c r="BE44">
        <v>428212</v>
      </c>
      <c r="BF44">
        <v>428212</v>
      </c>
      <c r="BG44" t="s">
        <v>160</v>
      </c>
      <c r="BH44">
        <v>30</v>
      </c>
      <c r="BI44" t="s">
        <v>56</v>
      </c>
      <c r="BJ44" t="s">
        <v>161</v>
      </c>
      <c r="BK44">
        <v>398100</v>
      </c>
      <c r="BL44">
        <v>60800</v>
      </c>
      <c r="BM44">
        <v>337300</v>
      </c>
      <c r="BN44">
        <v>0</v>
      </c>
      <c r="BO44">
        <v>388536.31077153975</v>
      </c>
      <c r="BP44">
        <v>389723.34281190502</v>
      </c>
      <c r="BQ44">
        <f>(Sales[[#This Row],[DP1]]*Lookups!$B$61)+(Sales[[#This Row],[DP2]]*Lookups!$B$62)+(Sales[[#This Row],[DP3]]*Lookups!$B$63)</f>
        <v>-1187.0318309999998</v>
      </c>
      <c r="BR44">
        <f>Lookups!$B$58*0.6</f>
        <v>132535.48800000001</v>
      </c>
      <c r="BS44">
        <f>Lookups!$B$58*0.4</f>
        <v>88356.992000000013</v>
      </c>
      <c r="BT44">
        <f>Lookups!$B$59*Sales[[#This Row],[LnAcres]]</f>
        <v>-24051.387388882686</v>
      </c>
      <c r="BU44">
        <f>VLOOKUP(Sales[[#This Row],[Qlty]],Lookups!$A$66:$E$79,2,FALSE)</f>
        <v>37154.252388000001</v>
      </c>
      <c r="BV44">
        <f>VLOOKUP(Sales[[#This Row],[Cnd]],Lookups!$A$80:$E$91,2,FALSE)</f>
        <v>47371.278778200001</v>
      </c>
      <c r="BW44">
        <f>Sales[[#This Row],[EffAge]]*Lookups!$B$65</f>
        <v>-217.48220000000001</v>
      </c>
      <c r="BX44">
        <f>Sales[[#This Row],[MainFn]]*Lookups!$B$90</f>
        <v>101042.40522</v>
      </c>
      <c r="BY44">
        <f>Sales[[#This Row],[UpprFn]]*Lookups!$B$91</f>
        <v>0</v>
      </c>
      <c r="BZ44">
        <f>Sales[[#This Row],[Bsmt]]*Lookups!$B$95</f>
        <v>0</v>
      </c>
      <c r="CA44">
        <f>VLOOKUP(Sales[[#This Row],[MsnryTrim]],Lookups!$A$90:$E$99,2,FALSE)</f>
        <v>-9412.7029999999995</v>
      </c>
      <c r="CB44">
        <f>Sales[[#This Row],[PrefabFP]]*Lookups!$B$92</f>
        <v>0</v>
      </c>
      <c r="CC44">
        <f>Sales[[#This Row],[AttGar]]*Lookups!$B$93</f>
        <v>16944.494880000002</v>
      </c>
      <c r="CD44">
        <f>Sales[[#This Row],[BltinGar]]*Lookups!$B$94</f>
        <v>0</v>
      </c>
      <c r="CE44">
        <f>SUM(Sales[[#This Row],[Days Prior Total]:[Mdl BltinGar]])</f>
        <v>388536.30684631737</v>
      </c>
      <c r="CF44">
        <f>ROUND(Sales[[#This Row],[25Det]],-2)</f>
        <v>0</v>
      </c>
      <c r="CG44">
        <f>ROUND(SUM(Sales[[#This Row],[Mdl Qlty]:[Mdl BltinGar]])+Sales[[#This Row],[Mdl Res Intercept]]+Sales[[#This Row],[Days Prior Total]],-2)</f>
        <v>324200</v>
      </c>
      <c r="CH44">
        <f>ROUND(Sales[[#This Row],[Mdl Land Intercept]]+Sales[[#This Row],[Mdl LnAcres]],-2)</f>
        <v>64300</v>
      </c>
      <c r="CI44">
        <f>Sales[[#This Row],[Unadj Res Value]]+Sales[[#This Row],[Unadj Det Value]]+Sales[[#This Row],[Unadj Land Value]]</f>
        <v>388500</v>
      </c>
      <c r="CJ44" s="10">
        <f>Sales[[#This Row],[Price]]/Sales[[#This Row],[Unadj Total Value]]</f>
        <v>1.1022187902187903</v>
      </c>
      <c r="CK44" s="10">
        <f>(Sales[[#This Row],[Unadj Total Value]]-Sales[[#This Row],[24Final]])/Sales[[#This Row],[24Final]]</f>
        <v>-2.4114544084400905E-2</v>
      </c>
      <c r="CL44">
        <f>VLOOKUP(Sales[[#This Row],[TNbhd]],Lookups!$M$3:$P$5,4,FALSE)</f>
        <v>0.99970000000000003</v>
      </c>
      <c r="CM44">
        <f>VLOOKUP(Sales[[#This Row],[Qlty]],Lookups!$M$8:$P$22,4,FALSE)</f>
        <v>0.99819999999999998</v>
      </c>
      <c r="CN44">
        <f>VLOOKUP(Sales[[#This Row],[Cnd]],Lookups!$R$8:$U$17,4,FALSE)</f>
        <v>1.0012000000000001</v>
      </c>
      <c r="CO44">
        <f>VLOOKUP(Sales[[#This Row],[LivArea Range]],Lookups!$R$25:$U$43,4,FALSE)</f>
        <v>1.0007999999999999</v>
      </c>
      <c r="CP44">
        <f>VLOOKUP(Sales[[#This Row],[Decade]],Lookups!$M$24:$P$40,4,FALSE)</f>
        <v>1.0024</v>
      </c>
      <c r="CQ44">
        <f>Sales[[#This Row],[Nbhd Adj]]*0.95</f>
        <v>0.94971499999999998</v>
      </c>
      <c r="CR44">
        <f>Sales[[#This Row],[Nbhd Adj]]*Sales[[#This Row],[Quality Adj]]*Sales[[#This Row],[Condition Adj]]*Sales[[#This Row],[Living Area Adj]]*Sales[[#This Row],[Decade Adj]]*0.95</f>
        <v>0.95218219995315945</v>
      </c>
      <c r="CS44">
        <f>ROUND(SUM(Sales[[#This Row],[Mdl Qlty]:[Mdl BltinGar]])+Sales[[#This Row],[Mdl Res Intercept]]*Sales[[#This Row],[Res Adj ]],-2)</f>
        <v>319100</v>
      </c>
      <c r="CT44">
        <f>ROUND(Sales[[#This Row],[25Det]]*Sales[[#This Row],[Det/Nbhd Adj]],-2)</f>
        <v>0</v>
      </c>
      <c r="CU44">
        <f>Sales[[#This Row],[Adjusted Res]]+Sales[[#This Row],[Adj Det ]]</f>
        <v>319100</v>
      </c>
      <c r="CV44">
        <f>ROUND((Sales[[#This Row],[Mdl Land Intercept]]+Sales[[#This Row],[Mdl LnAcres]])*Sales[[#This Row],[Det/Nbhd Adj]],-2)</f>
        <v>61100</v>
      </c>
      <c r="CW44">
        <f>Sales[[#This Row],[Adjusted Impr Total]]+Sales[[#This Row],[Adjusted Land Total]]</f>
        <v>380200</v>
      </c>
      <c r="CX44" s="10">
        <f>IFERROR((Sales[[#This Row],[Adjusted Impr Total]]-Sales[[#This Row],[24Bldg]])/Sales[[#This Row],[24Bldg]],0)</f>
        <v>-5.3957900978357544E-2</v>
      </c>
      <c r="CY44" s="10">
        <f>(Sales[[#This Row],[Adjusted Land Total]]-Sales[[#This Row],[24Lnd]])/Sales[[#This Row],[24Lnd]]</f>
        <v>4.9342105263157892E-3</v>
      </c>
      <c r="CZ44">
        <f>(Sales[[#This Row],[Adjusted Total]]-Sales[[#This Row],[24Final]])/Sales[[#This Row],[24Final]]</f>
        <v>-4.4963576990705856E-2</v>
      </c>
      <c r="DA44" s="10">
        <f>(Sales[[#This Row],[Adjusted Total]]+Sales[[#This Row],[Days Prior Total]])/Sales[[#This Row],[Price]]</f>
        <v>0.8851059012101482</v>
      </c>
    </row>
    <row r="45" spans="1:105">
      <c r="A45">
        <v>2025</v>
      </c>
      <c r="B45">
        <v>19120114522</v>
      </c>
      <c r="C45">
        <v>-1.8325814637483102</v>
      </c>
      <c r="D45">
        <v>0.16</v>
      </c>
      <c r="E45">
        <v>7002</v>
      </c>
      <c r="F45">
        <v>2</v>
      </c>
      <c r="G45" t="s">
        <v>155</v>
      </c>
      <c r="H45">
        <v>317</v>
      </c>
      <c r="I45" t="s">
        <v>5</v>
      </c>
      <c r="J45" t="s">
        <v>156</v>
      </c>
      <c r="K45">
        <v>11</v>
      </c>
      <c r="L45">
        <v>259</v>
      </c>
      <c r="M45" t="s">
        <v>157</v>
      </c>
      <c r="N45" t="s">
        <v>19</v>
      </c>
      <c r="O45" t="s">
        <v>24</v>
      </c>
      <c r="P45">
        <v>2022</v>
      </c>
      <c r="Q45">
        <v>2022</v>
      </c>
      <c r="R45">
        <v>10</v>
      </c>
      <c r="S45">
        <v>2</v>
      </c>
      <c r="T45">
        <v>2</v>
      </c>
      <c r="U45">
        <v>1</v>
      </c>
      <c r="V45">
        <v>1621</v>
      </c>
      <c r="W45">
        <v>0</v>
      </c>
      <c r="X45">
        <v>0</v>
      </c>
      <c r="Y45">
        <v>0</v>
      </c>
      <c r="Z45">
        <v>0</v>
      </c>
      <c r="AA45">
        <v>0</v>
      </c>
      <c r="AB45">
        <v>1621</v>
      </c>
      <c r="AC45">
        <v>2000</v>
      </c>
      <c r="AD45">
        <v>2</v>
      </c>
      <c r="AE45" t="s">
        <v>56</v>
      </c>
      <c r="AF45" t="s">
        <v>158</v>
      </c>
      <c r="AG45" t="s">
        <v>21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9</v>
      </c>
      <c r="AO45">
        <v>480</v>
      </c>
      <c r="AP45">
        <v>0</v>
      </c>
      <c r="AQ45">
        <v>0</v>
      </c>
      <c r="AR45">
        <v>0</v>
      </c>
      <c r="AS45">
        <v>156</v>
      </c>
      <c r="AT45">
        <v>0</v>
      </c>
      <c r="AU45">
        <v>100</v>
      </c>
      <c r="AV45">
        <v>100</v>
      </c>
      <c r="AW45">
        <v>288040</v>
      </c>
      <c r="AX45">
        <v>285160</v>
      </c>
      <c r="AY45">
        <v>413</v>
      </c>
      <c r="AZ45">
        <v>365</v>
      </c>
      <c r="BA45">
        <v>48</v>
      </c>
      <c r="BB45">
        <v>0</v>
      </c>
      <c r="BC45" s="2">
        <v>44879</v>
      </c>
      <c r="BD45" t="s">
        <v>204</v>
      </c>
      <c r="BE45">
        <v>411536</v>
      </c>
      <c r="BF45">
        <v>411536</v>
      </c>
      <c r="BG45" t="s">
        <v>160</v>
      </c>
      <c r="BH45">
        <v>30</v>
      </c>
      <c r="BI45" t="s">
        <v>56</v>
      </c>
      <c r="BJ45" t="s">
        <v>161</v>
      </c>
      <c r="BK45">
        <v>391600</v>
      </c>
      <c r="BL45">
        <v>60800</v>
      </c>
      <c r="BM45">
        <v>330800</v>
      </c>
      <c r="BN45">
        <v>0</v>
      </c>
      <c r="BO45">
        <v>390077.44614905008</v>
      </c>
      <c r="BP45">
        <v>389848.16357195296</v>
      </c>
      <c r="BQ45">
        <f>(Sales[[#This Row],[DP1]]*Lookups!$B$61)+(Sales[[#This Row],[DP2]]*Lookups!$B$62)+(Sales[[#This Row],[DP3]]*Lookups!$B$63)</f>
        <v>229.28271900000027</v>
      </c>
      <c r="BR45">
        <f>Lookups!$B$58*0.6</f>
        <v>132535.48800000001</v>
      </c>
      <c r="BS45">
        <f>Lookups!$B$58*0.4</f>
        <v>88356.992000000013</v>
      </c>
      <c r="BT45">
        <f>Lookups!$B$59*Sales[[#This Row],[LnAcres]]</f>
        <v>-24051.387388882686</v>
      </c>
      <c r="BU45">
        <f>VLOOKUP(Sales[[#This Row],[Qlty]],Lookups!$A$66:$E$79,2,FALSE)</f>
        <v>37154.252388000001</v>
      </c>
      <c r="BV45">
        <f>VLOOKUP(Sales[[#This Row],[Cnd]],Lookups!$A$80:$E$91,2,FALSE)</f>
        <v>47371.278778200001</v>
      </c>
      <c r="BW45">
        <f>Sales[[#This Row],[EffAge]]*Lookups!$B$65</f>
        <v>-217.48220000000001</v>
      </c>
      <c r="BX45">
        <f>Sales[[#This Row],[MainFn]]*Lookups!$B$90</f>
        <v>101167.22598</v>
      </c>
      <c r="BY45">
        <f>Sales[[#This Row],[UpprFn]]*Lookups!$B$91</f>
        <v>0</v>
      </c>
      <c r="BZ45">
        <f>Sales[[#This Row],[Bsmt]]*Lookups!$B$95</f>
        <v>0</v>
      </c>
      <c r="CA45">
        <f>VLOOKUP(Sales[[#This Row],[MsnryTrim]],Lookups!$A$90:$E$99,2,FALSE)</f>
        <v>-9412.7029999999995</v>
      </c>
      <c r="CB45">
        <f>Sales[[#This Row],[PrefabFP]]*Lookups!$B$92</f>
        <v>0</v>
      </c>
      <c r="CC45">
        <f>Sales[[#This Row],[AttGar]]*Lookups!$B$93</f>
        <v>16944.494880000002</v>
      </c>
      <c r="CD45">
        <f>Sales[[#This Row],[BltinGar]]*Lookups!$B$94</f>
        <v>0</v>
      </c>
      <c r="CE45">
        <f>SUM(Sales[[#This Row],[Days Prior Total]:[Mdl BltinGar]])</f>
        <v>390077.44215631735</v>
      </c>
      <c r="CF45">
        <f>ROUND(Sales[[#This Row],[25Det]],-2)</f>
        <v>0</v>
      </c>
      <c r="CG45">
        <f>ROUND(SUM(Sales[[#This Row],[Mdl Qlty]:[Mdl BltinGar]])+Sales[[#This Row],[Mdl Res Intercept]]+Sales[[#This Row],[Days Prior Total]],-2)</f>
        <v>325800</v>
      </c>
      <c r="CH45">
        <f>ROUND(Sales[[#This Row],[Mdl Land Intercept]]+Sales[[#This Row],[Mdl LnAcres]],-2)</f>
        <v>64300</v>
      </c>
      <c r="CI45">
        <f>Sales[[#This Row],[Unadj Res Value]]+Sales[[#This Row],[Unadj Det Value]]+Sales[[#This Row],[Unadj Land Value]]</f>
        <v>390100</v>
      </c>
      <c r="CJ45" s="10">
        <f>Sales[[#This Row],[Price]]/Sales[[#This Row],[Unadj Total Value]]</f>
        <v>1.0549500128172264</v>
      </c>
      <c r="CK45" s="10">
        <f>(Sales[[#This Row],[Unadj Total Value]]-Sales[[#This Row],[24Final]])/Sales[[#This Row],[24Final]]</f>
        <v>-3.8304392236976508E-3</v>
      </c>
      <c r="CL45">
        <f>VLOOKUP(Sales[[#This Row],[TNbhd]],Lookups!$M$3:$P$5,4,FALSE)</f>
        <v>0.99970000000000003</v>
      </c>
      <c r="CM45">
        <f>VLOOKUP(Sales[[#This Row],[Qlty]],Lookups!$M$8:$P$22,4,FALSE)</f>
        <v>0.99819999999999998</v>
      </c>
      <c r="CN45">
        <f>VLOOKUP(Sales[[#This Row],[Cnd]],Lookups!$R$8:$U$17,4,FALSE)</f>
        <v>1.0012000000000001</v>
      </c>
      <c r="CO45">
        <f>VLOOKUP(Sales[[#This Row],[LivArea Range]],Lookups!$R$25:$U$43,4,FALSE)</f>
        <v>1.0007999999999999</v>
      </c>
      <c r="CP45">
        <f>VLOOKUP(Sales[[#This Row],[Decade]],Lookups!$M$24:$P$40,4,FALSE)</f>
        <v>1.0024</v>
      </c>
      <c r="CQ45">
        <f>Sales[[#This Row],[Nbhd Adj]]*0.95</f>
        <v>0.94971499999999998</v>
      </c>
      <c r="CR45">
        <f>Sales[[#This Row],[Nbhd Adj]]*Sales[[#This Row],[Quality Adj]]*Sales[[#This Row],[Condition Adj]]*Sales[[#This Row],[Living Area Adj]]*Sales[[#This Row],[Decade Adj]]*0.95</f>
        <v>0.95218219995315945</v>
      </c>
      <c r="CS45">
        <f>ROUND(SUM(Sales[[#This Row],[Mdl Qlty]:[Mdl BltinGar]])+Sales[[#This Row],[Mdl Res Intercept]]*Sales[[#This Row],[Res Adj ]],-2)</f>
        <v>319200</v>
      </c>
      <c r="CT45">
        <f>ROUND(Sales[[#This Row],[25Det]]*Sales[[#This Row],[Det/Nbhd Adj]],-2)</f>
        <v>0</v>
      </c>
      <c r="CU45">
        <f>Sales[[#This Row],[Adjusted Res]]+Sales[[#This Row],[Adj Det ]]</f>
        <v>319200</v>
      </c>
      <c r="CV45">
        <f>ROUND((Sales[[#This Row],[Mdl Land Intercept]]+Sales[[#This Row],[Mdl LnAcres]])*Sales[[#This Row],[Det/Nbhd Adj]],-2)</f>
        <v>61100</v>
      </c>
      <c r="CW45">
        <f>Sales[[#This Row],[Adjusted Impr Total]]+Sales[[#This Row],[Adjusted Land Total]]</f>
        <v>380300</v>
      </c>
      <c r="CX45" s="10">
        <f>IFERROR((Sales[[#This Row],[Adjusted Impr Total]]-Sales[[#This Row],[24Bldg]])/Sales[[#This Row],[24Bldg]],0)</f>
        <v>-3.5066505441354291E-2</v>
      </c>
      <c r="CY45" s="10">
        <f>(Sales[[#This Row],[Adjusted Land Total]]-Sales[[#This Row],[24Lnd]])/Sales[[#This Row],[24Lnd]]</f>
        <v>4.9342105263157892E-3</v>
      </c>
      <c r="CZ45">
        <f>(Sales[[#This Row],[Adjusted Total]]-Sales[[#This Row],[24Final]])/Sales[[#This Row],[24Final]]</f>
        <v>-2.8855975485188968E-2</v>
      </c>
      <c r="DA45" s="10">
        <f>(Sales[[#This Row],[Adjusted Total]]+Sales[[#This Row],[Days Prior Total]])/Sales[[#This Row],[Price]]</f>
        <v>0.92465612417625676</v>
      </c>
    </row>
    <row r="46" spans="1:105">
      <c r="A46">
        <v>2025</v>
      </c>
      <c r="B46">
        <v>19120114523</v>
      </c>
      <c r="C46">
        <v>-1.8325814637483102</v>
      </c>
      <c r="D46">
        <v>0.16</v>
      </c>
      <c r="E46">
        <v>7087</v>
      </c>
      <c r="F46">
        <v>2</v>
      </c>
      <c r="G46" t="s">
        <v>155</v>
      </c>
      <c r="H46">
        <v>317</v>
      </c>
      <c r="I46" t="s">
        <v>5</v>
      </c>
      <c r="J46" t="s">
        <v>156</v>
      </c>
      <c r="K46">
        <v>11</v>
      </c>
      <c r="L46">
        <v>259</v>
      </c>
      <c r="M46" t="s">
        <v>157</v>
      </c>
      <c r="N46" t="s">
        <v>19</v>
      </c>
      <c r="O46" t="s">
        <v>24</v>
      </c>
      <c r="P46">
        <v>2022</v>
      </c>
      <c r="Q46">
        <v>2022</v>
      </c>
      <c r="R46">
        <v>10</v>
      </c>
      <c r="S46">
        <v>2</v>
      </c>
      <c r="T46">
        <v>2</v>
      </c>
      <c r="U46">
        <v>1</v>
      </c>
      <c r="V46">
        <v>1592</v>
      </c>
      <c r="W46">
        <v>0</v>
      </c>
      <c r="X46">
        <v>0</v>
      </c>
      <c r="Y46">
        <v>0</v>
      </c>
      <c r="Z46">
        <v>0</v>
      </c>
      <c r="AA46">
        <v>0</v>
      </c>
      <c r="AB46">
        <v>1592</v>
      </c>
      <c r="AC46">
        <v>2000</v>
      </c>
      <c r="AD46">
        <v>2</v>
      </c>
      <c r="AE46" t="s">
        <v>56</v>
      </c>
      <c r="AF46" t="s">
        <v>158</v>
      </c>
      <c r="AG46" t="s">
        <v>21</v>
      </c>
      <c r="AI46">
        <v>0</v>
      </c>
      <c r="AJ46">
        <v>0</v>
      </c>
      <c r="AK46">
        <v>1</v>
      </c>
      <c r="AL46">
        <v>0</v>
      </c>
      <c r="AM46">
        <v>0</v>
      </c>
      <c r="AN46">
        <v>10</v>
      </c>
      <c r="AO46">
        <v>400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100</v>
      </c>
      <c r="AV46">
        <v>100</v>
      </c>
      <c r="AW46">
        <v>289570</v>
      </c>
      <c r="AX46">
        <v>286674</v>
      </c>
      <c r="AY46">
        <v>482</v>
      </c>
      <c r="AZ46">
        <v>365</v>
      </c>
      <c r="BA46">
        <v>117</v>
      </c>
      <c r="BB46">
        <v>0</v>
      </c>
      <c r="BC46" s="2">
        <v>44810</v>
      </c>
      <c r="BD46" t="s">
        <v>205</v>
      </c>
      <c r="BE46">
        <v>415753</v>
      </c>
      <c r="BF46">
        <v>415753</v>
      </c>
      <c r="BG46" t="s">
        <v>160</v>
      </c>
      <c r="BH46">
        <v>30</v>
      </c>
      <c r="BI46" t="s">
        <v>56</v>
      </c>
      <c r="BJ46" t="s">
        <v>161</v>
      </c>
      <c r="BK46">
        <v>393200</v>
      </c>
      <c r="BL46">
        <v>60800</v>
      </c>
      <c r="BM46">
        <v>332400</v>
      </c>
      <c r="BN46">
        <v>0</v>
      </c>
      <c r="BO46">
        <v>390596.96202598809</v>
      </c>
      <c r="BP46">
        <v>395021.2846205532</v>
      </c>
      <c r="BQ46">
        <f>(Sales[[#This Row],[DP1]]*Lookups!$B$61)+(Sales[[#This Row],[DP2]]*Lookups!$B$62)+(Sales[[#This Row],[DP3]]*Lookups!$B$63)</f>
        <v>-4424.3222310000001</v>
      </c>
      <c r="BR46">
        <f>Lookups!$B$58*0.6</f>
        <v>132535.48800000001</v>
      </c>
      <c r="BS46">
        <f>Lookups!$B$58*0.4</f>
        <v>88356.992000000013</v>
      </c>
      <c r="BT46">
        <f>Lookups!$B$59*Sales[[#This Row],[LnAcres]]</f>
        <v>-24051.387388882686</v>
      </c>
      <c r="BU46">
        <f>VLOOKUP(Sales[[#This Row],[Qlty]],Lookups!$A$66:$E$79,2,FALSE)</f>
        <v>37154.252388000001</v>
      </c>
      <c r="BV46">
        <f>VLOOKUP(Sales[[#This Row],[Cnd]],Lookups!$A$80:$E$91,2,FALSE)</f>
        <v>47371.278778200001</v>
      </c>
      <c r="BW46">
        <f>Sales[[#This Row],[EffAge]]*Lookups!$B$65</f>
        <v>-217.48220000000001</v>
      </c>
      <c r="BX46">
        <f>Sales[[#This Row],[MainFn]]*Lookups!$B$90</f>
        <v>99357.324960000013</v>
      </c>
      <c r="BY46">
        <f>Sales[[#This Row],[UpprFn]]*Lookups!$B$91</f>
        <v>0</v>
      </c>
      <c r="BZ46">
        <f>Sales[[#This Row],[Bsmt]]*Lookups!$B$95</f>
        <v>0</v>
      </c>
      <c r="CA46">
        <f>VLOOKUP(Sales[[#This Row],[MsnryTrim]],Lookups!$A$90:$E$99,2,FALSE)</f>
        <v>-9412.7029999999995</v>
      </c>
      <c r="CB46">
        <f>Sales[[#This Row],[PrefabFP]]*Lookups!$B$92</f>
        <v>9807.1044999999995</v>
      </c>
      <c r="CC46">
        <f>Sales[[#This Row],[AttGar]]*Lookups!$B$93</f>
        <v>14120.412400000001</v>
      </c>
      <c r="CD46">
        <f>Sales[[#This Row],[BltinGar]]*Lookups!$B$94</f>
        <v>0</v>
      </c>
      <c r="CE46">
        <f>SUM(Sales[[#This Row],[Days Prior Total]:[Mdl BltinGar]])</f>
        <v>390596.95820631739</v>
      </c>
      <c r="CF46">
        <f>ROUND(Sales[[#This Row],[25Det]],-2)</f>
        <v>0</v>
      </c>
      <c r="CG46">
        <f>ROUND(SUM(Sales[[#This Row],[Mdl Qlty]:[Mdl BltinGar]])+Sales[[#This Row],[Mdl Res Intercept]]+Sales[[#This Row],[Days Prior Total]],-2)</f>
        <v>326300</v>
      </c>
      <c r="CH46">
        <f>ROUND(Sales[[#This Row],[Mdl Land Intercept]]+Sales[[#This Row],[Mdl LnAcres]],-2)</f>
        <v>64300</v>
      </c>
      <c r="CI46">
        <f>Sales[[#This Row],[Unadj Res Value]]+Sales[[#This Row],[Unadj Det Value]]+Sales[[#This Row],[Unadj Land Value]]</f>
        <v>390600</v>
      </c>
      <c r="CJ46" s="10">
        <f>Sales[[#This Row],[Price]]/Sales[[#This Row],[Unadj Total Value]]</f>
        <v>1.0643958013312853</v>
      </c>
      <c r="CK46" s="10">
        <f>(Sales[[#This Row],[Unadj Total Value]]-Sales[[#This Row],[24Final]])/Sales[[#This Row],[24Final]]</f>
        <v>-6.6124109867751781E-3</v>
      </c>
      <c r="CL46">
        <f>VLOOKUP(Sales[[#This Row],[TNbhd]],Lookups!$M$3:$P$5,4,FALSE)</f>
        <v>0.99970000000000003</v>
      </c>
      <c r="CM46">
        <f>VLOOKUP(Sales[[#This Row],[Qlty]],Lookups!$M$8:$P$22,4,FALSE)</f>
        <v>0.99819999999999998</v>
      </c>
      <c r="CN46">
        <f>VLOOKUP(Sales[[#This Row],[Cnd]],Lookups!$R$8:$U$17,4,FALSE)</f>
        <v>1.0012000000000001</v>
      </c>
      <c r="CO46">
        <f>VLOOKUP(Sales[[#This Row],[LivArea Range]],Lookups!$R$25:$U$43,4,FALSE)</f>
        <v>1.0007999999999999</v>
      </c>
      <c r="CP46">
        <f>VLOOKUP(Sales[[#This Row],[Decade]],Lookups!$M$24:$P$40,4,FALSE)</f>
        <v>1.0024</v>
      </c>
      <c r="CQ46">
        <f>Sales[[#This Row],[Nbhd Adj]]*0.95</f>
        <v>0.94971499999999998</v>
      </c>
      <c r="CR46">
        <f>Sales[[#This Row],[Nbhd Adj]]*Sales[[#This Row],[Quality Adj]]*Sales[[#This Row],[Condition Adj]]*Sales[[#This Row],[Living Area Adj]]*Sales[[#This Row],[Decade Adj]]*0.95</f>
        <v>0.95218219995315945</v>
      </c>
      <c r="CS46">
        <f>ROUND(SUM(Sales[[#This Row],[Mdl Qlty]:[Mdl BltinGar]])+Sales[[#This Row],[Mdl Res Intercept]]*Sales[[#This Row],[Res Adj ]],-2)</f>
        <v>324400</v>
      </c>
      <c r="CT46">
        <f>ROUND(Sales[[#This Row],[25Det]]*Sales[[#This Row],[Det/Nbhd Adj]],-2)</f>
        <v>0</v>
      </c>
      <c r="CU46">
        <f>Sales[[#This Row],[Adjusted Res]]+Sales[[#This Row],[Adj Det ]]</f>
        <v>324400</v>
      </c>
      <c r="CV46">
        <f>ROUND((Sales[[#This Row],[Mdl Land Intercept]]+Sales[[#This Row],[Mdl LnAcres]])*Sales[[#This Row],[Det/Nbhd Adj]],-2)</f>
        <v>61100</v>
      </c>
      <c r="CW46">
        <f>Sales[[#This Row],[Adjusted Impr Total]]+Sales[[#This Row],[Adjusted Land Total]]</f>
        <v>385500</v>
      </c>
      <c r="CX46" s="10">
        <f>IFERROR((Sales[[#This Row],[Adjusted Impr Total]]-Sales[[#This Row],[24Bldg]])/Sales[[#This Row],[24Bldg]],0)</f>
        <v>-2.4067388688327317E-2</v>
      </c>
      <c r="CY46" s="10">
        <f>(Sales[[#This Row],[Adjusted Land Total]]-Sales[[#This Row],[24Lnd]])/Sales[[#This Row],[24Lnd]]</f>
        <v>4.9342105263157892E-3</v>
      </c>
      <c r="CZ46">
        <f>(Sales[[#This Row],[Adjusted Total]]-Sales[[#This Row],[24Final]])/Sales[[#This Row],[24Final]]</f>
        <v>-1.9582909460834182E-2</v>
      </c>
      <c r="DA46" s="10">
        <f>(Sales[[#This Row],[Adjusted Total]]+Sales[[#This Row],[Days Prior Total]])/Sales[[#This Row],[Price]]</f>
        <v>0.91659152854940318</v>
      </c>
    </row>
    <row r="47" spans="1:105">
      <c r="A47">
        <v>2025</v>
      </c>
      <c r="B47">
        <v>19120114524</v>
      </c>
      <c r="C47">
        <v>-1.8325814637483102</v>
      </c>
      <c r="D47">
        <v>0.16</v>
      </c>
      <c r="E47">
        <v>7001</v>
      </c>
      <c r="F47">
        <v>2</v>
      </c>
      <c r="G47" t="s">
        <v>155</v>
      </c>
      <c r="H47">
        <v>317</v>
      </c>
      <c r="I47" t="s">
        <v>5</v>
      </c>
      <c r="J47" t="s">
        <v>156</v>
      </c>
      <c r="K47">
        <v>11</v>
      </c>
      <c r="L47">
        <v>259</v>
      </c>
      <c r="M47" t="s">
        <v>157</v>
      </c>
      <c r="N47" t="s">
        <v>19</v>
      </c>
      <c r="O47" t="s">
        <v>24</v>
      </c>
      <c r="P47">
        <v>2022</v>
      </c>
      <c r="Q47">
        <v>2022</v>
      </c>
      <c r="R47">
        <v>10</v>
      </c>
      <c r="S47">
        <v>2</v>
      </c>
      <c r="T47">
        <v>2</v>
      </c>
      <c r="U47">
        <v>1</v>
      </c>
      <c r="V47">
        <v>1452</v>
      </c>
      <c r="W47">
        <v>0</v>
      </c>
      <c r="X47">
        <v>0</v>
      </c>
      <c r="Y47">
        <v>0</v>
      </c>
      <c r="Z47">
        <v>0</v>
      </c>
      <c r="AA47">
        <v>0</v>
      </c>
      <c r="AB47">
        <v>1452</v>
      </c>
      <c r="AC47">
        <v>1500</v>
      </c>
      <c r="AD47">
        <v>2</v>
      </c>
      <c r="AE47" t="s">
        <v>56</v>
      </c>
      <c r="AF47" t="s">
        <v>158</v>
      </c>
      <c r="AG47" t="s">
        <v>21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9</v>
      </c>
      <c r="AO47">
        <v>400</v>
      </c>
      <c r="AP47">
        <v>0</v>
      </c>
      <c r="AQ47">
        <v>0</v>
      </c>
      <c r="AR47">
        <v>0</v>
      </c>
      <c r="AS47">
        <v>100</v>
      </c>
      <c r="AT47">
        <v>0</v>
      </c>
      <c r="AU47">
        <v>100</v>
      </c>
      <c r="AV47">
        <v>100</v>
      </c>
      <c r="AW47">
        <v>257722</v>
      </c>
      <c r="AX47">
        <v>255145</v>
      </c>
      <c r="AY47">
        <v>439</v>
      </c>
      <c r="AZ47">
        <v>365</v>
      </c>
      <c r="BA47">
        <v>74</v>
      </c>
      <c r="BB47">
        <v>0</v>
      </c>
      <c r="BC47" s="2">
        <v>44853</v>
      </c>
      <c r="BD47" t="s">
        <v>206</v>
      </c>
      <c r="BE47">
        <v>375994</v>
      </c>
      <c r="BF47">
        <v>375994</v>
      </c>
      <c r="BG47" t="s">
        <v>160</v>
      </c>
      <c r="BH47">
        <v>30</v>
      </c>
      <c r="BI47" t="s">
        <v>56</v>
      </c>
      <c r="BJ47" t="s">
        <v>161</v>
      </c>
      <c r="BK47">
        <v>373300</v>
      </c>
      <c r="BL47">
        <v>60800</v>
      </c>
      <c r="BM47">
        <v>312500</v>
      </c>
      <c r="BN47">
        <v>0</v>
      </c>
      <c r="BO47">
        <v>374952.47709039238</v>
      </c>
      <c r="BP47">
        <v>376476.72689682012</v>
      </c>
      <c r="BQ47">
        <f>(Sales[[#This Row],[DP1]]*Lookups!$B$61)+(Sales[[#This Row],[DP2]]*Lookups!$B$62)+(Sales[[#This Row],[DP3]]*Lookups!$B$63)</f>
        <v>-1524.2495809999996</v>
      </c>
      <c r="BR47">
        <f>Lookups!$B$58*0.6</f>
        <v>132535.48800000001</v>
      </c>
      <c r="BS47">
        <f>Lookups!$B$58*0.4</f>
        <v>88356.992000000013</v>
      </c>
      <c r="BT47">
        <f>Lookups!$B$59*Sales[[#This Row],[LnAcres]]</f>
        <v>-24051.387388882686</v>
      </c>
      <c r="BU47">
        <f>VLOOKUP(Sales[[#This Row],[Qlty]],Lookups!$A$66:$E$79,2,FALSE)</f>
        <v>37154.252388000001</v>
      </c>
      <c r="BV47">
        <f>VLOOKUP(Sales[[#This Row],[Cnd]],Lookups!$A$80:$E$91,2,FALSE)</f>
        <v>47371.278778200001</v>
      </c>
      <c r="BW47">
        <f>Sales[[#This Row],[EffAge]]*Lookups!$B$65</f>
        <v>-217.48220000000001</v>
      </c>
      <c r="BX47">
        <f>Sales[[#This Row],[MainFn]]*Lookups!$B$90</f>
        <v>90619.871760000009</v>
      </c>
      <c r="BY47">
        <f>Sales[[#This Row],[UpprFn]]*Lookups!$B$91</f>
        <v>0</v>
      </c>
      <c r="BZ47">
        <f>Sales[[#This Row],[Bsmt]]*Lookups!$B$95</f>
        <v>0</v>
      </c>
      <c r="CA47">
        <f>VLOOKUP(Sales[[#This Row],[MsnryTrim]],Lookups!$A$90:$E$99,2,FALSE)</f>
        <v>-9412.7029999999995</v>
      </c>
      <c r="CB47">
        <f>Sales[[#This Row],[PrefabFP]]*Lookups!$B$92</f>
        <v>0</v>
      </c>
      <c r="CC47">
        <f>Sales[[#This Row],[AttGar]]*Lookups!$B$93</f>
        <v>14120.412400000001</v>
      </c>
      <c r="CD47">
        <f>Sales[[#This Row],[BltinGar]]*Lookups!$B$94</f>
        <v>0</v>
      </c>
      <c r="CE47">
        <f>SUM(Sales[[#This Row],[Days Prior Total]:[Mdl BltinGar]])</f>
        <v>374952.47315631737</v>
      </c>
      <c r="CF47">
        <f>ROUND(Sales[[#This Row],[25Det]],-2)</f>
        <v>0</v>
      </c>
      <c r="CG47">
        <f>ROUND(SUM(Sales[[#This Row],[Mdl Qlty]:[Mdl BltinGar]])+Sales[[#This Row],[Mdl Res Intercept]]+Sales[[#This Row],[Days Prior Total]],-2)</f>
        <v>310600</v>
      </c>
      <c r="CH47">
        <f>ROUND(Sales[[#This Row],[Mdl Land Intercept]]+Sales[[#This Row],[Mdl LnAcres]],-2)</f>
        <v>64300</v>
      </c>
      <c r="CI47">
        <f>Sales[[#This Row],[Unadj Res Value]]+Sales[[#This Row],[Unadj Det Value]]+Sales[[#This Row],[Unadj Land Value]]</f>
        <v>374900</v>
      </c>
      <c r="CJ47" s="10">
        <f>Sales[[#This Row],[Price]]/Sales[[#This Row],[Unadj Total Value]]</f>
        <v>1.002918111496399</v>
      </c>
      <c r="CK47" s="10">
        <f>(Sales[[#This Row],[Unadj Total Value]]-Sales[[#This Row],[24Final]])/Sales[[#This Row],[24Final]]</f>
        <v>4.2860969729440132E-3</v>
      </c>
      <c r="CL47">
        <f>VLOOKUP(Sales[[#This Row],[TNbhd]],Lookups!$M$3:$P$5,4,FALSE)</f>
        <v>0.99970000000000003</v>
      </c>
      <c r="CM47">
        <f>VLOOKUP(Sales[[#This Row],[Qlty]],Lookups!$M$8:$P$22,4,FALSE)</f>
        <v>0.99819999999999998</v>
      </c>
      <c r="CN47">
        <f>VLOOKUP(Sales[[#This Row],[Cnd]],Lookups!$R$8:$U$17,4,FALSE)</f>
        <v>1.0012000000000001</v>
      </c>
      <c r="CO47">
        <f>VLOOKUP(Sales[[#This Row],[LivArea Range]],Lookups!$R$25:$U$43,4,FALSE)</f>
        <v>0.99519999999999997</v>
      </c>
      <c r="CP47">
        <f>VLOOKUP(Sales[[#This Row],[Decade]],Lookups!$M$24:$P$40,4,FALSE)</f>
        <v>1.0024</v>
      </c>
      <c r="CQ47">
        <f>Sales[[#This Row],[Nbhd Adj]]*0.95</f>
        <v>0.94971499999999998</v>
      </c>
      <c r="CR47">
        <f>Sales[[#This Row],[Nbhd Adj]]*Sales[[#This Row],[Quality Adj]]*Sales[[#This Row],[Condition Adj]]*Sales[[#This Row],[Living Area Adj]]*Sales[[#This Row],[Decade Adj]]*0.95</f>
        <v>0.94685424199978463</v>
      </c>
      <c r="CS47">
        <f>ROUND(SUM(Sales[[#This Row],[Mdl Qlty]:[Mdl BltinGar]])+Sales[[#This Row],[Mdl Res Intercept]]*Sales[[#This Row],[Res Adj ]],-2)</f>
        <v>305100</v>
      </c>
      <c r="CT47">
        <f>ROUND(Sales[[#This Row],[25Det]]*Sales[[#This Row],[Det/Nbhd Adj]],-2)</f>
        <v>0</v>
      </c>
      <c r="CU47">
        <f>Sales[[#This Row],[Adjusted Res]]+Sales[[#This Row],[Adj Det ]]</f>
        <v>305100</v>
      </c>
      <c r="CV47">
        <f>ROUND((Sales[[#This Row],[Mdl Land Intercept]]+Sales[[#This Row],[Mdl LnAcres]])*Sales[[#This Row],[Det/Nbhd Adj]],-2)</f>
        <v>61100</v>
      </c>
      <c r="CW47">
        <f>Sales[[#This Row],[Adjusted Impr Total]]+Sales[[#This Row],[Adjusted Land Total]]</f>
        <v>366200</v>
      </c>
      <c r="CX47" s="10">
        <f>IFERROR((Sales[[#This Row],[Adjusted Impr Total]]-Sales[[#This Row],[24Bldg]])/Sales[[#This Row],[24Bldg]],0)</f>
        <v>-2.368E-2</v>
      </c>
      <c r="CY47" s="10">
        <f>(Sales[[#This Row],[Adjusted Land Total]]-Sales[[#This Row],[24Lnd]])/Sales[[#This Row],[24Lnd]]</f>
        <v>4.9342105263157892E-3</v>
      </c>
      <c r="CZ47">
        <f>(Sales[[#This Row],[Adjusted Total]]-Sales[[#This Row],[24Final]])/Sales[[#This Row],[24Final]]</f>
        <v>-1.9019555317439058E-2</v>
      </c>
      <c r="DA47" s="10">
        <f>(Sales[[#This Row],[Adjusted Total]]+Sales[[#This Row],[Days Prior Total]])/Sales[[#This Row],[Price]]</f>
        <v>0.969897792036575</v>
      </c>
    </row>
    <row r="48" spans="1:105">
      <c r="A48">
        <v>2025</v>
      </c>
      <c r="B48">
        <v>19120114525</v>
      </c>
      <c r="C48">
        <v>-1.8325814637483102</v>
      </c>
      <c r="D48">
        <v>0.16</v>
      </c>
      <c r="E48">
        <v>7002</v>
      </c>
      <c r="F48">
        <v>2</v>
      </c>
      <c r="G48" t="s">
        <v>155</v>
      </c>
      <c r="H48">
        <v>317</v>
      </c>
      <c r="I48" t="s">
        <v>5</v>
      </c>
      <c r="J48" t="s">
        <v>156</v>
      </c>
      <c r="K48">
        <v>11</v>
      </c>
      <c r="L48">
        <v>259</v>
      </c>
      <c r="M48" t="s">
        <v>157</v>
      </c>
      <c r="N48" t="s">
        <v>19</v>
      </c>
      <c r="O48" t="s">
        <v>24</v>
      </c>
      <c r="P48">
        <v>2022</v>
      </c>
      <c r="Q48">
        <v>2022</v>
      </c>
      <c r="R48">
        <v>10</v>
      </c>
      <c r="S48">
        <v>2</v>
      </c>
      <c r="T48">
        <v>2</v>
      </c>
      <c r="U48">
        <v>1</v>
      </c>
      <c r="V48">
        <v>1619</v>
      </c>
      <c r="W48">
        <v>0</v>
      </c>
      <c r="X48">
        <v>0</v>
      </c>
      <c r="Y48">
        <v>0</v>
      </c>
      <c r="Z48">
        <v>0</v>
      </c>
      <c r="AA48">
        <v>0</v>
      </c>
      <c r="AB48">
        <v>1619</v>
      </c>
      <c r="AC48">
        <v>2000</v>
      </c>
      <c r="AD48">
        <v>2</v>
      </c>
      <c r="AE48" t="s">
        <v>56</v>
      </c>
      <c r="AF48" t="s">
        <v>158</v>
      </c>
      <c r="AG48" t="s">
        <v>21</v>
      </c>
      <c r="AI48">
        <v>0</v>
      </c>
      <c r="AJ48">
        <v>0</v>
      </c>
      <c r="AK48">
        <v>0</v>
      </c>
      <c r="AL48">
        <v>1</v>
      </c>
      <c r="AM48">
        <v>0</v>
      </c>
      <c r="AN48">
        <v>9</v>
      </c>
      <c r="AO48">
        <v>480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100</v>
      </c>
      <c r="AV48">
        <v>100</v>
      </c>
      <c r="AW48">
        <v>290160</v>
      </c>
      <c r="AX48">
        <v>287258</v>
      </c>
      <c r="AY48">
        <v>457</v>
      </c>
      <c r="AZ48">
        <v>365</v>
      </c>
      <c r="BA48">
        <v>92</v>
      </c>
      <c r="BB48">
        <v>0</v>
      </c>
      <c r="BC48" s="2">
        <v>44835</v>
      </c>
      <c r="BD48" t="s">
        <v>207</v>
      </c>
      <c r="BE48">
        <v>405385</v>
      </c>
      <c r="BF48">
        <v>405385</v>
      </c>
      <c r="BG48" t="s">
        <v>160</v>
      </c>
      <c r="BH48">
        <v>30</v>
      </c>
      <c r="BI48" t="s">
        <v>56</v>
      </c>
      <c r="BJ48" t="s">
        <v>161</v>
      </c>
      <c r="BK48">
        <v>398100</v>
      </c>
      <c r="BL48">
        <v>60800</v>
      </c>
      <c r="BM48">
        <v>337300</v>
      </c>
      <c r="BN48">
        <v>0</v>
      </c>
      <c r="BO48">
        <v>386985.10904765228</v>
      </c>
      <c r="BP48">
        <v>389723.34281190502</v>
      </c>
      <c r="BQ48">
        <f>(Sales[[#This Row],[DP1]]*Lookups!$B$61)+(Sales[[#This Row],[DP2]]*Lookups!$B$62)+(Sales[[#This Row],[DP3]]*Lookups!$B$63)</f>
        <v>-2738.2334809999998</v>
      </c>
      <c r="BR48">
        <f>Lookups!$B$58*0.6</f>
        <v>132535.48800000001</v>
      </c>
      <c r="BS48">
        <f>Lookups!$B$58*0.4</f>
        <v>88356.992000000013</v>
      </c>
      <c r="BT48">
        <f>Lookups!$B$59*Sales[[#This Row],[LnAcres]]</f>
        <v>-24051.387388882686</v>
      </c>
      <c r="BU48">
        <f>VLOOKUP(Sales[[#This Row],[Qlty]],Lookups!$A$66:$E$79,2,FALSE)</f>
        <v>37154.252388000001</v>
      </c>
      <c r="BV48">
        <f>VLOOKUP(Sales[[#This Row],[Cnd]],Lookups!$A$80:$E$91,2,FALSE)</f>
        <v>47371.278778200001</v>
      </c>
      <c r="BW48">
        <f>Sales[[#This Row],[EffAge]]*Lookups!$B$65</f>
        <v>-217.48220000000001</v>
      </c>
      <c r="BX48">
        <f>Sales[[#This Row],[MainFn]]*Lookups!$B$90</f>
        <v>101042.40522</v>
      </c>
      <c r="BY48">
        <f>Sales[[#This Row],[UpprFn]]*Lookups!$B$91</f>
        <v>0</v>
      </c>
      <c r="BZ48">
        <f>Sales[[#This Row],[Bsmt]]*Lookups!$B$95</f>
        <v>0</v>
      </c>
      <c r="CA48">
        <f>VLOOKUP(Sales[[#This Row],[MsnryTrim]],Lookups!$A$90:$E$99,2,FALSE)</f>
        <v>-9412.7029999999995</v>
      </c>
      <c r="CB48">
        <f>Sales[[#This Row],[PrefabFP]]*Lookups!$B$92</f>
        <v>0</v>
      </c>
      <c r="CC48">
        <f>Sales[[#This Row],[AttGar]]*Lookups!$B$93</f>
        <v>16944.494880000002</v>
      </c>
      <c r="CD48">
        <f>Sales[[#This Row],[BltinGar]]*Lookups!$B$94</f>
        <v>0</v>
      </c>
      <c r="CE48">
        <f>SUM(Sales[[#This Row],[Days Prior Total]:[Mdl BltinGar]])</f>
        <v>386985.10519631737</v>
      </c>
      <c r="CF48">
        <f>ROUND(Sales[[#This Row],[25Det]],-2)</f>
        <v>0</v>
      </c>
      <c r="CG48">
        <f>ROUND(SUM(Sales[[#This Row],[Mdl Qlty]:[Mdl BltinGar]])+Sales[[#This Row],[Mdl Res Intercept]]+Sales[[#This Row],[Days Prior Total]],-2)</f>
        <v>322700</v>
      </c>
      <c r="CH48">
        <f>ROUND(Sales[[#This Row],[Mdl Land Intercept]]+Sales[[#This Row],[Mdl LnAcres]],-2)</f>
        <v>64300</v>
      </c>
      <c r="CI48">
        <f>Sales[[#This Row],[Unadj Res Value]]+Sales[[#This Row],[Unadj Det Value]]+Sales[[#This Row],[Unadj Land Value]]</f>
        <v>387000</v>
      </c>
      <c r="CJ48" s="10">
        <f>Sales[[#This Row],[Price]]/Sales[[#This Row],[Unadj Total Value]]</f>
        <v>1.0475064599483204</v>
      </c>
      <c r="CK48" s="10">
        <f>(Sales[[#This Row],[Unadj Total Value]]-Sales[[#This Row],[24Final]])/Sales[[#This Row],[24Final]]</f>
        <v>-2.7882441597588545E-2</v>
      </c>
      <c r="CL48">
        <f>VLOOKUP(Sales[[#This Row],[TNbhd]],Lookups!$M$3:$P$5,4,FALSE)</f>
        <v>0.99970000000000003</v>
      </c>
      <c r="CM48">
        <f>VLOOKUP(Sales[[#This Row],[Qlty]],Lookups!$M$8:$P$22,4,FALSE)</f>
        <v>0.99819999999999998</v>
      </c>
      <c r="CN48">
        <f>VLOOKUP(Sales[[#This Row],[Cnd]],Lookups!$R$8:$U$17,4,FALSE)</f>
        <v>1.0012000000000001</v>
      </c>
      <c r="CO48">
        <f>VLOOKUP(Sales[[#This Row],[LivArea Range]],Lookups!$R$25:$U$43,4,FALSE)</f>
        <v>1.0007999999999999</v>
      </c>
      <c r="CP48">
        <f>VLOOKUP(Sales[[#This Row],[Decade]],Lookups!$M$24:$P$40,4,FALSE)</f>
        <v>1.0024</v>
      </c>
      <c r="CQ48">
        <f>Sales[[#This Row],[Nbhd Adj]]*0.95</f>
        <v>0.94971499999999998</v>
      </c>
      <c r="CR48">
        <f>Sales[[#This Row],[Nbhd Adj]]*Sales[[#This Row],[Quality Adj]]*Sales[[#This Row],[Condition Adj]]*Sales[[#This Row],[Living Area Adj]]*Sales[[#This Row],[Decade Adj]]*0.95</f>
        <v>0.95218219995315945</v>
      </c>
      <c r="CS48">
        <f>ROUND(SUM(Sales[[#This Row],[Mdl Qlty]:[Mdl BltinGar]])+Sales[[#This Row],[Mdl Res Intercept]]*Sales[[#This Row],[Res Adj ]],-2)</f>
        <v>319100</v>
      </c>
      <c r="CT48">
        <f>ROUND(Sales[[#This Row],[25Det]]*Sales[[#This Row],[Det/Nbhd Adj]],-2)</f>
        <v>0</v>
      </c>
      <c r="CU48">
        <f>Sales[[#This Row],[Adjusted Res]]+Sales[[#This Row],[Adj Det ]]</f>
        <v>319100</v>
      </c>
      <c r="CV48">
        <f>ROUND((Sales[[#This Row],[Mdl Land Intercept]]+Sales[[#This Row],[Mdl LnAcres]])*Sales[[#This Row],[Det/Nbhd Adj]],-2)</f>
        <v>61100</v>
      </c>
      <c r="CW48">
        <f>Sales[[#This Row],[Adjusted Impr Total]]+Sales[[#This Row],[Adjusted Land Total]]</f>
        <v>380200</v>
      </c>
      <c r="CX48" s="10">
        <f>IFERROR((Sales[[#This Row],[Adjusted Impr Total]]-Sales[[#This Row],[24Bldg]])/Sales[[#This Row],[24Bldg]],0)</f>
        <v>-5.3957900978357544E-2</v>
      </c>
      <c r="CY48" s="10">
        <f>(Sales[[#This Row],[Adjusted Land Total]]-Sales[[#This Row],[24Lnd]])/Sales[[#This Row],[24Lnd]]</f>
        <v>4.9342105263157892E-3</v>
      </c>
      <c r="CZ48">
        <f>(Sales[[#This Row],[Adjusted Total]]-Sales[[#This Row],[24Final]])/Sales[[#This Row],[24Final]]</f>
        <v>-4.4963576990705856E-2</v>
      </c>
      <c r="DA48" s="10">
        <f>(Sales[[#This Row],[Adjusted Total]]+Sales[[#This Row],[Days Prior Total]])/Sales[[#This Row],[Price]]</f>
        <v>0.93111922374779532</v>
      </c>
    </row>
    <row r="49" spans="1:105">
      <c r="A49">
        <v>2025</v>
      </c>
      <c r="B49">
        <v>19120114527</v>
      </c>
      <c r="C49">
        <v>-1.8325814637483102</v>
      </c>
      <c r="D49">
        <v>0.16</v>
      </c>
      <c r="E49">
        <v>7001</v>
      </c>
      <c r="F49">
        <v>2</v>
      </c>
      <c r="G49" t="s">
        <v>155</v>
      </c>
      <c r="H49">
        <v>317</v>
      </c>
      <c r="I49" t="s">
        <v>5</v>
      </c>
      <c r="J49" t="s">
        <v>156</v>
      </c>
      <c r="K49">
        <v>11</v>
      </c>
      <c r="L49">
        <v>259</v>
      </c>
      <c r="M49" t="s">
        <v>157</v>
      </c>
      <c r="N49" t="s">
        <v>19</v>
      </c>
      <c r="O49" t="s">
        <v>24</v>
      </c>
      <c r="P49">
        <v>2022</v>
      </c>
      <c r="Q49">
        <v>2022</v>
      </c>
      <c r="R49">
        <v>10</v>
      </c>
      <c r="S49">
        <v>2</v>
      </c>
      <c r="T49">
        <v>2</v>
      </c>
      <c r="U49">
        <v>1</v>
      </c>
      <c r="V49">
        <v>1464</v>
      </c>
      <c r="W49">
        <v>0</v>
      </c>
      <c r="X49">
        <v>0</v>
      </c>
      <c r="Y49">
        <v>0</v>
      </c>
      <c r="Z49">
        <v>0</v>
      </c>
      <c r="AA49">
        <v>0</v>
      </c>
      <c r="AB49">
        <v>1464</v>
      </c>
      <c r="AC49">
        <v>1500</v>
      </c>
      <c r="AD49">
        <v>2</v>
      </c>
      <c r="AE49" t="s">
        <v>56</v>
      </c>
      <c r="AF49" t="s">
        <v>158</v>
      </c>
      <c r="AG49" t="s">
        <v>21</v>
      </c>
      <c r="AI49">
        <v>0</v>
      </c>
      <c r="AJ49">
        <v>0</v>
      </c>
      <c r="AK49">
        <v>1</v>
      </c>
      <c r="AL49">
        <v>0</v>
      </c>
      <c r="AM49">
        <v>0</v>
      </c>
      <c r="AN49">
        <v>9</v>
      </c>
      <c r="AO49">
        <v>400</v>
      </c>
      <c r="AP49">
        <v>0</v>
      </c>
      <c r="AQ49">
        <v>0</v>
      </c>
      <c r="AR49">
        <v>0</v>
      </c>
      <c r="AS49">
        <v>100</v>
      </c>
      <c r="AT49">
        <v>0</v>
      </c>
      <c r="AU49">
        <v>100</v>
      </c>
      <c r="AV49">
        <v>100</v>
      </c>
      <c r="AW49">
        <v>262619</v>
      </c>
      <c r="AX49">
        <v>259993</v>
      </c>
      <c r="AY49">
        <v>440</v>
      </c>
      <c r="AZ49">
        <v>365</v>
      </c>
      <c r="BA49">
        <v>75</v>
      </c>
      <c r="BB49">
        <v>0</v>
      </c>
      <c r="BC49" s="2">
        <v>44852</v>
      </c>
      <c r="BD49" t="s">
        <v>208</v>
      </c>
      <c r="BE49">
        <v>374990</v>
      </c>
      <c r="BF49">
        <v>374990</v>
      </c>
      <c r="BG49" t="s">
        <v>160</v>
      </c>
      <c r="BH49">
        <v>30</v>
      </c>
      <c r="BI49" t="s">
        <v>56</v>
      </c>
      <c r="BJ49" t="s">
        <v>161</v>
      </c>
      <c r="BK49">
        <v>373900</v>
      </c>
      <c r="BL49">
        <v>60800</v>
      </c>
      <c r="BM49">
        <v>313100</v>
      </c>
      <c r="BN49">
        <v>0</v>
      </c>
      <c r="BO49">
        <v>385441.06261784275</v>
      </c>
      <c r="BP49">
        <v>387032.755977483</v>
      </c>
      <c r="BQ49">
        <f>(Sales[[#This Row],[DP1]]*Lookups!$B$61)+(Sales[[#This Row],[DP2]]*Lookups!$B$62)+(Sales[[#This Row],[DP3]]*Lookups!$B$63)</f>
        <v>-1591.6931310000004</v>
      </c>
      <c r="BR49">
        <f>Lookups!$B$58*0.6</f>
        <v>132535.48800000001</v>
      </c>
      <c r="BS49">
        <f>Lookups!$B$58*0.4</f>
        <v>88356.992000000013</v>
      </c>
      <c r="BT49">
        <f>Lookups!$B$59*Sales[[#This Row],[LnAcres]]</f>
        <v>-24051.387388882686</v>
      </c>
      <c r="BU49">
        <f>VLOOKUP(Sales[[#This Row],[Qlty]],Lookups!$A$66:$E$79,2,FALSE)</f>
        <v>37154.252388000001</v>
      </c>
      <c r="BV49">
        <f>VLOOKUP(Sales[[#This Row],[Cnd]],Lookups!$A$80:$E$91,2,FALSE)</f>
        <v>47371.278778200001</v>
      </c>
      <c r="BW49">
        <f>Sales[[#This Row],[EffAge]]*Lookups!$B$65</f>
        <v>-217.48220000000001</v>
      </c>
      <c r="BX49">
        <f>Sales[[#This Row],[MainFn]]*Lookups!$B$90</f>
        <v>91368.796320000009</v>
      </c>
      <c r="BY49">
        <f>Sales[[#This Row],[UpprFn]]*Lookups!$B$91</f>
        <v>0</v>
      </c>
      <c r="BZ49">
        <f>Sales[[#This Row],[Bsmt]]*Lookups!$B$95</f>
        <v>0</v>
      </c>
      <c r="CA49">
        <f>VLOOKUP(Sales[[#This Row],[MsnryTrim]],Lookups!$A$90:$E$99,2,FALSE)</f>
        <v>-9412.7029999999995</v>
      </c>
      <c r="CB49">
        <f>Sales[[#This Row],[PrefabFP]]*Lookups!$B$92</f>
        <v>9807.1044999999995</v>
      </c>
      <c r="CC49">
        <f>Sales[[#This Row],[AttGar]]*Lookups!$B$93</f>
        <v>14120.412400000001</v>
      </c>
      <c r="CD49">
        <f>Sales[[#This Row],[BltinGar]]*Lookups!$B$94</f>
        <v>0</v>
      </c>
      <c r="CE49">
        <f>SUM(Sales[[#This Row],[Days Prior Total]:[Mdl BltinGar]])</f>
        <v>385441.05866631737</v>
      </c>
      <c r="CF49">
        <f>ROUND(Sales[[#This Row],[25Det]],-2)</f>
        <v>0</v>
      </c>
      <c r="CG49">
        <f>ROUND(SUM(Sales[[#This Row],[Mdl Qlty]:[Mdl BltinGar]])+Sales[[#This Row],[Mdl Res Intercept]]+Sales[[#This Row],[Days Prior Total]],-2)</f>
        <v>321100</v>
      </c>
      <c r="CH49">
        <f>ROUND(Sales[[#This Row],[Mdl Land Intercept]]+Sales[[#This Row],[Mdl LnAcres]],-2)</f>
        <v>64300</v>
      </c>
      <c r="CI49">
        <f>Sales[[#This Row],[Unadj Res Value]]+Sales[[#This Row],[Unadj Det Value]]+Sales[[#This Row],[Unadj Land Value]]</f>
        <v>385400</v>
      </c>
      <c r="CJ49" s="10">
        <f>Sales[[#This Row],[Price]]/Sales[[#This Row],[Unadj Total Value]]</f>
        <v>0.97298910223144786</v>
      </c>
      <c r="CK49" s="10">
        <f>(Sales[[#This Row],[Unadj Total Value]]-Sales[[#This Row],[24Final]])/Sales[[#This Row],[24Final]]</f>
        <v>3.0756886868146562E-2</v>
      </c>
      <c r="CL49">
        <f>VLOOKUP(Sales[[#This Row],[TNbhd]],Lookups!$M$3:$P$5,4,FALSE)</f>
        <v>0.99970000000000003</v>
      </c>
      <c r="CM49">
        <f>VLOOKUP(Sales[[#This Row],[Qlty]],Lookups!$M$8:$P$22,4,FALSE)</f>
        <v>0.99819999999999998</v>
      </c>
      <c r="CN49">
        <f>VLOOKUP(Sales[[#This Row],[Cnd]],Lookups!$R$8:$U$17,4,FALSE)</f>
        <v>1.0012000000000001</v>
      </c>
      <c r="CO49">
        <f>VLOOKUP(Sales[[#This Row],[LivArea Range]],Lookups!$R$25:$U$43,4,FALSE)</f>
        <v>0.99519999999999997</v>
      </c>
      <c r="CP49">
        <f>VLOOKUP(Sales[[#This Row],[Decade]],Lookups!$M$24:$P$40,4,FALSE)</f>
        <v>1.0024</v>
      </c>
      <c r="CQ49">
        <f>Sales[[#This Row],[Nbhd Adj]]*0.95</f>
        <v>0.94971499999999998</v>
      </c>
      <c r="CR49">
        <f>Sales[[#This Row],[Nbhd Adj]]*Sales[[#This Row],[Quality Adj]]*Sales[[#This Row],[Condition Adj]]*Sales[[#This Row],[Living Area Adj]]*Sales[[#This Row],[Decade Adj]]*0.95</f>
        <v>0.94685424199978463</v>
      </c>
      <c r="CS49">
        <f>ROUND(SUM(Sales[[#This Row],[Mdl Qlty]:[Mdl BltinGar]])+Sales[[#This Row],[Mdl Res Intercept]]*Sales[[#This Row],[Res Adj ]],-2)</f>
        <v>315700</v>
      </c>
      <c r="CT49">
        <f>ROUND(Sales[[#This Row],[25Det]]*Sales[[#This Row],[Det/Nbhd Adj]],-2)</f>
        <v>0</v>
      </c>
      <c r="CU49">
        <f>Sales[[#This Row],[Adjusted Res]]+Sales[[#This Row],[Adj Det ]]</f>
        <v>315700</v>
      </c>
      <c r="CV49">
        <f>ROUND((Sales[[#This Row],[Mdl Land Intercept]]+Sales[[#This Row],[Mdl LnAcres]])*Sales[[#This Row],[Det/Nbhd Adj]],-2)</f>
        <v>61100</v>
      </c>
      <c r="CW49">
        <f>Sales[[#This Row],[Adjusted Impr Total]]+Sales[[#This Row],[Adjusted Land Total]]</f>
        <v>376800</v>
      </c>
      <c r="CX49" s="10">
        <f>IFERROR((Sales[[#This Row],[Adjusted Impr Total]]-Sales[[#This Row],[24Bldg]])/Sales[[#This Row],[24Bldg]],0)</f>
        <v>8.30405621207282E-3</v>
      </c>
      <c r="CY49" s="10">
        <f>(Sales[[#This Row],[Adjusted Land Total]]-Sales[[#This Row],[24Lnd]])/Sales[[#This Row],[24Lnd]]</f>
        <v>4.9342105263157892E-3</v>
      </c>
      <c r="CZ49">
        <f>(Sales[[#This Row],[Adjusted Total]]-Sales[[#This Row],[24Final]])/Sales[[#This Row],[24Final]]</f>
        <v>7.75608451457609E-3</v>
      </c>
      <c r="DA49" s="10">
        <f>(Sales[[#This Row],[Adjusted Total]]+Sales[[#This Row],[Days Prior Total]])/Sales[[#This Row],[Price]]</f>
        <v>1.0005821671751247</v>
      </c>
    </row>
    <row r="50" spans="1:105">
      <c r="A50">
        <v>2025</v>
      </c>
      <c r="B50">
        <v>19120114528</v>
      </c>
      <c r="C50">
        <v>-1.8325814637483102</v>
      </c>
      <c r="D50">
        <v>0.16</v>
      </c>
      <c r="E50">
        <v>7001</v>
      </c>
      <c r="F50">
        <v>2</v>
      </c>
      <c r="G50" t="s">
        <v>155</v>
      </c>
      <c r="H50">
        <v>317</v>
      </c>
      <c r="I50" t="s">
        <v>5</v>
      </c>
      <c r="J50" t="s">
        <v>156</v>
      </c>
      <c r="K50">
        <v>11</v>
      </c>
      <c r="L50">
        <v>259</v>
      </c>
      <c r="M50" t="s">
        <v>157</v>
      </c>
      <c r="N50" t="s">
        <v>19</v>
      </c>
      <c r="O50" t="s">
        <v>24</v>
      </c>
      <c r="P50">
        <v>2022</v>
      </c>
      <c r="Q50">
        <v>2022</v>
      </c>
      <c r="R50">
        <v>10</v>
      </c>
      <c r="S50">
        <v>2</v>
      </c>
      <c r="T50">
        <v>2</v>
      </c>
      <c r="U50">
        <v>1</v>
      </c>
      <c r="V50">
        <v>1580</v>
      </c>
      <c r="W50">
        <v>0</v>
      </c>
      <c r="X50">
        <v>0</v>
      </c>
      <c r="Y50">
        <v>0</v>
      </c>
      <c r="Z50">
        <v>0</v>
      </c>
      <c r="AA50">
        <v>0</v>
      </c>
      <c r="AB50">
        <v>1580</v>
      </c>
      <c r="AC50">
        <v>2000</v>
      </c>
      <c r="AD50">
        <v>2</v>
      </c>
      <c r="AE50" t="s">
        <v>56</v>
      </c>
      <c r="AF50" t="s">
        <v>158</v>
      </c>
      <c r="AG50" t="s">
        <v>21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9</v>
      </c>
      <c r="AO50">
        <v>400</v>
      </c>
      <c r="AP50">
        <v>0</v>
      </c>
      <c r="AQ50">
        <v>0</v>
      </c>
      <c r="AR50">
        <v>0</v>
      </c>
      <c r="AS50">
        <v>100</v>
      </c>
      <c r="AT50">
        <v>0</v>
      </c>
      <c r="AU50">
        <v>100</v>
      </c>
      <c r="AV50">
        <v>100</v>
      </c>
      <c r="AW50">
        <v>279658</v>
      </c>
      <c r="AX50">
        <v>276861</v>
      </c>
      <c r="AY50">
        <v>509</v>
      </c>
      <c r="AZ50">
        <v>365</v>
      </c>
      <c r="BA50">
        <v>144</v>
      </c>
      <c r="BB50">
        <v>0</v>
      </c>
      <c r="BC50" s="2">
        <v>44783</v>
      </c>
      <c r="BD50" t="s">
        <v>209</v>
      </c>
      <c r="BE50">
        <v>385265</v>
      </c>
      <c r="BF50">
        <v>385265</v>
      </c>
      <c r="BG50" t="s">
        <v>160</v>
      </c>
      <c r="BH50">
        <v>30</v>
      </c>
      <c r="BI50" t="s">
        <v>56</v>
      </c>
      <c r="BJ50" t="s">
        <v>161</v>
      </c>
      <c r="BK50">
        <v>386900</v>
      </c>
      <c r="BL50">
        <v>60800</v>
      </c>
      <c r="BM50">
        <v>326100</v>
      </c>
      <c r="BN50">
        <v>0</v>
      </c>
      <c r="BO50">
        <v>378219.95700858778</v>
      </c>
      <c r="BP50">
        <v>384465.25553989032</v>
      </c>
      <c r="BQ50">
        <f>(Sales[[#This Row],[DP1]]*Lookups!$B$61)+(Sales[[#This Row],[DP2]]*Lookups!$B$62)+(Sales[[#This Row],[DP3]]*Lookups!$B$63)</f>
        <v>-6245.298080999999</v>
      </c>
      <c r="BR50">
        <f>Lookups!$B$58*0.6</f>
        <v>132535.48800000001</v>
      </c>
      <c r="BS50">
        <f>Lookups!$B$58*0.4</f>
        <v>88356.992000000013</v>
      </c>
      <c r="BT50">
        <f>Lookups!$B$59*Sales[[#This Row],[LnAcres]]</f>
        <v>-24051.387388882686</v>
      </c>
      <c r="BU50">
        <f>VLOOKUP(Sales[[#This Row],[Qlty]],Lookups!$A$66:$E$79,2,FALSE)</f>
        <v>37154.252388000001</v>
      </c>
      <c r="BV50">
        <f>VLOOKUP(Sales[[#This Row],[Cnd]],Lookups!$A$80:$E$91,2,FALSE)</f>
        <v>47371.278778200001</v>
      </c>
      <c r="BW50">
        <f>Sales[[#This Row],[EffAge]]*Lookups!$B$65</f>
        <v>-217.48220000000001</v>
      </c>
      <c r="BX50">
        <f>Sales[[#This Row],[MainFn]]*Lookups!$B$90</f>
        <v>98608.400399999999</v>
      </c>
      <c r="BY50">
        <f>Sales[[#This Row],[UpprFn]]*Lookups!$B$91</f>
        <v>0</v>
      </c>
      <c r="BZ50">
        <f>Sales[[#This Row],[Bsmt]]*Lookups!$B$95</f>
        <v>0</v>
      </c>
      <c r="CA50">
        <f>VLOOKUP(Sales[[#This Row],[MsnryTrim]],Lookups!$A$90:$E$99,2,FALSE)</f>
        <v>-9412.7029999999995</v>
      </c>
      <c r="CB50">
        <f>Sales[[#This Row],[PrefabFP]]*Lookups!$B$92</f>
        <v>0</v>
      </c>
      <c r="CC50">
        <f>Sales[[#This Row],[AttGar]]*Lookups!$B$93</f>
        <v>14120.412400000001</v>
      </c>
      <c r="CD50">
        <f>Sales[[#This Row],[BltinGar]]*Lookups!$B$94</f>
        <v>0</v>
      </c>
      <c r="CE50">
        <f>SUM(Sales[[#This Row],[Days Prior Total]:[Mdl BltinGar]])</f>
        <v>378219.95329631725</v>
      </c>
      <c r="CF50">
        <f>ROUND(Sales[[#This Row],[25Det]],-2)</f>
        <v>0</v>
      </c>
      <c r="CG50">
        <f>ROUND(SUM(Sales[[#This Row],[Mdl Qlty]:[Mdl BltinGar]])+Sales[[#This Row],[Mdl Res Intercept]]+Sales[[#This Row],[Days Prior Total]],-2)</f>
        <v>313900</v>
      </c>
      <c r="CH50">
        <f>ROUND(Sales[[#This Row],[Mdl Land Intercept]]+Sales[[#This Row],[Mdl LnAcres]],-2)</f>
        <v>64300</v>
      </c>
      <c r="CI50">
        <f>Sales[[#This Row],[Unadj Res Value]]+Sales[[#This Row],[Unadj Det Value]]+Sales[[#This Row],[Unadj Land Value]]</f>
        <v>378200</v>
      </c>
      <c r="CJ50" s="10">
        <f>Sales[[#This Row],[Price]]/Sales[[#This Row],[Unadj Total Value]]</f>
        <v>1.0186805922792173</v>
      </c>
      <c r="CK50" s="10">
        <f>(Sales[[#This Row],[Unadj Total Value]]-Sales[[#This Row],[24Final]])/Sales[[#This Row],[24Final]]</f>
        <v>-2.2486430602222798E-2</v>
      </c>
      <c r="CL50">
        <f>VLOOKUP(Sales[[#This Row],[TNbhd]],Lookups!$M$3:$P$5,4,FALSE)</f>
        <v>0.99970000000000003</v>
      </c>
      <c r="CM50">
        <f>VLOOKUP(Sales[[#This Row],[Qlty]],Lookups!$M$8:$P$22,4,FALSE)</f>
        <v>0.99819999999999998</v>
      </c>
      <c r="CN50">
        <f>VLOOKUP(Sales[[#This Row],[Cnd]],Lookups!$R$8:$U$17,4,FALSE)</f>
        <v>1.0012000000000001</v>
      </c>
      <c r="CO50">
        <f>VLOOKUP(Sales[[#This Row],[LivArea Range]],Lookups!$R$25:$U$43,4,FALSE)</f>
        <v>1.0007999999999999</v>
      </c>
      <c r="CP50">
        <f>VLOOKUP(Sales[[#This Row],[Decade]],Lookups!$M$24:$P$40,4,FALSE)</f>
        <v>1.0024</v>
      </c>
      <c r="CQ50">
        <f>Sales[[#This Row],[Nbhd Adj]]*0.95</f>
        <v>0.94971499999999998</v>
      </c>
      <c r="CR50">
        <f>Sales[[#This Row],[Nbhd Adj]]*Sales[[#This Row],[Quality Adj]]*Sales[[#This Row],[Condition Adj]]*Sales[[#This Row],[Living Area Adj]]*Sales[[#This Row],[Decade Adj]]*0.95</f>
        <v>0.95218219995315945</v>
      </c>
      <c r="CS50">
        <f>ROUND(SUM(Sales[[#This Row],[Mdl Qlty]:[Mdl BltinGar]])+Sales[[#This Row],[Mdl Res Intercept]]*Sales[[#This Row],[Res Adj ]],-2)</f>
        <v>313800</v>
      </c>
      <c r="CT50">
        <f>ROUND(Sales[[#This Row],[25Det]]*Sales[[#This Row],[Det/Nbhd Adj]],-2)</f>
        <v>0</v>
      </c>
      <c r="CU50">
        <f>Sales[[#This Row],[Adjusted Res]]+Sales[[#This Row],[Adj Det ]]</f>
        <v>313800</v>
      </c>
      <c r="CV50">
        <f>ROUND((Sales[[#This Row],[Mdl Land Intercept]]+Sales[[#This Row],[Mdl LnAcres]])*Sales[[#This Row],[Det/Nbhd Adj]],-2)</f>
        <v>61100</v>
      </c>
      <c r="CW50">
        <f>Sales[[#This Row],[Adjusted Impr Total]]+Sales[[#This Row],[Adjusted Land Total]]</f>
        <v>374900</v>
      </c>
      <c r="CX50" s="10">
        <f>IFERROR((Sales[[#This Row],[Adjusted Impr Total]]-Sales[[#This Row],[24Bldg]])/Sales[[#This Row],[24Bldg]],0)</f>
        <v>-3.7718491260349589E-2</v>
      </c>
      <c r="CY50" s="10">
        <f>(Sales[[#This Row],[Adjusted Land Total]]-Sales[[#This Row],[24Lnd]])/Sales[[#This Row],[24Lnd]]</f>
        <v>4.9342105263157892E-3</v>
      </c>
      <c r="CZ50">
        <f>(Sales[[#This Row],[Adjusted Total]]-Sales[[#This Row],[24Final]])/Sales[[#This Row],[24Final]]</f>
        <v>-3.1015766347893513E-2</v>
      </c>
      <c r="DA50" s="10">
        <f>(Sales[[#This Row],[Adjusted Total]]+Sales[[#This Row],[Days Prior Total]])/Sales[[#This Row],[Price]]</f>
        <v>0.95688604446030656</v>
      </c>
    </row>
    <row r="51" spans="1:105">
      <c r="A51">
        <v>2025</v>
      </c>
      <c r="B51">
        <v>19120114529</v>
      </c>
      <c r="C51">
        <v>-1.8325814637483102</v>
      </c>
      <c r="D51">
        <v>0.16</v>
      </c>
      <c r="E51">
        <v>7002</v>
      </c>
      <c r="F51">
        <v>2</v>
      </c>
      <c r="G51" t="s">
        <v>155</v>
      </c>
      <c r="H51">
        <v>317</v>
      </c>
      <c r="I51" t="s">
        <v>5</v>
      </c>
      <c r="J51" t="s">
        <v>156</v>
      </c>
      <c r="K51">
        <v>11</v>
      </c>
      <c r="L51">
        <v>259</v>
      </c>
      <c r="M51" t="s">
        <v>157</v>
      </c>
      <c r="N51" t="s">
        <v>19</v>
      </c>
      <c r="O51" t="s">
        <v>24</v>
      </c>
      <c r="P51">
        <v>2022</v>
      </c>
      <c r="Q51">
        <v>2022</v>
      </c>
      <c r="R51">
        <v>10</v>
      </c>
      <c r="S51">
        <v>2</v>
      </c>
      <c r="T51">
        <v>2</v>
      </c>
      <c r="U51">
        <v>1</v>
      </c>
      <c r="V51">
        <v>1240</v>
      </c>
      <c r="W51">
        <v>0</v>
      </c>
      <c r="X51">
        <v>0</v>
      </c>
      <c r="Y51">
        <v>0</v>
      </c>
      <c r="Z51">
        <v>0</v>
      </c>
      <c r="AA51">
        <v>0</v>
      </c>
      <c r="AB51">
        <v>1240</v>
      </c>
      <c r="AC51">
        <v>1500</v>
      </c>
      <c r="AD51">
        <v>2</v>
      </c>
      <c r="AE51" t="s">
        <v>56</v>
      </c>
      <c r="AF51" t="s">
        <v>158</v>
      </c>
      <c r="AG51" t="s">
        <v>21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9</v>
      </c>
      <c r="AO51">
        <v>404</v>
      </c>
      <c r="AP51">
        <v>0</v>
      </c>
      <c r="AQ51">
        <v>0</v>
      </c>
      <c r="AR51">
        <v>0</v>
      </c>
      <c r="AS51">
        <v>116</v>
      </c>
      <c r="AT51">
        <v>0</v>
      </c>
      <c r="AU51">
        <v>100</v>
      </c>
      <c r="AV51">
        <v>100</v>
      </c>
      <c r="AW51">
        <v>228295</v>
      </c>
      <c r="AX51">
        <v>226012</v>
      </c>
      <c r="AY51">
        <v>522</v>
      </c>
      <c r="AZ51">
        <v>365</v>
      </c>
      <c r="BA51">
        <v>157</v>
      </c>
      <c r="BB51">
        <v>0</v>
      </c>
      <c r="BC51" s="2">
        <v>44770</v>
      </c>
      <c r="BD51" t="s">
        <v>210</v>
      </c>
      <c r="BE51">
        <v>361515</v>
      </c>
      <c r="BF51">
        <v>361515</v>
      </c>
      <c r="BG51" t="s">
        <v>160</v>
      </c>
      <c r="BH51">
        <v>30</v>
      </c>
      <c r="BI51" t="s">
        <v>56</v>
      </c>
      <c r="BJ51" t="s">
        <v>161</v>
      </c>
      <c r="BK51">
        <v>362900</v>
      </c>
      <c r="BL51">
        <v>60800</v>
      </c>
      <c r="BM51">
        <v>302100</v>
      </c>
      <c r="BN51">
        <v>0</v>
      </c>
      <c r="BO51">
        <v>356264.86573122418</v>
      </c>
      <c r="BP51">
        <v>363386.93045428913</v>
      </c>
      <c r="BQ51">
        <f>(Sales[[#This Row],[DP1]]*Lookups!$B$61)+(Sales[[#This Row],[DP2]]*Lookups!$B$62)+(Sales[[#This Row],[DP3]]*Lookups!$B$63)</f>
        <v>-7122.0642310000003</v>
      </c>
      <c r="BR51">
        <f>Lookups!$B$58*0.6</f>
        <v>132535.48800000001</v>
      </c>
      <c r="BS51">
        <f>Lookups!$B$58*0.4</f>
        <v>88356.992000000013</v>
      </c>
      <c r="BT51">
        <f>Lookups!$B$59*Sales[[#This Row],[LnAcres]]</f>
        <v>-24051.387388882686</v>
      </c>
      <c r="BU51">
        <f>VLOOKUP(Sales[[#This Row],[Qlty]],Lookups!$A$66:$E$79,2,FALSE)</f>
        <v>37154.252388000001</v>
      </c>
      <c r="BV51">
        <f>VLOOKUP(Sales[[#This Row],[Cnd]],Lookups!$A$80:$E$91,2,FALSE)</f>
        <v>47371.278778200001</v>
      </c>
      <c r="BW51">
        <f>Sales[[#This Row],[EffAge]]*Lookups!$B$65</f>
        <v>-217.48220000000001</v>
      </c>
      <c r="BX51">
        <f>Sales[[#This Row],[MainFn]]*Lookups!$B$90</f>
        <v>77388.871200000009</v>
      </c>
      <c r="BY51">
        <f>Sales[[#This Row],[UpprFn]]*Lookups!$B$91</f>
        <v>0</v>
      </c>
      <c r="BZ51">
        <f>Sales[[#This Row],[Bsmt]]*Lookups!$B$95</f>
        <v>0</v>
      </c>
      <c r="CA51">
        <f>VLOOKUP(Sales[[#This Row],[MsnryTrim]],Lookups!$A$90:$E$99,2,FALSE)</f>
        <v>-9412.7029999999995</v>
      </c>
      <c r="CB51">
        <f>Sales[[#This Row],[PrefabFP]]*Lookups!$B$92</f>
        <v>0</v>
      </c>
      <c r="CC51">
        <f>Sales[[#This Row],[AttGar]]*Lookups!$B$93</f>
        <v>14261.616524000001</v>
      </c>
      <c r="CD51">
        <f>Sales[[#This Row],[BltinGar]]*Lookups!$B$94</f>
        <v>0</v>
      </c>
      <c r="CE51">
        <f>SUM(Sales[[#This Row],[Days Prior Total]:[Mdl BltinGar]])</f>
        <v>356264.86207031732</v>
      </c>
      <c r="CF51">
        <f>ROUND(Sales[[#This Row],[25Det]],-2)</f>
        <v>0</v>
      </c>
      <c r="CG51">
        <f>ROUND(SUM(Sales[[#This Row],[Mdl Qlty]:[Mdl BltinGar]])+Sales[[#This Row],[Mdl Res Intercept]]+Sales[[#This Row],[Days Prior Total]],-2)</f>
        <v>292000</v>
      </c>
      <c r="CH51">
        <f>ROUND(Sales[[#This Row],[Mdl Land Intercept]]+Sales[[#This Row],[Mdl LnAcres]],-2)</f>
        <v>64300</v>
      </c>
      <c r="CI51">
        <f>Sales[[#This Row],[Unadj Res Value]]+Sales[[#This Row],[Unadj Det Value]]+Sales[[#This Row],[Unadj Land Value]]</f>
        <v>356300</v>
      </c>
      <c r="CJ51" s="10">
        <f>Sales[[#This Row],[Price]]/Sales[[#This Row],[Unadj Total Value]]</f>
        <v>1.0146365422396857</v>
      </c>
      <c r="CK51" s="10">
        <f>(Sales[[#This Row],[Unadj Total Value]]-Sales[[#This Row],[24Final]])/Sales[[#This Row],[24Final]]</f>
        <v>-1.818682832736291E-2</v>
      </c>
      <c r="CL51">
        <f>VLOOKUP(Sales[[#This Row],[TNbhd]],Lookups!$M$3:$P$5,4,FALSE)</f>
        <v>0.99970000000000003</v>
      </c>
      <c r="CM51">
        <f>VLOOKUP(Sales[[#This Row],[Qlty]],Lookups!$M$8:$P$22,4,FALSE)</f>
        <v>0.99819999999999998</v>
      </c>
      <c r="CN51">
        <f>VLOOKUP(Sales[[#This Row],[Cnd]],Lookups!$R$8:$U$17,4,FALSE)</f>
        <v>1.0012000000000001</v>
      </c>
      <c r="CO51">
        <f>VLOOKUP(Sales[[#This Row],[LivArea Range]],Lookups!$R$25:$U$43,4,FALSE)</f>
        <v>0.99519999999999997</v>
      </c>
      <c r="CP51">
        <f>VLOOKUP(Sales[[#This Row],[Decade]],Lookups!$M$24:$P$40,4,FALSE)</f>
        <v>1.0024</v>
      </c>
      <c r="CQ51">
        <f>Sales[[#This Row],[Nbhd Adj]]*0.95</f>
        <v>0.94971499999999998</v>
      </c>
      <c r="CR51">
        <f>Sales[[#This Row],[Nbhd Adj]]*Sales[[#This Row],[Quality Adj]]*Sales[[#This Row],[Condition Adj]]*Sales[[#This Row],[Living Area Adj]]*Sales[[#This Row],[Decade Adj]]*0.95</f>
        <v>0.94685424199978463</v>
      </c>
      <c r="CS51">
        <f>ROUND(SUM(Sales[[#This Row],[Mdl Qlty]:[Mdl BltinGar]])+Sales[[#This Row],[Mdl Res Intercept]]*Sales[[#This Row],[Res Adj ]],-2)</f>
        <v>292000</v>
      </c>
      <c r="CT51">
        <f>ROUND(Sales[[#This Row],[25Det]]*Sales[[#This Row],[Det/Nbhd Adj]],-2)</f>
        <v>0</v>
      </c>
      <c r="CU51">
        <f>Sales[[#This Row],[Adjusted Res]]+Sales[[#This Row],[Adj Det ]]</f>
        <v>292000</v>
      </c>
      <c r="CV51">
        <f>ROUND((Sales[[#This Row],[Mdl Land Intercept]]+Sales[[#This Row],[Mdl LnAcres]])*Sales[[#This Row],[Det/Nbhd Adj]],-2)</f>
        <v>61100</v>
      </c>
      <c r="CW51">
        <f>Sales[[#This Row],[Adjusted Impr Total]]+Sales[[#This Row],[Adjusted Land Total]]</f>
        <v>353100</v>
      </c>
      <c r="CX51" s="10">
        <f>IFERROR((Sales[[#This Row],[Adjusted Impr Total]]-Sales[[#This Row],[24Bldg]])/Sales[[#This Row],[24Bldg]],0)</f>
        <v>-3.3432638199271766E-2</v>
      </c>
      <c r="CY51" s="10">
        <f>(Sales[[#This Row],[Adjusted Land Total]]-Sales[[#This Row],[24Lnd]])/Sales[[#This Row],[24Lnd]]</f>
        <v>4.9342105263157892E-3</v>
      </c>
      <c r="CZ51">
        <f>(Sales[[#This Row],[Adjusted Total]]-Sales[[#This Row],[24Final]])/Sales[[#This Row],[24Final]]</f>
        <v>-2.700468448608432E-2</v>
      </c>
      <c r="DA51" s="10">
        <f>(Sales[[#This Row],[Adjusted Total]]+Sales[[#This Row],[Days Prior Total]])/Sales[[#This Row],[Price]]</f>
        <v>0.95702235251372691</v>
      </c>
    </row>
    <row r="52" spans="1:105">
      <c r="A52">
        <v>2025</v>
      </c>
      <c r="B52">
        <v>19120114530</v>
      </c>
      <c r="C52">
        <v>-1.8325814637483102</v>
      </c>
      <c r="D52">
        <v>0.16</v>
      </c>
      <c r="E52">
        <v>7001</v>
      </c>
      <c r="F52">
        <v>2</v>
      </c>
      <c r="G52" t="s">
        <v>155</v>
      </c>
      <c r="H52">
        <v>317</v>
      </c>
      <c r="I52" t="s">
        <v>5</v>
      </c>
      <c r="J52" t="s">
        <v>156</v>
      </c>
      <c r="K52">
        <v>11</v>
      </c>
      <c r="L52">
        <v>259</v>
      </c>
      <c r="M52" t="s">
        <v>157</v>
      </c>
      <c r="N52" t="s">
        <v>21</v>
      </c>
      <c r="O52" t="s">
        <v>24</v>
      </c>
      <c r="P52">
        <v>2022</v>
      </c>
      <c r="Q52">
        <v>2022</v>
      </c>
      <c r="R52">
        <v>10</v>
      </c>
      <c r="S52">
        <v>2</v>
      </c>
      <c r="T52">
        <v>2</v>
      </c>
      <c r="U52">
        <v>2</v>
      </c>
      <c r="V52">
        <v>1316</v>
      </c>
      <c r="W52">
        <v>1686</v>
      </c>
      <c r="X52">
        <v>0</v>
      </c>
      <c r="Y52">
        <v>0</v>
      </c>
      <c r="Z52">
        <v>0</v>
      </c>
      <c r="AA52">
        <v>0</v>
      </c>
      <c r="AB52">
        <v>3002</v>
      </c>
      <c r="AC52">
        <v>3500</v>
      </c>
      <c r="AD52">
        <v>2</v>
      </c>
      <c r="AE52" t="s">
        <v>57</v>
      </c>
      <c r="AF52" t="s">
        <v>158</v>
      </c>
      <c r="AG52" t="s">
        <v>21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14</v>
      </c>
      <c r="AO52">
        <v>0</v>
      </c>
      <c r="AP52">
        <v>540</v>
      </c>
      <c r="AQ52">
        <v>0</v>
      </c>
      <c r="AR52">
        <v>0</v>
      </c>
      <c r="AS52">
        <v>200</v>
      </c>
      <c r="AT52">
        <v>0</v>
      </c>
      <c r="AU52">
        <v>100</v>
      </c>
      <c r="AV52">
        <v>100</v>
      </c>
      <c r="AW52">
        <v>504888</v>
      </c>
      <c r="AX52">
        <v>499839</v>
      </c>
      <c r="AY52">
        <v>406</v>
      </c>
      <c r="AZ52">
        <v>365</v>
      </c>
      <c r="BA52">
        <v>41</v>
      </c>
      <c r="BB52">
        <v>0</v>
      </c>
      <c r="BC52" s="2">
        <v>44886</v>
      </c>
      <c r="BD52" t="s">
        <v>211</v>
      </c>
      <c r="BE52">
        <v>459990</v>
      </c>
      <c r="BF52">
        <v>459990</v>
      </c>
      <c r="BG52" t="s">
        <v>160</v>
      </c>
      <c r="BH52">
        <v>30</v>
      </c>
      <c r="BI52" t="s">
        <v>56</v>
      </c>
      <c r="BJ52" t="s">
        <v>161</v>
      </c>
      <c r="BK52">
        <v>465600</v>
      </c>
      <c r="BL52">
        <v>60800</v>
      </c>
      <c r="BM52">
        <v>404800</v>
      </c>
      <c r="BN52">
        <v>0</v>
      </c>
      <c r="BO52">
        <v>490985.865388292</v>
      </c>
      <c r="BP52">
        <v>490284.47793870745</v>
      </c>
      <c r="BQ52">
        <f>(Sales[[#This Row],[DP1]]*Lookups!$B$61)+(Sales[[#This Row],[DP2]]*Lookups!$B$62)+(Sales[[#This Row],[DP3]]*Lookups!$B$63)</f>
        <v>701.38756899999998</v>
      </c>
      <c r="BR52">
        <f>Lookups!$B$58*0.6</f>
        <v>132535.48800000001</v>
      </c>
      <c r="BS52">
        <f>Lookups!$B$58*0.4</f>
        <v>88356.992000000013</v>
      </c>
      <c r="BT52">
        <f>Lookups!$B$59*Sales[[#This Row],[LnAcres]]</f>
        <v>-24051.387388882686</v>
      </c>
      <c r="BU52">
        <f>VLOOKUP(Sales[[#This Row],[Qlty]],Lookups!$A$66:$E$79,2,FALSE)</f>
        <v>32917.849192000001</v>
      </c>
      <c r="BV52">
        <f>VLOOKUP(Sales[[#This Row],[Cnd]],Lookups!$A$80:$E$91,2,FALSE)</f>
        <v>47371.278778200001</v>
      </c>
      <c r="BW52">
        <f>Sales[[#This Row],[EffAge]]*Lookups!$B$65</f>
        <v>-217.48220000000001</v>
      </c>
      <c r="BX52">
        <f>Sales[[#This Row],[MainFn]]*Lookups!$B$90</f>
        <v>82132.06008000001</v>
      </c>
      <c r="BY52">
        <f>Sales[[#This Row],[UpprFn]]*Lookups!$B$91</f>
        <v>100452.525738</v>
      </c>
      <c r="BZ52">
        <f>Sales[[#This Row],[Bsmt]]*Lookups!$B$95</f>
        <v>0</v>
      </c>
      <c r="CA52">
        <f>VLOOKUP(Sales[[#This Row],[MsnryTrim]],Lookups!$A$90:$E$99,2,FALSE)</f>
        <v>4112.8784489</v>
      </c>
      <c r="CB52">
        <f>Sales[[#This Row],[PrefabFP]]*Lookups!$B$92</f>
        <v>0</v>
      </c>
      <c r="CC52">
        <f>Sales[[#This Row],[AttGar]]*Lookups!$B$93</f>
        <v>0</v>
      </c>
      <c r="CD52">
        <f>Sales[[#This Row],[BltinGar]]*Lookups!$B$94</f>
        <v>26674.272000000001</v>
      </c>
      <c r="CE52">
        <f>SUM(Sales[[#This Row],[Days Prior Total]:[Mdl BltinGar]])</f>
        <v>490985.86221721733</v>
      </c>
      <c r="CF52">
        <f>ROUND(Sales[[#This Row],[25Det]],-2)</f>
        <v>0</v>
      </c>
      <c r="CG52">
        <f>ROUND(SUM(Sales[[#This Row],[Mdl Qlty]:[Mdl BltinGar]])+Sales[[#This Row],[Mdl Res Intercept]]+Sales[[#This Row],[Days Prior Total]],-2)</f>
        <v>426700</v>
      </c>
      <c r="CH52">
        <f>ROUND(Sales[[#This Row],[Mdl Land Intercept]]+Sales[[#This Row],[Mdl LnAcres]],-2)</f>
        <v>64300</v>
      </c>
      <c r="CI52">
        <f>Sales[[#This Row],[Unadj Res Value]]+Sales[[#This Row],[Unadj Det Value]]+Sales[[#This Row],[Unadj Land Value]]</f>
        <v>491000</v>
      </c>
      <c r="CJ52" s="10">
        <f>Sales[[#This Row],[Price]]/Sales[[#This Row],[Unadj Total Value]]</f>
        <v>0.93684317718940935</v>
      </c>
      <c r="CK52" s="10">
        <f>(Sales[[#This Row],[Unadj Total Value]]-Sales[[#This Row],[24Final]])/Sales[[#This Row],[24Final]]</f>
        <v>5.4553264604810997E-2</v>
      </c>
      <c r="CL52">
        <f>VLOOKUP(Sales[[#This Row],[TNbhd]],Lookups!$M$3:$P$5,4,FALSE)</f>
        <v>0.99970000000000003</v>
      </c>
      <c r="CM52">
        <f>VLOOKUP(Sales[[#This Row],[Qlty]],Lookups!$M$8:$P$22,4,FALSE)</f>
        <v>1.0019</v>
      </c>
      <c r="CN52">
        <f>VLOOKUP(Sales[[#This Row],[Cnd]],Lookups!$R$8:$U$17,4,FALSE)</f>
        <v>1.0012000000000001</v>
      </c>
      <c r="CO52">
        <f>VLOOKUP(Sales[[#This Row],[LivArea Range]],Lookups!$R$25:$U$43,4,FALSE)</f>
        <v>0.98509999999999998</v>
      </c>
      <c r="CP52">
        <f>VLOOKUP(Sales[[#This Row],[Decade]],Lookups!$M$24:$P$40,4,FALSE)</f>
        <v>1.0024</v>
      </c>
      <c r="CQ52">
        <f>Sales[[#This Row],[Nbhd Adj]]*0.95</f>
        <v>0.94971499999999998</v>
      </c>
      <c r="CR52">
        <f>Sales[[#This Row],[Nbhd Adj]]*Sales[[#This Row],[Quality Adj]]*Sales[[#This Row],[Condition Adj]]*Sales[[#This Row],[Living Area Adj]]*Sales[[#This Row],[Decade Adj]]*0.95</f>
        <v>0.94071894865963335</v>
      </c>
      <c r="CS52">
        <f>ROUND(SUM(Sales[[#This Row],[Mdl Qlty]:[Mdl BltinGar]])+Sales[[#This Row],[Mdl Res Intercept]]*Sales[[#This Row],[Res Adj ]],-2)</f>
        <v>418100</v>
      </c>
      <c r="CT52">
        <f>ROUND(Sales[[#This Row],[25Det]]*Sales[[#This Row],[Det/Nbhd Adj]],-2)</f>
        <v>0</v>
      </c>
      <c r="CU52">
        <f>Sales[[#This Row],[Adjusted Res]]+Sales[[#This Row],[Adj Det ]]</f>
        <v>418100</v>
      </c>
      <c r="CV52">
        <f>ROUND((Sales[[#This Row],[Mdl Land Intercept]]+Sales[[#This Row],[Mdl LnAcres]])*Sales[[#This Row],[Det/Nbhd Adj]],-2)</f>
        <v>61100</v>
      </c>
      <c r="CW52">
        <f>Sales[[#This Row],[Adjusted Impr Total]]+Sales[[#This Row],[Adjusted Land Total]]</f>
        <v>479200</v>
      </c>
      <c r="CX52" s="10">
        <f>IFERROR((Sales[[#This Row],[Adjusted Impr Total]]-Sales[[#This Row],[24Bldg]])/Sales[[#This Row],[24Bldg]],0)</f>
        <v>3.285573122529644E-2</v>
      </c>
      <c r="CY52" s="10">
        <f>(Sales[[#This Row],[Adjusted Land Total]]-Sales[[#This Row],[24Lnd]])/Sales[[#This Row],[24Lnd]]</f>
        <v>4.9342105263157892E-3</v>
      </c>
      <c r="CZ52">
        <f>(Sales[[#This Row],[Adjusted Total]]-Sales[[#This Row],[24Final]])/Sales[[#This Row],[24Final]]</f>
        <v>2.9209621993127148E-2</v>
      </c>
      <c r="DA52" s="10">
        <f>(Sales[[#This Row],[Adjusted Total]]+Sales[[#This Row],[Days Prior Total]])/Sales[[#This Row],[Price]]</f>
        <v>1.0432865661623079</v>
      </c>
    </row>
    <row r="53" spans="1:105">
      <c r="A53">
        <v>2025</v>
      </c>
      <c r="B53">
        <v>19120134415</v>
      </c>
      <c r="C53">
        <v>-1.7147984280919266</v>
      </c>
      <c r="D53">
        <v>0.18</v>
      </c>
      <c r="E53">
        <v>7800</v>
      </c>
      <c r="F53">
        <v>2</v>
      </c>
      <c r="G53" t="s">
        <v>155</v>
      </c>
      <c r="H53">
        <v>317</v>
      </c>
      <c r="I53" t="s">
        <v>5</v>
      </c>
      <c r="J53" t="s">
        <v>212</v>
      </c>
      <c r="K53">
        <v>11</v>
      </c>
      <c r="L53">
        <v>259</v>
      </c>
      <c r="M53" t="s">
        <v>157</v>
      </c>
      <c r="N53" t="s">
        <v>17</v>
      </c>
      <c r="O53" t="s">
        <v>24</v>
      </c>
      <c r="P53">
        <v>2022</v>
      </c>
      <c r="Q53">
        <v>2022</v>
      </c>
      <c r="R53">
        <v>10</v>
      </c>
      <c r="S53">
        <v>2</v>
      </c>
      <c r="T53">
        <v>2</v>
      </c>
      <c r="U53">
        <v>1</v>
      </c>
      <c r="V53">
        <v>1320</v>
      </c>
      <c r="W53">
        <v>0</v>
      </c>
      <c r="X53">
        <v>0</v>
      </c>
      <c r="Y53">
        <v>0</v>
      </c>
      <c r="Z53">
        <v>0</v>
      </c>
      <c r="AA53">
        <v>0</v>
      </c>
      <c r="AB53">
        <v>1320</v>
      </c>
      <c r="AC53">
        <v>1500</v>
      </c>
      <c r="AD53">
        <v>2</v>
      </c>
      <c r="AE53" t="s">
        <v>56</v>
      </c>
      <c r="AF53" t="s">
        <v>158</v>
      </c>
      <c r="AG53" t="s">
        <v>27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8</v>
      </c>
      <c r="AO53">
        <v>440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100</v>
      </c>
      <c r="AV53">
        <v>100</v>
      </c>
      <c r="AW53">
        <v>211870</v>
      </c>
      <c r="AX53">
        <v>209751</v>
      </c>
      <c r="AY53">
        <v>362</v>
      </c>
      <c r="AZ53">
        <v>362</v>
      </c>
      <c r="BA53">
        <v>0</v>
      </c>
      <c r="BB53">
        <v>0</v>
      </c>
      <c r="BC53" s="2">
        <v>44930</v>
      </c>
      <c r="BD53" t="s">
        <v>213</v>
      </c>
      <c r="BE53">
        <v>320000</v>
      </c>
      <c r="BF53">
        <v>320000</v>
      </c>
      <c r="BG53" t="s">
        <v>160</v>
      </c>
      <c r="BH53">
        <v>30</v>
      </c>
      <c r="BI53" t="s">
        <v>56</v>
      </c>
      <c r="BJ53" t="s">
        <v>161</v>
      </c>
      <c r="BK53">
        <v>359700</v>
      </c>
      <c r="BL53">
        <v>62500</v>
      </c>
      <c r="BM53">
        <v>297200</v>
      </c>
      <c r="BN53">
        <v>0</v>
      </c>
      <c r="BO53">
        <v>361852.0146373476</v>
      </c>
      <c r="BP53">
        <v>358413.93388795189</v>
      </c>
      <c r="BQ53">
        <f>(Sales[[#This Row],[DP1]]*Lookups!$B$61)+(Sales[[#This Row],[DP2]]*Lookups!$B$62)+(Sales[[#This Row],[DP3]]*Lookups!$B$63)</f>
        <v>3438.0807371999999</v>
      </c>
      <c r="BR53">
        <f>Lookups!$B$58*0.6</f>
        <v>132535.48800000001</v>
      </c>
      <c r="BS53">
        <f>Lookups!$B$58*0.4</f>
        <v>88356.992000000013</v>
      </c>
      <c r="BT53">
        <f>Lookups!$B$59*Sales[[#This Row],[LnAcres]]</f>
        <v>-22505.565020573864</v>
      </c>
      <c r="BU53">
        <f>VLOOKUP(Sales[[#This Row],[Qlty]],Lookups!$A$66:$E$79,2,FALSE)</f>
        <v>24371.765965999999</v>
      </c>
      <c r="BV53">
        <f>VLOOKUP(Sales[[#This Row],[Cnd]],Lookups!$A$80:$E$91,2,FALSE)</f>
        <v>47371.278778200001</v>
      </c>
      <c r="BW53">
        <f>Sales[[#This Row],[EffAge]]*Lookups!$B$65</f>
        <v>-217.48220000000001</v>
      </c>
      <c r="BX53">
        <f>Sales[[#This Row],[MainFn]]*Lookups!$B$90</f>
        <v>82381.7016</v>
      </c>
      <c r="BY53">
        <f>Sales[[#This Row],[UpprFn]]*Lookups!$B$91</f>
        <v>0</v>
      </c>
      <c r="BZ53">
        <f>Sales[[#This Row],[Bsmt]]*Lookups!$B$95</f>
        <v>0</v>
      </c>
      <c r="CA53">
        <f>VLOOKUP(Sales[[#This Row],[MsnryTrim]],Lookups!$A$90:$E$99,2,FALSE)</f>
        <v>-9412.7029999999995</v>
      </c>
      <c r="CB53">
        <f>Sales[[#This Row],[PrefabFP]]*Lookups!$B$92</f>
        <v>0</v>
      </c>
      <c r="CC53">
        <f>Sales[[#This Row],[AttGar]]*Lookups!$B$93</f>
        <v>15532.453640000002</v>
      </c>
      <c r="CD53">
        <f>Sales[[#This Row],[BltinGar]]*Lookups!$B$94</f>
        <v>0</v>
      </c>
      <c r="CE53">
        <f>SUM(Sales[[#This Row],[Days Prior Total]:[Mdl BltinGar]])</f>
        <v>361852.01050082623</v>
      </c>
      <c r="CF53">
        <f>ROUND(Sales[[#This Row],[25Det]],-2)</f>
        <v>0</v>
      </c>
      <c r="CG53">
        <f>ROUND(SUM(Sales[[#This Row],[Mdl Qlty]:[Mdl BltinGar]])+Sales[[#This Row],[Mdl Res Intercept]]+Sales[[#This Row],[Days Prior Total]],-2)</f>
        <v>296000</v>
      </c>
      <c r="CH53">
        <f>ROUND(Sales[[#This Row],[Mdl Land Intercept]]+Sales[[#This Row],[Mdl LnAcres]],-2)</f>
        <v>65900</v>
      </c>
      <c r="CI53">
        <f>Sales[[#This Row],[Unadj Res Value]]+Sales[[#This Row],[Unadj Det Value]]+Sales[[#This Row],[Unadj Land Value]]</f>
        <v>361900</v>
      </c>
      <c r="CJ53" s="10">
        <f>Sales[[#This Row],[Price]]/Sales[[#This Row],[Unadj Total Value]]</f>
        <v>0.8842221608179055</v>
      </c>
      <c r="CK53" s="10">
        <f>(Sales[[#This Row],[Unadj Total Value]]-Sales[[#This Row],[24Final]])/Sales[[#This Row],[24Final]]</f>
        <v>6.1162079510703364E-3</v>
      </c>
      <c r="CL53">
        <f>VLOOKUP(Sales[[#This Row],[TNbhd]],Lookups!$M$3:$P$5,4,FALSE)</f>
        <v>0.99970000000000003</v>
      </c>
      <c r="CM53">
        <f>VLOOKUP(Sales[[#This Row],[Qlty]],Lookups!$M$8:$P$22,4,FALSE)</f>
        <v>0.99199999999999999</v>
      </c>
      <c r="CN53">
        <f>VLOOKUP(Sales[[#This Row],[Cnd]],Lookups!$R$8:$U$17,4,FALSE)</f>
        <v>1.0012000000000001</v>
      </c>
      <c r="CO53">
        <f>VLOOKUP(Sales[[#This Row],[LivArea Range]],Lookups!$R$25:$U$43,4,FALSE)</f>
        <v>0.99519999999999997</v>
      </c>
      <c r="CP53">
        <f>VLOOKUP(Sales[[#This Row],[Decade]],Lookups!$M$24:$P$40,4,FALSE)</f>
        <v>1.0024</v>
      </c>
      <c r="CQ53">
        <f>Sales[[#This Row],[Nbhd Adj]]*0.95</f>
        <v>0.94971499999999998</v>
      </c>
      <c r="CR53">
        <f>Sales[[#This Row],[Nbhd Adj]]*Sales[[#This Row],[Quality Adj]]*Sales[[#This Row],[Condition Adj]]*Sales[[#This Row],[Living Area Adj]]*Sales[[#This Row],[Decade Adj]]*0.95</f>
        <v>0.94097315975133866</v>
      </c>
      <c r="CS53">
        <f>ROUND(SUM(Sales[[#This Row],[Mdl Qlty]:[Mdl BltinGar]])+Sales[[#This Row],[Mdl Res Intercept]]*Sales[[#This Row],[Res Adj ]],-2)</f>
        <v>284700</v>
      </c>
      <c r="CT53">
        <f>ROUND(Sales[[#This Row],[25Det]]*Sales[[#This Row],[Det/Nbhd Adj]],-2)</f>
        <v>0</v>
      </c>
      <c r="CU53">
        <f>Sales[[#This Row],[Adjusted Res]]+Sales[[#This Row],[Adj Det ]]</f>
        <v>284700</v>
      </c>
      <c r="CV53">
        <f>ROUND((Sales[[#This Row],[Mdl Land Intercept]]+Sales[[#This Row],[Mdl LnAcres]])*Sales[[#This Row],[Det/Nbhd Adj]],-2)</f>
        <v>62500</v>
      </c>
      <c r="CW53">
        <f>Sales[[#This Row],[Adjusted Impr Total]]+Sales[[#This Row],[Adjusted Land Total]]</f>
        <v>347200</v>
      </c>
      <c r="CX53" s="10">
        <f>IFERROR((Sales[[#This Row],[Adjusted Impr Total]]-Sales[[#This Row],[24Bldg]])/Sales[[#This Row],[24Bldg]],0)</f>
        <v>-4.2059219380888288E-2</v>
      </c>
      <c r="CY53" s="10">
        <f>(Sales[[#This Row],[Adjusted Land Total]]-Sales[[#This Row],[24Lnd]])/Sales[[#This Row],[24Lnd]]</f>
        <v>0</v>
      </c>
      <c r="CZ53">
        <f>(Sales[[#This Row],[Adjusted Total]]-Sales[[#This Row],[24Final]])/Sales[[#This Row],[24Final]]</f>
        <v>-3.4751181540172364E-2</v>
      </c>
      <c r="DA53" s="10">
        <f>(Sales[[#This Row],[Adjusted Total]]+Sales[[#This Row],[Days Prior Total]])/Sales[[#This Row],[Price]]</f>
        <v>1.0957440023037499</v>
      </c>
    </row>
    <row r="54" spans="1:105">
      <c r="A54">
        <v>2025</v>
      </c>
      <c r="B54">
        <v>19133514419</v>
      </c>
      <c r="C54">
        <v>-1.5141277326297755</v>
      </c>
      <c r="D54">
        <v>0.22</v>
      </c>
      <c r="E54">
        <v>9619</v>
      </c>
      <c r="F54">
        <v>2</v>
      </c>
      <c r="G54" t="s">
        <v>155</v>
      </c>
      <c r="H54">
        <v>317</v>
      </c>
      <c r="I54" t="s">
        <v>5</v>
      </c>
      <c r="J54" t="s">
        <v>212</v>
      </c>
      <c r="K54">
        <v>11</v>
      </c>
      <c r="L54">
        <v>259</v>
      </c>
      <c r="M54" t="s">
        <v>157</v>
      </c>
      <c r="N54" t="s">
        <v>21</v>
      </c>
      <c r="O54" t="s">
        <v>24</v>
      </c>
      <c r="P54">
        <v>2022</v>
      </c>
      <c r="Q54">
        <v>2022</v>
      </c>
      <c r="R54">
        <v>10</v>
      </c>
      <c r="S54">
        <v>2</v>
      </c>
      <c r="T54">
        <v>2</v>
      </c>
      <c r="U54">
        <v>1</v>
      </c>
      <c r="V54">
        <v>2010</v>
      </c>
      <c r="W54">
        <v>0</v>
      </c>
      <c r="X54">
        <v>0</v>
      </c>
      <c r="Y54">
        <v>0</v>
      </c>
      <c r="Z54">
        <v>0</v>
      </c>
      <c r="AA54">
        <v>0</v>
      </c>
      <c r="AB54">
        <v>2010</v>
      </c>
      <c r="AC54">
        <v>2500</v>
      </c>
      <c r="AD54">
        <v>3</v>
      </c>
      <c r="AE54" t="s">
        <v>57</v>
      </c>
      <c r="AF54" t="s">
        <v>158</v>
      </c>
      <c r="AG54" t="s">
        <v>27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11</v>
      </c>
      <c r="AO54">
        <v>664</v>
      </c>
      <c r="AP54">
        <v>0</v>
      </c>
      <c r="AQ54">
        <v>0</v>
      </c>
      <c r="AR54">
        <v>0</v>
      </c>
      <c r="AS54">
        <v>500</v>
      </c>
      <c r="AT54">
        <v>0</v>
      </c>
      <c r="AU54">
        <v>100</v>
      </c>
      <c r="AV54">
        <v>100</v>
      </c>
      <c r="AW54">
        <v>398217</v>
      </c>
      <c r="AX54">
        <v>394235</v>
      </c>
      <c r="AY54">
        <v>605</v>
      </c>
      <c r="AZ54">
        <v>365</v>
      </c>
      <c r="BA54">
        <v>240</v>
      </c>
      <c r="BB54">
        <v>0</v>
      </c>
      <c r="BC54" s="2">
        <v>44687</v>
      </c>
      <c r="BD54" t="s">
        <v>214</v>
      </c>
      <c r="BE54">
        <v>423580</v>
      </c>
      <c r="BF54">
        <v>423580</v>
      </c>
      <c r="BG54" t="s">
        <v>160</v>
      </c>
      <c r="BH54">
        <v>30</v>
      </c>
      <c r="BI54" t="s">
        <v>56</v>
      </c>
      <c r="BJ54" t="s">
        <v>161</v>
      </c>
      <c r="BK54">
        <v>415800</v>
      </c>
      <c r="BL54">
        <v>65300</v>
      </c>
      <c r="BM54">
        <v>350500</v>
      </c>
      <c r="BN54">
        <v>0</v>
      </c>
      <c r="BO54">
        <v>421369.97821867408</v>
      </c>
      <c r="BP54">
        <v>434089.85785837634</v>
      </c>
      <c r="BQ54">
        <f>(Sales[[#This Row],[DP1]]*Lookups!$B$61)+(Sales[[#This Row],[DP2]]*Lookups!$B$62)+(Sales[[#This Row],[DP3]]*Lookups!$B$63)</f>
        <v>-12719.878881000001</v>
      </c>
      <c r="BR54">
        <f>Lookups!$B$58*0.6</f>
        <v>132535.48800000001</v>
      </c>
      <c r="BS54">
        <f>Lookups!$B$58*0.4</f>
        <v>88356.992000000013</v>
      </c>
      <c r="BT54">
        <f>Lookups!$B$59*Sales[[#This Row],[LnAcres]]</f>
        <v>-19871.898398035348</v>
      </c>
      <c r="BU54">
        <f>VLOOKUP(Sales[[#This Row],[Qlty]],Lookups!$A$66:$E$79,2,FALSE)</f>
        <v>32917.849192000001</v>
      </c>
      <c r="BV54">
        <f>VLOOKUP(Sales[[#This Row],[Cnd]],Lookups!$A$80:$E$91,2,FALSE)</f>
        <v>47371.278778200001</v>
      </c>
      <c r="BW54">
        <f>Sales[[#This Row],[EffAge]]*Lookups!$B$65</f>
        <v>-217.48220000000001</v>
      </c>
      <c r="BX54">
        <f>Sales[[#This Row],[MainFn]]*Lookups!$B$90</f>
        <v>125444.86380000001</v>
      </c>
      <c r="BY54">
        <f>Sales[[#This Row],[UpprFn]]*Lookups!$B$91</f>
        <v>0</v>
      </c>
      <c r="BZ54">
        <f>Sales[[#This Row],[Bsmt]]*Lookups!$B$95</f>
        <v>0</v>
      </c>
      <c r="CA54">
        <f>VLOOKUP(Sales[[#This Row],[MsnryTrim]],Lookups!$A$90:$E$99,2,FALSE)</f>
        <v>4112.8784489</v>
      </c>
      <c r="CB54">
        <f>Sales[[#This Row],[PrefabFP]]*Lookups!$B$92</f>
        <v>0</v>
      </c>
      <c r="CC54">
        <f>Sales[[#This Row],[AttGar]]*Lookups!$B$93</f>
        <v>23439.884583999999</v>
      </c>
      <c r="CD54">
        <f>Sales[[#This Row],[BltinGar]]*Lookups!$B$94</f>
        <v>0</v>
      </c>
      <c r="CE54">
        <f>SUM(Sales[[#This Row],[Days Prior Total]:[Mdl BltinGar]])</f>
        <v>421369.97532406461</v>
      </c>
      <c r="CF54">
        <f>ROUND(Sales[[#This Row],[25Det]],-2)</f>
        <v>0</v>
      </c>
      <c r="CG54">
        <f>ROUND(SUM(Sales[[#This Row],[Mdl Qlty]:[Mdl BltinGar]])+Sales[[#This Row],[Mdl Res Intercept]]+Sales[[#This Row],[Days Prior Total]],-2)</f>
        <v>352900</v>
      </c>
      <c r="CH54">
        <f>ROUND(Sales[[#This Row],[Mdl Land Intercept]]+Sales[[#This Row],[Mdl LnAcres]],-2)</f>
        <v>68500</v>
      </c>
      <c r="CI54">
        <f>Sales[[#This Row],[Unadj Res Value]]+Sales[[#This Row],[Unadj Det Value]]+Sales[[#This Row],[Unadj Land Value]]</f>
        <v>421400</v>
      </c>
      <c r="CJ54" s="10">
        <f>Sales[[#This Row],[Price]]/Sales[[#This Row],[Unadj Total Value]]</f>
        <v>1.0051732320835312</v>
      </c>
      <c r="CK54" s="10">
        <f>(Sales[[#This Row],[Unadj Total Value]]-Sales[[#This Row],[24Final]])/Sales[[#This Row],[24Final]]</f>
        <v>1.3468013468013467E-2</v>
      </c>
      <c r="CL54">
        <f>VLOOKUP(Sales[[#This Row],[TNbhd]],Lookups!$M$3:$P$5,4,FALSE)</f>
        <v>0.99970000000000003</v>
      </c>
      <c r="CM54">
        <f>VLOOKUP(Sales[[#This Row],[Qlty]],Lookups!$M$8:$P$22,4,FALSE)</f>
        <v>1.0019</v>
      </c>
      <c r="CN54">
        <f>VLOOKUP(Sales[[#This Row],[Cnd]],Lookups!$R$8:$U$17,4,FALSE)</f>
        <v>1.0012000000000001</v>
      </c>
      <c r="CO54">
        <f>VLOOKUP(Sales[[#This Row],[LivArea Range]],Lookups!$R$25:$U$43,4,FALSE)</f>
        <v>1.0008999999999999</v>
      </c>
      <c r="CP54">
        <f>VLOOKUP(Sales[[#This Row],[Decade]],Lookups!$M$24:$P$40,4,FALSE)</f>
        <v>1.0024</v>
      </c>
      <c r="CQ54">
        <f>Sales[[#This Row],[Nbhd Adj]]*0.95</f>
        <v>0.94971499999999998</v>
      </c>
      <c r="CR54">
        <f>Sales[[#This Row],[Nbhd Adj]]*Sales[[#This Row],[Quality Adj]]*Sales[[#This Row],[Condition Adj]]*Sales[[#This Row],[Living Area Adj]]*Sales[[#This Row],[Decade Adj]]*0.95</f>
        <v>0.95580712182867422</v>
      </c>
      <c r="CS54">
        <f>ROUND(SUM(Sales[[#This Row],[Mdl Qlty]:[Mdl BltinGar]])+Sales[[#This Row],[Mdl Res Intercept]]*Sales[[#This Row],[Res Adj ]],-2)</f>
        <v>359700</v>
      </c>
      <c r="CT54">
        <f>ROUND(Sales[[#This Row],[25Det]]*Sales[[#This Row],[Det/Nbhd Adj]],-2)</f>
        <v>0</v>
      </c>
      <c r="CU54">
        <f>Sales[[#This Row],[Adjusted Res]]+Sales[[#This Row],[Adj Det ]]</f>
        <v>359700</v>
      </c>
      <c r="CV54">
        <f>ROUND((Sales[[#This Row],[Mdl Land Intercept]]+Sales[[#This Row],[Mdl LnAcres]])*Sales[[#This Row],[Det/Nbhd Adj]],-2)</f>
        <v>65000</v>
      </c>
      <c r="CW54">
        <f>Sales[[#This Row],[Adjusted Impr Total]]+Sales[[#This Row],[Adjusted Land Total]]</f>
        <v>424700</v>
      </c>
      <c r="CX54" s="10">
        <f>IFERROR((Sales[[#This Row],[Adjusted Impr Total]]-Sales[[#This Row],[24Bldg]])/Sales[[#This Row],[24Bldg]],0)</f>
        <v>2.6248216833095576E-2</v>
      </c>
      <c r="CY54" s="10">
        <f>(Sales[[#This Row],[Adjusted Land Total]]-Sales[[#This Row],[24Lnd]])/Sales[[#This Row],[24Lnd]]</f>
        <v>-4.5941807044410417E-3</v>
      </c>
      <c r="CZ54">
        <f>(Sales[[#This Row],[Adjusted Total]]-Sales[[#This Row],[24Final]])/Sales[[#This Row],[24Final]]</f>
        <v>2.1404521404521405E-2</v>
      </c>
      <c r="DA54" s="10">
        <f>(Sales[[#This Row],[Adjusted Total]]+Sales[[#This Row],[Days Prior Total]])/Sales[[#This Row],[Price]]</f>
        <v>0.97261466811228103</v>
      </c>
    </row>
    <row r="55" spans="1:105">
      <c r="A55">
        <v>2025</v>
      </c>
      <c r="B55">
        <v>19133541432</v>
      </c>
      <c r="C55">
        <v>-1.6607312068216509</v>
      </c>
      <c r="D55">
        <v>0.19</v>
      </c>
      <c r="E55">
        <v>8222</v>
      </c>
      <c r="F55">
        <v>2</v>
      </c>
      <c r="G55" t="s">
        <v>155</v>
      </c>
      <c r="H55">
        <v>317</v>
      </c>
      <c r="I55" t="s">
        <v>5</v>
      </c>
      <c r="J55" t="s">
        <v>212</v>
      </c>
      <c r="K55">
        <v>11</v>
      </c>
      <c r="L55">
        <v>259</v>
      </c>
      <c r="M55" t="s">
        <v>157</v>
      </c>
      <c r="N55" t="s">
        <v>19</v>
      </c>
      <c r="O55" t="s">
        <v>24</v>
      </c>
      <c r="P55">
        <v>2022</v>
      </c>
      <c r="Q55">
        <v>2022</v>
      </c>
      <c r="R55">
        <v>10</v>
      </c>
      <c r="S55">
        <v>2</v>
      </c>
      <c r="T55">
        <v>2</v>
      </c>
      <c r="U55">
        <v>1</v>
      </c>
      <c r="V55">
        <v>1403</v>
      </c>
      <c r="W55">
        <v>0</v>
      </c>
      <c r="X55">
        <v>0</v>
      </c>
      <c r="Y55">
        <v>0</v>
      </c>
      <c r="Z55">
        <v>0</v>
      </c>
      <c r="AA55">
        <v>0</v>
      </c>
      <c r="AB55">
        <v>1403</v>
      </c>
      <c r="AC55">
        <v>1500</v>
      </c>
      <c r="AD55">
        <v>3</v>
      </c>
      <c r="AE55" t="s">
        <v>56</v>
      </c>
      <c r="AF55" t="s">
        <v>158</v>
      </c>
      <c r="AG55" t="s">
        <v>21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10</v>
      </c>
      <c r="AO55">
        <v>640</v>
      </c>
      <c r="AP55">
        <v>0</v>
      </c>
      <c r="AQ55">
        <v>0</v>
      </c>
      <c r="AR55">
        <v>0</v>
      </c>
      <c r="AS55">
        <v>120</v>
      </c>
      <c r="AT55">
        <v>0</v>
      </c>
      <c r="AU55">
        <v>100</v>
      </c>
      <c r="AV55">
        <v>100</v>
      </c>
      <c r="AW55">
        <v>263599</v>
      </c>
      <c r="AX55">
        <v>260963</v>
      </c>
      <c r="AY55">
        <v>662</v>
      </c>
      <c r="AZ55">
        <v>365</v>
      </c>
      <c r="BA55">
        <v>297</v>
      </c>
      <c r="BB55">
        <v>0</v>
      </c>
      <c r="BC55" s="2">
        <v>44630</v>
      </c>
      <c r="BD55" t="s">
        <v>215</v>
      </c>
      <c r="BE55">
        <v>365250</v>
      </c>
      <c r="BF55">
        <v>365250</v>
      </c>
      <c r="BG55" t="s">
        <v>160</v>
      </c>
      <c r="BH55">
        <v>30</v>
      </c>
      <c r="BI55" t="s">
        <v>56</v>
      </c>
      <c r="BJ55" t="s">
        <v>161</v>
      </c>
      <c r="BK55">
        <v>385700</v>
      </c>
      <c r="BL55">
        <v>63200</v>
      </c>
      <c r="BM55">
        <v>322500</v>
      </c>
      <c r="BN55">
        <v>0</v>
      </c>
      <c r="BO55">
        <v>367582.12136757665</v>
      </c>
      <c r="BP55">
        <v>384146.28354039113</v>
      </c>
      <c r="BQ55">
        <f>(Sales[[#This Row],[DP1]]*Lookups!$B$61)+(Sales[[#This Row],[DP2]]*Lookups!$B$62)+(Sales[[#This Row],[DP3]]*Lookups!$B$63)</f>
        <v>-16564.161230999998</v>
      </c>
      <c r="BR55">
        <f>Lookups!$B$58*0.6</f>
        <v>132535.48800000001</v>
      </c>
      <c r="BS55">
        <f>Lookups!$B$58*0.4</f>
        <v>88356.992000000013</v>
      </c>
      <c r="BT55">
        <f>Lookups!$B$59*Sales[[#This Row],[LnAcres]]</f>
        <v>-21795.969453044734</v>
      </c>
      <c r="BU55">
        <f>VLOOKUP(Sales[[#This Row],[Qlty]],Lookups!$A$66:$E$79,2,FALSE)</f>
        <v>37154.252388000001</v>
      </c>
      <c r="BV55">
        <f>VLOOKUP(Sales[[#This Row],[Cnd]],Lookups!$A$80:$E$91,2,FALSE)</f>
        <v>47371.278778200001</v>
      </c>
      <c r="BW55">
        <f>Sales[[#This Row],[EffAge]]*Lookups!$B$65</f>
        <v>-217.48220000000001</v>
      </c>
      <c r="BX55">
        <f>Sales[[#This Row],[MainFn]]*Lookups!$B$90</f>
        <v>87561.76314000001</v>
      </c>
      <c r="BY55">
        <f>Sales[[#This Row],[UpprFn]]*Lookups!$B$91</f>
        <v>0</v>
      </c>
      <c r="BZ55">
        <f>Sales[[#This Row],[Bsmt]]*Lookups!$B$95</f>
        <v>0</v>
      </c>
      <c r="CA55">
        <f>VLOOKUP(Sales[[#This Row],[MsnryTrim]],Lookups!$A$90:$E$99,2,FALSE)</f>
        <v>-9412.7029999999995</v>
      </c>
      <c r="CB55">
        <f>Sales[[#This Row],[PrefabFP]]*Lookups!$B$92</f>
        <v>0</v>
      </c>
      <c r="CC55">
        <f>Sales[[#This Row],[AttGar]]*Lookups!$B$93</f>
        <v>22592.65984</v>
      </c>
      <c r="CD55">
        <f>Sales[[#This Row],[BltinGar]]*Lookups!$B$94</f>
        <v>0</v>
      </c>
      <c r="CE55">
        <f>SUM(Sales[[#This Row],[Days Prior Total]:[Mdl BltinGar]])</f>
        <v>367582.11826215521</v>
      </c>
      <c r="CF55">
        <f>ROUND(Sales[[#This Row],[25Det]],-2)</f>
        <v>0</v>
      </c>
      <c r="CG55">
        <f>ROUND(SUM(Sales[[#This Row],[Mdl Qlty]:[Mdl BltinGar]])+Sales[[#This Row],[Mdl Res Intercept]]+Sales[[#This Row],[Days Prior Total]],-2)</f>
        <v>301000</v>
      </c>
      <c r="CH55">
        <f>ROUND(Sales[[#This Row],[Mdl Land Intercept]]+Sales[[#This Row],[Mdl LnAcres]],-2)</f>
        <v>66600</v>
      </c>
      <c r="CI55">
        <f>Sales[[#This Row],[Unadj Res Value]]+Sales[[#This Row],[Unadj Det Value]]+Sales[[#This Row],[Unadj Land Value]]</f>
        <v>367600</v>
      </c>
      <c r="CJ55" s="10">
        <f>Sales[[#This Row],[Price]]/Sales[[#This Row],[Unadj Total Value]]</f>
        <v>0.9936071817192601</v>
      </c>
      <c r="CK55" s="10">
        <f>(Sales[[#This Row],[Unadj Total Value]]-Sales[[#This Row],[24Final]])/Sales[[#This Row],[24Final]]</f>
        <v>-4.6927663987555095E-2</v>
      </c>
      <c r="CL55">
        <f>VLOOKUP(Sales[[#This Row],[TNbhd]],Lookups!$M$3:$P$5,4,FALSE)</f>
        <v>0.99970000000000003</v>
      </c>
      <c r="CM55">
        <f>VLOOKUP(Sales[[#This Row],[Qlty]],Lookups!$M$8:$P$22,4,FALSE)</f>
        <v>0.99819999999999998</v>
      </c>
      <c r="CN55">
        <f>VLOOKUP(Sales[[#This Row],[Cnd]],Lookups!$R$8:$U$17,4,FALSE)</f>
        <v>1.0012000000000001</v>
      </c>
      <c r="CO55">
        <f>VLOOKUP(Sales[[#This Row],[LivArea Range]],Lookups!$R$25:$U$43,4,FALSE)</f>
        <v>0.99519999999999997</v>
      </c>
      <c r="CP55">
        <f>VLOOKUP(Sales[[#This Row],[Decade]],Lookups!$M$24:$P$40,4,FALSE)</f>
        <v>1.0024</v>
      </c>
      <c r="CQ55">
        <f>Sales[[#This Row],[Nbhd Adj]]*0.95</f>
        <v>0.94971499999999998</v>
      </c>
      <c r="CR55">
        <f>Sales[[#This Row],[Nbhd Adj]]*Sales[[#This Row],[Quality Adj]]*Sales[[#This Row],[Condition Adj]]*Sales[[#This Row],[Living Area Adj]]*Sales[[#This Row],[Decade Adj]]*0.95</f>
        <v>0.94685424199978463</v>
      </c>
      <c r="CS55">
        <f>ROUND(SUM(Sales[[#This Row],[Mdl Qlty]:[Mdl BltinGar]])+Sales[[#This Row],[Mdl Res Intercept]]*Sales[[#This Row],[Res Adj ]],-2)</f>
        <v>310500</v>
      </c>
      <c r="CT55">
        <f>ROUND(Sales[[#This Row],[25Det]]*Sales[[#This Row],[Det/Nbhd Adj]],-2)</f>
        <v>0</v>
      </c>
      <c r="CU55">
        <f>Sales[[#This Row],[Adjusted Res]]+Sales[[#This Row],[Adj Det ]]</f>
        <v>310500</v>
      </c>
      <c r="CV55">
        <f>ROUND((Sales[[#This Row],[Mdl Land Intercept]]+Sales[[#This Row],[Mdl LnAcres]])*Sales[[#This Row],[Det/Nbhd Adj]],-2)</f>
        <v>63200</v>
      </c>
      <c r="CW55">
        <f>Sales[[#This Row],[Adjusted Impr Total]]+Sales[[#This Row],[Adjusted Land Total]]</f>
        <v>373700</v>
      </c>
      <c r="CX55" s="10">
        <f>IFERROR((Sales[[#This Row],[Adjusted Impr Total]]-Sales[[#This Row],[24Bldg]])/Sales[[#This Row],[24Bldg]],0)</f>
        <v>-3.7209302325581395E-2</v>
      </c>
      <c r="CY55" s="10">
        <f>(Sales[[#This Row],[Adjusted Land Total]]-Sales[[#This Row],[24Lnd]])/Sales[[#This Row],[24Lnd]]</f>
        <v>0</v>
      </c>
      <c r="CZ55">
        <f>(Sales[[#This Row],[Adjusted Total]]-Sales[[#This Row],[24Final]])/Sales[[#This Row],[24Final]]</f>
        <v>-3.11122634171636E-2</v>
      </c>
      <c r="DA55" s="10">
        <f>(Sales[[#This Row],[Adjusted Total]]+Sales[[#This Row],[Days Prior Total]])/Sales[[#This Row],[Price]]</f>
        <v>0.97778463728678988</v>
      </c>
    </row>
    <row r="56" spans="1:105">
      <c r="A56">
        <v>2025</v>
      </c>
      <c r="B56">
        <v>19120114429</v>
      </c>
      <c r="C56">
        <v>-1.7147984280919266</v>
      </c>
      <c r="D56">
        <v>0.18</v>
      </c>
      <c r="E56">
        <v>7718</v>
      </c>
      <c r="F56">
        <v>2</v>
      </c>
      <c r="G56" t="s">
        <v>155</v>
      </c>
      <c r="H56">
        <v>317</v>
      </c>
      <c r="I56" t="s">
        <v>5</v>
      </c>
      <c r="J56" t="s">
        <v>156</v>
      </c>
      <c r="K56">
        <v>11</v>
      </c>
      <c r="L56">
        <v>259</v>
      </c>
      <c r="M56" t="s">
        <v>157</v>
      </c>
      <c r="N56" t="s">
        <v>21</v>
      </c>
      <c r="O56" t="s">
        <v>24</v>
      </c>
      <c r="P56">
        <v>2021</v>
      </c>
      <c r="Q56">
        <v>2021</v>
      </c>
      <c r="R56">
        <v>10</v>
      </c>
      <c r="S56">
        <v>3</v>
      </c>
      <c r="T56">
        <v>3</v>
      </c>
      <c r="U56">
        <v>2</v>
      </c>
      <c r="V56">
        <v>1316</v>
      </c>
      <c r="W56">
        <v>1686</v>
      </c>
      <c r="X56">
        <v>0</v>
      </c>
      <c r="Y56">
        <v>0</v>
      </c>
      <c r="Z56">
        <v>0</v>
      </c>
      <c r="AA56">
        <v>0</v>
      </c>
      <c r="AB56">
        <v>3002</v>
      </c>
      <c r="AC56">
        <v>3500</v>
      </c>
      <c r="AD56">
        <v>2</v>
      </c>
      <c r="AE56" t="s">
        <v>56</v>
      </c>
      <c r="AF56" t="s">
        <v>158</v>
      </c>
      <c r="AG56" t="s">
        <v>21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14</v>
      </c>
      <c r="AO56">
        <v>0</v>
      </c>
      <c r="AP56">
        <v>540</v>
      </c>
      <c r="AQ56">
        <v>0</v>
      </c>
      <c r="AR56">
        <v>0</v>
      </c>
      <c r="AS56">
        <v>180</v>
      </c>
      <c r="AT56">
        <v>0</v>
      </c>
      <c r="AU56">
        <v>100</v>
      </c>
      <c r="AV56">
        <v>100</v>
      </c>
      <c r="AW56">
        <v>504670</v>
      </c>
      <c r="AX56">
        <v>499623</v>
      </c>
      <c r="AY56">
        <v>967</v>
      </c>
      <c r="AZ56">
        <v>365</v>
      </c>
      <c r="BA56">
        <v>365</v>
      </c>
      <c r="BB56">
        <v>237</v>
      </c>
      <c r="BC56" s="2">
        <v>44325</v>
      </c>
      <c r="BD56" t="s">
        <v>216</v>
      </c>
      <c r="BE56">
        <v>399104</v>
      </c>
      <c r="BF56">
        <v>399104</v>
      </c>
      <c r="BG56" t="s">
        <v>160</v>
      </c>
      <c r="BH56">
        <v>30</v>
      </c>
      <c r="BI56" t="s">
        <v>56</v>
      </c>
      <c r="BJ56" t="s">
        <v>161</v>
      </c>
      <c r="BK56">
        <v>466400</v>
      </c>
      <c r="BL56">
        <v>62500</v>
      </c>
      <c r="BM56">
        <v>403900</v>
      </c>
      <c r="BN56">
        <v>0</v>
      </c>
      <c r="BO56">
        <v>402772.79446195904</v>
      </c>
      <c r="BP56">
        <v>478195.97808861313</v>
      </c>
      <c r="BQ56">
        <f>(Sales[[#This Row],[DP1]]*Lookups!$B$61)+(Sales[[#This Row],[DP2]]*Lookups!$B$62)+(Sales[[#This Row],[DP3]]*Lookups!$B$63)</f>
        <v>-75423.180431000001</v>
      </c>
      <c r="BR56">
        <f>Lookups!$B$58*0.6</f>
        <v>132535.48800000001</v>
      </c>
      <c r="BS56">
        <f>Lookups!$B$58*0.4</f>
        <v>88356.992000000013</v>
      </c>
      <c r="BT56">
        <f>Lookups!$B$59*Sales[[#This Row],[LnAcres]]</f>
        <v>-22505.565020573864</v>
      </c>
      <c r="BU56">
        <f>VLOOKUP(Sales[[#This Row],[Qlty]],Lookups!$A$66:$E$79,2,FALSE)</f>
        <v>32917.849192000001</v>
      </c>
      <c r="BV56">
        <f>VLOOKUP(Sales[[#This Row],[Cnd]],Lookups!$A$80:$E$91,2,FALSE)</f>
        <v>47371.278778200001</v>
      </c>
      <c r="BW56">
        <f>Sales[[#This Row],[EffAge]]*Lookups!$B$65</f>
        <v>-326.22329999999999</v>
      </c>
      <c r="BX56">
        <f>Sales[[#This Row],[MainFn]]*Lookups!$B$90</f>
        <v>82132.06008000001</v>
      </c>
      <c r="BY56">
        <f>Sales[[#This Row],[UpprFn]]*Lookups!$B$91</f>
        <v>100452.525738</v>
      </c>
      <c r="BZ56">
        <f>Sales[[#This Row],[Bsmt]]*Lookups!$B$95</f>
        <v>0</v>
      </c>
      <c r="CA56">
        <f>VLOOKUP(Sales[[#This Row],[MsnryTrim]],Lookups!$A$90:$E$99,2,FALSE)</f>
        <v>-9412.7029999999995</v>
      </c>
      <c r="CB56">
        <f>Sales[[#This Row],[PrefabFP]]*Lookups!$B$92</f>
        <v>0</v>
      </c>
      <c r="CC56">
        <f>Sales[[#This Row],[AttGar]]*Lookups!$B$93</f>
        <v>0</v>
      </c>
      <c r="CD56">
        <f>Sales[[#This Row],[BltinGar]]*Lookups!$B$94</f>
        <v>26674.272000000001</v>
      </c>
      <c r="CE56">
        <f>SUM(Sales[[#This Row],[Days Prior Total]:[Mdl BltinGar]])</f>
        <v>402772.79403662618</v>
      </c>
      <c r="CF56">
        <f>ROUND(Sales[[#This Row],[25Det]],-2)</f>
        <v>0</v>
      </c>
      <c r="CG56">
        <f>ROUND(SUM(Sales[[#This Row],[Mdl Qlty]:[Mdl BltinGar]])+Sales[[#This Row],[Mdl Res Intercept]]+Sales[[#This Row],[Days Prior Total]],-2)</f>
        <v>336900</v>
      </c>
      <c r="CH56">
        <f>ROUND(Sales[[#This Row],[Mdl Land Intercept]]+Sales[[#This Row],[Mdl LnAcres]],-2)</f>
        <v>65900</v>
      </c>
      <c r="CI56">
        <f>Sales[[#This Row],[Unadj Res Value]]+Sales[[#This Row],[Unadj Det Value]]+Sales[[#This Row],[Unadj Land Value]]</f>
        <v>402800</v>
      </c>
      <c r="CJ56" s="10">
        <f>Sales[[#This Row],[Price]]/Sales[[#This Row],[Unadj Total Value]]</f>
        <v>0.99082423038728895</v>
      </c>
      <c r="CK56" s="10">
        <f>(Sales[[#This Row],[Unadj Total Value]]-Sales[[#This Row],[24Final]])/Sales[[#This Row],[24Final]]</f>
        <v>-0.13636363636363635</v>
      </c>
      <c r="CL56">
        <f>VLOOKUP(Sales[[#This Row],[TNbhd]],Lookups!$M$3:$P$5,4,FALSE)</f>
        <v>0.99970000000000003</v>
      </c>
      <c r="CM56">
        <f>VLOOKUP(Sales[[#This Row],[Qlty]],Lookups!$M$8:$P$22,4,FALSE)</f>
        <v>1.0019</v>
      </c>
      <c r="CN56">
        <f>VLOOKUP(Sales[[#This Row],[Cnd]],Lookups!$R$8:$U$17,4,FALSE)</f>
        <v>1.0012000000000001</v>
      </c>
      <c r="CO56">
        <f>VLOOKUP(Sales[[#This Row],[LivArea Range]],Lookups!$R$25:$U$43,4,FALSE)</f>
        <v>0.98509999999999998</v>
      </c>
      <c r="CP56">
        <f>VLOOKUP(Sales[[#This Row],[Decade]],Lookups!$M$24:$P$40,4,FALSE)</f>
        <v>1.0024</v>
      </c>
      <c r="CQ56">
        <f>Sales[[#This Row],[Nbhd Adj]]*0.95</f>
        <v>0.94971499999999998</v>
      </c>
      <c r="CR56">
        <f>Sales[[#This Row],[Nbhd Adj]]*Sales[[#This Row],[Quality Adj]]*Sales[[#This Row],[Condition Adj]]*Sales[[#This Row],[Living Area Adj]]*Sales[[#This Row],[Decade Adj]]*0.95</f>
        <v>0.94071894865963335</v>
      </c>
      <c r="CS56">
        <f>ROUND(SUM(Sales[[#This Row],[Mdl Qlty]:[Mdl BltinGar]])+Sales[[#This Row],[Mdl Res Intercept]]*Sales[[#This Row],[Res Adj ]],-2)</f>
        <v>404500</v>
      </c>
      <c r="CT56">
        <f>ROUND(Sales[[#This Row],[25Det]]*Sales[[#This Row],[Det/Nbhd Adj]],-2)</f>
        <v>0</v>
      </c>
      <c r="CU56">
        <f>Sales[[#This Row],[Adjusted Res]]+Sales[[#This Row],[Adj Det ]]</f>
        <v>404500</v>
      </c>
      <c r="CV56">
        <f>ROUND((Sales[[#This Row],[Mdl Land Intercept]]+Sales[[#This Row],[Mdl LnAcres]])*Sales[[#This Row],[Det/Nbhd Adj]],-2)</f>
        <v>62500</v>
      </c>
      <c r="CW56">
        <f>Sales[[#This Row],[Adjusted Impr Total]]+Sales[[#This Row],[Adjusted Land Total]]</f>
        <v>467000</v>
      </c>
      <c r="CX56" s="10">
        <f>IFERROR((Sales[[#This Row],[Adjusted Impr Total]]-Sales[[#This Row],[24Bldg]])/Sales[[#This Row],[24Bldg]],0)</f>
        <v>1.4855162168853676E-3</v>
      </c>
      <c r="CY56" s="10">
        <f>(Sales[[#This Row],[Adjusted Land Total]]-Sales[[#This Row],[24Lnd]])/Sales[[#This Row],[24Lnd]]</f>
        <v>0</v>
      </c>
      <c r="CZ56">
        <f>(Sales[[#This Row],[Adjusted Total]]-Sales[[#This Row],[24Final]])/Sales[[#This Row],[24Final]]</f>
        <v>1.2864493996569469E-3</v>
      </c>
      <c r="DA56" s="10">
        <f>(Sales[[#This Row],[Adjusted Total]]+Sales[[#This Row],[Days Prior Total]])/Sales[[#This Row],[Price]]</f>
        <v>0.9811398020791573</v>
      </c>
    </row>
    <row r="57" spans="1:105">
      <c r="A57">
        <v>2025</v>
      </c>
      <c r="B57">
        <v>19120114430</v>
      </c>
      <c r="C57">
        <v>-1.8325814637483102</v>
      </c>
      <c r="D57">
        <v>0.16</v>
      </c>
      <c r="E57">
        <v>7002</v>
      </c>
      <c r="F57">
        <v>2</v>
      </c>
      <c r="G57" t="s">
        <v>155</v>
      </c>
      <c r="H57">
        <v>317</v>
      </c>
      <c r="I57" t="s">
        <v>5</v>
      </c>
      <c r="J57" t="s">
        <v>156</v>
      </c>
      <c r="K57">
        <v>11</v>
      </c>
      <c r="L57">
        <v>259</v>
      </c>
      <c r="M57" t="s">
        <v>157</v>
      </c>
      <c r="N57" t="s">
        <v>19</v>
      </c>
      <c r="O57" t="s">
        <v>24</v>
      </c>
      <c r="P57">
        <v>2021</v>
      </c>
      <c r="Q57">
        <v>2021</v>
      </c>
      <c r="R57">
        <v>10</v>
      </c>
      <c r="S57">
        <v>3</v>
      </c>
      <c r="T57">
        <v>3</v>
      </c>
      <c r="U57">
        <v>1</v>
      </c>
      <c r="V57">
        <v>1580</v>
      </c>
      <c r="W57">
        <v>0</v>
      </c>
      <c r="X57">
        <v>0</v>
      </c>
      <c r="Y57">
        <v>0</v>
      </c>
      <c r="Z57">
        <v>0</v>
      </c>
      <c r="AA57">
        <v>0</v>
      </c>
      <c r="AB57">
        <v>1580</v>
      </c>
      <c r="AC57">
        <v>2000</v>
      </c>
      <c r="AD57">
        <v>2</v>
      </c>
      <c r="AE57" t="s">
        <v>56</v>
      </c>
      <c r="AF57" t="s">
        <v>158</v>
      </c>
      <c r="AG57" t="s">
        <v>21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9</v>
      </c>
      <c r="AO57">
        <v>400</v>
      </c>
      <c r="AP57">
        <v>0</v>
      </c>
      <c r="AQ57">
        <v>0</v>
      </c>
      <c r="AR57">
        <v>0</v>
      </c>
      <c r="AS57">
        <v>100</v>
      </c>
      <c r="AT57">
        <v>0</v>
      </c>
      <c r="AU57">
        <v>100</v>
      </c>
      <c r="AV57">
        <v>100</v>
      </c>
      <c r="AW57">
        <v>279658</v>
      </c>
      <c r="AX57">
        <v>276861</v>
      </c>
      <c r="AY57">
        <v>1001</v>
      </c>
      <c r="AZ57">
        <v>365</v>
      </c>
      <c r="BA57">
        <v>365</v>
      </c>
      <c r="BB57">
        <v>271</v>
      </c>
      <c r="BC57" s="2">
        <v>44291</v>
      </c>
      <c r="BD57" t="s">
        <v>217</v>
      </c>
      <c r="BE57">
        <v>287375</v>
      </c>
      <c r="BF57">
        <v>287375</v>
      </c>
      <c r="BG57" t="s">
        <v>160</v>
      </c>
      <c r="BH57">
        <v>30</v>
      </c>
      <c r="BI57" t="s">
        <v>56</v>
      </c>
      <c r="BJ57" t="s">
        <v>161</v>
      </c>
      <c r="BK57">
        <v>386100</v>
      </c>
      <c r="BL57">
        <v>60800</v>
      </c>
      <c r="BM57">
        <v>325300</v>
      </c>
      <c r="BN57">
        <v>0</v>
      </c>
      <c r="BO57">
        <v>301147.35088947049</v>
      </c>
      <c r="BP57">
        <v>384356.51440812129</v>
      </c>
      <c r="BQ57">
        <f>(Sales[[#This Row],[DP1]]*Lookups!$B$61)+(Sales[[#This Row],[DP2]]*Lookups!$B$62)+(Sales[[#This Row],[DP3]]*Lookups!$B$63)</f>
        <v>-83209.160031000007</v>
      </c>
      <c r="BR57">
        <f>Lookups!$B$58*0.6</f>
        <v>132535.48800000001</v>
      </c>
      <c r="BS57">
        <f>Lookups!$B$58*0.4</f>
        <v>88356.992000000013</v>
      </c>
      <c r="BT57">
        <f>Lookups!$B$59*Sales[[#This Row],[LnAcres]]</f>
        <v>-24051.387388882686</v>
      </c>
      <c r="BU57">
        <f>VLOOKUP(Sales[[#This Row],[Qlty]],Lookups!$A$66:$E$79,2,FALSE)</f>
        <v>37154.252388000001</v>
      </c>
      <c r="BV57">
        <f>VLOOKUP(Sales[[#This Row],[Cnd]],Lookups!$A$80:$E$91,2,FALSE)</f>
        <v>47371.278778200001</v>
      </c>
      <c r="BW57">
        <f>Sales[[#This Row],[EffAge]]*Lookups!$B$65</f>
        <v>-326.22329999999999</v>
      </c>
      <c r="BX57">
        <f>Sales[[#This Row],[MainFn]]*Lookups!$B$90</f>
        <v>98608.400399999999</v>
      </c>
      <c r="BY57">
        <f>Sales[[#This Row],[UpprFn]]*Lookups!$B$91</f>
        <v>0</v>
      </c>
      <c r="BZ57">
        <f>Sales[[#This Row],[Bsmt]]*Lookups!$B$95</f>
        <v>0</v>
      </c>
      <c r="CA57">
        <f>VLOOKUP(Sales[[#This Row],[MsnryTrim]],Lookups!$A$90:$E$99,2,FALSE)</f>
        <v>-9412.7029999999995</v>
      </c>
      <c r="CB57">
        <f>Sales[[#This Row],[PrefabFP]]*Lookups!$B$92</f>
        <v>0</v>
      </c>
      <c r="CC57">
        <f>Sales[[#This Row],[AttGar]]*Lookups!$B$93</f>
        <v>14120.412400000001</v>
      </c>
      <c r="CD57">
        <f>Sales[[#This Row],[BltinGar]]*Lookups!$B$94</f>
        <v>0</v>
      </c>
      <c r="CE57">
        <f>SUM(Sales[[#This Row],[Days Prior Total]:[Mdl BltinGar]])</f>
        <v>301147.35024631734</v>
      </c>
      <c r="CF57">
        <f>ROUND(Sales[[#This Row],[25Det]],-2)</f>
        <v>0</v>
      </c>
      <c r="CG57">
        <f>ROUND(SUM(Sales[[#This Row],[Mdl Qlty]:[Mdl BltinGar]])+Sales[[#This Row],[Mdl Res Intercept]]+Sales[[#This Row],[Days Prior Total]],-2)</f>
        <v>236800</v>
      </c>
      <c r="CH57">
        <f>ROUND(Sales[[#This Row],[Mdl Land Intercept]]+Sales[[#This Row],[Mdl LnAcres]],-2)</f>
        <v>64300</v>
      </c>
      <c r="CI57">
        <f>Sales[[#This Row],[Unadj Res Value]]+Sales[[#This Row],[Unadj Det Value]]+Sales[[#This Row],[Unadj Land Value]]</f>
        <v>301100</v>
      </c>
      <c r="CJ57" s="10">
        <f>Sales[[#This Row],[Price]]/Sales[[#This Row],[Unadj Total Value]]</f>
        <v>0.954417137163733</v>
      </c>
      <c r="CK57" s="10">
        <f>(Sales[[#This Row],[Unadj Total Value]]-Sales[[#This Row],[24Final]])/Sales[[#This Row],[24Final]]</f>
        <v>-0.22015022015022015</v>
      </c>
      <c r="CL57">
        <f>VLOOKUP(Sales[[#This Row],[TNbhd]],Lookups!$M$3:$P$5,4,FALSE)</f>
        <v>0.99970000000000003</v>
      </c>
      <c r="CM57">
        <f>VLOOKUP(Sales[[#This Row],[Qlty]],Lookups!$M$8:$P$22,4,FALSE)</f>
        <v>0.99819999999999998</v>
      </c>
      <c r="CN57">
        <f>VLOOKUP(Sales[[#This Row],[Cnd]],Lookups!$R$8:$U$17,4,FALSE)</f>
        <v>1.0012000000000001</v>
      </c>
      <c r="CO57">
        <f>VLOOKUP(Sales[[#This Row],[LivArea Range]],Lookups!$R$25:$U$43,4,FALSE)</f>
        <v>1.0007999999999999</v>
      </c>
      <c r="CP57">
        <f>VLOOKUP(Sales[[#This Row],[Decade]],Lookups!$M$24:$P$40,4,FALSE)</f>
        <v>1.0024</v>
      </c>
      <c r="CQ57">
        <f>Sales[[#This Row],[Nbhd Adj]]*0.95</f>
        <v>0.94971499999999998</v>
      </c>
      <c r="CR57">
        <f>Sales[[#This Row],[Nbhd Adj]]*Sales[[#This Row],[Quality Adj]]*Sales[[#This Row],[Condition Adj]]*Sales[[#This Row],[Living Area Adj]]*Sales[[#This Row],[Decade Adj]]*0.95</f>
        <v>0.95218219995315945</v>
      </c>
      <c r="CS57">
        <f>ROUND(SUM(Sales[[#This Row],[Mdl Qlty]:[Mdl BltinGar]])+Sales[[#This Row],[Mdl Res Intercept]]*Sales[[#This Row],[Res Adj ]],-2)</f>
        <v>313700</v>
      </c>
      <c r="CT57">
        <f>ROUND(Sales[[#This Row],[25Det]]*Sales[[#This Row],[Det/Nbhd Adj]],-2)</f>
        <v>0</v>
      </c>
      <c r="CU57">
        <f>Sales[[#This Row],[Adjusted Res]]+Sales[[#This Row],[Adj Det ]]</f>
        <v>313700</v>
      </c>
      <c r="CV57">
        <f>ROUND((Sales[[#This Row],[Mdl Land Intercept]]+Sales[[#This Row],[Mdl LnAcres]])*Sales[[#This Row],[Det/Nbhd Adj]],-2)</f>
        <v>61100</v>
      </c>
      <c r="CW57">
        <f>Sales[[#This Row],[Adjusted Impr Total]]+Sales[[#This Row],[Adjusted Land Total]]</f>
        <v>374800</v>
      </c>
      <c r="CX57" s="10">
        <f>IFERROR((Sales[[#This Row],[Adjusted Impr Total]]-Sales[[#This Row],[24Bldg]])/Sales[[#This Row],[24Bldg]],0)</f>
        <v>-3.5659391331079003E-2</v>
      </c>
      <c r="CY57" s="10">
        <f>(Sales[[#This Row],[Adjusted Land Total]]-Sales[[#This Row],[24Lnd]])/Sales[[#This Row],[24Lnd]]</f>
        <v>4.9342105263157892E-3</v>
      </c>
      <c r="CZ57">
        <f>(Sales[[#This Row],[Adjusted Total]]-Sales[[#This Row],[24Final]])/Sales[[#This Row],[24Final]]</f>
        <v>-2.9267029267029267E-2</v>
      </c>
      <c r="DA57" s="10">
        <f>(Sales[[#This Row],[Adjusted Total]]+Sales[[#This Row],[Days Prior Total]])/Sales[[#This Row],[Price]]</f>
        <v>1.0146701695311005</v>
      </c>
    </row>
    <row r="58" spans="1:105">
      <c r="A58">
        <v>2025</v>
      </c>
      <c r="B58">
        <v>19120114431</v>
      </c>
      <c r="C58">
        <v>-1.8325814637483102</v>
      </c>
      <c r="D58">
        <v>0.16</v>
      </c>
      <c r="E58">
        <v>7002</v>
      </c>
      <c r="F58">
        <v>2</v>
      </c>
      <c r="G58" t="s">
        <v>155</v>
      </c>
      <c r="H58">
        <v>317</v>
      </c>
      <c r="I58" t="s">
        <v>5</v>
      </c>
      <c r="J58" t="s">
        <v>156</v>
      </c>
      <c r="K58">
        <v>11</v>
      </c>
      <c r="L58">
        <v>259</v>
      </c>
      <c r="M58" t="s">
        <v>157</v>
      </c>
      <c r="N58" t="s">
        <v>19</v>
      </c>
      <c r="O58" t="s">
        <v>24</v>
      </c>
      <c r="P58">
        <v>2021</v>
      </c>
      <c r="Q58">
        <v>2021</v>
      </c>
      <c r="R58">
        <v>10</v>
      </c>
      <c r="S58">
        <v>3</v>
      </c>
      <c r="T58">
        <v>3</v>
      </c>
      <c r="U58">
        <v>1</v>
      </c>
      <c r="V58">
        <v>1580</v>
      </c>
      <c r="W58">
        <v>0</v>
      </c>
      <c r="X58">
        <v>0</v>
      </c>
      <c r="Y58">
        <v>0</v>
      </c>
      <c r="Z58">
        <v>0</v>
      </c>
      <c r="AA58">
        <v>0</v>
      </c>
      <c r="AB58">
        <v>1580</v>
      </c>
      <c r="AC58">
        <v>2000</v>
      </c>
      <c r="AD58">
        <v>2</v>
      </c>
      <c r="AE58" t="s">
        <v>56</v>
      </c>
      <c r="AF58" t="s">
        <v>158</v>
      </c>
      <c r="AG58" t="s">
        <v>21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9</v>
      </c>
      <c r="AO58">
        <v>400</v>
      </c>
      <c r="AP58">
        <v>0</v>
      </c>
      <c r="AQ58">
        <v>0</v>
      </c>
      <c r="AR58">
        <v>0</v>
      </c>
      <c r="AS58">
        <v>100</v>
      </c>
      <c r="AT58">
        <v>0</v>
      </c>
      <c r="AU58">
        <v>100</v>
      </c>
      <c r="AV58">
        <v>100</v>
      </c>
      <c r="AW58">
        <v>276104</v>
      </c>
      <c r="AX58">
        <v>273343</v>
      </c>
      <c r="AY58">
        <v>967</v>
      </c>
      <c r="AZ58">
        <v>365</v>
      </c>
      <c r="BA58">
        <v>365</v>
      </c>
      <c r="BB58">
        <v>237</v>
      </c>
      <c r="BC58" s="2">
        <v>44325</v>
      </c>
      <c r="BD58" t="s">
        <v>218</v>
      </c>
      <c r="BE58">
        <v>285350</v>
      </c>
      <c r="BF58">
        <v>285350</v>
      </c>
      <c r="BG58" t="s">
        <v>160</v>
      </c>
      <c r="BH58">
        <v>30</v>
      </c>
      <c r="BI58" t="s">
        <v>56</v>
      </c>
      <c r="BJ58" t="s">
        <v>161</v>
      </c>
      <c r="BK58">
        <v>380700</v>
      </c>
      <c r="BL58">
        <v>60800</v>
      </c>
      <c r="BM58">
        <v>319900</v>
      </c>
      <c r="BN58">
        <v>0</v>
      </c>
      <c r="BO58">
        <v>308933.33078146732</v>
      </c>
      <c r="BP58">
        <v>384356.51440812129</v>
      </c>
      <c r="BQ58">
        <f>(Sales[[#This Row],[DP1]]*Lookups!$B$61)+(Sales[[#This Row],[DP2]]*Lookups!$B$62)+(Sales[[#This Row],[DP3]]*Lookups!$B$63)</f>
        <v>-75423.180431000001</v>
      </c>
      <c r="BR58">
        <f>Lookups!$B$58*0.6</f>
        <v>132535.48800000001</v>
      </c>
      <c r="BS58">
        <f>Lookups!$B$58*0.4</f>
        <v>88356.992000000013</v>
      </c>
      <c r="BT58">
        <f>Lookups!$B$59*Sales[[#This Row],[LnAcres]]</f>
        <v>-24051.387388882686</v>
      </c>
      <c r="BU58">
        <f>VLOOKUP(Sales[[#This Row],[Qlty]],Lookups!$A$66:$E$79,2,FALSE)</f>
        <v>37154.252388000001</v>
      </c>
      <c r="BV58">
        <f>VLOOKUP(Sales[[#This Row],[Cnd]],Lookups!$A$80:$E$91,2,FALSE)</f>
        <v>47371.278778200001</v>
      </c>
      <c r="BW58">
        <f>Sales[[#This Row],[EffAge]]*Lookups!$B$65</f>
        <v>-326.22329999999999</v>
      </c>
      <c r="BX58">
        <f>Sales[[#This Row],[MainFn]]*Lookups!$B$90</f>
        <v>98608.400399999999</v>
      </c>
      <c r="BY58">
        <f>Sales[[#This Row],[UpprFn]]*Lookups!$B$91</f>
        <v>0</v>
      </c>
      <c r="BZ58">
        <f>Sales[[#This Row],[Bsmt]]*Lookups!$B$95</f>
        <v>0</v>
      </c>
      <c r="CA58">
        <f>VLOOKUP(Sales[[#This Row],[MsnryTrim]],Lookups!$A$90:$E$99,2,FALSE)</f>
        <v>-9412.7029999999995</v>
      </c>
      <c r="CB58">
        <f>Sales[[#This Row],[PrefabFP]]*Lookups!$B$92</f>
        <v>0</v>
      </c>
      <c r="CC58">
        <f>Sales[[#This Row],[AttGar]]*Lookups!$B$93</f>
        <v>14120.412400000001</v>
      </c>
      <c r="CD58">
        <f>Sales[[#This Row],[BltinGar]]*Lookups!$B$94</f>
        <v>0</v>
      </c>
      <c r="CE58">
        <f>SUM(Sales[[#This Row],[Days Prior Total]:[Mdl BltinGar]])</f>
        <v>308933.3298463173</v>
      </c>
      <c r="CF58">
        <f>ROUND(Sales[[#This Row],[25Det]],-2)</f>
        <v>0</v>
      </c>
      <c r="CG58">
        <f>ROUND(SUM(Sales[[#This Row],[Mdl Qlty]:[Mdl BltinGar]])+Sales[[#This Row],[Mdl Res Intercept]]+Sales[[#This Row],[Days Prior Total]],-2)</f>
        <v>244600</v>
      </c>
      <c r="CH58">
        <f>ROUND(Sales[[#This Row],[Mdl Land Intercept]]+Sales[[#This Row],[Mdl LnAcres]],-2)</f>
        <v>64300</v>
      </c>
      <c r="CI58">
        <f>Sales[[#This Row],[Unadj Res Value]]+Sales[[#This Row],[Unadj Det Value]]+Sales[[#This Row],[Unadj Land Value]]</f>
        <v>308900</v>
      </c>
      <c r="CJ58" s="10">
        <f>Sales[[#This Row],[Price]]/Sales[[#This Row],[Unadj Total Value]]</f>
        <v>0.92376173518938165</v>
      </c>
      <c r="CK58" s="10">
        <f>(Sales[[#This Row],[Unadj Total Value]]-Sales[[#This Row],[24Final]])/Sales[[#This Row],[24Final]]</f>
        <v>-0.18859994746519571</v>
      </c>
      <c r="CL58">
        <f>VLOOKUP(Sales[[#This Row],[TNbhd]],Lookups!$M$3:$P$5,4,FALSE)</f>
        <v>0.99970000000000003</v>
      </c>
      <c r="CM58">
        <f>VLOOKUP(Sales[[#This Row],[Qlty]],Lookups!$M$8:$P$22,4,FALSE)</f>
        <v>0.99819999999999998</v>
      </c>
      <c r="CN58">
        <f>VLOOKUP(Sales[[#This Row],[Cnd]],Lookups!$R$8:$U$17,4,FALSE)</f>
        <v>1.0012000000000001</v>
      </c>
      <c r="CO58">
        <f>VLOOKUP(Sales[[#This Row],[LivArea Range]],Lookups!$R$25:$U$43,4,FALSE)</f>
        <v>1.0007999999999999</v>
      </c>
      <c r="CP58">
        <f>VLOOKUP(Sales[[#This Row],[Decade]],Lookups!$M$24:$P$40,4,FALSE)</f>
        <v>1.0024</v>
      </c>
      <c r="CQ58">
        <f>Sales[[#This Row],[Nbhd Adj]]*0.95</f>
        <v>0.94971499999999998</v>
      </c>
      <c r="CR58">
        <f>Sales[[#This Row],[Nbhd Adj]]*Sales[[#This Row],[Quality Adj]]*Sales[[#This Row],[Condition Adj]]*Sales[[#This Row],[Living Area Adj]]*Sales[[#This Row],[Decade Adj]]*0.95</f>
        <v>0.95218219995315945</v>
      </c>
      <c r="CS58">
        <f>ROUND(SUM(Sales[[#This Row],[Mdl Qlty]:[Mdl BltinGar]])+Sales[[#This Row],[Mdl Res Intercept]]*Sales[[#This Row],[Res Adj ]],-2)</f>
        <v>313700</v>
      </c>
      <c r="CT58">
        <f>ROUND(Sales[[#This Row],[25Det]]*Sales[[#This Row],[Det/Nbhd Adj]],-2)</f>
        <v>0</v>
      </c>
      <c r="CU58">
        <f>Sales[[#This Row],[Adjusted Res]]+Sales[[#This Row],[Adj Det ]]</f>
        <v>313700</v>
      </c>
      <c r="CV58">
        <f>ROUND((Sales[[#This Row],[Mdl Land Intercept]]+Sales[[#This Row],[Mdl LnAcres]])*Sales[[#This Row],[Det/Nbhd Adj]],-2)</f>
        <v>61100</v>
      </c>
      <c r="CW58">
        <f>Sales[[#This Row],[Adjusted Impr Total]]+Sales[[#This Row],[Adjusted Land Total]]</f>
        <v>374800</v>
      </c>
      <c r="CX58" s="10">
        <f>IFERROR((Sales[[#This Row],[Adjusted Impr Total]]-Sales[[#This Row],[24Bldg]])/Sales[[#This Row],[24Bldg]],0)</f>
        <v>-1.9381056580181306E-2</v>
      </c>
      <c r="CY58" s="10">
        <f>(Sales[[#This Row],[Adjusted Land Total]]-Sales[[#This Row],[24Lnd]])/Sales[[#This Row],[24Lnd]]</f>
        <v>4.9342105263157892E-3</v>
      </c>
      <c r="CZ58">
        <f>(Sales[[#This Row],[Adjusted Total]]-Sales[[#This Row],[24Final]])/Sales[[#This Row],[24Final]]</f>
        <v>-1.5497767270816917E-2</v>
      </c>
      <c r="DA58" s="10">
        <f>(Sales[[#This Row],[Adjusted Total]]+Sales[[#This Row],[Days Prior Total]])/Sales[[#This Row],[Price]]</f>
        <v>1.049156543083932</v>
      </c>
    </row>
    <row r="59" spans="1:105">
      <c r="A59">
        <v>2025</v>
      </c>
      <c r="B59">
        <v>19120114432</v>
      </c>
      <c r="C59">
        <v>-1.8325814637483102</v>
      </c>
      <c r="D59">
        <v>0.16</v>
      </c>
      <c r="E59">
        <v>7002</v>
      </c>
      <c r="F59">
        <v>2</v>
      </c>
      <c r="G59" t="s">
        <v>155</v>
      </c>
      <c r="H59">
        <v>317</v>
      </c>
      <c r="I59" t="s">
        <v>5</v>
      </c>
      <c r="J59" t="s">
        <v>156</v>
      </c>
      <c r="K59">
        <v>11</v>
      </c>
      <c r="L59">
        <v>259</v>
      </c>
      <c r="M59" t="s">
        <v>157</v>
      </c>
      <c r="N59" t="s">
        <v>21</v>
      </c>
      <c r="O59" t="s">
        <v>24</v>
      </c>
      <c r="P59">
        <v>2021</v>
      </c>
      <c r="Q59">
        <v>2021</v>
      </c>
      <c r="R59">
        <v>10</v>
      </c>
      <c r="S59">
        <v>3</v>
      </c>
      <c r="T59">
        <v>3</v>
      </c>
      <c r="U59">
        <v>2</v>
      </c>
      <c r="V59">
        <v>930</v>
      </c>
      <c r="W59">
        <v>1296</v>
      </c>
      <c r="X59">
        <v>0</v>
      </c>
      <c r="Y59">
        <v>0</v>
      </c>
      <c r="Z59">
        <v>0</v>
      </c>
      <c r="AA59">
        <v>0</v>
      </c>
      <c r="AB59">
        <v>2226</v>
      </c>
      <c r="AC59">
        <v>2500</v>
      </c>
      <c r="AD59">
        <v>3</v>
      </c>
      <c r="AE59" t="s">
        <v>55</v>
      </c>
      <c r="AF59" t="s">
        <v>158</v>
      </c>
      <c r="AG59" t="s">
        <v>21</v>
      </c>
      <c r="AI59">
        <v>0</v>
      </c>
      <c r="AJ59">
        <v>0</v>
      </c>
      <c r="AK59">
        <v>1</v>
      </c>
      <c r="AL59">
        <v>0</v>
      </c>
      <c r="AM59">
        <v>1</v>
      </c>
      <c r="AN59">
        <v>13</v>
      </c>
      <c r="AO59">
        <v>0</v>
      </c>
      <c r="AP59">
        <v>768</v>
      </c>
      <c r="AQ59">
        <v>0</v>
      </c>
      <c r="AR59">
        <v>0</v>
      </c>
      <c r="AS59">
        <v>0</v>
      </c>
      <c r="AT59">
        <v>0</v>
      </c>
      <c r="AU59">
        <v>100</v>
      </c>
      <c r="AV59">
        <v>100</v>
      </c>
      <c r="AW59">
        <v>415253</v>
      </c>
      <c r="AX59">
        <v>411100</v>
      </c>
      <c r="AY59">
        <v>943</v>
      </c>
      <c r="AZ59">
        <v>365</v>
      </c>
      <c r="BA59">
        <v>365</v>
      </c>
      <c r="BB59">
        <v>213</v>
      </c>
      <c r="BC59" s="2">
        <v>44349</v>
      </c>
      <c r="BD59" t="s">
        <v>219</v>
      </c>
      <c r="BE59">
        <v>399879</v>
      </c>
      <c r="BF59">
        <v>399879</v>
      </c>
      <c r="BG59" t="s">
        <v>160</v>
      </c>
      <c r="BH59">
        <v>30</v>
      </c>
      <c r="BI59" t="s">
        <v>56</v>
      </c>
      <c r="BJ59" t="s">
        <v>161</v>
      </c>
      <c r="BK59">
        <v>439200</v>
      </c>
      <c r="BL59">
        <v>60800</v>
      </c>
      <c r="BM59">
        <v>378400</v>
      </c>
      <c r="BN59">
        <v>0</v>
      </c>
      <c r="BO59">
        <v>395178.30361727549</v>
      </c>
      <c r="BP59">
        <v>465105.50143781415</v>
      </c>
      <c r="BQ59">
        <f>(Sales[[#This Row],[DP1]]*Lookups!$B$61)+(Sales[[#This Row],[DP2]]*Lookups!$B$62)+(Sales[[#This Row],[DP3]]*Lookups!$B$63)</f>
        <v>-69927.194831000001</v>
      </c>
      <c r="BR59">
        <f>Lookups!$B$58*0.6</f>
        <v>132535.48800000001</v>
      </c>
      <c r="BS59">
        <f>Lookups!$B$58*0.4</f>
        <v>88356.992000000013</v>
      </c>
      <c r="BT59">
        <f>Lookups!$B$59*Sales[[#This Row],[LnAcres]]</f>
        <v>-24051.387388882686</v>
      </c>
      <c r="BU59">
        <f>VLOOKUP(Sales[[#This Row],[Qlty]],Lookups!$A$66:$E$79,2,FALSE)</f>
        <v>32917.849192000001</v>
      </c>
      <c r="BV59">
        <f>VLOOKUP(Sales[[#This Row],[Cnd]],Lookups!$A$80:$E$91,2,FALSE)</f>
        <v>47371.278778200001</v>
      </c>
      <c r="BW59">
        <f>Sales[[#This Row],[EffAge]]*Lookups!$B$65</f>
        <v>-326.22329999999999</v>
      </c>
      <c r="BX59">
        <f>Sales[[#This Row],[MainFn]]*Lookups!$B$90</f>
        <v>58041.653400000003</v>
      </c>
      <c r="BY59">
        <f>Sales[[#This Row],[UpprFn]]*Lookups!$B$91</f>
        <v>77216.176368</v>
      </c>
      <c r="BZ59">
        <f>Sales[[#This Row],[Bsmt]]*Lookups!$B$95</f>
        <v>0</v>
      </c>
      <c r="CA59">
        <f>VLOOKUP(Sales[[#This Row],[MsnryTrim]],Lookups!$A$90:$E$99,2,FALSE)</f>
        <v>5299.8242</v>
      </c>
      <c r="CB59">
        <f>Sales[[#This Row],[PrefabFP]]*Lookups!$B$92</f>
        <v>9807.1044999999995</v>
      </c>
      <c r="CC59">
        <f>Sales[[#This Row],[AttGar]]*Lookups!$B$93</f>
        <v>0</v>
      </c>
      <c r="CD59">
        <f>Sales[[#This Row],[BltinGar]]*Lookups!$B$94</f>
        <v>37936.742400000003</v>
      </c>
      <c r="CE59">
        <f>SUM(Sales[[#This Row],[Days Prior Total]:[Mdl BltinGar]])</f>
        <v>395178.30331831728</v>
      </c>
      <c r="CF59">
        <f>ROUND(Sales[[#This Row],[25Det]],-2)</f>
        <v>0</v>
      </c>
      <c r="CG59">
        <f>ROUND(SUM(Sales[[#This Row],[Mdl Qlty]:[Mdl BltinGar]])+Sales[[#This Row],[Mdl Res Intercept]]+Sales[[#This Row],[Days Prior Total]],-2)</f>
        <v>330900</v>
      </c>
      <c r="CH59">
        <f>ROUND(Sales[[#This Row],[Mdl Land Intercept]]+Sales[[#This Row],[Mdl LnAcres]],-2)</f>
        <v>64300</v>
      </c>
      <c r="CI59">
        <f>Sales[[#This Row],[Unadj Res Value]]+Sales[[#This Row],[Unadj Det Value]]+Sales[[#This Row],[Unadj Land Value]]</f>
        <v>395200</v>
      </c>
      <c r="CJ59" s="10">
        <f>Sales[[#This Row],[Price]]/Sales[[#This Row],[Unadj Total Value]]</f>
        <v>1.0118395748987854</v>
      </c>
      <c r="CK59" s="10">
        <f>(Sales[[#This Row],[Unadj Total Value]]-Sales[[#This Row],[24Final]])/Sales[[#This Row],[24Final]]</f>
        <v>-0.10018214936247723</v>
      </c>
      <c r="CL59">
        <f>VLOOKUP(Sales[[#This Row],[TNbhd]],Lookups!$M$3:$P$5,4,FALSE)</f>
        <v>0.99970000000000003</v>
      </c>
      <c r="CM59">
        <f>VLOOKUP(Sales[[#This Row],[Qlty]],Lookups!$M$8:$P$22,4,FALSE)</f>
        <v>1.0019</v>
      </c>
      <c r="CN59">
        <f>VLOOKUP(Sales[[#This Row],[Cnd]],Lookups!$R$8:$U$17,4,FALSE)</f>
        <v>1.0012000000000001</v>
      </c>
      <c r="CO59">
        <f>VLOOKUP(Sales[[#This Row],[LivArea Range]],Lookups!$R$25:$U$43,4,FALSE)</f>
        <v>1.0008999999999999</v>
      </c>
      <c r="CP59">
        <f>VLOOKUP(Sales[[#This Row],[Decade]],Lookups!$M$24:$P$40,4,FALSE)</f>
        <v>1.0024</v>
      </c>
      <c r="CQ59">
        <f>Sales[[#This Row],[Nbhd Adj]]*0.95</f>
        <v>0.94971499999999998</v>
      </c>
      <c r="CR59">
        <f>Sales[[#This Row],[Nbhd Adj]]*Sales[[#This Row],[Quality Adj]]*Sales[[#This Row],[Condition Adj]]*Sales[[#This Row],[Living Area Adj]]*Sales[[#This Row],[Decade Adj]]*0.95</f>
        <v>0.95580712182867422</v>
      </c>
      <c r="CS59">
        <f>ROUND(SUM(Sales[[#This Row],[Mdl Qlty]:[Mdl BltinGar]])+Sales[[#This Row],[Mdl Res Intercept]]*Sales[[#This Row],[Res Adj ]],-2)</f>
        <v>394900</v>
      </c>
      <c r="CT59">
        <f>ROUND(Sales[[#This Row],[25Det]]*Sales[[#This Row],[Det/Nbhd Adj]],-2)</f>
        <v>0</v>
      </c>
      <c r="CU59">
        <f>Sales[[#This Row],[Adjusted Res]]+Sales[[#This Row],[Adj Det ]]</f>
        <v>394900</v>
      </c>
      <c r="CV59">
        <f>ROUND((Sales[[#This Row],[Mdl Land Intercept]]+Sales[[#This Row],[Mdl LnAcres]])*Sales[[#This Row],[Det/Nbhd Adj]],-2)</f>
        <v>61100</v>
      </c>
      <c r="CW59">
        <f>Sales[[#This Row],[Adjusted Impr Total]]+Sales[[#This Row],[Adjusted Land Total]]</f>
        <v>456000</v>
      </c>
      <c r="CX59" s="10">
        <f>IFERROR((Sales[[#This Row],[Adjusted Impr Total]]-Sales[[#This Row],[24Bldg]])/Sales[[#This Row],[24Bldg]],0)</f>
        <v>4.3604651162790699E-2</v>
      </c>
      <c r="CY59" s="10">
        <f>(Sales[[#This Row],[Adjusted Land Total]]-Sales[[#This Row],[24Lnd]])/Sales[[#This Row],[24Lnd]]</f>
        <v>4.9342105263157892E-3</v>
      </c>
      <c r="CZ59">
        <f>(Sales[[#This Row],[Adjusted Total]]-Sales[[#This Row],[24Final]])/Sales[[#This Row],[24Final]]</f>
        <v>3.825136612021858E-2</v>
      </c>
      <c r="DA59" s="10">
        <f>(Sales[[#This Row],[Adjusted Total]]+Sales[[#This Row],[Days Prior Total]])/Sales[[#This Row],[Price]]</f>
        <v>0.96547406882832054</v>
      </c>
    </row>
    <row r="60" spans="1:105">
      <c r="A60">
        <v>2025</v>
      </c>
      <c r="B60">
        <v>19120114433</v>
      </c>
      <c r="C60">
        <v>-1.8325814637483102</v>
      </c>
      <c r="D60">
        <v>0.16</v>
      </c>
      <c r="E60">
        <v>7002</v>
      </c>
      <c r="F60">
        <v>2</v>
      </c>
      <c r="G60" t="s">
        <v>155</v>
      </c>
      <c r="H60">
        <v>317</v>
      </c>
      <c r="I60" t="s">
        <v>5</v>
      </c>
      <c r="J60" t="s">
        <v>156</v>
      </c>
      <c r="K60">
        <v>11</v>
      </c>
      <c r="L60">
        <v>259</v>
      </c>
      <c r="M60" t="s">
        <v>157</v>
      </c>
      <c r="N60" t="s">
        <v>19</v>
      </c>
      <c r="O60" t="s">
        <v>24</v>
      </c>
      <c r="P60">
        <v>2021</v>
      </c>
      <c r="Q60">
        <v>2021</v>
      </c>
      <c r="R60">
        <v>10</v>
      </c>
      <c r="S60">
        <v>3</v>
      </c>
      <c r="T60">
        <v>3</v>
      </c>
      <c r="U60">
        <v>1</v>
      </c>
      <c r="V60">
        <v>1580</v>
      </c>
      <c r="W60">
        <v>0</v>
      </c>
      <c r="X60">
        <v>0</v>
      </c>
      <c r="Y60">
        <v>0</v>
      </c>
      <c r="Z60">
        <v>0</v>
      </c>
      <c r="AA60">
        <v>0</v>
      </c>
      <c r="AB60">
        <v>1580</v>
      </c>
      <c r="AC60">
        <v>2000</v>
      </c>
      <c r="AD60">
        <v>2</v>
      </c>
      <c r="AE60" t="s">
        <v>56</v>
      </c>
      <c r="AF60" t="s">
        <v>158</v>
      </c>
      <c r="AG60" t="s">
        <v>21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9</v>
      </c>
      <c r="AO60">
        <v>480</v>
      </c>
      <c r="AP60">
        <v>0</v>
      </c>
      <c r="AQ60">
        <v>0</v>
      </c>
      <c r="AR60">
        <v>0</v>
      </c>
      <c r="AS60">
        <v>100</v>
      </c>
      <c r="AT60">
        <v>0</v>
      </c>
      <c r="AU60">
        <v>100</v>
      </c>
      <c r="AV60">
        <v>100</v>
      </c>
      <c r="AW60">
        <v>279034</v>
      </c>
      <c r="AX60">
        <v>276244</v>
      </c>
      <c r="AY60">
        <v>565</v>
      </c>
      <c r="AZ60">
        <v>365</v>
      </c>
      <c r="BA60">
        <v>200</v>
      </c>
      <c r="BB60">
        <v>0</v>
      </c>
      <c r="BC60" s="2">
        <v>44727</v>
      </c>
      <c r="BD60" t="s">
        <v>220</v>
      </c>
      <c r="BE60">
        <v>399999</v>
      </c>
      <c r="BF60">
        <v>399999</v>
      </c>
      <c r="BG60" t="s">
        <v>160</v>
      </c>
      <c r="BH60">
        <v>30</v>
      </c>
      <c r="BI60" t="s">
        <v>56</v>
      </c>
      <c r="BJ60" t="s">
        <v>161</v>
      </c>
      <c r="BK60">
        <v>384100</v>
      </c>
      <c r="BL60">
        <v>60800</v>
      </c>
      <c r="BM60">
        <v>323300</v>
      </c>
      <c r="BN60">
        <v>0</v>
      </c>
      <c r="BO60">
        <v>377158.4593479982</v>
      </c>
      <c r="BP60">
        <v>387180.59685920051</v>
      </c>
      <c r="BQ60">
        <f>(Sales[[#This Row],[DP1]]*Lookups!$B$61)+(Sales[[#This Row],[DP2]]*Lookups!$B$62)+(Sales[[#This Row],[DP3]]*Lookups!$B$63)</f>
        <v>-10022.136881</v>
      </c>
      <c r="BR60">
        <f>Lookups!$B$58*0.6</f>
        <v>132535.48800000001</v>
      </c>
      <c r="BS60">
        <f>Lookups!$B$58*0.4</f>
        <v>88356.992000000013</v>
      </c>
      <c r="BT60">
        <f>Lookups!$B$59*Sales[[#This Row],[LnAcres]]</f>
        <v>-24051.387388882686</v>
      </c>
      <c r="BU60">
        <f>VLOOKUP(Sales[[#This Row],[Qlty]],Lookups!$A$66:$E$79,2,FALSE)</f>
        <v>37154.252388000001</v>
      </c>
      <c r="BV60">
        <f>VLOOKUP(Sales[[#This Row],[Cnd]],Lookups!$A$80:$E$91,2,FALSE)</f>
        <v>47371.278778200001</v>
      </c>
      <c r="BW60">
        <f>Sales[[#This Row],[EffAge]]*Lookups!$B$65</f>
        <v>-326.22329999999999</v>
      </c>
      <c r="BX60">
        <f>Sales[[#This Row],[MainFn]]*Lookups!$B$90</f>
        <v>98608.400399999999</v>
      </c>
      <c r="BY60">
        <f>Sales[[#This Row],[UpprFn]]*Lookups!$B$91</f>
        <v>0</v>
      </c>
      <c r="BZ60">
        <f>Sales[[#This Row],[Bsmt]]*Lookups!$B$95</f>
        <v>0</v>
      </c>
      <c r="CA60">
        <f>VLOOKUP(Sales[[#This Row],[MsnryTrim]],Lookups!$A$90:$E$99,2,FALSE)</f>
        <v>-9412.7029999999995</v>
      </c>
      <c r="CB60">
        <f>Sales[[#This Row],[PrefabFP]]*Lookups!$B$92</f>
        <v>0</v>
      </c>
      <c r="CC60">
        <f>Sales[[#This Row],[AttGar]]*Lookups!$B$93</f>
        <v>16944.494880000002</v>
      </c>
      <c r="CD60">
        <f>Sales[[#This Row],[BltinGar]]*Lookups!$B$94</f>
        <v>0</v>
      </c>
      <c r="CE60">
        <f>SUM(Sales[[#This Row],[Days Prior Total]:[Mdl BltinGar]])</f>
        <v>377158.45587631734</v>
      </c>
      <c r="CF60">
        <f>ROUND(Sales[[#This Row],[25Det]],-2)</f>
        <v>0</v>
      </c>
      <c r="CG60">
        <f>ROUND(SUM(Sales[[#This Row],[Mdl Qlty]:[Mdl BltinGar]])+Sales[[#This Row],[Mdl Res Intercept]]+Sales[[#This Row],[Days Prior Total]],-2)</f>
        <v>312900</v>
      </c>
      <c r="CH60">
        <f>ROUND(Sales[[#This Row],[Mdl Land Intercept]]+Sales[[#This Row],[Mdl LnAcres]],-2)</f>
        <v>64300</v>
      </c>
      <c r="CI60">
        <f>Sales[[#This Row],[Unadj Res Value]]+Sales[[#This Row],[Unadj Det Value]]+Sales[[#This Row],[Unadj Land Value]]</f>
        <v>377200</v>
      </c>
      <c r="CJ60" s="10">
        <f>Sales[[#This Row],[Price]]/Sales[[#This Row],[Unadj Total Value]]</f>
        <v>1.0604427359490987</v>
      </c>
      <c r="CK60" s="10">
        <f>(Sales[[#This Row],[Unadj Total Value]]-Sales[[#This Row],[24Final]])/Sales[[#This Row],[24Final]]</f>
        <v>-1.7964071856287425E-2</v>
      </c>
      <c r="CL60">
        <f>VLOOKUP(Sales[[#This Row],[TNbhd]],Lookups!$M$3:$P$5,4,FALSE)</f>
        <v>0.99970000000000003</v>
      </c>
      <c r="CM60">
        <f>VLOOKUP(Sales[[#This Row],[Qlty]],Lookups!$M$8:$P$22,4,FALSE)</f>
        <v>0.99819999999999998</v>
      </c>
      <c r="CN60">
        <f>VLOOKUP(Sales[[#This Row],[Cnd]],Lookups!$R$8:$U$17,4,FALSE)</f>
        <v>1.0012000000000001</v>
      </c>
      <c r="CO60">
        <f>VLOOKUP(Sales[[#This Row],[LivArea Range]],Lookups!$R$25:$U$43,4,FALSE)</f>
        <v>1.0007999999999999</v>
      </c>
      <c r="CP60">
        <f>VLOOKUP(Sales[[#This Row],[Decade]],Lookups!$M$24:$P$40,4,FALSE)</f>
        <v>1.0024</v>
      </c>
      <c r="CQ60">
        <f>Sales[[#This Row],[Nbhd Adj]]*0.95</f>
        <v>0.94971499999999998</v>
      </c>
      <c r="CR60">
        <f>Sales[[#This Row],[Nbhd Adj]]*Sales[[#This Row],[Quality Adj]]*Sales[[#This Row],[Condition Adj]]*Sales[[#This Row],[Living Area Adj]]*Sales[[#This Row],[Decade Adj]]*0.95</f>
        <v>0.95218219995315945</v>
      </c>
      <c r="CS60">
        <f>ROUND(SUM(Sales[[#This Row],[Mdl Qlty]:[Mdl BltinGar]])+Sales[[#This Row],[Mdl Res Intercept]]*Sales[[#This Row],[Res Adj ]],-2)</f>
        <v>316500</v>
      </c>
      <c r="CT60">
        <f>ROUND(Sales[[#This Row],[25Det]]*Sales[[#This Row],[Det/Nbhd Adj]],-2)</f>
        <v>0</v>
      </c>
      <c r="CU60">
        <f>Sales[[#This Row],[Adjusted Res]]+Sales[[#This Row],[Adj Det ]]</f>
        <v>316500</v>
      </c>
      <c r="CV60">
        <f>ROUND((Sales[[#This Row],[Mdl Land Intercept]]+Sales[[#This Row],[Mdl LnAcres]])*Sales[[#This Row],[Det/Nbhd Adj]],-2)</f>
        <v>61100</v>
      </c>
      <c r="CW60">
        <f>Sales[[#This Row],[Adjusted Impr Total]]+Sales[[#This Row],[Adjusted Land Total]]</f>
        <v>377600</v>
      </c>
      <c r="CX60" s="10">
        <f>IFERROR((Sales[[#This Row],[Adjusted Impr Total]]-Sales[[#This Row],[24Bldg]])/Sales[[#This Row],[24Bldg]],0)</f>
        <v>-2.1033096195484071E-2</v>
      </c>
      <c r="CY60" s="10">
        <f>(Sales[[#This Row],[Adjusted Land Total]]-Sales[[#This Row],[24Lnd]])/Sales[[#This Row],[24Lnd]]</f>
        <v>4.9342105263157892E-3</v>
      </c>
      <c r="CZ60">
        <f>(Sales[[#This Row],[Adjusted Total]]-Sales[[#This Row],[24Final]])/Sales[[#This Row],[24Final]]</f>
        <v>-1.6922676386357718E-2</v>
      </c>
      <c r="DA60" s="10">
        <f>(Sales[[#This Row],[Adjusted Total]]+Sales[[#This Row],[Days Prior Total]])/Sales[[#This Row],[Price]]</f>
        <v>0.91894695516488789</v>
      </c>
    </row>
    <row r="61" spans="1:105">
      <c r="A61">
        <v>2025</v>
      </c>
      <c r="B61">
        <v>19120114433</v>
      </c>
      <c r="C61">
        <v>-1.8325814637483102</v>
      </c>
      <c r="D61">
        <v>0.16</v>
      </c>
      <c r="E61">
        <v>7002</v>
      </c>
      <c r="F61">
        <v>2</v>
      </c>
      <c r="G61" t="s">
        <v>155</v>
      </c>
      <c r="H61">
        <v>317</v>
      </c>
      <c r="I61" t="s">
        <v>5</v>
      </c>
      <c r="J61" t="s">
        <v>156</v>
      </c>
      <c r="K61">
        <v>11</v>
      </c>
      <c r="L61">
        <v>259</v>
      </c>
      <c r="M61" t="s">
        <v>157</v>
      </c>
      <c r="N61" t="s">
        <v>19</v>
      </c>
      <c r="O61" t="s">
        <v>24</v>
      </c>
      <c r="P61">
        <v>2021</v>
      </c>
      <c r="Q61">
        <v>2021</v>
      </c>
      <c r="R61">
        <v>10</v>
      </c>
      <c r="S61">
        <v>3</v>
      </c>
      <c r="T61">
        <v>3</v>
      </c>
      <c r="U61">
        <v>1</v>
      </c>
      <c r="V61">
        <v>1580</v>
      </c>
      <c r="W61">
        <v>0</v>
      </c>
      <c r="X61">
        <v>0</v>
      </c>
      <c r="Y61">
        <v>0</v>
      </c>
      <c r="Z61">
        <v>0</v>
      </c>
      <c r="AA61">
        <v>0</v>
      </c>
      <c r="AB61">
        <v>1580</v>
      </c>
      <c r="AC61">
        <v>2000</v>
      </c>
      <c r="AD61">
        <v>2</v>
      </c>
      <c r="AE61" t="s">
        <v>56</v>
      </c>
      <c r="AF61" t="s">
        <v>158</v>
      </c>
      <c r="AG61" t="s">
        <v>21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9</v>
      </c>
      <c r="AO61">
        <v>480</v>
      </c>
      <c r="AP61">
        <v>0</v>
      </c>
      <c r="AQ61">
        <v>0</v>
      </c>
      <c r="AR61">
        <v>0</v>
      </c>
      <c r="AS61">
        <v>100</v>
      </c>
      <c r="AT61">
        <v>0</v>
      </c>
      <c r="AU61">
        <v>100</v>
      </c>
      <c r="AV61">
        <v>100</v>
      </c>
      <c r="AW61">
        <v>279034</v>
      </c>
      <c r="AX61">
        <v>276244</v>
      </c>
      <c r="AY61">
        <v>967</v>
      </c>
      <c r="AZ61">
        <v>365</v>
      </c>
      <c r="BA61">
        <v>365</v>
      </c>
      <c r="BB61">
        <v>237</v>
      </c>
      <c r="BC61" s="2">
        <v>44325</v>
      </c>
      <c r="BD61" t="s">
        <v>221</v>
      </c>
      <c r="BE61">
        <v>297402</v>
      </c>
      <c r="BF61">
        <v>297402</v>
      </c>
      <c r="BG61" t="s">
        <v>160</v>
      </c>
      <c r="BH61">
        <v>30</v>
      </c>
      <c r="BI61" t="s">
        <v>56</v>
      </c>
      <c r="BJ61" t="s">
        <v>161</v>
      </c>
      <c r="BK61">
        <v>384100</v>
      </c>
      <c r="BL61">
        <v>60800</v>
      </c>
      <c r="BM61">
        <v>323300</v>
      </c>
      <c r="BN61">
        <v>0</v>
      </c>
      <c r="BO61">
        <v>311757.41323254653</v>
      </c>
      <c r="BP61">
        <v>387180.59685920051</v>
      </c>
      <c r="BQ61">
        <f>(Sales[[#This Row],[DP1]]*Lookups!$B$61)+(Sales[[#This Row],[DP2]]*Lookups!$B$62)+(Sales[[#This Row],[DP3]]*Lookups!$B$63)</f>
        <v>-75423.180431000001</v>
      </c>
      <c r="BR61">
        <f>Lookups!$B$58*0.6</f>
        <v>132535.48800000001</v>
      </c>
      <c r="BS61">
        <f>Lookups!$B$58*0.4</f>
        <v>88356.992000000013</v>
      </c>
      <c r="BT61">
        <f>Lookups!$B$59*Sales[[#This Row],[LnAcres]]</f>
        <v>-24051.387388882686</v>
      </c>
      <c r="BU61">
        <f>VLOOKUP(Sales[[#This Row],[Qlty]],Lookups!$A$66:$E$79,2,FALSE)</f>
        <v>37154.252388000001</v>
      </c>
      <c r="BV61">
        <f>VLOOKUP(Sales[[#This Row],[Cnd]],Lookups!$A$80:$E$91,2,FALSE)</f>
        <v>47371.278778200001</v>
      </c>
      <c r="BW61">
        <f>Sales[[#This Row],[EffAge]]*Lookups!$B$65</f>
        <v>-326.22329999999999</v>
      </c>
      <c r="BX61">
        <f>Sales[[#This Row],[MainFn]]*Lookups!$B$90</f>
        <v>98608.400399999999</v>
      </c>
      <c r="BY61">
        <f>Sales[[#This Row],[UpprFn]]*Lookups!$B$91</f>
        <v>0</v>
      </c>
      <c r="BZ61">
        <f>Sales[[#This Row],[Bsmt]]*Lookups!$B$95</f>
        <v>0</v>
      </c>
      <c r="CA61">
        <f>VLOOKUP(Sales[[#This Row],[MsnryTrim]],Lookups!$A$90:$E$99,2,FALSE)</f>
        <v>-9412.7029999999995</v>
      </c>
      <c r="CB61">
        <f>Sales[[#This Row],[PrefabFP]]*Lookups!$B$92</f>
        <v>0</v>
      </c>
      <c r="CC61">
        <f>Sales[[#This Row],[AttGar]]*Lookups!$B$93</f>
        <v>16944.494880000002</v>
      </c>
      <c r="CD61">
        <f>Sales[[#This Row],[BltinGar]]*Lookups!$B$94</f>
        <v>0</v>
      </c>
      <c r="CE61">
        <f>SUM(Sales[[#This Row],[Days Prior Total]:[Mdl BltinGar]])</f>
        <v>311757.41232631734</v>
      </c>
      <c r="CF61">
        <f>ROUND(Sales[[#This Row],[25Det]],-2)</f>
        <v>0</v>
      </c>
      <c r="CG61">
        <f>ROUND(SUM(Sales[[#This Row],[Mdl Qlty]:[Mdl BltinGar]])+Sales[[#This Row],[Mdl Res Intercept]]+Sales[[#This Row],[Days Prior Total]],-2)</f>
        <v>247500</v>
      </c>
      <c r="CH61">
        <f>ROUND(Sales[[#This Row],[Mdl Land Intercept]]+Sales[[#This Row],[Mdl LnAcres]],-2)</f>
        <v>64300</v>
      </c>
      <c r="CI61">
        <f>Sales[[#This Row],[Unadj Res Value]]+Sales[[#This Row],[Unadj Det Value]]+Sales[[#This Row],[Unadj Land Value]]</f>
        <v>311800</v>
      </c>
      <c r="CJ61" s="10">
        <f>Sales[[#This Row],[Price]]/Sales[[#This Row],[Unadj Total Value]]</f>
        <v>0.95382296343810136</v>
      </c>
      <c r="CK61" s="10">
        <f>(Sales[[#This Row],[Unadj Total Value]]-Sales[[#This Row],[24Final]])/Sales[[#This Row],[24Final]]</f>
        <v>-0.18823223118979432</v>
      </c>
      <c r="CL61">
        <f>VLOOKUP(Sales[[#This Row],[TNbhd]],Lookups!$M$3:$P$5,4,FALSE)</f>
        <v>0.99970000000000003</v>
      </c>
      <c r="CM61">
        <f>VLOOKUP(Sales[[#This Row],[Qlty]],Lookups!$M$8:$P$22,4,FALSE)</f>
        <v>0.99819999999999998</v>
      </c>
      <c r="CN61">
        <f>VLOOKUP(Sales[[#This Row],[Cnd]],Lookups!$R$8:$U$17,4,FALSE)</f>
        <v>1.0012000000000001</v>
      </c>
      <c r="CO61">
        <f>VLOOKUP(Sales[[#This Row],[LivArea Range]],Lookups!$R$25:$U$43,4,FALSE)</f>
        <v>1.0007999999999999</v>
      </c>
      <c r="CP61">
        <f>VLOOKUP(Sales[[#This Row],[Decade]],Lookups!$M$24:$P$40,4,FALSE)</f>
        <v>1.0024</v>
      </c>
      <c r="CQ61">
        <f>Sales[[#This Row],[Nbhd Adj]]*0.95</f>
        <v>0.94971499999999998</v>
      </c>
      <c r="CR61">
        <f>Sales[[#This Row],[Nbhd Adj]]*Sales[[#This Row],[Quality Adj]]*Sales[[#This Row],[Condition Adj]]*Sales[[#This Row],[Living Area Adj]]*Sales[[#This Row],[Decade Adj]]*0.95</f>
        <v>0.95218219995315945</v>
      </c>
      <c r="CS61">
        <f>ROUND(SUM(Sales[[#This Row],[Mdl Qlty]:[Mdl BltinGar]])+Sales[[#This Row],[Mdl Res Intercept]]*Sales[[#This Row],[Res Adj ]],-2)</f>
        <v>316500</v>
      </c>
      <c r="CT61">
        <f>ROUND(Sales[[#This Row],[25Det]]*Sales[[#This Row],[Det/Nbhd Adj]],-2)</f>
        <v>0</v>
      </c>
      <c r="CU61">
        <f>Sales[[#This Row],[Adjusted Res]]+Sales[[#This Row],[Adj Det ]]</f>
        <v>316500</v>
      </c>
      <c r="CV61">
        <f>ROUND((Sales[[#This Row],[Mdl Land Intercept]]+Sales[[#This Row],[Mdl LnAcres]])*Sales[[#This Row],[Det/Nbhd Adj]],-2)</f>
        <v>61100</v>
      </c>
      <c r="CW61">
        <f>Sales[[#This Row],[Adjusted Impr Total]]+Sales[[#This Row],[Adjusted Land Total]]</f>
        <v>377600</v>
      </c>
      <c r="CX61" s="10">
        <f>IFERROR((Sales[[#This Row],[Adjusted Impr Total]]-Sales[[#This Row],[24Bldg]])/Sales[[#This Row],[24Bldg]],0)</f>
        <v>-2.1033096195484071E-2</v>
      </c>
      <c r="CY61" s="10">
        <f>(Sales[[#This Row],[Adjusted Land Total]]-Sales[[#This Row],[24Lnd]])/Sales[[#This Row],[24Lnd]]</f>
        <v>4.9342105263157892E-3</v>
      </c>
      <c r="CZ61">
        <f>(Sales[[#This Row],[Adjusted Total]]-Sales[[#This Row],[24Final]])/Sales[[#This Row],[24Final]]</f>
        <v>-1.6922676386357718E-2</v>
      </c>
      <c r="DA61" s="10">
        <f>(Sales[[#This Row],[Adjusted Total]]+Sales[[#This Row],[Days Prior Total]])/Sales[[#This Row],[Price]]</f>
        <v>1.0160551024169306</v>
      </c>
    </row>
    <row r="62" spans="1:105">
      <c r="A62">
        <v>2025</v>
      </c>
      <c r="B62">
        <v>19120114434</v>
      </c>
      <c r="C62">
        <v>-1.8325814637483102</v>
      </c>
      <c r="D62">
        <v>0.16</v>
      </c>
      <c r="E62">
        <v>7002</v>
      </c>
      <c r="F62">
        <v>2</v>
      </c>
      <c r="G62" t="s">
        <v>155</v>
      </c>
      <c r="H62">
        <v>317</v>
      </c>
      <c r="I62" t="s">
        <v>5</v>
      </c>
      <c r="J62" t="s">
        <v>156</v>
      </c>
      <c r="K62">
        <v>11</v>
      </c>
      <c r="L62">
        <v>259</v>
      </c>
      <c r="M62" t="s">
        <v>157</v>
      </c>
      <c r="N62" t="s">
        <v>19</v>
      </c>
      <c r="O62" t="s">
        <v>24</v>
      </c>
      <c r="P62">
        <v>2021</v>
      </c>
      <c r="Q62">
        <v>2021</v>
      </c>
      <c r="R62">
        <v>10</v>
      </c>
      <c r="S62">
        <v>3</v>
      </c>
      <c r="T62">
        <v>3</v>
      </c>
      <c r="U62">
        <v>1</v>
      </c>
      <c r="V62">
        <v>1240</v>
      </c>
      <c r="W62">
        <v>0</v>
      </c>
      <c r="X62">
        <v>0</v>
      </c>
      <c r="Y62">
        <v>0</v>
      </c>
      <c r="Z62">
        <v>0</v>
      </c>
      <c r="AA62">
        <v>0</v>
      </c>
      <c r="AB62">
        <v>1240</v>
      </c>
      <c r="AC62">
        <v>1500</v>
      </c>
      <c r="AD62">
        <v>2</v>
      </c>
      <c r="AE62" t="s">
        <v>56</v>
      </c>
      <c r="AF62" t="s">
        <v>158</v>
      </c>
      <c r="AG62" t="s">
        <v>21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9</v>
      </c>
      <c r="AO62">
        <v>484</v>
      </c>
      <c r="AP62">
        <v>0</v>
      </c>
      <c r="AQ62">
        <v>0</v>
      </c>
      <c r="AR62">
        <v>0</v>
      </c>
      <c r="AS62">
        <v>416</v>
      </c>
      <c r="AT62">
        <v>0</v>
      </c>
      <c r="AU62">
        <v>100</v>
      </c>
      <c r="AV62">
        <v>100</v>
      </c>
      <c r="AW62">
        <v>234223</v>
      </c>
      <c r="AX62">
        <v>231881</v>
      </c>
      <c r="AY62">
        <v>967</v>
      </c>
      <c r="AZ62">
        <v>365</v>
      </c>
      <c r="BA62">
        <v>365</v>
      </c>
      <c r="BB62">
        <v>237</v>
      </c>
      <c r="BC62" s="2">
        <v>44325</v>
      </c>
      <c r="BD62" t="s">
        <v>222</v>
      </c>
      <c r="BE62">
        <v>295162</v>
      </c>
      <c r="BF62">
        <v>295162</v>
      </c>
      <c r="BG62" t="s">
        <v>160</v>
      </c>
      <c r="BH62">
        <v>30</v>
      </c>
      <c r="BI62" t="s">
        <v>56</v>
      </c>
      <c r="BJ62" t="s">
        <v>161</v>
      </c>
      <c r="BK62">
        <v>365400</v>
      </c>
      <c r="BL62">
        <v>60800</v>
      </c>
      <c r="BM62">
        <v>304600</v>
      </c>
      <c r="BN62">
        <v>0</v>
      </c>
      <c r="BO62">
        <v>290679.08814694529</v>
      </c>
      <c r="BP62">
        <v>366102.27177359926</v>
      </c>
      <c r="BQ62">
        <f>(Sales[[#This Row],[DP1]]*Lookups!$B$61)+(Sales[[#This Row],[DP2]]*Lookups!$B$62)+(Sales[[#This Row],[DP3]]*Lookups!$B$63)</f>
        <v>-75423.180431000001</v>
      </c>
      <c r="BR62">
        <f>Lookups!$B$58*0.6</f>
        <v>132535.48800000001</v>
      </c>
      <c r="BS62">
        <f>Lookups!$B$58*0.4</f>
        <v>88356.992000000013</v>
      </c>
      <c r="BT62">
        <f>Lookups!$B$59*Sales[[#This Row],[LnAcres]]</f>
        <v>-24051.387388882686</v>
      </c>
      <c r="BU62">
        <f>VLOOKUP(Sales[[#This Row],[Qlty]],Lookups!$A$66:$E$79,2,FALSE)</f>
        <v>37154.252388000001</v>
      </c>
      <c r="BV62">
        <f>VLOOKUP(Sales[[#This Row],[Cnd]],Lookups!$A$80:$E$91,2,FALSE)</f>
        <v>47371.278778200001</v>
      </c>
      <c r="BW62">
        <f>Sales[[#This Row],[EffAge]]*Lookups!$B$65</f>
        <v>-326.22329999999999</v>
      </c>
      <c r="BX62">
        <f>Sales[[#This Row],[MainFn]]*Lookups!$B$90</f>
        <v>77388.871200000009</v>
      </c>
      <c r="BY62">
        <f>Sales[[#This Row],[UpprFn]]*Lookups!$B$91</f>
        <v>0</v>
      </c>
      <c r="BZ62">
        <f>Sales[[#This Row],[Bsmt]]*Lookups!$B$95</f>
        <v>0</v>
      </c>
      <c r="CA62">
        <f>VLOOKUP(Sales[[#This Row],[MsnryTrim]],Lookups!$A$90:$E$99,2,FALSE)</f>
        <v>-9412.7029999999995</v>
      </c>
      <c r="CB62">
        <f>Sales[[#This Row],[PrefabFP]]*Lookups!$B$92</f>
        <v>0</v>
      </c>
      <c r="CC62">
        <f>Sales[[#This Row],[AttGar]]*Lookups!$B$93</f>
        <v>17085.699004000002</v>
      </c>
      <c r="CD62">
        <f>Sales[[#This Row],[BltinGar]]*Lookups!$B$94</f>
        <v>0</v>
      </c>
      <c r="CE62">
        <f>SUM(Sales[[#This Row],[Days Prior Total]:[Mdl BltinGar]])</f>
        <v>290679.08725031733</v>
      </c>
      <c r="CF62">
        <f>ROUND(Sales[[#This Row],[25Det]],-2)</f>
        <v>0</v>
      </c>
      <c r="CG62">
        <f>ROUND(SUM(Sales[[#This Row],[Mdl Qlty]:[Mdl BltinGar]])+Sales[[#This Row],[Mdl Res Intercept]]+Sales[[#This Row],[Days Prior Total]],-2)</f>
        <v>226400</v>
      </c>
      <c r="CH62">
        <f>ROUND(Sales[[#This Row],[Mdl Land Intercept]]+Sales[[#This Row],[Mdl LnAcres]],-2)</f>
        <v>64300</v>
      </c>
      <c r="CI62">
        <f>Sales[[#This Row],[Unadj Res Value]]+Sales[[#This Row],[Unadj Det Value]]+Sales[[#This Row],[Unadj Land Value]]</f>
        <v>290700</v>
      </c>
      <c r="CJ62" s="10">
        <f>Sales[[#This Row],[Price]]/Sales[[#This Row],[Unadj Total Value]]</f>
        <v>1.0153491572067423</v>
      </c>
      <c r="CK62" s="10">
        <f>(Sales[[#This Row],[Unadj Total Value]]-Sales[[#This Row],[24Final]])/Sales[[#This Row],[24Final]]</f>
        <v>-0.20443349753694581</v>
      </c>
      <c r="CL62">
        <f>VLOOKUP(Sales[[#This Row],[TNbhd]],Lookups!$M$3:$P$5,4,FALSE)</f>
        <v>0.99970000000000003</v>
      </c>
      <c r="CM62">
        <f>VLOOKUP(Sales[[#This Row],[Qlty]],Lookups!$M$8:$P$22,4,FALSE)</f>
        <v>0.99819999999999998</v>
      </c>
      <c r="CN62">
        <f>VLOOKUP(Sales[[#This Row],[Cnd]],Lookups!$R$8:$U$17,4,FALSE)</f>
        <v>1.0012000000000001</v>
      </c>
      <c r="CO62">
        <f>VLOOKUP(Sales[[#This Row],[LivArea Range]],Lookups!$R$25:$U$43,4,FALSE)</f>
        <v>0.99519999999999997</v>
      </c>
      <c r="CP62">
        <f>VLOOKUP(Sales[[#This Row],[Decade]],Lookups!$M$24:$P$40,4,FALSE)</f>
        <v>1.0024</v>
      </c>
      <c r="CQ62">
        <f>Sales[[#This Row],[Nbhd Adj]]*0.95</f>
        <v>0.94971499999999998</v>
      </c>
      <c r="CR62">
        <f>Sales[[#This Row],[Nbhd Adj]]*Sales[[#This Row],[Quality Adj]]*Sales[[#This Row],[Condition Adj]]*Sales[[#This Row],[Living Area Adj]]*Sales[[#This Row],[Decade Adj]]*0.95</f>
        <v>0.94685424199978463</v>
      </c>
      <c r="CS62">
        <f>ROUND(SUM(Sales[[#This Row],[Mdl Qlty]:[Mdl BltinGar]])+Sales[[#This Row],[Mdl Res Intercept]]*Sales[[#This Row],[Res Adj ]],-2)</f>
        <v>294800</v>
      </c>
      <c r="CT62">
        <f>ROUND(Sales[[#This Row],[25Det]]*Sales[[#This Row],[Det/Nbhd Adj]],-2)</f>
        <v>0</v>
      </c>
      <c r="CU62">
        <f>Sales[[#This Row],[Adjusted Res]]+Sales[[#This Row],[Adj Det ]]</f>
        <v>294800</v>
      </c>
      <c r="CV62">
        <f>ROUND((Sales[[#This Row],[Mdl Land Intercept]]+Sales[[#This Row],[Mdl LnAcres]])*Sales[[#This Row],[Det/Nbhd Adj]],-2)</f>
        <v>61100</v>
      </c>
      <c r="CW62">
        <f>Sales[[#This Row],[Adjusted Impr Total]]+Sales[[#This Row],[Adjusted Land Total]]</f>
        <v>355900</v>
      </c>
      <c r="CX62" s="10">
        <f>IFERROR((Sales[[#This Row],[Adjusted Impr Total]]-Sales[[#This Row],[24Bldg]])/Sales[[#This Row],[24Bldg]],0)</f>
        <v>-3.2173342087984239E-2</v>
      </c>
      <c r="CY62" s="10">
        <f>(Sales[[#This Row],[Adjusted Land Total]]-Sales[[#This Row],[24Lnd]])/Sales[[#This Row],[24Lnd]]</f>
        <v>4.9342105263157892E-3</v>
      </c>
      <c r="CZ62">
        <f>(Sales[[#This Row],[Adjusted Total]]-Sales[[#This Row],[24Final]])/Sales[[#This Row],[24Final]]</f>
        <v>-2.5998905309250135E-2</v>
      </c>
      <c r="DA62" s="10">
        <f>(Sales[[#This Row],[Adjusted Total]]+Sales[[#This Row],[Days Prior Total]])/Sales[[#This Row],[Price]]</f>
        <v>0.95024704931190329</v>
      </c>
    </row>
    <row r="63" spans="1:105">
      <c r="A63">
        <v>2025</v>
      </c>
      <c r="B63">
        <v>19120114435</v>
      </c>
      <c r="C63">
        <v>-1.8325814637483102</v>
      </c>
      <c r="D63">
        <v>0.16</v>
      </c>
      <c r="E63">
        <v>7021</v>
      </c>
      <c r="F63">
        <v>2</v>
      </c>
      <c r="G63" t="s">
        <v>155</v>
      </c>
      <c r="H63">
        <v>317</v>
      </c>
      <c r="I63" t="s">
        <v>5</v>
      </c>
      <c r="J63" t="s">
        <v>156</v>
      </c>
      <c r="K63">
        <v>11</v>
      </c>
      <c r="L63">
        <v>259</v>
      </c>
      <c r="M63" t="s">
        <v>157</v>
      </c>
      <c r="N63" t="s">
        <v>19</v>
      </c>
      <c r="O63" t="s">
        <v>24</v>
      </c>
      <c r="P63">
        <v>2021</v>
      </c>
      <c r="Q63">
        <v>2021</v>
      </c>
      <c r="R63">
        <v>10</v>
      </c>
      <c r="S63">
        <v>3</v>
      </c>
      <c r="T63">
        <v>3</v>
      </c>
      <c r="U63">
        <v>1</v>
      </c>
      <c r="V63">
        <v>1592</v>
      </c>
      <c r="W63">
        <v>0</v>
      </c>
      <c r="X63">
        <v>0</v>
      </c>
      <c r="Y63">
        <v>0</v>
      </c>
      <c r="Z63">
        <v>0</v>
      </c>
      <c r="AA63">
        <v>0</v>
      </c>
      <c r="AB63">
        <v>1592</v>
      </c>
      <c r="AC63">
        <v>2000</v>
      </c>
      <c r="AD63">
        <v>2</v>
      </c>
      <c r="AE63" t="s">
        <v>56</v>
      </c>
      <c r="AF63" t="s">
        <v>158</v>
      </c>
      <c r="AG63" t="s">
        <v>21</v>
      </c>
      <c r="AI63">
        <v>0</v>
      </c>
      <c r="AJ63">
        <v>0</v>
      </c>
      <c r="AK63">
        <v>1</v>
      </c>
      <c r="AL63">
        <v>0</v>
      </c>
      <c r="AM63">
        <v>0</v>
      </c>
      <c r="AN63">
        <v>10</v>
      </c>
      <c r="AO63">
        <v>480</v>
      </c>
      <c r="AP63">
        <v>0</v>
      </c>
      <c r="AQ63">
        <v>0</v>
      </c>
      <c r="AR63">
        <v>0</v>
      </c>
      <c r="AS63">
        <v>100</v>
      </c>
      <c r="AT63">
        <v>0</v>
      </c>
      <c r="AU63">
        <v>100</v>
      </c>
      <c r="AV63">
        <v>100</v>
      </c>
      <c r="AW63">
        <v>286579</v>
      </c>
      <c r="AX63">
        <v>283713</v>
      </c>
      <c r="AY63">
        <v>967</v>
      </c>
      <c r="AZ63">
        <v>365</v>
      </c>
      <c r="BA63">
        <v>365</v>
      </c>
      <c r="BB63">
        <v>237</v>
      </c>
      <c r="BC63" s="2">
        <v>44325</v>
      </c>
      <c r="BD63" t="s">
        <v>223</v>
      </c>
      <c r="BE63">
        <v>296385</v>
      </c>
      <c r="BF63">
        <v>296385</v>
      </c>
      <c r="BG63" t="s">
        <v>160</v>
      </c>
      <c r="BH63">
        <v>30</v>
      </c>
      <c r="BI63" t="s">
        <v>56</v>
      </c>
      <c r="BJ63" t="s">
        <v>161</v>
      </c>
      <c r="BK63">
        <v>384700</v>
      </c>
      <c r="BL63">
        <v>60800</v>
      </c>
      <c r="BM63">
        <v>323900</v>
      </c>
      <c r="BN63">
        <v>0</v>
      </c>
      <c r="BO63">
        <v>322313.44231320941</v>
      </c>
      <c r="BP63">
        <v>397736.62593986338</v>
      </c>
      <c r="BQ63">
        <f>(Sales[[#This Row],[DP1]]*Lookups!$B$61)+(Sales[[#This Row],[DP2]]*Lookups!$B$62)+(Sales[[#This Row],[DP3]]*Lookups!$B$63)</f>
        <v>-75423.180431000001</v>
      </c>
      <c r="BR63">
        <f>Lookups!$B$58*0.6</f>
        <v>132535.48800000001</v>
      </c>
      <c r="BS63">
        <f>Lookups!$B$58*0.4</f>
        <v>88356.992000000013</v>
      </c>
      <c r="BT63">
        <f>Lookups!$B$59*Sales[[#This Row],[LnAcres]]</f>
        <v>-24051.387388882686</v>
      </c>
      <c r="BU63">
        <f>VLOOKUP(Sales[[#This Row],[Qlty]],Lookups!$A$66:$E$79,2,FALSE)</f>
        <v>37154.252388000001</v>
      </c>
      <c r="BV63">
        <f>VLOOKUP(Sales[[#This Row],[Cnd]],Lookups!$A$80:$E$91,2,FALSE)</f>
        <v>47371.278778200001</v>
      </c>
      <c r="BW63">
        <f>Sales[[#This Row],[EffAge]]*Lookups!$B$65</f>
        <v>-326.22329999999999</v>
      </c>
      <c r="BX63">
        <f>Sales[[#This Row],[MainFn]]*Lookups!$B$90</f>
        <v>99357.324960000013</v>
      </c>
      <c r="BY63">
        <f>Sales[[#This Row],[UpprFn]]*Lookups!$B$91</f>
        <v>0</v>
      </c>
      <c r="BZ63">
        <f>Sales[[#This Row],[Bsmt]]*Lookups!$B$95</f>
        <v>0</v>
      </c>
      <c r="CA63">
        <f>VLOOKUP(Sales[[#This Row],[MsnryTrim]],Lookups!$A$90:$E$99,2,FALSE)</f>
        <v>-9412.7029999999995</v>
      </c>
      <c r="CB63">
        <f>Sales[[#This Row],[PrefabFP]]*Lookups!$B$92</f>
        <v>9807.1044999999995</v>
      </c>
      <c r="CC63">
        <f>Sales[[#This Row],[AttGar]]*Lookups!$B$93</f>
        <v>16944.494880000002</v>
      </c>
      <c r="CD63">
        <f>Sales[[#This Row],[BltinGar]]*Lookups!$B$94</f>
        <v>0</v>
      </c>
      <c r="CE63">
        <f>SUM(Sales[[#This Row],[Days Prior Total]:[Mdl BltinGar]])</f>
        <v>322313.44138631737</v>
      </c>
      <c r="CF63">
        <f>ROUND(Sales[[#This Row],[25Det]],-2)</f>
        <v>0</v>
      </c>
      <c r="CG63">
        <f>ROUND(SUM(Sales[[#This Row],[Mdl Qlty]:[Mdl BltinGar]])+Sales[[#This Row],[Mdl Res Intercept]]+Sales[[#This Row],[Days Prior Total]],-2)</f>
        <v>258000</v>
      </c>
      <c r="CH63">
        <f>ROUND(Sales[[#This Row],[Mdl Land Intercept]]+Sales[[#This Row],[Mdl LnAcres]],-2)</f>
        <v>64300</v>
      </c>
      <c r="CI63">
        <f>Sales[[#This Row],[Unadj Res Value]]+Sales[[#This Row],[Unadj Det Value]]+Sales[[#This Row],[Unadj Land Value]]</f>
        <v>322300</v>
      </c>
      <c r="CJ63" s="10">
        <f>Sales[[#This Row],[Price]]/Sales[[#This Row],[Unadj Total Value]]</f>
        <v>0.91959354638535529</v>
      </c>
      <c r="CK63" s="10">
        <f>(Sales[[#This Row],[Unadj Total Value]]-Sales[[#This Row],[24Final]])/Sales[[#This Row],[24Final]]</f>
        <v>-0.16220431505068886</v>
      </c>
      <c r="CL63">
        <f>VLOOKUP(Sales[[#This Row],[TNbhd]],Lookups!$M$3:$P$5,4,FALSE)</f>
        <v>0.99970000000000003</v>
      </c>
      <c r="CM63">
        <f>VLOOKUP(Sales[[#This Row],[Qlty]],Lookups!$M$8:$P$22,4,FALSE)</f>
        <v>0.99819999999999998</v>
      </c>
      <c r="CN63">
        <f>VLOOKUP(Sales[[#This Row],[Cnd]],Lookups!$R$8:$U$17,4,FALSE)</f>
        <v>1.0012000000000001</v>
      </c>
      <c r="CO63">
        <f>VLOOKUP(Sales[[#This Row],[LivArea Range]],Lookups!$R$25:$U$43,4,FALSE)</f>
        <v>1.0007999999999999</v>
      </c>
      <c r="CP63">
        <f>VLOOKUP(Sales[[#This Row],[Decade]],Lookups!$M$24:$P$40,4,FALSE)</f>
        <v>1.0024</v>
      </c>
      <c r="CQ63">
        <f>Sales[[#This Row],[Nbhd Adj]]*0.95</f>
        <v>0.94971499999999998</v>
      </c>
      <c r="CR63">
        <f>Sales[[#This Row],[Nbhd Adj]]*Sales[[#This Row],[Quality Adj]]*Sales[[#This Row],[Condition Adj]]*Sales[[#This Row],[Living Area Adj]]*Sales[[#This Row],[Decade Adj]]*0.95</f>
        <v>0.95218219995315945</v>
      </c>
      <c r="CS63">
        <f>ROUND(SUM(Sales[[#This Row],[Mdl Qlty]:[Mdl BltinGar]])+Sales[[#This Row],[Mdl Res Intercept]]*Sales[[#This Row],[Res Adj ]],-2)</f>
        <v>327100</v>
      </c>
      <c r="CT63">
        <f>ROUND(Sales[[#This Row],[25Det]]*Sales[[#This Row],[Det/Nbhd Adj]],-2)</f>
        <v>0</v>
      </c>
      <c r="CU63">
        <f>Sales[[#This Row],[Adjusted Res]]+Sales[[#This Row],[Adj Det ]]</f>
        <v>327100</v>
      </c>
      <c r="CV63">
        <f>ROUND((Sales[[#This Row],[Mdl Land Intercept]]+Sales[[#This Row],[Mdl LnAcres]])*Sales[[#This Row],[Det/Nbhd Adj]],-2)</f>
        <v>61100</v>
      </c>
      <c r="CW63">
        <f>Sales[[#This Row],[Adjusted Impr Total]]+Sales[[#This Row],[Adjusted Land Total]]</f>
        <v>388200</v>
      </c>
      <c r="CX63" s="10">
        <f>IFERROR((Sales[[#This Row],[Adjusted Impr Total]]-Sales[[#This Row],[24Bldg]])/Sales[[#This Row],[24Bldg]],0)</f>
        <v>9.8795924668107441E-3</v>
      </c>
      <c r="CY63" s="10">
        <f>(Sales[[#This Row],[Adjusted Land Total]]-Sales[[#This Row],[24Lnd]])/Sales[[#This Row],[24Lnd]]</f>
        <v>4.9342105263157892E-3</v>
      </c>
      <c r="CZ63">
        <f>(Sales[[#This Row],[Adjusted Total]]-Sales[[#This Row],[24Final]])/Sales[[#This Row],[24Final]]</f>
        <v>9.0979984403431243E-3</v>
      </c>
      <c r="DA63" s="10">
        <f>(Sales[[#This Row],[Adjusted Total]]+Sales[[#This Row],[Days Prior Total]])/Sales[[#This Row],[Price]]</f>
        <v>1.0553058338613628</v>
      </c>
    </row>
    <row r="64" spans="1:105">
      <c r="A64">
        <v>2025</v>
      </c>
      <c r="B64">
        <v>19120114436</v>
      </c>
      <c r="C64">
        <v>-1.7719568419318752</v>
      </c>
      <c r="D64">
        <v>0.17</v>
      </c>
      <c r="E64">
        <v>7284</v>
      </c>
      <c r="F64">
        <v>2</v>
      </c>
      <c r="G64" t="s">
        <v>155</v>
      </c>
      <c r="H64">
        <v>317</v>
      </c>
      <c r="I64" t="s">
        <v>5</v>
      </c>
      <c r="J64" t="s">
        <v>156</v>
      </c>
      <c r="K64">
        <v>11</v>
      </c>
      <c r="L64">
        <v>259</v>
      </c>
      <c r="M64" t="s">
        <v>157</v>
      </c>
      <c r="N64" t="s">
        <v>21</v>
      </c>
      <c r="O64" t="s">
        <v>24</v>
      </c>
      <c r="P64">
        <v>2021</v>
      </c>
      <c r="Q64">
        <v>2021</v>
      </c>
      <c r="R64">
        <v>10</v>
      </c>
      <c r="S64">
        <v>3</v>
      </c>
      <c r="T64">
        <v>3</v>
      </c>
      <c r="U64">
        <v>2</v>
      </c>
      <c r="V64">
        <v>930</v>
      </c>
      <c r="W64">
        <v>1296</v>
      </c>
      <c r="X64">
        <v>0</v>
      </c>
      <c r="Y64">
        <v>0</v>
      </c>
      <c r="Z64">
        <v>0</v>
      </c>
      <c r="AA64">
        <v>0</v>
      </c>
      <c r="AB64">
        <v>2226</v>
      </c>
      <c r="AC64">
        <v>2500</v>
      </c>
      <c r="AD64">
        <v>2</v>
      </c>
      <c r="AE64" t="s">
        <v>56</v>
      </c>
      <c r="AF64" t="s">
        <v>158</v>
      </c>
      <c r="AG64" t="s">
        <v>21</v>
      </c>
      <c r="AI64">
        <v>0</v>
      </c>
      <c r="AJ64">
        <v>0</v>
      </c>
      <c r="AK64">
        <v>1</v>
      </c>
      <c r="AL64">
        <v>0</v>
      </c>
      <c r="AM64">
        <v>1</v>
      </c>
      <c r="AN64">
        <v>13</v>
      </c>
      <c r="AO64">
        <v>0</v>
      </c>
      <c r="AP64">
        <v>400</v>
      </c>
      <c r="AQ64">
        <v>0</v>
      </c>
      <c r="AR64">
        <v>0</v>
      </c>
      <c r="AS64">
        <v>0</v>
      </c>
      <c r="AT64">
        <v>0</v>
      </c>
      <c r="AU64">
        <v>100</v>
      </c>
      <c r="AV64">
        <v>100</v>
      </c>
      <c r="AW64">
        <v>401604</v>
      </c>
      <c r="AX64">
        <v>397588</v>
      </c>
      <c r="AY64">
        <v>967</v>
      </c>
      <c r="AZ64">
        <v>365</v>
      </c>
      <c r="BA64">
        <v>365</v>
      </c>
      <c r="BB64">
        <v>237</v>
      </c>
      <c r="BC64" s="2">
        <v>44325</v>
      </c>
      <c r="BD64" t="s">
        <v>224</v>
      </c>
      <c r="BE64">
        <v>386591</v>
      </c>
      <c r="BF64">
        <v>386591</v>
      </c>
      <c r="BG64" t="s">
        <v>160</v>
      </c>
      <c r="BH64">
        <v>30</v>
      </c>
      <c r="BI64" t="s">
        <v>56</v>
      </c>
      <c r="BJ64" t="s">
        <v>161</v>
      </c>
      <c r="BK64">
        <v>422400</v>
      </c>
      <c r="BL64">
        <v>61700</v>
      </c>
      <c r="BM64">
        <v>360700</v>
      </c>
      <c r="BN64">
        <v>0</v>
      </c>
      <c r="BO64">
        <v>357587.42571037012</v>
      </c>
      <c r="BP64">
        <v>433010.60933702422</v>
      </c>
      <c r="BQ64">
        <f>(Sales[[#This Row],[DP1]]*Lookups!$B$61)+(Sales[[#This Row],[DP2]]*Lookups!$B$62)+(Sales[[#This Row],[DP3]]*Lookups!$B$63)</f>
        <v>-75423.180431000001</v>
      </c>
      <c r="BR64">
        <f>Lookups!$B$58*0.6</f>
        <v>132535.48800000001</v>
      </c>
      <c r="BS64">
        <f>Lookups!$B$58*0.4</f>
        <v>88356.992000000013</v>
      </c>
      <c r="BT64">
        <f>Lookups!$B$59*Sales[[#This Row],[LnAcres]]</f>
        <v>-23255.730391660189</v>
      </c>
      <c r="BU64">
        <f>VLOOKUP(Sales[[#This Row],[Qlty]],Lookups!$A$66:$E$79,2,FALSE)</f>
        <v>32917.849192000001</v>
      </c>
      <c r="BV64">
        <f>VLOOKUP(Sales[[#This Row],[Cnd]],Lookups!$A$80:$E$91,2,FALSE)</f>
        <v>47371.278778200001</v>
      </c>
      <c r="BW64">
        <f>Sales[[#This Row],[EffAge]]*Lookups!$B$65</f>
        <v>-326.22329999999999</v>
      </c>
      <c r="BX64">
        <f>Sales[[#This Row],[MainFn]]*Lookups!$B$90</f>
        <v>58041.653400000003</v>
      </c>
      <c r="BY64">
        <f>Sales[[#This Row],[UpprFn]]*Lookups!$B$91</f>
        <v>77216.176368</v>
      </c>
      <c r="BZ64">
        <f>Sales[[#This Row],[Bsmt]]*Lookups!$B$95</f>
        <v>0</v>
      </c>
      <c r="CA64">
        <f>VLOOKUP(Sales[[#This Row],[MsnryTrim]],Lookups!$A$90:$E$99,2,FALSE)</f>
        <v>-9412.7029999999995</v>
      </c>
      <c r="CB64">
        <f>Sales[[#This Row],[PrefabFP]]*Lookups!$B$92</f>
        <v>9807.1044999999995</v>
      </c>
      <c r="CC64">
        <f>Sales[[#This Row],[AttGar]]*Lookups!$B$93</f>
        <v>0</v>
      </c>
      <c r="CD64">
        <f>Sales[[#This Row],[BltinGar]]*Lookups!$B$94</f>
        <v>19758.72</v>
      </c>
      <c r="CE64">
        <f>SUM(Sales[[#This Row],[Days Prior Total]:[Mdl BltinGar]])</f>
        <v>357587.42511553993</v>
      </c>
      <c r="CF64">
        <f>ROUND(Sales[[#This Row],[25Det]],-2)</f>
        <v>0</v>
      </c>
      <c r="CG64">
        <f>ROUND(SUM(Sales[[#This Row],[Mdl Qlty]:[Mdl BltinGar]])+Sales[[#This Row],[Mdl Res Intercept]]+Sales[[#This Row],[Days Prior Total]],-2)</f>
        <v>292500</v>
      </c>
      <c r="CH64">
        <f>ROUND(Sales[[#This Row],[Mdl Land Intercept]]+Sales[[#This Row],[Mdl LnAcres]],-2)</f>
        <v>65100</v>
      </c>
      <c r="CI64">
        <f>Sales[[#This Row],[Unadj Res Value]]+Sales[[#This Row],[Unadj Det Value]]+Sales[[#This Row],[Unadj Land Value]]</f>
        <v>357600</v>
      </c>
      <c r="CJ64" s="10">
        <f>Sales[[#This Row],[Price]]/Sales[[#This Row],[Unadj Total Value]]</f>
        <v>1.0810710290827741</v>
      </c>
      <c r="CK64" s="10">
        <f>(Sales[[#This Row],[Unadj Total Value]]-Sales[[#This Row],[24Final]])/Sales[[#This Row],[24Final]]</f>
        <v>-0.15340909090909091</v>
      </c>
      <c r="CL64">
        <f>VLOOKUP(Sales[[#This Row],[TNbhd]],Lookups!$M$3:$P$5,4,FALSE)</f>
        <v>0.99970000000000003</v>
      </c>
      <c r="CM64">
        <f>VLOOKUP(Sales[[#This Row],[Qlty]],Lookups!$M$8:$P$22,4,FALSE)</f>
        <v>1.0019</v>
      </c>
      <c r="CN64">
        <f>VLOOKUP(Sales[[#This Row],[Cnd]],Lookups!$R$8:$U$17,4,FALSE)</f>
        <v>1.0012000000000001</v>
      </c>
      <c r="CO64">
        <f>VLOOKUP(Sales[[#This Row],[LivArea Range]],Lookups!$R$25:$U$43,4,FALSE)</f>
        <v>1.0008999999999999</v>
      </c>
      <c r="CP64">
        <f>VLOOKUP(Sales[[#This Row],[Decade]],Lookups!$M$24:$P$40,4,FALSE)</f>
        <v>1.0024</v>
      </c>
      <c r="CQ64">
        <f>Sales[[#This Row],[Nbhd Adj]]*0.95</f>
        <v>0.94971499999999998</v>
      </c>
      <c r="CR64">
        <f>Sales[[#This Row],[Nbhd Adj]]*Sales[[#This Row],[Quality Adj]]*Sales[[#This Row],[Condition Adj]]*Sales[[#This Row],[Living Area Adj]]*Sales[[#This Row],[Decade Adj]]*0.95</f>
        <v>0.95580712182867422</v>
      </c>
      <c r="CS64">
        <f>ROUND(SUM(Sales[[#This Row],[Mdl Qlty]:[Mdl BltinGar]])+Sales[[#This Row],[Mdl Res Intercept]]*Sales[[#This Row],[Res Adj ]],-2)</f>
        <v>362100</v>
      </c>
      <c r="CT64">
        <f>ROUND(Sales[[#This Row],[25Det]]*Sales[[#This Row],[Det/Nbhd Adj]],-2)</f>
        <v>0</v>
      </c>
      <c r="CU64">
        <f>Sales[[#This Row],[Adjusted Res]]+Sales[[#This Row],[Adj Det ]]</f>
        <v>362100</v>
      </c>
      <c r="CV64">
        <f>ROUND((Sales[[#This Row],[Mdl Land Intercept]]+Sales[[#This Row],[Mdl LnAcres]])*Sales[[#This Row],[Det/Nbhd Adj]],-2)</f>
        <v>61800</v>
      </c>
      <c r="CW64">
        <f>Sales[[#This Row],[Adjusted Impr Total]]+Sales[[#This Row],[Adjusted Land Total]]</f>
        <v>423900</v>
      </c>
      <c r="CX64" s="10">
        <f>IFERROR((Sales[[#This Row],[Adjusted Impr Total]]-Sales[[#This Row],[24Bldg]])/Sales[[#This Row],[24Bldg]],0)</f>
        <v>3.8813418353202105E-3</v>
      </c>
      <c r="CY64" s="10">
        <f>(Sales[[#This Row],[Adjusted Land Total]]-Sales[[#This Row],[24Lnd]])/Sales[[#This Row],[24Lnd]]</f>
        <v>1.6207455429497568E-3</v>
      </c>
      <c r="CZ64">
        <f>(Sales[[#This Row],[Adjusted Total]]-Sales[[#This Row],[24Final]])/Sales[[#This Row],[24Final]]</f>
        <v>3.5511363636363635E-3</v>
      </c>
      <c r="DA64" s="10">
        <f>(Sales[[#This Row],[Adjusted Total]]+Sales[[#This Row],[Days Prior Total]])/Sales[[#This Row],[Price]]</f>
        <v>0.9014095505818811</v>
      </c>
    </row>
    <row r="65" spans="1:105">
      <c r="A65">
        <v>2025</v>
      </c>
      <c r="B65">
        <v>19120114437</v>
      </c>
      <c r="C65">
        <v>-1.8325814637483102</v>
      </c>
      <c r="D65">
        <v>0.16</v>
      </c>
      <c r="E65">
        <v>7002</v>
      </c>
      <c r="F65">
        <v>2</v>
      </c>
      <c r="G65" t="s">
        <v>155</v>
      </c>
      <c r="H65">
        <v>317</v>
      </c>
      <c r="I65" t="s">
        <v>5</v>
      </c>
      <c r="J65" t="s">
        <v>156</v>
      </c>
      <c r="K65">
        <v>11</v>
      </c>
      <c r="L65">
        <v>259</v>
      </c>
      <c r="M65" t="s">
        <v>157</v>
      </c>
      <c r="N65" t="s">
        <v>19</v>
      </c>
      <c r="O65" t="s">
        <v>24</v>
      </c>
      <c r="P65">
        <v>2021</v>
      </c>
      <c r="Q65">
        <v>2021</v>
      </c>
      <c r="R65">
        <v>10</v>
      </c>
      <c r="S65">
        <v>3</v>
      </c>
      <c r="T65">
        <v>3</v>
      </c>
      <c r="U65">
        <v>1</v>
      </c>
      <c r="V65">
        <v>1388</v>
      </c>
      <c r="W65">
        <v>0</v>
      </c>
      <c r="X65">
        <v>0</v>
      </c>
      <c r="Y65">
        <v>0</v>
      </c>
      <c r="Z65">
        <v>0</v>
      </c>
      <c r="AA65">
        <v>0</v>
      </c>
      <c r="AB65">
        <v>1388</v>
      </c>
      <c r="AC65">
        <v>1500</v>
      </c>
      <c r="AD65">
        <v>2</v>
      </c>
      <c r="AE65" t="s">
        <v>56</v>
      </c>
      <c r="AF65" t="s">
        <v>158</v>
      </c>
      <c r="AG65" t="s">
        <v>21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9</v>
      </c>
      <c r="AO65">
        <v>400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100</v>
      </c>
      <c r="AV65">
        <v>100</v>
      </c>
      <c r="AW65">
        <v>255257</v>
      </c>
      <c r="AX65">
        <v>252704</v>
      </c>
      <c r="AY65">
        <v>967</v>
      </c>
      <c r="AZ65">
        <v>365</v>
      </c>
      <c r="BA65">
        <v>365</v>
      </c>
      <c r="BB65">
        <v>237</v>
      </c>
      <c r="BC65" s="2">
        <v>44325</v>
      </c>
      <c r="BD65" t="s">
        <v>225</v>
      </c>
      <c r="BE65">
        <v>296790</v>
      </c>
      <c r="BF65">
        <v>296790</v>
      </c>
      <c r="BG65" t="s">
        <v>160</v>
      </c>
      <c r="BH65">
        <v>30</v>
      </c>
      <c r="BI65" t="s">
        <v>56</v>
      </c>
      <c r="BJ65" t="s">
        <v>161</v>
      </c>
      <c r="BK65">
        <v>380400</v>
      </c>
      <c r="BL65">
        <v>60800</v>
      </c>
      <c r="BM65">
        <v>319600</v>
      </c>
      <c r="BN65">
        <v>0</v>
      </c>
      <c r="BO65">
        <v>296950.53781686205</v>
      </c>
      <c r="BP65">
        <v>372373.72144351603</v>
      </c>
      <c r="BQ65">
        <f>(Sales[[#This Row],[DP1]]*Lookups!$B$61)+(Sales[[#This Row],[DP2]]*Lookups!$B$62)+(Sales[[#This Row],[DP3]]*Lookups!$B$63)</f>
        <v>-75423.180431000001</v>
      </c>
      <c r="BR65">
        <f>Lookups!$B$58*0.6</f>
        <v>132535.48800000001</v>
      </c>
      <c r="BS65">
        <f>Lookups!$B$58*0.4</f>
        <v>88356.992000000013</v>
      </c>
      <c r="BT65">
        <f>Lookups!$B$59*Sales[[#This Row],[LnAcres]]</f>
        <v>-24051.387388882686</v>
      </c>
      <c r="BU65">
        <f>VLOOKUP(Sales[[#This Row],[Qlty]],Lookups!$A$66:$E$79,2,FALSE)</f>
        <v>37154.252388000001</v>
      </c>
      <c r="BV65">
        <f>VLOOKUP(Sales[[#This Row],[Cnd]],Lookups!$A$80:$E$91,2,FALSE)</f>
        <v>47371.278778200001</v>
      </c>
      <c r="BW65">
        <f>Sales[[#This Row],[EffAge]]*Lookups!$B$65</f>
        <v>-326.22329999999999</v>
      </c>
      <c r="BX65">
        <f>Sales[[#This Row],[MainFn]]*Lookups!$B$90</f>
        <v>86625.607440000007</v>
      </c>
      <c r="BY65">
        <f>Sales[[#This Row],[UpprFn]]*Lookups!$B$91</f>
        <v>0</v>
      </c>
      <c r="BZ65">
        <f>Sales[[#This Row],[Bsmt]]*Lookups!$B$95</f>
        <v>0</v>
      </c>
      <c r="CA65">
        <f>VLOOKUP(Sales[[#This Row],[MsnryTrim]],Lookups!$A$90:$E$99,2,FALSE)</f>
        <v>-9412.7029999999995</v>
      </c>
      <c r="CB65">
        <f>Sales[[#This Row],[PrefabFP]]*Lookups!$B$92</f>
        <v>0</v>
      </c>
      <c r="CC65">
        <f>Sales[[#This Row],[AttGar]]*Lookups!$B$93</f>
        <v>14120.412400000001</v>
      </c>
      <c r="CD65">
        <f>Sales[[#This Row],[BltinGar]]*Lookups!$B$94</f>
        <v>0</v>
      </c>
      <c r="CE65">
        <f>SUM(Sales[[#This Row],[Days Prior Total]:[Mdl BltinGar]])</f>
        <v>296950.53688631731</v>
      </c>
      <c r="CF65">
        <f>ROUND(Sales[[#This Row],[25Det]],-2)</f>
        <v>0</v>
      </c>
      <c r="CG65">
        <f>ROUND(SUM(Sales[[#This Row],[Mdl Qlty]:[Mdl BltinGar]])+Sales[[#This Row],[Mdl Res Intercept]]+Sales[[#This Row],[Days Prior Total]],-2)</f>
        <v>232600</v>
      </c>
      <c r="CH65">
        <f>ROUND(Sales[[#This Row],[Mdl Land Intercept]]+Sales[[#This Row],[Mdl LnAcres]],-2)</f>
        <v>64300</v>
      </c>
      <c r="CI65">
        <f>Sales[[#This Row],[Unadj Res Value]]+Sales[[#This Row],[Unadj Det Value]]+Sales[[#This Row],[Unadj Land Value]]</f>
        <v>296900</v>
      </c>
      <c r="CJ65" s="10">
        <f>Sales[[#This Row],[Price]]/Sales[[#This Row],[Unadj Total Value]]</f>
        <v>0.99962950488379931</v>
      </c>
      <c r="CK65" s="10">
        <f>(Sales[[#This Row],[Unadj Total Value]]-Sales[[#This Row],[24Final]])/Sales[[#This Row],[24Final]]</f>
        <v>-0.21950578338590956</v>
      </c>
      <c r="CL65">
        <f>VLOOKUP(Sales[[#This Row],[TNbhd]],Lookups!$M$3:$P$5,4,FALSE)</f>
        <v>0.99970000000000003</v>
      </c>
      <c r="CM65">
        <f>VLOOKUP(Sales[[#This Row],[Qlty]],Lookups!$M$8:$P$22,4,FALSE)</f>
        <v>0.99819999999999998</v>
      </c>
      <c r="CN65">
        <f>VLOOKUP(Sales[[#This Row],[Cnd]],Lookups!$R$8:$U$17,4,FALSE)</f>
        <v>1.0012000000000001</v>
      </c>
      <c r="CO65">
        <f>VLOOKUP(Sales[[#This Row],[LivArea Range]],Lookups!$R$25:$U$43,4,FALSE)</f>
        <v>0.99519999999999997</v>
      </c>
      <c r="CP65">
        <f>VLOOKUP(Sales[[#This Row],[Decade]],Lookups!$M$24:$P$40,4,FALSE)</f>
        <v>1.0024</v>
      </c>
      <c r="CQ65">
        <f>Sales[[#This Row],[Nbhd Adj]]*0.95</f>
        <v>0.94971499999999998</v>
      </c>
      <c r="CR65">
        <f>Sales[[#This Row],[Nbhd Adj]]*Sales[[#This Row],[Quality Adj]]*Sales[[#This Row],[Condition Adj]]*Sales[[#This Row],[Living Area Adj]]*Sales[[#This Row],[Decade Adj]]*0.95</f>
        <v>0.94685424199978463</v>
      </c>
      <c r="CS65">
        <f>ROUND(SUM(Sales[[#This Row],[Mdl Qlty]:[Mdl BltinGar]])+Sales[[#This Row],[Mdl Res Intercept]]*Sales[[#This Row],[Res Adj ]],-2)</f>
        <v>301000</v>
      </c>
      <c r="CT65">
        <f>ROUND(Sales[[#This Row],[25Det]]*Sales[[#This Row],[Det/Nbhd Adj]],-2)</f>
        <v>0</v>
      </c>
      <c r="CU65">
        <f>Sales[[#This Row],[Adjusted Res]]+Sales[[#This Row],[Adj Det ]]</f>
        <v>301000</v>
      </c>
      <c r="CV65">
        <f>ROUND((Sales[[#This Row],[Mdl Land Intercept]]+Sales[[#This Row],[Mdl LnAcres]])*Sales[[#This Row],[Det/Nbhd Adj]],-2)</f>
        <v>61100</v>
      </c>
      <c r="CW65">
        <f>Sales[[#This Row],[Adjusted Impr Total]]+Sales[[#This Row],[Adjusted Land Total]]</f>
        <v>362100</v>
      </c>
      <c r="CX65" s="10">
        <f>IFERROR((Sales[[#This Row],[Adjusted Impr Total]]-Sales[[#This Row],[24Bldg]])/Sales[[#This Row],[24Bldg]],0)</f>
        <v>-5.8197747183979978E-2</v>
      </c>
      <c r="CY65" s="10">
        <f>(Sales[[#This Row],[Adjusted Land Total]]-Sales[[#This Row],[24Lnd]])/Sales[[#This Row],[24Lnd]]</f>
        <v>4.9342105263157892E-3</v>
      </c>
      <c r="CZ65">
        <f>(Sales[[#This Row],[Adjusted Total]]-Sales[[#This Row],[24Final]])/Sales[[#This Row],[24Final]]</f>
        <v>-4.8107255520504731E-2</v>
      </c>
      <c r="DA65" s="10">
        <f>(Sales[[#This Row],[Adjusted Total]]+Sales[[#This Row],[Days Prior Total]])/Sales[[#This Row],[Price]]</f>
        <v>0.96592479385760965</v>
      </c>
    </row>
    <row r="66" spans="1:105">
      <c r="A66">
        <v>2025</v>
      </c>
      <c r="B66">
        <v>19120114438</v>
      </c>
      <c r="C66">
        <v>-1.8325814637483102</v>
      </c>
      <c r="D66">
        <v>0.16</v>
      </c>
      <c r="E66">
        <v>7002</v>
      </c>
      <c r="F66">
        <v>2</v>
      </c>
      <c r="G66" t="s">
        <v>155</v>
      </c>
      <c r="H66">
        <v>317</v>
      </c>
      <c r="I66" t="s">
        <v>5</v>
      </c>
      <c r="J66" t="s">
        <v>156</v>
      </c>
      <c r="K66">
        <v>11</v>
      </c>
      <c r="L66">
        <v>259</v>
      </c>
      <c r="M66" t="s">
        <v>157</v>
      </c>
      <c r="N66" t="s">
        <v>19</v>
      </c>
      <c r="O66" t="s">
        <v>24</v>
      </c>
      <c r="P66">
        <v>2021</v>
      </c>
      <c r="Q66">
        <v>2021</v>
      </c>
      <c r="R66">
        <v>10</v>
      </c>
      <c r="S66">
        <v>3</v>
      </c>
      <c r="T66">
        <v>3</v>
      </c>
      <c r="U66">
        <v>1</v>
      </c>
      <c r="V66">
        <v>1452</v>
      </c>
      <c r="W66">
        <v>0</v>
      </c>
      <c r="X66">
        <v>0</v>
      </c>
      <c r="Y66">
        <v>0</v>
      </c>
      <c r="Z66">
        <v>0</v>
      </c>
      <c r="AA66">
        <v>0</v>
      </c>
      <c r="AB66">
        <v>1452</v>
      </c>
      <c r="AC66">
        <v>1500</v>
      </c>
      <c r="AD66">
        <v>3</v>
      </c>
      <c r="AE66" t="s">
        <v>56</v>
      </c>
      <c r="AF66" t="s">
        <v>158</v>
      </c>
      <c r="AG66" t="s">
        <v>21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9</v>
      </c>
      <c r="AO66">
        <v>616</v>
      </c>
      <c r="AP66">
        <v>0</v>
      </c>
      <c r="AQ66">
        <v>0</v>
      </c>
      <c r="AR66">
        <v>0</v>
      </c>
      <c r="AS66">
        <v>100</v>
      </c>
      <c r="AT66">
        <v>0</v>
      </c>
      <c r="AU66">
        <v>100</v>
      </c>
      <c r="AV66">
        <v>100</v>
      </c>
      <c r="AW66">
        <v>265015</v>
      </c>
      <c r="AX66">
        <v>262365</v>
      </c>
      <c r="AY66">
        <v>967</v>
      </c>
      <c r="AZ66">
        <v>365</v>
      </c>
      <c r="BA66">
        <v>365</v>
      </c>
      <c r="BB66">
        <v>237</v>
      </c>
      <c r="BC66" s="2">
        <v>44325</v>
      </c>
      <c r="BD66" t="s">
        <v>226</v>
      </c>
      <c r="BE66">
        <v>318128</v>
      </c>
      <c r="BF66">
        <v>318128</v>
      </c>
      <c r="BG66" t="s">
        <v>160</v>
      </c>
      <c r="BH66">
        <v>30</v>
      </c>
      <c r="BI66" t="s">
        <v>56</v>
      </c>
      <c r="BJ66" t="s">
        <v>161</v>
      </c>
      <c r="BK66">
        <v>381700</v>
      </c>
      <c r="BL66">
        <v>60800</v>
      </c>
      <c r="BM66">
        <v>320900</v>
      </c>
      <c r="BN66">
        <v>0</v>
      </c>
      <c r="BO66">
        <v>308569.8247563109</v>
      </c>
      <c r="BP66">
        <v>383993.00838296494</v>
      </c>
      <c r="BQ66">
        <f>(Sales[[#This Row],[DP1]]*Lookups!$B$61)+(Sales[[#This Row],[DP2]]*Lookups!$B$62)+(Sales[[#This Row],[DP3]]*Lookups!$B$63)</f>
        <v>-75423.180431000001</v>
      </c>
      <c r="BR66">
        <f>Lookups!$B$58*0.6</f>
        <v>132535.48800000001</v>
      </c>
      <c r="BS66">
        <f>Lookups!$B$58*0.4</f>
        <v>88356.992000000013</v>
      </c>
      <c r="BT66">
        <f>Lookups!$B$59*Sales[[#This Row],[LnAcres]]</f>
        <v>-24051.387388882686</v>
      </c>
      <c r="BU66">
        <f>VLOOKUP(Sales[[#This Row],[Qlty]],Lookups!$A$66:$E$79,2,FALSE)</f>
        <v>37154.252388000001</v>
      </c>
      <c r="BV66">
        <f>VLOOKUP(Sales[[#This Row],[Cnd]],Lookups!$A$80:$E$91,2,FALSE)</f>
        <v>47371.278778200001</v>
      </c>
      <c r="BW66">
        <f>Sales[[#This Row],[EffAge]]*Lookups!$B$65</f>
        <v>-326.22329999999999</v>
      </c>
      <c r="BX66">
        <f>Sales[[#This Row],[MainFn]]*Lookups!$B$90</f>
        <v>90619.871760000009</v>
      </c>
      <c r="BY66">
        <f>Sales[[#This Row],[UpprFn]]*Lookups!$B$91</f>
        <v>0</v>
      </c>
      <c r="BZ66">
        <f>Sales[[#This Row],[Bsmt]]*Lookups!$B$95</f>
        <v>0</v>
      </c>
      <c r="CA66">
        <f>VLOOKUP(Sales[[#This Row],[MsnryTrim]],Lookups!$A$90:$E$99,2,FALSE)</f>
        <v>-9412.7029999999995</v>
      </c>
      <c r="CB66">
        <f>Sales[[#This Row],[PrefabFP]]*Lookups!$B$92</f>
        <v>0</v>
      </c>
      <c r="CC66">
        <f>Sales[[#This Row],[AttGar]]*Lookups!$B$93</f>
        <v>21745.435096000001</v>
      </c>
      <c r="CD66">
        <f>Sales[[#This Row],[BltinGar]]*Lookups!$B$94</f>
        <v>0</v>
      </c>
      <c r="CE66">
        <f>SUM(Sales[[#This Row],[Days Prior Total]:[Mdl BltinGar]])</f>
        <v>308569.82390231732</v>
      </c>
      <c r="CF66">
        <f>ROUND(Sales[[#This Row],[25Det]],-2)</f>
        <v>0</v>
      </c>
      <c r="CG66">
        <f>ROUND(SUM(Sales[[#This Row],[Mdl Qlty]:[Mdl BltinGar]])+Sales[[#This Row],[Mdl Res Intercept]]+Sales[[#This Row],[Days Prior Total]],-2)</f>
        <v>244300</v>
      </c>
      <c r="CH66">
        <f>ROUND(Sales[[#This Row],[Mdl Land Intercept]]+Sales[[#This Row],[Mdl LnAcres]],-2)</f>
        <v>64300</v>
      </c>
      <c r="CI66">
        <f>Sales[[#This Row],[Unadj Res Value]]+Sales[[#This Row],[Unadj Det Value]]+Sales[[#This Row],[Unadj Land Value]]</f>
        <v>308600</v>
      </c>
      <c r="CJ66" s="10">
        <f>Sales[[#This Row],[Price]]/Sales[[#This Row],[Unadj Total Value]]</f>
        <v>1.0308749189889825</v>
      </c>
      <c r="CK66" s="10">
        <f>(Sales[[#This Row],[Unadj Total Value]]-Sales[[#This Row],[24Final]])/Sales[[#This Row],[24Final]]</f>
        <v>-0.19151165837044801</v>
      </c>
      <c r="CL66">
        <f>VLOOKUP(Sales[[#This Row],[TNbhd]],Lookups!$M$3:$P$5,4,FALSE)</f>
        <v>0.99970000000000003</v>
      </c>
      <c r="CM66">
        <f>VLOOKUP(Sales[[#This Row],[Qlty]],Lookups!$M$8:$P$22,4,FALSE)</f>
        <v>0.99819999999999998</v>
      </c>
      <c r="CN66">
        <f>VLOOKUP(Sales[[#This Row],[Cnd]],Lookups!$R$8:$U$17,4,FALSE)</f>
        <v>1.0012000000000001</v>
      </c>
      <c r="CO66">
        <f>VLOOKUP(Sales[[#This Row],[LivArea Range]],Lookups!$R$25:$U$43,4,FALSE)</f>
        <v>0.99519999999999997</v>
      </c>
      <c r="CP66">
        <f>VLOOKUP(Sales[[#This Row],[Decade]],Lookups!$M$24:$P$40,4,FALSE)</f>
        <v>1.0024</v>
      </c>
      <c r="CQ66">
        <f>Sales[[#This Row],[Nbhd Adj]]*0.95</f>
        <v>0.94971499999999998</v>
      </c>
      <c r="CR66">
        <f>Sales[[#This Row],[Nbhd Adj]]*Sales[[#This Row],[Quality Adj]]*Sales[[#This Row],[Condition Adj]]*Sales[[#This Row],[Living Area Adj]]*Sales[[#This Row],[Decade Adj]]*0.95</f>
        <v>0.94685424199978463</v>
      </c>
      <c r="CS66">
        <f>ROUND(SUM(Sales[[#This Row],[Mdl Qlty]:[Mdl BltinGar]])+Sales[[#This Row],[Mdl Res Intercept]]*Sales[[#This Row],[Res Adj ]],-2)</f>
        <v>312600</v>
      </c>
      <c r="CT66">
        <f>ROUND(Sales[[#This Row],[25Det]]*Sales[[#This Row],[Det/Nbhd Adj]],-2)</f>
        <v>0</v>
      </c>
      <c r="CU66">
        <f>Sales[[#This Row],[Adjusted Res]]+Sales[[#This Row],[Adj Det ]]</f>
        <v>312600</v>
      </c>
      <c r="CV66">
        <f>ROUND((Sales[[#This Row],[Mdl Land Intercept]]+Sales[[#This Row],[Mdl LnAcres]])*Sales[[#This Row],[Det/Nbhd Adj]],-2)</f>
        <v>61100</v>
      </c>
      <c r="CW66">
        <f>Sales[[#This Row],[Adjusted Impr Total]]+Sales[[#This Row],[Adjusted Land Total]]</f>
        <v>373700</v>
      </c>
      <c r="CX66" s="10">
        <f>IFERROR((Sales[[#This Row],[Adjusted Impr Total]]-Sales[[#This Row],[24Bldg]])/Sales[[#This Row],[24Bldg]],0)</f>
        <v>-2.586475537550639E-2</v>
      </c>
      <c r="CY66" s="10">
        <f>(Sales[[#This Row],[Adjusted Land Total]]-Sales[[#This Row],[24Lnd]])/Sales[[#This Row],[24Lnd]]</f>
        <v>4.9342105263157892E-3</v>
      </c>
      <c r="CZ66">
        <f>(Sales[[#This Row],[Adjusted Total]]-Sales[[#This Row],[24Final]])/Sales[[#This Row],[24Final]]</f>
        <v>-2.0958868221116058E-2</v>
      </c>
      <c r="DA66" s="10">
        <f>(Sales[[#This Row],[Adjusted Total]]+Sales[[#This Row],[Days Prior Total]])/Sales[[#This Row],[Price]]</f>
        <v>0.93760002127759889</v>
      </c>
    </row>
    <row r="67" spans="1:105">
      <c r="A67">
        <v>2025</v>
      </c>
      <c r="B67">
        <v>19120114439</v>
      </c>
      <c r="C67">
        <v>-1.8325814637483102</v>
      </c>
      <c r="D67">
        <v>0.16</v>
      </c>
      <c r="E67">
        <v>7002</v>
      </c>
      <c r="F67">
        <v>2</v>
      </c>
      <c r="G67" t="s">
        <v>155</v>
      </c>
      <c r="H67">
        <v>317</v>
      </c>
      <c r="I67" t="s">
        <v>5</v>
      </c>
      <c r="J67" t="s">
        <v>156</v>
      </c>
      <c r="K67">
        <v>11</v>
      </c>
      <c r="L67">
        <v>259</v>
      </c>
      <c r="M67" t="s">
        <v>157</v>
      </c>
      <c r="N67" t="s">
        <v>21</v>
      </c>
      <c r="O67" t="s">
        <v>24</v>
      </c>
      <c r="P67">
        <v>2021</v>
      </c>
      <c r="Q67">
        <v>2021</v>
      </c>
      <c r="R67">
        <v>10</v>
      </c>
      <c r="S67">
        <v>3</v>
      </c>
      <c r="T67">
        <v>3</v>
      </c>
      <c r="U67">
        <v>2</v>
      </c>
      <c r="V67">
        <v>930</v>
      </c>
      <c r="W67">
        <v>1296</v>
      </c>
      <c r="X67">
        <v>0</v>
      </c>
      <c r="Y67">
        <v>0</v>
      </c>
      <c r="Z67">
        <v>0</v>
      </c>
      <c r="AA67">
        <v>0</v>
      </c>
      <c r="AB67">
        <v>2226</v>
      </c>
      <c r="AC67">
        <v>2500</v>
      </c>
      <c r="AD67">
        <v>3</v>
      </c>
      <c r="AE67" t="s">
        <v>56</v>
      </c>
      <c r="AF67" t="s">
        <v>158</v>
      </c>
      <c r="AG67" t="s">
        <v>21</v>
      </c>
      <c r="AI67">
        <v>0</v>
      </c>
      <c r="AJ67">
        <v>0</v>
      </c>
      <c r="AK67">
        <v>1</v>
      </c>
      <c r="AL67">
        <v>0</v>
      </c>
      <c r="AM67">
        <v>1</v>
      </c>
      <c r="AN67">
        <v>13</v>
      </c>
      <c r="AO67">
        <v>0</v>
      </c>
      <c r="AP67">
        <v>640</v>
      </c>
      <c r="AQ67">
        <v>0</v>
      </c>
      <c r="AR67">
        <v>0</v>
      </c>
      <c r="AS67">
        <v>276</v>
      </c>
      <c r="AT67">
        <v>0</v>
      </c>
      <c r="AU67">
        <v>100</v>
      </c>
      <c r="AV67">
        <v>100</v>
      </c>
      <c r="AW67">
        <v>412496</v>
      </c>
      <c r="AX67">
        <v>408371</v>
      </c>
      <c r="AY67">
        <v>943</v>
      </c>
      <c r="AZ67">
        <v>365</v>
      </c>
      <c r="BA67">
        <v>365</v>
      </c>
      <c r="BB67">
        <v>213</v>
      </c>
      <c r="BC67" s="2">
        <v>44349</v>
      </c>
      <c r="BD67" t="s">
        <v>227</v>
      </c>
      <c r="BE67">
        <v>392497</v>
      </c>
      <c r="BF67">
        <v>392497</v>
      </c>
      <c r="BG67" t="s">
        <v>160</v>
      </c>
      <c r="BH67">
        <v>30</v>
      </c>
      <c r="BI67" t="s">
        <v>56</v>
      </c>
      <c r="BJ67" t="s">
        <v>161</v>
      </c>
      <c r="BK67">
        <v>430900</v>
      </c>
      <c r="BL67">
        <v>60800</v>
      </c>
      <c r="BM67">
        <v>370100</v>
      </c>
      <c r="BN67">
        <v>0</v>
      </c>
      <c r="BO67">
        <v>374142.98646011698</v>
      </c>
      <c r="BP67">
        <v>444070.18428065564</v>
      </c>
      <c r="BQ67">
        <f>(Sales[[#This Row],[DP1]]*Lookups!$B$61)+(Sales[[#This Row],[DP2]]*Lookups!$B$62)+(Sales[[#This Row],[DP3]]*Lookups!$B$63)</f>
        <v>-69927.194831000001</v>
      </c>
      <c r="BR67">
        <f>Lookups!$B$58*0.6</f>
        <v>132535.48800000001</v>
      </c>
      <c r="BS67">
        <f>Lookups!$B$58*0.4</f>
        <v>88356.992000000013</v>
      </c>
      <c r="BT67">
        <f>Lookups!$B$59*Sales[[#This Row],[LnAcres]]</f>
        <v>-24051.387388882686</v>
      </c>
      <c r="BU67">
        <f>VLOOKUP(Sales[[#This Row],[Qlty]],Lookups!$A$66:$E$79,2,FALSE)</f>
        <v>32917.849192000001</v>
      </c>
      <c r="BV67">
        <f>VLOOKUP(Sales[[#This Row],[Cnd]],Lookups!$A$80:$E$91,2,FALSE)</f>
        <v>47371.278778200001</v>
      </c>
      <c r="BW67">
        <f>Sales[[#This Row],[EffAge]]*Lookups!$B$65</f>
        <v>-326.22329999999999</v>
      </c>
      <c r="BX67">
        <f>Sales[[#This Row],[MainFn]]*Lookups!$B$90</f>
        <v>58041.653400000003</v>
      </c>
      <c r="BY67">
        <f>Sales[[#This Row],[UpprFn]]*Lookups!$B$91</f>
        <v>77216.176368</v>
      </c>
      <c r="BZ67">
        <f>Sales[[#This Row],[Bsmt]]*Lookups!$B$95</f>
        <v>0</v>
      </c>
      <c r="CA67">
        <f>VLOOKUP(Sales[[#This Row],[MsnryTrim]],Lookups!$A$90:$E$99,2,FALSE)</f>
        <v>-9412.7029999999995</v>
      </c>
      <c r="CB67">
        <f>Sales[[#This Row],[PrefabFP]]*Lookups!$B$92</f>
        <v>9807.1044999999995</v>
      </c>
      <c r="CC67">
        <f>Sales[[#This Row],[AttGar]]*Lookups!$B$93</f>
        <v>0</v>
      </c>
      <c r="CD67">
        <f>Sales[[#This Row],[BltinGar]]*Lookups!$B$94</f>
        <v>31613.951999999997</v>
      </c>
      <c r="CE67">
        <f>SUM(Sales[[#This Row],[Days Prior Total]:[Mdl BltinGar]])</f>
        <v>374142.98571831733</v>
      </c>
      <c r="CF67">
        <f>ROUND(Sales[[#This Row],[25Det]],-2)</f>
        <v>0</v>
      </c>
      <c r="CG67">
        <f>ROUND(SUM(Sales[[#This Row],[Mdl Qlty]:[Mdl BltinGar]])+Sales[[#This Row],[Mdl Res Intercept]]+Sales[[#This Row],[Days Prior Total]],-2)</f>
        <v>309800</v>
      </c>
      <c r="CH67">
        <f>ROUND(Sales[[#This Row],[Mdl Land Intercept]]+Sales[[#This Row],[Mdl LnAcres]],-2)</f>
        <v>64300</v>
      </c>
      <c r="CI67">
        <f>Sales[[#This Row],[Unadj Res Value]]+Sales[[#This Row],[Unadj Det Value]]+Sales[[#This Row],[Unadj Land Value]]</f>
        <v>374100</v>
      </c>
      <c r="CJ67" s="10">
        <f>Sales[[#This Row],[Price]]/Sales[[#This Row],[Unadj Total Value]]</f>
        <v>1.0491766907244053</v>
      </c>
      <c r="CK67" s="10">
        <f>(Sales[[#This Row],[Unadj Total Value]]-Sales[[#This Row],[24Final]])/Sales[[#This Row],[24Final]]</f>
        <v>-0.13181712694360639</v>
      </c>
      <c r="CL67">
        <f>VLOOKUP(Sales[[#This Row],[TNbhd]],Lookups!$M$3:$P$5,4,FALSE)</f>
        <v>0.99970000000000003</v>
      </c>
      <c r="CM67">
        <f>VLOOKUP(Sales[[#This Row],[Qlty]],Lookups!$M$8:$P$22,4,FALSE)</f>
        <v>1.0019</v>
      </c>
      <c r="CN67">
        <f>VLOOKUP(Sales[[#This Row],[Cnd]],Lookups!$R$8:$U$17,4,FALSE)</f>
        <v>1.0012000000000001</v>
      </c>
      <c r="CO67">
        <f>VLOOKUP(Sales[[#This Row],[LivArea Range]],Lookups!$R$25:$U$43,4,FALSE)</f>
        <v>1.0008999999999999</v>
      </c>
      <c r="CP67">
        <f>VLOOKUP(Sales[[#This Row],[Decade]],Lookups!$M$24:$P$40,4,FALSE)</f>
        <v>1.0024</v>
      </c>
      <c r="CQ67">
        <f>Sales[[#This Row],[Nbhd Adj]]*0.95</f>
        <v>0.94971499999999998</v>
      </c>
      <c r="CR67">
        <f>Sales[[#This Row],[Nbhd Adj]]*Sales[[#This Row],[Quality Adj]]*Sales[[#This Row],[Condition Adj]]*Sales[[#This Row],[Living Area Adj]]*Sales[[#This Row],[Decade Adj]]*0.95</f>
        <v>0.95580712182867422</v>
      </c>
      <c r="CS67">
        <f>ROUND(SUM(Sales[[#This Row],[Mdl Qlty]:[Mdl BltinGar]])+Sales[[#This Row],[Mdl Res Intercept]]*Sales[[#This Row],[Res Adj ]],-2)</f>
        <v>373900</v>
      </c>
      <c r="CT67">
        <f>ROUND(Sales[[#This Row],[25Det]]*Sales[[#This Row],[Det/Nbhd Adj]],-2)</f>
        <v>0</v>
      </c>
      <c r="CU67">
        <f>Sales[[#This Row],[Adjusted Res]]+Sales[[#This Row],[Adj Det ]]</f>
        <v>373900</v>
      </c>
      <c r="CV67">
        <f>ROUND((Sales[[#This Row],[Mdl Land Intercept]]+Sales[[#This Row],[Mdl LnAcres]])*Sales[[#This Row],[Det/Nbhd Adj]],-2)</f>
        <v>61100</v>
      </c>
      <c r="CW67">
        <f>Sales[[#This Row],[Adjusted Impr Total]]+Sales[[#This Row],[Adjusted Land Total]]</f>
        <v>435000</v>
      </c>
      <c r="CX67" s="10">
        <f>IFERROR((Sales[[#This Row],[Adjusted Impr Total]]-Sales[[#This Row],[24Bldg]])/Sales[[#This Row],[24Bldg]],0)</f>
        <v>1.026749527154823E-2</v>
      </c>
      <c r="CY67" s="10">
        <f>(Sales[[#This Row],[Adjusted Land Total]]-Sales[[#This Row],[24Lnd]])/Sales[[#This Row],[24Lnd]]</f>
        <v>4.9342105263157892E-3</v>
      </c>
      <c r="CZ67">
        <f>(Sales[[#This Row],[Adjusted Total]]-Sales[[#This Row],[24Final]])/Sales[[#This Row],[24Final]]</f>
        <v>9.5149686702251102E-3</v>
      </c>
      <c r="DA67" s="10">
        <f>(Sales[[#This Row],[Adjusted Total]]+Sales[[#This Row],[Days Prior Total]])/Sales[[#This Row],[Price]]</f>
        <v>0.93012890587443975</v>
      </c>
    </row>
    <row r="68" spans="1:105">
      <c r="A68">
        <v>2025</v>
      </c>
      <c r="B68">
        <v>19120114440</v>
      </c>
      <c r="C68">
        <v>-1.8325814637483102</v>
      </c>
      <c r="D68">
        <v>0.16</v>
      </c>
      <c r="E68">
        <v>7002</v>
      </c>
      <c r="F68">
        <v>2</v>
      </c>
      <c r="G68" t="s">
        <v>155</v>
      </c>
      <c r="H68">
        <v>317</v>
      </c>
      <c r="I68" t="s">
        <v>5</v>
      </c>
      <c r="J68" t="s">
        <v>156</v>
      </c>
      <c r="K68">
        <v>11</v>
      </c>
      <c r="L68">
        <v>259</v>
      </c>
      <c r="M68" t="s">
        <v>157</v>
      </c>
      <c r="N68" t="s">
        <v>19</v>
      </c>
      <c r="O68" t="s">
        <v>24</v>
      </c>
      <c r="P68">
        <v>2021</v>
      </c>
      <c r="Q68">
        <v>2021</v>
      </c>
      <c r="R68">
        <v>10</v>
      </c>
      <c r="S68">
        <v>3</v>
      </c>
      <c r="T68">
        <v>3</v>
      </c>
      <c r="U68">
        <v>1</v>
      </c>
      <c r="V68">
        <v>1388</v>
      </c>
      <c r="W68">
        <v>0</v>
      </c>
      <c r="X68">
        <v>0</v>
      </c>
      <c r="Y68">
        <v>0</v>
      </c>
      <c r="Z68">
        <v>0</v>
      </c>
      <c r="AA68">
        <v>0</v>
      </c>
      <c r="AB68">
        <v>1388</v>
      </c>
      <c r="AC68">
        <v>1500</v>
      </c>
      <c r="AD68">
        <v>2</v>
      </c>
      <c r="AE68" t="s">
        <v>56</v>
      </c>
      <c r="AF68" t="s">
        <v>158</v>
      </c>
      <c r="AG68" t="s">
        <v>21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9</v>
      </c>
      <c r="AO68">
        <v>400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100</v>
      </c>
      <c r="AV68">
        <v>100</v>
      </c>
      <c r="AW68">
        <v>255257</v>
      </c>
      <c r="AX68">
        <v>252704</v>
      </c>
      <c r="AY68">
        <v>908</v>
      </c>
      <c r="AZ68">
        <v>365</v>
      </c>
      <c r="BA68">
        <v>365</v>
      </c>
      <c r="BB68">
        <v>178</v>
      </c>
      <c r="BC68" s="2">
        <v>44384</v>
      </c>
      <c r="BD68" t="s">
        <v>228</v>
      </c>
      <c r="BE68">
        <v>321133</v>
      </c>
      <c r="BF68">
        <v>321133</v>
      </c>
      <c r="BG68" t="s">
        <v>160</v>
      </c>
      <c r="BH68">
        <v>30</v>
      </c>
      <c r="BI68" t="s">
        <v>56</v>
      </c>
      <c r="BJ68" t="s">
        <v>161</v>
      </c>
      <c r="BK68">
        <v>380400</v>
      </c>
      <c r="BL68">
        <v>60800</v>
      </c>
      <c r="BM68">
        <v>319600</v>
      </c>
      <c r="BN68">
        <v>0</v>
      </c>
      <c r="BO68">
        <v>310461.50292356242</v>
      </c>
      <c r="BP68">
        <v>372373.72144351603</v>
      </c>
      <c r="BQ68">
        <f>(Sales[[#This Row],[DP1]]*Lookups!$B$61)+(Sales[[#This Row],[DP2]]*Lookups!$B$62)+(Sales[[#This Row],[DP3]]*Lookups!$B$63)</f>
        <v>-61912.215830999994</v>
      </c>
      <c r="BR68">
        <f>Lookups!$B$58*0.6</f>
        <v>132535.48800000001</v>
      </c>
      <c r="BS68">
        <f>Lookups!$B$58*0.4</f>
        <v>88356.992000000013</v>
      </c>
      <c r="BT68">
        <f>Lookups!$B$59*Sales[[#This Row],[LnAcres]]</f>
        <v>-24051.387388882686</v>
      </c>
      <c r="BU68">
        <f>VLOOKUP(Sales[[#This Row],[Qlty]],Lookups!$A$66:$E$79,2,FALSE)</f>
        <v>37154.252388000001</v>
      </c>
      <c r="BV68">
        <f>VLOOKUP(Sales[[#This Row],[Cnd]],Lookups!$A$80:$E$91,2,FALSE)</f>
        <v>47371.278778200001</v>
      </c>
      <c r="BW68">
        <f>Sales[[#This Row],[EffAge]]*Lookups!$B$65</f>
        <v>-326.22329999999999</v>
      </c>
      <c r="BX68">
        <f>Sales[[#This Row],[MainFn]]*Lookups!$B$90</f>
        <v>86625.607440000007</v>
      </c>
      <c r="BY68">
        <f>Sales[[#This Row],[UpprFn]]*Lookups!$B$91</f>
        <v>0</v>
      </c>
      <c r="BZ68">
        <f>Sales[[#This Row],[Bsmt]]*Lookups!$B$95</f>
        <v>0</v>
      </c>
      <c r="CA68">
        <f>VLOOKUP(Sales[[#This Row],[MsnryTrim]],Lookups!$A$90:$E$99,2,FALSE)</f>
        <v>-9412.7029999999995</v>
      </c>
      <c r="CB68">
        <f>Sales[[#This Row],[PrefabFP]]*Lookups!$B$92</f>
        <v>0</v>
      </c>
      <c r="CC68">
        <f>Sales[[#This Row],[AttGar]]*Lookups!$B$93</f>
        <v>14120.412400000001</v>
      </c>
      <c r="CD68">
        <f>Sales[[#This Row],[BltinGar]]*Lookups!$B$94</f>
        <v>0</v>
      </c>
      <c r="CE68">
        <f>SUM(Sales[[#This Row],[Days Prior Total]:[Mdl BltinGar]])</f>
        <v>310461.50148631737</v>
      </c>
      <c r="CF68">
        <f>ROUND(Sales[[#This Row],[25Det]],-2)</f>
        <v>0</v>
      </c>
      <c r="CG68">
        <f>ROUND(SUM(Sales[[#This Row],[Mdl Qlty]:[Mdl BltinGar]])+Sales[[#This Row],[Mdl Res Intercept]]+Sales[[#This Row],[Days Prior Total]],-2)</f>
        <v>246200</v>
      </c>
      <c r="CH68">
        <f>ROUND(Sales[[#This Row],[Mdl Land Intercept]]+Sales[[#This Row],[Mdl LnAcres]],-2)</f>
        <v>64300</v>
      </c>
      <c r="CI68">
        <f>Sales[[#This Row],[Unadj Res Value]]+Sales[[#This Row],[Unadj Det Value]]+Sales[[#This Row],[Unadj Land Value]]</f>
        <v>310500</v>
      </c>
      <c r="CJ68" s="10">
        <f>Sales[[#This Row],[Price]]/Sales[[#This Row],[Unadj Total Value]]</f>
        <v>1.034244766505636</v>
      </c>
      <c r="CK68" s="10">
        <f>(Sales[[#This Row],[Unadj Total Value]]-Sales[[#This Row],[24Final]])/Sales[[#This Row],[24Final]]</f>
        <v>-0.18375394321766561</v>
      </c>
      <c r="CL68">
        <f>VLOOKUP(Sales[[#This Row],[TNbhd]],Lookups!$M$3:$P$5,4,FALSE)</f>
        <v>0.99970000000000003</v>
      </c>
      <c r="CM68">
        <f>VLOOKUP(Sales[[#This Row],[Qlty]],Lookups!$M$8:$P$22,4,FALSE)</f>
        <v>0.99819999999999998</v>
      </c>
      <c r="CN68">
        <f>VLOOKUP(Sales[[#This Row],[Cnd]],Lookups!$R$8:$U$17,4,FALSE)</f>
        <v>1.0012000000000001</v>
      </c>
      <c r="CO68">
        <f>VLOOKUP(Sales[[#This Row],[LivArea Range]],Lookups!$R$25:$U$43,4,FALSE)</f>
        <v>0.99519999999999997</v>
      </c>
      <c r="CP68">
        <f>VLOOKUP(Sales[[#This Row],[Decade]],Lookups!$M$24:$P$40,4,FALSE)</f>
        <v>1.0024</v>
      </c>
      <c r="CQ68">
        <f>Sales[[#This Row],[Nbhd Adj]]*0.95</f>
        <v>0.94971499999999998</v>
      </c>
      <c r="CR68">
        <f>Sales[[#This Row],[Nbhd Adj]]*Sales[[#This Row],[Quality Adj]]*Sales[[#This Row],[Condition Adj]]*Sales[[#This Row],[Living Area Adj]]*Sales[[#This Row],[Decade Adj]]*0.95</f>
        <v>0.94685424199978463</v>
      </c>
      <c r="CS68">
        <f>ROUND(SUM(Sales[[#This Row],[Mdl Qlty]:[Mdl BltinGar]])+Sales[[#This Row],[Mdl Res Intercept]]*Sales[[#This Row],[Res Adj ]],-2)</f>
        <v>301000</v>
      </c>
      <c r="CT68">
        <f>ROUND(Sales[[#This Row],[25Det]]*Sales[[#This Row],[Det/Nbhd Adj]],-2)</f>
        <v>0</v>
      </c>
      <c r="CU68">
        <f>Sales[[#This Row],[Adjusted Res]]+Sales[[#This Row],[Adj Det ]]</f>
        <v>301000</v>
      </c>
      <c r="CV68">
        <f>ROUND((Sales[[#This Row],[Mdl Land Intercept]]+Sales[[#This Row],[Mdl LnAcres]])*Sales[[#This Row],[Det/Nbhd Adj]],-2)</f>
        <v>61100</v>
      </c>
      <c r="CW68">
        <f>Sales[[#This Row],[Adjusted Impr Total]]+Sales[[#This Row],[Adjusted Land Total]]</f>
        <v>362100</v>
      </c>
      <c r="CX68" s="10">
        <f>IFERROR((Sales[[#This Row],[Adjusted Impr Total]]-Sales[[#This Row],[24Bldg]])/Sales[[#This Row],[24Bldg]],0)</f>
        <v>-5.8197747183979978E-2</v>
      </c>
      <c r="CY68" s="10">
        <f>(Sales[[#This Row],[Adjusted Land Total]]-Sales[[#This Row],[24Lnd]])/Sales[[#This Row],[24Lnd]]</f>
        <v>4.9342105263157892E-3</v>
      </c>
      <c r="CZ68">
        <f>(Sales[[#This Row],[Adjusted Total]]-Sales[[#This Row],[24Final]])/Sales[[#This Row],[24Final]]</f>
        <v>-4.8107255520504731E-2</v>
      </c>
      <c r="DA68" s="10">
        <f>(Sales[[#This Row],[Adjusted Total]]+Sales[[#This Row],[Days Prior Total]])/Sales[[#This Row],[Price]]</f>
        <v>0.93477713025132891</v>
      </c>
    </row>
    <row r="69" spans="1:105">
      <c r="A69">
        <v>2025</v>
      </c>
      <c r="B69">
        <v>19120114441</v>
      </c>
      <c r="C69">
        <v>-1.8325814637483102</v>
      </c>
      <c r="D69">
        <v>0.16</v>
      </c>
      <c r="E69">
        <v>7002</v>
      </c>
      <c r="F69">
        <v>2</v>
      </c>
      <c r="G69" t="s">
        <v>155</v>
      </c>
      <c r="H69">
        <v>317</v>
      </c>
      <c r="I69" t="s">
        <v>5</v>
      </c>
      <c r="J69" t="s">
        <v>156</v>
      </c>
      <c r="K69">
        <v>11</v>
      </c>
      <c r="L69">
        <v>259</v>
      </c>
      <c r="M69" t="s">
        <v>157</v>
      </c>
      <c r="N69" t="s">
        <v>21</v>
      </c>
      <c r="O69" t="s">
        <v>24</v>
      </c>
      <c r="P69">
        <v>2021</v>
      </c>
      <c r="Q69">
        <v>2021</v>
      </c>
      <c r="R69">
        <v>10</v>
      </c>
      <c r="S69">
        <v>3</v>
      </c>
      <c r="T69">
        <v>3</v>
      </c>
      <c r="U69">
        <v>2</v>
      </c>
      <c r="V69">
        <v>930</v>
      </c>
      <c r="W69">
        <v>1296</v>
      </c>
      <c r="X69">
        <v>0</v>
      </c>
      <c r="Y69">
        <v>0</v>
      </c>
      <c r="Z69">
        <v>0</v>
      </c>
      <c r="AA69">
        <v>0</v>
      </c>
      <c r="AB69">
        <v>2226</v>
      </c>
      <c r="AC69">
        <v>2500</v>
      </c>
      <c r="AD69">
        <v>2</v>
      </c>
      <c r="AE69" t="s">
        <v>55</v>
      </c>
      <c r="AF69" t="s">
        <v>158</v>
      </c>
      <c r="AG69" t="s">
        <v>21</v>
      </c>
      <c r="AI69">
        <v>0</v>
      </c>
      <c r="AJ69">
        <v>0</v>
      </c>
      <c r="AK69">
        <v>1</v>
      </c>
      <c r="AL69">
        <v>0</v>
      </c>
      <c r="AM69">
        <v>1</v>
      </c>
      <c r="AN69">
        <v>13</v>
      </c>
      <c r="AO69">
        <v>0</v>
      </c>
      <c r="AP69">
        <v>480</v>
      </c>
      <c r="AQ69">
        <v>0</v>
      </c>
      <c r="AR69">
        <v>0</v>
      </c>
      <c r="AS69">
        <v>100</v>
      </c>
      <c r="AT69">
        <v>0</v>
      </c>
      <c r="AU69">
        <v>100</v>
      </c>
      <c r="AV69">
        <v>100</v>
      </c>
      <c r="AW69">
        <v>401794</v>
      </c>
      <c r="AX69">
        <v>397776</v>
      </c>
      <c r="AY69">
        <v>908</v>
      </c>
      <c r="AZ69">
        <v>365</v>
      </c>
      <c r="BA69">
        <v>365</v>
      </c>
      <c r="BB69">
        <v>178</v>
      </c>
      <c r="BC69" s="2">
        <v>44384</v>
      </c>
      <c r="BD69">
        <v>460097</v>
      </c>
      <c r="BE69">
        <v>402994</v>
      </c>
      <c r="BF69">
        <v>402994</v>
      </c>
      <c r="BG69" t="s">
        <v>160</v>
      </c>
      <c r="BH69">
        <v>30</v>
      </c>
      <c r="BI69" t="s">
        <v>56</v>
      </c>
      <c r="BJ69" t="s">
        <v>161</v>
      </c>
      <c r="BK69">
        <v>419100</v>
      </c>
      <c r="BL69">
        <v>60800</v>
      </c>
      <c r="BM69">
        <v>358300</v>
      </c>
      <c r="BN69">
        <v>0</v>
      </c>
      <c r="BO69">
        <v>388967.00459913519</v>
      </c>
      <c r="BP69">
        <v>450879.2231190888</v>
      </c>
      <c r="BQ69">
        <f>(Sales[[#This Row],[DP1]]*Lookups!$B$61)+(Sales[[#This Row],[DP2]]*Lookups!$B$62)+(Sales[[#This Row],[DP3]]*Lookups!$B$63)</f>
        <v>-61912.215830999994</v>
      </c>
      <c r="BR69">
        <f>Lookups!$B$58*0.6</f>
        <v>132535.48800000001</v>
      </c>
      <c r="BS69">
        <f>Lookups!$B$58*0.4</f>
        <v>88356.992000000013</v>
      </c>
      <c r="BT69">
        <f>Lookups!$B$59*Sales[[#This Row],[LnAcres]]</f>
        <v>-24051.387388882686</v>
      </c>
      <c r="BU69">
        <f>VLOOKUP(Sales[[#This Row],[Qlty]],Lookups!$A$66:$E$79,2,FALSE)</f>
        <v>32917.849192000001</v>
      </c>
      <c r="BV69">
        <f>VLOOKUP(Sales[[#This Row],[Cnd]],Lookups!$A$80:$E$91,2,FALSE)</f>
        <v>47371.278778200001</v>
      </c>
      <c r="BW69">
        <f>Sales[[#This Row],[EffAge]]*Lookups!$B$65</f>
        <v>-326.22329999999999</v>
      </c>
      <c r="BX69">
        <f>Sales[[#This Row],[MainFn]]*Lookups!$B$90</f>
        <v>58041.653400000003</v>
      </c>
      <c r="BY69">
        <f>Sales[[#This Row],[UpprFn]]*Lookups!$B$91</f>
        <v>77216.176368</v>
      </c>
      <c r="BZ69">
        <f>Sales[[#This Row],[Bsmt]]*Lookups!$B$95</f>
        <v>0</v>
      </c>
      <c r="CA69">
        <f>VLOOKUP(Sales[[#This Row],[MsnryTrim]],Lookups!$A$90:$E$99,2,FALSE)</f>
        <v>5299.8242</v>
      </c>
      <c r="CB69">
        <f>Sales[[#This Row],[PrefabFP]]*Lookups!$B$92</f>
        <v>9807.1044999999995</v>
      </c>
      <c r="CC69">
        <f>Sales[[#This Row],[AttGar]]*Lookups!$B$93</f>
        <v>0</v>
      </c>
      <c r="CD69">
        <f>Sales[[#This Row],[BltinGar]]*Lookups!$B$94</f>
        <v>23710.464</v>
      </c>
      <c r="CE69">
        <f>SUM(Sales[[#This Row],[Days Prior Total]:[Mdl BltinGar]])</f>
        <v>388967.00391831726</v>
      </c>
      <c r="CF69">
        <f>ROUND(Sales[[#This Row],[25Det]],-2)</f>
        <v>0</v>
      </c>
      <c r="CG69">
        <f>ROUND(SUM(Sales[[#This Row],[Mdl Qlty]:[Mdl BltinGar]])+Sales[[#This Row],[Mdl Res Intercept]]+Sales[[#This Row],[Days Prior Total]],-2)</f>
        <v>324700</v>
      </c>
      <c r="CH69">
        <f>ROUND(Sales[[#This Row],[Mdl Land Intercept]]+Sales[[#This Row],[Mdl LnAcres]],-2)</f>
        <v>64300</v>
      </c>
      <c r="CI69">
        <f>Sales[[#This Row],[Unadj Res Value]]+Sales[[#This Row],[Unadj Det Value]]+Sales[[#This Row],[Unadj Land Value]]</f>
        <v>389000</v>
      </c>
      <c r="CJ69" s="10">
        <f>Sales[[#This Row],[Price]]/Sales[[#This Row],[Unadj Total Value]]</f>
        <v>1.035974293059126</v>
      </c>
      <c r="CK69" s="10">
        <f>(Sales[[#This Row],[Unadj Total Value]]-Sales[[#This Row],[24Final]])/Sales[[#This Row],[24Final]]</f>
        <v>-7.1820567883560005E-2</v>
      </c>
      <c r="CL69">
        <f>VLOOKUP(Sales[[#This Row],[TNbhd]],Lookups!$M$3:$P$5,4,FALSE)</f>
        <v>0.99970000000000003</v>
      </c>
      <c r="CM69">
        <f>VLOOKUP(Sales[[#This Row],[Qlty]],Lookups!$M$8:$P$22,4,FALSE)</f>
        <v>1.0019</v>
      </c>
      <c r="CN69">
        <f>VLOOKUP(Sales[[#This Row],[Cnd]],Lookups!$R$8:$U$17,4,FALSE)</f>
        <v>1.0012000000000001</v>
      </c>
      <c r="CO69">
        <f>VLOOKUP(Sales[[#This Row],[LivArea Range]],Lookups!$R$25:$U$43,4,FALSE)</f>
        <v>1.0008999999999999</v>
      </c>
      <c r="CP69">
        <f>VLOOKUP(Sales[[#This Row],[Decade]],Lookups!$M$24:$P$40,4,FALSE)</f>
        <v>1.0024</v>
      </c>
      <c r="CQ69">
        <f>Sales[[#This Row],[Nbhd Adj]]*0.95</f>
        <v>0.94971499999999998</v>
      </c>
      <c r="CR69">
        <f>Sales[[#This Row],[Nbhd Adj]]*Sales[[#This Row],[Quality Adj]]*Sales[[#This Row],[Condition Adj]]*Sales[[#This Row],[Living Area Adj]]*Sales[[#This Row],[Decade Adj]]*0.95</f>
        <v>0.95580712182867422</v>
      </c>
      <c r="CS69">
        <f>ROUND(SUM(Sales[[#This Row],[Mdl Qlty]:[Mdl BltinGar]])+Sales[[#This Row],[Mdl Res Intercept]]*Sales[[#This Row],[Res Adj ]],-2)</f>
        <v>380700</v>
      </c>
      <c r="CT69">
        <f>ROUND(Sales[[#This Row],[25Det]]*Sales[[#This Row],[Det/Nbhd Adj]],-2)</f>
        <v>0</v>
      </c>
      <c r="CU69">
        <f>Sales[[#This Row],[Adjusted Res]]+Sales[[#This Row],[Adj Det ]]</f>
        <v>380700</v>
      </c>
      <c r="CV69">
        <f>ROUND((Sales[[#This Row],[Mdl Land Intercept]]+Sales[[#This Row],[Mdl LnAcres]])*Sales[[#This Row],[Det/Nbhd Adj]],-2)</f>
        <v>61100</v>
      </c>
      <c r="CW69">
        <f>Sales[[#This Row],[Adjusted Impr Total]]+Sales[[#This Row],[Adjusted Land Total]]</f>
        <v>441800</v>
      </c>
      <c r="CX69" s="10">
        <f>IFERROR((Sales[[#This Row],[Adjusted Impr Total]]-Sales[[#This Row],[24Bldg]])/Sales[[#This Row],[24Bldg]],0)</f>
        <v>6.2517443483114707E-2</v>
      </c>
      <c r="CY69" s="10">
        <f>(Sales[[#This Row],[Adjusted Land Total]]-Sales[[#This Row],[24Lnd]])/Sales[[#This Row],[24Lnd]]</f>
        <v>4.9342105263157892E-3</v>
      </c>
      <c r="CZ69">
        <f>(Sales[[#This Row],[Adjusted Total]]-Sales[[#This Row],[24Final]])/Sales[[#This Row],[24Final]]</f>
        <v>5.416368408494393E-2</v>
      </c>
      <c r="DA69" s="10">
        <f>(Sales[[#This Row],[Adjusted Total]]+Sales[[#This Row],[Days Prior Total]])/Sales[[#This Row],[Price]]</f>
        <v>0.94266362320282682</v>
      </c>
    </row>
    <row r="70" spans="1:105">
      <c r="A70">
        <v>2025</v>
      </c>
      <c r="B70">
        <v>19120114442</v>
      </c>
      <c r="C70">
        <v>-1.8325814637483102</v>
      </c>
      <c r="D70">
        <v>0.16</v>
      </c>
      <c r="E70">
        <v>7002</v>
      </c>
      <c r="F70">
        <v>2</v>
      </c>
      <c r="G70" t="s">
        <v>155</v>
      </c>
      <c r="H70">
        <v>317</v>
      </c>
      <c r="I70" t="s">
        <v>5</v>
      </c>
      <c r="J70" t="s">
        <v>156</v>
      </c>
      <c r="K70">
        <v>11</v>
      </c>
      <c r="L70">
        <v>259</v>
      </c>
      <c r="M70" t="s">
        <v>157</v>
      </c>
      <c r="N70" t="s">
        <v>19</v>
      </c>
      <c r="O70" t="s">
        <v>24</v>
      </c>
      <c r="P70">
        <v>2021</v>
      </c>
      <c r="Q70">
        <v>2021</v>
      </c>
      <c r="R70">
        <v>10</v>
      </c>
      <c r="S70">
        <v>3</v>
      </c>
      <c r="T70">
        <v>3</v>
      </c>
      <c r="U70">
        <v>1</v>
      </c>
      <c r="V70">
        <v>1452</v>
      </c>
      <c r="W70">
        <v>0</v>
      </c>
      <c r="X70">
        <v>0</v>
      </c>
      <c r="Y70">
        <v>0</v>
      </c>
      <c r="Z70">
        <v>0</v>
      </c>
      <c r="AA70">
        <v>0</v>
      </c>
      <c r="AB70">
        <v>1452</v>
      </c>
      <c r="AC70">
        <v>1500</v>
      </c>
      <c r="AD70">
        <v>2</v>
      </c>
      <c r="AE70" t="s">
        <v>55</v>
      </c>
      <c r="AF70" t="s">
        <v>158</v>
      </c>
      <c r="AG70" t="s">
        <v>21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9</v>
      </c>
      <c r="AO70">
        <v>400</v>
      </c>
      <c r="AP70">
        <v>0</v>
      </c>
      <c r="AQ70">
        <v>0</v>
      </c>
      <c r="AR70">
        <v>0</v>
      </c>
      <c r="AS70">
        <v>80</v>
      </c>
      <c r="AT70">
        <v>0</v>
      </c>
      <c r="AU70">
        <v>100</v>
      </c>
      <c r="AV70">
        <v>100</v>
      </c>
      <c r="AW70">
        <v>257523</v>
      </c>
      <c r="AX70">
        <v>254948</v>
      </c>
      <c r="AY70">
        <v>908</v>
      </c>
      <c r="AZ70">
        <v>365</v>
      </c>
      <c r="BA70">
        <v>365</v>
      </c>
      <c r="BB70">
        <v>178</v>
      </c>
      <c r="BC70" s="2">
        <v>44384</v>
      </c>
      <c r="BD70" t="s">
        <v>229</v>
      </c>
      <c r="BE70">
        <v>308268</v>
      </c>
      <c r="BF70">
        <v>308268</v>
      </c>
      <c r="BG70" t="s">
        <v>160</v>
      </c>
      <c r="BH70">
        <v>30</v>
      </c>
      <c r="BI70" t="s">
        <v>56</v>
      </c>
      <c r="BJ70" t="s">
        <v>161</v>
      </c>
      <c r="BK70">
        <v>372400</v>
      </c>
      <c r="BL70">
        <v>60800</v>
      </c>
      <c r="BM70">
        <v>311600</v>
      </c>
      <c r="BN70">
        <v>0</v>
      </c>
      <c r="BO70">
        <v>329168.29403837817</v>
      </c>
      <c r="BP70">
        <v>391080.51255833171</v>
      </c>
      <c r="BQ70">
        <f>(Sales[[#This Row],[DP1]]*Lookups!$B$61)+(Sales[[#This Row],[DP2]]*Lookups!$B$62)+(Sales[[#This Row],[DP3]]*Lookups!$B$63)</f>
        <v>-61912.215830999994</v>
      </c>
      <c r="BR70">
        <f>Lookups!$B$58*0.6</f>
        <v>132535.48800000001</v>
      </c>
      <c r="BS70">
        <f>Lookups!$B$58*0.4</f>
        <v>88356.992000000013</v>
      </c>
      <c r="BT70">
        <f>Lookups!$B$59*Sales[[#This Row],[LnAcres]]</f>
        <v>-24051.387388882686</v>
      </c>
      <c r="BU70">
        <f>VLOOKUP(Sales[[#This Row],[Qlty]],Lookups!$A$66:$E$79,2,FALSE)</f>
        <v>37154.252388000001</v>
      </c>
      <c r="BV70">
        <f>VLOOKUP(Sales[[#This Row],[Cnd]],Lookups!$A$80:$E$91,2,FALSE)</f>
        <v>47371.278778200001</v>
      </c>
      <c r="BW70">
        <f>Sales[[#This Row],[EffAge]]*Lookups!$B$65</f>
        <v>-326.22329999999999</v>
      </c>
      <c r="BX70">
        <f>Sales[[#This Row],[MainFn]]*Lookups!$B$90</f>
        <v>90619.871760000009</v>
      </c>
      <c r="BY70">
        <f>Sales[[#This Row],[UpprFn]]*Lookups!$B$91</f>
        <v>0</v>
      </c>
      <c r="BZ70">
        <f>Sales[[#This Row],[Bsmt]]*Lookups!$B$95</f>
        <v>0</v>
      </c>
      <c r="CA70">
        <f>VLOOKUP(Sales[[#This Row],[MsnryTrim]],Lookups!$A$90:$E$99,2,FALSE)</f>
        <v>5299.8242</v>
      </c>
      <c r="CB70">
        <f>Sales[[#This Row],[PrefabFP]]*Lookups!$B$92</f>
        <v>0</v>
      </c>
      <c r="CC70">
        <f>Sales[[#This Row],[AttGar]]*Lookups!$B$93</f>
        <v>14120.412400000001</v>
      </c>
      <c r="CD70">
        <f>Sales[[#This Row],[BltinGar]]*Lookups!$B$94</f>
        <v>0</v>
      </c>
      <c r="CE70">
        <f>SUM(Sales[[#This Row],[Days Prior Total]:[Mdl BltinGar]])</f>
        <v>329168.29300631734</v>
      </c>
      <c r="CF70">
        <f>ROUND(Sales[[#This Row],[25Det]],-2)</f>
        <v>0</v>
      </c>
      <c r="CG70">
        <f>ROUND(SUM(Sales[[#This Row],[Mdl Qlty]:[Mdl BltinGar]])+Sales[[#This Row],[Mdl Res Intercept]]+Sales[[#This Row],[Days Prior Total]],-2)</f>
        <v>264900</v>
      </c>
      <c r="CH70">
        <f>ROUND(Sales[[#This Row],[Mdl Land Intercept]]+Sales[[#This Row],[Mdl LnAcres]],-2)</f>
        <v>64300</v>
      </c>
      <c r="CI70">
        <f>Sales[[#This Row],[Unadj Res Value]]+Sales[[#This Row],[Unadj Det Value]]+Sales[[#This Row],[Unadj Land Value]]</f>
        <v>329200</v>
      </c>
      <c r="CJ70" s="10">
        <f>Sales[[#This Row],[Price]]/Sales[[#This Row],[Unadj Total Value]]</f>
        <v>0.93641555285540701</v>
      </c>
      <c r="CK70" s="10">
        <f>(Sales[[#This Row],[Unadj Total Value]]-Sales[[#This Row],[24Final]])/Sales[[#This Row],[24Final]]</f>
        <v>-0.11600429645542427</v>
      </c>
      <c r="CL70">
        <f>VLOOKUP(Sales[[#This Row],[TNbhd]],Lookups!$M$3:$P$5,4,FALSE)</f>
        <v>0.99970000000000003</v>
      </c>
      <c r="CM70">
        <f>VLOOKUP(Sales[[#This Row],[Qlty]],Lookups!$M$8:$P$22,4,FALSE)</f>
        <v>0.99819999999999998</v>
      </c>
      <c r="CN70">
        <f>VLOOKUP(Sales[[#This Row],[Cnd]],Lookups!$R$8:$U$17,4,FALSE)</f>
        <v>1.0012000000000001</v>
      </c>
      <c r="CO70">
        <f>VLOOKUP(Sales[[#This Row],[LivArea Range]],Lookups!$R$25:$U$43,4,FALSE)</f>
        <v>0.99519999999999997</v>
      </c>
      <c r="CP70">
        <f>VLOOKUP(Sales[[#This Row],[Decade]],Lookups!$M$24:$P$40,4,FALSE)</f>
        <v>1.0024</v>
      </c>
      <c r="CQ70">
        <f>Sales[[#This Row],[Nbhd Adj]]*0.95</f>
        <v>0.94971499999999998</v>
      </c>
      <c r="CR70">
        <f>Sales[[#This Row],[Nbhd Adj]]*Sales[[#This Row],[Quality Adj]]*Sales[[#This Row],[Condition Adj]]*Sales[[#This Row],[Living Area Adj]]*Sales[[#This Row],[Decade Adj]]*0.95</f>
        <v>0.94685424199978463</v>
      </c>
      <c r="CS70">
        <f>ROUND(SUM(Sales[[#This Row],[Mdl Qlty]:[Mdl BltinGar]])+Sales[[#This Row],[Mdl Res Intercept]]*Sales[[#This Row],[Res Adj ]],-2)</f>
        <v>319700</v>
      </c>
      <c r="CT70">
        <f>ROUND(Sales[[#This Row],[25Det]]*Sales[[#This Row],[Det/Nbhd Adj]],-2)</f>
        <v>0</v>
      </c>
      <c r="CU70">
        <f>Sales[[#This Row],[Adjusted Res]]+Sales[[#This Row],[Adj Det ]]</f>
        <v>319700</v>
      </c>
      <c r="CV70">
        <f>ROUND((Sales[[#This Row],[Mdl Land Intercept]]+Sales[[#This Row],[Mdl LnAcres]])*Sales[[#This Row],[Det/Nbhd Adj]],-2)</f>
        <v>61100</v>
      </c>
      <c r="CW70">
        <f>Sales[[#This Row],[Adjusted Impr Total]]+Sales[[#This Row],[Adjusted Land Total]]</f>
        <v>380800</v>
      </c>
      <c r="CX70" s="10">
        <f>IFERROR((Sales[[#This Row],[Adjusted Impr Total]]-Sales[[#This Row],[24Bldg]])/Sales[[#This Row],[24Bldg]],0)</f>
        <v>2.5994865211810013E-2</v>
      </c>
      <c r="CY70" s="10">
        <f>(Sales[[#This Row],[Adjusted Land Total]]-Sales[[#This Row],[24Lnd]])/Sales[[#This Row],[24Lnd]]</f>
        <v>4.9342105263157892E-3</v>
      </c>
      <c r="CZ70">
        <f>(Sales[[#This Row],[Adjusted Total]]-Sales[[#This Row],[24Final]])/Sales[[#This Row],[24Final]]</f>
        <v>2.2556390977443608E-2</v>
      </c>
      <c r="DA70" s="10">
        <f>(Sales[[#This Row],[Adjusted Total]]+Sales[[#This Row],[Days Prior Total]])/Sales[[#This Row],[Price]]</f>
        <v>1.0344498428931967</v>
      </c>
    </row>
    <row r="71" spans="1:105">
      <c r="A71">
        <v>2025</v>
      </c>
      <c r="B71">
        <v>19120114443</v>
      </c>
      <c r="C71">
        <v>-1.8325814637483102</v>
      </c>
      <c r="D71">
        <v>0.16</v>
      </c>
      <c r="E71">
        <v>7001</v>
      </c>
      <c r="F71">
        <v>2</v>
      </c>
      <c r="G71" t="s">
        <v>155</v>
      </c>
      <c r="H71">
        <v>317</v>
      </c>
      <c r="I71" t="s">
        <v>5</v>
      </c>
      <c r="J71" t="s">
        <v>156</v>
      </c>
      <c r="K71">
        <v>11</v>
      </c>
      <c r="L71">
        <v>259</v>
      </c>
      <c r="M71" t="s">
        <v>157</v>
      </c>
      <c r="N71" t="s">
        <v>21</v>
      </c>
      <c r="O71" t="s">
        <v>24</v>
      </c>
      <c r="P71">
        <v>2021</v>
      </c>
      <c r="Q71">
        <v>2021</v>
      </c>
      <c r="R71">
        <v>10</v>
      </c>
      <c r="S71">
        <v>3</v>
      </c>
      <c r="T71">
        <v>3</v>
      </c>
      <c r="U71">
        <v>2</v>
      </c>
      <c r="V71">
        <v>930</v>
      </c>
      <c r="W71">
        <v>1296</v>
      </c>
      <c r="X71">
        <v>0</v>
      </c>
      <c r="Y71">
        <v>0</v>
      </c>
      <c r="Z71">
        <v>0</v>
      </c>
      <c r="AA71">
        <v>0</v>
      </c>
      <c r="AB71">
        <v>2226</v>
      </c>
      <c r="AC71">
        <v>2500</v>
      </c>
      <c r="AD71">
        <v>2</v>
      </c>
      <c r="AE71" t="s">
        <v>55</v>
      </c>
      <c r="AF71" t="s">
        <v>158</v>
      </c>
      <c r="AG71" t="s">
        <v>21</v>
      </c>
      <c r="AI71">
        <v>0</v>
      </c>
      <c r="AJ71">
        <v>0</v>
      </c>
      <c r="AK71">
        <v>1</v>
      </c>
      <c r="AL71">
        <v>0</v>
      </c>
      <c r="AM71">
        <v>1</v>
      </c>
      <c r="AN71">
        <v>13</v>
      </c>
      <c r="AO71">
        <v>0</v>
      </c>
      <c r="AP71">
        <v>480</v>
      </c>
      <c r="AQ71">
        <v>0</v>
      </c>
      <c r="AR71">
        <v>0</v>
      </c>
      <c r="AS71">
        <v>100</v>
      </c>
      <c r="AT71">
        <v>0</v>
      </c>
      <c r="AU71">
        <v>100</v>
      </c>
      <c r="AV71">
        <v>100</v>
      </c>
      <c r="AW71">
        <v>401794</v>
      </c>
      <c r="AX71">
        <v>397776</v>
      </c>
      <c r="AY71">
        <v>908</v>
      </c>
      <c r="AZ71">
        <v>365</v>
      </c>
      <c r="BA71">
        <v>365</v>
      </c>
      <c r="BB71">
        <v>178</v>
      </c>
      <c r="BC71" s="2">
        <v>44384</v>
      </c>
      <c r="BD71" t="s">
        <v>230</v>
      </c>
      <c r="BE71">
        <v>391710</v>
      </c>
      <c r="BF71">
        <v>391710</v>
      </c>
      <c r="BG71" t="s">
        <v>160</v>
      </c>
      <c r="BH71">
        <v>30</v>
      </c>
      <c r="BI71" t="s">
        <v>56</v>
      </c>
      <c r="BJ71" t="s">
        <v>161</v>
      </c>
      <c r="BK71">
        <v>419100</v>
      </c>
      <c r="BL71">
        <v>60800</v>
      </c>
      <c r="BM71">
        <v>358300</v>
      </c>
      <c r="BN71">
        <v>0</v>
      </c>
      <c r="BO71">
        <v>388967.00459913519</v>
      </c>
      <c r="BP71">
        <v>450879.2231190888</v>
      </c>
      <c r="BQ71">
        <f>(Sales[[#This Row],[DP1]]*Lookups!$B$61)+(Sales[[#This Row],[DP2]]*Lookups!$B$62)+(Sales[[#This Row],[DP3]]*Lookups!$B$63)</f>
        <v>-61912.215830999994</v>
      </c>
      <c r="BR71">
        <f>Lookups!$B$58*0.6</f>
        <v>132535.48800000001</v>
      </c>
      <c r="BS71">
        <f>Lookups!$B$58*0.4</f>
        <v>88356.992000000013</v>
      </c>
      <c r="BT71">
        <f>Lookups!$B$59*Sales[[#This Row],[LnAcres]]</f>
        <v>-24051.387388882686</v>
      </c>
      <c r="BU71">
        <f>VLOOKUP(Sales[[#This Row],[Qlty]],Lookups!$A$66:$E$79,2,FALSE)</f>
        <v>32917.849192000001</v>
      </c>
      <c r="BV71">
        <f>VLOOKUP(Sales[[#This Row],[Cnd]],Lookups!$A$80:$E$91,2,FALSE)</f>
        <v>47371.278778200001</v>
      </c>
      <c r="BW71">
        <f>Sales[[#This Row],[EffAge]]*Lookups!$B$65</f>
        <v>-326.22329999999999</v>
      </c>
      <c r="BX71">
        <f>Sales[[#This Row],[MainFn]]*Lookups!$B$90</f>
        <v>58041.653400000003</v>
      </c>
      <c r="BY71">
        <f>Sales[[#This Row],[UpprFn]]*Lookups!$B$91</f>
        <v>77216.176368</v>
      </c>
      <c r="BZ71">
        <f>Sales[[#This Row],[Bsmt]]*Lookups!$B$95</f>
        <v>0</v>
      </c>
      <c r="CA71">
        <f>VLOOKUP(Sales[[#This Row],[MsnryTrim]],Lookups!$A$90:$E$99,2,FALSE)</f>
        <v>5299.8242</v>
      </c>
      <c r="CB71">
        <f>Sales[[#This Row],[PrefabFP]]*Lookups!$B$92</f>
        <v>9807.1044999999995</v>
      </c>
      <c r="CC71">
        <f>Sales[[#This Row],[AttGar]]*Lookups!$B$93</f>
        <v>0</v>
      </c>
      <c r="CD71">
        <f>Sales[[#This Row],[BltinGar]]*Lookups!$B$94</f>
        <v>23710.464</v>
      </c>
      <c r="CE71">
        <f>SUM(Sales[[#This Row],[Days Prior Total]:[Mdl BltinGar]])</f>
        <v>388967.00391831726</v>
      </c>
      <c r="CF71">
        <f>ROUND(Sales[[#This Row],[25Det]],-2)</f>
        <v>0</v>
      </c>
      <c r="CG71">
        <f>ROUND(SUM(Sales[[#This Row],[Mdl Qlty]:[Mdl BltinGar]])+Sales[[#This Row],[Mdl Res Intercept]]+Sales[[#This Row],[Days Prior Total]],-2)</f>
        <v>324700</v>
      </c>
      <c r="CH71">
        <f>ROUND(Sales[[#This Row],[Mdl Land Intercept]]+Sales[[#This Row],[Mdl LnAcres]],-2)</f>
        <v>64300</v>
      </c>
      <c r="CI71">
        <f>Sales[[#This Row],[Unadj Res Value]]+Sales[[#This Row],[Unadj Det Value]]+Sales[[#This Row],[Unadj Land Value]]</f>
        <v>389000</v>
      </c>
      <c r="CJ71" s="10">
        <f>Sales[[#This Row],[Price]]/Sales[[#This Row],[Unadj Total Value]]</f>
        <v>1.0069665809768638</v>
      </c>
      <c r="CK71" s="10">
        <f>(Sales[[#This Row],[Unadj Total Value]]-Sales[[#This Row],[24Final]])/Sales[[#This Row],[24Final]]</f>
        <v>-7.1820567883560005E-2</v>
      </c>
      <c r="CL71">
        <f>VLOOKUP(Sales[[#This Row],[TNbhd]],Lookups!$M$3:$P$5,4,FALSE)</f>
        <v>0.99970000000000003</v>
      </c>
      <c r="CM71">
        <f>VLOOKUP(Sales[[#This Row],[Qlty]],Lookups!$M$8:$P$22,4,FALSE)</f>
        <v>1.0019</v>
      </c>
      <c r="CN71">
        <f>VLOOKUP(Sales[[#This Row],[Cnd]],Lookups!$R$8:$U$17,4,FALSE)</f>
        <v>1.0012000000000001</v>
      </c>
      <c r="CO71">
        <f>VLOOKUP(Sales[[#This Row],[LivArea Range]],Lookups!$R$25:$U$43,4,FALSE)</f>
        <v>1.0008999999999999</v>
      </c>
      <c r="CP71">
        <f>VLOOKUP(Sales[[#This Row],[Decade]],Lookups!$M$24:$P$40,4,FALSE)</f>
        <v>1.0024</v>
      </c>
      <c r="CQ71">
        <f>Sales[[#This Row],[Nbhd Adj]]*0.95</f>
        <v>0.94971499999999998</v>
      </c>
      <c r="CR71">
        <f>Sales[[#This Row],[Nbhd Adj]]*Sales[[#This Row],[Quality Adj]]*Sales[[#This Row],[Condition Adj]]*Sales[[#This Row],[Living Area Adj]]*Sales[[#This Row],[Decade Adj]]*0.95</f>
        <v>0.95580712182867422</v>
      </c>
      <c r="CS71">
        <f>ROUND(SUM(Sales[[#This Row],[Mdl Qlty]:[Mdl BltinGar]])+Sales[[#This Row],[Mdl Res Intercept]]*Sales[[#This Row],[Res Adj ]],-2)</f>
        <v>380700</v>
      </c>
      <c r="CT71">
        <f>ROUND(Sales[[#This Row],[25Det]]*Sales[[#This Row],[Det/Nbhd Adj]],-2)</f>
        <v>0</v>
      </c>
      <c r="CU71">
        <f>Sales[[#This Row],[Adjusted Res]]+Sales[[#This Row],[Adj Det ]]</f>
        <v>380700</v>
      </c>
      <c r="CV71">
        <f>ROUND((Sales[[#This Row],[Mdl Land Intercept]]+Sales[[#This Row],[Mdl LnAcres]])*Sales[[#This Row],[Det/Nbhd Adj]],-2)</f>
        <v>61100</v>
      </c>
      <c r="CW71">
        <f>Sales[[#This Row],[Adjusted Impr Total]]+Sales[[#This Row],[Adjusted Land Total]]</f>
        <v>441800</v>
      </c>
      <c r="CX71" s="10">
        <f>IFERROR((Sales[[#This Row],[Adjusted Impr Total]]-Sales[[#This Row],[24Bldg]])/Sales[[#This Row],[24Bldg]],0)</f>
        <v>6.2517443483114707E-2</v>
      </c>
      <c r="CY71" s="10">
        <f>(Sales[[#This Row],[Adjusted Land Total]]-Sales[[#This Row],[24Lnd]])/Sales[[#This Row],[24Lnd]]</f>
        <v>4.9342105263157892E-3</v>
      </c>
      <c r="CZ71">
        <f>(Sales[[#This Row],[Adjusted Total]]-Sales[[#This Row],[24Final]])/Sales[[#This Row],[24Final]]</f>
        <v>5.416368408494393E-2</v>
      </c>
      <c r="DA71" s="10">
        <f>(Sales[[#This Row],[Adjusted Total]]+Sales[[#This Row],[Days Prior Total]])/Sales[[#This Row],[Price]]</f>
        <v>0.96981895833397158</v>
      </c>
    </row>
    <row r="72" spans="1:105">
      <c r="A72">
        <v>2025</v>
      </c>
      <c r="B72">
        <v>19120114444</v>
      </c>
      <c r="C72">
        <v>-1.8325814637483102</v>
      </c>
      <c r="D72">
        <v>0.16</v>
      </c>
      <c r="E72">
        <v>7002</v>
      </c>
      <c r="F72">
        <v>2</v>
      </c>
      <c r="G72" t="s">
        <v>155</v>
      </c>
      <c r="H72">
        <v>317</v>
      </c>
      <c r="I72" t="s">
        <v>5</v>
      </c>
      <c r="J72" t="s">
        <v>156</v>
      </c>
      <c r="K72">
        <v>11</v>
      </c>
      <c r="L72">
        <v>259</v>
      </c>
      <c r="M72" t="s">
        <v>157</v>
      </c>
      <c r="N72" t="s">
        <v>21</v>
      </c>
      <c r="O72" t="s">
        <v>24</v>
      </c>
      <c r="P72">
        <v>2021</v>
      </c>
      <c r="Q72">
        <v>2021</v>
      </c>
      <c r="R72">
        <v>10</v>
      </c>
      <c r="S72">
        <v>3</v>
      </c>
      <c r="T72">
        <v>3</v>
      </c>
      <c r="U72">
        <v>2</v>
      </c>
      <c r="V72">
        <v>930</v>
      </c>
      <c r="W72">
        <v>1296</v>
      </c>
      <c r="X72">
        <v>0</v>
      </c>
      <c r="Y72">
        <v>0</v>
      </c>
      <c r="Z72">
        <v>0</v>
      </c>
      <c r="AA72">
        <v>0</v>
      </c>
      <c r="AB72">
        <v>2226</v>
      </c>
      <c r="AC72">
        <v>2500</v>
      </c>
      <c r="AD72">
        <v>3</v>
      </c>
      <c r="AE72" t="s">
        <v>56</v>
      </c>
      <c r="AF72" t="s">
        <v>158</v>
      </c>
      <c r="AG72" t="s">
        <v>21</v>
      </c>
      <c r="AI72">
        <v>0</v>
      </c>
      <c r="AJ72">
        <v>0</v>
      </c>
      <c r="AK72">
        <v>1</v>
      </c>
      <c r="AL72">
        <v>0</v>
      </c>
      <c r="AM72">
        <v>1</v>
      </c>
      <c r="AN72">
        <v>13</v>
      </c>
      <c r="AO72">
        <v>0</v>
      </c>
      <c r="AP72">
        <v>640</v>
      </c>
      <c r="AQ72">
        <v>0</v>
      </c>
      <c r="AR72">
        <v>0</v>
      </c>
      <c r="AS72">
        <v>144</v>
      </c>
      <c r="AT72">
        <v>0</v>
      </c>
      <c r="AU72">
        <v>100</v>
      </c>
      <c r="AV72">
        <v>100</v>
      </c>
      <c r="AW72">
        <v>407712</v>
      </c>
      <c r="AX72">
        <v>403635</v>
      </c>
      <c r="AY72">
        <v>813</v>
      </c>
      <c r="AZ72">
        <v>365</v>
      </c>
      <c r="BA72">
        <v>365</v>
      </c>
      <c r="BB72">
        <v>83</v>
      </c>
      <c r="BC72" s="2">
        <v>44479</v>
      </c>
      <c r="BD72" t="s">
        <v>231</v>
      </c>
      <c r="BE72">
        <v>438990</v>
      </c>
      <c r="BF72">
        <v>438990</v>
      </c>
      <c r="BG72" t="s">
        <v>160</v>
      </c>
      <c r="BH72">
        <v>30</v>
      </c>
      <c r="BI72" t="s">
        <v>56</v>
      </c>
      <c r="BJ72" t="s">
        <v>161</v>
      </c>
      <c r="BK72">
        <v>416000</v>
      </c>
      <c r="BL72">
        <v>60800</v>
      </c>
      <c r="BM72">
        <v>355200</v>
      </c>
      <c r="BN72">
        <v>0</v>
      </c>
      <c r="BO72">
        <v>403912.9095765755</v>
      </c>
      <c r="BP72">
        <v>444070.18428065564</v>
      </c>
      <c r="BQ72">
        <f>(Sales[[#This Row],[DP1]]*Lookups!$B$61)+(Sales[[#This Row],[DP2]]*Lookups!$B$62)+(Sales[[#This Row],[DP3]]*Lookups!$B$63)</f>
        <v>-40157.272830999995</v>
      </c>
      <c r="BR72">
        <f>Lookups!$B$58*0.6</f>
        <v>132535.48800000001</v>
      </c>
      <c r="BS72">
        <f>Lookups!$B$58*0.4</f>
        <v>88356.992000000013</v>
      </c>
      <c r="BT72">
        <f>Lookups!$B$59*Sales[[#This Row],[LnAcres]]</f>
        <v>-24051.387388882686</v>
      </c>
      <c r="BU72">
        <f>VLOOKUP(Sales[[#This Row],[Qlty]],Lookups!$A$66:$E$79,2,FALSE)</f>
        <v>32917.849192000001</v>
      </c>
      <c r="BV72">
        <f>VLOOKUP(Sales[[#This Row],[Cnd]],Lookups!$A$80:$E$91,2,FALSE)</f>
        <v>47371.278778200001</v>
      </c>
      <c r="BW72">
        <f>Sales[[#This Row],[EffAge]]*Lookups!$B$65</f>
        <v>-326.22329999999999</v>
      </c>
      <c r="BX72">
        <f>Sales[[#This Row],[MainFn]]*Lookups!$B$90</f>
        <v>58041.653400000003</v>
      </c>
      <c r="BY72">
        <f>Sales[[#This Row],[UpprFn]]*Lookups!$B$91</f>
        <v>77216.176368</v>
      </c>
      <c r="BZ72">
        <f>Sales[[#This Row],[Bsmt]]*Lookups!$B$95</f>
        <v>0</v>
      </c>
      <c r="CA72">
        <f>VLOOKUP(Sales[[#This Row],[MsnryTrim]],Lookups!$A$90:$E$99,2,FALSE)</f>
        <v>-9412.7029999999995</v>
      </c>
      <c r="CB72">
        <f>Sales[[#This Row],[PrefabFP]]*Lookups!$B$92</f>
        <v>9807.1044999999995</v>
      </c>
      <c r="CC72">
        <f>Sales[[#This Row],[AttGar]]*Lookups!$B$93</f>
        <v>0</v>
      </c>
      <c r="CD72">
        <f>Sales[[#This Row],[BltinGar]]*Lookups!$B$94</f>
        <v>31613.951999999997</v>
      </c>
      <c r="CE72">
        <f>SUM(Sales[[#This Row],[Days Prior Total]:[Mdl BltinGar]])</f>
        <v>403912.90771831735</v>
      </c>
      <c r="CF72">
        <f>ROUND(Sales[[#This Row],[25Det]],-2)</f>
        <v>0</v>
      </c>
      <c r="CG72">
        <f>ROUND(SUM(Sales[[#This Row],[Mdl Qlty]:[Mdl BltinGar]])+Sales[[#This Row],[Mdl Res Intercept]]+Sales[[#This Row],[Days Prior Total]],-2)</f>
        <v>339600</v>
      </c>
      <c r="CH72">
        <f>ROUND(Sales[[#This Row],[Mdl Land Intercept]]+Sales[[#This Row],[Mdl LnAcres]],-2)</f>
        <v>64300</v>
      </c>
      <c r="CI72">
        <f>Sales[[#This Row],[Unadj Res Value]]+Sales[[#This Row],[Unadj Det Value]]+Sales[[#This Row],[Unadj Land Value]]</f>
        <v>403900</v>
      </c>
      <c r="CJ72" s="10">
        <f>Sales[[#This Row],[Price]]/Sales[[#This Row],[Unadj Total Value]]</f>
        <v>1.0868779400841793</v>
      </c>
      <c r="CK72" s="10">
        <f>(Sales[[#This Row],[Unadj Total Value]]-Sales[[#This Row],[24Final]])/Sales[[#This Row],[24Final]]</f>
        <v>-2.9086538461538462E-2</v>
      </c>
      <c r="CL72">
        <f>VLOOKUP(Sales[[#This Row],[TNbhd]],Lookups!$M$3:$P$5,4,FALSE)</f>
        <v>0.99970000000000003</v>
      </c>
      <c r="CM72">
        <f>VLOOKUP(Sales[[#This Row],[Qlty]],Lookups!$M$8:$P$22,4,FALSE)</f>
        <v>1.0019</v>
      </c>
      <c r="CN72">
        <f>VLOOKUP(Sales[[#This Row],[Cnd]],Lookups!$R$8:$U$17,4,FALSE)</f>
        <v>1.0012000000000001</v>
      </c>
      <c r="CO72">
        <f>VLOOKUP(Sales[[#This Row],[LivArea Range]],Lookups!$R$25:$U$43,4,FALSE)</f>
        <v>1.0008999999999999</v>
      </c>
      <c r="CP72">
        <f>VLOOKUP(Sales[[#This Row],[Decade]],Lookups!$M$24:$P$40,4,FALSE)</f>
        <v>1.0024</v>
      </c>
      <c r="CQ72">
        <f>Sales[[#This Row],[Nbhd Adj]]*0.95</f>
        <v>0.94971499999999998</v>
      </c>
      <c r="CR72">
        <f>Sales[[#This Row],[Nbhd Adj]]*Sales[[#This Row],[Quality Adj]]*Sales[[#This Row],[Condition Adj]]*Sales[[#This Row],[Living Area Adj]]*Sales[[#This Row],[Decade Adj]]*0.95</f>
        <v>0.95580712182867422</v>
      </c>
      <c r="CS72">
        <f>ROUND(SUM(Sales[[#This Row],[Mdl Qlty]:[Mdl BltinGar]])+Sales[[#This Row],[Mdl Res Intercept]]*Sales[[#This Row],[Res Adj ]],-2)</f>
        <v>373900</v>
      </c>
      <c r="CT72">
        <f>ROUND(Sales[[#This Row],[25Det]]*Sales[[#This Row],[Det/Nbhd Adj]],-2)</f>
        <v>0</v>
      </c>
      <c r="CU72">
        <f>Sales[[#This Row],[Adjusted Res]]+Sales[[#This Row],[Adj Det ]]</f>
        <v>373900</v>
      </c>
      <c r="CV72">
        <f>ROUND((Sales[[#This Row],[Mdl Land Intercept]]+Sales[[#This Row],[Mdl LnAcres]])*Sales[[#This Row],[Det/Nbhd Adj]],-2)</f>
        <v>61100</v>
      </c>
      <c r="CW72">
        <f>Sales[[#This Row],[Adjusted Impr Total]]+Sales[[#This Row],[Adjusted Land Total]]</f>
        <v>435000</v>
      </c>
      <c r="CX72" s="10">
        <f>IFERROR((Sales[[#This Row],[Adjusted Impr Total]]-Sales[[#This Row],[24Bldg]])/Sales[[#This Row],[24Bldg]],0)</f>
        <v>5.2646396396396393E-2</v>
      </c>
      <c r="CY72" s="10">
        <f>(Sales[[#This Row],[Adjusted Land Total]]-Sales[[#This Row],[24Lnd]])/Sales[[#This Row],[24Lnd]]</f>
        <v>4.9342105263157892E-3</v>
      </c>
      <c r="CZ72">
        <f>(Sales[[#This Row],[Adjusted Total]]-Sales[[#This Row],[24Final]])/Sales[[#This Row],[24Final]]</f>
        <v>4.567307692307692E-2</v>
      </c>
      <c r="DA72" s="10">
        <f>(Sales[[#This Row],[Adjusted Total]]+Sales[[#This Row],[Days Prior Total]])/Sales[[#This Row],[Price]]</f>
        <v>0.89943444536094219</v>
      </c>
    </row>
    <row r="73" spans="1:105">
      <c r="A73">
        <v>2025</v>
      </c>
      <c r="B73">
        <v>19120114445</v>
      </c>
      <c r="C73">
        <v>-1.6607312068216509</v>
      </c>
      <c r="D73">
        <v>0.19</v>
      </c>
      <c r="E73">
        <v>8259</v>
      </c>
      <c r="F73">
        <v>2</v>
      </c>
      <c r="G73" t="s">
        <v>155</v>
      </c>
      <c r="H73">
        <v>317</v>
      </c>
      <c r="I73" t="s">
        <v>5</v>
      </c>
      <c r="J73" t="s">
        <v>156</v>
      </c>
      <c r="K73">
        <v>11</v>
      </c>
      <c r="L73">
        <v>259</v>
      </c>
      <c r="M73" t="s">
        <v>157</v>
      </c>
      <c r="N73" t="s">
        <v>19</v>
      </c>
      <c r="O73" t="s">
        <v>24</v>
      </c>
      <c r="P73">
        <v>2021</v>
      </c>
      <c r="Q73">
        <v>2021</v>
      </c>
      <c r="R73">
        <v>10</v>
      </c>
      <c r="S73">
        <v>3</v>
      </c>
      <c r="T73">
        <v>3</v>
      </c>
      <c r="U73">
        <v>1</v>
      </c>
      <c r="V73">
        <v>1810</v>
      </c>
      <c r="W73">
        <v>0</v>
      </c>
      <c r="X73">
        <v>0</v>
      </c>
      <c r="Y73">
        <v>0</v>
      </c>
      <c r="Z73">
        <v>0</v>
      </c>
      <c r="AA73">
        <v>0</v>
      </c>
      <c r="AB73">
        <v>1810</v>
      </c>
      <c r="AC73">
        <v>2000</v>
      </c>
      <c r="AD73">
        <v>2</v>
      </c>
      <c r="AE73" t="s">
        <v>56</v>
      </c>
      <c r="AF73" t="s">
        <v>158</v>
      </c>
      <c r="AG73" t="s">
        <v>21</v>
      </c>
      <c r="AI73">
        <v>0</v>
      </c>
      <c r="AJ73">
        <v>0</v>
      </c>
      <c r="AK73">
        <v>1</v>
      </c>
      <c r="AL73">
        <v>0</v>
      </c>
      <c r="AM73">
        <v>0</v>
      </c>
      <c r="AN73">
        <v>11</v>
      </c>
      <c r="AO73">
        <v>426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100</v>
      </c>
      <c r="AV73">
        <v>100</v>
      </c>
      <c r="AW73">
        <v>319219</v>
      </c>
      <c r="AX73">
        <v>316027</v>
      </c>
      <c r="AY73">
        <v>860</v>
      </c>
      <c r="AZ73">
        <v>365</v>
      </c>
      <c r="BA73">
        <v>365</v>
      </c>
      <c r="BB73">
        <v>130</v>
      </c>
      <c r="BC73" s="2">
        <v>44432</v>
      </c>
      <c r="BD73" t="s">
        <v>232</v>
      </c>
      <c r="BE73">
        <v>381809</v>
      </c>
      <c r="BF73">
        <v>381809</v>
      </c>
      <c r="BG73" t="s">
        <v>160</v>
      </c>
      <c r="BH73">
        <v>30</v>
      </c>
      <c r="BI73" t="s">
        <v>56</v>
      </c>
      <c r="BJ73" t="s">
        <v>161</v>
      </c>
      <c r="BK73">
        <v>408000</v>
      </c>
      <c r="BL73">
        <v>63200</v>
      </c>
      <c r="BM73">
        <v>344800</v>
      </c>
      <c r="BN73">
        <v>0</v>
      </c>
      <c r="BO73">
        <v>360771.00413439982</v>
      </c>
      <c r="BP73">
        <v>411691.25104212255</v>
      </c>
      <c r="BQ73">
        <f>(Sales[[#This Row],[DP1]]*Lookups!$B$61)+(Sales[[#This Row],[DP2]]*Lookups!$B$62)+(Sales[[#This Row],[DP3]]*Lookups!$B$63)</f>
        <v>-50920.244631000001</v>
      </c>
      <c r="BR73">
        <f>Lookups!$B$58*0.6</f>
        <v>132535.48800000001</v>
      </c>
      <c r="BS73">
        <f>Lookups!$B$58*0.4</f>
        <v>88356.992000000013</v>
      </c>
      <c r="BT73">
        <f>Lookups!$B$59*Sales[[#This Row],[LnAcres]]</f>
        <v>-21795.969453044734</v>
      </c>
      <c r="BU73">
        <f>VLOOKUP(Sales[[#This Row],[Qlty]],Lookups!$A$66:$E$79,2,FALSE)</f>
        <v>37154.252388000001</v>
      </c>
      <c r="BV73">
        <f>VLOOKUP(Sales[[#This Row],[Cnd]],Lookups!$A$80:$E$91,2,FALSE)</f>
        <v>47371.278778200001</v>
      </c>
      <c r="BW73">
        <f>Sales[[#This Row],[EffAge]]*Lookups!$B$65</f>
        <v>-326.22329999999999</v>
      </c>
      <c r="BX73">
        <f>Sales[[#This Row],[MainFn]]*Lookups!$B$90</f>
        <v>112962.78780000001</v>
      </c>
      <c r="BY73">
        <f>Sales[[#This Row],[UpprFn]]*Lookups!$B$91</f>
        <v>0</v>
      </c>
      <c r="BZ73">
        <f>Sales[[#This Row],[Bsmt]]*Lookups!$B$95</f>
        <v>0</v>
      </c>
      <c r="CA73">
        <f>VLOOKUP(Sales[[#This Row],[MsnryTrim]],Lookups!$A$90:$E$99,2,FALSE)</f>
        <v>-9412.7029999999995</v>
      </c>
      <c r="CB73">
        <f>Sales[[#This Row],[PrefabFP]]*Lookups!$B$92</f>
        <v>9807.1044999999995</v>
      </c>
      <c r="CC73">
        <f>Sales[[#This Row],[AttGar]]*Lookups!$B$93</f>
        <v>15038.239206</v>
      </c>
      <c r="CD73">
        <f>Sales[[#This Row],[BltinGar]]*Lookups!$B$94</f>
        <v>0</v>
      </c>
      <c r="CE73">
        <f>SUM(Sales[[#This Row],[Days Prior Total]:[Mdl BltinGar]])</f>
        <v>360771.00228815532</v>
      </c>
      <c r="CF73">
        <f>ROUND(Sales[[#This Row],[25Det]],-2)</f>
        <v>0</v>
      </c>
      <c r="CG73">
        <f>ROUND(SUM(Sales[[#This Row],[Mdl Qlty]:[Mdl BltinGar]])+Sales[[#This Row],[Mdl Res Intercept]]+Sales[[#This Row],[Days Prior Total]],-2)</f>
        <v>294200</v>
      </c>
      <c r="CH73">
        <f>ROUND(Sales[[#This Row],[Mdl Land Intercept]]+Sales[[#This Row],[Mdl LnAcres]],-2)</f>
        <v>66600</v>
      </c>
      <c r="CI73">
        <f>Sales[[#This Row],[Unadj Res Value]]+Sales[[#This Row],[Unadj Det Value]]+Sales[[#This Row],[Unadj Land Value]]</f>
        <v>360800</v>
      </c>
      <c r="CJ73" s="10">
        <f>Sales[[#This Row],[Price]]/Sales[[#This Row],[Unadj Total Value]]</f>
        <v>1.058228935698448</v>
      </c>
      <c r="CK73" s="10">
        <f>(Sales[[#This Row],[Unadj Total Value]]-Sales[[#This Row],[24Final]])/Sales[[#This Row],[24Final]]</f>
        <v>-0.11568627450980393</v>
      </c>
      <c r="CL73">
        <f>VLOOKUP(Sales[[#This Row],[TNbhd]],Lookups!$M$3:$P$5,4,FALSE)</f>
        <v>0.99970000000000003</v>
      </c>
      <c r="CM73">
        <f>VLOOKUP(Sales[[#This Row],[Qlty]],Lookups!$M$8:$P$22,4,FALSE)</f>
        <v>0.99819999999999998</v>
      </c>
      <c r="CN73">
        <f>VLOOKUP(Sales[[#This Row],[Cnd]],Lookups!$R$8:$U$17,4,FALSE)</f>
        <v>1.0012000000000001</v>
      </c>
      <c r="CO73">
        <f>VLOOKUP(Sales[[#This Row],[LivArea Range]],Lookups!$R$25:$U$43,4,FALSE)</f>
        <v>1.0007999999999999</v>
      </c>
      <c r="CP73">
        <f>VLOOKUP(Sales[[#This Row],[Decade]],Lookups!$M$24:$P$40,4,FALSE)</f>
        <v>1.0024</v>
      </c>
      <c r="CQ73">
        <f>Sales[[#This Row],[Nbhd Adj]]*0.95</f>
        <v>0.94971499999999998</v>
      </c>
      <c r="CR73">
        <f>Sales[[#This Row],[Nbhd Adj]]*Sales[[#This Row],[Quality Adj]]*Sales[[#This Row],[Condition Adj]]*Sales[[#This Row],[Living Area Adj]]*Sales[[#This Row],[Decade Adj]]*0.95</f>
        <v>0.95218219995315945</v>
      </c>
      <c r="CS73">
        <f>ROUND(SUM(Sales[[#This Row],[Mdl Qlty]:[Mdl BltinGar]])+Sales[[#This Row],[Mdl Res Intercept]]*Sales[[#This Row],[Res Adj ]],-2)</f>
        <v>338800</v>
      </c>
      <c r="CT73">
        <f>ROUND(Sales[[#This Row],[25Det]]*Sales[[#This Row],[Det/Nbhd Adj]],-2)</f>
        <v>0</v>
      </c>
      <c r="CU73">
        <f>Sales[[#This Row],[Adjusted Res]]+Sales[[#This Row],[Adj Det ]]</f>
        <v>338800</v>
      </c>
      <c r="CV73">
        <f>ROUND((Sales[[#This Row],[Mdl Land Intercept]]+Sales[[#This Row],[Mdl LnAcres]])*Sales[[#This Row],[Det/Nbhd Adj]],-2)</f>
        <v>63200</v>
      </c>
      <c r="CW73">
        <f>Sales[[#This Row],[Adjusted Impr Total]]+Sales[[#This Row],[Adjusted Land Total]]</f>
        <v>402000</v>
      </c>
      <c r="CX73" s="10">
        <f>IFERROR((Sales[[#This Row],[Adjusted Impr Total]]-Sales[[#This Row],[24Bldg]])/Sales[[#This Row],[24Bldg]],0)</f>
        <v>-1.7401392111368909E-2</v>
      </c>
      <c r="CY73" s="10">
        <f>(Sales[[#This Row],[Adjusted Land Total]]-Sales[[#This Row],[24Lnd]])/Sales[[#This Row],[24Lnd]]</f>
        <v>0</v>
      </c>
      <c r="CZ73">
        <f>(Sales[[#This Row],[Adjusted Total]]-Sales[[#This Row],[24Final]])/Sales[[#This Row],[24Final]]</f>
        <v>-1.4705882352941176E-2</v>
      </c>
      <c r="DA73" s="10">
        <f>(Sales[[#This Row],[Adjusted Total]]+Sales[[#This Row],[Days Prior Total]])/Sales[[#This Row],[Price]]</f>
        <v>0.91951670958254006</v>
      </c>
    </row>
    <row r="74" spans="1:105">
      <c r="A74">
        <v>2025</v>
      </c>
      <c r="B74">
        <v>19120114446</v>
      </c>
      <c r="C74">
        <v>-1.8325814637483102</v>
      </c>
      <c r="D74">
        <v>0.16</v>
      </c>
      <c r="E74">
        <v>7003</v>
      </c>
      <c r="F74">
        <v>2</v>
      </c>
      <c r="G74" t="s">
        <v>155</v>
      </c>
      <c r="H74">
        <v>317</v>
      </c>
      <c r="I74" t="s">
        <v>5</v>
      </c>
      <c r="J74" t="s">
        <v>156</v>
      </c>
      <c r="K74">
        <v>11</v>
      </c>
      <c r="L74">
        <v>259</v>
      </c>
      <c r="M74" t="s">
        <v>157</v>
      </c>
      <c r="N74" t="s">
        <v>19</v>
      </c>
      <c r="O74" t="s">
        <v>24</v>
      </c>
      <c r="P74">
        <v>2021</v>
      </c>
      <c r="Q74">
        <v>2021</v>
      </c>
      <c r="R74">
        <v>10</v>
      </c>
      <c r="S74">
        <v>3</v>
      </c>
      <c r="T74">
        <v>3</v>
      </c>
      <c r="U74">
        <v>1</v>
      </c>
      <c r="V74">
        <v>1240</v>
      </c>
      <c r="W74">
        <v>0</v>
      </c>
      <c r="X74">
        <v>0</v>
      </c>
      <c r="Y74">
        <v>0</v>
      </c>
      <c r="Z74">
        <v>0</v>
      </c>
      <c r="AA74">
        <v>0</v>
      </c>
      <c r="AB74">
        <v>1240</v>
      </c>
      <c r="AC74">
        <v>1500</v>
      </c>
      <c r="AD74">
        <v>2</v>
      </c>
      <c r="AE74" t="s">
        <v>56</v>
      </c>
      <c r="AF74" t="s">
        <v>158</v>
      </c>
      <c r="AG74" t="s">
        <v>21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9</v>
      </c>
      <c r="AO74">
        <v>404</v>
      </c>
      <c r="AP74">
        <v>0</v>
      </c>
      <c r="AQ74">
        <v>0</v>
      </c>
      <c r="AR74">
        <v>0</v>
      </c>
      <c r="AS74">
        <v>136</v>
      </c>
      <c r="AT74">
        <v>0</v>
      </c>
      <c r="AU74">
        <v>100</v>
      </c>
      <c r="AV74">
        <v>100</v>
      </c>
      <c r="AW74">
        <v>228504</v>
      </c>
      <c r="AX74">
        <v>226219</v>
      </c>
      <c r="AY74">
        <v>723</v>
      </c>
      <c r="AZ74">
        <v>365</v>
      </c>
      <c r="BA74">
        <v>358</v>
      </c>
      <c r="BB74">
        <v>0</v>
      </c>
      <c r="BC74" s="2">
        <v>44569</v>
      </c>
      <c r="BD74" t="s">
        <v>233</v>
      </c>
      <c r="BE74">
        <v>339534</v>
      </c>
      <c r="BF74">
        <v>339534</v>
      </c>
      <c r="BG74" t="s">
        <v>160</v>
      </c>
      <c r="BH74">
        <v>30</v>
      </c>
      <c r="BI74" t="s">
        <v>56</v>
      </c>
      <c r="BJ74" t="s">
        <v>161</v>
      </c>
      <c r="BK74">
        <v>362000</v>
      </c>
      <c r="BL74">
        <v>60800</v>
      </c>
      <c r="BM74">
        <v>301200</v>
      </c>
      <c r="BN74">
        <v>0</v>
      </c>
      <c r="BO74">
        <v>342599.97040374333</v>
      </c>
      <c r="BP74">
        <v>363278.18932252011</v>
      </c>
      <c r="BQ74">
        <f>(Sales[[#This Row],[DP1]]*Lookups!$B$61)+(Sales[[#This Row],[DP2]]*Lookups!$B$62)+(Sales[[#This Row],[DP3]]*Lookups!$B$63)</f>
        <v>-20678.217780999999</v>
      </c>
      <c r="BR74">
        <f>Lookups!$B$58*0.6</f>
        <v>132535.48800000001</v>
      </c>
      <c r="BS74">
        <f>Lookups!$B$58*0.4</f>
        <v>88356.992000000013</v>
      </c>
      <c r="BT74">
        <f>Lookups!$B$59*Sales[[#This Row],[LnAcres]]</f>
        <v>-24051.387388882686</v>
      </c>
      <c r="BU74">
        <f>VLOOKUP(Sales[[#This Row],[Qlty]],Lookups!$A$66:$E$79,2,FALSE)</f>
        <v>37154.252388000001</v>
      </c>
      <c r="BV74">
        <f>VLOOKUP(Sales[[#This Row],[Cnd]],Lookups!$A$80:$E$91,2,FALSE)</f>
        <v>47371.278778200001</v>
      </c>
      <c r="BW74">
        <f>Sales[[#This Row],[EffAge]]*Lookups!$B$65</f>
        <v>-326.22329999999999</v>
      </c>
      <c r="BX74">
        <f>Sales[[#This Row],[MainFn]]*Lookups!$B$90</f>
        <v>77388.871200000009</v>
      </c>
      <c r="BY74">
        <f>Sales[[#This Row],[UpprFn]]*Lookups!$B$91</f>
        <v>0</v>
      </c>
      <c r="BZ74">
        <f>Sales[[#This Row],[Bsmt]]*Lookups!$B$95</f>
        <v>0</v>
      </c>
      <c r="CA74">
        <f>VLOOKUP(Sales[[#This Row],[MsnryTrim]],Lookups!$A$90:$E$99,2,FALSE)</f>
        <v>-9412.7029999999995</v>
      </c>
      <c r="CB74">
        <f>Sales[[#This Row],[PrefabFP]]*Lookups!$B$92</f>
        <v>0</v>
      </c>
      <c r="CC74">
        <f>Sales[[#This Row],[AttGar]]*Lookups!$B$93</f>
        <v>14261.616524000001</v>
      </c>
      <c r="CD74">
        <f>Sales[[#This Row],[BltinGar]]*Lookups!$B$94</f>
        <v>0</v>
      </c>
      <c r="CE74">
        <f>SUM(Sales[[#This Row],[Days Prior Total]:[Mdl BltinGar]])</f>
        <v>342599.96742031735</v>
      </c>
      <c r="CF74">
        <f>ROUND(Sales[[#This Row],[25Det]],-2)</f>
        <v>0</v>
      </c>
      <c r="CG74">
        <f>ROUND(SUM(Sales[[#This Row],[Mdl Qlty]:[Mdl BltinGar]])+Sales[[#This Row],[Mdl Res Intercept]]+Sales[[#This Row],[Days Prior Total]],-2)</f>
        <v>278300</v>
      </c>
      <c r="CH74">
        <f>ROUND(Sales[[#This Row],[Mdl Land Intercept]]+Sales[[#This Row],[Mdl LnAcres]],-2)</f>
        <v>64300</v>
      </c>
      <c r="CI74">
        <f>Sales[[#This Row],[Unadj Res Value]]+Sales[[#This Row],[Unadj Det Value]]+Sales[[#This Row],[Unadj Land Value]]</f>
        <v>342600</v>
      </c>
      <c r="CJ74" s="10">
        <f>Sales[[#This Row],[Price]]/Sales[[#This Row],[Unadj Total Value]]</f>
        <v>0.99105078809106828</v>
      </c>
      <c r="CK74" s="10">
        <f>(Sales[[#This Row],[Unadj Total Value]]-Sales[[#This Row],[24Final]])/Sales[[#This Row],[24Final]]</f>
        <v>-5.3591160220994478E-2</v>
      </c>
      <c r="CL74">
        <f>VLOOKUP(Sales[[#This Row],[TNbhd]],Lookups!$M$3:$P$5,4,FALSE)</f>
        <v>0.99970000000000003</v>
      </c>
      <c r="CM74">
        <f>VLOOKUP(Sales[[#This Row],[Qlty]],Lookups!$M$8:$P$22,4,FALSE)</f>
        <v>0.99819999999999998</v>
      </c>
      <c r="CN74">
        <f>VLOOKUP(Sales[[#This Row],[Cnd]],Lookups!$R$8:$U$17,4,FALSE)</f>
        <v>1.0012000000000001</v>
      </c>
      <c r="CO74">
        <f>VLOOKUP(Sales[[#This Row],[LivArea Range]],Lookups!$R$25:$U$43,4,FALSE)</f>
        <v>0.99519999999999997</v>
      </c>
      <c r="CP74">
        <f>VLOOKUP(Sales[[#This Row],[Decade]],Lookups!$M$24:$P$40,4,FALSE)</f>
        <v>1.0024</v>
      </c>
      <c r="CQ74">
        <f>Sales[[#This Row],[Nbhd Adj]]*0.95</f>
        <v>0.94971499999999998</v>
      </c>
      <c r="CR74">
        <f>Sales[[#This Row],[Nbhd Adj]]*Sales[[#This Row],[Quality Adj]]*Sales[[#This Row],[Condition Adj]]*Sales[[#This Row],[Living Area Adj]]*Sales[[#This Row],[Decade Adj]]*0.95</f>
        <v>0.94685424199978463</v>
      </c>
      <c r="CS74">
        <f>ROUND(SUM(Sales[[#This Row],[Mdl Qlty]:[Mdl BltinGar]])+Sales[[#This Row],[Mdl Res Intercept]]*Sales[[#This Row],[Res Adj ]],-2)</f>
        <v>291900</v>
      </c>
      <c r="CT74">
        <f>ROUND(Sales[[#This Row],[25Det]]*Sales[[#This Row],[Det/Nbhd Adj]],-2)</f>
        <v>0</v>
      </c>
      <c r="CU74">
        <f>Sales[[#This Row],[Adjusted Res]]+Sales[[#This Row],[Adj Det ]]</f>
        <v>291900</v>
      </c>
      <c r="CV74">
        <f>ROUND((Sales[[#This Row],[Mdl Land Intercept]]+Sales[[#This Row],[Mdl LnAcres]])*Sales[[#This Row],[Det/Nbhd Adj]],-2)</f>
        <v>61100</v>
      </c>
      <c r="CW74">
        <f>Sales[[#This Row],[Adjusted Impr Total]]+Sales[[#This Row],[Adjusted Land Total]]</f>
        <v>353000</v>
      </c>
      <c r="CX74" s="10">
        <f>IFERROR((Sales[[#This Row],[Adjusted Impr Total]]-Sales[[#This Row],[24Bldg]])/Sales[[#This Row],[24Bldg]],0)</f>
        <v>-3.0876494023904383E-2</v>
      </c>
      <c r="CY74" s="10">
        <f>(Sales[[#This Row],[Adjusted Land Total]]-Sales[[#This Row],[24Lnd]])/Sales[[#This Row],[24Lnd]]</f>
        <v>4.9342105263157892E-3</v>
      </c>
      <c r="CZ74">
        <f>(Sales[[#This Row],[Adjusted Total]]-Sales[[#This Row],[24Final]])/Sales[[#This Row],[24Final]]</f>
        <v>-2.4861878453038673E-2</v>
      </c>
      <c r="DA74" s="10">
        <f>(Sales[[#This Row],[Adjusted Total]]+Sales[[#This Row],[Days Prior Total]])/Sales[[#This Row],[Price]]</f>
        <v>0.97875848138625288</v>
      </c>
    </row>
    <row r="75" spans="1:105">
      <c r="A75">
        <v>2025</v>
      </c>
      <c r="B75">
        <v>19120114447</v>
      </c>
      <c r="C75">
        <v>-1.8325814637483102</v>
      </c>
      <c r="D75">
        <v>0.16</v>
      </c>
      <c r="E75">
        <v>7002</v>
      </c>
      <c r="F75">
        <v>2</v>
      </c>
      <c r="G75" t="s">
        <v>155</v>
      </c>
      <c r="H75">
        <v>317</v>
      </c>
      <c r="I75" t="s">
        <v>5</v>
      </c>
      <c r="J75" t="s">
        <v>156</v>
      </c>
      <c r="K75">
        <v>11</v>
      </c>
      <c r="L75">
        <v>259</v>
      </c>
      <c r="M75" t="s">
        <v>157</v>
      </c>
      <c r="N75" t="s">
        <v>19</v>
      </c>
      <c r="O75" t="s">
        <v>24</v>
      </c>
      <c r="P75">
        <v>2021</v>
      </c>
      <c r="Q75">
        <v>2021</v>
      </c>
      <c r="R75">
        <v>10</v>
      </c>
      <c r="S75">
        <v>3</v>
      </c>
      <c r="T75">
        <v>3</v>
      </c>
      <c r="U75">
        <v>1</v>
      </c>
      <c r="V75">
        <v>1464</v>
      </c>
      <c r="W75">
        <v>0</v>
      </c>
      <c r="X75">
        <v>0</v>
      </c>
      <c r="Y75">
        <v>0</v>
      </c>
      <c r="Z75">
        <v>0</v>
      </c>
      <c r="AA75">
        <v>0</v>
      </c>
      <c r="AB75">
        <v>1464</v>
      </c>
      <c r="AC75">
        <v>1500</v>
      </c>
      <c r="AD75">
        <v>2</v>
      </c>
      <c r="AE75" t="s">
        <v>55</v>
      </c>
      <c r="AF75" t="s">
        <v>158</v>
      </c>
      <c r="AG75" t="s">
        <v>21</v>
      </c>
      <c r="AI75">
        <v>0</v>
      </c>
      <c r="AJ75">
        <v>0</v>
      </c>
      <c r="AK75">
        <v>1</v>
      </c>
      <c r="AL75">
        <v>0</v>
      </c>
      <c r="AM75">
        <v>0</v>
      </c>
      <c r="AN75">
        <v>9</v>
      </c>
      <c r="AO75">
        <v>400</v>
      </c>
      <c r="AP75">
        <v>0</v>
      </c>
      <c r="AQ75">
        <v>0</v>
      </c>
      <c r="AR75">
        <v>0</v>
      </c>
      <c r="AS75">
        <v>100</v>
      </c>
      <c r="AT75">
        <v>0</v>
      </c>
      <c r="AU75">
        <v>100</v>
      </c>
      <c r="AV75">
        <v>100</v>
      </c>
      <c r="AW75">
        <v>262619</v>
      </c>
      <c r="AX75">
        <v>259993</v>
      </c>
      <c r="AY75">
        <v>778</v>
      </c>
      <c r="AZ75">
        <v>365</v>
      </c>
      <c r="BA75">
        <v>365</v>
      </c>
      <c r="BB75">
        <v>48</v>
      </c>
      <c r="BC75" s="2">
        <v>44514</v>
      </c>
      <c r="BD75" t="s">
        <v>234</v>
      </c>
      <c r="BE75">
        <v>361021</v>
      </c>
      <c r="BF75">
        <v>361021</v>
      </c>
      <c r="BG75" t="s">
        <v>160</v>
      </c>
      <c r="BH75">
        <v>30</v>
      </c>
      <c r="BI75" t="s">
        <v>56</v>
      </c>
      <c r="BJ75" t="s">
        <v>161</v>
      </c>
      <c r="BK75">
        <v>373000</v>
      </c>
      <c r="BL75">
        <v>60800</v>
      </c>
      <c r="BM75">
        <v>312200</v>
      </c>
      <c r="BN75">
        <v>0</v>
      </c>
      <c r="BO75">
        <v>369494.24623549951</v>
      </c>
      <c r="BP75">
        <v>401636.54163899459</v>
      </c>
      <c r="BQ75">
        <f>(Sales[[#This Row],[DP1]]*Lookups!$B$61)+(Sales[[#This Row],[DP2]]*Lookups!$B$62)+(Sales[[#This Row],[DP3]]*Lookups!$B$63)</f>
        <v>-32142.293830999999</v>
      </c>
      <c r="BR75">
        <f>Lookups!$B$58*0.6</f>
        <v>132535.48800000001</v>
      </c>
      <c r="BS75">
        <f>Lookups!$B$58*0.4</f>
        <v>88356.992000000013</v>
      </c>
      <c r="BT75">
        <f>Lookups!$B$59*Sales[[#This Row],[LnAcres]]</f>
        <v>-24051.387388882686</v>
      </c>
      <c r="BU75">
        <f>VLOOKUP(Sales[[#This Row],[Qlty]],Lookups!$A$66:$E$79,2,FALSE)</f>
        <v>37154.252388000001</v>
      </c>
      <c r="BV75">
        <f>VLOOKUP(Sales[[#This Row],[Cnd]],Lookups!$A$80:$E$91,2,FALSE)</f>
        <v>47371.278778200001</v>
      </c>
      <c r="BW75">
        <f>Sales[[#This Row],[EffAge]]*Lookups!$B$65</f>
        <v>-326.22329999999999</v>
      </c>
      <c r="BX75">
        <f>Sales[[#This Row],[MainFn]]*Lookups!$B$90</f>
        <v>91368.796320000009</v>
      </c>
      <c r="BY75">
        <f>Sales[[#This Row],[UpprFn]]*Lookups!$B$91</f>
        <v>0</v>
      </c>
      <c r="BZ75">
        <f>Sales[[#This Row],[Bsmt]]*Lookups!$B$95</f>
        <v>0</v>
      </c>
      <c r="CA75">
        <f>VLOOKUP(Sales[[#This Row],[MsnryTrim]],Lookups!$A$90:$E$99,2,FALSE)</f>
        <v>5299.8242</v>
      </c>
      <c r="CB75">
        <f>Sales[[#This Row],[PrefabFP]]*Lookups!$B$92</f>
        <v>9807.1044999999995</v>
      </c>
      <c r="CC75">
        <f>Sales[[#This Row],[AttGar]]*Lookups!$B$93</f>
        <v>14120.412400000001</v>
      </c>
      <c r="CD75">
        <f>Sales[[#This Row],[BltinGar]]*Lookups!$B$94</f>
        <v>0</v>
      </c>
      <c r="CE75">
        <f>SUM(Sales[[#This Row],[Days Prior Total]:[Mdl BltinGar]])</f>
        <v>369494.24406631733</v>
      </c>
      <c r="CF75">
        <f>ROUND(Sales[[#This Row],[25Det]],-2)</f>
        <v>0</v>
      </c>
      <c r="CG75">
        <f>ROUND(SUM(Sales[[#This Row],[Mdl Qlty]:[Mdl BltinGar]])+Sales[[#This Row],[Mdl Res Intercept]]+Sales[[#This Row],[Days Prior Total]],-2)</f>
        <v>305200</v>
      </c>
      <c r="CH75">
        <f>ROUND(Sales[[#This Row],[Mdl Land Intercept]]+Sales[[#This Row],[Mdl LnAcres]],-2)</f>
        <v>64300</v>
      </c>
      <c r="CI75">
        <f>Sales[[#This Row],[Unadj Res Value]]+Sales[[#This Row],[Unadj Det Value]]+Sales[[#This Row],[Unadj Land Value]]</f>
        <v>369500</v>
      </c>
      <c r="CJ75" s="10">
        <f>Sales[[#This Row],[Price]]/Sales[[#This Row],[Unadj Total Value]]</f>
        <v>0.97705277401894453</v>
      </c>
      <c r="CK75" s="10">
        <f>(Sales[[#This Row],[Unadj Total Value]]-Sales[[#This Row],[24Final]])/Sales[[#This Row],[24Final]]</f>
        <v>-9.3833780160857902E-3</v>
      </c>
      <c r="CL75">
        <f>VLOOKUP(Sales[[#This Row],[TNbhd]],Lookups!$M$3:$P$5,4,FALSE)</f>
        <v>0.99970000000000003</v>
      </c>
      <c r="CM75">
        <f>VLOOKUP(Sales[[#This Row],[Qlty]],Lookups!$M$8:$P$22,4,FALSE)</f>
        <v>0.99819999999999998</v>
      </c>
      <c r="CN75">
        <f>VLOOKUP(Sales[[#This Row],[Cnd]],Lookups!$R$8:$U$17,4,FALSE)</f>
        <v>1.0012000000000001</v>
      </c>
      <c r="CO75">
        <f>VLOOKUP(Sales[[#This Row],[LivArea Range]],Lookups!$R$25:$U$43,4,FALSE)</f>
        <v>0.99519999999999997</v>
      </c>
      <c r="CP75">
        <f>VLOOKUP(Sales[[#This Row],[Decade]],Lookups!$M$24:$P$40,4,FALSE)</f>
        <v>1.0024</v>
      </c>
      <c r="CQ75">
        <f>Sales[[#This Row],[Nbhd Adj]]*0.95</f>
        <v>0.94971499999999998</v>
      </c>
      <c r="CR75">
        <f>Sales[[#This Row],[Nbhd Adj]]*Sales[[#This Row],[Quality Adj]]*Sales[[#This Row],[Condition Adj]]*Sales[[#This Row],[Living Area Adj]]*Sales[[#This Row],[Decade Adj]]*0.95</f>
        <v>0.94685424199978463</v>
      </c>
      <c r="CS75">
        <f>ROUND(SUM(Sales[[#This Row],[Mdl Qlty]:[Mdl BltinGar]])+Sales[[#This Row],[Mdl Res Intercept]]*Sales[[#This Row],[Res Adj ]],-2)</f>
        <v>330300</v>
      </c>
      <c r="CT75">
        <f>ROUND(Sales[[#This Row],[25Det]]*Sales[[#This Row],[Det/Nbhd Adj]],-2)</f>
        <v>0</v>
      </c>
      <c r="CU75">
        <f>Sales[[#This Row],[Adjusted Res]]+Sales[[#This Row],[Adj Det ]]</f>
        <v>330300</v>
      </c>
      <c r="CV75">
        <f>ROUND((Sales[[#This Row],[Mdl Land Intercept]]+Sales[[#This Row],[Mdl LnAcres]])*Sales[[#This Row],[Det/Nbhd Adj]],-2)</f>
        <v>61100</v>
      </c>
      <c r="CW75">
        <f>Sales[[#This Row],[Adjusted Impr Total]]+Sales[[#This Row],[Adjusted Land Total]]</f>
        <v>391400</v>
      </c>
      <c r="CX75" s="10">
        <f>IFERROR((Sales[[#This Row],[Adjusted Impr Total]]-Sales[[#This Row],[24Bldg]])/Sales[[#This Row],[24Bldg]],0)</f>
        <v>5.7975656630365149E-2</v>
      </c>
      <c r="CY75" s="10">
        <f>(Sales[[#This Row],[Adjusted Land Total]]-Sales[[#This Row],[24Lnd]])/Sales[[#This Row],[24Lnd]]</f>
        <v>4.9342105263157892E-3</v>
      </c>
      <c r="CZ75">
        <f>(Sales[[#This Row],[Adjusted Total]]-Sales[[#This Row],[24Final]])/Sales[[#This Row],[24Final]]</f>
        <v>4.9329758713136732E-2</v>
      </c>
      <c r="DA75" s="10">
        <f>(Sales[[#This Row],[Adjusted Total]]+Sales[[#This Row],[Days Prior Total]])/Sales[[#This Row],[Price]]</f>
        <v>0.99511581367565882</v>
      </c>
    </row>
    <row r="76" spans="1:105">
      <c r="A76">
        <v>2025</v>
      </c>
      <c r="B76">
        <v>19120114448</v>
      </c>
      <c r="C76">
        <v>-1.8325814637483102</v>
      </c>
      <c r="D76">
        <v>0.16</v>
      </c>
      <c r="E76">
        <v>7001</v>
      </c>
      <c r="F76">
        <v>2</v>
      </c>
      <c r="G76" t="s">
        <v>155</v>
      </c>
      <c r="H76">
        <v>317</v>
      </c>
      <c r="I76" t="s">
        <v>5</v>
      </c>
      <c r="J76" t="s">
        <v>156</v>
      </c>
      <c r="K76">
        <v>11</v>
      </c>
      <c r="L76">
        <v>259</v>
      </c>
      <c r="M76" t="s">
        <v>157</v>
      </c>
      <c r="N76" t="s">
        <v>21</v>
      </c>
      <c r="O76" t="s">
        <v>24</v>
      </c>
      <c r="P76">
        <v>2021</v>
      </c>
      <c r="Q76">
        <v>2021</v>
      </c>
      <c r="R76">
        <v>10</v>
      </c>
      <c r="S76">
        <v>3</v>
      </c>
      <c r="T76">
        <v>3</v>
      </c>
      <c r="U76">
        <v>2</v>
      </c>
      <c r="V76">
        <v>930</v>
      </c>
      <c r="W76">
        <v>1296</v>
      </c>
      <c r="X76">
        <v>0</v>
      </c>
      <c r="Y76">
        <v>0</v>
      </c>
      <c r="Z76">
        <v>0</v>
      </c>
      <c r="AA76">
        <v>0</v>
      </c>
      <c r="AB76">
        <v>2226</v>
      </c>
      <c r="AC76">
        <v>2500</v>
      </c>
      <c r="AD76">
        <v>2</v>
      </c>
      <c r="AE76" t="s">
        <v>56</v>
      </c>
      <c r="AF76" t="s">
        <v>158</v>
      </c>
      <c r="AG76" t="s">
        <v>21</v>
      </c>
      <c r="AI76">
        <v>0</v>
      </c>
      <c r="AJ76">
        <v>0</v>
      </c>
      <c r="AK76">
        <v>1</v>
      </c>
      <c r="AL76">
        <v>0</v>
      </c>
      <c r="AM76">
        <v>1</v>
      </c>
      <c r="AN76">
        <v>13</v>
      </c>
      <c r="AO76">
        <v>0</v>
      </c>
      <c r="AP76">
        <v>480</v>
      </c>
      <c r="AQ76">
        <v>0</v>
      </c>
      <c r="AR76">
        <v>0</v>
      </c>
      <c r="AS76">
        <v>100</v>
      </c>
      <c r="AT76">
        <v>0</v>
      </c>
      <c r="AU76">
        <v>100</v>
      </c>
      <c r="AV76">
        <v>100</v>
      </c>
      <c r="AW76">
        <v>401794</v>
      </c>
      <c r="AX76">
        <v>397776</v>
      </c>
      <c r="AY76">
        <v>860</v>
      </c>
      <c r="AZ76">
        <v>365</v>
      </c>
      <c r="BA76">
        <v>365</v>
      </c>
      <c r="BB76">
        <v>130</v>
      </c>
      <c r="BC76" s="2">
        <v>44432</v>
      </c>
      <c r="BD76" t="s">
        <v>235</v>
      </c>
      <c r="BE76">
        <v>385568</v>
      </c>
      <c r="BF76">
        <v>385568</v>
      </c>
      <c r="BG76" t="s">
        <v>160</v>
      </c>
      <c r="BH76">
        <v>30</v>
      </c>
      <c r="BI76" t="s">
        <v>56</v>
      </c>
      <c r="BJ76" t="s">
        <v>161</v>
      </c>
      <c r="BK76">
        <v>419100</v>
      </c>
      <c r="BL76">
        <v>60800</v>
      </c>
      <c r="BM76">
        <v>358300</v>
      </c>
      <c r="BN76">
        <v>0</v>
      </c>
      <c r="BO76">
        <v>385246.44941808539</v>
      </c>
      <c r="BP76">
        <v>436166.69632580818</v>
      </c>
      <c r="BQ76">
        <f>(Sales[[#This Row],[DP1]]*Lookups!$B$61)+(Sales[[#This Row],[DP2]]*Lookups!$B$62)+(Sales[[#This Row],[DP3]]*Lookups!$B$63)</f>
        <v>-50920.244631000001</v>
      </c>
      <c r="BR76">
        <f>Lookups!$B$58*0.6</f>
        <v>132535.48800000001</v>
      </c>
      <c r="BS76">
        <f>Lookups!$B$58*0.4</f>
        <v>88356.992000000013</v>
      </c>
      <c r="BT76">
        <f>Lookups!$B$59*Sales[[#This Row],[LnAcres]]</f>
        <v>-24051.387388882686</v>
      </c>
      <c r="BU76">
        <f>VLOOKUP(Sales[[#This Row],[Qlty]],Lookups!$A$66:$E$79,2,FALSE)</f>
        <v>32917.849192000001</v>
      </c>
      <c r="BV76">
        <f>VLOOKUP(Sales[[#This Row],[Cnd]],Lookups!$A$80:$E$91,2,FALSE)</f>
        <v>47371.278778200001</v>
      </c>
      <c r="BW76">
        <f>Sales[[#This Row],[EffAge]]*Lookups!$B$65</f>
        <v>-326.22329999999999</v>
      </c>
      <c r="BX76">
        <f>Sales[[#This Row],[MainFn]]*Lookups!$B$90</f>
        <v>58041.653400000003</v>
      </c>
      <c r="BY76">
        <f>Sales[[#This Row],[UpprFn]]*Lookups!$B$91</f>
        <v>77216.176368</v>
      </c>
      <c r="BZ76">
        <f>Sales[[#This Row],[Bsmt]]*Lookups!$B$95</f>
        <v>0</v>
      </c>
      <c r="CA76">
        <f>VLOOKUP(Sales[[#This Row],[MsnryTrim]],Lookups!$A$90:$E$99,2,FALSE)</f>
        <v>-9412.7029999999995</v>
      </c>
      <c r="CB76">
        <f>Sales[[#This Row],[PrefabFP]]*Lookups!$B$92</f>
        <v>9807.1044999999995</v>
      </c>
      <c r="CC76">
        <f>Sales[[#This Row],[AttGar]]*Lookups!$B$93</f>
        <v>0</v>
      </c>
      <c r="CD76">
        <f>Sales[[#This Row],[BltinGar]]*Lookups!$B$94</f>
        <v>23710.464</v>
      </c>
      <c r="CE76">
        <f>SUM(Sales[[#This Row],[Days Prior Total]:[Mdl BltinGar]])</f>
        <v>385246.44791831728</v>
      </c>
      <c r="CF76">
        <f>ROUND(Sales[[#This Row],[25Det]],-2)</f>
        <v>0</v>
      </c>
      <c r="CG76">
        <f>ROUND(SUM(Sales[[#This Row],[Mdl Qlty]:[Mdl BltinGar]])+Sales[[#This Row],[Mdl Res Intercept]]+Sales[[#This Row],[Days Prior Total]],-2)</f>
        <v>320900</v>
      </c>
      <c r="CH76">
        <f>ROUND(Sales[[#This Row],[Mdl Land Intercept]]+Sales[[#This Row],[Mdl LnAcres]],-2)</f>
        <v>64300</v>
      </c>
      <c r="CI76">
        <f>Sales[[#This Row],[Unadj Res Value]]+Sales[[#This Row],[Unadj Det Value]]+Sales[[#This Row],[Unadj Land Value]]</f>
        <v>385200</v>
      </c>
      <c r="CJ76" s="10">
        <f>Sales[[#This Row],[Price]]/Sales[[#This Row],[Unadj Total Value]]</f>
        <v>1.0009553478712356</v>
      </c>
      <c r="CK76" s="10">
        <f>(Sales[[#This Row],[Unadj Total Value]]-Sales[[#This Row],[24Final]])/Sales[[#This Row],[24Final]]</f>
        <v>-8.0887616320687181E-2</v>
      </c>
      <c r="CL76">
        <f>VLOOKUP(Sales[[#This Row],[TNbhd]],Lookups!$M$3:$P$5,4,FALSE)</f>
        <v>0.99970000000000003</v>
      </c>
      <c r="CM76">
        <f>VLOOKUP(Sales[[#This Row],[Qlty]],Lookups!$M$8:$P$22,4,FALSE)</f>
        <v>1.0019</v>
      </c>
      <c r="CN76">
        <f>VLOOKUP(Sales[[#This Row],[Cnd]],Lookups!$R$8:$U$17,4,FALSE)</f>
        <v>1.0012000000000001</v>
      </c>
      <c r="CO76">
        <f>VLOOKUP(Sales[[#This Row],[LivArea Range]],Lookups!$R$25:$U$43,4,FALSE)</f>
        <v>1.0008999999999999</v>
      </c>
      <c r="CP76">
        <f>VLOOKUP(Sales[[#This Row],[Decade]],Lookups!$M$24:$P$40,4,FALSE)</f>
        <v>1.0024</v>
      </c>
      <c r="CQ76">
        <f>Sales[[#This Row],[Nbhd Adj]]*0.95</f>
        <v>0.94971499999999998</v>
      </c>
      <c r="CR76">
        <f>Sales[[#This Row],[Nbhd Adj]]*Sales[[#This Row],[Quality Adj]]*Sales[[#This Row],[Condition Adj]]*Sales[[#This Row],[Living Area Adj]]*Sales[[#This Row],[Decade Adj]]*0.95</f>
        <v>0.95580712182867422</v>
      </c>
      <c r="CS76">
        <f>ROUND(SUM(Sales[[#This Row],[Mdl Qlty]:[Mdl BltinGar]])+Sales[[#This Row],[Mdl Res Intercept]]*Sales[[#This Row],[Res Adj ]],-2)</f>
        <v>366000</v>
      </c>
      <c r="CT76">
        <f>ROUND(Sales[[#This Row],[25Det]]*Sales[[#This Row],[Det/Nbhd Adj]],-2)</f>
        <v>0</v>
      </c>
      <c r="CU76">
        <f>Sales[[#This Row],[Adjusted Res]]+Sales[[#This Row],[Adj Det ]]</f>
        <v>366000</v>
      </c>
      <c r="CV76">
        <f>ROUND((Sales[[#This Row],[Mdl Land Intercept]]+Sales[[#This Row],[Mdl LnAcres]])*Sales[[#This Row],[Det/Nbhd Adj]],-2)</f>
        <v>61100</v>
      </c>
      <c r="CW76">
        <f>Sales[[#This Row],[Adjusted Impr Total]]+Sales[[#This Row],[Adjusted Land Total]]</f>
        <v>427100</v>
      </c>
      <c r="CX76" s="10">
        <f>IFERROR((Sales[[#This Row],[Adjusted Impr Total]]-Sales[[#This Row],[24Bldg]])/Sales[[#This Row],[24Bldg]],0)</f>
        <v>2.1490371197320682E-2</v>
      </c>
      <c r="CY76" s="10">
        <f>(Sales[[#This Row],[Adjusted Land Total]]-Sales[[#This Row],[24Lnd]])/Sales[[#This Row],[24Lnd]]</f>
        <v>4.9342105263157892E-3</v>
      </c>
      <c r="CZ76">
        <f>(Sales[[#This Row],[Adjusted Total]]-Sales[[#This Row],[24Final]])/Sales[[#This Row],[24Final]]</f>
        <v>1.90885230255309E-2</v>
      </c>
      <c r="DA76" s="10">
        <f>(Sales[[#This Row],[Adjusted Total]]+Sales[[#This Row],[Days Prior Total]])/Sales[[#This Row],[Price]]</f>
        <v>0.97565087187992783</v>
      </c>
    </row>
    <row r="77" spans="1:105">
      <c r="A77">
        <v>2025</v>
      </c>
      <c r="B77">
        <v>19120114449</v>
      </c>
      <c r="C77">
        <v>-1.8325814637483102</v>
      </c>
      <c r="D77">
        <v>0.16</v>
      </c>
      <c r="E77">
        <v>7001</v>
      </c>
      <c r="F77">
        <v>2</v>
      </c>
      <c r="G77" t="s">
        <v>155</v>
      </c>
      <c r="H77">
        <v>317</v>
      </c>
      <c r="I77" t="s">
        <v>5</v>
      </c>
      <c r="J77" t="s">
        <v>156</v>
      </c>
      <c r="K77">
        <v>11</v>
      </c>
      <c r="L77">
        <v>259</v>
      </c>
      <c r="M77" t="s">
        <v>157</v>
      </c>
      <c r="N77" t="s">
        <v>19</v>
      </c>
      <c r="O77" t="s">
        <v>24</v>
      </c>
      <c r="P77">
        <v>2021</v>
      </c>
      <c r="Q77">
        <v>2021</v>
      </c>
      <c r="R77">
        <v>10</v>
      </c>
      <c r="S77">
        <v>3</v>
      </c>
      <c r="T77">
        <v>3</v>
      </c>
      <c r="U77">
        <v>1</v>
      </c>
      <c r="V77">
        <v>1452</v>
      </c>
      <c r="W77">
        <v>0</v>
      </c>
      <c r="X77">
        <v>0</v>
      </c>
      <c r="Y77">
        <v>0</v>
      </c>
      <c r="Z77">
        <v>0</v>
      </c>
      <c r="AA77">
        <v>0</v>
      </c>
      <c r="AB77">
        <v>1452</v>
      </c>
      <c r="AC77">
        <v>1500</v>
      </c>
      <c r="AD77">
        <v>2</v>
      </c>
      <c r="AE77" t="s">
        <v>56</v>
      </c>
      <c r="AF77" t="s">
        <v>158</v>
      </c>
      <c r="AG77" t="s">
        <v>21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9</v>
      </c>
      <c r="AO77">
        <v>480</v>
      </c>
      <c r="AP77">
        <v>0</v>
      </c>
      <c r="AQ77">
        <v>0</v>
      </c>
      <c r="AR77">
        <v>0</v>
      </c>
      <c r="AS77">
        <v>120</v>
      </c>
      <c r="AT77">
        <v>0</v>
      </c>
      <c r="AU77">
        <v>100</v>
      </c>
      <c r="AV77">
        <v>100</v>
      </c>
      <c r="AW77">
        <v>260863</v>
      </c>
      <c r="AX77">
        <v>258254</v>
      </c>
      <c r="AY77">
        <v>860</v>
      </c>
      <c r="AZ77">
        <v>365</v>
      </c>
      <c r="BA77">
        <v>365</v>
      </c>
      <c r="BB77">
        <v>130</v>
      </c>
      <c r="BC77" s="2">
        <v>44432</v>
      </c>
      <c r="BD77" t="s">
        <v>236</v>
      </c>
      <c r="BE77">
        <v>331464</v>
      </c>
      <c r="BF77">
        <v>331464</v>
      </c>
      <c r="BG77" t="s">
        <v>160</v>
      </c>
      <c r="BH77">
        <v>30</v>
      </c>
      <c r="BI77" t="s">
        <v>56</v>
      </c>
      <c r="BJ77" t="s">
        <v>161</v>
      </c>
      <c r="BK77">
        <v>375900</v>
      </c>
      <c r="BL77">
        <v>60800</v>
      </c>
      <c r="BM77">
        <v>315100</v>
      </c>
      <c r="BN77">
        <v>0</v>
      </c>
      <c r="BO77">
        <v>328271.82130840758</v>
      </c>
      <c r="BP77">
        <v>379192.06821613031</v>
      </c>
      <c r="BQ77">
        <f>(Sales[[#This Row],[DP1]]*Lookups!$B$61)+(Sales[[#This Row],[DP2]]*Lookups!$B$62)+(Sales[[#This Row],[DP3]]*Lookups!$B$63)</f>
        <v>-50920.244631000001</v>
      </c>
      <c r="BR77">
        <f>Lookups!$B$58*0.6</f>
        <v>132535.48800000001</v>
      </c>
      <c r="BS77">
        <f>Lookups!$B$58*0.4</f>
        <v>88356.992000000013</v>
      </c>
      <c r="BT77">
        <f>Lookups!$B$59*Sales[[#This Row],[LnAcres]]</f>
        <v>-24051.387388882686</v>
      </c>
      <c r="BU77">
        <f>VLOOKUP(Sales[[#This Row],[Qlty]],Lookups!$A$66:$E$79,2,FALSE)</f>
        <v>37154.252388000001</v>
      </c>
      <c r="BV77">
        <f>VLOOKUP(Sales[[#This Row],[Cnd]],Lookups!$A$80:$E$91,2,FALSE)</f>
        <v>47371.278778200001</v>
      </c>
      <c r="BW77">
        <f>Sales[[#This Row],[EffAge]]*Lookups!$B$65</f>
        <v>-326.22329999999999</v>
      </c>
      <c r="BX77">
        <f>Sales[[#This Row],[MainFn]]*Lookups!$B$90</f>
        <v>90619.871760000009</v>
      </c>
      <c r="BY77">
        <f>Sales[[#This Row],[UpprFn]]*Lookups!$B$91</f>
        <v>0</v>
      </c>
      <c r="BZ77">
        <f>Sales[[#This Row],[Bsmt]]*Lookups!$B$95</f>
        <v>0</v>
      </c>
      <c r="CA77">
        <f>VLOOKUP(Sales[[#This Row],[MsnryTrim]],Lookups!$A$90:$E$99,2,FALSE)</f>
        <v>-9412.7029999999995</v>
      </c>
      <c r="CB77">
        <f>Sales[[#This Row],[PrefabFP]]*Lookups!$B$92</f>
        <v>0</v>
      </c>
      <c r="CC77">
        <f>Sales[[#This Row],[AttGar]]*Lookups!$B$93</f>
        <v>16944.494880000002</v>
      </c>
      <c r="CD77">
        <f>Sales[[#This Row],[BltinGar]]*Lookups!$B$94</f>
        <v>0</v>
      </c>
      <c r="CE77">
        <f>SUM(Sales[[#This Row],[Days Prior Total]:[Mdl BltinGar]])</f>
        <v>328271.81948631734</v>
      </c>
      <c r="CF77">
        <f>ROUND(Sales[[#This Row],[25Det]],-2)</f>
        <v>0</v>
      </c>
      <c r="CG77">
        <f>ROUND(SUM(Sales[[#This Row],[Mdl Qlty]:[Mdl BltinGar]])+Sales[[#This Row],[Mdl Res Intercept]]+Sales[[#This Row],[Days Prior Total]],-2)</f>
        <v>264000</v>
      </c>
      <c r="CH77">
        <f>ROUND(Sales[[#This Row],[Mdl Land Intercept]]+Sales[[#This Row],[Mdl LnAcres]],-2)</f>
        <v>64300</v>
      </c>
      <c r="CI77">
        <f>Sales[[#This Row],[Unadj Res Value]]+Sales[[#This Row],[Unadj Det Value]]+Sales[[#This Row],[Unadj Land Value]]</f>
        <v>328300</v>
      </c>
      <c r="CJ77" s="10">
        <f>Sales[[#This Row],[Price]]/Sales[[#This Row],[Unadj Total Value]]</f>
        <v>1.009637526652452</v>
      </c>
      <c r="CK77" s="10">
        <f>(Sales[[#This Row],[Unadj Total Value]]-Sales[[#This Row],[24Final]])/Sales[[#This Row],[24Final]]</f>
        <v>-0.1266294227188082</v>
      </c>
      <c r="CL77">
        <f>VLOOKUP(Sales[[#This Row],[TNbhd]],Lookups!$M$3:$P$5,4,FALSE)</f>
        <v>0.99970000000000003</v>
      </c>
      <c r="CM77">
        <f>VLOOKUP(Sales[[#This Row],[Qlty]],Lookups!$M$8:$P$22,4,FALSE)</f>
        <v>0.99819999999999998</v>
      </c>
      <c r="CN77">
        <f>VLOOKUP(Sales[[#This Row],[Cnd]],Lookups!$R$8:$U$17,4,FALSE)</f>
        <v>1.0012000000000001</v>
      </c>
      <c r="CO77">
        <f>VLOOKUP(Sales[[#This Row],[LivArea Range]],Lookups!$R$25:$U$43,4,FALSE)</f>
        <v>0.99519999999999997</v>
      </c>
      <c r="CP77">
        <f>VLOOKUP(Sales[[#This Row],[Decade]],Lookups!$M$24:$P$40,4,FALSE)</f>
        <v>1.0024</v>
      </c>
      <c r="CQ77">
        <f>Sales[[#This Row],[Nbhd Adj]]*0.95</f>
        <v>0.94971499999999998</v>
      </c>
      <c r="CR77">
        <f>Sales[[#This Row],[Nbhd Adj]]*Sales[[#This Row],[Quality Adj]]*Sales[[#This Row],[Condition Adj]]*Sales[[#This Row],[Living Area Adj]]*Sales[[#This Row],[Decade Adj]]*0.95</f>
        <v>0.94685424199978463</v>
      </c>
      <c r="CS77">
        <f>ROUND(SUM(Sales[[#This Row],[Mdl Qlty]:[Mdl BltinGar]])+Sales[[#This Row],[Mdl Res Intercept]]*Sales[[#This Row],[Res Adj ]],-2)</f>
        <v>307800</v>
      </c>
      <c r="CT77">
        <f>ROUND(Sales[[#This Row],[25Det]]*Sales[[#This Row],[Det/Nbhd Adj]],-2)</f>
        <v>0</v>
      </c>
      <c r="CU77">
        <f>Sales[[#This Row],[Adjusted Res]]+Sales[[#This Row],[Adj Det ]]</f>
        <v>307800</v>
      </c>
      <c r="CV77">
        <f>ROUND((Sales[[#This Row],[Mdl Land Intercept]]+Sales[[#This Row],[Mdl LnAcres]])*Sales[[#This Row],[Det/Nbhd Adj]],-2)</f>
        <v>61100</v>
      </c>
      <c r="CW77">
        <f>Sales[[#This Row],[Adjusted Impr Total]]+Sales[[#This Row],[Adjusted Land Total]]</f>
        <v>368900</v>
      </c>
      <c r="CX77" s="10">
        <f>IFERROR((Sales[[#This Row],[Adjusted Impr Total]]-Sales[[#This Row],[24Bldg]])/Sales[[#This Row],[24Bldg]],0)</f>
        <v>-2.316724849254205E-2</v>
      </c>
      <c r="CY77" s="10">
        <f>(Sales[[#This Row],[Adjusted Land Total]]-Sales[[#This Row],[24Lnd]])/Sales[[#This Row],[24Lnd]]</f>
        <v>4.9342105263157892E-3</v>
      </c>
      <c r="CZ77">
        <f>(Sales[[#This Row],[Adjusted Total]]-Sales[[#This Row],[24Final]])/Sales[[#This Row],[24Final]]</f>
        <v>-1.86219739292365E-2</v>
      </c>
      <c r="DA77" s="10">
        <f>(Sales[[#This Row],[Adjusted Total]]+Sales[[#This Row],[Days Prior Total]])/Sales[[#This Row],[Price]]</f>
        <v>0.95931912777556538</v>
      </c>
    </row>
    <row r="78" spans="1:105">
      <c r="A78">
        <v>2025</v>
      </c>
      <c r="B78">
        <v>19120114450</v>
      </c>
      <c r="C78">
        <v>-1.8325814637483102</v>
      </c>
      <c r="D78">
        <v>0.16</v>
      </c>
      <c r="E78">
        <v>7001</v>
      </c>
      <c r="F78">
        <v>2</v>
      </c>
      <c r="G78" t="s">
        <v>155</v>
      </c>
      <c r="H78">
        <v>317</v>
      </c>
      <c r="I78" t="s">
        <v>5</v>
      </c>
      <c r="J78" t="s">
        <v>156</v>
      </c>
      <c r="K78">
        <v>11</v>
      </c>
      <c r="L78">
        <v>259</v>
      </c>
      <c r="M78" t="s">
        <v>157</v>
      </c>
      <c r="N78" t="s">
        <v>19</v>
      </c>
      <c r="O78" t="s">
        <v>24</v>
      </c>
      <c r="P78">
        <v>2021</v>
      </c>
      <c r="Q78">
        <v>2021</v>
      </c>
      <c r="R78">
        <v>10</v>
      </c>
      <c r="S78">
        <v>3</v>
      </c>
      <c r="T78">
        <v>3</v>
      </c>
      <c r="U78">
        <v>1</v>
      </c>
      <c r="V78">
        <v>1240</v>
      </c>
      <c r="W78">
        <v>0</v>
      </c>
      <c r="X78">
        <v>0</v>
      </c>
      <c r="Y78">
        <v>0</v>
      </c>
      <c r="Z78">
        <v>0</v>
      </c>
      <c r="AA78">
        <v>0</v>
      </c>
      <c r="AB78">
        <v>1240</v>
      </c>
      <c r="AC78">
        <v>1500</v>
      </c>
      <c r="AD78">
        <v>2</v>
      </c>
      <c r="AE78" t="s">
        <v>57</v>
      </c>
      <c r="AF78" t="s">
        <v>158</v>
      </c>
      <c r="AG78" t="s">
        <v>21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9</v>
      </c>
      <c r="AO78">
        <v>404</v>
      </c>
      <c r="AP78">
        <v>0</v>
      </c>
      <c r="AQ78">
        <v>0</v>
      </c>
      <c r="AR78">
        <v>0</v>
      </c>
      <c r="AS78">
        <v>136</v>
      </c>
      <c r="AT78">
        <v>0</v>
      </c>
      <c r="AU78">
        <v>100</v>
      </c>
      <c r="AV78">
        <v>100</v>
      </c>
      <c r="AW78">
        <v>228504</v>
      </c>
      <c r="AX78">
        <v>226219</v>
      </c>
      <c r="AY78">
        <v>860</v>
      </c>
      <c r="AZ78">
        <v>365</v>
      </c>
      <c r="BA78">
        <v>365</v>
      </c>
      <c r="BB78">
        <v>130</v>
      </c>
      <c r="BC78" s="2">
        <v>44432</v>
      </c>
      <c r="BD78" t="s">
        <v>237</v>
      </c>
      <c r="BE78">
        <v>331199</v>
      </c>
      <c r="BF78">
        <v>331199</v>
      </c>
      <c r="BG78" t="s">
        <v>160</v>
      </c>
      <c r="BH78">
        <v>30</v>
      </c>
      <c r="BI78" t="s">
        <v>56</v>
      </c>
      <c r="BJ78" t="s">
        <v>161</v>
      </c>
      <c r="BK78">
        <v>362000</v>
      </c>
      <c r="BL78">
        <v>60800</v>
      </c>
      <c r="BM78">
        <v>301200</v>
      </c>
      <c r="BN78">
        <v>0</v>
      </c>
      <c r="BO78">
        <v>325883.5234847567</v>
      </c>
      <c r="BP78">
        <v>376803.77039247943</v>
      </c>
      <c r="BQ78">
        <f>(Sales[[#This Row],[DP1]]*Lookups!$B$61)+(Sales[[#This Row],[DP2]]*Lookups!$B$62)+(Sales[[#This Row],[DP3]]*Lookups!$B$63)</f>
        <v>-50920.244631000001</v>
      </c>
      <c r="BR78">
        <f>Lookups!$B$58*0.6</f>
        <v>132535.48800000001</v>
      </c>
      <c r="BS78">
        <f>Lookups!$B$58*0.4</f>
        <v>88356.992000000013</v>
      </c>
      <c r="BT78">
        <f>Lookups!$B$59*Sales[[#This Row],[LnAcres]]</f>
        <v>-24051.387388882686</v>
      </c>
      <c r="BU78">
        <f>VLOOKUP(Sales[[#This Row],[Qlty]],Lookups!$A$66:$E$79,2,FALSE)</f>
        <v>37154.252388000001</v>
      </c>
      <c r="BV78">
        <f>VLOOKUP(Sales[[#This Row],[Cnd]],Lookups!$A$80:$E$91,2,FALSE)</f>
        <v>47371.278778200001</v>
      </c>
      <c r="BW78">
        <f>Sales[[#This Row],[EffAge]]*Lookups!$B$65</f>
        <v>-326.22329999999999</v>
      </c>
      <c r="BX78">
        <f>Sales[[#This Row],[MainFn]]*Lookups!$B$90</f>
        <v>77388.871200000009</v>
      </c>
      <c r="BY78">
        <f>Sales[[#This Row],[UpprFn]]*Lookups!$B$91</f>
        <v>0</v>
      </c>
      <c r="BZ78">
        <f>Sales[[#This Row],[Bsmt]]*Lookups!$B$95</f>
        <v>0</v>
      </c>
      <c r="CA78">
        <f>VLOOKUP(Sales[[#This Row],[MsnryTrim]],Lookups!$A$90:$E$99,2,FALSE)</f>
        <v>4112.8784489</v>
      </c>
      <c r="CB78">
        <f>Sales[[#This Row],[PrefabFP]]*Lookups!$B$92</f>
        <v>0</v>
      </c>
      <c r="CC78">
        <f>Sales[[#This Row],[AttGar]]*Lookups!$B$93</f>
        <v>14261.616524000001</v>
      </c>
      <c r="CD78">
        <f>Sales[[#This Row],[BltinGar]]*Lookups!$B$94</f>
        <v>0</v>
      </c>
      <c r="CE78">
        <f>SUM(Sales[[#This Row],[Days Prior Total]:[Mdl BltinGar]])</f>
        <v>325883.52201921731</v>
      </c>
      <c r="CF78">
        <f>ROUND(Sales[[#This Row],[25Det]],-2)</f>
        <v>0</v>
      </c>
      <c r="CG78">
        <f>ROUND(SUM(Sales[[#This Row],[Mdl Qlty]:[Mdl BltinGar]])+Sales[[#This Row],[Mdl Res Intercept]]+Sales[[#This Row],[Days Prior Total]],-2)</f>
        <v>261600</v>
      </c>
      <c r="CH78">
        <f>ROUND(Sales[[#This Row],[Mdl Land Intercept]]+Sales[[#This Row],[Mdl LnAcres]],-2)</f>
        <v>64300</v>
      </c>
      <c r="CI78">
        <f>Sales[[#This Row],[Unadj Res Value]]+Sales[[#This Row],[Unadj Det Value]]+Sales[[#This Row],[Unadj Land Value]]</f>
        <v>325900</v>
      </c>
      <c r="CJ78" s="10">
        <f>Sales[[#This Row],[Price]]/Sales[[#This Row],[Unadj Total Value]]</f>
        <v>1.0162595888309298</v>
      </c>
      <c r="CK78" s="10">
        <f>(Sales[[#This Row],[Unadj Total Value]]-Sales[[#This Row],[24Final]])/Sales[[#This Row],[24Final]]</f>
        <v>-9.9723756906077349E-2</v>
      </c>
      <c r="CL78">
        <f>VLOOKUP(Sales[[#This Row],[TNbhd]],Lookups!$M$3:$P$5,4,FALSE)</f>
        <v>0.99970000000000003</v>
      </c>
      <c r="CM78">
        <f>VLOOKUP(Sales[[#This Row],[Qlty]],Lookups!$M$8:$P$22,4,FALSE)</f>
        <v>0.99819999999999998</v>
      </c>
      <c r="CN78">
        <f>VLOOKUP(Sales[[#This Row],[Cnd]],Lookups!$R$8:$U$17,4,FALSE)</f>
        <v>1.0012000000000001</v>
      </c>
      <c r="CO78">
        <f>VLOOKUP(Sales[[#This Row],[LivArea Range]],Lookups!$R$25:$U$43,4,FALSE)</f>
        <v>0.99519999999999997</v>
      </c>
      <c r="CP78">
        <f>VLOOKUP(Sales[[#This Row],[Decade]],Lookups!$M$24:$P$40,4,FALSE)</f>
        <v>1.0024</v>
      </c>
      <c r="CQ78">
        <f>Sales[[#This Row],[Nbhd Adj]]*0.95</f>
        <v>0.94971499999999998</v>
      </c>
      <c r="CR78">
        <f>Sales[[#This Row],[Nbhd Adj]]*Sales[[#This Row],[Quality Adj]]*Sales[[#This Row],[Condition Adj]]*Sales[[#This Row],[Living Area Adj]]*Sales[[#This Row],[Decade Adj]]*0.95</f>
        <v>0.94685424199978463</v>
      </c>
      <c r="CS78">
        <f>ROUND(SUM(Sales[[#This Row],[Mdl Qlty]:[Mdl BltinGar]])+Sales[[#This Row],[Mdl Res Intercept]]*Sales[[#This Row],[Res Adj ]],-2)</f>
        <v>305500</v>
      </c>
      <c r="CT78">
        <f>ROUND(Sales[[#This Row],[25Det]]*Sales[[#This Row],[Det/Nbhd Adj]],-2)</f>
        <v>0</v>
      </c>
      <c r="CU78">
        <f>Sales[[#This Row],[Adjusted Res]]+Sales[[#This Row],[Adj Det ]]</f>
        <v>305500</v>
      </c>
      <c r="CV78">
        <f>ROUND((Sales[[#This Row],[Mdl Land Intercept]]+Sales[[#This Row],[Mdl LnAcres]])*Sales[[#This Row],[Det/Nbhd Adj]],-2)</f>
        <v>61100</v>
      </c>
      <c r="CW78">
        <f>Sales[[#This Row],[Adjusted Impr Total]]+Sales[[#This Row],[Adjusted Land Total]]</f>
        <v>366600</v>
      </c>
      <c r="CX78" s="10">
        <f>IFERROR((Sales[[#This Row],[Adjusted Impr Total]]-Sales[[#This Row],[24Bldg]])/Sales[[#This Row],[24Bldg]],0)</f>
        <v>1.4276228419654714E-2</v>
      </c>
      <c r="CY78" s="10">
        <f>(Sales[[#This Row],[Adjusted Land Total]]-Sales[[#This Row],[24Lnd]])/Sales[[#This Row],[24Lnd]]</f>
        <v>4.9342105263157892E-3</v>
      </c>
      <c r="CZ78">
        <f>(Sales[[#This Row],[Adjusted Total]]-Sales[[#This Row],[24Final]])/Sales[[#This Row],[24Final]]</f>
        <v>1.270718232044199E-2</v>
      </c>
      <c r="DA78" s="10">
        <f>(Sales[[#This Row],[Adjusted Total]]+Sales[[#This Row],[Days Prior Total]])/Sales[[#This Row],[Price]]</f>
        <v>0.95314223584310342</v>
      </c>
    </row>
    <row r="79" spans="1:105">
      <c r="A79">
        <v>2025</v>
      </c>
      <c r="B79">
        <v>19120114451</v>
      </c>
      <c r="C79">
        <v>-1.8325814637483102</v>
      </c>
      <c r="D79">
        <v>0.16</v>
      </c>
      <c r="E79">
        <v>7001</v>
      </c>
      <c r="F79">
        <v>2</v>
      </c>
      <c r="G79" t="s">
        <v>155</v>
      </c>
      <c r="H79">
        <v>317</v>
      </c>
      <c r="I79" t="s">
        <v>5</v>
      </c>
      <c r="J79" t="s">
        <v>156</v>
      </c>
      <c r="K79">
        <v>11</v>
      </c>
      <c r="L79">
        <v>259</v>
      </c>
      <c r="M79" t="s">
        <v>157</v>
      </c>
      <c r="N79" t="s">
        <v>21</v>
      </c>
      <c r="O79" t="s">
        <v>24</v>
      </c>
      <c r="P79">
        <v>2021</v>
      </c>
      <c r="Q79">
        <v>2021</v>
      </c>
      <c r="R79">
        <v>10</v>
      </c>
      <c r="S79">
        <v>3</v>
      </c>
      <c r="T79">
        <v>3</v>
      </c>
      <c r="U79">
        <v>2</v>
      </c>
      <c r="V79">
        <v>918</v>
      </c>
      <c r="W79">
        <v>1296</v>
      </c>
      <c r="X79">
        <v>0</v>
      </c>
      <c r="Y79">
        <v>0</v>
      </c>
      <c r="Z79">
        <v>0</v>
      </c>
      <c r="AA79">
        <v>0</v>
      </c>
      <c r="AB79">
        <v>2214</v>
      </c>
      <c r="AC79">
        <v>2500</v>
      </c>
      <c r="AD79">
        <v>3</v>
      </c>
      <c r="AE79" t="s">
        <v>57</v>
      </c>
      <c r="AF79" t="s">
        <v>158</v>
      </c>
      <c r="AG79" t="s">
        <v>21</v>
      </c>
      <c r="AI79">
        <v>0</v>
      </c>
      <c r="AJ79">
        <v>0</v>
      </c>
      <c r="AK79">
        <v>0</v>
      </c>
      <c r="AL79">
        <v>0</v>
      </c>
      <c r="AM79">
        <v>1</v>
      </c>
      <c r="AN79">
        <v>13</v>
      </c>
      <c r="AO79">
        <v>0</v>
      </c>
      <c r="AP79">
        <v>768</v>
      </c>
      <c r="AQ79">
        <v>0</v>
      </c>
      <c r="AR79">
        <v>0</v>
      </c>
      <c r="AS79">
        <v>0</v>
      </c>
      <c r="AT79">
        <v>0</v>
      </c>
      <c r="AU79">
        <v>100</v>
      </c>
      <c r="AV79">
        <v>100</v>
      </c>
      <c r="AW79">
        <v>411052</v>
      </c>
      <c r="AX79">
        <v>406941</v>
      </c>
      <c r="AY79">
        <v>860</v>
      </c>
      <c r="AZ79">
        <v>365</v>
      </c>
      <c r="BA79">
        <v>365</v>
      </c>
      <c r="BB79">
        <v>130</v>
      </c>
      <c r="BC79" s="2">
        <v>44432</v>
      </c>
      <c r="BD79" t="s">
        <v>238</v>
      </c>
      <c r="BE79">
        <v>447358</v>
      </c>
      <c r="BF79">
        <v>447358</v>
      </c>
      <c r="BG79" t="s">
        <v>160</v>
      </c>
      <c r="BH79">
        <v>30</v>
      </c>
      <c r="BI79" t="s">
        <v>56</v>
      </c>
      <c r="BJ79" t="s">
        <v>161</v>
      </c>
      <c r="BK79">
        <v>441900</v>
      </c>
      <c r="BL79">
        <v>60800</v>
      </c>
      <c r="BM79">
        <v>381100</v>
      </c>
      <c r="BN79">
        <v>0</v>
      </c>
      <c r="BO79">
        <v>402442.2797261072</v>
      </c>
      <c r="BP79">
        <v>453362.52663383004</v>
      </c>
      <c r="BQ79">
        <f>(Sales[[#This Row],[DP1]]*Lookups!$B$61)+(Sales[[#This Row],[DP2]]*Lookups!$B$62)+(Sales[[#This Row],[DP3]]*Lookups!$B$63)</f>
        <v>-50920.244631000001</v>
      </c>
      <c r="BR79">
        <f>Lookups!$B$58*0.6</f>
        <v>132535.48800000001</v>
      </c>
      <c r="BS79">
        <f>Lookups!$B$58*0.4</f>
        <v>88356.992000000013</v>
      </c>
      <c r="BT79">
        <f>Lookups!$B$59*Sales[[#This Row],[LnAcres]]</f>
        <v>-24051.387388882686</v>
      </c>
      <c r="BU79">
        <f>VLOOKUP(Sales[[#This Row],[Qlty]],Lookups!$A$66:$E$79,2,FALSE)</f>
        <v>32917.849192000001</v>
      </c>
      <c r="BV79">
        <f>VLOOKUP(Sales[[#This Row],[Cnd]],Lookups!$A$80:$E$91,2,FALSE)</f>
        <v>47371.278778200001</v>
      </c>
      <c r="BW79">
        <f>Sales[[#This Row],[EffAge]]*Lookups!$B$65</f>
        <v>-326.22329999999999</v>
      </c>
      <c r="BX79">
        <f>Sales[[#This Row],[MainFn]]*Lookups!$B$90</f>
        <v>57292.728840000003</v>
      </c>
      <c r="BY79">
        <f>Sales[[#This Row],[UpprFn]]*Lookups!$B$91</f>
        <v>77216.176368</v>
      </c>
      <c r="BZ79">
        <f>Sales[[#This Row],[Bsmt]]*Lookups!$B$95</f>
        <v>0</v>
      </c>
      <c r="CA79">
        <f>VLOOKUP(Sales[[#This Row],[MsnryTrim]],Lookups!$A$90:$E$99,2,FALSE)</f>
        <v>4112.8784489</v>
      </c>
      <c r="CB79">
        <f>Sales[[#This Row],[PrefabFP]]*Lookups!$B$92</f>
        <v>0</v>
      </c>
      <c r="CC79">
        <f>Sales[[#This Row],[AttGar]]*Lookups!$B$93</f>
        <v>0</v>
      </c>
      <c r="CD79">
        <f>Sales[[#This Row],[BltinGar]]*Lookups!$B$94</f>
        <v>37936.742400000003</v>
      </c>
      <c r="CE79">
        <f>SUM(Sales[[#This Row],[Days Prior Total]:[Mdl BltinGar]])</f>
        <v>402442.27870721731</v>
      </c>
      <c r="CF79">
        <f>ROUND(Sales[[#This Row],[25Det]],-2)</f>
        <v>0</v>
      </c>
      <c r="CG79">
        <f>ROUND(SUM(Sales[[#This Row],[Mdl Qlty]:[Mdl BltinGar]])+Sales[[#This Row],[Mdl Res Intercept]]+Sales[[#This Row],[Days Prior Total]],-2)</f>
        <v>338100</v>
      </c>
      <c r="CH79">
        <f>ROUND(Sales[[#This Row],[Mdl Land Intercept]]+Sales[[#This Row],[Mdl LnAcres]],-2)</f>
        <v>64300</v>
      </c>
      <c r="CI79">
        <f>Sales[[#This Row],[Unadj Res Value]]+Sales[[#This Row],[Unadj Det Value]]+Sales[[#This Row],[Unadj Land Value]]</f>
        <v>402400</v>
      </c>
      <c r="CJ79" s="10">
        <f>Sales[[#This Row],[Price]]/Sales[[#This Row],[Unadj Total Value]]</f>
        <v>1.1117246520874751</v>
      </c>
      <c r="CK79" s="10">
        <f>(Sales[[#This Row],[Unadj Total Value]]-Sales[[#This Row],[24Final]])/Sales[[#This Row],[24Final]]</f>
        <v>-8.9386739081240105E-2</v>
      </c>
      <c r="CL79">
        <f>VLOOKUP(Sales[[#This Row],[TNbhd]],Lookups!$M$3:$P$5,4,FALSE)</f>
        <v>0.99970000000000003</v>
      </c>
      <c r="CM79">
        <f>VLOOKUP(Sales[[#This Row],[Qlty]],Lookups!$M$8:$P$22,4,FALSE)</f>
        <v>1.0019</v>
      </c>
      <c r="CN79">
        <f>VLOOKUP(Sales[[#This Row],[Cnd]],Lookups!$R$8:$U$17,4,FALSE)</f>
        <v>1.0012000000000001</v>
      </c>
      <c r="CO79">
        <f>VLOOKUP(Sales[[#This Row],[LivArea Range]],Lookups!$R$25:$U$43,4,FALSE)</f>
        <v>1.0008999999999999</v>
      </c>
      <c r="CP79">
        <f>VLOOKUP(Sales[[#This Row],[Decade]],Lookups!$M$24:$P$40,4,FALSE)</f>
        <v>1.0024</v>
      </c>
      <c r="CQ79">
        <f>Sales[[#This Row],[Nbhd Adj]]*0.95</f>
        <v>0.94971499999999998</v>
      </c>
      <c r="CR79">
        <f>Sales[[#This Row],[Nbhd Adj]]*Sales[[#This Row],[Quality Adj]]*Sales[[#This Row],[Condition Adj]]*Sales[[#This Row],[Living Area Adj]]*Sales[[#This Row],[Decade Adj]]*0.95</f>
        <v>0.95580712182867422</v>
      </c>
      <c r="CS79">
        <f>ROUND(SUM(Sales[[#This Row],[Mdl Qlty]:[Mdl BltinGar]])+Sales[[#This Row],[Mdl Res Intercept]]*Sales[[#This Row],[Res Adj ]],-2)</f>
        <v>383200</v>
      </c>
      <c r="CT79">
        <f>ROUND(Sales[[#This Row],[25Det]]*Sales[[#This Row],[Det/Nbhd Adj]],-2)</f>
        <v>0</v>
      </c>
      <c r="CU79">
        <f>Sales[[#This Row],[Adjusted Res]]+Sales[[#This Row],[Adj Det ]]</f>
        <v>383200</v>
      </c>
      <c r="CV79">
        <f>ROUND((Sales[[#This Row],[Mdl Land Intercept]]+Sales[[#This Row],[Mdl LnAcres]])*Sales[[#This Row],[Det/Nbhd Adj]],-2)</f>
        <v>61100</v>
      </c>
      <c r="CW79">
        <f>Sales[[#This Row],[Adjusted Impr Total]]+Sales[[#This Row],[Adjusted Land Total]]</f>
        <v>444300</v>
      </c>
      <c r="CX79" s="10">
        <f>IFERROR((Sales[[#This Row],[Adjusted Impr Total]]-Sales[[#This Row],[24Bldg]])/Sales[[#This Row],[24Bldg]],0)</f>
        <v>5.5103647336657048E-3</v>
      </c>
      <c r="CY79" s="10">
        <f>(Sales[[#This Row],[Adjusted Land Total]]-Sales[[#This Row],[24Lnd]])/Sales[[#This Row],[24Lnd]]</f>
        <v>4.9342105263157892E-3</v>
      </c>
      <c r="CZ79">
        <f>(Sales[[#This Row],[Adjusted Total]]-Sales[[#This Row],[24Final]])/Sales[[#This Row],[24Final]]</f>
        <v>5.4310930074677527E-3</v>
      </c>
      <c r="DA79" s="10">
        <f>(Sales[[#This Row],[Adjusted Total]]+Sales[[#This Row],[Days Prior Total]])/Sales[[#This Row],[Price]]</f>
        <v>0.87933993662570031</v>
      </c>
    </row>
    <row r="80" spans="1:105">
      <c r="A80">
        <v>2025</v>
      </c>
      <c r="B80">
        <v>19120114452</v>
      </c>
      <c r="C80">
        <v>-1.8325814637483102</v>
      </c>
      <c r="D80">
        <v>0.16</v>
      </c>
      <c r="E80">
        <v>7001</v>
      </c>
      <c r="F80">
        <v>2</v>
      </c>
      <c r="G80" t="s">
        <v>155</v>
      </c>
      <c r="H80">
        <v>317</v>
      </c>
      <c r="I80" t="s">
        <v>5</v>
      </c>
      <c r="J80" t="s">
        <v>156</v>
      </c>
      <c r="K80">
        <v>11</v>
      </c>
      <c r="L80">
        <v>259</v>
      </c>
      <c r="M80" t="s">
        <v>157</v>
      </c>
      <c r="N80" t="s">
        <v>19</v>
      </c>
      <c r="O80" t="s">
        <v>24</v>
      </c>
      <c r="P80">
        <v>2021</v>
      </c>
      <c r="Q80">
        <v>2021</v>
      </c>
      <c r="R80">
        <v>10</v>
      </c>
      <c r="S80">
        <v>3</v>
      </c>
      <c r="T80">
        <v>3</v>
      </c>
      <c r="U80">
        <v>1</v>
      </c>
      <c r="V80">
        <v>1452</v>
      </c>
      <c r="W80">
        <v>0</v>
      </c>
      <c r="X80">
        <v>0</v>
      </c>
      <c r="Y80">
        <v>0</v>
      </c>
      <c r="Z80">
        <v>0</v>
      </c>
      <c r="AA80">
        <v>0</v>
      </c>
      <c r="AB80">
        <v>1452</v>
      </c>
      <c r="AC80">
        <v>1500</v>
      </c>
      <c r="AD80">
        <v>2</v>
      </c>
      <c r="AE80" t="s">
        <v>56</v>
      </c>
      <c r="AF80" t="s">
        <v>158</v>
      </c>
      <c r="AG80" t="s">
        <v>21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9</v>
      </c>
      <c r="AO80">
        <v>400</v>
      </c>
      <c r="AP80">
        <v>0</v>
      </c>
      <c r="AQ80">
        <v>0</v>
      </c>
      <c r="AR80">
        <v>0</v>
      </c>
      <c r="AS80">
        <v>100</v>
      </c>
      <c r="AT80">
        <v>0</v>
      </c>
      <c r="AU80">
        <v>100</v>
      </c>
      <c r="AV80">
        <v>100</v>
      </c>
      <c r="AW80">
        <v>257722</v>
      </c>
      <c r="AX80">
        <v>255145</v>
      </c>
      <c r="AY80">
        <v>778</v>
      </c>
      <c r="AZ80">
        <v>365</v>
      </c>
      <c r="BA80">
        <v>365</v>
      </c>
      <c r="BB80">
        <v>48</v>
      </c>
      <c r="BC80" s="2">
        <v>44514</v>
      </c>
      <c r="BD80" t="s">
        <v>239</v>
      </c>
      <c r="BE80">
        <v>344814</v>
      </c>
      <c r="BF80">
        <v>344814</v>
      </c>
      <c r="BG80" t="s">
        <v>160</v>
      </c>
      <c r="BH80">
        <v>30</v>
      </c>
      <c r="BI80" t="s">
        <v>56</v>
      </c>
      <c r="BJ80" t="s">
        <v>161</v>
      </c>
      <c r="BK80">
        <v>372400</v>
      </c>
      <c r="BL80">
        <v>60800</v>
      </c>
      <c r="BM80">
        <v>311600</v>
      </c>
      <c r="BN80">
        <v>0</v>
      </c>
      <c r="BO80">
        <v>344225.69036155601</v>
      </c>
      <c r="BP80">
        <v>376367.9857650511</v>
      </c>
      <c r="BQ80">
        <f>(Sales[[#This Row],[DP1]]*Lookups!$B$61)+(Sales[[#This Row],[DP2]]*Lookups!$B$62)+(Sales[[#This Row],[DP3]]*Lookups!$B$63)</f>
        <v>-32142.293830999999</v>
      </c>
      <c r="BR80">
        <f>Lookups!$B$58*0.6</f>
        <v>132535.48800000001</v>
      </c>
      <c r="BS80">
        <f>Lookups!$B$58*0.4</f>
        <v>88356.992000000013</v>
      </c>
      <c r="BT80">
        <f>Lookups!$B$59*Sales[[#This Row],[LnAcres]]</f>
        <v>-24051.387388882686</v>
      </c>
      <c r="BU80">
        <f>VLOOKUP(Sales[[#This Row],[Qlty]],Lookups!$A$66:$E$79,2,FALSE)</f>
        <v>37154.252388000001</v>
      </c>
      <c r="BV80">
        <f>VLOOKUP(Sales[[#This Row],[Cnd]],Lookups!$A$80:$E$91,2,FALSE)</f>
        <v>47371.278778200001</v>
      </c>
      <c r="BW80">
        <f>Sales[[#This Row],[EffAge]]*Lookups!$B$65</f>
        <v>-326.22329999999999</v>
      </c>
      <c r="BX80">
        <f>Sales[[#This Row],[MainFn]]*Lookups!$B$90</f>
        <v>90619.871760000009</v>
      </c>
      <c r="BY80">
        <f>Sales[[#This Row],[UpprFn]]*Lookups!$B$91</f>
        <v>0</v>
      </c>
      <c r="BZ80">
        <f>Sales[[#This Row],[Bsmt]]*Lookups!$B$95</f>
        <v>0</v>
      </c>
      <c r="CA80">
        <f>VLOOKUP(Sales[[#This Row],[MsnryTrim]],Lookups!$A$90:$E$99,2,FALSE)</f>
        <v>-9412.7029999999995</v>
      </c>
      <c r="CB80">
        <f>Sales[[#This Row],[PrefabFP]]*Lookups!$B$92</f>
        <v>0</v>
      </c>
      <c r="CC80">
        <f>Sales[[#This Row],[AttGar]]*Lookups!$B$93</f>
        <v>14120.412400000001</v>
      </c>
      <c r="CD80">
        <f>Sales[[#This Row],[BltinGar]]*Lookups!$B$94</f>
        <v>0</v>
      </c>
      <c r="CE80">
        <f>SUM(Sales[[#This Row],[Days Prior Total]:[Mdl BltinGar]])</f>
        <v>344225.68780631735</v>
      </c>
      <c r="CF80">
        <f>ROUND(Sales[[#This Row],[25Det]],-2)</f>
        <v>0</v>
      </c>
      <c r="CG80">
        <f>ROUND(SUM(Sales[[#This Row],[Mdl Qlty]:[Mdl BltinGar]])+Sales[[#This Row],[Mdl Res Intercept]]+Sales[[#This Row],[Days Prior Total]],-2)</f>
        <v>279900</v>
      </c>
      <c r="CH80">
        <f>ROUND(Sales[[#This Row],[Mdl Land Intercept]]+Sales[[#This Row],[Mdl LnAcres]],-2)</f>
        <v>64300</v>
      </c>
      <c r="CI80">
        <f>Sales[[#This Row],[Unadj Res Value]]+Sales[[#This Row],[Unadj Det Value]]+Sales[[#This Row],[Unadj Land Value]]</f>
        <v>344200</v>
      </c>
      <c r="CJ80" s="10">
        <f>Sales[[#This Row],[Price]]/Sales[[#This Row],[Unadj Total Value]]</f>
        <v>1.0017838466008135</v>
      </c>
      <c r="CK80" s="10">
        <f>(Sales[[#This Row],[Unadj Total Value]]-Sales[[#This Row],[24Final]])/Sales[[#This Row],[24Final]]</f>
        <v>-7.5725026852846405E-2</v>
      </c>
      <c r="CL80">
        <f>VLOOKUP(Sales[[#This Row],[TNbhd]],Lookups!$M$3:$P$5,4,FALSE)</f>
        <v>0.99970000000000003</v>
      </c>
      <c r="CM80">
        <f>VLOOKUP(Sales[[#This Row],[Qlty]],Lookups!$M$8:$P$22,4,FALSE)</f>
        <v>0.99819999999999998</v>
      </c>
      <c r="CN80">
        <f>VLOOKUP(Sales[[#This Row],[Cnd]],Lookups!$R$8:$U$17,4,FALSE)</f>
        <v>1.0012000000000001</v>
      </c>
      <c r="CO80">
        <f>VLOOKUP(Sales[[#This Row],[LivArea Range]],Lookups!$R$25:$U$43,4,FALSE)</f>
        <v>0.99519999999999997</v>
      </c>
      <c r="CP80">
        <f>VLOOKUP(Sales[[#This Row],[Decade]],Lookups!$M$24:$P$40,4,FALSE)</f>
        <v>1.0024</v>
      </c>
      <c r="CQ80">
        <f>Sales[[#This Row],[Nbhd Adj]]*0.95</f>
        <v>0.94971499999999998</v>
      </c>
      <c r="CR80">
        <f>Sales[[#This Row],[Nbhd Adj]]*Sales[[#This Row],[Quality Adj]]*Sales[[#This Row],[Condition Adj]]*Sales[[#This Row],[Living Area Adj]]*Sales[[#This Row],[Decade Adj]]*0.95</f>
        <v>0.94685424199978463</v>
      </c>
      <c r="CS80">
        <f>ROUND(SUM(Sales[[#This Row],[Mdl Qlty]:[Mdl BltinGar]])+Sales[[#This Row],[Mdl Res Intercept]]*Sales[[#This Row],[Res Adj ]],-2)</f>
        <v>305000</v>
      </c>
      <c r="CT80">
        <f>ROUND(Sales[[#This Row],[25Det]]*Sales[[#This Row],[Det/Nbhd Adj]],-2)</f>
        <v>0</v>
      </c>
      <c r="CU80">
        <f>Sales[[#This Row],[Adjusted Res]]+Sales[[#This Row],[Adj Det ]]</f>
        <v>305000</v>
      </c>
      <c r="CV80">
        <f>ROUND((Sales[[#This Row],[Mdl Land Intercept]]+Sales[[#This Row],[Mdl LnAcres]])*Sales[[#This Row],[Det/Nbhd Adj]],-2)</f>
        <v>61100</v>
      </c>
      <c r="CW80">
        <f>Sales[[#This Row],[Adjusted Impr Total]]+Sales[[#This Row],[Adjusted Land Total]]</f>
        <v>366100</v>
      </c>
      <c r="CX80" s="10">
        <f>IFERROR((Sales[[#This Row],[Adjusted Impr Total]]-Sales[[#This Row],[24Bldg]])/Sales[[#This Row],[24Bldg]],0)</f>
        <v>-2.1181001283697046E-2</v>
      </c>
      <c r="CY80" s="10">
        <f>(Sales[[#This Row],[Adjusted Land Total]]-Sales[[#This Row],[24Lnd]])/Sales[[#This Row],[24Lnd]]</f>
        <v>4.9342105263157892E-3</v>
      </c>
      <c r="CZ80">
        <f>(Sales[[#This Row],[Adjusted Total]]-Sales[[#This Row],[24Final]])/Sales[[#This Row],[24Final]]</f>
        <v>-1.6917293233082706E-2</v>
      </c>
      <c r="DA80" s="10">
        <f>(Sales[[#This Row],[Adjusted Total]]+Sales[[#This Row],[Days Prior Total]])/Sales[[#This Row],[Price]]</f>
        <v>0.9685155074010916</v>
      </c>
    </row>
    <row r="81" spans="1:105">
      <c r="A81">
        <v>2025</v>
      </c>
      <c r="B81">
        <v>19120114453</v>
      </c>
      <c r="C81">
        <v>-1.8325814637483102</v>
      </c>
      <c r="D81">
        <v>0.16</v>
      </c>
      <c r="E81">
        <v>7001</v>
      </c>
      <c r="F81">
        <v>2</v>
      </c>
      <c r="G81" t="s">
        <v>155</v>
      </c>
      <c r="H81">
        <v>317</v>
      </c>
      <c r="I81" t="s">
        <v>5</v>
      </c>
      <c r="J81" t="s">
        <v>156</v>
      </c>
      <c r="K81">
        <v>11</v>
      </c>
      <c r="L81">
        <v>259</v>
      </c>
      <c r="M81" t="s">
        <v>157</v>
      </c>
      <c r="N81" t="s">
        <v>19</v>
      </c>
      <c r="O81" t="s">
        <v>24</v>
      </c>
      <c r="P81">
        <v>2021</v>
      </c>
      <c r="Q81">
        <v>2021</v>
      </c>
      <c r="R81">
        <v>10</v>
      </c>
      <c r="S81">
        <v>3</v>
      </c>
      <c r="T81">
        <v>3</v>
      </c>
      <c r="U81">
        <v>1</v>
      </c>
      <c r="V81">
        <v>1388</v>
      </c>
      <c r="W81">
        <v>0</v>
      </c>
      <c r="X81">
        <v>0</v>
      </c>
      <c r="Y81">
        <v>0</v>
      </c>
      <c r="Z81">
        <v>0</v>
      </c>
      <c r="AA81">
        <v>0</v>
      </c>
      <c r="AB81">
        <v>1388</v>
      </c>
      <c r="AC81">
        <v>1500</v>
      </c>
      <c r="AD81">
        <v>2</v>
      </c>
      <c r="AE81" t="s">
        <v>56</v>
      </c>
      <c r="AF81" t="s">
        <v>158</v>
      </c>
      <c r="AG81" t="s">
        <v>21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9</v>
      </c>
      <c r="AO81">
        <v>400</v>
      </c>
      <c r="AP81">
        <v>0</v>
      </c>
      <c r="AQ81">
        <v>0</v>
      </c>
      <c r="AR81">
        <v>0</v>
      </c>
      <c r="AS81">
        <v>100</v>
      </c>
      <c r="AT81">
        <v>0</v>
      </c>
      <c r="AU81">
        <v>100</v>
      </c>
      <c r="AV81">
        <v>100</v>
      </c>
      <c r="AW81">
        <v>248492</v>
      </c>
      <c r="AX81">
        <v>246007</v>
      </c>
      <c r="AY81">
        <v>748</v>
      </c>
      <c r="AZ81">
        <v>365</v>
      </c>
      <c r="BA81">
        <v>365</v>
      </c>
      <c r="BB81">
        <v>18</v>
      </c>
      <c r="BC81" s="2">
        <v>44544</v>
      </c>
      <c r="BD81" t="s">
        <v>240</v>
      </c>
      <c r="BE81">
        <v>349504</v>
      </c>
      <c r="BF81">
        <v>349504</v>
      </c>
      <c r="BG81" t="s">
        <v>160</v>
      </c>
      <c r="BH81">
        <v>30</v>
      </c>
      <c r="BI81" t="s">
        <v>56</v>
      </c>
      <c r="BJ81" t="s">
        <v>161</v>
      </c>
      <c r="BK81">
        <v>368700</v>
      </c>
      <c r="BL81">
        <v>60800</v>
      </c>
      <c r="BM81">
        <v>307900</v>
      </c>
      <c r="BN81">
        <v>0</v>
      </c>
      <c r="BO81">
        <v>347101.40829766524</v>
      </c>
      <c r="BP81">
        <v>372373.72144351603</v>
      </c>
      <c r="BQ81">
        <f>(Sales[[#This Row],[DP1]]*Lookups!$B$61)+(Sales[[#This Row],[DP2]]*Lookups!$B$62)+(Sales[[#This Row],[DP3]]*Lookups!$B$63)</f>
        <v>-25272.311830999999</v>
      </c>
      <c r="BR81">
        <f>Lookups!$B$58*0.6</f>
        <v>132535.48800000001</v>
      </c>
      <c r="BS81">
        <f>Lookups!$B$58*0.4</f>
        <v>88356.992000000013</v>
      </c>
      <c r="BT81">
        <f>Lookups!$B$59*Sales[[#This Row],[LnAcres]]</f>
        <v>-24051.387388882686</v>
      </c>
      <c r="BU81">
        <f>VLOOKUP(Sales[[#This Row],[Qlty]],Lookups!$A$66:$E$79,2,FALSE)</f>
        <v>37154.252388000001</v>
      </c>
      <c r="BV81">
        <f>VLOOKUP(Sales[[#This Row],[Cnd]],Lookups!$A$80:$E$91,2,FALSE)</f>
        <v>47371.278778200001</v>
      </c>
      <c r="BW81">
        <f>Sales[[#This Row],[EffAge]]*Lookups!$B$65</f>
        <v>-326.22329999999999</v>
      </c>
      <c r="BX81">
        <f>Sales[[#This Row],[MainFn]]*Lookups!$B$90</f>
        <v>86625.607440000007</v>
      </c>
      <c r="BY81">
        <f>Sales[[#This Row],[UpprFn]]*Lookups!$B$91</f>
        <v>0</v>
      </c>
      <c r="BZ81">
        <f>Sales[[#This Row],[Bsmt]]*Lookups!$B$95</f>
        <v>0</v>
      </c>
      <c r="CA81">
        <f>VLOOKUP(Sales[[#This Row],[MsnryTrim]],Lookups!$A$90:$E$99,2,FALSE)</f>
        <v>-9412.7029999999995</v>
      </c>
      <c r="CB81">
        <f>Sales[[#This Row],[PrefabFP]]*Lookups!$B$92</f>
        <v>0</v>
      </c>
      <c r="CC81">
        <f>Sales[[#This Row],[AttGar]]*Lookups!$B$93</f>
        <v>14120.412400000001</v>
      </c>
      <c r="CD81">
        <f>Sales[[#This Row],[BltinGar]]*Lookups!$B$94</f>
        <v>0</v>
      </c>
      <c r="CE81">
        <f>SUM(Sales[[#This Row],[Days Prior Total]:[Mdl BltinGar]])</f>
        <v>347101.40548631735</v>
      </c>
      <c r="CF81">
        <f>ROUND(Sales[[#This Row],[25Det]],-2)</f>
        <v>0</v>
      </c>
      <c r="CG81">
        <f>ROUND(SUM(Sales[[#This Row],[Mdl Qlty]:[Mdl BltinGar]])+Sales[[#This Row],[Mdl Res Intercept]]+Sales[[#This Row],[Days Prior Total]],-2)</f>
        <v>282800</v>
      </c>
      <c r="CH81">
        <f>ROUND(Sales[[#This Row],[Mdl Land Intercept]]+Sales[[#This Row],[Mdl LnAcres]],-2)</f>
        <v>64300</v>
      </c>
      <c r="CI81">
        <f>Sales[[#This Row],[Unadj Res Value]]+Sales[[#This Row],[Unadj Det Value]]+Sales[[#This Row],[Unadj Land Value]]</f>
        <v>347100</v>
      </c>
      <c r="CJ81" s="10">
        <f>Sales[[#This Row],[Price]]/Sales[[#This Row],[Unadj Total Value]]</f>
        <v>1.0069259579371939</v>
      </c>
      <c r="CK81" s="10">
        <f>(Sales[[#This Row],[Unadj Total Value]]-Sales[[#This Row],[24Final]])/Sales[[#This Row],[24Final]]</f>
        <v>-5.858421480878763E-2</v>
      </c>
      <c r="CL81">
        <f>VLOOKUP(Sales[[#This Row],[TNbhd]],Lookups!$M$3:$P$5,4,FALSE)</f>
        <v>0.99970000000000003</v>
      </c>
      <c r="CM81">
        <f>VLOOKUP(Sales[[#This Row],[Qlty]],Lookups!$M$8:$P$22,4,FALSE)</f>
        <v>0.99819999999999998</v>
      </c>
      <c r="CN81">
        <f>VLOOKUP(Sales[[#This Row],[Cnd]],Lookups!$R$8:$U$17,4,FALSE)</f>
        <v>1.0012000000000001</v>
      </c>
      <c r="CO81">
        <f>VLOOKUP(Sales[[#This Row],[LivArea Range]],Lookups!$R$25:$U$43,4,FALSE)</f>
        <v>0.99519999999999997</v>
      </c>
      <c r="CP81">
        <f>VLOOKUP(Sales[[#This Row],[Decade]],Lookups!$M$24:$P$40,4,FALSE)</f>
        <v>1.0024</v>
      </c>
      <c r="CQ81">
        <f>Sales[[#This Row],[Nbhd Adj]]*0.95</f>
        <v>0.94971499999999998</v>
      </c>
      <c r="CR81">
        <f>Sales[[#This Row],[Nbhd Adj]]*Sales[[#This Row],[Quality Adj]]*Sales[[#This Row],[Condition Adj]]*Sales[[#This Row],[Living Area Adj]]*Sales[[#This Row],[Decade Adj]]*0.95</f>
        <v>0.94685424199978463</v>
      </c>
      <c r="CS81">
        <f>ROUND(SUM(Sales[[#This Row],[Mdl Qlty]:[Mdl BltinGar]])+Sales[[#This Row],[Mdl Res Intercept]]*Sales[[#This Row],[Res Adj ]],-2)</f>
        <v>301000</v>
      </c>
      <c r="CT81">
        <f>ROUND(Sales[[#This Row],[25Det]]*Sales[[#This Row],[Det/Nbhd Adj]],-2)</f>
        <v>0</v>
      </c>
      <c r="CU81">
        <f>Sales[[#This Row],[Adjusted Res]]+Sales[[#This Row],[Adj Det ]]</f>
        <v>301000</v>
      </c>
      <c r="CV81">
        <f>ROUND((Sales[[#This Row],[Mdl Land Intercept]]+Sales[[#This Row],[Mdl LnAcres]])*Sales[[#This Row],[Det/Nbhd Adj]],-2)</f>
        <v>61100</v>
      </c>
      <c r="CW81">
        <f>Sales[[#This Row],[Adjusted Impr Total]]+Sales[[#This Row],[Adjusted Land Total]]</f>
        <v>362100</v>
      </c>
      <c r="CX81" s="10">
        <f>IFERROR((Sales[[#This Row],[Adjusted Impr Total]]-Sales[[#This Row],[24Bldg]])/Sales[[#This Row],[24Bldg]],0)</f>
        <v>-2.2409873335498539E-2</v>
      </c>
      <c r="CY81" s="10">
        <f>(Sales[[#This Row],[Adjusted Land Total]]-Sales[[#This Row],[24Lnd]])/Sales[[#This Row],[24Lnd]]</f>
        <v>4.9342105263157892E-3</v>
      </c>
      <c r="CZ81">
        <f>(Sales[[#This Row],[Adjusted Total]]-Sales[[#This Row],[24Final]])/Sales[[#This Row],[24Final]]</f>
        <v>-1.7900732302685109E-2</v>
      </c>
      <c r="DA81" s="10">
        <f>(Sales[[#This Row],[Adjusted Total]]+Sales[[#This Row],[Days Prior Total]])/Sales[[#This Row],[Price]]</f>
        <v>0.96373056722955952</v>
      </c>
    </row>
    <row r="82" spans="1:105">
      <c r="A82">
        <v>2025</v>
      </c>
      <c r="B82">
        <v>19120114454</v>
      </c>
      <c r="C82">
        <v>-1.8325814637483102</v>
      </c>
      <c r="D82">
        <v>0.16</v>
      </c>
      <c r="E82">
        <v>7016</v>
      </c>
      <c r="F82">
        <v>2</v>
      </c>
      <c r="G82" t="s">
        <v>155</v>
      </c>
      <c r="H82">
        <v>317</v>
      </c>
      <c r="I82" t="s">
        <v>5</v>
      </c>
      <c r="J82" t="s">
        <v>156</v>
      </c>
      <c r="K82">
        <v>11</v>
      </c>
      <c r="L82">
        <v>259</v>
      </c>
      <c r="M82" t="s">
        <v>157</v>
      </c>
      <c r="N82" t="s">
        <v>21</v>
      </c>
      <c r="O82" t="s">
        <v>24</v>
      </c>
      <c r="P82">
        <v>2021</v>
      </c>
      <c r="Q82">
        <v>2021</v>
      </c>
      <c r="R82">
        <v>10</v>
      </c>
      <c r="S82">
        <v>3</v>
      </c>
      <c r="T82">
        <v>3</v>
      </c>
      <c r="U82">
        <v>2</v>
      </c>
      <c r="V82">
        <v>918</v>
      </c>
      <c r="W82">
        <v>1296</v>
      </c>
      <c r="X82">
        <v>0</v>
      </c>
      <c r="Y82">
        <v>0</v>
      </c>
      <c r="Z82">
        <v>0</v>
      </c>
      <c r="AA82">
        <v>0</v>
      </c>
      <c r="AB82">
        <v>2214</v>
      </c>
      <c r="AC82">
        <v>2500</v>
      </c>
      <c r="AD82">
        <v>3</v>
      </c>
      <c r="AE82" t="s">
        <v>55</v>
      </c>
      <c r="AF82" t="s">
        <v>158</v>
      </c>
      <c r="AG82" t="s">
        <v>21</v>
      </c>
      <c r="AI82">
        <v>0</v>
      </c>
      <c r="AJ82">
        <v>0</v>
      </c>
      <c r="AK82">
        <v>0</v>
      </c>
      <c r="AL82">
        <v>0</v>
      </c>
      <c r="AM82">
        <v>1</v>
      </c>
      <c r="AN82">
        <v>13</v>
      </c>
      <c r="AO82">
        <v>0</v>
      </c>
      <c r="AP82">
        <v>768</v>
      </c>
      <c r="AQ82">
        <v>0</v>
      </c>
      <c r="AR82">
        <v>0</v>
      </c>
      <c r="AS82">
        <v>200</v>
      </c>
      <c r="AT82">
        <v>0</v>
      </c>
      <c r="AU82">
        <v>100</v>
      </c>
      <c r="AV82">
        <v>100</v>
      </c>
      <c r="AW82">
        <v>411212</v>
      </c>
      <c r="AX82">
        <v>407100</v>
      </c>
      <c r="AY82">
        <v>752</v>
      </c>
      <c r="AZ82">
        <v>365</v>
      </c>
      <c r="BA82">
        <v>365</v>
      </c>
      <c r="BB82">
        <v>22</v>
      </c>
      <c r="BC82" s="2">
        <v>44540</v>
      </c>
      <c r="BD82" t="s">
        <v>241</v>
      </c>
      <c r="BE82">
        <v>463622</v>
      </c>
      <c r="BF82">
        <v>463622</v>
      </c>
      <c r="BG82" t="s">
        <v>160</v>
      </c>
      <c r="BH82">
        <v>30</v>
      </c>
      <c r="BI82" t="s">
        <v>56</v>
      </c>
      <c r="BJ82" t="s">
        <v>161</v>
      </c>
      <c r="BK82">
        <v>438600</v>
      </c>
      <c r="BL82">
        <v>60800</v>
      </c>
      <c r="BM82">
        <v>377800</v>
      </c>
      <c r="BN82">
        <v>0</v>
      </c>
      <c r="BO82">
        <v>428361.16157694784</v>
      </c>
      <c r="BP82">
        <v>454549.47235715133</v>
      </c>
      <c r="BQ82">
        <f>(Sales[[#This Row],[DP1]]*Lookups!$B$61)+(Sales[[#This Row],[DP2]]*Lookups!$B$62)+(Sales[[#This Row],[DP3]]*Lookups!$B$63)</f>
        <v>-26188.309431000001</v>
      </c>
      <c r="BR82">
        <f>Lookups!$B$58*0.6</f>
        <v>132535.48800000001</v>
      </c>
      <c r="BS82">
        <f>Lookups!$B$58*0.4</f>
        <v>88356.992000000013</v>
      </c>
      <c r="BT82">
        <f>Lookups!$B$59*Sales[[#This Row],[LnAcres]]</f>
        <v>-24051.387388882686</v>
      </c>
      <c r="BU82">
        <f>VLOOKUP(Sales[[#This Row],[Qlty]],Lookups!$A$66:$E$79,2,FALSE)</f>
        <v>32917.849192000001</v>
      </c>
      <c r="BV82">
        <f>VLOOKUP(Sales[[#This Row],[Cnd]],Lookups!$A$80:$E$91,2,FALSE)</f>
        <v>47371.278778200001</v>
      </c>
      <c r="BW82">
        <f>Sales[[#This Row],[EffAge]]*Lookups!$B$65</f>
        <v>-326.22329999999999</v>
      </c>
      <c r="BX82">
        <f>Sales[[#This Row],[MainFn]]*Lookups!$B$90</f>
        <v>57292.728840000003</v>
      </c>
      <c r="BY82">
        <f>Sales[[#This Row],[UpprFn]]*Lookups!$B$91</f>
        <v>77216.176368</v>
      </c>
      <c r="BZ82">
        <f>Sales[[#This Row],[Bsmt]]*Lookups!$B$95</f>
        <v>0</v>
      </c>
      <c r="CA82">
        <f>VLOOKUP(Sales[[#This Row],[MsnryTrim]],Lookups!$A$90:$E$99,2,FALSE)</f>
        <v>5299.8242</v>
      </c>
      <c r="CB82">
        <f>Sales[[#This Row],[PrefabFP]]*Lookups!$B$92</f>
        <v>0</v>
      </c>
      <c r="CC82">
        <f>Sales[[#This Row],[AttGar]]*Lookups!$B$93</f>
        <v>0</v>
      </c>
      <c r="CD82">
        <f>Sales[[#This Row],[BltinGar]]*Lookups!$B$94</f>
        <v>37936.742400000003</v>
      </c>
      <c r="CE82">
        <f>SUM(Sales[[#This Row],[Days Prior Total]:[Mdl BltinGar]])</f>
        <v>428361.15965831728</v>
      </c>
      <c r="CF82">
        <f>ROUND(Sales[[#This Row],[25Det]],-2)</f>
        <v>0</v>
      </c>
      <c r="CG82">
        <f>ROUND(SUM(Sales[[#This Row],[Mdl Qlty]:[Mdl BltinGar]])+Sales[[#This Row],[Mdl Res Intercept]]+Sales[[#This Row],[Days Prior Total]],-2)</f>
        <v>364100</v>
      </c>
      <c r="CH82">
        <f>ROUND(Sales[[#This Row],[Mdl Land Intercept]]+Sales[[#This Row],[Mdl LnAcres]],-2)</f>
        <v>64300</v>
      </c>
      <c r="CI82">
        <f>Sales[[#This Row],[Unadj Res Value]]+Sales[[#This Row],[Unadj Det Value]]+Sales[[#This Row],[Unadj Land Value]]</f>
        <v>428400</v>
      </c>
      <c r="CJ82" s="10">
        <f>Sales[[#This Row],[Price]]/Sales[[#This Row],[Unadj Total Value]]</f>
        <v>1.082217553688142</v>
      </c>
      <c r="CK82" s="10">
        <f>(Sales[[#This Row],[Unadj Total Value]]-Sales[[#This Row],[24Final]])/Sales[[#This Row],[24Final]]</f>
        <v>-2.3255813953488372E-2</v>
      </c>
      <c r="CL82">
        <f>VLOOKUP(Sales[[#This Row],[TNbhd]],Lookups!$M$3:$P$5,4,FALSE)</f>
        <v>0.99970000000000003</v>
      </c>
      <c r="CM82">
        <f>VLOOKUP(Sales[[#This Row],[Qlty]],Lookups!$M$8:$P$22,4,FALSE)</f>
        <v>1.0019</v>
      </c>
      <c r="CN82">
        <f>VLOOKUP(Sales[[#This Row],[Cnd]],Lookups!$R$8:$U$17,4,FALSE)</f>
        <v>1.0012000000000001</v>
      </c>
      <c r="CO82">
        <f>VLOOKUP(Sales[[#This Row],[LivArea Range]],Lookups!$R$25:$U$43,4,FALSE)</f>
        <v>1.0008999999999999</v>
      </c>
      <c r="CP82">
        <f>VLOOKUP(Sales[[#This Row],[Decade]],Lookups!$M$24:$P$40,4,FALSE)</f>
        <v>1.0024</v>
      </c>
      <c r="CQ82">
        <f>Sales[[#This Row],[Nbhd Adj]]*0.95</f>
        <v>0.94971499999999998</v>
      </c>
      <c r="CR82">
        <f>Sales[[#This Row],[Nbhd Adj]]*Sales[[#This Row],[Quality Adj]]*Sales[[#This Row],[Condition Adj]]*Sales[[#This Row],[Living Area Adj]]*Sales[[#This Row],[Decade Adj]]*0.95</f>
        <v>0.95580712182867422</v>
      </c>
      <c r="CS82">
        <f>ROUND(SUM(Sales[[#This Row],[Mdl Qlty]:[Mdl BltinGar]])+Sales[[#This Row],[Mdl Res Intercept]]*Sales[[#This Row],[Res Adj ]],-2)</f>
        <v>384400</v>
      </c>
      <c r="CT82">
        <f>ROUND(Sales[[#This Row],[25Det]]*Sales[[#This Row],[Det/Nbhd Adj]],-2)</f>
        <v>0</v>
      </c>
      <c r="CU82">
        <f>Sales[[#This Row],[Adjusted Res]]+Sales[[#This Row],[Adj Det ]]</f>
        <v>384400</v>
      </c>
      <c r="CV82">
        <f>ROUND((Sales[[#This Row],[Mdl Land Intercept]]+Sales[[#This Row],[Mdl LnAcres]])*Sales[[#This Row],[Det/Nbhd Adj]],-2)</f>
        <v>61100</v>
      </c>
      <c r="CW82">
        <f>Sales[[#This Row],[Adjusted Impr Total]]+Sales[[#This Row],[Adjusted Land Total]]</f>
        <v>445500</v>
      </c>
      <c r="CX82" s="10">
        <f>IFERROR((Sales[[#This Row],[Adjusted Impr Total]]-Sales[[#This Row],[24Bldg]])/Sales[[#This Row],[24Bldg]],0)</f>
        <v>1.7469560614081524E-2</v>
      </c>
      <c r="CY82" s="10">
        <f>(Sales[[#This Row],[Adjusted Land Total]]-Sales[[#This Row],[24Lnd]])/Sales[[#This Row],[24Lnd]]</f>
        <v>4.9342105263157892E-3</v>
      </c>
      <c r="CZ82">
        <f>(Sales[[#This Row],[Adjusted Total]]-Sales[[#This Row],[24Final]])/Sales[[#This Row],[24Final]]</f>
        <v>1.573187414500684E-2</v>
      </c>
      <c r="DA82" s="10">
        <f>(Sales[[#This Row],[Adjusted Total]]+Sales[[#This Row],[Days Prior Total]])/Sales[[#This Row],[Price]]</f>
        <v>0.90442578343780056</v>
      </c>
    </row>
    <row r="83" spans="1:105">
      <c r="A83">
        <v>2025</v>
      </c>
      <c r="B83">
        <v>19120114459</v>
      </c>
      <c r="C83">
        <v>-1.7719568419318752</v>
      </c>
      <c r="D83">
        <v>0.17</v>
      </c>
      <c r="E83">
        <v>7552</v>
      </c>
      <c r="F83">
        <v>2</v>
      </c>
      <c r="G83" t="s">
        <v>155</v>
      </c>
      <c r="H83">
        <v>317</v>
      </c>
      <c r="I83" t="s">
        <v>5</v>
      </c>
      <c r="J83" t="s">
        <v>156</v>
      </c>
      <c r="K83">
        <v>11</v>
      </c>
      <c r="L83">
        <v>259</v>
      </c>
      <c r="M83" t="s">
        <v>157</v>
      </c>
      <c r="N83" t="s">
        <v>19</v>
      </c>
      <c r="O83" t="s">
        <v>24</v>
      </c>
      <c r="P83">
        <v>2021</v>
      </c>
      <c r="Q83">
        <v>2021</v>
      </c>
      <c r="R83">
        <v>10</v>
      </c>
      <c r="S83">
        <v>3</v>
      </c>
      <c r="T83">
        <v>3</v>
      </c>
      <c r="U83">
        <v>1</v>
      </c>
      <c r="V83">
        <v>1592</v>
      </c>
      <c r="W83">
        <v>0</v>
      </c>
      <c r="X83">
        <v>0</v>
      </c>
      <c r="Y83">
        <v>0</v>
      </c>
      <c r="Z83">
        <v>0</v>
      </c>
      <c r="AA83">
        <v>0</v>
      </c>
      <c r="AB83">
        <v>1592</v>
      </c>
      <c r="AC83">
        <v>2000</v>
      </c>
      <c r="AD83">
        <v>2</v>
      </c>
      <c r="AE83" t="s">
        <v>56</v>
      </c>
      <c r="AF83" t="s">
        <v>158</v>
      </c>
      <c r="AG83" t="s">
        <v>21</v>
      </c>
      <c r="AI83">
        <v>0</v>
      </c>
      <c r="AJ83">
        <v>0</v>
      </c>
      <c r="AK83">
        <v>1</v>
      </c>
      <c r="AL83">
        <v>0</v>
      </c>
      <c r="AM83">
        <v>0</v>
      </c>
      <c r="AN83">
        <v>9</v>
      </c>
      <c r="AO83">
        <v>480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100</v>
      </c>
      <c r="AV83">
        <v>100</v>
      </c>
      <c r="AW83">
        <v>289826</v>
      </c>
      <c r="AX83">
        <v>286928</v>
      </c>
      <c r="AY83">
        <v>322</v>
      </c>
      <c r="AZ83">
        <v>322</v>
      </c>
      <c r="BA83">
        <v>0</v>
      </c>
      <c r="BB83">
        <v>0</v>
      </c>
      <c r="BC83" s="2">
        <v>44970</v>
      </c>
      <c r="BD83" t="s">
        <v>242</v>
      </c>
      <c r="BE83">
        <v>405000</v>
      </c>
      <c r="BF83">
        <v>405000</v>
      </c>
      <c r="BG83" t="s">
        <v>160</v>
      </c>
      <c r="BH83">
        <v>30</v>
      </c>
      <c r="BI83" t="s">
        <v>56</v>
      </c>
      <c r="BJ83" t="s">
        <v>161</v>
      </c>
      <c r="BK83">
        <v>396600</v>
      </c>
      <c r="BL83">
        <v>61700</v>
      </c>
      <c r="BM83">
        <v>334900</v>
      </c>
      <c r="BN83">
        <v>0</v>
      </c>
      <c r="BO83">
        <v>401590.46525255137</v>
      </c>
      <c r="BP83">
        <v>398532.28292850312</v>
      </c>
      <c r="BQ83">
        <f>(Sales[[#This Row],[DP1]]*Lookups!$B$61)+(Sales[[#This Row],[DP2]]*Lookups!$B$62)+(Sales[[#This Row],[DP3]]*Lookups!$B$63)</f>
        <v>3058.1823132</v>
      </c>
      <c r="BR83">
        <f>Lookups!$B$58*0.6</f>
        <v>132535.48800000001</v>
      </c>
      <c r="BS83">
        <f>Lookups!$B$58*0.4</f>
        <v>88356.992000000013</v>
      </c>
      <c r="BT83">
        <f>Lookups!$B$59*Sales[[#This Row],[LnAcres]]</f>
        <v>-23255.730391660189</v>
      </c>
      <c r="BU83">
        <f>VLOOKUP(Sales[[#This Row],[Qlty]],Lookups!$A$66:$E$79,2,FALSE)</f>
        <v>37154.252388000001</v>
      </c>
      <c r="BV83">
        <f>VLOOKUP(Sales[[#This Row],[Cnd]],Lookups!$A$80:$E$91,2,FALSE)</f>
        <v>47371.278778200001</v>
      </c>
      <c r="BW83">
        <f>Sales[[#This Row],[EffAge]]*Lookups!$B$65</f>
        <v>-326.22329999999999</v>
      </c>
      <c r="BX83">
        <f>Sales[[#This Row],[MainFn]]*Lookups!$B$90</f>
        <v>99357.324960000013</v>
      </c>
      <c r="BY83">
        <f>Sales[[#This Row],[UpprFn]]*Lookups!$B$91</f>
        <v>0</v>
      </c>
      <c r="BZ83">
        <f>Sales[[#This Row],[Bsmt]]*Lookups!$B$95</f>
        <v>0</v>
      </c>
      <c r="CA83">
        <f>VLOOKUP(Sales[[#This Row],[MsnryTrim]],Lookups!$A$90:$E$99,2,FALSE)</f>
        <v>-9412.7029999999995</v>
      </c>
      <c r="CB83">
        <f>Sales[[#This Row],[PrefabFP]]*Lookups!$B$92</f>
        <v>9807.1044999999995</v>
      </c>
      <c r="CC83">
        <f>Sales[[#This Row],[AttGar]]*Lookups!$B$93</f>
        <v>16944.494880000002</v>
      </c>
      <c r="CD83">
        <f>Sales[[#This Row],[BltinGar]]*Lookups!$B$94</f>
        <v>0</v>
      </c>
      <c r="CE83">
        <f>SUM(Sales[[#This Row],[Days Prior Total]:[Mdl BltinGar]])</f>
        <v>401590.46112773987</v>
      </c>
      <c r="CF83">
        <f>ROUND(Sales[[#This Row],[25Det]],-2)</f>
        <v>0</v>
      </c>
      <c r="CG83">
        <f>ROUND(SUM(Sales[[#This Row],[Mdl Qlty]:[Mdl BltinGar]])+Sales[[#This Row],[Mdl Res Intercept]]+Sales[[#This Row],[Days Prior Total]],-2)</f>
        <v>336500</v>
      </c>
      <c r="CH83">
        <f>ROUND(Sales[[#This Row],[Mdl Land Intercept]]+Sales[[#This Row],[Mdl LnAcres]],-2)</f>
        <v>65100</v>
      </c>
      <c r="CI83">
        <f>Sales[[#This Row],[Unadj Res Value]]+Sales[[#This Row],[Unadj Det Value]]+Sales[[#This Row],[Unadj Land Value]]</f>
        <v>401600</v>
      </c>
      <c r="CJ83" s="10">
        <f>Sales[[#This Row],[Price]]/Sales[[#This Row],[Unadj Total Value]]</f>
        <v>1.0084661354581674</v>
      </c>
      <c r="CK83" s="10">
        <f>(Sales[[#This Row],[Unadj Total Value]]-Sales[[#This Row],[24Final]])/Sales[[#This Row],[24Final]]</f>
        <v>1.2607160867372668E-2</v>
      </c>
      <c r="CL83">
        <f>VLOOKUP(Sales[[#This Row],[TNbhd]],Lookups!$M$3:$P$5,4,FALSE)</f>
        <v>0.99970000000000003</v>
      </c>
      <c r="CM83">
        <f>VLOOKUP(Sales[[#This Row],[Qlty]],Lookups!$M$8:$P$22,4,FALSE)</f>
        <v>0.99819999999999998</v>
      </c>
      <c r="CN83">
        <f>VLOOKUP(Sales[[#This Row],[Cnd]],Lookups!$R$8:$U$17,4,FALSE)</f>
        <v>1.0012000000000001</v>
      </c>
      <c r="CO83">
        <f>VLOOKUP(Sales[[#This Row],[LivArea Range]],Lookups!$R$25:$U$43,4,FALSE)</f>
        <v>1.0007999999999999</v>
      </c>
      <c r="CP83">
        <f>VLOOKUP(Sales[[#This Row],[Decade]],Lookups!$M$24:$P$40,4,FALSE)</f>
        <v>1.0024</v>
      </c>
      <c r="CQ83">
        <f>Sales[[#This Row],[Nbhd Adj]]*0.95</f>
        <v>0.94971499999999998</v>
      </c>
      <c r="CR83">
        <f>Sales[[#This Row],[Nbhd Adj]]*Sales[[#This Row],[Quality Adj]]*Sales[[#This Row],[Condition Adj]]*Sales[[#This Row],[Living Area Adj]]*Sales[[#This Row],[Decade Adj]]*0.95</f>
        <v>0.95218219995315945</v>
      </c>
      <c r="CS83">
        <f>ROUND(SUM(Sales[[#This Row],[Mdl Qlty]:[Mdl BltinGar]])+Sales[[#This Row],[Mdl Res Intercept]]*Sales[[#This Row],[Res Adj ]],-2)</f>
        <v>327100</v>
      </c>
      <c r="CT83">
        <f>ROUND(Sales[[#This Row],[25Det]]*Sales[[#This Row],[Det/Nbhd Adj]],-2)</f>
        <v>0</v>
      </c>
      <c r="CU83">
        <f>Sales[[#This Row],[Adjusted Res]]+Sales[[#This Row],[Adj Det ]]</f>
        <v>327100</v>
      </c>
      <c r="CV83">
        <f>ROUND((Sales[[#This Row],[Mdl Land Intercept]]+Sales[[#This Row],[Mdl LnAcres]])*Sales[[#This Row],[Det/Nbhd Adj]],-2)</f>
        <v>61800</v>
      </c>
      <c r="CW83">
        <f>Sales[[#This Row],[Adjusted Impr Total]]+Sales[[#This Row],[Adjusted Land Total]]</f>
        <v>388900</v>
      </c>
      <c r="CX83" s="10">
        <f>IFERROR((Sales[[#This Row],[Adjusted Impr Total]]-Sales[[#This Row],[24Bldg]])/Sales[[#This Row],[24Bldg]],0)</f>
        <v>-2.3290534487906838E-2</v>
      </c>
      <c r="CY83" s="10">
        <f>(Sales[[#This Row],[Adjusted Land Total]]-Sales[[#This Row],[24Lnd]])/Sales[[#This Row],[24Lnd]]</f>
        <v>1.6207455429497568E-3</v>
      </c>
      <c r="CZ83">
        <f>(Sales[[#This Row],[Adjusted Total]]-Sales[[#This Row],[24Final]])/Sales[[#This Row],[24Final]]</f>
        <v>-1.9415027735753907E-2</v>
      </c>
      <c r="DA83" s="10">
        <f>(Sales[[#This Row],[Adjusted Total]]+Sales[[#This Row],[Days Prior Total]])/Sales[[#This Row],[Price]]</f>
        <v>0.96779798102024694</v>
      </c>
    </row>
    <row r="84" spans="1:105">
      <c r="A84">
        <v>2025</v>
      </c>
      <c r="B84">
        <v>19120114461</v>
      </c>
      <c r="C84">
        <v>-1.7147984280919266</v>
      </c>
      <c r="D84">
        <v>0.18</v>
      </c>
      <c r="E84">
        <v>7987</v>
      </c>
      <c r="F84">
        <v>2</v>
      </c>
      <c r="G84" t="s">
        <v>155</v>
      </c>
      <c r="H84">
        <v>317</v>
      </c>
      <c r="I84" t="s">
        <v>5</v>
      </c>
      <c r="J84" t="s">
        <v>156</v>
      </c>
      <c r="K84">
        <v>11</v>
      </c>
      <c r="L84">
        <v>259</v>
      </c>
      <c r="M84" t="s">
        <v>193</v>
      </c>
      <c r="N84" t="s">
        <v>21</v>
      </c>
      <c r="O84" t="s">
        <v>24</v>
      </c>
      <c r="P84">
        <v>2021</v>
      </c>
      <c r="Q84">
        <v>2021</v>
      </c>
      <c r="R84">
        <v>10</v>
      </c>
      <c r="S84">
        <v>3</v>
      </c>
      <c r="T84">
        <v>3</v>
      </c>
      <c r="U84">
        <v>1</v>
      </c>
      <c r="V84">
        <v>1991</v>
      </c>
      <c r="W84">
        <v>0</v>
      </c>
      <c r="X84">
        <v>0</v>
      </c>
      <c r="Y84">
        <v>0</v>
      </c>
      <c r="Z84">
        <v>0</v>
      </c>
      <c r="AA84">
        <v>0</v>
      </c>
      <c r="AB84">
        <v>1991</v>
      </c>
      <c r="AC84">
        <v>2000</v>
      </c>
      <c r="AD84">
        <v>2</v>
      </c>
      <c r="AE84" t="s">
        <v>57</v>
      </c>
      <c r="AF84" t="s">
        <v>158</v>
      </c>
      <c r="AG84" t="s">
        <v>21</v>
      </c>
      <c r="AI84">
        <v>0</v>
      </c>
      <c r="AJ84">
        <v>0</v>
      </c>
      <c r="AK84">
        <v>1</v>
      </c>
      <c r="AL84">
        <v>1</v>
      </c>
      <c r="AM84">
        <v>0</v>
      </c>
      <c r="AN84">
        <v>9</v>
      </c>
      <c r="AO84">
        <v>400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100</v>
      </c>
      <c r="AV84">
        <v>100</v>
      </c>
      <c r="AW84">
        <v>382430</v>
      </c>
      <c r="AX84">
        <v>378606</v>
      </c>
      <c r="AY84">
        <v>860</v>
      </c>
      <c r="AZ84">
        <v>365</v>
      </c>
      <c r="BA84">
        <v>365</v>
      </c>
      <c r="BB84">
        <v>130</v>
      </c>
      <c r="BC84" s="2">
        <v>44432</v>
      </c>
      <c r="BD84" t="s">
        <v>243</v>
      </c>
      <c r="BE84">
        <v>423870</v>
      </c>
      <c r="BF84">
        <v>423870</v>
      </c>
      <c r="BG84" t="s">
        <v>160</v>
      </c>
      <c r="BH84">
        <v>30</v>
      </c>
      <c r="BI84" t="s">
        <v>56</v>
      </c>
      <c r="BJ84" t="s">
        <v>161</v>
      </c>
      <c r="BK84">
        <v>408100</v>
      </c>
      <c r="BL84">
        <v>62500</v>
      </c>
      <c r="BM84">
        <v>345600</v>
      </c>
      <c r="BN84">
        <v>0</v>
      </c>
      <c r="BO84">
        <v>379729.03843611333</v>
      </c>
      <c r="BP84">
        <v>430649.28534383618</v>
      </c>
      <c r="BQ84">
        <f>(Sales[[#This Row],[DP1]]*Lookups!$B$61)+(Sales[[#This Row],[DP2]]*Lookups!$B$62)+(Sales[[#This Row],[DP3]]*Lookups!$B$63)</f>
        <v>-50920.244631000001</v>
      </c>
      <c r="BR84">
        <f>Lookups!$B$58*0.6</f>
        <v>132535.48800000001</v>
      </c>
      <c r="BS84">
        <f>Lookups!$B$58*0.4</f>
        <v>88356.992000000013</v>
      </c>
      <c r="BT84">
        <f>Lookups!$B$59*Sales[[#This Row],[LnAcres]]</f>
        <v>-22505.565020573864</v>
      </c>
      <c r="BU84">
        <f>VLOOKUP(Sales[[#This Row],[Qlty]],Lookups!$A$66:$E$79,2,FALSE)</f>
        <v>32917.849192000001</v>
      </c>
      <c r="BV84">
        <f>VLOOKUP(Sales[[#This Row],[Cnd]],Lookups!$A$80:$E$91,2,FALSE)</f>
        <v>47371.278778200001</v>
      </c>
      <c r="BW84">
        <f>Sales[[#This Row],[EffAge]]*Lookups!$B$65</f>
        <v>-326.22329999999999</v>
      </c>
      <c r="BX84">
        <f>Sales[[#This Row],[MainFn]]*Lookups!$B$90</f>
        <v>124259.06658000001</v>
      </c>
      <c r="BY84">
        <f>Sales[[#This Row],[UpprFn]]*Lookups!$B$91</f>
        <v>0</v>
      </c>
      <c r="BZ84">
        <f>Sales[[#This Row],[Bsmt]]*Lookups!$B$95</f>
        <v>0</v>
      </c>
      <c r="CA84">
        <f>VLOOKUP(Sales[[#This Row],[MsnryTrim]],Lookups!$A$90:$E$99,2,FALSE)</f>
        <v>4112.8784489</v>
      </c>
      <c r="CB84">
        <f>Sales[[#This Row],[PrefabFP]]*Lookups!$B$92</f>
        <v>9807.1044999999995</v>
      </c>
      <c r="CC84">
        <f>Sales[[#This Row],[AttGar]]*Lookups!$B$93</f>
        <v>14120.412400000001</v>
      </c>
      <c r="CD84">
        <f>Sales[[#This Row],[BltinGar]]*Lookups!$B$94</f>
        <v>0</v>
      </c>
      <c r="CE84">
        <f>SUM(Sales[[#This Row],[Days Prior Total]:[Mdl BltinGar]])</f>
        <v>379729.03694752615</v>
      </c>
      <c r="CF84">
        <f>ROUND(Sales[[#This Row],[25Det]],-2)</f>
        <v>0</v>
      </c>
      <c r="CG84">
        <f>ROUND(SUM(Sales[[#This Row],[Mdl Qlty]:[Mdl BltinGar]])+Sales[[#This Row],[Mdl Res Intercept]]+Sales[[#This Row],[Days Prior Total]],-2)</f>
        <v>313900</v>
      </c>
      <c r="CH84">
        <f>ROUND(Sales[[#This Row],[Mdl Land Intercept]]+Sales[[#This Row],[Mdl LnAcres]],-2)</f>
        <v>65900</v>
      </c>
      <c r="CI84">
        <f>Sales[[#This Row],[Unadj Res Value]]+Sales[[#This Row],[Unadj Det Value]]+Sales[[#This Row],[Unadj Land Value]]</f>
        <v>379800</v>
      </c>
      <c r="CJ84" s="10">
        <f>Sales[[#This Row],[Price]]/Sales[[#This Row],[Unadj Total Value]]</f>
        <v>1.1160347551342813</v>
      </c>
      <c r="CK84" s="10">
        <f>(Sales[[#This Row],[Unadj Total Value]]-Sales[[#This Row],[24Final]])/Sales[[#This Row],[24Final]]</f>
        <v>-6.9345748591031611E-2</v>
      </c>
      <c r="CL84">
        <f>VLOOKUP(Sales[[#This Row],[TNbhd]],Lookups!$M$3:$P$5,4,FALSE)</f>
        <v>0.99970000000000003</v>
      </c>
      <c r="CM84">
        <f>VLOOKUP(Sales[[#This Row],[Qlty]],Lookups!$M$8:$P$22,4,FALSE)</f>
        <v>1.0019</v>
      </c>
      <c r="CN84">
        <f>VLOOKUP(Sales[[#This Row],[Cnd]],Lookups!$R$8:$U$17,4,FALSE)</f>
        <v>1.0012000000000001</v>
      </c>
      <c r="CO84">
        <f>VLOOKUP(Sales[[#This Row],[LivArea Range]],Lookups!$R$25:$U$43,4,FALSE)</f>
        <v>1.0007999999999999</v>
      </c>
      <c r="CP84">
        <f>VLOOKUP(Sales[[#This Row],[Decade]],Lookups!$M$24:$P$40,4,FALSE)</f>
        <v>1.0024</v>
      </c>
      <c r="CQ84">
        <f>Sales[[#This Row],[Nbhd Adj]]*0.95</f>
        <v>0.94971499999999998</v>
      </c>
      <c r="CR84">
        <f>Sales[[#This Row],[Nbhd Adj]]*Sales[[#This Row],[Quality Adj]]*Sales[[#This Row],[Condition Adj]]*Sales[[#This Row],[Living Area Adj]]*Sales[[#This Row],[Decade Adj]]*0.95</f>
        <v>0.95571162706178159</v>
      </c>
      <c r="CS84">
        <f>ROUND(SUM(Sales[[#This Row],[Mdl Qlty]:[Mdl BltinGar]])+Sales[[#This Row],[Mdl Res Intercept]]*Sales[[#This Row],[Res Adj ]],-2)</f>
        <v>358900</v>
      </c>
      <c r="CT84">
        <f>ROUND(Sales[[#This Row],[25Det]]*Sales[[#This Row],[Det/Nbhd Adj]],-2)</f>
        <v>0</v>
      </c>
      <c r="CU84">
        <f>Sales[[#This Row],[Adjusted Res]]+Sales[[#This Row],[Adj Det ]]</f>
        <v>358900</v>
      </c>
      <c r="CV84">
        <f>ROUND((Sales[[#This Row],[Mdl Land Intercept]]+Sales[[#This Row],[Mdl LnAcres]])*Sales[[#This Row],[Det/Nbhd Adj]],-2)</f>
        <v>62500</v>
      </c>
      <c r="CW84">
        <f>Sales[[#This Row],[Adjusted Impr Total]]+Sales[[#This Row],[Adjusted Land Total]]</f>
        <v>421400</v>
      </c>
      <c r="CX84" s="10">
        <f>IFERROR((Sales[[#This Row],[Adjusted Impr Total]]-Sales[[#This Row],[24Bldg]])/Sales[[#This Row],[24Bldg]],0)</f>
        <v>3.8483796296296294E-2</v>
      </c>
      <c r="CY84" s="10">
        <f>(Sales[[#This Row],[Adjusted Land Total]]-Sales[[#This Row],[24Lnd]])/Sales[[#This Row],[24Lnd]]</f>
        <v>0</v>
      </c>
      <c r="CZ84">
        <f>(Sales[[#This Row],[Adjusted Total]]-Sales[[#This Row],[24Final]])/Sales[[#This Row],[24Final]]</f>
        <v>3.2590051457975985E-2</v>
      </c>
      <c r="DA84" s="10">
        <f>(Sales[[#This Row],[Adjusted Total]]+Sales[[#This Row],[Days Prior Total]])/Sales[[#This Row],[Price]]</f>
        <v>0.87404099221223497</v>
      </c>
    </row>
    <row r="85" spans="1:105">
      <c r="A85">
        <v>2025</v>
      </c>
      <c r="B85">
        <v>19120114462</v>
      </c>
      <c r="C85">
        <v>-1.7147984280919266</v>
      </c>
      <c r="D85">
        <v>0.18</v>
      </c>
      <c r="E85">
        <v>7982</v>
      </c>
      <c r="F85">
        <v>2</v>
      </c>
      <c r="G85" t="s">
        <v>155</v>
      </c>
      <c r="H85">
        <v>317</v>
      </c>
      <c r="I85" t="s">
        <v>5</v>
      </c>
      <c r="J85" t="s">
        <v>156</v>
      </c>
      <c r="K85">
        <v>11</v>
      </c>
      <c r="L85">
        <v>259</v>
      </c>
      <c r="M85" t="s">
        <v>157</v>
      </c>
      <c r="N85" t="s">
        <v>19</v>
      </c>
      <c r="O85" t="s">
        <v>24</v>
      </c>
      <c r="P85">
        <v>2021</v>
      </c>
      <c r="Q85">
        <v>2021</v>
      </c>
      <c r="R85">
        <v>10</v>
      </c>
      <c r="S85">
        <v>3</v>
      </c>
      <c r="T85">
        <v>3</v>
      </c>
      <c r="U85">
        <v>1</v>
      </c>
      <c r="V85">
        <v>1810</v>
      </c>
      <c r="W85">
        <v>0</v>
      </c>
      <c r="X85">
        <v>0</v>
      </c>
      <c r="Y85">
        <v>0</v>
      </c>
      <c r="Z85">
        <v>0</v>
      </c>
      <c r="AA85">
        <v>0</v>
      </c>
      <c r="AB85">
        <v>1810</v>
      </c>
      <c r="AC85">
        <v>2000</v>
      </c>
      <c r="AD85">
        <v>2</v>
      </c>
      <c r="AE85" t="s">
        <v>56</v>
      </c>
      <c r="AF85" t="s">
        <v>158</v>
      </c>
      <c r="AG85" t="s">
        <v>21</v>
      </c>
      <c r="AI85">
        <v>0</v>
      </c>
      <c r="AJ85">
        <v>0</v>
      </c>
      <c r="AK85">
        <v>1</v>
      </c>
      <c r="AL85">
        <v>0</v>
      </c>
      <c r="AM85">
        <v>0</v>
      </c>
      <c r="AN85">
        <v>11</v>
      </c>
      <c r="AO85">
        <v>510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100</v>
      </c>
      <c r="AV85">
        <v>100</v>
      </c>
      <c r="AW85">
        <v>327618</v>
      </c>
      <c r="AX85">
        <v>324342</v>
      </c>
      <c r="AY85">
        <v>669</v>
      </c>
      <c r="AZ85">
        <v>365</v>
      </c>
      <c r="BA85">
        <v>304</v>
      </c>
      <c r="BB85">
        <v>0</v>
      </c>
      <c r="BC85" s="2">
        <v>44623</v>
      </c>
      <c r="BD85" t="s">
        <v>244</v>
      </c>
      <c r="BE85">
        <v>397990</v>
      </c>
      <c r="BF85">
        <v>397990</v>
      </c>
      <c r="BG85" t="s">
        <v>160</v>
      </c>
      <c r="BH85">
        <v>30</v>
      </c>
      <c r="BI85" t="s">
        <v>56</v>
      </c>
      <c r="BJ85" t="s">
        <v>161</v>
      </c>
      <c r="BK85">
        <v>410900</v>
      </c>
      <c r="BL85">
        <v>62500</v>
      </c>
      <c r="BM85">
        <v>348400</v>
      </c>
      <c r="BN85">
        <v>0</v>
      </c>
      <c r="BO85">
        <v>396910.675010579</v>
      </c>
      <c r="BP85">
        <v>413946.94205588102</v>
      </c>
      <c r="BQ85">
        <f>(Sales[[#This Row],[DP1]]*Lookups!$B$61)+(Sales[[#This Row],[DP2]]*Lookups!$B$62)+(Sales[[#This Row],[DP3]]*Lookups!$B$63)</f>
        <v>-17036.266081000002</v>
      </c>
      <c r="BR85">
        <f>Lookups!$B$58*0.6</f>
        <v>132535.48800000001</v>
      </c>
      <c r="BS85">
        <f>Lookups!$B$58*0.4</f>
        <v>88356.992000000013</v>
      </c>
      <c r="BT85">
        <f>Lookups!$B$59*Sales[[#This Row],[LnAcres]]</f>
        <v>-22505.565020573864</v>
      </c>
      <c r="BU85">
        <f>VLOOKUP(Sales[[#This Row],[Qlty]],Lookups!$A$66:$E$79,2,FALSE)</f>
        <v>37154.252388000001</v>
      </c>
      <c r="BV85">
        <f>VLOOKUP(Sales[[#This Row],[Cnd]],Lookups!$A$80:$E$91,2,FALSE)</f>
        <v>47371.278778200001</v>
      </c>
      <c r="BW85">
        <f>Sales[[#This Row],[EffAge]]*Lookups!$B$65</f>
        <v>-326.22329999999999</v>
      </c>
      <c r="BX85">
        <f>Sales[[#This Row],[MainFn]]*Lookups!$B$90</f>
        <v>112962.78780000001</v>
      </c>
      <c r="BY85">
        <f>Sales[[#This Row],[UpprFn]]*Lookups!$B$91</f>
        <v>0</v>
      </c>
      <c r="BZ85">
        <f>Sales[[#This Row],[Bsmt]]*Lookups!$B$95</f>
        <v>0</v>
      </c>
      <c r="CA85">
        <f>VLOOKUP(Sales[[#This Row],[MsnryTrim]],Lookups!$A$90:$E$99,2,FALSE)</f>
        <v>-9412.7029999999995</v>
      </c>
      <c r="CB85">
        <f>Sales[[#This Row],[PrefabFP]]*Lookups!$B$92</f>
        <v>9807.1044999999995</v>
      </c>
      <c r="CC85">
        <f>Sales[[#This Row],[AttGar]]*Lookups!$B$93</f>
        <v>18003.525809999999</v>
      </c>
      <c r="CD85">
        <f>Sales[[#This Row],[BltinGar]]*Lookups!$B$94</f>
        <v>0</v>
      </c>
      <c r="CE85">
        <f>SUM(Sales[[#This Row],[Days Prior Total]:[Mdl BltinGar]])</f>
        <v>396910.67187462619</v>
      </c>
      <c r="CF85">
        <f>ROUND(Sales[[#This Row],[25Det]],-2)</f>
        <v>0</v>
      </c>
      <c r="CG85">
        <f>ROUND(SUM(Sales[[#This Row],[Mdl Qlty]:[Mdl BltinGar]])+Sales[[#This Row],[Mdl Res Intercept]]+Sales[[#This Row],[Days Prior Total]],-2)</f>
        <v>331100</v>
      </c>
      <c r="CH85">
        <f>ROUND(Sales[[#This Row],[Mdl Land Intercept]]+Sales[[#This Row],[Mdl LnAcres]],-2)</f>
        <v>65900</v>
      </c>
      <c r="CI85">
        <f>Sales[[#This Row],[Unadj Res Value]]+Sales[[#This Row],[Unadj Det Value]]+Sales[[#This Row],[Unadj Land Value]]</f>
        <v>397000</v>
      </c>
      <c r="CJ85" s="10">
        <f>Sales[[#This Row],[Price]]/Sales[[#This Row],[Unadj Total Value]]</f>
        <v>1.0024937027707808</v>
      </c>
      <c r="CK85" s="10">
        <f>(Sales[[#This Row],[Unadj Total Value]]-Sales[[#This Row],[24Final]])/Sales[[#This Row],[24Final]]</f>
        <v>-3.3828182039425649E-2</v>
      </c>
      <c r="CL85">
        <f>VLOOKUP(Sales[[#This Row],[TNbhd]],Lookups!$M$3:$P$5,4,FALSE)</f>
        <v>0.99970000000000003</v>
      </c>
      <c r="CM85">
        <f>VLOOKUP(Sales[[#This Row],[Qlty]],Lookups!$M$8:$P$22,4,FALSE)</f>
        <v>0.99819999999999998</v>
      </c>
      <c r="CN85">
        <f>VLOOKUP(Sales[[#This Row],[Cnd]],Lookups!$R$8:$U$17,4,FALSE)</f>
        <v>1.0012000000000001</v>
      </c>
      <c r="CO85">
        <f>VLOOKUP(Sales[[#This Row],[LivArea Range]],Lookups!$R$25:$U$43,4,FALSE)</f>
        <v>1.0007999999999999</v>
      </c>
      <c r="CP85">
        <f>VLOOKUP(Sales[[#This Row],[Decade]],Lookups!$M$24:$P$40,4,FALSE)</f>
        <v>1.0024</v>
      </c>
      <c r="CQ85">
        <f>Sales[[#This Row],[Nbhd Adj]]*0.95</f>
        <v>0.94971499999999998</v>
      </c>
      <c r="CR85">
        <f>Sales[[#This Row],[Nbhd Adj]]*Sales[[#This Row],[Quality Adj]]*Sales[[#This Row],[Condition Adj]]*Sales[[#This Row],[Living Area Adj]]*Sales[[#This Row],[Decade Adj]]*0.95</f>
        <v>0.95218219995315945</v>
      </c>
      <c r="CS85">
        <f>ROUND(SUM(Sales[[#This Row],[Mdl Qlty]:[Mdl BltinGar]])+Sales[[#This Row],[Mdl Res Intercept]]*Sales[[#This Row],[Res Adj ]],-2)</f>
        <v>341800</v>
      </c>
      <c r="CT85">
        <f>ROUND(Sales[[#This Row],[25Det]]*Sales[[#This Row],[Det/Nbhd Adj]],-2)</f>
        <v>0</v>
      </c>
      <c r="CU85">
        <f>Sales[[#This Row],[Adjusted Res]]+Sales[[#This Row],[Adj Det ]]</f>
        <v>341800</v>
      </c>
      <c r="CV85">
        <f>ROUND((Sales[[#This Row],[Mdl Land Intercept]]+Sales[[#This Row],[Mdl LnAcres]])*Sales[[#This Row],[Det/Nbhd Adj]],-2)</f>
        <v>62500</v>
      </c>
      <c r="CW85">
        <f>Sales[[#This Row],[Adjusted Impr Total]]+Sales[[#This Row],[Adjusted Land Total]]</f>
        <v>404300</v>
      </c>
      <c r="CX85" s="10">
        <f>IFERROR((Sales[[#This Row],[Adjusted Impr Total]]-Sales[[#This Row],[24Bldg]])/Sales[[#This Row],[24Bldg]],0)</f>
        <v>-1.8943742824339839E-2</v>
      </c>
      <c r="CY85" s="10">
        <f>(Sales[[#This Row],[Adjusted Land Total]]-Sales[[#This Row],[24Lnd]])/Sales[[#This Row],[24Lnd]]</f>
        <v>0</v>
      </c>
      <c r="CZ85">
        <f>(Sales[[#This Row],[Adjusted Total]]-Sales[[#This Row],[24Final]])/Sales[[#This Row],[24Final]]</f>
        <v>-1.6062302263324411E-2</v>
      </c>
      <c r="DA85" s="10">
        <f>(Sales[[#This Row],[Adjusted Total]]+Sales[[#This Row],[Days Prior Total]])/Sales[[#This Row],[Price]]</f>
        <v>0.97304890554787815</v>
      </c>
    </row>
    <row r="86" spans="1:105">
      <c r="A86">
        <v>2025</v>
      </c>
      <c r="B86">
        <v>19120114463</v>
      </c>
      <c r="C86">
        <v>-1.4696759700589417</v>
      </c>
      <c r="D86">
        <v>0.23</v>
      </c>
      <c r="E86">
        <v>9865</v>
      </c>
      <c r="F86">
        <v>2</v>
      </c>
      <c r="G86" t="s">
        <v>155</v>
      </c>
      <c r="H86">
        <v>317</v>
      </c>
      <c r="I86" t="s">
        <v>5</v>
      </c>
      <c r="J86" t="s">
        <v>156</v>
      </c>
      <c r="K86">
        <v>11</v>
      </c>
      <c r="L86">
        <v>259</v>
      </c>
      <c r="M86" t="s">
        <v>157</v>
      </c>
      <c r="N86" t="s">
        <v>21</v>
      </c>
      <c r="O86" t="s">
        <v>24</v>
      </c>
      <c r="P86">
        <v>2021</v>
      </c>
      <c r="Q86">
        <v>2021</v>
      </c>
      <c r="R86">
        <v>10</v>
      </c>
      <c r="S86">
        <v>3</v>
      </c>
      <c r="T86">
        <v>3</v>
      </c>
      <c r="U86">
        <v>2</v>
      </c>
      <c r="V86">
        <v>930</v>
      </c>
      <c r="W86">
        <v>1296</v>
      </c>
      <c r="X86">
        <v>0</v>
      </c>
      <c r="Y86">
        <v>0</v>
      </c>
      <c r="Z86">
        <v>0</v>
      </c>
      <c r="AA86">
        <v>0</v>
      </c>
      <c r="AB86">
        <v>2226</v>
      </c>
      <c r="AC86">
        <v>2500</v>
      </c>
      <c r="AD86">
        <v>3</v>
      </c>
      <c r="AE86" t="s">
        <v>55</v>
      </c>
      <c r="AF86" t="s">
        <v>158</v>
      </c>
      <c r="AG86" t="s">
        <v>21</v>
      </c>
      <c r="AI86">
        <v>0</v>
      </c>
      <c r="AJ86">
        <v>0</v>
      </c>
      <c r="AK86">
        <v>1</v>
      </c>
      <c r="AL86">
        <v>0</v>
      </c>
      <c r="AM86">
        <v>1</v>
      </c>
      <c r="AN86">
        <v>13</v>
      </c>
      <c r="AO86">
        <v>0</v>
      </c>
      <c r="AP86">
        <v>768</v>
      </c>
      <c r="AQ86">
        <v>0</v>
      </c>
      <c r="AR86">
        <v>0</v>
      </c>
      <c r="AS86">
        <v>100</v>
      </c>
      <c r="AT86">
        <v>0</v>
      </c>
      <c r="AU86">
        <v>100</v>
      </c>
      <c r="AV86">
        <v>100</v>
      </c>
      <c r="AW86">
        <v>410967</v>
      </c>
      <c r="AX86">
        <v>406857</v>
      </c>
      <c r="AY86">
        <v>762</v>
      </c>
      <c r="AZ86">
        <v>365</v>
      </c>
      <c r="BA86">
        <v>365</v>
      </c>
      <c r="BB86">
        <v>32</v>
      </c>
      <c r="BC86" s="2">
        <v>44530</v>
      </c>
      <c r="BD86" t="s">
        <v>245</v>
      </c>
      <c r="BE86">
        <v>425716</v>
      </c>
      <c r="BF86">
        <v>425716</v>
      </c>
      <c r="BG86" t="s">
        <v>160</v>
      </c>
      <c r="BH86">
        <v>30</v>
      </c>
      <c r="BI86" t="s">
        <v>56</v>
      </c>
      <c r="BJ86" t="s">
        <v>161</v>
      </c>
      <c r="BK86">
        <v>436600</v>
      </c>
      <c r="BL86">
        <v>65900</v>
      </c>
      <c r="BM86">
        <v>370700</v>
      </c>
      <c r="BN86">
        <v>0</v>
      </c>
      <c r="BO86">
        <v>441390.08471219457</v>
      </c>
      <c r="BP86">
        <v>469868.38957827952</v>
      </c>
      <c r="BQ86">
        <f>(Sales[[#This Row],[DP1]]*Lookups!$B$61)+(Sales[[#This Row],[DP2]]*Lookups!$B$62)+(Sales[[#This Row],[DP3]]*Lookups!$B$63)</f>
        <v>-28478.303431</v>
      </c>
      <c r="BR86">
        <f>Lookups!$B$58*0.6</f>
        <v>132535.48800000001</v>
      </c>
      <c r="BS86">
        <f>Lookups!$B$58*0.4</f>
        <v>88356.992000000013</v>
      </c>
      <c r="BT86">
        <f>Lookups!$B$59*Sales[[#This Row],[LnAcres]]</f>
        <v>-19288.499197039939</v>
      </c>
      <c r="BU86">
        <f>VLOOKUP(Sales[[#This Row],[Qlty]],Lookups!$A$66:$E$79,2,FALSE)</f>
        <v>32917.849192000001</v>
      </c>
      <c r="BV86">
        <f>VLOOKUP(Sales[[#This Row],[Cnd]],Lookups!$A$80:$E$91,2,FALSE)</f>
        <v>47371.278778200001</v>
      </c>
      <c r="BW86">
        <f>Sales[[#This Row],[EffAge]]*Lookups!$B$65</f>
        <v>-326.22329999999999</v>
      </c>
      <c r="BX86">
        <f>Sales[[#This Row],[MainFn]]*Lookups!$B$90</f>
        <v>58041.653400000003</v>
      </c>
      <c r="BY86">
        <f>Sales[[#This Row],[UpprFn]]*Lookups!$B$91</f>
        <v>77216.176368</v>
      </c>
      <c r="BZ86">
        <f>Sales[[#This Row],[Bsmt]]*Lookups!$B$95</f>
        <v>0</v>
      </c>
      <c r="CA86">
        <f>VLOOKUP(Sales[[#This Row],[MsnryTrim]],Lookups!$A$90:$E$99,2,FALSE)</f>
        <v>5299.8242</v>
      </c>
      <c r="CB86">
        <f>Sales[[#This Row],[PrefabFP]]*Lookups!$B$92</f>
        <v>9807.1044999999995</v>
      </c>
      <c r="CC86">
        <f>Sales[[#This Row],[AttGar]]*Lookups!$B$93</f>
        <v>0</v>
      </c>
      <c r="CD86">
        <f>Sales[[#This Row],[BltinGar]]*Lookups!$B$94</f>
        <v>37936.742400000003</v>
      </c>
      <c r="CE86">
        <f>SUM(Sales[[#This Row],[Days Prior Total]:[Mdl BltinGar]])</f>
        <v>441390.08291016001</v>
      </c>
      <c r="CF86">
        <f>ROUND(Sales[[#This Row],[25Det]],-2)</f>
        <v>0</v>
      </c>
      <c r="CG86">
        <f>ROUND(SUM(Sales[[#This Row],[Mdl Qlty]:[Mdl BltinGar]])+Sales[[#This Row],[Mdl Res Intercept]]+Sales[[#This Row],[Days Prior Total]],-2)</f>
        <v>372300</v>
      </c>
      <c r="CH86">
        <f>ROUND(Sales[[#This Row],[Mdl Land Intercept]]+Sales[[#This Row],[Mdl LnAcres]],-2)</f>
        <v>69100</v>
      </c>
      <c r="CI86">
        <f>Sales[[#This Row],[Unadj Res Value]]+Sales[[#This Row],[Unadj Det Value]]+Sales[[#This Row],[Unadj Land Value]]</f>
        <v>441400</v>
      </c>
      <c r="CJ86" s="10">
        <f>Sales[[#This Row],[Price]]/Sales[[#This Row],[Unadj Total Value]]</f>
        <v>0.96446760308110557</v>
      </c>
      <c r="CK86" s="10">
        <f>(Sales[[#This Row],[Unadj Total Value]]-Sales[[#This Row],[24Final]])/Sales[[#This Row],[24Final]]</f>
        <v>1.0994044892349977E-2</v>
      </c>
      <c r="CL86">
        <f>VLOOKUP(Sales[[#This Row],[TNbhd]],Lookups!$M$3:$P$5,4,FALSE)</f>
        <v>0.99970000000000003</v>
      </c>
      <c r="CM86">
        <f>VLOOKUP(Sales[[#This Row],[Qlty]],Lookups!$M$8:$P$22,4,FALSE)</f>
        <v>1.0019</v>
      </c>
      <c r="CN86">
        <f>VLOOKUP(Sales[[#This Row],[Cnd]],Lookups!$R$8:$U$17,4,FALSE)</f>
        <v>1.0012000000000001</v>
      </c>
      <c r="CO86">
        <f>VLOOKUP(Sales[[#This Row],[LivArea Range]],Lookups!$R$25:$U$43,4,FALSE)</f>
        <v>1.0008999999999999</v>
      </c>
      <c r="CP86">
        <f>VLOOKUP(Sales[[#This Row],[Decade]],Lookups!$M$24:$P$40,4,FALSE)</f>
        <v>1.0024</v>
      </c>
      <c r="CQ86">
        <f>Sales[[#This Row],[Nbhd Adj]]*0.95</f>
        <v>0.94971499999999998</v>
      </c>
      <c r="CR86">
        <f>Sales[[#This Row],[Nbhd Adj]]*Sales[[#This Row],[Quality Adj]]*Sales[[#This Row],[Condition Adj]]*Sales[[#This Row],[Living Area Adj]]*Sales[[#This Row],[Decade Adj]]*0.95</f>
        <v>0.95580712182867422</v>
      </c>
      <c r="CS86">
        <f>ROUND(SUM(Sales[[#This Row],[Mdl Qlty]:[Mdl BltinGar]])+Sales[[#This Row],[Mdl Res Intercept]]*Sales[[#This Row],[Res Adj ]],-2)</f>
        <v>394900</v>
      </c>
      <c r="CT86">
        <f>ROUND(Sales[[#This Row],[25Det]]*Sales[[#This Row],[Det/Nbhd Adj]],-2)</f>
        <v>0</v>
      </c>
      <c r="CU86">
        <f>Sales[[#This Row],[Adjusted Res]]+Sales[[#This Row],[Adj Det ]]</f>
        <v>394900</v>
      </c>
      <c r="CV86">
        <f>ROUND((Sales[[#This Row],[Mdl Land Intercept]]+Sales[[#This Row],[Mdl LnAcres]])*Sales[[#This Row],[Det/Nbhd Adj]],-2)</f>
        <v>65600</v>
      </c>
      <c r="CW86">
        <f>Sales[[#This Row],[Adjusted Impr Total]]+Sales[[#This Row],[Adjusted Land Total]]</f>
        <v>460500</v>
      </c>
      <c r="CX86" s="10">
        <f>IFERROR((Sales[[#This Row],[Adjusted Impr Total]]-Sales[[#This Row],[24Bldg]])/Sales[[#This Row],[24Bldg]],0)</f>
        <v>6.5281899109792291E-2</v>
      </c>
      <c r="CY86" s="10">
        <f>(Sales[[#This Row],[Adjusted Land Total]]-Sales[[#This Row],[24Lnd]])/Sales[[#This Row],[24Lnd]]</f>
        <v>-4.552352048558422E-3</v>
      </c>
      <c r="CZ86">
        <f>(Sales[[#This Row],[Adjusted Total]]-Sales[[#This Row],[24Final]])/Sales[[#This Row],[24Final]]</f>
        <v>5.4741181859825926E-2</v>
      </c>
      <c r="DA86" s="10">
        <f>(Sales[[#This Row],[Adjusted Total]]+Sales[[#This Row],[Days Prior Total]])/Sales[[#This Row],[Price]]</f>
        <v>1.0148119792749157</v>
      </c>
    </row>
    <row r="87" spans="1:105">
      <c r="A87">
        <v>2025</v>
      </c>
      <c r="B87">
        <v>19120114464</v>
      </c>
      <c r="C87">
        <v>-1.4696759700589417</v>
      </c>
      <c r="D87">
        <v>0.23</v>
      </c>
      <c r="E87">
        <v>10184</v>
      </c>
      <c r="F87">
        <v>2</v>
      </c>
      <c r="G87" t="s">
        <v>155</v>
      </c>
      <c r="H87">
        <v>317</v>
      </c>
      <c r="I87" t="s">
        <v>5</v>
      </c>
      <c r="J87" t="s">
        <v>156</v>
      </c>
      <c r="K87">
        <v>11</v>
      </c>
      <c r="L87">
        <v>259</v>
      </c>
      <c r="M87" t="s">
        <v>157</v>
      </c>
      <c r="N87" t="s">
        <v>19</v>
      </c>
      <c r="O87" t="s">
        <v>24</v>
      </c>
      <c r="P87">
        <v>2021</v>
      </c>
      <c r="Q87">
        <v>2021</v>
      </c>
      <c r="R87">
        <v>10</v>
      </c>
      <c r="S87">
        <v>3</v>
      </c>
      <c r="T87">
        <v>3</v>
      </c>
      <c r="U87">
        <v>1</v>
      </c>
      <c r="V87">
        <v>1388</v>
      </c>
      <c r="W87">
        <v>0</v>
      </c>
      <c r="X87">
        <v>0</v>
      </c>
      <c r="Y87">
        <v>0</v>
      </c>
      <c r="Z87">
        <v>0</v>
      </c>
      <c r="AA87">
        <v>0</v>
      </c>
      <c r="AB87">
        <v>1388</v>
      </c>
      <c r="AC87">
        <v>1500</v>
      </c>
      <c r="AD87">
        <v>2</v>
      </c>
      <c r="AE87" t="s">
        <v>56</v>
      </c>
      <c r="AF87" t="s">
        <v>158</v>
      </c>
      <c r="AG87" t="s">
        <v>21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9</v>
      </c>
      <c r="AO87">
        <v>400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100</v>
      </c>
      <c r="AV87">
        <v>100</v>
      </c>
      <c r="AW87">
        <v>258652</v>
      </c>
      <c r="AX87">
        <v>256065</v>
      </c>
      <c r="AY87">
        <v>752</v>
      </c>
      <c r="AZ87">
        <v>365</v>
      </c>
      <c r="BA87">
        <v>365</v>
      </c>
      <c r="BB87">
        <v>22</v>
      </c>
      <c r="BC87" s="2">
        <v>44540</v>
      </c>
      <c r="BD87" t="s">
        <v>246</v>
      </c>
      <c r="BE87">
        <v>366281</v>
      </c>
      <c r="BF87">
        <v>366281</v>
      </c>
      <c r="BG87" t="s">
        <v>160</v>
      </c>
      <c r="BH87">
        <v>30</v>
      </c>
      <c r="BI87" t="s">
        <v>56</v>
      </c>
      <c r="BJ87" t="s">
        <v>161</v>
      </c>
      <c r="BK87">
        <v>391600</v>
      </c>
      <c r="BL87">
        <v>65900</v>
      </c>
      <c r="BM87">
        <v>325700</v>
      </c>
      <c r="BN87">
        <v>0</v>
      </c>
      <c r="BO87">
        <v>350948.29880377796</v>
      </c>
      <c r="BP87">
        <v>377136.60958398139</v>
      </c>
      <c r="BQ87">
        <f>(Sales[[#This Row],[DP1]]*Lookups!$B$61)+(Sales[[#This Row],[DP2]]*Lookups!$B$62)+(Sales[[#This Row],[DP3]]*Lookups!$B$63)</f>
        <v>-26188.309431000001</v>
      </c>
      <c r="BR87">
        <f>Lookups!$B$58*0.6</f>
        <v>132535.48800000001</v>
      </c>
      <c r="BS87">
        <f>Lookups!$B$58*0.4</f>
        <v>88356.992000000013</v>
      </c>
      <c r="BT87">
        <f>Lookups!$B$59*Sales[[#This Row],[LnAcres]]</f>
        <v>-19288.499197039939</v>
      </c>
      <c r="BU87">
        <f>VLOOKUP(Sales[[#This Row],[Qlty]],Lookups!$A$66:$E$79,2,FALSE)</f>
        <v>37154.252388000001</v>
      </c>
      <c r="BV87">
        <f>VLOOKUP(Sales[[#This Row],[Cnd]],Lookups!$A$80:$E$91,2,FALSE)</f>
        <v>47371.278778200001</v>
      </c>
      <c r="BW87">
        <f>Sales[[#This Row],[EffAge]]*Lookups!$B$65</f>
        <v>-326.22329999999999</v>
      </c>
      <c r="BX87">
        <f>Sales[[#This Row],[MainFn]]*Lookups!$B$90</f>
        <v>86625.607440000007</v>
      </c>
      <c r="BY87">
        <f>Sales[[#This Row],[UpprFn]]*Lookups!$B$91</f>
        <v>0</v>
      </c>
      <c r="BZ87">
        <f>Sales[[#This Row],[Bsmt]]*Lookups!$B$95</f>
        <v>0</v>
      </c>
      <c r="CA87">
        <f>VLOOKUP(Sales[[#This Row],[MsnryTrim]],Lookups!$A$90:$E$99,2,FALSE)</f>
        <v>-9412.7029999999995</v>
      </c>
      <c r="CB87">
        <f>Sales[[#This Row],[PrefabFP]]*Lookups!$B$92</f>
        <v>0</v>
      </c>
      <c r="CC87">
        <f>Sales[[#This Row],[AttGar]]*Lookups!$B$93</f>
        <v>14120.412400000001</v>
      </c>
      <c r="CD87">
        <f>Sales[[#This Row],[BltinGar]]*Lookups!$B$94</f>
        <v>0</v>
      </c>
      <c r="CE87">
        <f>SUM(Sales[[#This Row],[Days Prior Total]:[Mdl BltinGar]])</f>
        <v>350948.29607816006</v>
      </c>
      <c r="CF87">
        <f>ROUND(Sales[[#This Row],[25Det]],-2)</f>
        <v>0</v>
      </c>
      <c r="CG87">
        <f>ROUND(SUM(Sales[[#This Row],[Mdl Qlty]:[Mdl BltinGar]])+Sales[[#This Row],[Mdl Res Intercept]]+Sales[[#This Row],[Days Prior Total]],-2)</f>
        <v>281900</v>
      </c>
      <c r="CH87">
        <f>ROUND(Sales[[#This Row],[Mdl Land Intercept]]+Sales[[#This Row],[Mdl LnAcres]],-2)</f>
        <v>69100</v>
      </c>
      <c r="CI87">
        <f>Sales[[#This Row],[Unadj Res Value]]+Sales[[#This Row],[Unadj Det Value]]+Sales[[#This Row],[Unadj Land Value]]</f>
        <v>351000</v>
      </c>
      <c r="CJ87" s="10">
        <f>Sales[[#This Row],[Price]]/Sales[[#This Row],[Unadj Total Value]]</f>
        <v>1.0435356125356126</v>
      </c>
      <c r="CK87" s="10">
        <f>(Sales[[#This Row],[Unadj Total Value]]-Sales[[#This Row],[24Final]])/Sales[[#This Row],[24Final]]</f>
        <v>-0.10367722165474974</v>
      </c>
      <c r="CL87">
        <f>VLOOKUP(Sales[[#This Row],[TNbhd]],Lookups!$M$3:$P$5,4,FALSE)</f>
        <v>0.99970000000000003</v>
      </c>
      <c r="CM87">
        <f>VLOOKUP(Sales[[#This Row],[Qlty]],Lookups!$M$8:$P$22,4,FALSE)</f>
        <v>0.99819999999999998</v>
      </c>
      <c r="CN87">
        <f>VLOOKUP(Sales[[#This Row],[Cnd]],Lookups!$R$8:$U$17,4,FALSE)</f>
        <v>1.0012000000000001</v>
      </c>
      <c r="CO87">
        <f>VLOOKUP(Sales[[#This Row],[LivArea Range]],Lookups!$R$25:$U$43,4,FALSE)</f>
        <v>0.99519999999999997</v>
      </c>
      <c r="CP87">
        <f>VLOOKUP(Sales[[#This Row],[Decade]],Lookups!$M$24:$P$40,4,FALSE)</f>
        <v>1.0024</v>
      </c>
      <c r="CQ87">
        <f>Sales[[#This Row],[Nbhd Adj]]*0.95</f>
        <v>0.94971499999999998</v>
      </c>
      <c r="CR87">
        <f>Sales[[#This Row],[Nbhd Adj]]*Sales[[#This Row],[Quality Adj]]*Sales[[#This Row],[Condition Adj]]*Sales[[#This Row],[Living Area Adj]]*Sales[[#This Row],[Decade Adj]]*0.95</f>
        <v>0.94685424199978463</v>
      </c>
      <c r="CS87">
        <f>ROUND(SUM(Sales[[#This Row],[Mdl Qlty]:[Mdl BltinGar]])+Sales[[#This Row],[Mdl Res Intercept]]*Sales[[#This Row],[Res Adj ]],-2)</f>
        <v>301000</v>
      </c>
      <c r="CT87">
        <f>ROUND(Sales[[#This Row],[25Det]]*Sales[[#This Row],[Det/Nbhd Adj]],-2)</f>
        <v>0</v>
      </c>
      <c r="CU87">
        <f>Sales[[#This Row],[Adjusted Res]]+Sales[[#This Row],[Adj Det ]]</f>
        <v>301000</v>
      </c>
      <c r="CV87">
        <f>ROUND((Sales[[#This Row],[Mdl Land Intercept]]+Sales[[#This Row],[Mdl LnAcres]])*Sales[[#This Row],[Det/Nbhd Adj]],-2)</f>
        <v>65600</v>
      </c>
      <c r="CW87">
        <f>Sales[[#This Row],[Adjusted Impr Total]]+Sales[[#This Row],[Adjusted Land Total]]</f>
        <v>366600</v>
      </c>
      <c r="CX87" s="10">
        <f>IFERROR((Sales[[#This Row],[Adjusted Impr Total]]-Sales[[#This Row],[24Bldg]])/Sales[[#This Row],[24Bldg]],0)</f>
        <v>-7.583665950260976E-2</v>
      </c>
      <c r="CY87" s="10">
        <f>(Sales[[#This Row],[Adjusted Land Total]]-Sales[[#This Row],[24Lnd]])/Sales[[#This Row],[24Lnd]]</f>
        <v>-4.552352048558422E-3</v>
      </c>
      <c r="CZ87">
        <f>(Sales[[#This Row],[Adjusted Total]]-Sales[[#This Row],[24Final]])/Sales[[#This Row],[24Final]]</f>
        <v>-6.3840653728294172E-2</v>
      </c>
      <c r="DA87" s="10">
        <f>(Sales[[#This Row],[Adjusted Total]]+Sales[[#This Row],[Days Prior Total]])/Sales[[#This Row],[Price]]</f>
        <v>0.9293730512065872</v>
      </c>
    </row>
    <row r="88" spans="1:105">
      <c r="A88">
        <v>2025</v>
      </c>
      <c r="B88">
        <v>19120114465</v>
      </c>
      <c r="C88">
        <v>-1.8325814637483102</v>
      </c>
      <c r="D88">
        <v>0.16</v>
      </c>
      <c r="E88">
        <v>7004</v>
      </c>
      <c r="F88">
        <v>2</v>
      </c>
      <c r="G88" t="s">
        <v>155</v>
      </c>
      <c r="H88">
        <v>317</v>
      </c>
      <c r="I88" t="s">
        <v>5</v>
      </c>
      <c r="J88" t="s">
        <v>156</v>
      </c>
      <c r="K88">
        <v>11</v>
      </c>
      <c r="L88">
        <v>259</v>
      </c>
      <c r="M88" t="s">
        <v>157</v>
      </c>
      <c r="N88" t="s">
        <v>21</v>
      </c>
      <c r="O88" t="s">
        <v>24</v>
      </c>
      <c r="P88">
        <v>2021</v>
      </c>
      <c r="Q88">
        <v>2021</v>
      </c>
      <c r="R88">
        <v>10</v>
      </c>
      <c r="S88">
        <v>3</v>
      </c>
      <c r="T88">
        <v>3</v>
      </c>
      <c r="U88">
        <v>2</v>
      </c>
      <c r="V88">
        <v>1316</v>
      </c>
      <c r="W88">
        <v>1686</v>
      </c>
      <c r="X88">
        <v>0</v>
      </c>
      <c r="Y88">
        <v>0</v>
      </c>
      <c r="Z88">
        <v>0</v>
      </c>
      <c r="AA88">
        <v>0</v>
      </c>
      <c r="AB88">
        <v>3002</v>
      </c>
      <c r="AC88">
        <v>3500</v>
      </c>
      <c r="AD88">
        <v>2</v>
      </c>
      <c r="AE88" t="s">
        <v>55</v>
      </c>
      <c r="AF88" t="s">
        <v>158</v>
      </c>
      <c r="AG88" t="s">
        <v>21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14</v>
      </c>
      <c r="AO88">
        <v>0</v>
      </c>
      <c r="AP88">
        <v>460</v>
      </c>
      <c r="AQ88">
        <v>0</v>
      </c>
      <c r="AR88">
        <v>0</v>
      </c>
      <c r="AS88">
        <v>0</v>
      </c>
      <c r="AT88">
        <v>0</v>
      </c>
      <c r="AU88">
        <v>100</v>
      </c>
      <c r="AV88">
        <v>100</v>
      </c>
      <c r="AW88">
        <v>506854</v>
      </c>
      <c r="AX88">
        <v>501785</v>
      </c>
      <c r="AY88">
        <v>775</v>
      </c>
      <c r="AZ88">
        <v>365</v>
      </c>
      <c r="BA88">
        <v>365</v>
      </c>
      <c r="BB88">
        <v>45</v>
      </c>
      <c r="BC88" s="2">
        <v>44517</v>
      </c>
      <c r="BD88" t="s">
        <v>247</v>
      </c>
      <c r="BE88">
        <v>472760</v>
      </c>
      <c r="BF88">
        <v>472760</v>
      </c>
      <c r="BG88" t="s">
        <v>160</v>
      </c>
      <c r="BH88">
        <v>30</v>
      </c>
      <c r="BI88" t="s">
        <v>56</v>
      </c>
      <c r="BJ88" t="s">
        <v>161</v>
      </c>
      <c r="BK88">
        <v>472600</v>
      </c>
      <c r="BL88">
        <v>60800</v>
      </c>
      <c r="BM88">
        <v>411800</v>
      </c>
      <c r="BN88">
        <v>0</v>
      </c>
      <c r="BO88">
        <v>455955.6413751053</v>
      </c>
      <c r="BP88">
        <v>487410.93855283601</v>
      </c>
      <c r="BQ88">
        <f>(Sales[[#This Row],[DP1]]*Lookups!$B$61)+(Sales[[#This Row],[DP2]]*Lookups!$B$62)+(Sales[[#This Row],[DP3]]*Lookups!$B$63)</f>
        <v>-31455.295631000001</v>
      </c>
      <c r="BR88">
        <f>Lookups!$B$58*0.6</f>
        <v>132535.48800000001</v>
      </c>
      <c r="BS88">
        <f>Lookups!$B$58*0.4</f>
        <v>88356.992000000013</v>
      </c>
      <c r="BT88">
        <f>Lookups!$B$59*Sales[[#This Row],[LnAcres]]</f>
        <v>-24051.387388882686</v>
      </c>
      <c r="BU88">
        <f>VLOOKUP(Sales[[#This Row],[Qlty]],Lookups!$A$66:$E$79,2,FALSE)</f>
        <v>32917.849192000001</v>
      </c>
      <c r="BV88">
        <f>VLOOKUP(Sales[[#This Row],[Cnd]],Lookups!$A$80:$E$91,2,FALSE)</f>
        <v>47371.278778200001</v>
      </c>
      <c r="BW88">
        <f>Sales[[#This Row],[EffAge]]*Lookups!$B$65</f>
        <v>-326.22329999999999</v>
      </c>
      <c r="BX88">
        <f>Sales[[#This Row],[MainFn]]*Lookups!$B$90</f>
        <v>82132.06008000001</v>
      </c>
      <c r="BY88">
        <f>Sales[[#This Row],[UpprFn]]*Lookups!$B$91</f>
        <v>100452.525738</v>
      </c>
      <c r="BZ88">
        <f>Sales[[#This Row],[Bsmt]]*Lookups!$B$95</f>
        <v>0</v>
      </c>
      <c r="CA88">
        <f>VLOOKUP(Sales[[#This Row],[MsnryTrim]],Lookups!$A$90:$E$99,2,FALSE)</f>
        <v>5299.8242</v>
      </c>
      <c r="CB88">
        <f>Sales[[#This Row],[PrefabFP]]*Lookups!$B$92</f>
        <v>0</v>
      </c>
      <c r="CC88">
        <f>Sales[[#This Row],[AttGar]]*Lookups!$B$93</f>
        <v>0</v>
      </c>
      <c r="CD88">
        <f>Sales[[#This Row],[BltinGar]]*Lookups!$B$94</f>
        <v>22722.527999999998</v>
      </c>
      <c r="CE88">
        <f>SUM(Sales[[#This Row],[Days Prior Total]:[Mdl BltinGar]])</f>
        <v>455955.63966831728</v>
      </c>
      <c r="CF88">
        <f>ROUND(Sales[[#This Row],[25Det]],-2)</f>
        <v>0</v>
      </c>
      <c r="CG88">
        <f>ROUND(SUM(Sales[[#This Row],[Mdl Qlty]:[Mdl BltinGar]])+Sales[[#This Row],[Mdl Res Intercept]]+Sales[[#This Row],[Days Prior Total]],-2)</f>
        <v>391700</v>
      </c>
      <c r="CH88">
        <f>ROUND(Sales[[#This Row],[Mdl Land Intercept]]+Sales[[#This Row],[Mdl LnAcres]],-2)</f>
        <v>64300</v>
      </c>
      <c r="CI88">
        <f>Sales[[#This Row],[Unadj Res Value]]+Sales[[#This Row],[Unadj Det Value]]+Sales[[#This Row],[Unadj Land Value]]</f>
        <v>456000</v>
      </c>
      <c r="CJ88" s="10">
        <f>Sales[[#This Row],[Price]]/Sales[[#This Row],[Unadj Total Value]]</f>
        <v>1.0367543859649122</v>
      </c>
      <c r="CK88" s="10">
        <f>(Sales[[#This Row],[Unadj Total Value]]-Sales[[#This Row],[24Final]])/Sales[[#This Row],[24Final]]</f>
        <v>-3.5124841303427849E-2</v>
      </c>
      <c r="CL88">
        <f>VLOOKUP(Sales[[#This Row],[TNbhd]],Lookups!$M$3:$P$5,4,FALSE)</f>
        <v>0.99970000000000003</v>
      </c>
      <c r="CM88">
        <f>VLOOKUP(Sales[[#This Row],[Qlty]],Lookups!$M$8:$P$22,4,FALSE)</f>
        <v>1.0019</v>
      </c>
      <c r="CN88">
        <f>VLOOKUP(Sales[[#This Row],[Cnd]],Lookups!$R$8:$U$17,4,FALSE)</f>
        <v>1.0012000000000001</v>
      </c>
      <c r="CO88">
        <f>VLOOKUP(Sales[[#This Row],[LivArea Range]],Lookups!$R$25:$U$43,4,FALSE)</f>
        <v>0.98509999999999998</v>
      </c>
      <c r="CP88">
        <f>VLOOKUP(Sales[[#This Row],[Decade]],Lookups!$M$24:$P$40,4,FALSE)</f>
        <v>1.0024</v>
      </c>
      <c r="CQ88">
        <f>Sales[[#This Row],[Nbhd Adj]]*0.95</f>
        <v>0.94971499999999998</v>
      </c>
      <c r="CR88">
        <f>Sales[[#This Row],[Nbhd Adj]]*Sales[[#This Row],[Quality Adj]]*Sales[[#This Row],[Condition Adj]]*Sales[[#This Row],[Living Area Adj]]*Sales[[#This Row],[Decade Adj]]*0.95</f>
        <v>0.94071894865963335</v>
      </c>
      <c r="CS88">
        <f>ROUND(SUM(Sales[[#This Row],[Mdl Qlty]:[Mdl BltinGar]])+Sales[[#This Row],[Mdl Res Intercept]]*Sales[[#This Row],[Res Adj ]],-2)</f>
        <v>415200</v>
      </c>
      <c r="CT88">
        <f>ROUND(Sales[[#This Row],[25Det]]*Sales[[#This Row],[Det/Nbhd Adj]],-2)</f>
        <v>0</v>
      </c>
      <c r="CU88">
        <f>Sales[[#This Row],[Adjusted Res]]+Sales[[#This Row],[Adj Det ]]</f>
        <v>415200</v>
      </c>
      <c r="CV88">
        <f>ROUND((Sales[[#This Row],[Mdl Land Intercept]]+Sales[[#This Row],[Mdl LnAcres]])*Sales[[#This Row],[Det/Nbhd Adj]],-2)</f>
        <v>61100</v>
      </c>
      <c r="CW88">
        <f>Sales[[#This Row],[Adjusted Impr Total]]+Sales[[#This Row],[Adjusted Land Total]]</f>
        <v>476300</v>
      </c>
      <c r="CX88" s="10">
        <f>IFERROR((Sales[[#This Row],[Adjusted Impr Total]]-Sales[[#This Row],[24Bldg]])/Sales[[#This Row],[24Bldg]],0)</f>
        <v>8.2564351627003405E-3</v>
      </c>
      <c r="CY88" s="10">
        <f>(Sales[[#This Row],[Adjusted Land Total]]-Sales[[#This Row],[24Lnd]])/Sales[[#This Row],[24Lnd]]</f>
        <v>4.9342105263157892E-3</v>
      </c>
      <c r="CZ88">
        <f>(Sales[[#This Row],[Adjusted Total]]-Sales[[#This Row],[24Final]])/Sales[[#This Row],[24Final]]</f>
        <v>7.8290308929327129E-3</v>
      </c>
      <c r="DA88" s="10">
        <f>(Sales[[#This Row],[Adjusted Total]]+Sales[[#This Row],[Days Prior Total]])/Sales[[#This Row],[Price]]</f>
        <v>0.94095250099204664</v>
      </c>
    </row>
    <row r="89" spans="1:105">
      <c r="A89">
        <v>2025</v>
      </c>
      <c r="B89">
        <v>19120114469</v>
      </c>
      <c r="C89">
        <v>-1.6607312068216509</v>
      </c>
      <c r="D89">
        <v>0.19</v>
      </c>
      <c r="E89">
        <v>8205</v>
      </c>
      <c r="F89">
        <v>2</v>
      </c>
      <c r="G89" t="s">
        <v>155</v>
      </c>
      <c r="H89">
        <v>317</v>
      </c>
      <c r="I89" t="s">
        <v>5</v>
      </c>
      <c r="J89" t="s">
        <v>156</v>
      </c>
      <c r="K89">
        <v>11</v>
      </c>
      <c r="L89">
        <v>259</v>
      </c>
      <c r="M89" t="s">
        <v>157</v>
      </c>
      <c r="N89" t="s">
        <v>19</v>
      </c>
      <c r="O89" t="s">
        <v>24</v>
      </c>
      <c r="P89">
        <v>2021</v>
      </c>
      <c r="Q89">
        <v>2021</v>
      </c>
      <c r="R89">
        <v>10</v>
      </c>
      <c r="S89">
        <v>3</v>
      </c>
      <c r="T89">
        <v>3</v>
      </c>
      <c r="U89">
        <v>1</v>
      </c>
      <c r="V89">
        <v>1619</v>
      </c>
      <c r="W89">
        <v>0</v>
      </c>
      <c r="X89">
        <v>0</v>
      </c>
      <c r="Y89">
        <v>0</v>
      </c>
      <c r="Z89">
        <v>0</v>
      </c>
      <c r="AA89">
        <v>0</v>
      </c>
      <c r="AB89">
        <v>1619</v>
      </c>
      <c r="AC89">
        <v>2000</v>
      </c>
      <c r="AD89">
        <v>2</v>
      </c>
      <c r="AE89" t="s">
        <v>56</v>
      </c>
      <c r="AF89" t="s">
        <v>158</v>
      </c>
      <c r="AG89" t="s">
        <v>21</v>
      </c>
      <c r="AI89">
        <v>0</v>
      </c>
      <c r="AJ89">
        <v>0</v>
      </c>
      <c r="AK89">
        <v>0</v>
      </c>
      <c r="AL89">
        <v>1</v>
      </c>
      <c r="AM89">
        <v>0</v>
      </c>
      <c r="AN89">
        <v>9</v>
      </c>
      <c r="AO89">
        <v>480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100</v>
      </c>
      <c r="AV89">
        <v>100</v>
      </c>
      <c r="AW89">
        <v>290160</v>
      </c>
      <c r="AX89">
        <v>287258</v>
      </c>
      <c r="AY89">
        <v>662</v>
      </c>
      <c r="AZ89">
        <v>365</v>
      </c>
      <c r="BA89">
        <v>297</v>
      </c>
      <c r="BB89">
        <v>0</v>
      </c>
      <c r="BC89" s="2">
        <v>44630</v>
      </c>
      <c r="BD89" t="s">
        <v>248</v>
      </c>
      <c r="BE89">
        <v>404872</v>
      </c>
      <c r="BF89">
        <v>404872</v>
      </c>
      <c r="BG89" t="s">
        <v>160</v>
      </c>
      <c r="BH89">
        <v>30</v>
      </c>
      <c r="BI89" t="s">
        <v>56</v>
      </c>
      <c r="BJ89" t="s">
        <v>161</v>
      </c>
      <c r="BK89">
        <v>399600</v>
      </c>
      <c r="BL89">
        <v>63200</v>
      </c>
      <c r="BM89">
        <v>336400</v>
      </c>
      <c r="BN89">
        <v>0</v>
      </c>
      <c r="BO89">
        <v>375305.85741883022</v>
      </c>
      <c r="BP89">
        <v>391870.0195916447</v>
      </c>
      <c r="BQ89">
        <f>(Sales[[#This Row],[DP1]]*Lookups!$B$61)+(Sales[[#This Row],[DP2]]*Lookups!$B$62)+(Sales[[#This Row],[DP3]]*Lookups!$B$63)</f>
        <v>-16564.161230999998</v>
      </c>
      <c r="BR89">
        <f>Lookups!$B$58*0.6</f>
        <v>132535.48800000001</v>
      </c>
      <c r="BS89">
        <f>Lookups!$B$58*0.4</f>
        <v>88356.992000000013</v>
      </c>
      <c r="BT89">
        <f>Lookups!$B$59*Sales[[#This Row],[LnAcres]]</f>
        <v>-21795.969453044734</v>
      </c>
      <c r="BU89">
        <f>VLOOKUP(Sales[[#This Row],[Qlty]],Lookups!$A$66:$E$79,2,FALSE)</f>
        <v>37154.252388000001</v>
      </c>
      <c r="BV89">
        <f>VLOOKUP(Sales[[#This Row],[Cnd]],Lookups!$A$80:$E$91,2,FALSE)</f>
        <v>47371.278778200001</v>
      </c>
      <c r="BW89">
        <f>Sales[[#This Row],[EffAge]]*Lookups!$B$65</f>
        <v>-326.22329999999999</v>
      </c>
      <c r="BX89">
        <f>Sales[[#This Row],[MainFn]]*Lookups!$B$90</f>
        <v>101042.40522</v>
      </c>
      <c r="BY89">
        <f>Sales[[#This Row],[UpprFn]]*Lookups!$B$91</f>
        <v>0</v>
      </c>
      <c r="BZ89">
        <f>Sales[[#This Row],[Bsmt]]*Lookups!$B$95</f>
        <v>0</v>
      </c>
      <c r="CA89">
        <f>VLOOKUP(Sales[[#This Row],[MsnryTrim]],Lookups!$A$90:$E$99,2,FALSE)</f>
        <v>-9412.7029999999995</v>
      </c>
      <c r="CB89">
        <f>Sales[[#This Row],[PrefabFP]]*Lookups!$B$92</f>
        <v>0</v>
      </c>
      <c r="CC89">
        <f>Sales[[#This Row],[AttGar]]*Lookups!$B$93</f>
        <v>16944.494880000002</v>
      </c>
      <c r="CD89">
        <f>Sales[[#This Row],[BltinGar]]*Lookups!$B$94</f>
        <v>0</v>
      </c>
      <c r="CE89">
        <f>SUM(Sales[[#This Row],[Days Prior Total]:[Mdl BltinGar]])</f>
        <v>375305.85428215528</v>
      </c>
      <c r="CF89">
        <f>ROUND(Sales[[#This Row],[25Det]],-2)</f>
        <v>0</v>
      </c>
      <c r="CG89">
        <f>ROUND(SUM(Sales[[#This Row],[Mdl Qlty]:[Mdl BltinGar]])+Sales[[#This Row],[Mdl Res Intercept]]+Sales[[#This Row],[Days Prior Total]],-2)</f>
        <v>308700</v>
      </c>
      <c r="CH89">
        <f>ROUND(Sales[[#This Row],[Mdl Land Intercept]]+Sales[[#This Row],[Mdl LnAcres]],-2)</f>
        <v>66600</v>
      </c>
      <c r="CI89">
        <f>Sales[[#This Row],[Unadj Res Value]]+Sales[[#This Row],[Unadj Det Value]]+Sales[[#This Row],[Unadj Land Value]]</f>
        <v>375300</v>
      </c>
      <c r="CJ89" s="10">
        <f>Sales[[#This Row],[Price]]/Sales[[#This Row],[Unadj Total Value]]</f>
        <v>1.0787956301625365</v>
      </c>
      <c r="CK89" s="10">
        <f>(Sales[[#This Row],[Unadj Total Value]]-Sales[[#This Row],[24Final]])/Sales[[#This Row],[24Final]]</f>
        <v>-6.0810810810810814E-2</v>
      </c>
      <c r="CL89">
        <f>VLOOKUP(Sales[[#This Row],[TNbhd]],Lookups!$M$3:$P$5,4,FALSE)</f>
        <v>0.99970000000000003</v>
      </c>
      <c r="CM89">
        <f>VLOOKUP(Sales[[#This Row],[Qlty]],Lookups!$M$8:$P$22,4,FALSE)</f>
        <v>0.99819999999999998</v>
      </c>
      <c r="CN89">
        <f>VLOOKUP(Sales[[#This Row],[Cnd]],Lookups!$R$8:$U$17,4,FALSE)</f>
        <v>1.0012000000000001</v>
      </c>
      <c r="CO89">
        <f>VLOOKUP(Sales[[#This Row],[LivArea Range]],Lookups!$R$25:$U$43,4,FALSE)</f>
        <v>1.0007999999999999</v>
      </c>
      <c r="CP89">
        <f>VLOOKUP(Sales[[#This Row],[Decade]],Lookups!$M$24:$P$40,4,FALSE)</f>
        <v>1.0024</v>
      </c>
      <c r="CQ89">
        <f>Sales[[#This Row],[Nbhd Adj]]*0.95</f>
        <v>0.94971499999999998</v>
      </c>
      <c r="CR89">
        <f>Sales[[#This Row],[Nbhd Adj]]*Sales[[#This Row],[Quality Adj]]*Sales[[#This Row],[Condition Adj]]*Sales[[#This Row],[Living Area Adj]]*Sales[[#This Row],[Decade Adj]]*0.95</f>
        <v>0.95218219995315945</v>
      </c>
      <c r="CS89">
        <f>ROUND(SUM(Sales[[#This Row],[Mdl Qlty]:[Mdl BltinGar]])+Sales[[#This Row],[Mdl Res Intercept]]*Sales[[#This Row],[Res Adj ]],-2)</f>
        <v>319000</v>
      </c>
      <c r="CT89">
        <f>ROUND(Sales[[#This Row],[25Det]]*Sales[[#This Row],[Det/Nbhd Adj]],-2)</f>
        <v>0</v>
      </c>
      <c r="CU89">
        <f>Sales[[#This Row],[Adjusted Res]]+Sales[[#This Row],[Adj Det ]]</f>
        <v>319000</v>
      </c>
      <c r="CV89">
        <f>ROUND((Sales[[#This Row],[Mdl Land Intercept]]+Sales[[#This Row],[Mdl LnAcres]])*Sales[[#This Row],[Det/Nbhd Adj]],-2)</f>
        <v>63200</v>
      </c>
      <c r="CW89">
        <f>Sales[[#This Row],[Adjusted Impr Total]]+Sales[[#This Row],[Adjusted Land Total]]</f>
        <v>382200</v>
      </c>
      <c r="CX89" s="10">
        <f>IFERROR((Sales[[#This Row],[Adjusted Impr Total]]-Sales[[#This Row],[24Bldg]])/Sales[[#This Row],[24Bldg]],0)</f>
        <v>-5.1724137931034482E-2</v>
      </c>
      <c r="CY89" s="10">
        <f>(Sales[[#This Row],[Adjusted Land Total]]-Sales[[#This Row],[24Lnd]])/Sales[[#This Row],[24Lnd]]</f>
        <v>0</v>
      </c>
      <c r="CZ89">
        <f>(Sales[[#This Row],[Adjusted Total]]-Sales[[#This Row],[24Final]])/Sales[[#This Row],[24Final]]</f>
        <v>-4.3543543543543541E-2</v>
      </c>
      <c r="DA89" s="10">
        <f>(Sales[[#This Row],[Adjusted Total]]+Sales[[#This Row],[Days Prior Total]])/Sales[[#This Row],[Price]]</f>
        <v>0.90308996119514318</v>
      </c>
    </row>
    <row r="90" spans="1:105">
      <c r="A90">
        <v>2025</v>
      </c>
      <c r="B90">
        <v>19120114480</v>
      </c>
      <c r="C90">
        <v>-1.8325814637483102</v>
      </c>
      <c r="D90">
        <v>0.16</v>
      </c>
      <c r="E90">
        <v>7002</v>
      </c>
      <c r="F90">
        <v>2</v>
      </c>
      <c r="G90" t="s">
        <v>155</v>
      </c>
      <c r="H90">
        <v>317</v>
      </c>
      <c r="I90" t="s">
        <v>5</v>
      </c>
      <c r="J90" t="s">
        <v>156</v>
      </c>
      <c r="K90">
        <v>11</v>
      </c>
      <c r="L90">
        <v>259</v>
      </c>
      <c r="M90" t="s">
        <v>157</v>
      </c>
      <c r="N90" t="s">
        <v>19</v>
      </c>
      <c r="O90" t="s">
        <v>24</v>
      </c>
      <c r="P90">
        <v>2021</v>
      </c>
      <c r="Q90">
        <v>2021</v>
      </c>
      <c r="R90">
        <v>10</v>
      </c>
      <c r="S90">
        <v>3</v>
      </c>
      <c r="T90">
        <v>3</v>
      </c>
      <c r="U90">
        <v>1</v>
      </c>
      <c r="V90">
        <v>1452</v>
      </c>
      <c r="W90">
        <v>0</v>
      </c>
      <c r="X90">
        <v>0</v>
      </c>
      <c r="Y90">
        <v>0</v>
      </c>
      <c r="Z90">
        <v>0</v>
      </c>
      <c r="AA90">
        <v>0</v>
      </c>
      <c r="AB90">
        <v>1452</v>
      </c>
      <c r="AC90">
        <v>1500</v>
      </c>
      <c r="AD90">
        <v>2</v>
      </c>
      <c r="AE90" t="s">
        <v>56</v>
      </c>
      <c r="AF90" t="s">
        <v>158</v>
      </c>
      <c r="AG90" t="s">
        <v>21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9</v>
      </c>
      <c r="AO90">
        <v>400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100</v>
      </c>
      <c r="AV90">
        <v>100</v>
      </c>
      <c r="AW90">
        <v>263890</v>
      </c>
      <c r="AX90">
        <v>261251</v>
      </c>
      <c r="AY90">
        <v>723</v>
      </c>
      <c r="AZ90">
        <v>365</v>
      </c>
      <c r="BA90">
        <v>358</v>
      </c>
      <c r="BB90">
        <v>0</v>
      </c>
      <c r="BC90" s="2">
        <v>44569</v>
      </c>
      <c r="BD90" t="s">
        <v>249</v>
      </c>
      <c r="BE90">
        <v>358765</v>
      </c>
      <c r="BF90">
        <v>358765</v>
      </c>
      <c r="BG90" t="s">
        <v>160</v>
      </c>
      <c r="BH90">
        <v>30</v>
      </c>
      <c r="BI90" t="s">
        <v>56</v>
      </c>
      <c r="BJ90" t="s">
        <v>161</v>
      </c>
      <c r="BK90">
        <v>383500</v>
      </c>
      <c r="BL90">
        <v>60800</v>
      </c>
      <c r="BM90">
        <v>322700</v>
      </c>
      <c r="BN90">
        <v>0</v>
      </c>
      <c r="BO90">
        <v>355689.76684627437</v>
      </c>
      <c r="BP90">
        <v>376367.9857650511</v>
      </c>
      <c r="BQ90">
        <f>(Sales[[#This Row],[DP1]]*Lookups!$B$61)+(Sales[[#This Row],[DP2]]*Lookups!$B$62)+(Sales[[#This Row],[DP3]]*Lookups!$B$63)</f>
        <v>-20678.217780999999</v>
      </c>
      <c r="BR90">
        <f>Lookups!$B$58*0.6</f>
        <v>132535.48800000001</v>
      </c>
      <c r="BS90">
        <f>Lookups!$B$58*0.4</f>
        <v>88356.992000000013</v>
      </c>
      <c r="BT90">
        <f>Lookups!$B$59*Sales[[#This Row],[LnAcres]]</f>
        <v>-24051.387388882686</v>
      </c>
      <c r="BU90">
        <f>VLOOKUP(Sales[[#This Row],[Qlty]],Lookups!$A$66:$E$79,2,FALSE)</f>
        <v>37154.252388000001</v>
      </c>
      <c r="BV90">
        <f>VLOOKUP(Sales[[#This Row],[Cnd]],Lookups!$A$80:$E$91,2,FALSE)</f>
        <v>47371.278778200001</v>
      </c>
      <c r="BW90">
        <f>Sales[[#This Row],[EffAge]]*Lookups!$B$65</f>
        <v>-326.22329999999999</v>
      </c>
      <c r="BX90">
        <f>Sales[[#This Row],[MainFn]]*Lookups!$B$90</f>
        <v>90619.871760000009</v>
      </c>
      <c r="BY90">
        <f>Sales[[#This Row],[UpprFn]]*Lookups!$B$91</f>
        <v>0</v>
      </c>
      <c r="BZ90">
        <f>Sales[[#This Row],[Bsmt]]*Lookups!$B$95</f>
        <v>0</v>
      </c>
      <c r="CA90">
        <f>VLOOKUP(Sales[[#This Row],[MsnryTrim]],Lookups!$A$90:$E$99,2,FALSE)</f>
        <v>-9412.7029999999995</v>
      </c>
      <c r="CB90">
        <f>Sales[[#This Row],[PrefabFP]]*Lookups!$B$92</f>
        <v>0</v>
      </c>
      <c r="CC90">
        <f>Sales[[#This Row],[AttGar]]*Lookups!$B$93</f>
        <v>14120.412400000001</v>
      </c>
      <c r="CD90">
        <f>Sales[[#This Row],[BltinGar]]*Lookups!$B$94</f>
        <v>0</v>
      </c>
      <c r="CE90">
        <f>SUM(Sales[[#This Row],[Days Prior Total]:[Mdl BltinGar]])</f>
        <v>355689.76385631738</v>
      </c>
      <c r="CF90">
        <f>ROUND(Sales[[#This Row],[25Det]],-2)</f>
        <v>0</v>
      </c>
      <c r="CG90">
        <f>ROUND(SUM(Sales[[#This Row],[Mdl Qlty]:[Mdl BltinGar]])+Sales[[#This Row],[Mdl Res Intercept]]+Sales[[#This Row],[Days Prior Total]],-2)</f>
        <v>291400</v>
      </c>
      <c r="CH90">
        <f>ROUND(Sales[[#This Row],[Mdl Land Intercept]]+Sales[[#This Row],[Mdl LnAcres]],-2)</f>
        <v>64300</v>
      </c>
      <c r="CI90">
        <f>Sales[[#This Row],[Unadj Res Value]]+Sales[[#This Row],[Unadj Det Value]]+Sales[[#This Row],[Unadj Land Value]]</f>
        <v>355700</v>
      </c>
      <c r="CJ90" s="10">
        <f>Sales[[#This Row],[Price]]/Sales[[#This Row],[Unadj Total Value]]</f>
        <v>1.0086168119201575</v>
      </c>
      <c r="CK90" s="10">
        <f>(Sales[[#This Row],[Unadj Total Value]]-Sales[[#This Row],[24Final]])/Sales[[#This Row],[24Final]]</f>
        <v>-7.2490221642764016E-2</v>
      </c>
      <c r="CL90">
        <f>VLOOKUP(Sales[[#This Row],[TNbhd]],Lookups!$M$3:$P$5,4,FALSE)</f>
        <v>0.99970000000000003</v>
      </c>
      <c r="CM90">
        <f>VLOOKUP(Sales[[#This Row],[Qlty]],Lookups!$M$8:$P$22,4,FALSE)</f>
        <v>0.99819999999999998</v>
      </c>
      <c r="CN90">
        <f>VLOOKUP(Sales[[#This Row],[Cnd]],Lookups!$R$8:$U$17,4,FALSE)</f>
        <v>1.0012000000000001</v>
      </c>
      <c r="CO90">
        <f>VLOOKUP(Sales[[#This Row],[LivArea Range]],Lookups!$R$25:$U$43,4,FALSE)</f>
        <v>0.99519999999999997</v>
      </c>
      <c r="CP90">
        <f>VLOOKUP(Sales[[#This Row],[Decade]],Lookups!$M$24:$P$40,4,FALSE)</f>
        <v>1.0024</v>
      </c>
      <c r="CQ90">
        <f>Sales[[#This Row],[Nbhd Adj]]*0.95</f>
        <v>0.94971499999999998</v>
      </c>
      <c r="CR90">
        <f>Sales[[#This Row],[Nbhd Adj]]*Sales[[#This Row],[Quality Adj]]*Sales[[#This Row],[Condition Adj]]*Sales[[#This Row],[Living Area Adj]]*Sales[[#This Row],[Decade Adj]]*0.95</f>
        <v>0.94685424199978463</v>
      </c>
      <c r="CS90">
        <f>ROUND(SUM(Sales[[#This Row],[Mdl Qlty]:[Mdl BltinGar]])+Sales[[#This Row],[Mdl Res Intercept]]*Sales[[#This Row],[Res Adj ]],-2)</f>
        <v>305000</v>
      </c>
      <c r="CT90">
        <f>ROUND(Sales[[#This Row],[25Det]]*Sales[[#This Row],[Det/Nbhd Adj]],-2)</f>
        <v>0</v>
      </c>
      <c r="CU90">
        <f>Sales[[#This Row],[Adjusted Res]]+Sales[[#This Row],[Adj Det ]]</f>
        <v>305000</v>
      </c>
      <c r="CV90">
        <f>ROUND((Sales[[#This Row],[Mdl Land Intercept]]+Sales[[#This Row],[Mdl LnAcres]])*Sales[[#This Row],[Det/Nbhd Adj]],-2)</f>
        <v>61100</v>
      </c>
      <c r="CW90">
        <f>Sales[[#This Row],[Adjusted Impr Total]]+Sales[[#This Row],[Adjusted Land Total]]</f>
        <v>366100</v>
      </c>
      <c r="CX90" s="10">
        <f>IFERROR((Sales[[#This Row],[Adjusted Impr Total]]-Sales[[#This Row],[24Bldg]])/Sales[[#This Row],[24Bldg]],0)</f>
        <v>-5.4849705608924701E-2</v>
      </c>
      <c r="CY90" s="10">
        <f>(Sales[[#This Row],[Adjusted Land Total]]-Sales[[#This Row],[24Lnd]])/Sales[[#This Row],[24Lnd]]</f>
        <v>4.9342105263157892E-3</v>
      </c>
      <c r="CZ90">
        <f>(Sales[[#This Row],[Adjusted Total]]-Sales[[#This Row],[24Final]])/Sales[[#This Row],[24Final]]</f>
        <v>-4.5371577574967403E-2</v>
      </c>
      <c r="DA90" s="10">
        <f>(Sales[[#This Row],[Adjusted Total]]+Sales[[#This Row],[Days Prior Total]])/Sales[[#This Row],[Price]]</f>
        <v>0.9628079166557495</v>
      </c>
    </row>
    <row r="91" spans="1:105">
      <c r="A91">
        <v>2025</v>
      </c>
      <c r="B91">
        <v>19120114481</v>
      </c>
      <c r="C91">
        <v>-1.8325814637483102</v>
      </c>
      <c r="D91">
        <v>0.16</v>
      </c>
      <c r="E91">
        <v>7002</v>
      </c>
      <c r="F91">
        <v>2</v>
      </c>
      <c r="G91" t="s">
        <v>155</v>
      </c>
      <c r="H91">
        <v>317</v>
      </c>
      <c r="I91" t="s">
        <v>5</v>
      </c>
      <c r="J91" t="s">
        <v>156</v>
      </c>
      <c r="K91">
        <v>11</v>
      </c>
      <c r="L91">
        <v>259</v>
      </c>
      <c r="M91" t="s">
        <v>157</v>
      </c>
      <c r="N91" t="s">
        <v>19</v>
      </c>
      <c r="O91" t="s">
        <v>24</v>
      </c>
      <c r="P91">
        <v>2021</v>
      </c>
      <c r="Q91">
        <v>2021</v>
      </c>
      <c r="R91">
        <v>10</v>
      </c>
      <c r="S91">
        <v>3</v>
      </c>
      <c r="T91">
        <v>3</v>
      </c>
      <c r="U91">
        <v>1</v>
      </c>
      <c r="V91">
        <v>1592</v>
      </c>
      <c r="W91">
        <v>0</v>
      </c>
      <c r="X91">
        <v>0</v>
      </c>
      <c r="Y91">
        <v>0</v>
      </c>
      <c r="Z91">
        <v>0</v>
      </c>
      <c r="AA91">
        <v>0</v>
      </c>
      <c r="AB91">
        <v>1592</v>
      </c>
      <c r="AC91">
        <v>2000</v>
      </c>
      <c r="AD91">
        <v>2</v>
      </c>
      <c r="AE91" t="s">
        <v>57</v>
      </c>
      <c r="AF91" t="s">
        <v>158</v>
      </c>
      <c r="AG91" t="s">
        <v>21</v>
      </c>
      <c r="AI91">
        <v>0</v>
      </c>
      <c r="AJ91">
        <v>0</v>
      </c>
      <c r="AK91">
        <v>1</v>
      </c>
      <c r="AL91">
        <v>0</v>
      </c>
      <c r="AM91">
        <v>0</v>
      </c>
      <c r="AN91">
        <v>10</v>
      </c>
      <c r="AO91">
        <v>400</v>
      </c>
      <c r="AP91">
        <v>0</v>
      </c>
      <c r="AQ91">
        <v>0</v>
      </c>
      <c r="AR91">
        <v>0</v>
      </c>
      <c r="AS91">
        <v>158</v>
      </c>
      <c r="AT91">
        <v>0</v>
      </c>
      <c r="AU91">
        <v>100</v>
      </c>
      <c r="AV91">
        <v>100</v>
      </c>
      <c r="AW91">
        <v>289264</v>
      </c>
      <c r="AX91">
        <v>286371</v>
      </c>
      <c r="AY91">
        <v>723</v>
      </c>
      <c r="AZ91">
        <v>365</v>
      </c>
      <c r="BA91">
        <v>358</v>
      </c>
      <c r="BB91">
        <v>0</v>
      </c>
      <c r="BC91" s="2">
        <v>44569</v>
      </c>
      <c r="BD91" t="s">
        <v>250</v>
      </c>
      <c r="BE91">
        <v>399506</v>
      </c>
      <c r="BF91">
        <v>399506</v>
      </c>
      <c r="BG91" t="s">
        <v>160</v>
      </c>
      <c r="BH91">
        <v>30</v>
      </c>
      <c r="BI91" t="s">
        <v>56</v>
      </c>
      <c r="BJ91" t="s">
        <v>161</v>
      </c>
      <c r="BK91">
        <v>388900</v>
      </c>
      <c r="BL91">
        <v>60800</v>
      </c>
      <c r="BM91">
        <v>328100</v>
      </c>
      <c r="BN91">
        <v>0</v>
      </c>
      <c r="BO91">
        <v>387759.90563996672</v>
      </c>
      <c r="BP91">
        <v>408438.1245587435</v>
      </c>
      <c r="BQ91">
        <f>(Sales[[#This Row],[DP1]]*Lookups!$B$61)+(Sales[[#This Row],[DP2]]*Lookups!$B$62)+(Sales[[#This Row],[DP3]]*Lookups!$B$63)</f>
        <v>-20678.217780999999</v>
      </c>
      <c r="BR91">
        <f>Lookups!$B$58*0.6</f>
        <v>132535.48800000001</v>
      </c>
      <c r="BS91">
        <f>Lookups!$B$58*0.4</f>
        <v>88356.992000000013</v>
      </c>
      <c r="BT91">
        <f>Lookups!$B$59*Sales[[#This Row],[LnAcres]]</f>
        <v>-24051.387388882686</v>
      </c>
      <c r="BU91">
        <f>VLOOKUP(Sales[[#This Row],[Qlty]],Lookups!$A$66:$E$79,2,FALSE)</f>
        <v>37154.252388000001</v>
      </c>
      <c r="BV91">
        <f>VLOOKUP(Sales[[#This Row],[Cnd]],Lookups!$A$80:$E$91,2,FALSE)</f>
        <v>47371.278778200001</v>
      </c>
      <c r="BW91">
        <f>Sales[[#This Row],[EffAge]]*Lookups!$B$65</f>
        <v>-326.22329999999999</v>
      </c>
      <c r="BX91">
        <f>Sales[[#This Row],[MainFn]]*Lookups!$B$90</f>
        <v>99357.324960000013</v>
      </c>
      <c r="BY91">
        <f>Sales[[#This Row],[UpprFn]]*Lookups!$B$91</f>
        <v>0</v>
      </c>
      <c r="BZ91">
        <f>Sales[[#This Row],[Bsmt]]*Lookups!$B$95</f>
        <v>0</v>
      </c>
      <c r="CA91">
        <f>VLOOKUP(Sales[[#This Row],[MsnryTrim]],Lookups!$A$90:$E$99,2,FALSE)</f>
        <v>4112.8784489</v>
      </c>
      <c r="CB91">
        <f>Sales[[#This Row],[PrefabFP]]*Lookups!$B$92</f>
        <v>9807.1044999999995</v>
      </c>
      <c r="CC91">
        <f>Sales[[#This Row],[AttGar]]*Lookups!$B$93</f>
        <v>14120.412400000001</v>
      </c>
      <c r="CD91">
        <f>Sales[[#This Row],[BltinGar]]*Lookups!$B$94</f>
        <v>0</v>
      </c>
      <c r="CE91">
        <f>SUM(Sales[[#This Row],[Days Prior Total]:[Mdl BltinGar]])</f>
        <v>387759.90300521732</v>
      </c>
      <c r="CF91">
        <f>ROUND(Sales[[#This Row],[25Det]],-2)</f>
        <v>0</v>
      </c>
      <c r="CG91">
        <f>ROUND(SUM(Sales[[#This Row],[Mdl Qlty]:[Mdl BltinGar]])+Sales[[#This Row],[Mdl Res Intercept]]+Sales[[#This Row],[Days Prior Total]],-2)</f>
        <v>323500</v>
      </c>
      <c r="CH91">
        <f>ROUND(Sales[[#This Row],[Mdl Land Intercept]]+Sales[[#This Row],[Mdl LnAcres]],-2)</f>
        <v>64300</v>
      </c>
      <c r="CI91">
        <f>Sales[[#This Row],[Unadj Res Value]]+Sales[[#This Row],[Unadj Det Value]]+Sales[[#This Row],[Unadj Land Value]]</f>
        <v>387800</v>
      </c>
      <c r="CJ91" s="10">
        <f>Sales[[#This Row],[Price]]/Sales[[#This Row],[Unadj Total Value]]</f>
        <v>1.0301856627127386</v>
      </c>
      <c r="CK91" s="10">
        <f>(Sales[[#This Row],[Unadj Total Value]]-Sales[[#This Row],[24Final]])/Sales[[#This Row],[24Final]]</f>
        <v>-2.8284906145538699E-3</v>
      </c>
      <c r="CL91">
        <f>VLOOKUP(Sales[[#This Row],[TNbhd]],Lookups!$M$3:$P$5,4,FALSE)</f>
        <v>0.99970000000000003</v>
      </c>
      <c r="CM91">
        <f>VLOOKUP(Sales[[#This Row],[Qlty]],Lookups!$M$8:$P$22,4,FALSE)</f>
        <v>0.99819999999999998</v>
      </c>
      <c r="CN91">
        <f>VLOOKUP(Sales[[#This Row],[Cnd]],Lookups!$R$8:$U$17,4,FALSE)</f>
        <v>1.0012000000000001</v>
      </c>
      <c r="CO91">
        <f>VLOOKUP(Sales[[#This Row],[LivArea Range]],Lookups!$R$25:$U$43,4,FALSE)</f>
        <v>1.0007999999999999</v>
      </c>
      <c r="CP91">
        <f>VLOOKUP(Sales[[#This Row],[Decade]],Lookups!$M$24:$P$40,4,FALSE)</f>
        <v>1.0024</v>
      </c>
      <c r="CQ91">
        <f>Sales[[#This Row],[Nbhd Adj]]*0.95</f>
        <v>0.94971499999999998</v>
      </c>
      <c r="CR91">
        <f>Sales[[#This Row],[Nbhd Adj]]*Sales[[#This Row],[Quality Adj]]*Sales[[#This Row],[Condition Adj]]*Sales[[#This Row],[Living Area Adj]]*Sales[[#This Row],[Decade Adj]]*0.95</f>
        <v>0.95218219995315945</v>
      </c>
      <c r="CS91">
        <f>ROUND(SUM(Sales[[#This Row],[Mdl Qlty]:[Mdl BltinGar]])+Sales[[#This Row],[Mdl Res Intercept]]*Sales[[#This Row],[Res Adj ]],-2)</f>
        <v>337800</v>
      </c>
      <c r="CT91">
        <f>ROUND(Sales[[#This Row],[25Det]]*Sales[[#This Row],[Det/Nbhd Adj]],-2)</f>
        <v>0</v>
      </c>
      <c r="CU91">
        <f>Sales[[#This Row],[Adjusted Res]]+Sales[[#This Row],[Adj Det ]]</f>
        <v>337800</v>
      </c>
      <c r="CV91">
        <f>ROUND((Sales[[#This Row],[Mdl Land Intercept]]+Sales[[#This Row],[Mdl LnAcres]])*Sales[[#This Row],[Det/Nbhd Adj]],-2)</f>
        <v>61100</v>
      </c>
      <c r="CW91">
        <f>Sales[[#This Row],[Adjusted Impr Total]]+Sales[[#This Row],[Adjusted Land Total]]</f>
        <v>398900</v>
      </c>
      <c r="CX91" s="10">
        <f>IFERROR((Sales[[#This Row],[Adjusted Impr Total]]-Sales[[#This Row],[24Bldg]])/Sales[[#This Row],[24Bldg]],0)</f>
        <v>2.9564157269125268E-2</v>
      </c>
      <c r="CY91" s="10">
        <f>(Sales[[#This Row],[Adjusted Land Total]]-Sales[[#This Row],[24Lnd]])/Sales[[#This Row],[24Lnd]]</f>
        <v>4.9342105263157892E-3</v>
      </c>
      <c r="CZ91">
        <f>(Sales[[#This Row],[Adjusted Total]]-Sales[[#This Row],[24Final]])/Sales[[#This Row],[24Final]]</f>
        <v>2.5713551041398816E-2</v>
      </c>
      <c r="DA91" s="10">
        <f>(Sales[[#This Row],[Adjusted Total]]+Sales[[#This Row],[Days Prior Total]])/Sales[[#This Row],[Price]]</f>
        <v>0.94672365926669433</v>
      </c>
    </row>
    <row r="92" spans="1:105">
      <c r="A92">
        <v>2025</v>
      </c>
      <c r="B92">
        <v>19120114482</v>
      </c>
      <c r="C92">
        <v>-1.8325814637483102</v>
      </c>
      <c r="D92">
        <v>0.16</v>
      </c>
      <c r="E92">
        <v>7002</v>
      </c>
      <c r="F92">
        <v>2</v>
      </c>
      <c r="G92" t="s">
        <v>155</v>
      </c>
      <c r="H92">
        <v>317</v>
      </c>
      <c r="I92" t="s">
        <v>5</v>
      </c>
      <c r="J92" t="s">
        <v>156</v>
      </c>
      <c r="K92">
        <v>11</v>
      </c>
      <c r="L92">
        <v>259</v>
      </c>
      <c r="M92" t="s">
        <v>157</v>
      </c>
      <c r="N92" t="s">
        <v>19</v>
      </c>
      <c r="O92" t="s">
        <v>24</v>
      </c>
      <c r="P92">
        <v>2021</v>
      </c>
      <c r="Q92">
        <v>2021</v>
      </c>
      <c r="R92">
        <v>10</v>
      </c>
      <c r="S92">
        <v>3</v>
      </c>
      <c r="T92">
        <v>3</v>
      </c>
      <c r="U92">
        <v>1</v>
      </c>
      <c r="V92">
        <v>1580</v>
      </c>
      <c r="W92">
        <v>0</v>
      </c>
      <c r="X92">
        <v>0</v>
      </c>
      <c r="Y92">
        <v>0</v>
      </c>
      <c r="Z92">
        <v>0</v>
      </c>
      <c r="AA92">
        <v>0</v>
      </c>
      <c r="AB92">
        <v>1580</v>
      </c>
      <c r="AC92">
        <v>2000</v>
      </c>
      <c r="AD92">
        <v>2</v>
      </c>
      <c r="AE92" t="s">
        <v>56</v>
      </c>
      <c r="AF92" t="s">
        <v>158</v>
      </c>
      <c r="AG92" t="s">
        <v>21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9</v>
      </c>
      <c r="AO92">
        <v>400</v>
      </c>
      <c r="AP92">
        <v>0</v>
      </c>
      <c r="AQ92">
        <v>0</v>
      </c>
      <c r="AR92">
        <v>0</v>
      </c>
      <c r="AS92">
        <v>100</v>
      </c>
      <c r="AT92">
        <v>0</v>
      </c>
      <c r="AU92">
        <v>100</v>
      </c>
      <c r="AV92">
        <v>100</v>
      </c>
      <c r="AW92">
        <v>279658</v>
      </c>
      <c r="AX92">
        <v>276861</v>
      </c>
      <c r="AY92">
        <v>734</v>
      </c>
      <c r="AZ92">
        <v>365</v>
      </c>
      <c r="BA92">
        <v>365</v>
      </c>
      <c r="BB92">
        <v>4</v>
      </c>
      <c r="BC92" s="2">
        <v>44558</v>
      </c>
      <c r="BD92" t="s">
        <v>251</v>
      </c>
      <c r="BE92">
        <v>372815</v>
      </c>
      <c r="BF92">
        <v>372815</v>
      </c>
      <c r="BG92" t="s">
        <v>160</v>
      </c>
      <c r="BH92">
        <v>30</v>
      </c>
      <c r="BI92" t="s">
        <v>56</v>
      </c>
      <c r="BJ92" t="s">
        <v>161</v>
      </c>
      <c r="BK92">
        <v>386100</v>
      </c>
      <c r="BL92">
        <v>60800</v>
      </c>
      <c r="BM92">
        <v>325300</v>
      </c>
      <c r="BN92">
        <v>0</v>
      </c>
      <c r="BO92">
        <v>362290.19298250449</v>
      </c>
      <c r="BP92">
        <v>384356.51440812129</v>
      </c>
      <c r="BQ92">
        <f>(Sales[[#This Row],[DP1]]*Lookups!$B$61)+(Sales[[#This Row],[DP2]]*Lookups!$B$62)+(Sales[[#This Row],[DP3]]*Lookups!$B$63)</f>
        <v>-22066.320230999998</v>
      </c>
      <c r="BR92">
        <f>Lookups!$B$58*0.6</f>
        <v>132535.48800000001</v>
      </c>
      <c r="BS92">
        <f>Lookups!$B$58*0.4</f>
        <v>88356.992000000013</v>
      </c>
      <c r="BT92">
        <f>Lookups!$B$59*Sales[[#This Row],[LnAcres]]</f>
        <v>-24051.387388882686</v>
      </c>
      <c r="BU92">
        <f>VLOOKUP(Sales[[#This Row],[Qlty]],Lookups!$A$66:$E$79,2,FALSE)</f>
        <v>37154.252388000001</v>
      </c>
      <c r="BV92">
        <f>VLOOKUP(Sales[[#This Row],[Cnd]],Lookups!$A$80:$E$91,2,FALSE)</f>
        <v>47371.278778200001</v>
      </c>
      <c r="BW92">
        <f>Sales[[#This Row],[EffAge]]*Lookups!$B$65</f>
        <v>-326.22329999999999</v>
      </c>
      <c r="BX92">
        <f>Sales[[#This Row],[MainFn]]*Lookups!$B$90</f>
        <v>98608.400399999999</v>
      </c>
      <c r="BY92">
        <f>Sales[[#This Row],[UpprFn]]*Lookups!$B$91</f>
        <v>0</v>
      </c>
      <c r="BZ92">
        <f>Sales[[#This Row],[Bsmt]]*Lookups!$B$95</f>
        <v>0</v>
      </c>
      <c r="CA92">
        <f>VLOOKUP(Sales[[#This Row],[MsnryTrim]],Lookups!$A$90:$E$99,2,FALSE)</f>
        <v>-9412.7029999999995</v>
      </c>
      <c r="CB92">
        <f>Sales[[#This Row],[PrefabFP]]*Lookups!$B$92</f>
        <v>0</v>
      </c>
      <c r="CC92">
        <f>Sales[[#This Row],[AttGar]]*Lookups!$B$93</f>
        <v>14120.412400000001</v>
      </c>
      <c r="CD92">
        <f>Sales[[#This Row],[BltinGar]]*Lookups!$B$94</f>
        <v>0</v>
      </c>
      <c r="CE92">
        <f>SUM(Sales[[#This Row],[Days Prior Total]:[Mdl BltinGar]])</f>
        <v>362290.19004631729</v>
      </c>
      <c r="CF92">
        <f>ROUND(Sales[[#This Row],[25Det]],-2)</f>
        <v>0</v>
      </c>
      <c r="CG92">
        <f>ROUND(SUM(Sales[[#This Row],[Mdl Qlty]:[Mdl BltinGar]])+Sales[[#This Row],[Mdl Res Intercept]]+Sales[[#This Row],[Days Prior Total]],-2)</f>
        <v>298000</v>
      </c>
      <c r="CH92">
        <f>ROUND(Sales[[#This Row],[Mdl Land Intercept]]+Sales[[#This Row],[Mdl LnAcres]],-2)</f>
        <v>64300</v>
      </c>
      <c r="CI92">
        <f>Sales[[#This Row],[Unadj Res Value]]+Sales[[#This Row],[Unadj Det Value]]+Sales[[#This Row],[Unadj Land Value]]</f>
        <v>362300</v>
      </c>
      <c r="CJ92" s="10">
        <f>Sales[[#This Row],[Price]]/Sales[[#This Row],[Unadj Total Value]]</f>
        <v>1.0290229091912779</v>
      </c>
      <c r="CK92" s="10">
        <f>(Sales[[#This Row],[Unadj Total Value]]-Sales[[#This Row],[24Final]])/Sales[[#This Row],[24Final]]</f>
        <v>-6.1642061642061645E-2</v>
      </c>
      <c r="CL92">
        <f>VLOOKUP(Sales[[#This Row],[TNbhd]],Lookups!$M$3:$P$5,4,FALSE)</f>
        <v>0.99970000000000003</v>
      </c>
      <c r="CM92">
        <f>VLOOKUP(Sales[[#This Row],[Qlty]],Lookups!$M$8:$P$22,4,FALSE)</f>
        <v>0.99819999999999998</v>
      </c>
      <c r="CN92">
        <f>VLOOKUP(Sales[[#This Row],[Cnd]],Lookups!$R$8:$U$17,4,FALSE)</f>
        <v>1.0012000000000001</v>
      </c>
      <c r="CO92">
        <f>VLOOKUP(Sales[[#This Row],[LivArea Range]],Lookups!$R$25:$U$43,4,FALSE)</f>
        <v>1.0007999999999999</v>
      </c>
      <c r="CP92">
        <f>VLOOKUP(Sales[[#This Row],[Decade]],Lookups!$M$24:$P$40,4,FALSE)</f>
        <v>1.0024</v>
      </c>
      <c r="CQ92">
        <f>Sales[[#This Row],[Nbhd Adj]]*0.95</f>
        <v>0.94971499999999998</v>
      </c>
      <c r="CR92">
        <f>Sales[[#This Row],[Nbhd Adj]]*Sales[[#This Row],[Quality Adj]]*Sales[[#This Row],[Condition Adj]]*Sales[[#This Row],[Living Area Adj]]*Sales[[#This Row],[Decade Adj]]*0.95</f>
        <v>0.95218219995315945</v>
      </c>
      <c r="CS92">
        <f>ROUND(SUM(Sales[[#This Row],[Mdl Qlty]:[Mdl BltinGar]])+Sales[[#This Row],[Mdl Res Intercept]]*Sales[[#This Row],[Res Adj ]],-2)</f>
        <v>313700</v>
      </c>
      <c r="CT92">
        <f>ROUND(Sales[[#This Row],[25Det]]*Sales[[#This Row],[Det/Nbhd Adj]],-2)</f>
        <v>0</v>
      </c>
      <c r="CU92">
        <f>Sales[[#This Row],[Adjusted Res]]+Sales[[#This Row],[Adj Det ]]</f>
        <v>313700</v>
      </c>
      <c r="CV92">
        <f>ROUND((Sales[[#This Row],[Mdl Land Intercept]]+Sales[[#This Row],[Mdl LnAcres]])*Sales[[#This Row],[Det/Nbhd Adj]],-2)</f>
        <v>61100</v>
      </c>
      <c r="CW92">
        <f>Sales[[#This Row],[Adjusted Impr Total]]+Sales[[#This Row],[Adjusted Land Total]]</f>
        <v>374800</v>
      </c>
      <c r="CX92" s="10">
        <f>IFERROR((Sales[[#This Row],[Adjusted Impr Total]]-Sales[[#This Row],[24Bldg]])/Sales[[#This Row],[24Bldg]],0)</f>
        <v>-3.5659391331079003E-2</v>
      </c>
      <c r="CY92" s="10">
        <f>(Sales[[#This Row],[Adjusted Land Total]]-Sales[[#This Row],[24Lnd]])/Sales[[#This Row],[24Lnd]]</f>
        <v>4.9342105263157892E-3</v>
      </c>
      <c r="CZ92">
        <f>(Sales[[#This Row],[Adjusted Total]]-Sales[[#This Row],[24Final]])/Sales[[#This Row],[24Final]]</f>
        <v>-2.9267029267029267E-2</v>
      </c>
      <c r="DA92" s="10">
        <f>(Sales[[#This Row],[Adjusted Total]]+Sales[[#This Row],[Days Prior Total]])/Sales[[#This Row],[Price]]</f>
        <v>0.9461359649397153</v>
      </c>
    </row>
    <row r="93" spans="1:105">
      <c r="A93">
        <v>2025</v>
      </c>
      <c r="B93">
        <v>19120114483</v>
      </c>
      <c r="C93">
        <v>-1.8325814637483102</v>
      </c>
      <c r="D93">
        <v>0.16</v>
      </c>
      <c r="E93">
        <v>7002</v>
      </c>
      <c r="F93">
        <v>2</v>
      </c>
      <c r="G93" t="s">
        <v>155</v>
      </c>
      <c r="H93">
        <v>317</v>
      </c>
      <c r="I93" t="s">
        <v>5</v>
      </c>
      <c r="J93" t="s">
        <v>156</v>
      </c>
      <c r="K93">
        <v>11</v>
      </c>
      <c r="L93">
        <v>259</v>
      </c>
      <c r="M93" t="s">
        <v>157</v>
      </c>
      <c r="N93" t="s">
        <v>19</v>
      </c>
      <c r="O93" t="s">
        <v>24</v>
      </c>
      <c r="P93">
        <v>2021</v>
      </c>
      <c r="Q93">
        <v>2021</v>
      </c>
      <c r="R93">
        <v>10</v>
      </c>
      <c r="S93">
        <v>3</v>
      </c>
      <c r="T93">
        <v>3</v>
      </c>
      <c r="U93">
        <v>1</v>
      </c>
      <c r="V93">
        <v>1240</v>
      </c>
      <c r="W93">
        <v>0</v>
      </c>
      <c r="X93">
        <v>0</v>
      </c>
      <c r="Y93">
        <v>0</v>
      </c>
      <c r="Z93">
        <v>0</v>
      </c>
      <c r="AA93">
        <v>0</v>
      </c>
      <c r="AB93">
        <v>1240</v>
      </c>
      <c r="AC93">
        <v>1500</v>
      </c>
      <c r="AD93">
        <v>2</v>
      </c>
      <c r="AE93" t="s">
        <v>56</v>
      </c>
      <c r="AF93" t="s">
        <v>158</v>
      </c>
      <c r="AG93" t="s">
        <v>21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9</v>
      </c>
      <c r="AO93">
        <v>484</v>
      </c>
      <c r="AP93">
        <v>0</v>
      </c>
      <c r="AQ93">
        <v>0</v>
      </c>
      <c r="AR93">
        <v>0</v>
      </c>
      <c r="AS93">
        <v>116</v>
      </c>
      <c r="AT93">
        <v>0</v>
      </c>
      <c r="AU93">
        <v>100</v>
      </c>
      <c r="AV93">
        <v>100</v>
      </c>
      <c r="AW93">
        <v>231209</v>
      </c>
      <c r="AX93">
        <v>228897</v>
      </c>
      <c r="AY93">
        <v>728</v>
      </c>
      <c r="AZ93">
        <v>365</v>
      </c>
      <c r="BA93">
        <v>363</v>
      </c>
      <c r="BB93">
        <v>0</v>
      </c>
      <c r="BC93" s="2">
        <v>44564</v>
      </c>
      <c r="BD93" t="s">
        <v>252</v>
      </c>
      <c r="BE93">
        <v>349990</v>
      </c>
      <c r="BF93">
        <v>349990</v>
      </c>
      <c r="BG93" t="s">
        <v>160</v>
      </c>
      <c r="BH93">
        <v>30</v>
      </c>
      <c r="BI93" t="s">
        <v>56</v>
      </c>
      <c r="BJ93" t="s">
        <v>161</v>
      </c>
      <c r="BK93">
        <v>365400</v>
      </c>
      <c r="BL93">
        <v>60800</v>
      </c>
      <c r="BM93">
        <v>304600</v>
      </c>
      <c r="BN93">
        <v>0</v>
      </c>
      <c r="BO93">
        <v>345086.83508876001</v>
      </c>
      <c r="BP93">
        <v>366102.27177359926</v>
      </c>
      <c r="BQ93">
        <f>(Sales[[#This Row],[DP1]]*Lookups!$B$61)+(Sales[[#This Row],[DP2]]*Lookups!$B$62)+(Sales[[#This Row],[DP3]]*Lookups!$B$63)</f>
        <v>-21015.435530999999</v>
      </c>
      <c r="BR93">
        <f>Lookups!$B$58*0.6</f>
        <v>132535.48800000001</v>
      </c>
      <c r="BS93">
        <f>Lookups!$B$58*0.4</f>
        <v>88356.992000000013</v>
      </c>
      <c r="BT93">
        <f>Lookups!$B$59*Sales[[#This Row],[LnAcres]]</f>
        <v>-24051.387388882686</v>
      </c>
      <c r="BU93">
        <f>VLOOKUP(Sales[[#This Row],[Qlty]],Lookups!$A$66:$E$79,2,FALSE)</f>
        <v>37154.252388000001</v>
      </c>
      <c r="BV93">
        <f>VLOOKUP(Sales[[#This Row],[Cnd]],Lookups!$A$80:$E$91,2,FALSE)</f>
        <v>47371.278778200001</v>
      </c>
      <c r="BW93">
        <f>Sales[[#This Row],[EffAge]]*Lookups!$B$65</f>
        <v>-326.22329999999999</v>
      </c>
      <c r="BX93">
        <f>Sales[[#This Row],[MainFn]]*Lookups!$B$90</f>
        <v>77388.871200000009</v>
      </c>
      <c r="BY93">
        <f>Sales[[#This Row],[UpprFn]]*Lookups!$B$91</f>
        <v>0</v>
      </c>
      <c r="BZ93">
        <f>Sales[[#This Row],[Bsmt]]*Lookups!$B$95</f>
        <v>0</v>
      </c>
      <c r="CA93">
        <f>VLOOKUP(Sales[[#This Row],[MsnryTrim]],Lookups!$A$90:$E$99,2,FALSE)</f>
        <v>-9412.7029999999995</v>
      </c>
      <c r="CB93">
        <f>Sales[[#This Row],[PrefabFP]]*Lookups!$B$92</f>
        <v>0</v>
      </c>
      <c r="CC93">
        <f>Sales[[#This Row],[AttGar]]*Lookups!$B$93</f>
        <v>17085.699004000002</v>
      </c>
      <c r="CD93">
        <f>Sales[[#This Row],[BltinGar]]*Lookups!$B$94</f>
        <v>0</v>
      </c>
      <c r="CE93">
        <f>SUM(Sales[[#This Row],[Days Prior Total]:[Mdl BltinGar]])</f>
        <v>345086.83215031732</v>
      </c>
      <c r="CF93">
        <f>ROUND(Sales[[#This Row],[25Det]],-2)</f>
        <v>0</v>
      </c>
      <c r="CG93">
        <f>ROUND(SUM(Sales[[#This Row],[Mdl Qlty]:[Mdl BltinGar]])+Sales[[#This Row],[Mdl Res Intercept]]+Sales[[#This Row],[Days Prior Total]],-2)</f>
        <v>280800</v>
      </c>
      <c r="CH93">
        <f>ROUND(Sales[[#This Row],[Mdl Land Intercept]]+Sales[[#This Row],[Mdl LnAcres]],-2)</f>
        <v>64300</v>
      </c>
      <c r="CI93">
        <f>Sales[[#This Row],[Unadj Res Value]]+Sales[[#This Row],[Unadj Det Value]]+Sales[[#This Row],[Unadj Land Value]]</f>
        <v>345100</v>
      </c>
      <c r="CJ93" s="10">
        <f>Sales[[#This Row],[Price]]/Sales[[#This Row],[Unadj Total Value]]</f>
        <v>1.0141698058533759</v>
      </c>
      <c r="CK93" s="10">
        <f>(Sales[[#This Row],[Unadj Total Value]]-Sales[[#This Row],[24Final]])/Sales[[#This Row],[24Final]]</f>
        <v>-5.5555555555555552E-2</v>
      </c>
      <c r="CL93">
        <f>VLOOKUP(Sales[[#This Row],[TNbhd]],Lookups!$M$3:$P$5,4,FALSE)</f>
        <v>0.99970000000000003</v>
      </c>
      <c r="CM93">
        <f>VLOOKUP(Sales[[#This Row],[Qlty]],Lookups!$M$8:$P$22,4,FALSE)</f>
        <v>0.99819999999999998</v>
      </c>
      <c r="CN93">
        <f>VLOOKUP(Sales[[#This Row],[Cnd]],Lookups!$R$8:$U$17,4,FALSE)</f>
        <v>1.0012000000000001</v>
      </c>
      <c r="CO93">
        <f>VLOOKUP(Sales[[#This Row],[LivArea Range]],Lookups!$R$25:$U$43,4,FALSE)</f>
        <v>0.99519999999999997</v>
      </c>
      <c r="CP93">
        <f>VLOOKUP(Sales[[#This Row],[Decade]],Lookups!$M$24:$P$40,4,FALSE)</f>
        <v>1.0024</v>
      </c>
      <c r="CQ93">
        <f>Sales[[#This Row],[Nbhd Adj]]*0.95</f>
        <v>0.94971499999999998</v>
      </c>
      <c r="CR93">
        <f>Sales[[#This Row],[Nbhd Adj]]*Sales[[#This Row],[Quality Adj]]*Sales[[#This Row],[Condition Adj]]*Sales[[#This Row],[Living Area Adj]]*Sales[[#This Row],[Decade Adj]]*0.95</f>
        <v>0.94685424199978463</v>
      </c>
      <c r="CS93">
        <f>ROUND(SUM(Sales[[#This Row],[Mdl Qlty]:[Mdl BltinGar]])+Sales[[#This Row],[Mdl Res Intercept]]*Sales[[#This Row],[Res Adj ]],-2)</f>
        <v>294800</v>
      </c>
      <c r="CT93">
        <f>ROUND(Sales[[#This Row],[25Det]]*Sales[[#This Row],[Det/Nbhd Adj]],-2)</f>
        <v>0</v>
      </c>
      <c r="CU93">
        <f>Sales[[#This Row],[Adjusted Res]]+Sales[[#This Row],[Adj Det ]]</f>
        <v>294800</v>
      </c>
      <c r="CV93">
        <f>ROUND((Sales[[#This Row],[Mdl Land Intercept]]+Sales[[#This Row],[Mdl LnAcres]])*Sales[[#This Row],[Det/Nbhd Adj]],-2)</f>
        <v>61100</v>
      </c>
      <c r="CW93">
        <f>Sales[[#This Row],[Adjusted Impr Total]]+Sales[[#This Row],[Adjusted Land Total]]</f>
        <v>355900</v>
      </c>
      <c r="CX93" s="10">
        <f>IFERROR((Sales[[#This Row],[Adjusted Impr Total]]-Sales[[#This Row],[24Bldg]])/Sales[[#This Row],[24Bldg]],0)</f>
        <v>-3.2173342087984239E-2</v>
      </c>
      <c r="CY93" s="10">
        <f>(Sales[[#This Row],[Adjusted Land Total]]-Sales[[#This Row],[24Lnd]])/Sales[[#This Row],[24Lnd]]</f>
        <v>4.9342105263157892E-3</v>
      </c>
      <c r="CZ93">
        <f>(Sales[[#This Row],[Adjusted Total]]-Sales[[#This Row],[24Final]])/Sales[[#This Row],[24Final]]</f>
        <v>-2.5998905309250135E-2</v>
      </c>
      <c r="DA93" s="10">
        <f>(Sales[[#This Row],[Adjusted Total]]+Sales[[#This Row],[Days Prior Total]])/Sales[[#This Row],[Price]]</f>
        <v>0.95684037963656099</v>
      </c>
    </row>
    <row r="94" spans="1:105">
      <c r="A94">
        <v>2025</v>
      </c>
      <c r="B94">
        <v>19120114484</v>
      </c>
      <c r="C94">
        <v>-1.8325814637483102</v>
      </c>
      <c r="D94">
        <v>0.16</v>
      </c>
      <c r="E94">
        <v>7002</v>
      </c>
      <c r="F94">
        <v>2</v>
      </c>
      <c r="G94" t="s">
        <v>155</v>
      </c>
      <c r="H94">
        <v>317</v>
      </c>
      <c r="I94" t="s">
        <v>5</v>
      </c>
      <c r="J94" t="s">
        <v>156</v>
      </c>
      <c r="K94">
        <v>11</v>
      </c>
      <c r="L94">
        <v>259</v>
      </c>
      <c r="M94" t="s">
        <v>157</v>
      </c>
      <c r="N94" t="s">
        <v>19</v>
      </c>
      <c r="O94" t="s">
        <v>24</v>
      </c>
      <c r="P94">
        <v>2021</v>
      </c>
      <c r="Q94">
        <v>2021</v>
      </c>
      <c r="R94">
        <v>10</v>
      </c>
      <c r="S94">
        <v>3</v>
      </c>
      <c r="T94">
        <v>3</v>
      </c>
      <c r="U94">
        <v>1</v>
      </c>
      <c r="V94">
        <v>1619</v>
      </c>
      <c r="W94">
        <v>0</v>
      </c>
      <c r="X94">
        <v>0</v>
      </c>
      <c r="Y94">
        <v>0</v>
      </c>
      <c r="Z94">
        <v>0</v>
      </c>
      <c r="AA94">
        <v>0</v>
      </c>
      <c r="AB94">
        <v>1619</v>
      </c>
      <c r="AC94">
        <v>2000</v>
      </c>
      <c r="AD94">
        <v>2</v>
      </c>
      <c r="AE94" t="s">
        <v>56</v>
      </c>
      <c r="AF94" t="s">
        <v>158</v>
      </c>
      <c r="AG94" t="s">
        <v>21</v>
      </c>
      <c r="AI94">
        <v>0</v>
      </c>
      <c r="AJ94">
        <v>0</v>
      </c>
      <c r="AK94">
        <v>0</v>
      </c>
      <c r="AL94">
        <v>1</v>
      </c>
      <c r="AM94">
        <v>0</v>
      </c>
      <c r="AN94">
        <v>9</v>
      </c>
      <c r="AO94">
        <v>400</v>
      </c>
      <c r="AP94">
        <v>0</v>
      </c>
      <c r="AQ94">
        <v>0</v>
      </c>
      <c r="AR94">
        <v>0</v>
      </c>
      <c r="AS94">
        <v>100</v>
      </c>
      <c r="AT94">
        <v>0</v>
      </c>
      <c r="AU94">
        <v>100</v>
      </c>
      <c r="AV94">
        <v>100</v>
      </c>
      <c r="AW94">
        <v>281335</v>
      </c>
      <c r="AX94">
        <v>278522</v>
      </c>
      <c r="AY94">
        <v>734</v>
      </c>
      <c r="AZ94">
        <v>365</v>
      </c>
      <c r="BA94">
        <v>365</v>
      </c>
      <c r="BB94">
        <v>4</v>
      </c>
      <c r="BC94" s="2">
        <v>44558</v>
      </c>
      <c r="BD94" t="s">
        <v>253</v>
      </c>
      <c r="BE94">
        <v>387383</v>
      </c>
      <c r="BF94">
        <v>387383</v>
      </c>
      <c r="BG94" t="s">
        <v>160</v>
      </c>
      <c r="BH94">
        <v>30</v>
      </c>
      <c r="BI94" t="s">
        <v>56</v>
      </c>
      <c r="BJ94" t="s">
        <v>161</v>
      </c>
      <c r="BK94">
        <v>382700</v>
      </c>
      <c r="BL94">
        <v>60800</v>
      </c>
      <c r="BM94">
        <v>321900</v>
      </c>
      <c r="BN94">
        <v>0</v>
      </c>
      <c r="BO94">
        <v>364724.19780343992</v>
      </c>
      <c r="BP94">
        <v>386790.51922905678</v>
      </c>
      <c r="BQ94">
        <f>(Sales[[#This Row],[DP1]]*Lookups!$B$61)+(Sales[[#This Row],[DP2]]*Lookups!$B$62)+(Sales[[#This Row],[DP3]]*Lookups!$B$63)</f>
        <v>-22066.320230999998</v>
      </c>
      <c r="BR94">
        <f>Lookups!$B$58*0.6</f>
        <v>132535.48800000001</v>
      </c>
      <c r="BS94">
        <f>Lookups!$B$58*0.4</f>
        <v>88356.992000000013</v>
      </c>
      <c r="BT94">
        <f>Lookups!$B$59*Sales[[#This Row],[LnAcres]]</f>
        <v>-24051.387388882686</v>
      </c>
      <c r="BU94">
        <f>VLOOKUP(Sales[[#This Row],[Qlty]],Lookups!$A$66:$E$79,2,FALSE)</f>
        <v>37154.252388000001</v>
      </c>
      <c r="BV94">
        <f>VLOOKUP(Sales[[#This Row],[Cnd]],Lookups!$A$80:$E$91,2,FALSE)</f>
        <v>47371.278778200001</v>
      </c>
      <c r="BW94">
        <f>Sales[[#This Row],[EffAge]]*Lookups!$B$65</f>
        <v>-326.22329999999999</v>
      </c>
      <c r="BX94">
        <f>Sales[[#This Row],[MainFn]]*Lookups!$B$90</f>
        <v>101042.40522</v>
      </c>
      <c r="BY94">
        <f>Sales[[#This Row],[UpprFn]]*Lookups!$B$91</f>
        <v>0</v>
      </c>
      <c r="BZ94">
        <f>Sales[[#This Row],[Bsmt]]*Lookups!$B$95</f>
        <v>0</v>
      </c>
      <c r="CA94">
        <f>VLOOKUP(Sales[[#This Row],[MsnryTrim]],Lookups!$A$90:$E$99,2,FALSE)</f>
        <v>-9412.7029999999995</v>
      </c>
      <c r="CB94">
        <f>Sales[[#This Row],[PrefabFP]]*Lookups!$B$92</f>
        <v>0</v>
      </c>
      <c r="CC94">
        <f>Sales[[#This Row],[AttGar]]*Lookups!$B$93</f>
        <v>14120.412400000001</v>
      </c>
      <c r="CD94">
        <f>Sales[[#This Row],[BltinGar]]*Lookups!$B$94</f>
        <v>0</v>
      </c>
      <c r="CE94">
        <f>SUM(Sales[[#This Row],[Days Prior Total]:[Mdl BltinGar]])</f>
        <v>364724.19486631732</v>
      </c>
      <c r="CF94">
        <f>ROUND(Sales[[#This Row],[25Det]],-2)</f>
        <v>0</v>
      </c>
      <c r="CG94">
        <f>ROUND(SUM(Sales[[#This Row],[Mdl Qlty]:[Mdl BltinGar]])+Sales[[#This Row],[Mdl Res Intercept]]+Sales[[#This Row],[Days Prior Total]],-2)</f>
        <v>300400</v>
      </c>
      <c r="CH94">
        <f>ROUND(Sales[[#This Row],[Mdl Land Intercept]]+Sales[[#This Row],[Mdl LnAcres]],-2)</f>
        <v>64300</v>
      </c>
      <c r="CI94">
        <f>Sales[[#This Row],[Unadj Res Value]]+Sales[[#This Row],[Unadj Det Value]]+Sales[[#This Row],[Unadj Land Value]]</f>
        <v>364700</v>
      </c>
      <c r="CJ94" s="10">
        <f>Sales[[#This Row],[Price]]/Sales[[#This Row],[Unadj Total Value]]</f>
        <v>1.0621963257471894</v>
      </c>
      <c r="CK94" s="10">
        <f>(Sales[[#This Row],[Unadj Total Value]]-Sales[[#This Row],[24Final]])/Sales[[#This Row],[24Final]]</f>
        <v>-4.7034230467729289E-2</v>
      </c>
      <c r="CL94">
        <f>VLOOKUP(Sales[[#This Row],[TNbhd]],Lookups!$M$3:$P$5,4,FALSE)</f>
        <v>0.99970000000000003</v>
      </c>
      <c r="CM94">
        <f>VLOOKUP(Sales[[#This Row],[Qlty]],Lookups!$M$8:$P$22,4,FALSE)</f>
        <v>0.99819999999999998</v>
      </c>
      <c r="CN94">
        <f>VLOOKUP(Sales[[#This Row],[Cnd]],Lookups!$R$8:$U$17,4,FALSE)</f>
        <v>1.0012000000000001</v>
      </c>
      <c r="CO94">
        <f>VLOOKUP(Sales[[#This Row],[LivArea Range]],Lookups!$R$25:$U$43,4,FALSE)</f>
        <v>1.0007999999999999</v>
      </c>
      <c r="CP94">
        <f>VLOOKUP(Sales[[#This Row],[Decade]],Lookups!$M$24:$P$40,4,FALSE)</f>
        <v>1.0024</v>
      </c>
      <c r="CQ94">
        <f>Sales[[#This Row],[Nbhd Adj]]*0.95</f>
        <v>0.94971499999999998</v>
      </c>
      <c r="CR94">
        <f>Sales[[#This Row],[Nbhd Adj]]*Sales[[#This Row],[Quality Adj]]*Sales[[#This Row],[Condition Adj]]*Sales[[#This Row],[Living Area Adj]]*Sales[[#This Row],[Decade Adj]]*0.95</f>
        <v>0.95218219995315945</v>
      </c>
      <c r="CS94">
        <f>ROUND(SUM(Sales[[#This Row],[Mdl Qlty]:[Mdl BltinGar]])+Sales[[#This Row],[Mdl Res Intercept]]*Sales[[#This Row],[Res Adj ]],-2)</f>
        <v>316100</v>
      </c>
      <c r="CT94">
        <f>ROUND(Sales[[#This Row],[25Det]]*Sales[[#This Row],[Det/Nbhd Adj]],-2)</f>
        <v>0</v>
      </c>
      <c r="CU94">
        <f>Sales[[#This Row],[Adjusted Res]]+Sales[[#This Row],[Adj Det ]]</f>
        <v>316100</v>
      </c>
      <c r="CV94">
        <f>ROUND((Sales[[#This Row],[Mdl Land Intercept]]+Sales[[#This Row],[Mdl LnAcres]])*Sales[[#This Row],[Det/Nbhd Adj]],-2)</f>
        <v>61100</v>
      </c>
      <c r="CW94">
        <f>Sales[[#This Row],[Adjusted Impr Total]]+Sales[[#This Row],[Adjusted Land Total]]</f>
        <v>377200</v>
      </c>
      <c r="CX94" s="10">
        <f>IFERROR((Sales[[#This Row],[Adjusted Impr Total]]-Sales[[#This Row],[24Bldg]])/Sales[[#This Row],[24Bldg]],0)</f>
        <v>-1.8018018018018018E-2</v>
      </c>
      <c r="CY94" s="10">
        <f>(Sales[[#This Row],[Adjusted Land Total]]-Sales[[#This Row],[24Lnd]])/Sales[[#This Row],[24Lnd]]</f>
        <v>4.9342105263157892E-3</v>
      </c>
      <c r="CZ94">
        <f>(Sales[[#This Row],[Adjusted Total]]-Sales[[#This Row],[24Final]])/Sales[[#This Row],[24Final]]</f>
        <v>-1.4371570420695061E-2</v>
      </c>
      <c r="DA94" s="10">
        <f>(Sales[[#This Row],[Adjusted Total]]+Sales[[#This Row],[Days Prior Total]])/Sales[[#This Row],[Price]]</f>
        <v>0.91675081190707897</v>
      </c>
    </row>
    <row r="95" spans="1:105">
      <c r="A95">
        <v>2025</v>
      </c>
      <c r="B95">
        <v>19120114485</v>
      </c>
      <c r="C95">
        <v>-1.8325814637483102</v>
      </c>
      <c r="D95">
        <v>0.16</v>
      </c>
      <c r="E95">
        <v>7002</v>
      </c>
      <c r="F95">
        <v>2</v>
      </c>
      <c r="G95" t="s">
        <v>155</v>
      </c>
      <c r="H95">
        <v>317</v>
      </c>
      <c r="I95" t="s">
        <v>5</v>
      </c>
      <c r="J95" t="s">
        <v>156</v>
      </c>
      <c r="K95">
        <v>11</v>
      </c>
      <c r="L95">
        <v>259</v>
      </c>
      <c r="M95" t="s">
        <v>157</v>
      </c>
      <c r="N95" t="s">
        <v>19</v>
      </c>
      <c r="O95" t="s">
        <v>24</v>
      </c>
      <c r="P95">
        <v>2021</v>
      </c>
      <c r="Q95">
        <v>2021</v>
      </c>
      <c r="R95">
        <v>10</v>
      </c>
      <c r="S95">
        <v>3</v>
      </c>
      <c r="T95">
        <v>3</v>
      </c>
      <c r="U95">
        <v>1</v>
      </c>
      <c r="V95">
        <v>1619</v>
      </c>
      <c r="W95">
        <v>0</v>
      </c>
      <c r="X95">
        <v>0</v>
      </c>
      <c r="Y95">
        <v>0</v>
      </c>
      <c r="Z95">
        <v>0</v>
      </c>
      <c r="AA95">
        <v>0</v>
      </c>
      <c r="AB95">
        <v>1619</v>
      </c>
      <c r="AC95">
        <v>2000</v>
      </c>
      <c r="AD95">
        <v>2</v>
      </c>
      <c r="AE95" t="s">
        <v>56</v>
      </c>
      <c r="AF95" t="s">
        <v>158</v>
      </c>
      <c r="AG95" t="s">
        <v>21</v>
      </c>
      <c r="AI95">
        <v>0</v>
      </c>
      <c r="AJ95">
        <v>0</v>
      </c>
      <c r="AK95">
        <v>0</v>
      </c>
      <c r="AL95">
        <v>1</v>
      </c>
      <c r="AM95">
        <v>0</v>
      </c>
      <c r="AN95">
        <v>9</v>
      </c>
      <c r="AO95">
        <v>480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100</v>
      </c>
      <c r="AV95">
        <v>100</v>
      </c>
      <c r="AW95">
        <v>290160</v>
      </c>
      <c r="AX95">
        <v>287258</v>
      </c>
      <c r="AY95">
        <v>724</v>
      </c>
      <c r="AZ95">
        <v>365</v>
      </c>
      <c r="BA95">
        <v>359</v>
      </c>
      <c r="BB95">
        <v>0</v>
      </c>
      <c r="BC95" s="2">
        <v>44568</v>
      </c>
      <c r="BD95" t="s">
        <v>254</v>
      </c>
      <c r="BE95">
        <v>412379</v>
      </c>
      <c r="BF95">
        <v>412379</v>
      </c>
      <c r="BG95" t="s">
        <v>160</v>
      </c>
      <c r="BH95">
        <v>30</v>
      </c>
      <c r="BI95" t="s">
        <v>56</v>
      </c>
      <c r="BJ95" t="s">
        <v>161</v>
      </c>
      <c r="BK95">
        <v>397200</v>
      </c>
      <c r="BL95">
        <v>60800</v>
      </c>
      <c r="BM95">
        <v>336400</v>
      </c>
      <c r="BN95">
        <v>0</v>
      </c>
      <c r="BO95">
        <v>368868.93920814671</v>
      </c>
      <c r="BP95">
        <v>389614.60168013599</v>
      </c>
      <c r="BQ95">
        <f>(Sales[[#This Row],[DP1]]*Lookups!$B$61)+(Sales[[#This Row],[DP2]]*Lookups!$B$62)+(Sales[[#This Row],[DP3]]*Lookups!$B$63)</f>
        <v>-20745.661330999999</v>
      </c>
      <c r="BR95">
        <f>Lookups!$B$58*0.6</f>
        <v>132535.48800000001</v>
      </c>
      <c r="BS95">
        <f>Lookups!$B$58*0.4</f>
        <v>88356.992000000013</v>
      </c>
      <c r="BT95">
        <f>Lookups!$B$59*Sales[[#This Row],[LnAcres]]</f>
        <v>-24051.387388882686</v>
      </c>
      <c r="BU95">
        <f>VLOOKUP(Sales[[#This Row],[Qlty]],Lookups!$A$66:$E$79,2,FALSE)</f>
        <v>37154.252388000001</v>
      </c>
      <c r="BV95">
        <f>VLOOKUP(Sales[[#This Row],[Cnd]],Lookups!$A$80:$E$91,2,FALSE)</f>
        <v>47371.278778200001</v>
      </c>
      <c r="BW95">
        <f>Sales[[#This Row],[EffAge]]*Lookups!$B$65</f>
        <v>-326.22329999999999</v>
      </c>
      <c r="BX95">
        <f>Sales[[#This Row],[MainFn]]*Lookups!$B$90</f>
        <v>101042.40522</v>
      </c>
      <c r="BY95">
        <f>Sales[[#This Row],[UpprFn]]*Lookups!$B$91</f>
        <v>0</v>
      </c>
      <c r="BZ95">
        <f>Sales[[#This Row],[Bsmt]]*Lookups!$B$95</f>
        <v>0</v>
      </c>
      <c r="CA95">
        <f>VLOOKUP(Sales[[#This Row],[MsnryTrim]],Lookups!$A$90:$E$99,2,FALSE)</f>
        <v>-9412.7029999999995</v>
      </c>
      <c r="CB95">
        <f>Sales[[#This Row],[PrefabFP]]*Lookups!$B$92</f>
        <v>0</v>
      </c>
      <c r="CC95">
        <f>Sales[[#This Row],[AttGar]]*Lookups!$B$93</f>
        <v>16944.494880000002</v>
      </c>
      <c r="CD95">
        <f>Sales[[#This Row],[BltinGar]]*Lookups!$B$94</f>
        <v>0</v>
      </c>
      <c r="CE95">
        <f>SUM(Sales[[#This Row],[Days Prior Total]:[Mdl BltinGar]])</f>
        <v>368868.93624631735</v>
      </c>
      <c r="CF95">
        <f>ROUND(Sales[[#This Row],[25Det]],-2)</f>
        <v>0</v>
      </c>
      <c r="CG95">
        <f>ROUND(SUM(Sales[[#This Row],[Mdl Qlty]:[Mdl BltinGar]])+Sales[[#This Row],[Mdl Res Intercept]]+Sales[[#This Row],[Days Prior Total]],-2)</f>
        <v>304600</v>
      </c>
      <c r="CH95">
        <f>ROUND(Sales[[#This Row],[Mdl Land Intercept]]+Sales[[#This Row],[Mdl LnAcres]],-2)</f>
        <v>64300</v>
      </c>
      <c r="CI95">
        <f>Sales[[#This Row],[Unadj Res Value]]+Sales[[#This Row],[Unadj Det Value]]+Sales[[#This Row],[Unadj Land Value]]</f>
        <v>368900</v>
      </c>
      <c r="CJ95" s="10">
        <f>Sales[[#This Row],[Price]]/Sales[[#This Row],[Unadj Total Value]]</f>
        <v>1.1178612089997289</v>
      </c>
      <c r="CK95" s="10">
        <f>(Sales[[#This Row],[Unadj Total Value]]-Sales[[#This Row],[24Final]])/Sales[[#This Row],[24Final]]</f>
        <v>-7.1248741188318226E-2</v>
      </c>
      <c r="CL95">
        <f>VLOOKUP(Sales[[#This Row],[TNbhd]],Lookups!$M$3:$P$5,4,FALSE)</f>
        <v>0.99970000000000003</v>
      </c>
      <c r="CM95">
        <f>VLOOKUP(Sales[[#This Row],[Qlty]],Lookups!$M$8:$P$22,4,FALSE)</f>
        <v>0.99819999999999998</v>
      </c>
      <c r="CN95">
        <f>VLOOKUP(Sales[[#This Row],[Cnd]],Lookups!$R$8:$U$17,4,FALSE)</f>
        <v>1.0012000000000001</v>
      </c>
      <c r="CO95">
        <f>VLOOKUP(Sales[[#This Row],[LivArea Range]],Lookups!$R$25:$U$43,4,FALSE)</f>
        <v>1.0007999999999999</v>
      </c>
      <c r="CP95">
        <f>VLOOKUP(Sales[[#This Row],[Decade]],Lookups!$M$24:$P$40,4,FALSE)</f>
        <v>1.0024</v>
      </c>
      <c r="CQ95">
        <f>Sales[[#This Row],[Nbhd Adj]]*0.95</f>
        <v>0.94971499999999998</v>
      </c>
      <c r="CR95">
        <f>Sales[[#This Row],[Nbhd Adj]]*Sales[[#This Row],[Quality Adj]]*Sales[[#This Row],[Condition Adj]]*Sales[[#This Row],[Living Area Adj]]*Sales[[#This Row],[Decade Adj]]*0.95</f>
        <v>0.95218219995315945</v>
      </c>
      <c r="CS95">
        <f>ROUND(SUM(Sales[[#This Row],[Mdl Qlty]:[Mdl BltinGar]])+Sales[[#This Row],[Mdl Res Intercept]]*Sales[[#This Row],[Res Adj ]],-2)</f>
        <v>319000</v>
      </c>
      <c r="CT95">
        <f>ROUND(Sales[[#This Row],[25Det]]*Sales[[#This Row],[Det/Nbhd Adj]],-2)</f>
        <v>0</v>
      </c>
      <c r="CU95">
        <f>Sales[[#This Row],[Adjusted Res]]+Sales[[#This Row],[Adj Det ]]</f>
        <v>319000</v>
      </c>
      <c r="CV95">
        <f>ROUND((Sales[[#This Row],[Mdl Land Intercept]]+Sales[[#This Row],[Mdl LnAcres]])*Sales[[#This Row],[Det/Nbhd Adj]],-2)</f>
        <v>61100</v>
      </c>
      <c r="CW95">
        <f>Sales[[#This Row],[Adjusted Impr Total]]+Sales[[#This Row],[Adjusted Land Total]]</f>
        <v>380100</v>
      </c>
      <c r="CX95" s="10">
        <f>IFERROR((Sales[[#This Row],[Adjusted Impr Total]]-Sales[[#This Row],[24Bldg]])/Sales[[#This Row],[24Bldg]],0)</f>
        <v>-5.1724137931034482E-2</v>
      </c>
      <c r="CY95" s="10">
        <f>(Sales[[#This Row],[Adjusted Land Total]]-Sales[[#This Row],[24Lnd]])/Sales[[#This Row],[24Lnd]]</f>
        <v>4.9342105263157892E-3</v>
      </c>
      <c r="CZ95">
        <f>(Sales[[#This Row],[Adjusted Total]]-Sales[[#This Row],[24Final]])/Sales[[#This Row],[24Final]]</f>
        <v>-4.3051359516616317E-2</v>
      </c>
      <c r="DA95" s="10">
        <f>(Sales[[#This Row],[Adjusted Total]]+Sales[[#This Row],[Days Prior Total]])/Sales[[#This Row],[Price]]</f>
        <v>0.87141764898067076</v>
      </c>
    </row>
    <row r="96" spans="1:105">
      <c r="A96">
        <v>2025</v>
      </c>
      <c r="B96">
        <v>19120114486</v>
      </c>
      <c r="C96">
        <v>-1.8325814637483102</v>
      </c>
      <c r="D96">
        <v>0.16</v>
      </c>
      <c r="E96">
        <v>7004</v>
      </c>
      <c r="F96">
        <v>2</v>
      </c>
      <c r="G96" t="s">
        <v>155</v>
      </c>
      <c r="H96">
        <v>317</v>
      </c>
      <c r="I96" t="s">
        <v>5</v>
      </c>
      <c r="J96" t="s">
        <v>156</v>
      </c>
      <c r="K96">
        <v>11</v>
      </c>
      <c r="L96">
        <v>259</v>
      </c>
      <c r="M96" t="s">
        <v>157</v>
      </c>
      <c r="N96" t="s">
        <v>19</v>
      </c>
      <c r="O96" t="s">
        <v>24</v>
      </c>
      <c r="P96">
        <v>2021</v>
      </c>
      <c r="Q96">
        <v>2021</v>
      </c>
      <c r="R96">
        <v>10</v>
      </c>
      <c r="S96">
        <v>3</v>
      </c>
      <c r="T96">
        <v>3</v>
      </c>
      <c r="U96">
        <v>1</v>
      </c>
      <c r="V96">
        <v>1452</v>
      </c>
      <c r="W96">
        <v>0</v>
      </c>
      <c r="X96">
        <v>0</v>
      </c>
      <c r="Y96">
        <v>0</v>
      </c>
      <c r="Z96">
        <v>0</v>
      </c>
      <c r="AA96">
        <v>0</v>
      </c>
      <c r="AB96">
        <v>1452</v>
      </c>
      <c r="AC96">
        <v>1500</v>
      </c>
      <c r="AD96">
        <v>2</v>
      </c>
      <c r="AE96" t="s">
        <v>56</v>
      </c>
      <c r="AF96" t="s">
        <v>158</v>
      </c>
      <c r="AG96" t="s">
        <v>21</v>
      </c>
      <c r="AI96">
        <v>0</v>
      </c>
      <c r="AJ96">
        <v>0</v>
      </c>
      <c r="AK96">
        <v>0</v>
      </c>
      <c r="AL96">
        <v>1</v>
      </c>
      <c r="AM96">
        <v>0</v>
      </c>
      <c r="AN96">
        <v>9</v>
      </c>
      <c r="AO96">
        <v>400</v>
      </c>
      <c r="AP96">
        <v>0</v>
      </c>
      <c r="AQ96">
        <v>0</v>
      </c>
      <c r="AR96">
        <v>0</v>
      </c>
      <c r="AS96">
        <v>288</v>
      </c>
      <c r="AT96">
        <v>0</v>
      </c>
      <c r="AU96">
        <v>100</v>
      </c>
      <c r="AV96">
        <v>100</v>
      </c>
      <c r="AW96">
        <v>259600</v>
      </c>
      <c r="AX96">
        <v>257004</v>
      </c>
      <c r="AY96">
        <v>689</v>
      </c>
      <c r="AZ96">
        <v>365</v>
      </c>
      <c r="BA96">
        <v>324</v>
      </c>
      <c r="BB96">
        <v>0</v>
      </c>
      <c r="BC96" s="2">
        <v>44603</v>
      </c>
      <c r="BD96" t="s">
        <v>255</v>
      </c>
      <c r="BE96">
        <v>373074</v>
      </c>
      <c r="BF96">
        <v>373074</v>
      </c>
      <c r="BG96" t="s">
        <v>160</v>
      </c>
      <c r="BH96">
        <v>30</v>
      </c>
      <c r="BI96" t="s">
        <v>56</v>
      </c>
      <c r="BJ96" t="s">
        <v>161</v>
      </c>
      <c r="BK96">
        <v>372400</v>
      </c>
      <c r="BL96">
        <v>60800</v>
      </c>
      <c r="BM96">
        <v>311600</v>
      </c>
      <c r="BN96">
        <v>0</v>
      </c>
      <c r="BO96">
        <v>357982.84765549918</v>
      </c>
      <c r="BP96">
        <v>376367.9857650511</v>
      </c>
      <c r="BQ96">
        <f>(Sales[[#This Row],[DP1]]*Lookups!$B$61)+(Sales[[#This Row],[DP2]]*Lookups!$B$62)+(Sales[[#This Row],[DP3]]*Lookups!$B$63)</f>
        <v>-18385.137081000001</v>
      </c>
      <c r="BR96">
        <f>Lookups!$B$58*0.6</f>
        <v>132535.48800000001</v>
      </c>
      <c r="BS96">
        <f>Lookups!$B$58*0.4</f>
        <v>88356.992000000013</v>
      </c>
      <c r="BT96">
        <f>Lookups!$B$59*Sales[[#This Row],[LnAcres]]</f>
        <v>-24051.387388882686</v>
      </c>
      <c r="BU96">
        <f>VLOOKUP(Sales[[#This Row],[Qlty]],Lookups!$A$66:$E$79,2,FALSE)</f>
        <v>37154.252388000001</v>
      </c>
      <c r="BV96">
        <f>VLOOKUP(Sales[[#This Row],[Cnd]],Lookups!$A$80:$E$91,2,FALSE)</f>
        <v>47371.278778200001</v>
      </c>
      <c r="BW96">
        <f>Sales[[#This Row],[EffAge]]*Lookups!$B$65</f>
        <v>-326.22329999999999</v>
      </c>
      <c r="BX96">
        <f>Sales[[#This Row],[MainFn]]*Lookups!$B$90</f>
        <v>90619.871760000009</v>
      </c>
      <c r="BY96">
        <f>Sales[[#This Row],[UpprFn]]*Lookups!$B$91</f>
        <v>0</v>
      </c>
      <c r="BZ96">
        <f>Sales[[#This Row],[Bsmt]]*Lookups!$B$95</f>
        <v>0</v>
      </c>
      <c r="CA96">
        <f>VLOOKUP(Sales[[#This Row],[MsnryTrim]],Lookups!$A$90:$E$99,2,FALSE)</f>
        <v>-9412.7029999999995</v>
      </c>
      <c r="CB96">
        <f>Sales[[#This Row],[PrefabFP]]*Lookups!$B$92</f>
        <v>0</v>
      </c>
      <c r="CC96">
        <f>Sales[[#This Row],[AttGar]]*Lookups!$B$93</f>
        <v>14120.412400000001</v>
      </c>
      <c r="CD96">
        <f>Sales[[#This Row],[BltinGar]]*Lookups!$B$94</f>
        <v>0</v>
      </c>
      <c r="CE96">
        <f>SUM(Sales[[#This Row],[Days Prior Total]:[Mdl BltinGar]])</f>
        <v>357982.84455631732</v>
      </c>
      <c r="CF96">
        <f>ROUND(Sales[[#This Row],[25Det]],-2)</f>
        <v>0</v>
      </c>
      <c r="CG96">
        <f>ROUND(SUM(Sales[[#This Row],[Mdl Qlty]:[Mdl BltinGar]])+Sales[[#This Row],[Mdl Res Intercept]]+Sales[[#This Row],[Days Prior Total]],-2)</f>
        <v>293700</v>
      </c>
      <c r="CH96">
        <f>ROUND(Sales[[#This Row],[Mdl Land Intercept]]+Sales[[#This Row],[Mdl LnAcres]],-2)</f>
        <v>64300</v>
      </c>
      <c r="CI96">
        <f>Sales[[#This Row],[Unadj Res Value]]+Sales[[#This Row],[Unadj Det Value]]+Sales[[#This Row],[Unadj Land Value]]</f>
        <v>358000</v>
      </c>
      <c r="CJ96" s="10">
        <f>Sales[[#This Row],[Price]]/Sales[[#This Row],[Unadj Total Value]]</f>
        <v>1.0421061452513967</v>
      </c>
      <c r="CK96" s="10">
        <f>(Sales[[#This Row],[Unadj Total Value]]-Sales[[#This Row],[24Final]])/Sales[[#This Row],[24Final]]</f>
        <v>-3.8668098818474758E-2</v>
      </c>
      <c r="CL96">
        <f>VLOOKUP(Sales[[#This Row],[TNbhd]],Lookups!$M$3:$P$5,4,FALSE)</f>
        <v>0.99970000000000003</v>
      </c>
      <c r="CM96">
        <f>VLOOKUP(Sales[[#This Row],[Qlty]],Lookups!$M$8:$P$22,4,FALSE)</f>
        <v>0.99819999999999998</v>
      </c>
      <c r="CN96">
        <f>VLOOKUP(Sales[[#This Row],[Cnd]],Lookups!$R$8:$U$17,4,FALSE)</f>
        <v>1.0012000000000001</v>
      </c>
      <c r="CO96">
        <f>VLOOKUP(Sales[[#This Row],[LivArea Range]],Lookups!$R$25:$U$43,4,FALSE)</f>
        <v>0.99519999999999997</v>
      </c>
      <c r="CP96">
        <f>VLOOKUP(Sales[[#This Row],[Decade]],Lookups!$M$24:$P$40,4,FALSE)</f>
        <v>1.0024</v>
      </c>
      <c r="CQ96">
        <f>Sales[[#This Row],[Nbhd Adj]]*0.95</f>
        <v>0.94971499999999998</v>
      </c>
      <c r="CR96">
        <f>Sales[[#This Row],[Nbhd Adj]]*Sales[[#This Row],[Quality Adj]]*Sales[[#This Row],[Condition Adj]]*Sales[[#This Row],[Living Area Adj]]*Sales[[#This Row],[Decade Adj]]*0.95</f>
        <v>0.94685424199978463</v>
      </c>
      <c r="CS96">
        <f>ROUND(SUM(Sales[[#This Row],[Mdl Qlty]:[Mdl BltinGar]])+Sales[[#This Row],[Mdl Res Intercept]]*Sales[[#This Row],[Res Adj ]],-2)</f>
        <v>305000</v>
      </c>
      <c r="CT96">
        <f>ROUND(Sales[[#This Row],[25Det]]*Sales[[#This Row],[Det/Nbhd Adj]],-2)</f>
        <v>0</v>
      </c>
      <c r="CU96">
        <f>Sales[[#This Row],[Adjusted Res]]+Sales[[#This Row],[Adj Det ]]</f>
        <v>305000</v>
      </c>
      <c r="CV96">
        <f>ROUND((Sales[[#This Row],[Mdl Land Intercept]]+Sales[[#This Row],[Mdl LnAcres]])*Sales[[#This Row],[Det/Nbhd Adj]],-2)</f>
        <v>61100</v>
      </c>
      <c r="CW96">
        <f>Sales[[#This Row],[Adjusted Impr Total]]+Sales[[#This Row],[Adjusted Land Total]]</f>
        <v>366100</v>
      </c>
      <c r="CX96" s="10">
        <f>IFERROR((Sales[[#This Row],[Adjusted Impr Total]]-Sales[[#This Row],[24Bldg]])/Sales[[#This Row],[24Bldg]],0)</f>
        <v>-2.1181001283697046E-2</v>
      </c>
      <c r="CY96" s="10">
        <f>(Sales[[#This Row],[Adjusted Land Total]]-Sales[[#This Row],[24Lnd]])/Sales[[#This Row],[24Lnd]]</f>
        <v>4.9342105263157892E-3</v>
      </c>
      <c r="CZ96">
        <f>(Sales[[#This Row],[Adjusted Total]]-Sales[[#This Row],[24Final]])/Sales[[#This Row],[24Final]]</f>
        <v>-1.6917293233082706E-2</v>
      </c>
      <c r="DA96" s="10">
        <f>(Sales[[#This Row],[Adjusted Total]]+Sales[[#This Row],[Days Prior Total]])/Sales[[#This Row],[Price]]</f>
        <v>0.93202652267110542</v>
      </c>
    </row>
    <row r="97" spans="1:105">
      <c r="A97">
        <v>2025</v>
      </c>
      <c r="B97">
        <v>19120114491</v>
      </c>
      <c r="C97">
        <v>-1.8325814637483102</v>
      </c>
      <c r="D97">
        <v>0.16</v>
      </c>
      <c r="E97">
        <v>7001</v>
      </c>
      <c r="F97">
        <v>2</v>
      </c>
      <c r="G97" t="s">
        <v>155</v>
      </c>
      <c r="H97">
        <v>317</v>
      </c>
      <c r="I97" t="s">
        <v>5</v>
      </c>
      <c r="J97" t="s">
        <v>156</v>
      </c>
      <c r="K97">
        <v>11</v>
      </c>
      <c r="L97">
        <v>259</v>
      </c>
      <c r="M97" t="s">
        <v>157</v>
      </c>
      <c r="N97" t="s">
        <v>21</v>
      </c>
      <c r="O97" t="s">
        <v>24</v>
      </c>
      <c r="P97">
        <v>2021</v>
      </c>
      <c r="Q97">
        <v>2021</v>
      </c>
      <c r="R97">
        <v>10</v>
      </c>
      <c r="S97">
        <v>3</v>
      </c>
      <c r="T97">
        <v>3</v>
      </c>
      <c r="U97">
        <v>2</v>
      </c>
      <c r="V97">
        <v>1316</v>
      </c>
      <c r="W97">
        <v>1686</v>
      </c>
      <c r="X97">
        <v>0</v>
      </c>
      <c r="Y97">
        <v>0</v>
      </c>
      <c r="Z97">
        <v>0</v>
      </c>
      <c r="AA97">
        <v>0</v>
      </c>
      <c r="AB97">
        <v>3002</v>
      </c>
      <c r="AC97">
        <v>3500</v>
      </c>
      <c r="AD97">
        <v>2</v>
      </c>
      <c r="AE97" t="s">
        <v>56</v>
      </c>
      <c r="AF97" t="s">
        <v>158</v>
      </c>
      <c r="AG97" t="s">
        <v>21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14</v>
      </c>
      <c r="AO97">
        <v>0</v>
      </c>
      <c r="AP97">
        <v>540</v>
      </c>
      <c r="AQ97">
        <v>0</v>
      </c>
      <c r="AR97">
        <v>0</v>
      </c>
      <c r="AS97">
        <v>0</v>
      </c>
      <c r="AT97">
        <v>0</v>
      </c>
      <c r="AU97">
        <v>100</v>
      </c>
      <c r="AV97">
        <v>100</v>
      </c>
      <c r="AW97">
        <v>512326</v>
      </c>
      <c r="AX97">
        <v>507203</v>
      </c>
      <c r="AY97">
        <v>599</v>
      </c>
      <c r="AZ97">
        <v>365</v>
      </c>
      <c r="BA97">
        <v>234</v>
      </c>
      <c r="BB97">
        <v>0</v>
      </c>
      <c r="BC97" s="2">
        <v>44693</v>
      </c>
      <c r="BD97" t="s">
        <v>256</v>
      </c>
      <c r="BE97">
        <v>485051</v>
      </c>
      <c r="BF97">
        <v>485051</v>
      </c>
      <c r="BG97" t="s">
        <v>160</v>
      </c>
      <c r="BH97">
        <v>30</v>
      </c>
      <c r="BI97" t="s">
        <v>56</v>
      </c>
      <c r="BJ97" t="s">
        <v>161</v>
      </c>
      <c r="BK97">
        <v>480100</v>
      </c>
      <c r="BL97">
        <v>60800</v>
      </c>
      <c r="BM97">
        <v>419300</v>
      </c>
      <c r="BN97">
        <v>0</v>
      </c>
      <c r="BO97">
        <v>464334.93741655187</v>
      </c>
      <c r="BP97">
        <v>476650.1557369791</v>
      </c>
      <c r="BQ97">
        <f>(Sales[[#This Row],[DP1]]*Lookups!$B$61)+(Sales[[#This Row],[DP2]]*Lookups!$B$62)+(Sales[[#This Row],[DP3]]*Lookups!$B$63)</f>
        <v>-12315.217580999999</v>
      </c>
      <c r="BR97">
        <f>Lookups!$B$58*0.6</f>
        <v>132535.48800000001</v>
      </c>
      <c r="BS97">
        <f>Lookups!$B$58*0.4</f>
        <v>88356.992000000013</v>
      </c>
      <c r="BT97">
        <f>Lookups!$B$59*Sales[[#This Row],[LnAcres]]</f>
        <v>-24051.387388882686</v>
      </c>
      <c r="BU97">
        <f>VLOOKUP(Sales[[#This Row],[Qlty]],Lookups!$A$66:$E$79,2,FALSE)</f>
        <v>32917.849192000001</v>
      </c>
      <c r="BV97">
        <f>VLOOKUP(Sales[[#This Row],[Cnd]],Lookups!$A$80:$E$91,2,FALSE)</f>
        <v>47371.278778200001</v>
      </c>
      <c r="BW97">
        <f>Sales[[#This Row],[EffAge]]*Lookups!$B$65</f>
        <v>-326.22329999999999</v>
      </c>
      <c r="BX97">
        <f>Sales[[#This Row],[MainFn]]*Lookups!$B$90</f>
        <v>82132.06008000001</v>
      </c>
      <c r="BY97">
        <f>Sales[[#This Row],[UpprFn]]*Lookups!$B$91</f>
        <v>100452.525738</v>
      </c>
      <c r="BZ97">
        <f>Sales[[#This Row],[Bsmt]]*Lookups!$B$95</f>
        <v>0</v>
      </c>
      <c r="CA97">
        <f>VLOOKUP(Sales[[#This Row],[MsnryTrim]],Lookups!$A$90:$E$99,2,FALSE)</f>
        <v>-9412.7029999999995</v>
      </c>
      <c r="CB97">
        <f>Sales[[#This Row],[PrefabFP]]*Lookups!$B$92</f>
        <v>0</v>
      </c>
      <c r="CC97">
        <f>Sales[[#This Row],[AttGar]]*Lookups!$B$93</f>
        <v>0</v>
      </c>
      <c r="CD97">
        <f>Sales[[#This Row],[BltinGar]]*Lookups!$B$94</f>
        <v>26674.272000000001</v>
      </c>
      <c r="CE97">
        <f>SUM(Sales[[#This Row],[Days Prior Total]:[Mdl BltinGar]])</f>
        <v>464334.93451831734</v>
      </c>
      <c r="CF97">
        <f>ROUND(Sales[[#This Row],[25Det]],-2)</f>
        <v>0</v>
      </c>
      <c r="CG97">
        <f>ROUND(SUM(Sales[[#This Row],[Mdl Qlty]:[Mdl BltinGar]])+Sales[[#This Row],[Mdl Res Intercept]]+Sales[[#This Row],[Days Prior Total]],-2)</f>
        <v>400000</v>
      </c>
      <c r="CH97">
        <f>ROUND(Sales[[#This Row],[Mdl Land Intercept]]+Sales[[#This Row],[Mdl LnAcres]],-2)</f>
        <v>64300</v>
      </c>
      <c r="CI97">
        <f>Sales[[#This Row],[Unadj Res Value]]+Sales[[#This Row],[Unadj Det Value]]+Sales[[#This Row],[Unadj Land Value]]</f>
        <v>464300</v>
      </c>
      <c r="CJ97" s="10">
        <f>Sales[[#This Row],[Price]]/Sales[[#This Row],[Unadj Total Value]]</f>
        <v>1.0446930863665733</v>
      </c>
      <c r="CK97" s="10">
        <f>(Sales[[#This Row],[Unadj Total Value]]-Sales[[#This Row],[24Final]])/Sales[[#This Row],[24Final]]</f>
        <v>-3.2909810456154966E-2</v>
      </c>
      <c r="CL97">
        <f>VLOOKUP(Sales[[#This Row],[TNbhd]],Lookups!$M$3:$P$5,4,FALSE)</f>
        <v>0.99970000000000003</v>
      </c>
      <c r="CM97">
        <f>VLOOKUP(Sales[[#This Row],[Qlty]],Lookups!$M$8:$P$22,4,FALSE)</f>
        <v>1.0019</v>
      </c>
      <c r="CN97">
        <f>VLOOKUP(Sales[[#This Row],[Cnd]],Lookups!$R$8:$U$17,4,FALSE)</f>
        <v>1.0012000000000001</v>
      </c>
      <c r="CO97">
        <f>VLOOKUP(Sales[[#This Row],[LivArea Range]],Lookups!$R$25:$U$43,4,FALSE)</f>
        <v>0.98509999999999998</v>
      </c>
      <c r="CP97">
        <f>VLOOKUP(Sales[[#This Row],[Decade]],Lookups!$M$24:$P$40,4,FALSE)</f>
        <v>1.0024</v>
      </c>
      <c r="CQ97">
        <f>Sales[[#This Row],[Nbhd Adj]]*0.95</f>
        <v>0.94971499999999998</v>
      </c>
      <c r="CR97">
        <f>Sales[[#This Row],[Nbhd Adj]]*Sales[[#This Row],[Quality Adj]]*Sales[[#This Row],[Condition Adj]]*Sales[[#This Row],[Living Area Adj]]*Sales[[#This Row],[Decade Adj]]*0.95</f>
        <v>0.94071894865963335</v>
      </c>
      <c r="CS97">
        <f>ROUND(SUM(Sales[[#This Row],[Mdl Qlty]:[Mdl BltinGar]])+Sales[[#This Row],[Mdl Res Intercept]]*Sales[[#This Row],[Res Adj ]],-2)</f>
        <v>404500</v>
      </c>
      <c r="CT97">
        <f>ROUND(Sales[[#This Row],[25Det]]*Sales[[#This Row],[Det/Nbhd Adj]],-2)</f>
        <v>0</v>
      </c>
      <c r="CU97">
        <f>Sales[[#This Row],[Adjusted Res]]+Sales[[#This Row],[Adj Det ]]</f>
        <v>404500</v>
      </c>
      <c r="CV97">
        <f>ROUND((Sales[[#This Row],[Mdl Land Intercept]]+Sales[[#This Row],[Mdl LnAcres]])*Sales[[#This Row],[Det/Nbhd Adj]],-2)</f>
        <v>61100</v>
      </c>
      <c r="CW97">
        <f>Sales[[#This Row],[Adjusted Impr Total]]+Sales[[#This Row],[Adjusted Land Total]]</f>
        <v>465600</v>
      </c>
      <c r="CX97" s="10">
        <f>IFERROR((Sales[[#This Row],[Adjusted Impr Total]]-Sales[[#This Row],[24Bldg]])/Sales[[#This Row],[24Bldg]],0)</f>
        <v>-3.5296923443834963E-2</v>
      </c>
      <c r="CY97" s="10">
        <f>(Sales[[#This Row],[Adjusted Land Total]]-Sales[[#This Row],[24Lnd]])/Sales[[#This Row],[24Lnd]]</f>
        <v>4.9342105263157892E-3</v>
      </c>
      <c r="CZ97">
        <f>(Sales[[#This Row],[Adjusted Total]]-Sales[[#This Row],[24Final]])/Sales[[#This Row],[24Final]]</f>
        <v>-3.0202041241408038E-2</v>
      </c>
      <c r="DA97" s="10">
        <f>(Sales[[#This Row],[Adjusted Total]]+Sales[[#This Row],[Days Prior Total]])/Sales[[#This Row],[Price]]</f>
        <v>0.93450953078954579</v>
      </c>
    </row>
    <row r="98" spans="1:105">
      <c r="A98">
        <v>2025</v>
      </c>
      <c r="B98">
        <v>19120114492</v>
      </c>
      <c r="C98">
        <v>-1.8325814637483102</v>
      </c>
      <c r="D98">
        <v>0.16</v>
      </c>
      <c r="E98">
        <v>7001</v>
      </c>
      <c r="F98">
        <v>2</v>
      </c>
      <c r="G98" t="s">
        <v>155</v>
      </c>
      <c r="H98">
        <v>317</v>
      </c>
      <c r="I98" t="s">
        <v>5</v>
      </c>
      <c r="J98" t="s">
        <v>156</v>
      </c>
      <c r="K98">
        <v>11</v>
      </c>
      <c r="L98">
        <v>259</v>
      </c>
      <c r="M98" t="s">
        <v>157</v>
      </c>
      <c r="N98" t="s">
        <v>19</v>
      </c>
      <c r="O98" t="s">
        <v>24</v>
      </c>
      <c r="P98">
        <v>2021</v>
      </c>
      <c r="Q98">
        <v>2021</v>
      </c>
      <c r="R98">
        <v>10</v>
      </c>
      <c r="S98">
        <v>3</v>
      </c>
      <c r="T98">
        <v>3</v>
      </c>
      <c r="U98">
        <v>1</v>
      </c>
      <c r="V98">
        <v>1452</v>
      </c>
      <c r="W98">
        <v>0</v>
      </c>
      <c r="X98">
        <v>0</v>
      </c>
      <c r="Y98">
        <v>0</v>
      </c>
      <c r="Z98">
        <v>0</v>
      </c>
      <c r="AA98">
        <v>0</v>
      </c>
      <c r="AB98">
        <v>1452</v>
      </c>
      <c r="AC98">
        <v>1500</v>
      </c>
      <c r="AD98">
        <v>2</v>
      </c>
      <c r="AE98" t="s">
        <v>56</v>
      </c>
      <c r="AF98" t="s">
        <v>158</v>
      </c>
      <c r="AG98" t="s">
        <v>21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9</v>
      </c>
      <c r="AO98">
        <v>400</v>
      </c>
      <c r="AP98">
        <v>0</v>
      </c>
      <c r="AQ98">
        <v>0</v>
      </c>
      <c r="AR98">
        <v>0</v>
      </c>
      <c r="AS98">
        <v>100</v>
      </c>
      <c r="AT98">
        <v>0</v>
      </c>
      <c r="AU98">
        <v>100</v>
      </c>
      <c r="AV98">
        <v>100</v>
      </c>
      <c r="AW98">
        <v>257722</v>
      </c>
      <c r="AX98">
        <v>255145</v>
      </c>
      <c r="AY98">
        <v>556</v>
      </c>
      <c r="AZ98">
        <v>365</v>
      </c>
      <c r="BA98">
        <v>191</v>
      </c>
      <c r="BB98">
        <v>0</v>
      </c>
      <c r="BC98" s="2">
        <v>44736</v>
      </c>
      <c r="BD98" t="s">
        <v>257</v>
      </c>
      <c r="BE98">
        <v>358870</v>
      </c>
      <c r="BF98">
        <v>358870</v>
      </c>
      <c r="BG98" t="s">
        <v>160</v>
      </c>
      <c r="BH98">
        <v>30</v>
      </c>
      <c r="BI98" t="s">
        <v>56</v>
      </c>
      <c r="BJ98" t="s">
        <v>161</v>
      </c>
      <c r="BK98">
        <v>372400</v>
      </c>
      <c r="BL98">
        <v>60800</v>
      </c>
      <c r="BM98">
        <v>311600</v>
      </c>
      <c r="BN98">
        <v>0</v>
      </c>
      <c r="BO98">
        <v>366952.84023276123</v>
      </c>
      <c r="BP98">
        <v>376367.9857650511</v>
      </c>
      <c r="BQ98">
        <f>(Sales[[#This Row],[DP1]]*Lookups!$B$61)+(Sales[[#This Row],[DP2]]*Lookups!$B$62)+(Sales[[#This Row],[DP3]]*Lookups!$B$63)</f>
        <v>-9415.1449309999989</v>
      </c>
      <c r="BR98">
        <f>Lookups!$B$58*0.6</f>
        <v>132535.48800000001</v>
      </c>
      <c r="BS98">
        <f>Lookups!$B$58*0.4</f>
        <v>88356.992000000013</v>
      </c>
      <c r="BT98">
        <f>Lookups!$B$59*Sales[[#This Row],[LnAcres]]</f>
        <v>-24051.387388882686</v>
      </c>
      <c r="BU98">
        <f>VLOOKUP(Sales[[#This Row],[Qlty]],Lookups!$A$66:$E$79,2,FALSE)</f>
        <v>37154.252388000001</v>
      </c>
      <c r="BV98">
        <f>VLOOKUP(Sales[[#This Row],[Cnd]],Lookups!$A$80:$E$91,2,FALSE)</f>
        <v>47371.278778200001</v>
      </c>
      <c r="BW98">
        <f>Sales[[#This Row],[EffAge]]*Lookups!$B$65</f>
        <v>-326.22329999999999</v>
      </c>
      <c r="BX98">
        <f>Sales[[#This Row],[MainFn]]*Lookups!$B$90</f>
        <v>90619.871760000009</v>
      </c>
      <c r="BY98">
        <f>Sales[[#This Row],[UpprFn]]*Lookups!$B$91</f>
        <v>0</v>
      </c>
      <c r="BZ98">
        <f>Sales[[#This Row],[Bsmt]]*Lookups!$B$95</f>
        <v>0</v>
      </c>
      <c r="CA98">
        <f>VLOOKUP(Sales[[#This Row],[MsnryTrim]],Lookups!$A$90:$E$99,2,FALSE)</f>
        <v>-9412.7029999999995</v>
      </c>
      <c r="CB98">
        <f>Sales[[#This Row],[PrefabFP]]*Lookups!$B$92</f>
        <v>0</v>
      </c>
      <c r="CC98">
        <f>Sales[[#This Row],[AttGar]]*Lookups!$B$93</f>
        <v>14120.412400000001</v>
      </c>
      <c r="CD98">
        <f>Sales[[#This Row],[BltinGar]]*Lookups!$B$94</f>
        <v>0</v>
      </c>
      <c r="CE98">
        <f>SUM(Sales[[#This Row],[Days Prior Total]:[Mdl BltinGar]])</f>
        <v>366952.83670631738</v>
      </c>
      <c r="CF98">
        <f>ROUND(Sales[[#This Row],[25Det]],-2)</f>
        <v>0</v>
      </c>
      <c r="CG98">
        <f>ROUND(SUM(Sales[[#This Row],[Mdl Qlty]:[Mdl BltinGar]])+Sales[[#This Row],[Mdl Res Intercept]]+Sales[[#This Row],[Days Prior Total]],-2)</f>
        <v>302600</v>
      </c>
      <c r="CH98">
        <f>ROUND(Sales[[#This Row],[Mdl Land Intercept]]+Sales[[#This Row],[Mdl LnAcres]],-2)</f>
        <v>64300</v>
      </c>
      <c r="CI98">
        <f>Sales[[#This Row],[Unadj Res Value]]+Sales[[#This Row],[Unadj Det Value]]+Sales[[#This Row],[Unadj Land Value]]</f>
        <v>366900</v>
      </c>
      <c r="CJ98" s="10">
        <f>Sales[[#This Row],[Price]]/Sales[[#This Row],[Unadj Total Value]]</f>
        <v>0.97811392750068138</v>
      </c>
      <c r="CK98" s="10">
        <f>(Sales[[#This Row],[Unadj Total Value]]-Sales[[#This Row],[24Final]])/Sales[[#This Row],[24Final]]</f>
        <v>-1.4769065520945221E-2</v>
      </c>
      <c r="CL98">
        <f>VLOOKUP(Sales[[#This Row],[TNbhd]],Lookups!$M$3:$P$5,4,FALSE)</f>
        <v>0.99970000000000003</v>
      </c>
      <c r="CM98">
        <f>VLOOKUP(Sales[[#This Row],[Qlty]],Lookups!$M$8:$P$22,4,FALSE)</f>
        <v>0.99819999999999998</v>
      </c>
      <c r="CN98">
        <f>VLOOKUP(Sales[[#This Row],[Cnd]],Lookups!$R$8:$U$17,4,FALSE)</f>
        <v>1.0012000000000001</v>
      </c>
      <c r="CO98">
        <f>VLOOKUP(Sales[[#This Row],[LivArea Range]],Lookups!$R$25:$U$43,4,FALSE)</f>
        <v>0.99519999999999997</v>
      </c>
      <c r="CP98">
        <f>VLOOKUP(Sales[[#This Row],[Decade]],Lookups!$M$24:$P$40,4,FALSE)</f>
        <v>1.0024</v>
      </c>
      <c r="CQ98">
        <f>Sales[[#This Row],[Nbhd Adj]]*0.95</f>
        <v>0.94971499999999998</v>
      </c>
      <c r="CR98">
        <f>Sales[[#This Row],[Nbhd Adj]]*Sales[[#This Row],[Quality Adj]]*Sales[[#This Row],[Condition Adj]]*Sales[[#This Row],[Living Area Adj]]*Sales[[#This Row],[Decade Adj]]*0.95</f>
        <v>0.94685424199978463</v>
      </c>
      <c r="CS98">
        <f>ROUND(SUM(Sales[[#This Row],[Mdl Qlty]:[Mdl BltinGar]])+Sales[[#This Row],[Mdl Res Intercept]]*Sales[[#This Row],[Res Adj ]],-2)</f>
        <v>305000</v>
      </c>
      <c r="CT98">
        <f>ROUND(Sales[[#This Row],[25Det]]*Sales[[#This Row],[Det/Nbhd Adj]],-2)</f>
        <v>0</v>
      </c>
      <c r="CU98">
        <f>Sales[[#This Row],[Adjusted Res]]+Sales[[#This Row],[Adj Det ]]</f>
        <v>305000</v>
      </c>
      <c r="CV98">
        <f>ROUND((Sales[[#This Row],[Mdl Land Intercept]]+Sales[[#This Row],[Mdl LnAcres]])*Sales[[#This Row],[Det/Nbhd Adj]],-2)</f>
        <v>61100</v>
      </c>
      <c r="CW98">
        <f>Sales[[#This Row],[Adjusted Impr Total]]+Sales[[#This Row],[Adjusted Land Total]]</f>
        <v>366100</v>
      </c>
      <c r="CX98" s="10">
        <f>IFERROR((Sales[[#This Row],[Adjusted Impr Total]]-Sales[[#This Row],[24Bldg]])/Sales[[#This Row],[24Bldg]],0)</f>
        <v>-2.1181001283697046E-2</v>
      </c>
      <c r="CY98" s="10">
        <f>(Sales[[#This Row],[Adjusted Land Total]]-Sales[[#This Row],[24Lnd]])/Sales[[#This Row],[24Lnd]]</f>
        <v>4.9342105263157892E-3</v>
      </c>
      <c r="CZ98">
        <f>(Sales[[#This Row],[Adjusted Total]]-Sales[[#This Row],[24Final]])/Sales[[#This Row],[24Final]]</f>
        <v>-1.6917293233082706E-2</v>
      </c>
      <c r="DA98" s="10">
        <f>(Sales[[#This Row],[Adjusted Total]]+Sales[[#This Row],[Days Prior Total]])/Sales[[#This Row],[Price]]</f>
        <v>0.99391104040181677</v>
      </c>
    </row>
    <row r="99" spans="1:105">
      <c r="A99">
        <v>2025</v>
      </c>
      <c r="B99">
        <v>19120114493</v>
      </c>
      <c r="C99">
        <v>-1.8325814637483102</v>
      </c>
      <c r="D99">
        <v>0.16</v>
      </c>
      <c r="E99">
        <v>7001</v>
      </c>
      <c r="F99">
        <v>2</v>
      </c>
      <c r="G99" t="s">
        <v>155</v>
      </c>
      <c r="H99">
        <v>317</v>
      </c>
      <c r="I99" t="s">
        <v>5</v>
      </c>
      <c r="J99" t="s">
        <v>156</v>
      </c>
      <c r="K99">
        <v>11</v>
      </c>
      <c r="L99">
        <v>259</v>
      </c>
      <c r="M99" t="s">
        <v>157</v>
      </c>
      <c r="N99" t="s">
        <v>19</v>
      </c>
      <c r="O99" t="s">
        <v>24</v>
      </c>
      <c r="P99">
        <v>2021</v>
      </c>
      <c r="Q99">
        <v>2021</v>
      </c>
      <c r="R99">
        <v>10</v>
      </c>
      <c r="S99">
        <v>3</v>
      </c>
      <c r="T99">
        <v>3</v>
      </c>
      <c r="U99">
        <v>1</v>
      </c>
      <c r="V99">
        <v>1592</v>
      </c>
      <c r="W99">
        <v>0</v>
      </c>
      <c r="X99">
        <v>0</v>
      </c>
      <c r="Y99">
        <v>0</v>
      </c>
      <c r="Z99">
        <v>0</v>
      </c>
      <c r="AA99">
        <v>0</v>
      </c>
      <c r="AB99">
        <v>1592</v>
      </c>
      <c r="AC99">
        <v>2000</v>
      </c>
      <c r="AD99">
        <v>2</v>
      </c>
      <c r="AE99" t="s">
        <v>56</v>
      </c>
      <c r="AF99" t="s">
        <v>158</v>
      </c>
      <c r="AG99" t="s">
        <v>21</v>
      </c>
      <c r="AI99">
        <v>0</v>
      </c>
      <c r="AJ99">
        <v>0</v>
      </c>
      <c r="AK99">
        <v>1</v>
      </c>
      <c r="AL99">
        <v>0</v>
      </c>
      <c r="AM99">
        <v>0</v>
      </c>
      <c r="AN99">
        <v>9</v>
      </c>
      <c r="AO99">
        <v>400</v>
      </c>
      <c r="AP99">
        <v>0</v>
      </c>
      <c r="AQ99">
        <v>0</v>
      </c>
      <c r="AR99">
        <v>0</v>
      </c>
      <c r="AS99">
        <v>100</v>
      </c>
      <c r="AT99">
        <v>0</v>
      </c>
      <c r="AU99">
        <v>100</v>
      </c>
      <c r="AV99">
        <v>100</v>
      </c>
      <c r="AW99">
        <v>280975</v>
      </c>
      <c r="AX99">
        <v>278165</v>
      </c>
      <c r="AY99">
        <v>543</v>
      </c>
      <c r="AZ99">
        <v>365</v>
      </c>
      <c r="BA99">
        <v>178</v>
      </c>
      <c r="BB99">
        <v>0</v>
      </c>
      <c r="BC99" s="2">
        <v>44749</v>
      </c>
      <c r="BD99" t="s">
        <v>258</v>
      </c>
      <c r="BE99">
        <v>388824</v>
      </c>
      <c r="BF99">
        <v>388824</v>
      </c>
      <c r="BG99" t="s">
        <v>160</v>
      </c>
      <c r="BH99">
        <v>30</v>
      </c>
      <c r="BI99" t="s">
        <v>56</v>
      </c>
      <c r="BJ99" t="s">
        <v>161</v>
      </c>
      <c r="BK99">
        <v>381300</v>
      </c>
      <c r="BL99">
        <v>60800</v>
      </c>
      <c r="BM99">
        <v>320500</v>
      </c>
      <c r="BN99">
        <v>0</v>
      </c>
      <c r="BO99">
        <v>386374.16414825676</v>
      </c>
      <c r="BP99">
        <v>394912.54348878417</v>
      </c>
      <c r="BQ99">
        <f>(Sales[[#This Row],[DP1]]*Lookups!$B$61)+(Sales[[#This Row],[DP2]]*Lookups!$B$62)+(Sales[[#This Row],[DP3]]*Lookups!$B$63)</f>
        <v>-8538.3787809999994</v>
      </c>
      <c r="BR99">
        <f>Lookups!$B$58*0.6</f>
        <v>132535.48800000001</v>
      </c>
      <c r="BS99">
        <f>Lookups!$B$58*0.4</f>
        <v>88356.992000000013</v>
      </c>
      <c r="BT99">
        <f>Lookups!$B$59*Sales[[#This Row],[LnAcres]]</f>
        <v>-24051.387388882686</v>
      </c>
      <c r="BU99">
        <f>VLOOKUP(Sales[[#This Row],[Qlty]],Lookups!$A$66:$E$79,2,FALSE)</f>
        <v>37154.252388000001</v>
      </c>
      <c r="BV99">
        <f>VLOOKUP(Sales[[#This Row],[Cnd]],Lookups!$A$80:$E$91,2,FALSE)</f>
        <v>47371.278778200001</v>
      </c>
      <c r="BW99">
        <f>Sales[[#This Row],[EffAge]]*Lookups!$B$65</f>
        <v>-326.22329999999999</v>
      </c>
      <c r="BX99">
        <f>Sales[[#This Row],[MainFn]]*Lookups!$B$90</f>
        <v>99357.324960000013</v>
      </c>
      <c r="BY99">
        <f>Sales[[#This Row],[UpprFn]]*Lookups!$B$91</f>
        <v>0</v>
      </c>
      <c r="BZ99">
        <f>Sales[[#This Row],[Bsmt]]*Lookups!$B$95</f>
        <v>0</v>
      </c>
      <c r="CA99">
        <f>VLOOKUP(Sales[[#This Row],[MsnryTrim]],Lookups!$A$90:$E$99,2,FALSE)</f>
        <v>-9412.7029999999995</v>
      </c>
      <c r="CB99">
        <f>Sales[[#This Row],[PrefabFP]]*Lookups!$B$92</f>
        <v>9807.1044999999995</v>
      </c>
      <c r="CC99">
        <f>Sales[[#This Row],[AttGar]]*Lookups!$B$93</f>
        <v>14120.412400000001</v>
      </c>
      <c r="CD99">
        <f>Sales[[#This Row],[BltinGar]]*Lookups!$B$94</f>
        <v>0</v>
      </c>
      <c r="CE99">
        <f>SUM(Sales[[#This Row],[Days Prior Total]:[Mdl BltinGar]])</f>
        <v>386374.16055631731</v>
      </c>
      <c r="CF99">
        <f>ROUND(Sales[[#This Row],[25Det]],-2)</f>
        <v>0</v>
      </c>
      <c r="CG99">
        <f>ROUND(SUM(Sales[[#This Row],[Mdl Qlty]:[Mdl BltinGar]])+Sales[[#This Row],[Mdl Res Intercept]]+Sales[[#This Row],[Days Prior Total]],-2)</f>
        <v>322100</v>
      </c>
      <c r="CH99">
        <f>ROUND(Sales[[#This Row],[Mdl Land Intercept]]+Sales[[#This Row],[Mdl LnAcres]],-2)</f>
        <v>64300</v>
      </c>
      <c r="CI99">
        <f>Sales[[#This Row],[Unadj Res Value]]+Sales[[#This Row],[Unadj Det Value]]+Sales[[#This Row],[Unadj Land Value]]</f>
        <v>386400</v>
      </c>
      <c r="CJ99" s="10">
        <f>Sales[[#This Row],[Price]]/Sales[[#This Row],[Unadj Total Value]]</f>
        <v>1.0062732919254658</v>
      </c>
      <c r="CK99" s="10">
        <f>(Sales[[#This Row],[Unadj Total Value]]-Sales[[#This Row],[24Final]])/Sales[[#This Row],[24Final]]</f>
        <v>1.3375295043273014E-2</v>
      </c>
      <c r="CL99">
        <f>VLOOKUP(Sales[[#This Row],[TNbhd]],Lookups!$M$3:$P$5,4,FALSE)</f>
        <v>0.99970000000000003</v>
      </c>
      <c r="CM99">
        <f>VLOOKUP(Sales[[#This Row],[Qlty]],Lookups!$M$8:$P$22,4,FALSE)</f>
        <v>0.99819999999999998</v>
      </c>
      <c r="CN99">
        <f>VLOOKUP(Sales[[#This Row],[Cnd]],Lookups!$R$8:$U$17,4,FALSE)</f>
        <v>1.0012000000000001</v>
      </c>
      <c r="CO99">
        <f>VLOOKUP(Sales[[#This Row],[LivArea Range]],Lookups!$R$25:$U$43,4,FALSE)</f>
        <v>1.0007999999999999</v>
      </c>
      <c r="CP99">
        <f>VLOOKUP(Sales[[#This Row],[Decade]],Lookups!$M$24:$P$40,4,FALSE)</f>
        <v>1.0024</v>
      </c>
      <c r="CQ99">
        <f>Sales[[#This Row],[Nbhd Adj]]*0.95</f>
        <v>0.94971499999999998</v>
      </c>
      <c r="CR99">
        <f>Sales[[#This Row],[Nbhd Adj]]*Sales[[#This Row],[Quality Adj]]*Sales[[#This Row],[Condition Adj]]*Sales[[#This Row],[Living Area Adj]]*Sales[[#This Row],[Decade Adj]]*0.95</f>
        <v>0.95218219995315945</v>
      </c>
      <c r="CS99">
        <f>ROUND(SUM(Sales[[#This Row],[Mdl Qlty]:[Mdl BltinGar]])+Sales[[#This Row],[Mdl Res Intercept]]*Sales[[#This Row],[Res Adj ]],-2)</f>
        <v>324300</v>
      </c>
      <c r="CT99">
        <f>ROUND(Sales[[#This Row],[25Det]]*Sales[[#This Row],[Det/Nbhd Adj]],-2)</f>
        <v>0</v>
      </c>
      <c r="CU99">
        <f>Sales[[#This Row],[Adjusted Res]]+Sales[[#This Row],[Adj Det ]]</f>
        <v>324300</v>
      </c>
      <c r="CV99">
        <f>ROUND((Sales[[#This Row],[Mdl Land Intercept]]+Sales[[#This Row],[Mdl LnAcres]])*Sales[[#This Row],[Det/Nbhd Adj]],-2)</f>
        <v>61100</v>
      </c>
      <c r="CW99">
        <f>Sales[[#This Row],[Adjusted Impr Total]]+Sales[[#This Row],[Adjusted Land Total]]</f>
        <v>385400</v>
      </c>
      <c r="CX99" s="10">
        <f>IFERROR((Sales[[#This Row],[Adjusted Impr Total]]-Sales[[#This Row],[24Bldg]])/Sales[[#This Row],[24Bldg]],0)</f>
        <v>1.185647425897036E-2</v>
      </c>
      <c r="CY99" s="10">
        <f>(Sales[[#This Row],[Adjusted Land Total]]-Sales[[#This Row],[24Lnd]])/Sales[[#This Row],[24Lnd]]</f>
        <v>4.9342105263157892E-3</v>
      </c>
      <c r="CZ99">
        <f>(Sales[[#This Row],[Adjusted Total]]-Sales[[#This Row],[24Final]])/Sales[[#This Row],[24Final]]</f>
        <v>1.0752688172043012E-2</v>
      </c>
      <c r="DA99" s="10">
        <f>(Sales[[#This Row],[Adjusted Total]]+Sales[[#This Row],[Days Prior Total]])/Sales[[#This Row],[Price]]</f>
        <v>0.96923446397084545</v>
      </c>
    </row>
    <row r="100" spans="1:105">
      <c r="A100">
        <v>2025</v>
      </c>
      <c r="B100">
        <v>19120114495</v>
      </c>
      <c r="C100">
        <v>-1.8325814637483102</v>
      </c>
      <c r="D100">
        <v>0.16</v>
      </c>
      <c r="E100">
        <v>7001</v>
      </c>
      <c r="F100">
        <v>2</v>
      </c>
      <c r="G100" t="s">
        <v>155</v>
      </c>
      <c r="H100">
        <v>317</v>
      </c>
      <c r="I100" t="s">
        <v>5</v>
      </c>
      <c r="J100" t="s">
        <v>156</v>
      </c>
      <c r="K100">
        <v>11</v>
      </c>
      <c r="L100">
        <v>259</v>
      </c>
      <c r="M100" t="s">
        <v>157</v>
      </c>
      <c r="N100" t="s">
        <v>21</v>
      </c>
      <c r="O100" t="s">
        <v>24</v>
      </c>
      <c r="P100">
        <v>2021</v>
      </c>
      <c r="Q100">
        <v>2021</v>
      </c>
      <c r="R100">
        <v>10</v>
      </c>
      <c r="S100">
        <v>3</v>
      </c>
      <c r="T100">
        <v>3</v>
      </c>
      <c r="U100">
        <v>1</v>
      </c>
      <c r="V100">
        <v>1830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1830</v>
      </c>
      <c r="AC100">
        <v>2000</v>
      </c>
      <c r="AD100">
        <v>2</v>
      </c>
      <c r="AE100" t="s">
        <v>57</v>
      </c>
      <c r="AF100" t="s">
        <v>158</v>
      </c>
      <c r="AG100" t="s">
        <v>21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9</v>
      </c>
      <c r="AO100">
        <v>500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100</v>
      </c>
      <c r="AV100">
        <v>100</v>
      </c>
      <c r="AW100">
        <v>361420</v>
      </c>
      <c r="AX100">
        <v>357806</v>
      </c>
      <c r="AY100">
        <v>543</v>
      </c>
      <c r="AZ100">
        <v>365</v>
      </c>
      <c r="BA100">
        <v>178</v>
      </c>
      <c r="BB100">
        <v>0</v>
      </c>
      <c r="BC100" s="2">
        <v>44749</v>
      </c>
      <c r="BD100" t="s">
        <v>259</v>
      </c>
      <c r="BE100">
        <v>426161</v>
      </c>
      <c r="BF100">
        <v>426161</v>
      </c>
      <c r="BG100" t="s">
        <v>160</v>
      </c>
      <c r="BH100">
        <v>30</v>
      </c>
      <c r="BI100" t="s">
        <v>56</v>
      </c>
      <c r="BJ100" t="s">
        <v>161</v>
      </c>
      <c r="BK100">
        <v>405900</v>
      </c>
      <c r="BL100">
        <v>60800</v>
      </c>
      <c r="BM100">
        <v>345100</v>
      </c>
      <c r="BN100">
        <v>0</v>
      </c>
      <c r="BO100">
        <v>404240.01101128693</v>
      </c>
      <c r="BP100">
        <v>412778.39035181439</v>
      </c>
      <c r="BQ100">
        <f>(Sales[[#This Row],[DP1]]*Lookups!$B$61)+(Sales[[#This Row],[DP2]]*Lookups!$B$62)+(Sales[[#This Row],[DP3]]*Lookups!$B$63)</f>
        <v>-8538.3787809999994</v>
      </c>
      <c r="BR100">
        <f>Lookups!$B$58*0.6</f>
        <v>132535.48800000001</v>
      </c>
      <c r="BS100">
        <f>Lookups!$B$58*0.4</f>
        <v>88356.992000000013</v>
      </c>
      <c r="BT100">
        <f>Lookups!$B$59*Sales[[#This Row],[LnAcres]]</f>
        <v>-24051.387388882686</v>
      </c>
      <c r="BU100">
        <f>VLOOKUP(Sales[[#This Row],[Qlty]],Lookups!$A$66:$E$79,2,FALSE)</f>
        <v>32917.849192000001</v>
      </c>
      <c r="BV100">
        <f>VLOOKUP(Sales[[#This Row],[Cnd]],Lookups!$A$80:$E$91,2,FALSE)</f>
        <v>47371.278778200001</v>
      </c>
      <c r="BW100">
        <f>Sales[[#This Row],[EffAge]]*Lookups!$B$65</f>
        <v>-326.22329999999999</v>
      </c>
      <c r="BX100">
        <f>Sales[[#This Row],[MainFn]]*Lookups!$B$90</f>
        <v>114210.9954</v>
      </c>
      <c r="BY100">
        <f>Sales[[#This Row],[UpprFn]]*Lookups!$B$91</f>
        <v>0</v>
      </c>
      <c r="BZ100">
        <f>Sales[[#This Row],[Bsmt]]*Lookups!$B$95</f>
        <v>0</v>
      </c>
      <c r="CA100">
        <f>VLOOKUP(Sales[[#This Row],[MsnryTrim]],Lookups!$A$90:$E$99,2,FALSE)</f>
        <v>4112.8784489</v>
      </c>
      <c r="CB100">
        <f>Sales[[#This Row],[PrefabFP]]*Lookups!$B$92</f>
        <v>0</v>
      </c>
      <c r="CC100">
        <f>Sales[[#This Row],[AttGar]]*Lookups!$B$93</f>
        <v>17650.515500000001</v>
      </c>
      <c r="CD100">
        <f>Sales[[#This Row],[BltinGar]]*Lookups!$B$94</f>
        <v>0</v>
      </c>
      <c r="CE100">
        <f>SUM(Sales[[#This Row],[Days Prior Total]:[Mdl BltinGar]])</f>
        <v>404240.00784921728</v>
      </c>
      <c r="CF100">
        <f>ROUND(Sales[[#This Row],[25Det]],-2)</f>
        <v>0</v>
      </c>
      <c r="CG100">
        <f>ROUND(SUM(Sales[[#This Row],[Mdl Qlty]:[Mdl BltinGar]])+Sales[[#This Row],[Mdl Res Intercept]]+Sales[[#This Row],[Days Prior Total]],-2)</f>
        <v>339900</v>
      </c>
      <c r="CH100">
        <f>ROUND(Sales[[#This Row],[Mdl Land Intercept]]+Sales[[#This Row],[Mdl LnAcres]],-2)</f>
        <v>64300</v>
      </c>
      <c r="CI100">
        <f>Sales[[#This Row],[Unadj Res Value]]+Sales[[#This Row],[Unadj Det Value]]+Sales[[#This Row],[Unadj Land Value]]</f>
        <v>404200</v>
      </c>
      <c r="CJ100" s="10">
        <f>Sales[[#This Row],[Price]]/Sales[[#This Row],[Unadj Total Value]]</f>
        <v>1.0543320138545276</v>
      </c>
      <c r="CK100" s="10">
        <f>(Sales[[#This Row],[Unadj Total Value]]-Sales[[#This Row],[24Final]])/Sales[[#This Row],[24Final]]</f>
        <v>-4.1882237004188224E-3</v>
      </c>
      <c r="CL100">
        <f>VLOOKUP(Sales[[#This Row],[TNbhd]],Lookups!$M$3:$P$5,4,FALSE)</f>
        <v>0.99970000000000003</v>
      </c>
      <c r="CM100">
        <f>VLOOKUP(Sales[[#This Row],[Qlty]],Lookups!$M$8:$P$22,4,FALSE)</f>
        <v>1.0019</v>
      </c>
      <c r="CN100">
        <f>VLOOKUP(Sales[[#This Row],[Cnd]],Lookups!$R$8:$U$17,4,FALSE)</f>
        <v>1.0012000000000001</v>
      </c>
      <c r="CO100">
        <f>VLOOKUP(Sales[[#This Row],[LivArea Range]],Lookups!$R$25:$U$43,4,FALSE)</f>
        <v>1.0007999999999999</v>
      </c>
      <c r="CP100">
        <f>VLOOKUP(Sales[[#This Row],[Decade]],Lookups!$M$24:$P$40,4,FALSE)</f>
        <v>1.0024</v>
      </c>
      <c r="CQ100">
        <f>Sales[[#This Row],[Nbhd Adj]]*0.95</f>
        <v>0.94971499999999998</v>
      </c>
      <c r="CR100">
        <f>Sales[[#This Row],[Nbhd Adj]]*Sales[[#This Row],[Quality Adj]]*Sales[[#This Row],[Condition Adj]]*Sales[[#This Row],[Living Area Adj]]*Sales[[#This Row],[Decade Adj]]*0.95</f>
        <v>0.95571162706178159</v>
      </c>
      <c r="CS100">
        <f>ROUND(SUM(Sales[[#This Row],[Mdl Qlty]:[Mdl BltinGar]])+Sales[[#This Row],[Mdl Res Intercept]]*Sales[[#This Row],[Res Adj ]],-2)</f>
        <v>342600</v>
      </c>
      <c r="CT100">
        <f>ROUND(Sales[[#This Row],[25Det]]*Sales[[#This Row],[Det/Nbhd Adj]],-2)</f>
        <v>0</v>
      </c>
      <c r="CU100">
        <f>Sales[[#This Row],[Adjusted Res]]+Sales[[#This Row],[Adj Det ]]</f>
        <v>342600</v>
      </c>
      <c r="CV100">
        <f>ROUND((Sales[[#This Row],[Mdl Land Intercept]]+Sales[[#This Row],[Mdl LnAcres]])*Sales[[#This Row],[Det/Nbhd Adj]],-2)</f>
        <v>61100</v>
      </c>
      <c r="CW100">
        <f>Sales[[#This Row],[Adjusted Impr Total]]+Sales[[#This Row],[Adjusted Land Total]]</f>
        <v>403700</v>
      </c>
      <c r="CX100" s="10">
        <f>IFERROR((Sales[[#This Row],[Adjusted Impr Total]]-Sales[[#This Row],[24Bldg]])/Sales[[#This Row],[24Bldg]],0)</f>
        <v>-7.2442770211532887E-3</v>
      </c>
      <c r="CY100" s="10">
        <f>(Sales[[#This Row],[Adjusted Land Total]]-Sales[[#This Row],[24Lnd]])/Sales[[#This Row],[24Lnd]]</f>
        <v>4.9342105263157892E-3</v>
      </c>
      <c r="CZ100">
        <f>(Sales[[#This Row],[Adjusted Total]]-Sales[[#This Row],[24Final]])/Sales[[#This Row],[24Final]]</f>
        <v>-5.4200542005420054E-3</v>
      </c>
      <c r="DA100" s="10">
        <f>(Sales[[#This Row],[Adjusted Total]]+Sales[[#This Row],[Days Prior Total]])/Sales[[#This Row],[Price]]</f>
        <v>0.92725899652713417</v>
      </c>
    </row>
    <row r="101" spans="1:105">
      <c r="A101">
        <v>2025</v>
      </c>
      <c r="B101">
        <v>19120114496</v>
      </c>
      <c r="C101">
        <v>-1.8325814637483102</v>
      </c>
      <c r="D101">
        <v>0.16</v>
      </c>
      <c r="E101">
        <v>7001</v>
      </c>
      <c r="F101">
        <v>2</v>
      </c>
      <c r="G101" t="s">
        <v>155</v>
      </c>
      <c r="H101">
        <v>317</v>
      </c>
      <c r="I101" t="s">
        <v>5</v>
      </c>
      <c r="J101" t="s">
        <v>156</v>
      </c>
      <c r="K101">
        <v>11</v>
      </c>
      <c r="L101">
        <v>259</v>
      </c>
      <c r="M101" t="s">
        <v>157</v>
      </c>
      <c r="N101" t="s">
        <v>19</v>
      </c>
      <c r="O101" t="s">
        <v>24</v>
      </c>
      <c r="P101">
        <v>2021</v>
      </c>
      <c r="Q101">
        <v>2021</v>
      </c>
      <c r="R101">
        <v>10</v>
      </c>
      <c r="S101">
        <v>3</v>
      </c>
      <c r="T101">
        <v>3</v>
      </c>
      <c r="U101">
        <v>1</v>
      </c>
      <c r="V101">
        <v>1580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1580</v>
      </c>
      <c r="AC101">
        <v>2000</v>
      </c>
      <c r="AD101">
        <v>2</v>
      </c>
      <c r="AE101" t="s">
        <v>56</v>
      </c>
      <c r="AF101" t="s">
        <v>158</v>
      </c>
      <c r="AG101" t="s">
        <v>21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9</v>
      </c>
      <c r="AO101">
        <v>400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100</v>
      </c>
      <c r="AV101">
        <v>100</v>
      </c>
      <c r="AW101">
        <v>283131</v>
      </c>
      <c r="AX101">
        <v>280300</v>
      </c>
      <c r="AY101">
        <v>553</v>
      </c>
      <c r="AZ101">
        <v>365</v>
      </c>
      <c r="BA101">
        <v>188</v>
      </c>
      <c r="BB101">
        <v>0</v>
      </c>
      <c r="BC101" s="2">
        <v>44739</v>
      </c>
      <c r="BD101" t="s">
        <v>260</v>
      </c>
      <c r="BE101">
        <v>375400</v>
      </c>
      <c r="BF101">
        <v>375400</v>
      </c>
      <c r="BG101" t="s">
        <v>160</v>
      </c>
      <c r="BH101">
        <v>30</v>
      </c>
      <c r="BI101" t="s">
        <v>56</v>
      </c>
      <c r="BJ101" t="s">
        <v>161</v>
      </c>
      <c r="BK101">
        <v>393700</v>
      </c>
      <c r="BL101">
        <v>60800</v>
      </c>
      <c r="BM101">
        <v>332900</v>
      </c>
      <c r="BN101">
        <v>0</v>
      </c>
      <c r="BO101">
        <v>375143.69953546894</v>
      </c>
      <c r="BP101">
        <v>384356.51440812129</v>
      </c>
      <c r="BQ101">
        <f>(Sales[[#This Row],[DP1]]*Lookups!$B$61)+(Sales[[#This Row],[DP2]]*Lookups!$B$62)+(Sales[[#This Row],[DP3]]*Lookups!$B$63)</f>
        <v>-9212.814280999999</v>
      </c>
      <c r="BR101">
        <f>Lookups!$B$58*0.6</f>
        <v>132535.48800000001</v>
      </c>
      <c r="BS101">
        <f>Lookups!$B$58*0.4</f>
        <v>88356.992000000013</v>
      </c>
      <c r="BT101">
        <f>Lookups!$B$59*Sales[[#This Row],[LnAcres]]</f>
        <v>-24051.387388882686</v>
      </c>
      <c r="BU101">
        <f>VLOOKUP(Sales[[#This Row],[Qlty]],Lookups!$A$66:$E$79,2,FALSE)</f>
        <v>37154.252388000001</v>
      </c>
      <c r="BV101">
        <f>VLOOKUP(Sales[[#This Row],[Cnd]],Lookups!$A$80:$E$91,2,FALSE)</f>
        <v>47371.278778200001</v>
      </c>
      <c r="BW101">
        <f>Sales[[#This Row],[EffAge]]*Lookups!$B$65</f>
        <v>-326.22329999999999</v>
      </c>
      <c r="BX101">
        <f>Sales[[#This Row],[MainFn]]*Lookups!$B$90</f>
        <v>98608.400399999999</v>
      </c>
      <c r="BY101">
        <f>Sales[[#This Row],[UpprFn]]*Lookups!$B$91</f>
        <v>0</v>
      </c>
      <c r="BZ101">
        <f>Sales[[#This Row],[Bsmt]]*Lookups!$B$95</f>
        <v>0</v>
      </c>
      <c r="CA101">
        <f>VLOOKUP(Sales[[#This Row],[MsnryTrim]],Lookups!$A$90:$E$99,2,FALSE)</f>
        <v>-9412.7029999999995</v>
      </c>
      <c r="CB101">
        <f>Sales[[#This Row],[PrefabFP]]*Lookups!$B$92</f>
        <v>0</v>
      </c>
      <c r="CC101">
        <f>Sales[[#This Row],[AttGar]]*Lookups!$B$93</f>
        <v>14120.412400000001</v>
      </c>
      <c r="CD101">
        <f>Sales[[#This Row],[BltinGar]]*Lookups!$B$94</f>
        <v>0</v>
      </c>
      <c r="CE101">
        <f>SUM(Sales[[#This Row],[Days Prior Total]:[Mdl BltinGar]])</f>
        <v>375143.69599631731</v>
      </c>
      <c r="CF101">
        <f>ROUND(Sales[[#This Row],[25Det]],-2)</f>
        <v>0</v>
      </c>
      <c r="CG101">
        <f>ROUND(SUM(Sales[[#This Row],[Mdl Qlty]:[Mdl BltinGar]])+Sales[[#This Row],[Mdl Res Intercept]]+Sales[[#This Row],[Days Prior Total]],-2)</f>
        <v>310800</v>
      </c>
      <c r="CH101">
        <f>ROUND(Sales[[#This Row],[Mdl Land Intercept]]+Sales[[#This Row],[Mdl LnAcres]],-2)</f>
        <v>64300</v>
      </c>
      <c r="CI101">
        <f>Sales[[#This Row],[Unadj Res Value]]+Sales[[#This Row],[Unadj Det Value]]+Sales[[#This Row],[Unadj Land Value]]</f>
        <v>375100</v>
      </c>
      <c r="CJ101" s="10">
        <f>Sales[[#This Row],[Price]]/Sales[[#This Row],[Unadj Total Value]]</f>
        <v>1.0007997867235403</v>
      </c>
      <c r="CK101" s="10">
        <f>(Sales[[#This Row],[Unadj Total Value]]-Sales[[#This Row],[24Final]])/Sales[[#This Row],[24Final]]</f>
        <v>-4.7244094488188976E-2</v>
      </c>
      <c r="CL101">
        <f>VLOOKUP(Sales[[#This Row],[TNbhd]],Lookups!$M$3:$P$5,4,FALSE)</f>
        <v>0.99970000000000003</v>
      </c>
      <c r="CM101">
        <f>VLOOKUP(Sales[[#This Row],[Qlty]],Lookups!$M$8:$P$22,4,FALSE)</f>
        <v>0.99819999999999998</v>
      </c>
      <c r="CN101">
        <f>VLOOKUP(Sales[[#This Row],[Cnd]],Lookups!$R$8:$U$17,4,FALSE)</f>
        <v>1.0012000000000001</v>
      </c>
      <c r="CO101">
        <f>VLOOKUP(Sales[[#This Row],[LivArea Range]],Lookups!$R$25:$U$43,4,FALSE)</f>
        <v>1.0007999999999999</v>
      </c>
      <c r="CP101">
        <f>VLOOKUP(Sales[[#This Row],[Decade]],Lookups!$M$24:$P$40,4,FALSE)</f>
        <v>1.0024</v>
      </c>
      <c r="CQ101">
        <f>Sales[[#This Row],[Nbhd Adj]]*0.95</f>
        <v>0.94971499999999998</v>
      </c>
      <c r="CR101">
        <f>Sales[[#This Row],[Nbhd Adj]]*Sales[[#This Row],[Quality Adj]]*Sales[[#This Row],[Condition Adj]]*Sales[[#This Row],[Living Area Adj]]*Sales[[#This Row],[Decade Adj]]*0.95</f>
        <v>0.95218219995315945</v>
      </c>
      <c r="CS101">
        <f>ROUND(SUM(Sales[[#This Row],[Mdl Qlty]:[Mdl BltinGar]])+Sales[[#This Row],[Mdl Res Intercept]]*Sales[[#This Row],[Res Adj ]],-2)</f>
        <v>313700</v>
      </c>
      <c r="CT101">
        <f>ROUND(Sales[[#This Row],[25Det]]*Sales[[#This Row],[Det/Nbhd Adj]],-2)</f>
        <v>0</v>
      </c>
      <c r="CU101">
        <f>Sales[[#This Row],[Adjusted Res]]+Sales[[#This Row],[Adj Det ]]</f>
        <v>313700</v>
      </c>
      <c r="CV101">
        <f>ROUND((Sales[[#This Row],[Mdl Land Intercept]]+Sales[[#This Row],[Mdl LnAcres]])*Sales[[#This Row],[Det/Nbhd Adj]],-2)</f>
        <v>61100</v>
      </c>
      <c r="CW101">
        <f>Sales[[#This Row],[Adjusted Impr Total]]+Sales[[#This Row],[Adjusted Land Total]]</f>
        <v>374800</v>
      </c>
      <c r="CX101" s="10">
        <f>IFERROR((Sales[[#This Row],[Adjusted Impr Total]]-Sales[[#This Row],[24Bldg]])/Sales[[#This Row],[24Bldg]],0)</f>
        <v>-5.7674977470711923E-2</v>
      </c>
      <c r="CY101" s="10">
        <f>(Sales[[#This Row],[Adjusted Land Total]]-Sales[[#This Row],[24Lnd]])/Sales[[#This Row],[24Lnd]]</f>
        <v>4.9342105263157892E-3</v>
      </c>
      <c r="CZ101">
        <f>(Sales[[#This Row],[Adjusted Total]]-Sales[[#This Row],[24Final]])/Sales[[#This Row],[24Final]]</f>
        <v>-4.8006096012192023E-2</v>
      </c>
      <c r="DA101" s="10">
        <f>(Sales[[#This Row],[Adjusted Total]]+Sales[[#This Row],[Days Prior Total]])/Sales[[#This Row],[Price]]</f>
        <v>0.97386037751465104</v>
      </c>
    </row>
    <row r="102" spans="1:105">
      <c r="A102">
        <v>2025</v>
      </c>
      <c r="B102">
        <v>19133514411</v>
      </c>
      <c r="C102">
        <v>-1.8325814637483102</v>
      </c>
      <c r="D102">
        <v>0.16</v>
      </c>
      <c r="E102">
        <v>7064</v>
      </c>
      <c r="F102">
        <v>2</v>
      </c>
      <c r="G102" t="s">
        <v>155</v>
      </c>
      <c r="H102">
        <v>317</v>
      </c>
      <c r="I102" t="s">
        <v>5</v>
      </c>
      <c r="J102" t="s">
        <v>212</v>
      </c>
      <c r="K102">
        <v>11</v>
      </c>
      <c r="L102">
        <v>259</v>
      </c>
      <c r="M102" t="s">
        <v>157</v>
      </c>
      <c r="N102" t="s">
        <v>21</v>
      </c>
      <c r="O102" t="s">
        <v>24</v>
      </c>
      <c r="P102">
        <v>2021</v>
      </c>
      <c r="Q102">
        <v>2021</v>
      </c>
      <c r="R102">
        <v>10</v>
      </c>
      <c r="S102">
        <v>3</v>
      </c>
      <c r="T102">
        <v>3</v>
      </c>
      <c r="U102">
        <v>1</v>
      </c>
      <c r="V102">
        <v>1740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1740</v>
      </c>
      <c r="AC102">
        <v>2000</v>
      </c>
      <c r="AD102">
        <v>2</v>
      </c>
      <c r="AE102" t="s">
        <v>56</v>
      </c>
      <c r="AF102" t="s">
        <v>158</v>
      </c>
      <c r="AG102" t="s">
        <v>27</v>
      </c>
      <c r="AI102">
        <v>0</v>
      </c>
      <c r="AJ102">
        <v>0</v>
      </c>
      <c r="AK102">
        <v>0</v>
      </c>
      <c r="AL102">
        <v>1</v>
      </c>
      <c r="AM102">
        <v>0</v>
      </c>
      <c r="AN102">
        <v>10</v>
      </c>
      <c r="AO102">
        <v>450</v>
      </c>
      <c r="AP102">
        <v>0</v>
      </c>
      <c r="AQ102">
        <v>0</v>
      </c>
      <c r="AR102">
        <v>0</v>
      </c>
      <c r="AS102">
        <v>144</v>
      </c>
      <c r="AT102">
        <v>0</v>
      </c>
      <c r="AU102">
        <v>100</v>
      </c>
      <c r="AV102">
        <v>100</v>
      </c>
      <c r="AW102">
        <v>339934</v>
      </c>
      <c r="AX102">
        <v>336535</v>
      </c>
      <c r="AY102">
        <v>888</v>
      </c>
      <c r="AZ102">
        <v>365</v>
      </c>
      <c r="BA102">
        <v>365</v>
      </c>
      <c r="BB102">
        <v>158</v>
      </c>
      <c r="BC102" s="2">
        <v>44404</v>
      </c>
      <c r="BD102" t="s">
        <v>261</v>
      </c>
      <c r="BE102">
        <v>312230</v>
      </c>
      <c r="BF102">
        <v>312230</v>
      </c>
      <c r="BG102" t="s">
        <v>160</v>
      </c>
      <c r="BH102">
        <v>30</v>
      </c>
      <c r="BI102" t="s">
        <v>56</v>
      </c>
      <c r="BJ102" t="s">
        <v>161</v>
      </c>
      <c r="BK102">
        <v>384300</v>
      </c>
      <c r="BL102">
        <v>60800</v>
      </c>
      <c r="BM102">
        <v>323500</v>
      </c>
      <c r="BN102">
        <v>0</v>
      </c>
      <c r="BO102">
        <v>334538.59319958108</v>
      </c>
      <c r="BP102">
        <v>391870.8235477719</v>
      </c>
      <c r="BQ102">
        <f>(Sales[[#This Row],[DP1]]*Lookups!$B$61)+(Sales[[#This Row],[DP2]]*Lookups!$B$62)+(Sales[[#This Row],[DP3]]*Lookups!$B$63)</f>
        <v>-57332.227830999997</v>
      </c>
      <c r="BR102">
        <f>Lookups!$B$58*0.6</f>
        <v>132535.48800000001</v>
      </c>
      <c r="BS102">
        <f>Lookups!$B$58*0.4</f>
        <v>88356.992000000013</v>
      </c>
      <c r="BT102">
        <f>Lookups!$B$59*Sales[[#This Row],[LnAcres]]</f>
        <v>-24051.387388882686</v>
      </c>
      <c r="BU102">
        <f>VLOOKUP(Sales[[#This Row],[Qlty]],Lookups!$A$66:$E$79,2,FALSE)</f>
        <v>32917.849192000001</v>
      </c>
      <c r="BV102">
        <f>VLOOKUP(Sales[[#This Row],[Cnd]],Lookups!$A$80:$E$91,2,FALSE)</f>
        <v>47371.278778200001</v>
      </c>
      <c r="BW102">
        <f>Sales[[#This Row],[EffAge]]*Lookups!$B$65</f>
        <v>-326.22329999999999</v>
      </c>
      <c r="BX102">
        <f>Sales[[#This Row],[MainFn]]*Lookups!$B$90</f>
        <v>108594.06120000001</v>
      </c>
      <c r="BY102">
        <f>Sales[[#This Row],[UpprFn]]*Lookups!$B$91</f>
        <v>0</v>
      </c>
      <c r="BZ102">
        <f>Sales[[#This Row],[Bsmt]]*Lookups!$B$95</f>
        <v>0</v>
      </c>
      <c r="CA102">
        <f>VLOOKUP(Sales[[#This Row],[MsnryTrim]],Lookups!$A$90:$E$99,2,FALSE)</f>
        <v>-9412.7029999999995</v>
      </c>
      <c r="CB102">
        <f>Sales[[#This Row],[PrefabFP]]*Lookups!$B$92</f>
        <v>0</v>
      </c>
      <c r="CC102">
        <f>Sales[[#This Row],[AttGar]]*Lookups!$B$93</f>
        <v>15885.463950000001</v>
      </c>
      <c r="CD102">
        <f>Sales[[#This Row],[BltinGar]]*Lookups!$B$94</f>
        <v>0</v>
      </c>
      <c r="CE102">
        <f>SUM(Sales[[#This Row],[Days Prior Total]:[Mdl BltinGar]])</f>
        <v>334538.59160031739</v>
      </c>
      <c r="CF102">
        <f>ROUND(Sales[[#This Row],[25Det]],-2)</f>
        <v>0</v>
      </c>
      <c r="CG102">
        <f>ROUND(SUM(Sales[[#This Row],[Mdl Qlty]:[Mdl BltinGar]])+Sales[[#This Row],[Mdl Res Intercept]]+Sales[[#This Row],[Days Prior Total]],-2)</f>
        <v>270200</v>
      </c>
      <c r="CH102">
        <f>ROUND(Sales[[#This Row],[Mdl Land Intercept]]+Sales[[#This Row],[Mdl LnAcres]],-2)</f>
        <v>64300</v>
      </c>
      <c r="CI102">
        <f>Sales[[#This Row],[Unadj Res Value]]+Sales[[#This Row],[Unadj Det Value]]+Sales[[#This Row],[Unadj Land Value]]</f>
        <v>334500</v>
      </c>
      <c r="CJ102" s="10">
        <f>Sales[[#This Row],[Price]]/Sales[[#This Row],[Unadj Total Value]]</f>
        <v>0.93342301943198802</v>
      </c>
      <c r="CK102" s="10">
        <f>(Sales[[#This Row],[Unadj Total Value]]-Sales[[#This Row],[24Final]])/Sales[[#This Row],[24Final]]</f>
        <v>-0.12958626073380172</v>
      </c>
      <c r="CL102">
        <f>VLOOKUP(Sales[[#This Row],[TNbhd]],Lookups!$M$3:$P$5,4,FALSE)</f>
        <v>0.99970000000000003</v>
      </c>
      <c r="CM102">
        <f>VLOOKUP(Sales[[#This Row],[Qlty]],Lookups!$M$8:$P$22,4,FALSE)</f>
        <v>1.0019</v>
      </c>
      <c r="CN102">
        <f>VLOOKUP(Sales[[#This Row],[Cnd]],Lookups!$R$8:$U$17,4,FALSE)</f>
        <v>1.0012000000000001</v>
      </c>
      <c r="CO102">
        <f>VLOOKUP(Sales[[#This Row],[LivArea Range]],Lookups!$R$25:$U$43,4,FALSE)</f>
        <v>1.0007999999999999</v>
      </c>
      <c r="CP102">
        <f>VLOOKUP(Sales[[#This Row],[Decade]],Lookups!$M$24:$P$40,4,FALSE)</f>
        <v>1.0024</v>
      </c>
      <c r="CQ102">
        <f>Sales[[#This Row],[Nbhd Adj]]*0.95</f>
        <v>0.94971499999999998</v>
      </c>
      <c r="CR102">
        <f>Sales[[#This Row],[Nbhd Adj]]*Sales[[#This Row],[Quality Adj]]*Sales[[#This Row],[Condition Adj]]*Sales[[#This Row],[Living Area Adj]]*Sales[[#This Row],[Decade Adj]]*0.95</f>
        <v>0.95571162706178159</v>
      </c>
      <c r="CS102">
        <f>ROUND(SUM(Sales[[#This Row],[Mdl Qlty]:[Mdl BltinGar]])+Sales[[#This Row],[Mdl Res Intercept]]*Sales[[#This Row],[Res Adj ]],-2)</f>
        <v>321700</v>
      </c>
      <c r="CT102">
        <f>ROUND(Sales[[#This Row],[25Det]]*Sales[[#This Row],[Det/Nbhd Adj]],-2)</f>
        <v>0</v>
      </c>
      <c r="CU102">
        <f>Sales[[#This Row],[Adjusted Res]]+Sales[[#This Row],[Adj Det ]]</f>
        <v>321700</v>
      </c>
      <c r="CV102">
        <f>ROUND((Sales[[#This Row],[Mdl Land Intercept]]+Sales[[#This Row],[Mdl LnAcres]])*Sales[[#This Row],[Det/Nbhd Adj]],-2)</f>
        <v>61100</v>
      </c>
      <c r="CW102">
        <f>Sales[[#This Row],[Adjusted Impr Total]]+Sales[[#This Row],[Adjusted Land Total]]</f>
        <v>382800</v>
      </c>
      <c r="CX102" s="10">
        <f>IFERROR((Sales[[#This Row],[Adjusted Impr Total]]-Sales[[#This Row],[24Bldg]])/Sales[[#This Row],[24Bldg]],0)</f>
        <v>-5.5641421947449764E-3</v>
      </c>
      <c r="CY102" s="10">
        <f>(Sales[[#This Row],[Adjusted Land Total]]-Sales[[#This Row],[24Lnd]])/Sales[[#This Row],[24Lnd]]</f>
        <v>4.9342105263157892E-3</v>
      </c>
      <c r="CZ102">
        <f>(Sales[[#This Row],[Adjusted Total]]-Sales[[#This Row],[24Final]])/Sales[[#This Row],[24Final]]</f>
        <v>-3.9032006245120999E-3</v>
      </c>
      <c r="DA102" s="10">
        <f>(Sales[[#This Row],[Adjusted Total]]+Sales[[#This Row],[Days Prior Total]])/Sales[[#This Row],[Price]]</f>
        <v>1.0423975023828589</v>
      </c>
    </row>
    <row r="103" spans="1:105">
      <c r="A103">
        <v>2025</v>
      </c>
      <c r="B103">
        <v>19133514412</v>
      </c>
      <c r="C103">
        <v>-1.8325814637483102</v>
      </c>
      <c r="D103">
        <v>0.16</v>
      </c>
      <c r="E103">
        <v>7046</v>
      </c>
      <c r="F103">
        <v>2</v>
      </c>
      <c r="G103" t="s">
        <v>155</v>
      </c>
      <c r="H103">
        <v>317</v>
      </c>
      <c r="I103" t="s">
        <v>5</v>
      </c>
      <c r="J103" t="s">
        <v>212</v>
      </c>
      <c r="K103">
        <v>11</v>
      </c>
      <c r="L103">
        <v>259</v>
      </c>
      <c r="M103" t="s">
        <v>157</v>
      </c>
      <c r="N103" t="s">
        <v>21</v>
      </c>
      <c r="O103" t="s">
        <v>24</v>
      </c>
      <c r="P103">
        <v>2021</v>
      </c>
      <c r="Q103">
        <v>2021</v>
      </c>
      <c r="R103">
        <v>10</v>
      </c>
      <c r="S103">
        <v>3</v>
      </c>
      <c r="T103">
        <v>3</v>
      </c>
      <c r="U103">
        <v>1</v>
      </c>
      <c r="V103">
        <v>2010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2010</v>
      </c>
      <c r="AC103">
        <v>2500</v>
      </c>
      <c r="AD103">
        <v>2</v>
      </c>
      <c r="AE103" t="s">
        <v>56</v>
      </c>
      <c r="AF103" t="s">
        <v>158</v>
      </c>
      <c r="AG103" t="s">
        <v>27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11</v>
      </c>
      <c r="AO103">
        <v>424</v>
      </c>
      <c r="AP103">
        <v>0</v>
      </c>
      <c r="AQ103">
        <v>0</v>
      </c>
      <c r="AR103">
        <v>0</v>
      </c>
      <c r="AS103">
        <v>144</v>
      </c>
      <c r="AT103">
        <v>0</v>
      </c>
      <c r="AU103">
        <v>100</v>
      </c>
      <c r="AV103">
        <v>100</v>
      </c>
      <c r="AW103">
        <v>383336</v>
      </c>
      <c r="AX103">
        <v>379503</v>
      </c>
      <c r="AY103">
        <v>901</v>
      </c>
      <c r="AZ103">
        <v>365</v>
      </c>
      <c r="BA103">
        <v>365</v>
      </c>
      <c r="BB103">
        <v>171</v>
      </c>
      <c r="BC103" s="2">
        <v>44391</v>
      </c>
      <c r="BD103" t="s">
        <v>262</v>
      </c>
      <c r="BE103">
        <v>335140</v>
      </c>
      <c r="BF103">
        <v>335140</v>
      </c>
      <c r="BG103" t="s">
        <v>160</v>
      </c>
      <c r="BH103">
        <v>30</v>
      </c>
      <c r="BI103" t="s">
        <v>56</v>
      </c>
      <c r="BJ103" t="s">
        <v>161</v>
      </c>
      <c r="BK103">
        <v>398200</v>
      </c>
      <c r="BL103">
        <v>60800</v>
      </c>
      <c r="BM103">
        <v>337400</v>
      </c>
      <c r="BN103">
        <v>0</v>
      </c>
      <c r="BO103">
        <v>347494.57669781061</v>
      </c>
      <c r="BP103">
        <v>407803.79935764731</v>
      </c>
      <c r="BQ103">
        <f>(Sales[[#This Row],[DP1]]*Lookups!$B$61)+(Sales[[#This Row],[DP2]]*Lookups!$B$62)+(Sales[[#This Row],[DP3]]*Lookups!$B$63)</f>
        <v>-60309.220031000004</v>
      </c>
      <c r="BR103">
        <f>Lookups!$B$58*0.6</f>
        <v>132535.48800000001</v>
      </c>
      <c r="BS103">
        <f>Lookups!$B$58*0.4</f>
        <v>88356.992000000013</v>
      </c>
      <c r="BT103">
        <f>Lookups!$B$59*Sales[[#This Row],[LnAcres]]</f>
        <v>-24051.387388882686</v>
      </c>
      <c r="BU103">
        <f>VLOOKUP(Sales[[#This Row],[Qlty]],Lookups!$A$66:$E$79,2,FALSE)</f>
        <v>32917.849192000001</v>
      </c>
      <c r="BV103">
        <f>VLOOKUP(Sales[[#This Row],[Cnd]],Lookups!$A$80:$E$91,2,FALSE)</f>
        <v>47371.278778200001</v>
      </c>
      <c r="BW103">
        <f>Sales[[#This Row],[EffAge]]*Lookups!$B$65</f>
        <v>-326.22329999999999</v>
      </c>
      <c r="BX103">
        <f>Sales[[#This Row],[MainFn]]*Lookups!$B$90</f>
        <v>125444.86380000001</v>
      </c>
      <c r="BY103">
        <f>Sales[[#This Row],[UpprFn]]*Lookups!$B$91</f>
        <v>0</v>
      </c>
      <c r="BZ103">
        <f>Sales[[#This Row],[Bsmt]]*Lookups!$B$95</f>
        <v>0</v>
      </c>
      <c r="CA103">
        <f>VLOOKUP(Sales[[#This Row],[MsnryTrim]],Lookups!$A$90:$E$99,2,FALSE)</f>
        <v>-9412.7029999999995</v>
      </c>
      <c r="CB103">
        <f>Sales[[#This Row],[PrefabFP]]*Lookups!$B$92</f>
        <v>0</v>
      </c>
      <c r="CC103">
        <f>Sales[[#This Row],[AttGar]]*Lookups!$B$93</f>
        <v>14967.637144</v>
      </c>
      <c r="CD103">
        <f>Sales[[#This Row],[BltinGar]]*Lookups!$B$94</f>
        <v>0</v>
      </c>
      <c r="CE103">
        <f>SUM(Sales[[#This Row],[Days Prior Total]:[Mdl BltinGar]])</f>
        <v>347494.57519431732</v>
      </c>
      <c r="CF103">
        <f>ROUND(Sales[[#This Row],[25Det]],-2)</f>
        <v>0</v>
      </c>
      <c r="CG103">
        <f>ROUND(SUM(Sales[[#This Row],[Mdl Qlty]:[Mdl BltinGar]])+Sales[[#This Row],[Mdl Res Intercept]]+Sales[[#This Row],[Days Prior Total]],-2)</f>
        <v>283200</v>
      </c>
      <c r="CH103">
        <f>ROUND(Sales[[#This Row],[Mdl Land Intercept]]+Sales[[#This Row],[Mdl LnAcres]],-2)</f>
        <v>64300</v>
      </c>
      <c r="CI103">
        <f>Sales[[#This Row],[Unadj Res Value]]+Sales[[#This Row],[Unadj Det Value]]+Sales[[#This Row],[Unadj Land Value]]</f>
        <v>347500</v>
      </c>
      <c r="CJ103" s="10">
        <f>Sales[[#This Row],[Price]]/Sales[[#This Row],[Unadj Total Value]]</f>
        <v>0.96443165467625902</v>
      </c>
      <c r="CK103" s="10">
        <f>(Sales[[#This Row],[Unadj Total Value]]-Sales[[#This Row],[24Final]])/Sales[[#This Row],[24Final]]</f>
        <v>-0.12732295328980411</v>
      </c>
      <c r="CL103">
        <f>VLOOKUP(Sales[[#This Row],[TNbhd]],Lookups!$M$3:$P$5,4,FALSE)</f>
        <v>0.99970000000000003</v>
      </c>
      <c r="CM103">
        <f>VLOOKUP(Sales[[#This Row],[Qlty]],Lookups!$M$8:$P$22,4,FALSE)</f>
        <v>1.0019</v>
      </c>
      <c r="CN103">
        <f>VLOOKUP(Sales[[#This Row],[Cnd]],Lookups!$R$8:$U$17,4,FALSE)</f>
        <v>1.0012000000000001</v>
      </c>
      <c r="CO103">
        <f>VLOOKUP(Sales[[#This Row],[LivArea Range]],Lookups!$R$25:$U$43,4,FALSE)</f>
        <v>1.0008999999999999</v>
      </c>
      <c r="CP103">
        <f>VLOOKUP(Sales[[#This Row],[Decade]],Lookups!$M$24:$P$40,4,FALSE)</f>
        <v>1.0024</v>
      </c>
      <c r="CQ103">
        <f>Sales[[#This Row],[Nbhd Adj]]*0.95</f>
        <v>0.94971499999999998</v>
      </c>
      <c r="CR103">
        <f>Sales[[#This Row],[Nbhd Adj]]*Sales[[#This Row],[Quality Adj]]*Sales[[#This Row],[Condition Adj]]*Sales[[#This Row],[Living Area Adj]]*Sales[[#This Row],[Decade Adj]]*0.95</f>
        <v>0.95580712182867422</v>
      </c>
      <c r="CS103">
        <f>ROUND(SUM(Sales[[#This Row],[Mdl Qlty]:[Mdl BltinGar]])+Sales[[#This Row],[Mdl Res Intercept]]*Sales[[#This Row],[Res Adj ]],-2)</f>
        <v>337600</v>
      </c>
      <c r="CT103">
        <f>ROUND(Sales[[#This Row],[25Det]]*Sales[[#This Row],[Det/Nbhd Adj]],-2)</f>
        <v>0</v>
      </c>
      <c r="CU103">
        <f>Sales[[#This Row],[Adjusted Res]]+Sales[[#This Row],[Adj Det ]]</f>
        <v>337600</v>
      </c>
      <c r="CV103">
        <f>ROUND((Sales[[#This Row],[Mdl Land Intercept]]+Sales[[#This Row],[Mdl LnAcres]])*Sales[[#This Row],[Det/Nbhd Adj]],-2)</f>
        <v>61100</v>
      </c>
      <c r="CW103">
        <f>Sales[[#This Row],[Adjusted Impr Total]]+Sales[[#This Row],[Adjusted Land Total]]</f>
        <v>398700</v>
      </c>
      <c r="CX103" s="10">
        <f>IFERROR((Sales[[#This Row],[Adjusted Impr Total]]-Sales[[#This Row],[24Bldg]])/Sales[[#This Row],[24Bldg]],0)</f>
        <v>5.9276822762299936E-4</v>
      </c>
      <c r="CY103" s="10">
        <f>(Sales[[#This Row],[Adjusted Land Total]]-Sales[[#This Row],[24Lnd]])/Sales[[#This Row],[24Lnd]]</f>
        <v>4.9342105263157892E-3</v>
      </c>
      <c r="CZ103">
        <f>(Sales[[#This Row],[Adjusted Total]]-Sales[[#This Row],[24Final]])/Sales[[#This Row],[24Final]]</f>
        <v>1.2556504269211452E-3</v>
      </c>
      <c r="DA103" s="10">
        <f>(Sales[[#This Row],[Adjusted Total]]+Sales[[#This Row],[Days Prior Total]])/Sales[[#This Row],[Price]]</f>
        <v>1.0096997671689445</v>
      </c>
    </row>
    <row r="104" spans="1:105">
      <c r="A104">
        <v>2025</v>
      </c>
      <c r="B104">
        <v>19133514413</v>
      </c>
      <c r="C104">
        <v>-1.8325814637483102</v>
      </c>
      <c r="D104">
        <v>0.16</v>
      </c>
      <c r="E104">
        <v>7047</v>
      </c>
      <c r="F104">
        <v>2</v>
      </c>
      <c r="G104" t="s">
        <v>155</v>
      </c>
      <c r="H104">
        <v>317</v>
      </c>
      <c r="I104" t="s">
        <v>5</v>
      </c>
      <c r="J104" t="s">
        <v>212</v>
      </c>
      <c r="K104">
        <v>11</v>
      </c>
      <c r="L104">
        <v>259</v>
      </c>
      <c r="M104" t="s">
        <v>157</v>
      </c>
      <c r="N104" t="s">
        <v>21</v>
      </c>
      <c r="O104" t="s">
        <v>24</v>
      </c>
      <c r="P104">
        <v>2021</v>
      </c>
      <c r="Q104">
        <v>2021</v>
      </c>
      <c r="R104">
        <v>10</v>
      </c>
      <c r="S104">
        <v>3</v>
      </c>
      <c r="T104">
        <v>3</v>
      </c>
      <c r="U104">
        <v>1</v>
      </c>
      <c r="V104">
        <v>1550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1550</v>
      </c>
      <c r="AC104">
        <v>2000</v>
      </c>
      <c r="AD104">
        <v>2</v>
      </c>
      <c r="AE104" t="s">
        <v>56</v>
      </c>
      <c r="AF104" t="s">
        <v>158</v>
      </c>
      <c r="AG104" t="s">
        <v>27</v>
      </c>
      <c r="AI104">
        <v>0</v>
      </c>
      <c r="AJ104">
        <v>0</v>
      </c>
      <c r="AK104">
        <v>0</v>
      </c>
      <c r="AL104">
        <v>1</v>
      </c>
      <c r="AM104">
        <v>0</v>
      </c>
      <c r="AN104">
        <v>10</v>
      </c>
      <c r="AO104">
        <v>420</v>
      </c>
      <c r="AP104">
        <v>0</v>
      </c>
      <c r="AQ104">
        <v>0</v>
      </c>
      <c r="AR104">
        <v>0</v>
      </c>
      <c r="AS104">
        <v>144</v>
      </c>
      <c r="AT104">
        <v>0</v>
      </c>
      <c r="AU104">
        <v>100</v>
      </c>
      <c r="AV104">
        <v>100</v>
      </c>
      <c r="AW104">
        <v>310143</v>
      </c>
      <c r="AX104">
        <v>307042</v>
      </c>
      <c r="AY104">
        <v>889</v>
      </c>
      <c r="AZ104">
        <v>365</v>
      </c>
      <c r="BA104">
        <v>365</v>
      </c>
      <c r="BB104">
        <v>159</v>
      </c>
      <c r="BC104" s="2">
        <v>44403</v>
      </c>
      <c r="BD104" t="s">
        <v>263</v>
      </c>
      <c r="BE104">
        <v>309140</v>
      </c>
      <c r="BF104">
        <v>309140</v>
      </c>
      <c r="BG104" t="s">
        <v>160</v>
      </c>
      <c r="BH104">
        <v>30</v>
      </c>
      <c r="BI104" t="s">
        <v>56</v>
      </c>
      <c r="BJ104" t="s">
        <v>161</v>
      </c>
      <c r="BK104">
        <v>378600</v>
      </c>
      <c r="BL104">
        <v>60800</v>
      </c>
      <c r="BM104">
        <v>317800</v>
      </c>
      <c r="BN104">
        <v>0</v>
      </c>
      <c r="BO104">
        <v>321392.59066728089</v>
      </c>
      <c r="BP104">
        <v>378953.82042405987</v>
      </c>
      <c r="BQ104">
        <f>(Sales[[#This Row],[DP1]]*Lookups!$B$61)+(Sales[[#This Row],[DP2]]*Lookups!$B$62)+(Sales[[#This Row],[DP3]]*Lookups!$B$63)</f>
        <v>-57561.227230999997</v>
      </c>
      <c r="BR104">
        <f>Lookups!$B$58*0.6</f>
        <v>132535.48800000001</v>
      </c>
      <c r="BS104">
        <f>Lookups!$B$58*0.4</f>
        <v>88356.992000000013</v>
      </c>
      <c r="BT104">
        <f>Lookups!$B$59*Sales[[#This Row],[LnAcres]]</f>
        <v>-24051.387388882686</v>
      </c>
      <c r="BU104">
        <f>VLOOKUP(Sales[[#This Row],[Qlty]],Lookups!$A$66:$E$79,2,FALSE)</f>
        <v>32917.849192000001</v>
      </c>
      <c r="BV104">
        <f>VLOOKUP(Sales[[#This Row],[Cnd]],Lookups!$A$80:$E$91,2,FALSE)</f>
        <v>47371.278778200001</v>
      </c>
      <c r="BW104">
        <f>Sales[[#This Row],[EffAge]]*Lookups!$B$65</f>
        <v>-326.22329999999999</v>
      </c>
      <c r="BX104">
        <f>Sales[[#This Row],[MainFn]]*Lookups!$B$90</f>
        <v>96736.089000000007</v>
      </c>
      <c r="BY104">
        <f>Sales[[#This Row],[UpprFn]]*Lookups!$B$91</f>
        <v>0</v>
      </c>
      <c r="BZ104">
        <f>Sales[[#This Row],[Bsmt]]*Lookups!$B$95</f>
        <v>0</v>
      </c>
      <c r="CA104">
        <f>VLOOKUP(Sales[[#This Row],[MsnryTrim]],Lookups!$A$90:$E$99,2,FALSE)</f>
        <v>-9412.7029999999995</v>
      </c>
      <c r="CB104">
        <f>Sales[[#This Row],[PrefabFP]]*Lookups!$B$92</f>
        <v>0</v>
      </c>
      <c r="CC104">
        <f>Sales[[#This Row],[AttGar]]*Lookups!$B$93</f>
        <v>14826.43302</v>
      </c>
      <c r="CD104">
        <f>Sales[[#This Row],[BltinGar]]*Lookups!$B$94</f>
        <v>0</v>
      </c>
      <c r="CE104">
        <f>SUM(Sales[[#This Row],[Days Prior Total]:[Mdl BltinGar]])</f>
        <v>321392.58907031734</v>
      </c>
      <c r="CF104">
        <f>ROUND(Sales[[#This Row],[25Det]],-2)</f>
        <v>0</v>
      </c>
      <c r="CG104">
        <f>ROUND(SUM(Sales[[#This Row],[Mdl Qlty]:[Mdl BltinGar]])+Sales[[#This Row],[Mdl Res Intercept]]+Sales[[#This Row],[Days Prior Total]],-2)</f>
        <v>257100</v>
      </c>
      <c r="CH104">
        <f>ROUND(Sales[[#This Row],[Mdl Land Intercept]]+Sales[[#This Row],[Mdl LnAcres]],-2)</f>
        <v>64300</v>
      </c>
      <c r="CI104">
        <f>Sales[[#This Row],[Unadj Res Value]]+Sales[[#This Row],[Unadj Det Value]]+Sales[[#This Row],[Unadj Land Value]]</f>
        <v>321400</v>
      </c>
      <c r="CJ104" s="10">
        <f>Sales[[#This Row],[Price]]/Sales[[#This Row],[Unadj Total Value]]</f>
        <v>0.96185438705662729</v>
      </c>
      <c r="CK104" s="10">
        <f>(Sales[[#This Row],[Unadj Total Value]]-Sales[[#This Row],[24Final]])/Sales[[#This Row],[24Final]]</f>
        <v>-0.15108293713681986</v>
      </c>
      <c r="CL104">
        <f>VLOOKUP(Sales[[#This Row],[TNbhd]],Lookups!$M$3:$P$5,4,FALSE)</f>
        <v>0.99970000000000003</v>
      </c>
      <c r="CM104">
        <f>VLOOKUP(Sales[[#This Row],[Qlty]],Lookups!$M$8:$P$22,4,FALSE)</f>
        <v>1.0019</v>
      </c>
      <c r="CN104">
        <f>VLOOKUP(Sales[[#This Row],[Cnd]],Lookups!$R$8:$U$17,4,FALSE)</f>
        <v>1.0012000000000001</v>
      </c>
      <c r="CO104">
        <f>VLOOKUP(Sales[[#This Row],[LivArea Range]],Lookups!$R$25:$U$43,4,FALSE)</f>
        <v>1.0007999999999999</v>
      </c>
      <c r="CP104">
        <f>VLOOKUP(Sales[[#This Row],[Decade]],Lookups!$M$24:$P$40,4,FALSE)</f>
        <v>1.0024</v>
      </c>
      <c r="CQ104">
        <f>Sales[[#This Row],[Nbhd Adj]]*0.95</f>
        <v>0.94971499999999998</v>
      </c>
      <c r="CR104">
        <f>Sales[[#This Row],[Nbhd Adj]]*Sales[[#This Row],[Quality Adj]]*Sales[[#This Row],[Condition Adj]]*Sales[[#This Row],[Living Area Adj]]*Sales[[#This Row],[Decade Adj]]*0.95</f>
        <v>0.95571162706178159</v>
      </c>
      <c r="CS104">
        <f>ROUND(SUM(Sales[[#This Row],[Mdl Qlty]:[Mdl BltinGar]])+Sales[[#This Row],[Mdl Res Intercept]]*Sales[[#This Row],[Res Adj ]],-2)</f>
        <v>308800</v>
      </c>
      <c r="CT104">
        <f>ROUND(Sales[[#This Row],[25Det]]*Sales[[#This Row],[Det/Nbhd Adj]],-2)</f>
        <v>0</v>
      </c>
      <c r="CU104">
        <f>Sales[[#This Row],[Adjusted Res]]+Sales[[#This Row],[Adj Det ]]</f>
        <v>308800</v>
      </c>
      <c r="CV104">
        <f>ROUND((Sales[[#This Row],[Mdl Land Intercept]]+Sales[[#This Row],[Mdl LnAcres]])*Sales[[#This Row],[Det/Nbhd Adj]],-2)</f>
        <v>61100</v>
      </c>
      <c r="CW104">
        <f>Sales[[#This Row],[Adjusted Impr Total]]+Sales[[#This Row],[Adjusted Land Total]]</f>
        <v>369900</v>
      </c>
      <c r="CX104" s="10">
        <f>IFERROR((Sales[[#This Row],[Adjusted Impr Total]]-Sales[[#This Row],[24Bldg]])/Sales[[#This Row],[24Bldg]],0)</f>
        <v>-2.8319697923222153E-2</v>
      </c>
      <c r="CY104" s="10">
        <f>(Sales[[#This Row],[Adjusted Land Total]]-Sales[[#This Row],[24Lnd]])/Sales[[#This Row],[24Lnd]]</f>
        <v>4.9342105263157892E-3</v>
      </c>
      <c r="CZ104">
        <f>(Sales[[#This Row],[Adjusted Total]]-Sales[[#This Row],[24Final]])/Sales[[#This Row],[24Final]]</f>
        <v>-2.2979397781299524E-2</v>
      </c>
      <c r="DA104" s="10">
        <f>(Sales[[#This Row],[Adjusted Total]]+Sales[[#This Row],[Days Prior Total]])/Sales[[#This Row],[Price]]</f>
        <v>1.0103473273241899</v>
      </c>
    </row>
    <row r="105" spans="1:105">
      <c r="A105">
        <v>2025</v>
      </c>
      <c r="B105">
        <v>19133514414</v>
      </c>
      <c r="C105">
        <v>-1.8325814637483102</v>
      </c>
      <c r="D105">
        <v>0.16</v>
      </c>
      <c r="E105">
        <v>7050</v>
      </c>
      <c r="F105">
        <v>2</v>
      </c>
      <c r="G105" t="s">
        <v>155</v>
      </c>
      <c r="H105">
        <v>317</v>
      </c>
      <c r="I105" t="s">
        <v>5</v>
      </c>
      <c r="J105" t="s">
        <v>212</v>
      </c>
      <c r="K105">
        <v>11</v>
      </c>
      <c r="L105">
        <v>259</v>
      </c>
      <c r="M105" t="s">
        <v>157</v>
      </c>
      <c r="N105" t="s">
        <v>19</v>
      </c>
      <c r="O105" t="s">
        <v>24</v>
      </c>
      <c r="P105">
        <v>2021</v>
      </c>
      <c r="Q105">
        <v>2021</v>
      </c>
      <c r="R105">
        <v>10</v>
      </c>
      <c r="S105">
        <v>3</v>
      </c>
      <c r="T105">
        <v>3</v>
      </c>
      <c r="U105">
        <v>1</v>
      </c>
      <c r="V105">
        <v>1403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1403</v>
      </c>
      <c r="AC105">
        <v>1500</v>
      </c>
      <c r="AD105">
        <v>0</v>
      </c>
      <c r="AE105" t="s">
        <v>56</v>
      </c>
      <c r="AF105" t="s">
        <v>158</v>
      </c>
      <c r="AG105" t="s">
        <v>21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400</v>
      </c>
      <c r="AP105">
        <v>0</v>
      </c>
      <c r="AQ105">
        <v>0</v>
      </c>
      <c r="AR105">
        <v>0</v>
      </c>
      <c r="AS105">
        <v>165</v>
      </c>
      <c r="AT105">
        <v>45</v>
      </c>
      <c r="AU105">
        <v>100</v>
      </c>
      <c r="AV105">
        <v>100</v>
      </c>
      <c r="AW105">
        <v>253921</v>
      </c>
      <c r="AX105">
        <v>251382</v>
      </c>
      <c r="AY105">
        <v>726</v>
      </c>
      <c r="AZ105">
        <v>365</v>
      </c>
      <c r="BA105">
        <v>361</v>
      </c>
      <c r="BB105">
        <v>0</v>
      </c>
      <c r="BC105" s="2">
        <v>44566</v>
      </c>
      <c r="BD105" t="s">
        <v>264</v>
      </c>
      <c r="BE105">
        <v>342300</v>
      </c>
      <c r="BF105">
        <v>342300</v>
      </c>
      <c r="BG105" t="s">
        <v>160</v>
      </c>
      <c r="BH105">
        <v>30</v>
      </c>
      <c r="BI105" t="s">
        <v>56</v>
      </c>
      <c r="BJ105" t="s">
        <v>161</v>
      </c>
      <c r="BK105">
        <v>368200</v>
      </c>
      <c r="BL105">
        <v>60800</v>
      </c>
      <c r="BM105">
        <v>307400</v>
      </c>
      <c r="BN105">
        <v>0</v>
      </c>
      <c r="BO105">
        <v>352429.32756546157</v>
      </c>
      <c r="BP105">
        <v>373309.87714387581</v>
      </c>
      <c r="BQ105">
        <f>(Sales[[#This Row],[DP1]]*Lookups!$B$61)+(Sales[[#This Row],[DP2]]*Lookups!$B$62)+(Sales[[#This Row],[DP3]]*Lookups!$B$63)</f>
        <v>-20880.548430999999</v>
      </c>
      <c r="BR105">
        <f>Lookups!$B$58*0.6</f>
        <v>132535.48800000001</v>
      </c>
      <c r="BS105">
        <f>Lookups!$B$58*0.4</f>
        <v>88356.992000000013</v>
      </c>
      <c r="BT105">
        <f>Lookups!$B$59*Sales[[#This Row],[LnAcres]]</f>
        <v>-24051.387388882686</v>
      </c>
      <c r="BU105">
        <f>VLOOKUP(Sales[[#This Row],[Qlty]],Lookups!$A$66:$E$79,2,FALSE)</f>
        <v>37154.252388000001</v>
      </c>
      <c r="BV105">
        <f>VLOOKUP(Sales[[#This Row],[Cnd]],Lookups!$A$80:$E$91,2,FALSE)</f>
        <v>47371.278778200001</v>
      </c>
      <c r="BW105">
        <f>Sales[[#This Row],[EffAge]]*Lookups!$B$65</f>
        <v>-326.22329999999999</v>
      </c>
      <c r="BX105">
        <f>Sales[[#This Row],[MainFn]]*Lookups!$B$90</f>
        <v>87561.76314000001</v>
      </c>
      <c r="BY105">
        <f>Sales[[#This Row],[UpprFn]]*Lookups!$B$91</f>
        <v>0</v>
      </c>
      <c r="BZ105">
        <f>Sales[[#This Row],[Bsmt]]*Lookups!$B$95</f>
        <v>0</v>
      </c>
      <c r="CA105">
        <f>VLOOKUP(Sales[[#This Row],[MsnryTrim]],Lookups!$A$90:$E$99,2,FALSE)</f>
        <v>-9412.7029999999995</v>
      </c>
      <c r="CB105">
        <f>Sales[[#This Row],[PrefabFP]]*Lookups!$B$92</f>
        <v>0</v>
      </c>
      <c r="CC105">
        <f>Sales[[#This Row],[AttGar]]*Lookups!$B$93</f>
        <v>14120.412400000001</v>
      </c>
      <c r="CD105">
        <f>Sales[[#This Row],[BltinGar]]*Lookups!$B$94</f>
        <v>0</v>
      </c>
      <c r="CE105">
        <f>SUM(Sales[[#This Row],[Days Prior Total]:[Mdl BltinGar]])</f>
        <v>352429.32458631729</v>
      </c>
      <c r="CF105">
        <f>ROUND(Sales[[#This Row],[25Det]],-2)</f>
        <v>0</v>
      </c>
      <c r="CG105">
        <f>ROUND(SUM(Sales[[#This Row],[Mdl Qlty]:[Mdl BltinGar]])+Sales[[#This Row],[Mdl Res Intercept]]+Sales[[#This Row],[Days Prior Total]],-2)</f>
        <v>288100</v>
      </c>
      <c r="CH105">
        <f>ROUND(Sales[[#This Row],[Mdl Land Intercept]]+Sales[[#This Row],[Mdl LnAcres]],-2)</f>
        <v>64300</v>
      </c>
      <c r="CI105">
        <f>Sales[[#This Row],[Unadj Res Value]]+Sales[[#This Row],[Unadj Det Value]]+Sales[[#This Row],[Unadj Land Value]]</f>
        <v>352400</v>
      </c>
      <c r="CJ105" s="10">
        <f>Sales[[#This Row],[Price]]/Sales[[#This Row],[Unadj Total Value]]</f>
        <v>0.97133938706015888</v>
      </c>
      <c r="CK105" s="10">
        <f>(Sales[[#This Row],[Unadj Total Value]]-Sales[[#This Row],[24Final]])/Sales[[#This Row],[24Final]]</f>
        <v>-4.2911461162411735E-2</v>
      </c>
      <c r="CL105">
        <f>VLOOKUP(Sales[[#This Row],[TNbhd]],Lookups!$M$3:$P$5,4,FALSE)</f>
        <v>0.99970000000000003</v>
      </c>
      <c r="CM105">
        <f>VLOOKUP(Sales[[#This Row],[Qlty]],Lookups!$M$8:$P$22,4,FALSE)</f>
        <v>0.99819999999999998</v>
      </c>
      <c r="CN105">
        <f>VLOOKUP(Sales[[#This Row],[Cnd]],Lookups!$R$8:$U$17,4,FALSE)</f>
        <v>1.0012000000000001</v>
      </c>
      <c r="CO105">
        <f>VLOOKUP(Sales[[#This Row],[LivArea Range]],Lookups!$R$25:$U$43,4,FALSE)</f>
        <v>0.99519999999999997</v>
      </c>
      <c r="CP105">
        <f>VLOOKUP(Sales[[#This Row],[Decade]],Lookups!$M$24:$P$40,4,FALSE)</f>
        <v>1.0024</v>
      </c>
      <c r="CQ105">
        <f>Sales[[#This Row],[Nbhd Adj]]*0.95</f>
        <v>0.94971499999999998</v>
      </c>
      <c r="CR105">
        <f>Sales[[#This Row],[Nbhd Adj]]*Sales[[#This Row],[Quality Adj]]*Sales[[#This Row],[Condition Adj]]*Sales[[#This Row],[Living Area Adj]]*Sales[[#This Row],[Decade Adj]]*0.95</f>
        <v>0.94685424199978463</v>
      </c>
      <c r="CS105">
        <f>ROUND(SUM(Sales[[#This Row],[Mdl Qlty]:[Mdl BltinGar]])+Sales[[#This Row],[Mdl Res Intercept]]*Sales[[#This Row],[Res Adj ]],-2)</f>
        <v>302000</v>
      </c>
      <c r="CT105">
        <f>ROUND(Sales[[#This Row],[25Det]]*Sales[[#This Row],[Det/Nbhd Adj]],-2)</f>
        <v>0</v>
      </c>
      <c r="CU105">
        <f>Sales[[#This Row],[Adjusted Res]]+Sales[[#This Row],[Adj Det ]]</f>
        <v>302000</v>
      </c>
      <c r="CV105">
        <f>ROUND((Sales[[#This Row],[Mdl Land Intercept]]+Sales[[#This Row],[Mdl LnAcres]])*Sales[[#This Row],[Det/Nbhd Adj]],-2)</f>
        <v>61100</v>
      </c>
      <c r="CW105">
        <f>Sales[[#This Row],[Adjusted Impr Total]]+Sales[[#This Row],[Adjusted Land Total]]</f>
        <v>363100</v>
      </c>
      <c r="CX105" s="10">
        <f>IFERROR((Sales[[#This Row],[Adjusted Impr Total]]-Sales[[#This Row],[24Bldg]])/Sales[[#This Row],[24Bldg]],0)</f>
        <v>-1.7566688353936238E-2</v>
      </c>
      <c r="CY105" s="10">
        <f>(Sales[[#This Row],[Adjusted Land Total]]-Sales[[#This Row],[24Lnd]])/Sales[[#This Row],[24Lnd]]</f>
        <v>4.9342105263157892E-3</v>
      </c>
      <c r="CZ105">
        <f>(Sales[[#This Row],[Adjusted Total]]-Sales[[#This Row],[24Final]])/Sales[[#This Row],[24Final]]</f>
        <v>-1.3851167843563281E-2</v>
      </c>
      <c r="DA105" s="10">
        <f>(Sales[[#This Row],[Adjusted Total]]+Sales[[#This Row],[Days Prior Total]])/Sales[[#This Row],[Price]]</f>
        <v>0.99976468468886948</v>
      </c>
    </row>
    <row r="106" spans="1:105">
      <c r="A106">
        <v>2025</v>
      </c>
      <c r="B106">
        <v>19133514415</v>
      </c>
      <c r="C106">
        <v>-1.7719568419318752</v>
      </c>
      <c r="D106">
        <v>0.17</v>
      </c>
      <c r="E106">
        <v>7377</v>
      </c>
      <c r="F106">
        <v>2</v>
      </c>
      <c r="G106" t="s">
        <v>155</v>
      </c>
      <c r="H106">
        <v>317</v>
      </c>
      <c r="I106" t="s">
        <v>5</v>
      </c>
      <c r="J106" t="s">
        <v>212</v>
      </c>
      <c r="K106">
        <v>11</v>
      </c>
      <c r="L106">
        <v>259</v>
      </c>
      <c r="M106" t="s">
        <v>157</v>
      </c>
      <c r="N106" t="s">
        <v>21</v>
      </c>
      <c r="O106" t="s">
        <v>24</v>
      </c>
      <c r="P106">
        <v>2021</v>
      </c>
      <c r="Q106">
        <v>2021</v>
      </c>
      <c r="R106">
        <v>10</v>
      </c>
      <c r="S106">
        <v>3</v>
      </c>
      <c r="T106">
        <v>3</v>
      </c>
      <c r="U106">
        <v>2</v>
      </c>
      <c r="V106">
        <v>1289</v>
      </c>
      <c r="W106">
        <v>1636</v>
      </c>
      <c r="X106">
        <v>0</v>
      </c>
      <c r="Y106">
        <v>0</v>
      </c>
      <c r="Z106">
        <v>0</v>
      </c>
      <c r="AA106">
        <v>0</v>
      </c>
      <c r="AB106">
        <v>2925</v>
      </c>
      <c r="AC106">
        <v>3000</v>
      </c>
      <c r="AD106">
        <v>2</v>
      </c>
      <c r="AE106" t="s">
        <v>56</v>
      </c>
      <c r="AF106" t="s">
        <v>158</v>
      </c>
      <c r="AG106" t="s">
        <v>27</v>
      </c>
      <c r="AI106">
        <v>0</v>
      </c>
      <c r="AJ106">
        <v>0</v>
      </c>
      <c r="AK106">
        <v>0</v>
      </c>
      <c r="AL106">
        <v>0</v>
      </c>
      <c r="AM106">
        <v>1</v>
      </c>
      <c r="AN106">
        <v>14</v>
      </c>
      <c r="AO106">
        <v>0</v>
      </c>
      <c r="AP106">
        <v>494</v>
      </c>
      <c r="AQ106">
        <v>0</v>
      </c>
      <c r="AR106">
        <v>0</v>
      </c>
      <c r="AS106">
        <v>0</v>
      </c>
      <c r="AT106">
        <v>0</v>
      </c>
      <c r="AU106">
        <v>100</v>
      </c>
      <c r="AV106">
        <v>100</v>
      </c>
      <c r="AW106">
        <v>492604</v>
      </c>
      <c r="AX106">
        <v>487678</v>
      </c>
      <c r="AY106">
        <v>816</v>
      </c>
      <c r="AZ106">
        <v>365</v>
      </c>
      <c r="BA106">
        <v>365</v>
      </c>
      <c r="BB106">
        <v>86</v>
      </c>
      <c r="BC106" s="2">
        <v>44476</v>
      </c>
      <c r="BD106" t="s">
        <v>265</v>
      </c>
      <c r="BE106">
        <v>402600</v>
      </c>
      <c r="BF106">
        <v>402600</v>
      </c>
      <c r="BG106" t="s">
        <v>160</v>
      </c>
      <c r="BH106">
        <v>30</v>
      </c>
      <c r="BI106" t="s">
        <v>56</v>
      </c>
      <c r="BJ106" t="s">
        <v>161</v>
      </c>
      <c r="BK106">
        <v>461300</v>
      </c>
      <c r="BL106">
        <v>61700</v>
      </c>
      <c r="BM106">
        <v>399600</v>
      </c>
      <c r="BN106">
        <v>0</v>
      </c>
      <c r="BO106">
        <v>429665.18761231058</v>
      </c>
      <c r="BP106">
        <v>470509.4605421552</v>
      </c>
      <c r="BQ106">
        <f>(Sales[[#This Row],[DP1]]*Lookups!$B$61)+(Sales[[#This Row],[DP2]]*Lookups!$B$62)+(Sales[[#This Row],[DP3]]*Lookups!$B$63)</f>
        <v>-40844.271030999997</v>
      </c>
      <c r="BR106">
        <f>Lookups!$B$58*0.6</f>
        <v>132535.48800000001</v>
      </c>
      <c r="BS106">
        <f>Lookups!$B$58*0.4</f>
        <v>88356.992000000013</v>
      </c>
      <c r="BT106">
        <f>Lookups!$B$59*Sales[[#This Row],[LnAcres]]</f>
        <v>-23255.730391660189</v>
      </c>
      <c r="BU106">
        <f>VLOOKUP(Sales[[#This Row],[Qlty]],Lookups!$A$66:$E$79,2,FALSE)</f>
        <v>32917.849192000001</v>
      </c>
      <c r="BV106">
        <f>VLOOKUP(Sales[[#This Row],[Cnd]],Lookups!$A$80:$E$91,2,FALSE)</f>
        <v>47371.278778200001</v>
      </c>
      <c r="BW106">
        <f>Sales[[#This Row],[EffAge]]*Lookups!$B$65</f>
        <v>-326.22329999999999</v>
      </c>
      <c r="BX106">
        <f>Sales[[#This Row],[MainFn]]*Lookups!$B$90</f>
        <v>80446.979820000008</v>
      </c>
      <c r="BY106">
        <f>Sales[[#This Row],[UpprFn]]*Lookups!$B$91</f>
        <v>97473.506587999989</v>
      </c>
      <c r="BZ106">
        <f>Sales[[#This Row],[Bsmt]]*Lookups!$B$95</f>
        <v>0</v>
      </c>
      <c r="CA106">
        <f>VLOOKUP(Sales[[#This Row],[MsnryTrim]],Lookups!$A$90:$E$99,2,FALSE)</f>
        <v>-9412.7029999999995</v>
      </c>
      <c r="CB106">
        <f>Sales[[#This Row],[PrefabFP]]*Lookups!$B$92</f>
        <v>0</v>
      </c>
      <c r="CC106">
        <f>Sales[[#This Row],[AttGar]]*Lookups!$B$93</f>
        <v>0</v>
      </c>
      <c r="CD106">
        <f>Sales[[#This Row],[BltinGar]]*Lookups!$B$94</f>
        <v>24402.019199999999</v>
      </c>
      <c r="CE106">
        <f>SUM(Sales[[#This Row],[Days Prior Total]:[Mdl BltinGar]])</f>
        <v>429665.18585553986</v>
      </c>
      <c r="CF106">
        <f>ROUND(Sales[[#This Row],[25Det]],-2)</f>
        <v>0</v>
      </c>
      <c r="CG106">
        <f>ROUND(SUM(Sales[[#This Row],[Mdl Qlty]:[Mdl BltinGar]])+Sales[[#This Row],[Mdl Res Intercept]]+Sales[[#This Row],[Days Prior Total]],-2)</f>
        <v>364600</v>
      </c>
      <c r="CH106">
        <f>ROUND(Sales[[#This Row],[Mdl Land Intercept]]+Sales[[#This Row],[Mdl LnAcres]],-2)</f>
        <v>65100</v>
      </c>
      <c r="CI106">
        <f>Sales[[#This Row],[Unadj Res Value]]+Sales[[#This Row],[Unadj Det Value]]+Sales[[#This Row],[Unadj Land Value]]</f>
        <v>429700</v>
      </c>
      <c r="CJ106" s="10">
        <f>Sales[[#This Row],[Price]]/Sales[[#This Row],[Unadj Total Value]]</f>
        <v>0.93693274377472657</v>
      </c>
      <c r="CK106" s="10">
        <f>(Sales[[#This Row],[Unadj Total Value]]-Sales[[#This Row],[24Final]])/Sales[[#This Row],[24Final]]</f>
        <v>-6.8502059397355305E-2</v>
      </c>
      <c r="CL106">
        <f>VLOOKUP(Sales[[#This Row],[TNbhd]],Lookups!$M$3:$P$5,4,FALSE)</f>
        <v>0.99970000000000003</v>
      </c>
      <c r="CM106">
        <f>VLOOKUP(Sales[[#This Row],[Qlty]],Lookups!$M$8:$P$22,4,FALSE)</f>
        <v>1.0019</v>
      </c>
      <c r="CN106">
        <f>VLOOKUP(Sales[[#This Row],[Cnd]],Lookups!$R$8:$U$17,4,FALSE)</f>
        <v>1.0012000000000001</v>
      </c>
      <c r="CO106">
        <f>VLOOKUP(Sales[[#This Row],[LivArea Range]],Lookups!$R$25:$U$43,4,FALSE)</f>
        <v>1.0099</v>
      </c>
      <c r="CP106">
        <f>VLOOKUP(Sales[[#This Row],[Decade]],Lookups!$M$24:$P$40,4,FALSE)</f>
        <v>1.0024</v>
      </c>
      <c r="CQ106">
        <f>Sales[[#This Row],[Nbhd Adj]]*0.95</f>
        <v>0.94971499999999998</v>
      </c>
      <c r="CR106">
        <f>Sales[[#This Row],[Nbhd Adj]]*Sales[[#This Row],[Quality Adj]]*Sales[[#This Row],[Condition Adj]]*Sales[[#This Row],[Living Area Adj]]*Sales[[#This Row],[Decade Adj]]*0.95</f>
        <v>0.96440165084901408</v>
      </c>
      <c r="CS106">
        <f>ROUND(SUM(Sales[[#This Row],[Mdl Qlty]:[Mdl BltinGar]])+Sales[[#This Row],[Mdl Res Intercept]]*Sales[[#This Row],[Res Adj ]],-2)</f>
        <v>400700</v>
      </c>
      <c r="CT106">
        <f>ROUND(Sales[[#This Row],[25Det]]*Sales[[#This Row],[Det/Nbhd Adj]],-2)</f>
        <v>0</v>
      </c>
      <c r="CU106">
        <f>Sales[[#This Row],[Adjusted Res]]+Sales[[#This Row],[Adj Det ]]</f>
        <v>400700</v>
      </c>
      <c r="CV106">
        <f>ROUND((Sales[[#This Row],[Mdl Land Intercept]]+Sales[[#This Row],[Mdl LnAcres]])*Sales[[#This Row],[Det/Nbhd Adj]],-2)</f>
        <v>61800</v>
      </c>
      <c r="CW106">
        <f>Sales[[#This Row],[Adjusted Impr Total]]+Sales[[#This Row],[Adjusted Land Total]]</f>
        <v>462500</v>
      </c>
      <c r="CX106" s="10">
        <f>IFERROR((Sales[[#This Row],[Adjusted Impr Total]]-Sales[[#This Row],[24Bldg]])/Sales[[#This Row],[24Bldg]],0)</f>
        <v>2.7527527527527527E-3</v>
      </c>
      <c r="CY106" s="10">
        <f>(Sales[[#This Row],[Adjusted Land Total]]-Sales[[#This Row],[24Lnd]])/Sales[[#This Row],[24Lnd]]</f>
        <v>1.6207455429497568E-3</v>
      </c>
      <c r="CZ106">
        <f>(Sales[[#This Row],[Adjusted Total]]-Sales[[#This Row],[24Final]])/Sales[[#This Row],[24Final]]</f>
        <v>2.6013440277476698E-3</v>
      </c>
      <c r="DA106" s="10">
        <f>(Sales[[#This Row],[Adjusted Total]]+Sales[[#This Row],[Days Prior Total]])/Sales[[#This Row],[Price]]</f>
        <v>1.047331666589667</v>
      </c>
    </row>
    <row r="107" spans="1:105">
      <c r="A107">
        <v>2025</v>
      </c>
      <c r="B107">
        <v>19133514416</v>
      </c>
      <c r="C107">
        <v>-1.8325814637483102</v>
      </c>
      <c r="D107">
        <v>0.16</v>
      </c>
      <c r="E107">
        <v>7037</v>
      </c>
      <c r="F107">
        <v>2</v>
      </c>
      <c r="G107" t="s">
        <v>155</v>
      </c>
      <c r="H107">
        <v>317</v>
      </c>
      <c r="I107" t="s">
        <v>5</v>
      </c>
      <c r="J107" t="s">
        <v>212</v>
      </c>
      <c r="K107">
        <v>11</v>
      </c>
      <c r="L107">
        <v>259</v>
      </c>
      <c r="M107" t="s">
        <v>157</v>
      </c>
      <c r="N107" t="s">
        <v>21</v>
      </c>
      <c r="O107" t="s">
        <v>24</v>
      </c>
      <c r="P107">
        <v>2021</v>
      </c>
      <c r="Q107">
        <v>2021</v>
      </c>
      <c r="R107">
        <v>10</v>
      </c>
      <c r="S107">
        <v>3</v>
      </c>
      <c r="T107">
        <v>3</v>
      </c>
      <c r="U107">
        <v>2</v>
      </c>
      <c r="V107">
        <v>1073</v>
      </c>
      <c r="W107">
        <v>1331</v>
      </c>
      <c r="X107">
        <v>0</v>
      </c>
      <c r="Y107">
        <v>0</v>
      </c>
      <c r="Z107">
        <v>0</v>
      </c>
      <c r="AA107">
        <v>0</v>
      </c>
      <c r="AB107">
        <v>2404</v>
      </c>
      <c r="AC107">
        <v>2500</v>
      </c>
      <c r="AD107">
        <v>2</v>
      </c>
      <c r="AE107" t="s">
        <v>56</v>
      </c>
      <c r="AF107" t="s">
        <v>158</v>
      </c>
      <c r="AG107" t="s">
        <v>27</v>
      </c>
      <c r="AI107">
        <v>0</v>
      </c>
      <c r="AJ107">
        <v>0</v>
      </c>
      <c r="AK107">
        <v>0</v>
      </c>
      <c r="AL107">
        <v>0</v>
      </c>
      <c r="AM107">
        <v>1</v>
      </c>
      <c r="AN107">
        <v>14</v>
      </c>
      <c r="AO107">
        <v>0</v>
      </c>
      <c r="AP107">
        <v>707</v>
      </c>
      <c r="AQ107">
        <v>0</v>
      </c>
      <c r="AR107">
        <v>0</v>
      </c>
      <c r="AS107">
        <v>0</v>
      </c>
      <c r="AT107">
        <v>0</v>
      </c>
      <c r="AU107">
        <v>100</v>
      </c>
      <c r="AV107">
        <v>100</v>
      </c>
      <c r="AW107">
        <v>437985</v>
      </c>
      <c r="AX107">
        <v>433605</v>
      </c>
      <c r="AY107">
        <v>853</v>
      </c>
      <c r="AZ107">
        <v>365</v>
      </c>
      <c r="BA107">
        <v>365</v>
      </c>
      <c r="BB107">
        <v>123</v>
      </c>
      <c r="BC107" s="2">
        <v>44439</v>
      </c>
      <c r="BD107" t="s">
        <v>266</v>
      </c>
      <c r="BE107">
        <v>365840</v>
      </c>
      <c r="BF107">
        <v>365840</v>
      </c>
      <c r="BG107" t="s">
        <v>160</v>
      </c>
      <c r="BH107">
        <v>30</v>
      </c>
      <c r="BI107" t="s">
        <v>56</v>
      </c>
      <c r="BJ107" t="s">
        <v>161</v>
      </c>
      <c r="BK107">
        <v>453300</v>
      </c>
      <c r="BL107">
        <v>60800</v>
      </c>
      <c r="BM107">
        <v>392500</v>
      </c>
      <c r="BN107">
        <v>0</v>
      </c>
      <c r="BO107">
        <v>399265.41203225526</v>
      </c>
      <c r="BP107">
        <v>448582.66307986109</v>
      </c>
      <c r="BQ107">
        <f>(Sales[[#This Row],[DP1]]*Lookups!$B$61)+(Sales[[#This Row],[DP2]]*Lookups!$B$62)+(Sales[[#This Row],[DP3]]*Lookups!$B$63)</f>
        <v>-49317.248831000004</v>
      </c>
      <c r="BR107">
        <f>Lookups!$B$58*0.6</f>
        <v>132535.48800000001</v>
      </c>
      <c r="BS107">
        <f>Lookups!$B$58*0.4</f>
        <v>88356.992000000013</v>
      </c>
      <c r="BT107">
        <f>Lookups!$B$59*Sales[[#This Row],[LnAcres]]</f>
        <v>-24051.387388882686</v>
      </c>
      <c r="BU107">
        <f>VLOOKUP(Sales[[#This Row],[Qlty]],Lookups!$A$66:$E$79,2,FALSE)</f>
        <v>32917.849192000001</v>
      </c>
      <c r="BV107">
        <f>VLOOKUP(Sales[[#This Row],[Cnd]],Lookups!$A$80:$E$91,2,FALSE)</f>
        <v>47371.278778200001</v>
      </c>
      <c r="BW107">
        <f>Sales[[#This Row],[EffAge]]*Lookups!$B$65</f>
        <v>-326.22329999999999</v>
      </c>
      <c r="BX107">
        <f>Sales[[#This Row],[MainFn]]*Lookups!$B$90</f>
        <v>66966.337740000003</v>
      </c>
      <c r="BY107">
        <f>Sales[[#This Row],[UpprFn]]*Lookups!$B$91</f>
        <v>79301.489772999994</v>
      </c>
      <c r="BZ107">
        <f>Sales[[#This Row],[Bsmt]]*Lookups!$B$95</f>
        <v>0</v>
      </c>
      <c r="CA107">
        <f>VLOOKUP(Sales[[#This Row],[MsnryTrim]],Lookups!$A$90:$E$99,2,FALSE)</f>
        <v>-9412.7029999999995</v>
      </c>
      <c r="CB107">
        <f>Sales[[#This Row],[PrefabFP]]*Lookups!$B$92</f>
        <v>0</v>
      </c>
      <c r="CC107">
        <f>Sales[[#This Row],[AttGar]]*Lookups!$B$93</f>
        <v>0</v>
      </c>
      <c r="CD107">
        <f>Sales[[#This Row],[BltinGar]]*Lookups!$B$94</f>
        <v>34923.537599999996</v>
      </c>
      <c r="CE107">
        <f>SUM(Sales[[#This Row],[Days Prior Total]:[Mdl BltinGar]])</f>
        <v>399265.41056331736</v>
      </c>
      <c r="CF107">
        <f>ROUND(Sales[[#This Row],[25Det]],-2)</f>
        <v>0</v>
      </c>
      <c r="CG107">
        <f>ROUND(SUM(Sales[[#This Row],[Mdl Qlty]:[Mdl BltinGar]])+Sales[[#This Row],[Mdl Res Intercept]]+Sales[[#This Row],[Days Prior Total]],-2)</f>
        <v>335000</v>
      </c>
      <c r="CH107">
        <f>ROUND(Sales[[#This Row],[Mdl Land Intercept]]+Sales[[#This Row],[Mdl LnAcres]],-2)</f>
        <v>64300</v>
      </c>
      <c r="CI107">
        <f>Sales[[#This Row],[Unadj Res Value]]+Sales[[#This Row],[Unadj Det Value]]+Sales[[#This Row],[Unadj Land Value]]</f>
        <v>399300</v>
      </c>
      <c r="CJ107" s="10">
        <f>Sales[[#This Row],[Price]]/Sales[[#This Row],[Unadj Total Value]]</f>
        <v>0.91620335587277735</v>
      </c>
      <c r="CK107" s="10">
        <f>(Sales[[#This Row],[Unadj Total Value]]-Sales[[#This Row],[24Final]])/Sales[[#This Row],[24Final]]</f>
        <v>-0.11912640635340833</v>
      </c>
      <c r="CL107">
        <f>VLOOKUP(Sales[[#This Row],[TNbhd]],Lookups!$M$3:$P$5,4,FALSE)</f>
        <v>0.99970000000000003</v>
      </c>
      <c r="CM107">
        <f>VLOOKUP(Sales[[#This Row],[Qlty]],Lookups!$M$8:$P$22,4,FALSE)</f>
        <v>1.0019</v>
      </c>
      <c r="CN107">
        <f>VLOOKUP(Sales[[#This Row],[Cnd]],Lookups!$R$8:$U$17,4,FALSE)</f>
        <v>1.0012000000000001</v>
      </c>
      <c r="CO107">
        <f>VLOOKUP(Sales[[#This Row],[LivArea Range]],Lookups!$R$25:$U$43,4,FALSE)</f>
        <v>1.0008999999999999</v>
      </c>
      <c r="CP107">
        <f>VLOOKUP(Sales[[#This Row],[Decade]],Lookups!$M$24:$P$40,4,FALSE)</f>
        <v>1.0024</v>
      </c>
      <c r="CQ107">
        <f>Sales[[#This Row],[Nbhd Adj]]*0.95</f>
        <v>0.94971499999999998</v>
      </c>
      <c r="CR107">
        <f>Sales[[#This Row],[Nbhd Adj]]*Sales[[#This Row],[Quality Adj]]*Sales[[#This Row],[Condition Adj]]*Sales[[#This Row],[Living Area Adj]]*Sales[[#This Row],[Decade Adj]]*0.95</f>
        <v>0.95580712182867422</v>
      </c>
      <c r="CS107">
        <f>ROUND(SUM(Sales[[#This Row],[Mdl Qlty]:[Mdl BltinGar]])+Sales[[#This Row],[Mdl Res Intercept]]*Sales[[#This Row],[Res Adj ]],-2)</f>
        <v>378400</v>
      </c>
      <c r="CT107">
        <f>ROUND(Sales[[#This Row],[25Det]]*Sales[[#This Row],[Det/Nbhd Adj]],-2)</f>
        <v>0</v>
      </c>
      <c r="CU107">
        <f>Sales[[#This Row],[Adjusted Res]]+Sales[[#This Row],[Adj Det ]]</f>
        <v>378400</v>
      </c>
      <c r="CV107">
        <f>ROUND((Sales[[#This Row],[Mdl Land Intercept]]+Sales[[#This Row],[Mdl LnAcres]])*Sales[[#This Row],[Det/Nbhd Adj]],-2)</f>
        <v>61100</v>
      </c>
      <c r="CW107">
        <f>Sales[[#This Row],[Adjusted Impr Total]]+Sales[[#This Row],[Adjusted Land Total]]</f>
        <v>439500</v>
      </c>
      <c r="CX107" s="10">
        <f>IFERROR((Sales[[#This Row],[Adjusted Impr Total]]-Sales[[#This Row],[24Bldg]])/Sales[[#This Row],[24Bldg]],0)</f>
        <v>-3.5923566878980892E-2</v>
      </c>
      <c r="CY107" s="10">
        <f>(Sales[[#This Row],[Adjusted Land Total]]-Sales[[#This Row],[24Lnd]])/Sales[[#This Row],[24Lnd]]</f>
        <v>4.9342105263157892E-3</v>
      </c>
      <c r="CZ107">
        <f>(Sales[[#This Row],[Adjusted Total]]-Sales[[#This Row],[24Final]])/Sales[[#This Row],[24Final]]</f>
        <v>-3.0443414956982131E-2</v>
      </c>
      <c r="DA107" s="10">
        <f>(Sales[[#This Row],[Adjusted Total]]+Sales[[#This Row],[Days Prior Total]])/Sales[[#This Row],[Price]]</f>
        <v>1.066539337330527</v>
      </c>
    </row>
    <row r="108" spans="1:105">
      <c r="A108">
        <v>2025</v>
      </c>
      <c r="B108">
        <v>19133514417</v>
      </c>
      <c r="C108">
        <v>-1.8325814637483102</v>
      </c>
      <c r="D108">
        <v>0.16</v>
      </c>
      <c r="E108">
        <v>7060</v>
      </c>
      <c r="F108">
        <v>2</v>
      </c>
      <c r="G108" t="s">
        <v>155</v>
      </c>
      <c r="H108">
        <v>317</v>
      </c>
      <c r="I108" t="s">
        <v>5</v>
      </c>
      <c r="J108" t="s">
        <v>212</v>
      </c>
      <c r="K108">
        <v>11</v>
      </c>
      <c r="L108">
        <v>259</v>
      </c>
      <c r="M108" t="s">
        <v>157</v>
      </c>
      <c r="N108" t="s">
        <v>21</v>
      </c>
      <c r="O108" t="s">
        <v>24</v>
      </c>
      <c r="P108">
        <v>2021</v>
      </c>
      <c r="Q108">
        <v>2021</v>
      </c>
      <c r="R108">
        <v>10</v>
      </c>
      <c r="S108">
        <v>3</v>
      </c>
      <c r="T108">
        <v>3</v>
      </c>
      <c r="U108">
        <v>1</v>
      </c>
      <c r="V108">
        <v>1740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1740</v>
      </c>
      <c r="AC108">
        <v>2000</v>
      </c>
      <c r="AD108">
        <v>2</v>
      </c>
      <c r="AE108" t="s">
        <v>55</v>
      </c>
      <c r="AF108" t="s">
        <v>158</v>
      </c>
      <c r="AG108" t="s">
        <v>27</v>
      </c>
      <c r="AI108">
        <v>0</v>
      </c>
      <c r="AJ108">
        <v>0</v>
      </c>
      <c r="AK108">
        <v>0</v>
      </c>
      <c r="AL108">
        <v>1</v>
      </c>
      <c r="AM108">
        <v>0</v>
      </c>
      <c r="AN108">
        <v>10</v>
      </c>
      <c r="AO108">
        <v>450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100</v>
      </c>
      <c r="AV108">
        <v>100</v>
      </c>
      <c r="AW108">
        <v>345244</v>
      </c>
      <c r="AX108">
        <v>341792</v>
      </c>
      <c r="AY108">
        <v>865</v>
      </c>
      <c r="AZ108">
        <v>365</v>
      </c>
      <c r="BA108">
        <v>365</v>
      </c>
      <c r="BB108">
        <v>135</v>
      </c>
      <c r="BC108" s="2">
        <v>44427</v>
      </c>
      <c r="BD108" t="s">
        <v>267</v>
      </c>
      <c r="BE108">
        <v>341150</v>
      </c>
      <c r="BF108">
        <v>341150</v>
      </c>
      <c r="BG108" t="s">
        <v>160</v>
      </c>
      <c r="BH108">
        <v>30</v>
      </c>
      <c r="BI108" t="s">
        <v>56</v>
      </c>
      <c r="BJ108" t="s">
        <v>161</v>
      </c>
      <c r="BK108">
        <v>393500</v>
      </c>
      <c r="BL108">
        <v>60800</v>
      </c>
      <c r="BM108">
        <v>332700</v>
      </c>
      <c r="BN108">
        <v>0</v>
      </c>
      <c r="BO108">
        <v>354518.10639038897</v>
      </c>
      <c r="BP108">
        <v>406583.35034105252</v>
      </c>
      <c r="BQ108">
        <f>(Sales[[#This Row],[DP1]]*Lookups!$B$61)+(Sales[[#This Row],[DP2]]*Lookups!$B$62)+(Sales[[#This Row],[DP3]]*Lookups!$B$63)</f>
        <v>-52065.241630999997</v>
      </c>
      <c r="BR108">
        <f>Lookups!$B$58*0.6</f>
        <v>132535.48800000001</v>
      </c>
      <c r="BS108">
        <f>Lookups!$B$58*0.4</f>
        <v>88356.992000000013</v>
      </c>
      <c r="BT108">
        <f>Lookups!$B$59*Sales[[#This Row],[LnAcres]]</f>
        <v>-24051.387388882686</v>
      </c>
      <c r="BU108">
        <f>VLOOKUP(Sales[[#This Row],[Qlty]],Lookups!$A$66:$E$79,2,FALSE)</f>
        <v>32917.849192000001</v>
      </c>
      <c r="BV108">
        <f>VLOOKUP(Sales[[#This Row],[Cnd]],Lookups!$A$80:$E$91,2,FALSE)</f>
        <v>47371.278778200001</v>
      </c>
      <c r="BW108">
        <f>Sales[[#This Row],[EffAge]]*Lookups!$B$65</f>
        <v>-326.22329999999999</v>
      </c>
      <c r="BX108">
        <f>Sales[[#This Row],[MainFn]]*Lookups!$B$90</f>
        <v>108594.06120000001</v>
      </c>
      <c r="BY108">
        <f>Sales[[#This Row],[UpprFn]]*Lookups!$B$91</f>
        <v>0</v>
      </c>
      <c r="BZ108">
        <f>Sales[[#This Row],[Bsmt]]*Lookups!$B$95</f>
        <v>0</v>
      </c>
      <c r="CA108">
        <f>VLOOKUP(Sales[[#This Row],[MsnryTrim]],Lookups!$A$90:$E$99,2,FALSE)</f>
        <v>5299.8242</v>
      </c>
      <c r="CB108">
        <f>Sales[[#This Row],[PrefabFP]]*Lookups!$B$92</f>
        <v>0</v>
      </c>
      <c r="CC108">
        <f>Sales[[#This Row],[AttGar]]*Lookups!$B$93</f>
        <v>15885.463950000001</v>
      </c>
      <c r="CD108">
        <f>Sales[[#This Row],[BltinGar]]*Lookups!$B$94</f>
        <v>0</v>
      </c>
      <c r="CE108">
        <f>SUM(Sales[[#This Row],[Days Prior Total]:[Mdl BltinGar]])</f>
        <v>354518.10500031733</v>
      </c>
      <c r="CF108">
        <f>ROUND(Sales[[#This Row],[25Det]],-2)</f>
        <v>0</v>
      </c>
      <c r="CG108">
        <f>ROUND(SUM(Sales[[#This Row],[Mdl Qlty]:[Mdl BltinGar]])+Sales[[#This Row],[Mdl Res Intercept]]+Sales[[#This Row],[Days Prior Total]],-2)</f>
        <v>290200</v>
      </c>
      <c r="CH108">
        <f>ROUND(Sales[[#This Row],[Mdl Land Intercept]]+Sales[[#This Row],[Mdl LnAcres]],-2)</f>
        <v>64300</v>
      </c>
      <c r="CI108">
        <f>Sales[[#This Row],[Unadj Res Value]]+Sales[[#This Row],[Unadj Det Value]]+Sales[[#This Row],[Unadj Land Value]]</f>
        <v>354500</v>
      </c>
      <c r="CJ108" s="10">
        <f>Sales[[#This Row],[Price]]/Sales[[#This Row],[Unadj Total Value]]</f>
        <v>0.9623413258110014</v>
      </c>
      <c r="CK108" s="10">
        <f>(Sales[[#This Row],[Unadj Total Value]]-Sales[[#This Row],[24Final]])/Sales[[#This Row],[24Final]]</f>
        <v>-9.9110546378653117E-2</v>
      </c>
      <c r="CL108">
        <f>VLOOKUP(Sales[[#This Row],[TNbhd]],Lookups!$M$3:$P$5,4,FALSE)</f>
        <v>0.99970000000000003</v>
      </c>
      <c r="CM108">
        <f>VLOOKUP(Sales[[#This Row],[Qlty]],Lookups!$M$8:$P$22,4,FALSE)</f>
        <v>1.0019</v>
      </c>
      <c r="CN108">
        <f>VLOOKUP(Sales[[#This Row],[Cnd]],Lookups!$R$8:$U$17,4,FALSE)</f>
        <v>1.0012000000000001</v>
      </c>
      <c r="CO108">
        <f>VLOOKUP(Sales[[#This Row],[LivArea Range]],Lookups!$R$25:$U$43,4,FALSE)</f>
        <v>1.0007999999999999</v>
      </c>
      <c r="CP108">
        <f>VLOOKUP(Sales[[#This Row],[Decade]],Lookups!$M$24:$P$40,4,FALSE)</f>
        <v>1.0024</v>
      </c>
      <c r="CQ108">
        <f>Sales[[#This Row],[Nbhd Adj]]*0.95</f>
        <v>0.94971499999999998</v>
      </c>
      <c r="CR108">
        <f>Sales[[#This Row],[Nbhd Adj]]*Sales[[#This Row],[Quality Adj]]*Sales[[#This Row],[Condition Adj]]*Sales[[#This Row],[Living Area Adj]]*Sales[[#This Row],[Decade Adj]]*0.95</f>
        <v>0.95571162706178159</v>
      </c>
      <c r="CS108">
        <f>ROUND(SUM(Sales[[#This Row],[Mdl Qlty]:[Mdl BltinGar]])+Sales[[#This Row],[Mdl Res Intercept]]*Sales[[#This Row],[Res Adj ]],-2)</f>
        <v>336400</v>
      </c>
      <c r="CT108">
        <f>ROUND(Sales[[#This Row],[25Det]]*Sales[[#This Row],[Det/Nbhd Adj]],-2)</f>
        <v>0</v>
      </c>
      <c r="CU108">
        <f>Sales[[#This Row],[Adjusted Res]]+Sales[[#This Row],[Adj Det ]]</f>
        <v>336400</v>
      </c>
      <c r="CV108">
        <f>ROUND((Sales[[#This Row],[Mdl Land Intercept]]+Sales[[#This Row],[Mdl LnAcres]])*Sales[[#This Row],[Det/Nbhd Adj]],-2)</f>
        <v>61100</v>
      </c>
      <c r="CW108">
        <f>Sales[[#This Row],[Adjusted Impr Total]]+Sales[[#This Row],[Adjusted Land Total]]</f>
        <v>397500</v>
      </c>
      <c r="CX108" s="10">
        <f>IFERROR((Sales[[#This Row],[Adjusted Impr Total]]-Sales[[#This Row],[24Bldg]])/Sales[[#This Row],[24Bldg]],0)</f>
        <v>1.1121130147279832E-2</v>
      </c>
      <c r="CY108" s="10">
        <f>(Sales[[#This Row],[Adjusted Land Total]]-Sales[[#This Row],[24Lnd]])/Sales[[#This Row],[24Lnd]]</f>
        <v>4.9342105263157892E-3</v>
      </c>
      <c r="CZ108">
        <f>(Sales[[#This Row],[Adjusted Total]]-Sales[[#This Row],[24Final]])/Sales[[#This Row],[24Final]]</f>
        <v>1.0165184243964422E-2</v>
      </c>
      <c r="DA108" s="10">
        <f>(Sales[[#This Row],[Adjusted Total]]+Sales[[#This Row],[Days Prior Total]])/Sales[[#This Row],[Price]]</f>
        <v>1.0125597489931115</v>
      </c>
    </row>
    <row r="109" spans="1:105">
      <c r="A109">
        <v>2025</v>
      </c>
      <c r="B109">
        <v>19133514418</v>
      </c>
      <c r="C109">
        <v>-1.8325814637483102</v>
      </c>
      <c r="D109">
        <v>0.16</v>
      </c>
      <c r="E109">
        <v>7043</v>
      </c>
      <c r="F109">
        <v>2</v>
      </c>
      <c r="G109" t="s">
        <v>155</v>
      </c>
      <c r="H109">
        <v>317</v>
      </c>
      <c r="I109" t="s">
        <v>5</v>
      </c>
      <c r="J109" t="s">
        <v>212</v>
      </c>
      <c r="K109">
        <v>11</v>
      </c>
      <c r="L109">
        <v>259</v>
      </c>
      <c r="M109" t="s">
        <v>157</v>
      </c>
      <c r="N109" t="s">
        <v>21</v>
      </c>
      <c r="O109" t="s">
        <v>24</v>
      </c>
      <c r="P109">
        <v>2021</v>
      </c>
      <c r="Q109">
        <v>2021</v>
      </c>
      <c r="R109">
        <v>10</v>
      </c>
      <c r="S109">
        <v>3</v>
      </c>
      <c r="T109">
        <v>3</v>
      </c>
      <c r="U109">
        <v>1</v>
      </c>
      <c r="V109">
        <v>1550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1550</v>
      </c>
      <c r="AC109">
        <v>2000</v>
      </c>
      <c r="AD109">
        <v>2</v>
      </c>
      <c r="AE109" t="s">
        <v>56</v>
      </c>
      <c r="AF109" t="s">
        <v>158</v>
      </c>
      <c r="AG109" t="s">
        <v>27</v>
      </c>
      <c r="AI109">
        <v>0</v>
      </c>
      <c r="AJ109">
        <v>0</v>
      </c>
      <c r="AK109">
        <v>0</v>
      </c>
      <c r="AL109">
        <v>1</v>
      </c>
      <c r="AM109">
        <v>0</v>
      </c>
      <c r="AN109">
        <v>10</v>
      </c>
      <c r="AO109">
        <v>420</v>
      </c>
      <c r="AP109">
        <v>0</v>
      </c>
      <c r="AQ109">
        <v>0</v>
      </c>
      <c r="AR109">
        <v>0</v>
      </c>
      <c r="AS109">
        <v>144</v>
      </c>
      <c r="AT109">
        <v>0</v>
      </c>
      <c r="AU109">
        <v>100</v>
      </c>
      <c r="AV109">
        <v>100</v>
      </c>
      <c r="AW109">
        <v>310143</v>
      </c>
      <c r="AX109">
        <v>307042</v>
      </c>
      <c r="AY109">
        <v>818</v>
      </c>
      <c r="AZ109">
        <v>365</v>
      </c>
      <c r="BA109">
        <v>365</v>
      </c>
      <c r="BB109">
        <v>88</v>
      </c>
      <c r="BC109" s="2">
        <v>44474</v>
      </c>
      <c r="BD109" t="s">
        <v>268</v>
      </c>
      <c r="BE109">
        <v>303580</v>
      </c>
      <c r="BF109">
        <v>303580</v>
      </c>
      <c r="BG109" t="s">
        <v>160</v>
      </c>
      <c r="BH109">
        <v>30</v>
      </c>
      <c r="BI109" t="s">
        <v>56</v>
      </c>
      <c r="BJ109" t="s">
        <v>161</v>
      </c>
      <c r="BK109">
        <v>374200</v>
      </c>
      <c r="BL109">
        <v>60800</v>
      </c>
      <c r="BM109">
        <v>313400</v>
      </c>
      <c r="BN109">
        <v>0</v>
      </c>
      <c r="BO109">
        <v>337651.54867703898</v>
      </c>
      <c r="BP109">
        <v>378953.82042405987</v>
      </c>
      <c r="BQ109">
        <f>(Sales[[#This Row],[DP1]]*Lookups!$B$61)+(Sales[[#This Row],[DP2]]*Lookups!$B$62)+(Sales[[#This Row],[DP3]]*Lookups!$B$63)</f>
        <v>-41302.269830999998</v>
      </c>
      <c r="BR109">
        <f>Lookups!$B$58*0.6</f>
        <v>132535.48800000001</v>
      </c>
      <c r="BS109">
        <f>Lookups!$B$58*0.4</f>
        <v>88356.992000000013</v>
      </c>
      <c r="BT109">
        <f>Lookups!$B$59*Sales[[#This Row],[LnAcres]]</f>
        <v>-24051.387388882686</v>
      </c>
      <c r="BU109">
        <f>VLOOKUP(Sales[[#This Row],[Qlty]],Lookups!$A$66:$E$79,2,FALSE)</f>
        <v>32917.849192000001</v>
      </c>
      <c r="BV109">
        <f>VLOOKUP(Sales[[#This Row],[Cnd]],Lookups!$A$80:$E$91,2,FALSE)</f>
        <v>47371.278778200001</v>
      </c>
      <c r="BW109">
        <f>Sales[[#This Row],[EffAge]]*Lookups!$B$65</f>
        <v>-326.22329999999999</v>
      </c>
      <c r="BX109">
        <f>Sales[[#This Row],[MainFn]]*Lookups!$B$90</f>
        <v>96736.089000000007</v>
      </c>
      <c r="BY109">
        <f>Sales[[#This Row],[UpprFn]]*Lookups!$B$91</f>
        <v>0</v>
      </c>
      <c r="BZ109">
        <f>Sales[[#This Row],[Bsmt]]*Lookups!$B$95</f>
        <v>0</v>
      </c>
      <c r="CA109">
        <f>VLOOKUP(Sales[[#This Row],[MsnryTrim]],Lookups!$A$90:$E$99,2,FALSE)</f>
        <v>-9412.7029999999995</v>
      </c>
      <c r="CB109">
        <f>Sales[[#This Row],[PrefabFP]]*Lookups!$B$92</f>
        <v>0</v>
      </c>
      <c r="CC109">
        <f>Sales[[#This Row],[AttGar]]*Lookups!$B$93</f>
        <v>14826.43302</v>
      </c>
      <c r="CD109">
        <f>Sales[[#This Row],[BltinGar]]*Lookups!$B$94</f>
        <v>0</v>
      </c>
      <c r="CE109">
        <f>SUM(Sales[[#This Row],[Days Prior Total]:[Mdl BltinGar]])</f>
        <v>337651.54647031735</v>
      </c>
      <c r="CF109">
        <f>ROUND(Sales[[#This Row],[25Det]],-2)</f>
        <v>0</v>
      </c>
      <c r="CG109">
        <f>ROUND(SUM(Sales[[#This Row],[Mdl Qlty]:[Mdl BltinGar]])+Sales[[#This Row],[Mdl Res Intercept]]+Sales[[#This Row],[Days Prior Total]],-2)</f>
        <v>273300</v>
      </c>
      <c r="CH109">
        <f>ROUND(Sales[[#This Row],[Mdl Land Intercept]]+Sales[[#This Row],[Mdl LnAcres]],-2)</f>
        <v>64300</v>
      </c>
      <c r="CI109">
        <f>Sales[[#This Row],[Unadj Res Value]]+Sales[[#This Row],[Unadj Det Value]]+Sales[[#This Row],[Unadj Land Value]]</f>
        <v>337600</v>
      </c>
      <c r="CJ109" s="10">
        <f>Sales[[#This Row],[Price]]/Sales[[#This Row],[Unadj Total Value]]</f>
        <v>0.89922985781990517</v>
      </c>
      <c r="CK109" s="10">
        <f>(Sales[[#This Row],[Unadj Total Value]]-Sales[[#This Row],[24Final]])/Sales[[#This Row],[24Final]]</f>
        <v>-9.7808658471405671E-2</v>
      </c>
      <c r="CL109">
        <f>VLOOKUP(Sales[[#This Row],[TNbhd]],Lookups!$M$3:$P$5,4,FALSE)</f>
        <v>0.99970000000000003</v>
      </c>
      <c r="CM109">
        <f>VLOOKUP(Sales[[#This Row],[Qlty]],Lookups!$M$8:$P$22,4,FALSE)</f>
        <v>1.0019</v>
      </c>
      <c r="CN109">
        <f>VLOOKUP(Sales[[#This Row],[Cnd]],Lookups!$R$8:$U$17,4,FALSE)</f>
        <v>1.0012000000000001</v>
      </c>
      <c r="CO109">
        <f>VLOOKUP(Sales[[#This Row],[LivArea Range]],Lookups!$R$25:$U$43,4,FALSE)</f>
        <v>1.0007999999999999</v>
      </c>
      <c r="CP109">
        <f>VLOOKUP(Sales[[#This Row],[Decade]],Lookups!$M$24:$P$40,4,FALSE)</f>
        <v>1.0024</v>
      </c>
      <c r="CQ109">
        <f>Sales[[#This Row],[Nbhd Adj]]*0.95</f>
        <v>0.94971499999999998</v>
      </c>
      <c r="CR109">
        <f>Sales[[#This Row],[Nbhd Adj]]*Sales[[#This Row],[Quality Adj]]*Sales[[#This Row],[Condition Adj]]*Sales[[#This Row],[Living Area Adj]]*Sales[[#This Row],[Decade Adj]]*0.95</f>
        <v>0.95571162706178159</v>
      </c>
      <c r="CS109">
        <f>ROUND(SUM(Sales[[#This Row],[Mdl Qlty]:[Mdl BltinGar]])+Sales[[#This Row],[Mdl Res Intercept]]*Sales[[#This Row],[Res Adj ]],-2)</f>
        <v>308800</v>
      </c>
      <c r="CT109">
        <f>ROUND(Sales[[#This Row],[25Det]]*Sales[[#This Row],[Det/Nbhd Adj]],-2)</f>
        <v>0</v>
      </c>
      <c r="CU109">
        <f>Sales[[#This Row],[Adjusted Res]]+Sales[[#This Row],[Adj Det ]]</f>
        <v>308800</v>
      </c>
      <c r="CV109">
        <f>ROUND((Sales[[#This Row],[Mdl Land Intercept]]+Sales[[#This Row],[Mdl LnAcres]])*Sales[[#This Row],[Det/Nbhd Adj]],-2)</f>
        <v>61100</v>
      </c>
      <c r="CW109">
        <f>Sales[[#This Row],[Adjusted Impr Total]]+Sales[[#This Row],[Adjusted Land Total]]</f>
        <v>369900</v>
      </c>
      <c r="CX109" s="10">
        <f>IFERROR((Sales[[#This Row],[Adjusted Impr Total]]-Sales[[#This Row],[24Bldg]])/Sales[[#This Row],[24Bldg]],0)</f>
        <v>-1.4677728142948309E-2</v>
      </c>
      <c r="CY109" s="10">
        <f>(Sales[[#This Row],[Adjusted Land Total]]-Sales[[#This Row],[24Lnd]])/Sales[[#This Row],[24Lnd]]</f>
        <v>4.9342105263157892E-3</v>
      </c>
      <c r="CZ109">
        <f>(Sales[[#This Row],[Adjusted Total]]-Sales[[#This Row],[24Final]])/Sales[[#This Row],[24Final]]</f>
        <v>-1.1491181186531267E-2</v>
      </c>
      <c r="DA109" s="10">
        <f>(Sales[[#This Row],[Adjusted Total]]+Sales[[#This Row],[Days Prior Total]])/Sales[[#This Row],[Price]]</f>
        <v>1.0824090195961524</v>
      </c>
    </row>
    <row r="110" spans="1:105">
      <c r="A110">
        <v>2025</v>
      </c>
      <c r="B110">
        <v>19133514420</v>
      </c>
      <c r="C110">
        <v>-1.5141277326297755</v>
      </c>
      <c r="D110">
        <v>0.22</v>
      </c>
      <c r="E110">
        <v>9558</v>
      </c>
      <c r="F110">
        <v>2</v>
      </c>
      <c r="G110" t="s">
        <v>155</v>
      </c>
      <c r="H110">
        <v>317</v>
      </c>
      <c r="I110" t="s">
        <v>5</v>
      </c>
      <c r="J110" t="s">
        <v>212</v>
      </c>
      <c r="K110">
        <v>11</v>
      </c>
      <c r="L110">
        <v>259</v>
      </c>
      <c r="M110" t="s">
        <v>157</v>
      </c>
      <c r="N110" t="s">
        <v>21</v>
      </c>
      <c r="O110" t="s">
        <v>24</v>
      </c>
      <c r="P110">
        <v>2021</v>
      </c>
      <c r="Q110">
        <v>2021</v>
      </c>
      <c r="R110">
        <v>10</v>
      </c>
      <c r="S110">
        <v>3</v>
      </c>
      <c r="T110">
        <v>3</v>
      </c>
      <c r="U110">
        <v>1</v>
      </c>
      <c r="V110">
        <v>1740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1740</v>
      </c>
      <c r="AC110">
        <v>2000</v>
      </c>
      <c r="AD110">
        <v>2</v>
      </c>
      <c r="AE110" t="s">
        <v>56</v>
      </c>
      <c r="AF110" t="s">
        <v>158</v>
      </c>
      <c r="AG110" t="s">
        <v>27</v>
      </c>
      <c r="AI110">
        <v>0</v>
      </c>
      <c r="AJ110">
        <v>0</v>
      </c>
      <c r="AK110">
        <v>0</v>
      </c>
      <c r="AL110">
        <v>1</v>
      </c>
      <c r="AM110">
        <v>0</v>
      </c>
      <c r="AN110">
        <v>10</v>
      </c>
      <c r="AO110">
        <v>450</v>
      </c>
      <c r="AP110">
        <v>0</v>
      </c>
      <c r="AQ110">
        <v>0</v>
      </c>
      <c r="AR110">
        <v>0</v>
      </c>
      <c r="AS110">
        <v>144</v>
      </c>
      <c r="AT110">
        <v>0</v>
      </c>
      <c r="AU110">
        <v>100</v>
      </c>
      <c r="AV110">
        <v>100</v>
      </c>
      <c r="AW110">
        <v>339934</v>
      </c>
      <c r="AX110">
        <v>336535</v>
      </c>
      <c r="AY110">
        <v>769</v>
      </c>
      <c r="AZ110">
        <v>365</v>
      </c>
      <c r="BA110">
        <v>365</v>
      </c>
      <c r="BB110">
        <v>39</v>
      </c>
      <c r="BC110" s="2">
        <v>44523</v>
      </c>
      <c r="BD110" t="s">
        <v>269</v>
      </c>
      <c r="BE110">
        <v>364900</v>
      </c>
      <c r="BF110">
        <v>364900</v>
      </c>
      <c r="BG110" t="s">
        <v>160</v>
      </c>
      <c r="BH110">
        <v>30</v>
      </c>
      <c r="BI110" t="s">
        <v>56</v>
      </c>
      <c r="BJ110" t="s">
        <v>161</v>
      </c>
      <c r="BK110">
        <v>388800</v>
      </c>
      <c r="BL110">
        <v>65300</v>
      </c>
      <c r="BM110">
        <v>323500</v>
      </c>
      <c r="BN110">
        <v>0</v>
      </c>
      <c r="BO110">
        <v>365969.01176733308</v>
      </c>
      <c r="BP110">
        <v>396050.31249353499</v>
      </c>
      <c r="BQ110">
        <f>(Sales[[#This Row],[DP1]]*Lookups!$B$61)+(Sales[[#This Row],[DP2]]*Lookups!$B$62)+(Sales[[#This Row],[DP3]]*Lookups!$B$63)</f>
        <v>-30081.299230999997</v>
      </c>
      <c r="BR110">
        <f>Lookups!$B$58*0.6</f>
        <v>132535.48800000001</v>
      </c>
      <c r="BS110">
        <f>Lookups!$B$58*0.4</f>
        <v>88356.992000000013</v>
      </c>
      <c r="BT110">
        <f>Lookups!$B$59*Sales[[#This Row],[LnAcres]]</f>
        <v>-19871.898398035348</v>
      </c>
      <c r="BU110">
        <f>VLOOKUP(Sales[[#This Row],[Qlty]],Lookups!$A$66:$E$79,2,FALSE)</f>
        <v>32917.849192000001</v>
      </c>
      <c r="BV110">
        <f>VLOOKUP(Sales[[#This Row],[Cnd]],Lookups!$A$80:$E$91,2,FALSE)</f>
        <v>47371.278778200001</v>
      </c>
      <c r="BW110">
        <f>Sales[[#This Row],[EffAge]]*Lookups!$B$65</f>
        <v>-326.22329999999999</v>
      </c>
      <c r="BX110">
        <f>Sales[[#This Row],[MainFn]]*Lookups!$B$90</f>
        <v>108594.06120000001</v>
      </c>
      <c r="BY110">
        <f>Sales[[#This Row],[UpprFn]]*Lookups!$B$91</f>
        <v>0</v>
      </c>
      <c r="BZ110">
        <f>Sales[[#This Row],[Bsmt]]*Lookups!$B$95</f>
        <v>0</v>
      </c>
      <c r="CA110">
        <f>VLOOKUP(Sales[[#This Row],[MsnryTrim]],Lookups!$A$90:$E$99,2,FALSE)</f>
        <v>-9412.7029999999995</v>
      </c>
      <c r="CB110">
        <f>Sales[[#This Row],[PrefabFP]]*Lookups!$B$92</f>
        <v>0</v>
      </c>
      <c r="CC110">
        <f>Sales[[#This Row],[AttGar]]*Lookups!$B$93</f>
        <v>15885.463950000001</v>
      </c>
      <c r="CD110">
        <f>Sales[[#This Row],[BltinGar]]*Lookups!$B$94</f>
        <v>0</v>
      </c>
      <c r="CE110">
        <f>SUM(Sales[[#This Row],[Days Prior Total]:[Mdl BltinGar]])</f>
        <v>365969.00919116469</v>
      </c>
      <c r="CF110">
        <f>ROUND(Sales[[#This Row],[25Det]],-2)</f>
        <v>0</v>
      </c>
      <c r="CG110">
        <f>ROUND(SUM(Sales[[#This Row],[Mdl Qlty]:[Mdl BltinGar]])+Sales[[#This Row],[Mdl Res Intercept]]+Sales[[#This Row],[Days Prior Total]],-2)</f>
        <v>297500</v>
      </c>
      <c r="CH110">
        <f>ROUND(Sales[[#This Row],[Mdl Land Intercept]]+Sales[[#This Row],[Mdl LnAcres]],-2)</f>
        <v>68500</v>
      </c>
      <c r="CI110">
        <f>Sales[[#This Row],[Unadj Res Value]]+Sales[[#This Row],[Unadj Det Value]]+Sales[[#This Row],[Unadj Land Value]]</f>
        <v>366000</v>
      </c>
      <c r="CJ110" s="10">
        <f>Sales[[#This Row],[Price]]/Sales[[#This Row],[Unadj Total Value]]</f>
        <v>0.99699453551912565</v>
      </c>
      <c r="CK110" s="10">
        <f>(Sales[[#This Row],[Unadj Total Value]]-Sales[[#This Row],[24Final]])/Sales[[#This Row],[24Final]]</f>
        <v>-5.8641975308641972E-2</v>
      </c>
      <c r="CL110">
        <f>VLOOKUP(Sales[[#This Row],[TNbhd]],Lookups!$M$3:$P$5,4,FALSE)</f>
        <v>0.99970000000000003</v>
      </c>
      <c r="CM110">
        <f>VLOOKUP(Sales[[#This Row],[Qlty]],Lookups!$M$8:$P$22,4,FALSE)</f>
        <v>1.0019</v>
      </c>
      <c r="CN110">
        <f>VLOOKUP(Sales[[#This Row],[Cnd]],Lookups!$R$8:$U$17,4,FALSE)</f>
        <v>1.0012000000000001</v>
      </c>
      <c r="CO110">
        <f>VLOOKUP(Sales[[#This Row],[LivArea Range]],Lookups!$R$25:$U$43,4,FALSE)</f>
        <v>1.0007999999999999</v>
      </c>
      <c r="CP110">
        <f>VLOOKUP(Sales[[#This Row],[Decade]],Lookups!$M$24:$P$40,4,FALSE)</f>
        <v>1.0024</v>
      </c>
      <c r="CQ110">
        <f>Sales[[#This Row],[Nbhd Adj]]*0.95</f>
        <v>0.94971499999999998</v>
      </c>
      <c r="CR110">
        <f>Sales[[#This Row],[Nbhd Adj]]*Sales[[#This Row],[Quality Adj]]*Sales[[#This Row],[Condition Adj]]*Sales[[#This Row],[Living Area Adj]]*Sales[[#This Row],[Decade Adj]]*0.95</f>
        <v>0.95571162706178159</v>
      </c>
      <c r="CS110">
        <f>ROUND(SUM(Sales[[#This Row],[Mdl Qlty]:[Mdl BltinGar]])+Sales[[#This Row],[Mdl Res Intercept]]*Sales[[#This Row],[Res Adj ]],-2)</f>
        <v>321700</v>
      </c>
      <c r="CT110">
        <f>ROUND(Sales[[#This Row],[25Det]]*Sales[[#This Row],[Det/Nbhd Adj]],-2)</f>
        <v>0</v>
      </c>
      <c r="CU110">
        <f>Sales[[#This Row],[Adjusted Res]]+Sales[[#This Row],[Adj Det ]]</f>
        <v>321700</v>
      </c>
      <c r="CV110">
        <f>ROUND((Sales[[#This Row],[Mdl Land Intercept]]+Sales[[#This Row],[Mdl LnAcres]])*Sales[[#This Row],[Det/Nbhd Adj]],-2)</f>
        <v>65000</v>
      </c>
      <c r="CW110">
        <f>Sales[[#This Row],[Adjusted Impr Total]]+Sales[[#This Row],[Adjusted Land Total]]</f>
        <v>386700</v>
      </c>
      <c r="CX110" s="10">
        <f>IFERROR((Sales[[#This Row],[Adjusted Impr Total]]-Sales[[#This Row],[24Bldg]])/Sales[[#This Row],[24Bldg]],0)</f>
        <v>-5.5641421947449764E-3</v>
      </c>
      <c r="CY110" s="10">
        <f>(Sales[[#This Row],[Adjusted Land Total]]-Sales[[#This Row],[24Lnd]])/Sales[[#This Row],[24Lnd]]</f>
        <v>-4.5941807044410417E-3</v>
      </c>
      <c r="CZ110">
        <f>(Sales[[#This Row],[Adjusted Total]]-Sales[[#This Row],[24Final]])/Sales[[#This Row],[24Final]]</f>
        <v>-5.4012345679012343E-3</v>
      </c>
      <c r="DA110" s="10">
        <f>(Sales[[#This Row],[Adjusted Total]]+Sales[[#This Row],[Days Prior Total]])/Sales[[#This Row],[Price]]</f>
        <v>0.97730529122773357</v>
      </c>
    </row>
    <row r="111" spans="1:105">
      <c r="A111">
        <v>2025</v>
      </c>
      <c r="B111">
        <v>19133514421</v>
      </c>
      <c r="C111">
        <v>-1.6094379124341003</v>
      </c>
      <c r="D111">
        <v>0.2</v>
      </c>
      <c r="E111">
        <v>8817</v>
      </c>
      <c r="F111">
        <v>2</v>
      </c>
      <c r="G111" t="s">
        <v>155</v>
      </c>
      <c r="H111">
        <v>317</v>
      </c>
      <c r="I111" t="s">
        <v>5</v>
      </c>
      <c r="J111" t="s">
        <v>212</v>
      </c>
      <c r="K111">
        <v>11</v>
      </c>
      <c r="L111">
        <v>259</v>
      </c>
      <c r="M111" t="s">
        <v>157</v>
      </c>
      <c r="N111" t="s">
        <v>21</v>
      </c>
      <c r="O111" t="s">
        <v>24</v>
      </c>
      <c r="P111">
        <v>2021</v>
      </c>
      <c r="Q111">
        <v>2021</v>
      </c>
      <c r="R111">
        <v>10</v>
      </c>
      <c r="S111">
        <v>3</v>
      </c>
      <c r="T111">
        <v>3</v>
      </c>
      <c r="U111">
        <v>2</v>
      </c>
      <c r="V111">
        <v>1073</v>
      </c>
      <c r="W111">
        <v>1331</v>
      </c>
      <c r="X111">
        <v>0</v>
      </c>
      <c r="Y111">
        <v>0</v>
      </c>
      <c r="Z111">
        <v>0</v>
      </c>
      <c r="AA111">
        <v>0</v>
      </c>
      <c r="AB111">
        <v>2404</v>
      </c>
      <c r="AC111">
        <v>2500</v>
      </c>
      <c r="AD111">
        <v>2</v>
      </c>
      <c r="AE111" t="s">
        <v>56</v>
      </c>
      <c r="AF111" t="s">
        <v>158</v>
      </c>
      <c r="AG111" t="s">
        <v>27</v>
      </c>
      <c r="AI111">
        <v>0</v>
      </c>
      <c r="AJ111">
        <v>0</v>
      </c>
      <c r="AK111">
        <v>0</v>
      </c>
      <c r="AL111">
        <v>0</v>
      </c>
      <c r="AM111">
        <v>1</v>
      </c>
      <c r="AN111">
        <v>14</v>
      </c>
      <c r="AO111">
        <v>0</v>
      </c>
      <c r="AP111">
        <v>707</v>
      </c>
      <c r="AQ111">
        <v>0</v>
      </c>
      <c r="AR111">
        <v>0</v>
      </c>
      <c r="AS111">
        <v>288</v>
      </c>
      <c r="AT111">
        <v>0</v>
      </c>
      <c r="AU111">
        <v>100</v>
      </c>
      <c r="AV111">
        <v>100</v>
      </c>
      <c r="AW111">
        <v>435087</v>
      </c>
      <c r="AX111">
        <v>430736</v>
      </c>
      <c r="AY111">
        <v>935</v>
      </c>
      <c r="AZ111">
        <v>365</v>
      </c>
      <c r="BA111">
        <v>365</v>
      </c>
      <c r="BB111">
        <v>205</v>
      </c>
      <c r="BC111" s="2">
        <v>44357</v>
      </c>
      <c r="BD111" t="s">
        <v>270</v>
      </c>
      <c r="BE111">
        <v>370658</v>
      </c>
      <c r="BF111">
        <v>370658</v>
      </c>
      <c r="BG111" t="s">
        <v>160</v>
      </c>
      <c r="BH111">
        <v>30</v>
      </c>
      <c r="BI111" t="s">
        <v>56</v>
      </c>
      <c r="BJ111" t="s">
        <v>161</v>
      </c>
      <c r="BK111">
        <v>443000</v>
      </c>
      <c r="BL111">
        <v>64000</v>
      </c>
      <c r="BM111">
        <v>379000</v>
      </c>
      <c r="BN111">
        <v>0</v>
      </c>
      <c r="BO111">
        <v>383416.06809296424</v>
      </c>
      <c r="BP111">
        <v>451511.27064479783</v>
      </c>
      <c r="BQ111">
        <f>(Sales[[#This Row],[DP1]]*Lookups!$B$61)+(Sales[[#This Row],[DP2]]*Lookups!$B$62)+(Sales[[#This Row],[DP3]]*Lookups!$B$63)</f>
        <v>-68095.199630999996</v>
      </c>
      <c r="BR111">
        <f>Lookups!$B$58*0.6</f>
        <v>132535.48800000001</v>
      </c>
      <c r="BS111">
        <f>Lookups!$B$58*0.4</f>
        <v>88356.992000000013</v>
      </c>
      <c r="BT111">
        <f>Lookups!$B$59*Sales[[#This Row],[LnAcres]]</f>
        <v>-21122.779792355024</v>
      </c>
      <c r="BU111">
        <f>VLOOKUP(Sales[[#This Row],[Qlty]],Lookups!$A$66:$E$79,2,FALSE)</f>
        <v>32917.849192000001</v>
      </c>
      <c r="BV111">
        <f>VLOOKUP(Sales[[#This Row],[Cnd]],Lookups!$A$80:$E$91,2,FALSE)</f>
        <v>47371.278778200001</v>
      </c>
      <c r="BW111">
        <f>Sales[[#This Row],[EffAge]]*Lookups!$B$65</f>
        <v>-326.22329999999999</v>
      </c>
      <c r="BX111">
        <f>Sales[[#This Row],[MainFn]]*Lookups!$B$90</f>
        <v>66966.337740000003</v>
      </c>
      <c r="BY111">
        <f>Sales[[#This Row],[UpprFn]]*Lookups!$B$91</f>
        <v>79301.489772999994</v>
      </c>
      <c r="BZ111">
        <f>Sales[[#This Row],[Bsmt]]*Lookups!$B$95</f>
        <v>0</v>
      </c>
      <c r="CA111">
        <f>VLOOKUP(Sales[[#This Row],[MsnryTrim]],Lookups!$A$90:$E$99,2,FALSE)</f>
        <v>-9412.7029999999995</v>
      </c>
      <c r="CB111">
        <f>Sales[[#This Row],[PrefabFP]]*Lookups!$B$92</f>
        <v>0</v>
      </c>
      <c r="CC111">
        <f>Sales[[#This Row],[AttGar]]*Lookups!$B$93</f>
        <v>0</v>
      </c>
      <c r="CD111">
        <f>Sales[[#This Row],[BltinGar]]*Lookups!$B$94</f>
        <v>34923.537599999996</v>
      </c>
      <c r="CE111">
        <f>SUM(Sales[[#This Row],[Days Prior Total]:[Mdl BltinGar]])</f>
        <v>383416.06735984504</v>
      </c>
      <c r="CF111">
        <f>ROUND(Sales[[#This Row],[25Det]],-2)</f>
        <v>0</v>
      </c>
      <c r="CG111">
        <f>ROUND(SUM(Sales[[#This Row],[Mdl Qlty]:[Mdl BltinGar]])+Sales[[#This Row],[Mdl Res Intercept]]+Sales[[#This Row],[Days Prior Total]],-2)</f>
        <v>316200</v>
      </c>
      <c r="CH111">
        <f>ROUND(Sales[[#This Row],[Mdl Land Intercept]]+Sales[[#This Row],[Mdl LnAcres]],-2)</f>
        <v>67200</v>
      </c>
      <c r="CI111">
        <f>Sales[[#This Row],[Unadj Res Value]]+Sales[[#This Row],[Unadj Det Value]]+Sales[[#This Row],[Unadj Land Value]]</f>
        <v>383400</v>
      </c>
      <c r="CJ111" s="10">
        <f>Sales[[#This Row],[Price]]/Sales[[#This Row],[Unadj Total Value]]</f>
        <v>0.9667657798643714</v>
      </c>
      <c r="CK111" s="10">
        <f>(Sales[[#This Row],[Unadj Total Value]]-Sales[[#This Row],[24Final]])/Sales[[#This Row],[24Final]]</f>
        <v>-0.13453724604966141</v>
      </c>
      <c r="CL111">
        <f>VLOOKUP(Sales[[#This Row],[TNbhd]],Lookups!$M$3:$P$5,4,FALSE)</f>
        <v>0.99970000000000003</v>
      </c>
      <c r="CM111">
        <f>VLOOKUP(Sales[[#This Row],[Qlty]],Lookups!$M$8:$P$22,4,FALSE)</f>
        <v>1.0019</v>
      </c>
      <c r="CN111">
        <f>VLOOKUP(Sales[[#This Row],[Cnd]],Lookups!$R$8:$U$17,4,FALSE)</f>
        <v>1.0012000000000001</v>
      </c>
      <c r="CO111">
        <f>VLOOKUP(Sales[[#This Row],[LivArea Range]],Lookups!$R$25:$U$43,4,FALSE)</f>
        <v>1.0008999999999999</v>
      </c>
      <c r="CP111">
        <f>VLOOKUP(Sales[[#This Row],[Decade]],Lookups!$M$24:$P$40,4,FALSE)</f>
        <v>1.0024</v>
      </c>
      <c r="CQ111">
        <f>Sales[[#This Row],[Nbhd Adj]]*0.95</f>
        <v>0.94971499999999998</v>
      </c>
      <c r="CR111">
        <f>Sales[[#This Row],[Nbhd Adj]]*Sales[[#This Row],[Quality Adj]]*Sales[[#This Row],[Condition Adj]]*Sales[[#This Row],[Living Area Adj]]*Sales[[#This Row],[Decade Adj]]*0.95</f>
        <v>0.95580712182867422</v>
      </c>
      <c r="CS111">
        <f>ROUND(SUM(Sales[[#This Row],[Mdl Qlty]:[Mdl BltinGar]])+Sales[[#This Row],[Mdl Res Intercept]]*Sales[[#This Row],[Res Adj ]],-2)</f>
        <v>378400</v>
      </c>
      <c r="CT111">
        <f>ROUND(Sales[[#This Row],[25Det]]*Sales[[#This Row],[Det/Nbhd Adj]],-2)</f>
        <v>0</v>
      </c>
      <c r="CU111">
        <f>Sales[[#This Row],[Adjusted Res]]+Sales[[#This Row],[Adj Det ]]</f>
        <v>378400</v>
      </c>
      <c r="CV111">
        <f>ROUND((Sales[[#This Row],[Mdl Land Intercept]]+Sales[[#This Row],[Mdl LnAcres]])*Sales[[#This Row],[Det/Nbhd Adj]],-2)</f>
        <v>63900</v>
      </c>
      <c r="CW111">
        <f>Sales[[#This Row],[Adjusted Impr Total]]+Sales[[#This Row],[Adjusted Land Total]]</f>
        <v>442300</v>
      </c>
      <c r="CX111" s="10">
        <f>IFERROR((Sales[[#This Row],[Adjusted Impr Total]]-Sales[[#This Row],[24Bldg]])/Sales[[#This Row],[24Bldg]],0)</f>
        <v>-1.5831134564643799E-3</v>
      </c>
      <c r="CY111" s="10">
        <f>(Sales[[#This Row],[Adjusted Land Total]]-Sales[[#This Row],[24Lnd]])/Sales[[#This Row],[24Lnd]]</f>
        <v>-1.5625000000000001E-3</v>
      </c>
      <c r="CZ111">
        <f>(Sales[[#This Row],[Adjusted Total]]-Sales[[#This Row],[24Final]])/Sales[[#This Row],[24Final]]</f>
        <v>-1.5801354401805869E-3</v>
      </c>
      <c r="DA111" s="10">
        <f>(Sales[[#This Row],[Adjusted Total]]+Sales[[#This Row],[Days Prior Total]])/Sales[[#This Row],[Price]]</f>
        <v>1.0095689297654442</v>
      </c>
    </row>
    <row r="112" spans="1:105">
      <c r="A112">
        <v>2025</v>
      </c>
      <c r="B112">
        <v>19133514422</v>
      </c>
      <c r="C112">
        <v>-1.6607312068216509</v>
      </c>
      <c r="D112">
        <v>0.19</v>
      </c>
      <c r="E112">
        <v>8185</v>
      </c>
      <c r="F112">
        <v>2</v>
      </c>
      <c r="G112" t="s">
        <v>155</v>
      </c>
      <c r="H112">
        <v>317</v>
      </c>
      <c r="I112" t="s">
        <v>5</v>
      </c>
      <c r="J112" t="s">
        <v>212</v>
      </c>
      <c r="K112">
        <v>11</v>
      </c>
      <c r="L112">
        <v>259</v>
      </c>
      <c r="M112" t="s">
        <v>157</v>
      </c>
      <c r="N112" t="s">
        <v>21</v>
      </c>
      <c r="O112" t="s">
        <v>24</v>
      </c>
      <c r="P112">
        <v>2021</v>
      </c>
      <c r="Q112">
        <v>2021</v>
      </c>
      <c r="R112">
        <v>10</v>
      </c>
      <c r="S112">
        <v>3</v>
      </c>
      <c r="T112">
        <v>3</v>
      </c>
      <c r="U112">
        <v>2</v>
      </c>
      <c r="V112">
        <v>1111</v>
      </c>
      <c r="W112">
        <v>1126</v>
      </c>
      <c r="X112">
        <v>0</v>
      </c>
      <c r="Y112">
        <v>0</v>
      </c>
      <c r="Z112">
        <v>0</v>
      </c>
      <c r="AA112">
        <v>0</v>
      </c>
      <c r="AB112">
        <v>2237</v>
      </c>
      <c r="AC112">
        <v>2500</v>
      </c>
      <c r="AD112">
        <v>2</v>
      </c>
      <c r="AE112" t="s">
        <v>56</v>
      </c>
      <c r="AF112" t="s">
        <v>158</v>
      </c>
      <c r="AG112" t="s">
        <v>27</v>
      </c>
      <c r="AI112">
        <v>0</v>
      </c>
      <c r="AJ112">
        <v>0</v>
      </c>
      <c r="AK112">
        <v>0</v>
      </c>
      <c r="AL112">
        <v>0</v>
      </c>
      <c r="AM112">
        <v>1</v>
      </c>
      <c r="AN112">
        <v>13</v>
      </c>
      <c r="AO112">
        <v>455</v>
      </c>
      <c r="AP112">
        <v>0</v>
      </c>
      <c r="AQ112">
        <v>0</v>
      </c>
      <c r="AR112">
        <v>0</v>
      </c>
      <c r="AS112">
        <v>144</v>
      </c>
      <c r="AT112">
        <v>0</v>
      </c>
      <c r="AU112">
        <v>100</v>
      </c>
      <c r="AV112">
        <v>100</v>
      </c>
      <c r="AW112">
        <v>403514</v>
      </c>
      <c r="AX112">
        <v>399479</v>
      </c>
      <c r="AY112">
        <v>937</v>
      </c>
      <c r="AZ112">
        <v>365</v>
      </c>
      <c r="BA112">
        <v>365</v>
      </c>
      <c r="BB112">
        <v>207</v>
      </c>
      <c r="BC112" s="2">
        <v>44355</v>
      </c>
      <c r="BD112" t="s">
        <v>271</v>
      </c>
      <c r="BE112">
        <v>335900</v>
      </c>
      <c r="BF112">
        <v>335900</v>
      </c>
      <c r="BG112" t="s">
        <v>160</v>
      </c>
      <c r="BH112">
        <v>30</v>
      </c>
      <c r="BI112" t="s">
        <v>56</v>
      </c>
      <c r="BJ112" t="s">
        <v>161</v>
      </c>
      <c r="BK112">
        <v>426200</v>
      </c>
      <c r="BL112">
        <v>63200</v>
      </c>
      <c r="BM112">
        <v>363000</v>
      </c>
      <c r="BN112">
        <v>0</v>
      </c>
      <c r="BO112">
        <v>353580.9271465331</v>
      </c>
      <c r="BP112">
        <v>422134.12851554289</v>
      </c>
      <c r="BQ112">
        <f>(Sales[[#This Row],[DP1]]*Lookups!$B$61)+(Sales[[#This Row],[DP2]]*Lookups!$B$62)+(Sales[[#This Row],[DP3]]*Lookups!$B$63)</f>
        <v>-68553.198430999997</v>
      </c>
      <c r="BR112">
        <f>Lookups!$B$58*0.6</f>
        <v>132535.48800000001</v>
      </c>
      <c r="BS112">
        <f>Lookups!$B$58*0.4</f>
        <v>88356.992000000013</v>
      </c>
      <c r="BT112">
        <f>Lookups!$B$59*Sales[[#This Row],[LnAcres]]</f>
        <v>-21795.969453044734</v>
      </c>
      <c r="BU112">
        <f>VLOOKUP(Sales[[#This Row],[Qlty]],Lookups!$A$66:$E$79,2,FALSE)</f>
        <v>32917.849192000001</v>
      </c>
      <c r="BV112">
        <f>VLOOKUP(Sales[[#This Row],[Cnd]],Lookups!$A$80:$E$91,2,FALSE)</f>
        <v>47371.278778200001</v>
      </c>
      <c r="BW112">
        <f>Sales[[#This Row],[EffAge]]*Lookups!$B$65</f>
        <v>-326.22329999999999</v>
      </c>
      <c r="BX112">
        <f>Sales[[#This Row],[MainFn]]*Lookups!$B$90</f>
        <v>69337.932180000003</v>
      </c>
      <c r="BY112">
        <f>Sales[[#This Row],[UpprFn]]*Lookups!$B$91</f>
        <v>67087.511257999999</v>
      </c>
      <c r="BZ112">
        <f>Sales[[#This Row],[Bsmt]]*Lookups!$B$95</f>
        <v>0</v>
      </c>
      <c r="CA112">
        <f>VLOOKUP(Sales[[#This Row],[MsnryTrim]],Lookups!$A$90:$E$99,2,FALSE)</f>
        <v>-9412.7029999999995</v>
      </c>
      <c r="CB112">
        <f>Sales[[#This Row],[PrefabFP]]*Lookups!$B$92</f>
        <v>0</v>
      </c>
      <c r="CC112">
        <f>Sales[[#This Row],[AttGar]]*Lookups!$B$93</f>
        <v>16061.969105</v>
      </c>
      <c r="CD112">
        <f>Sales[[#This Row],[BltinGar]]*Lookups!$B$94</f>
        <v>0</v>
      </c>
      <c r="CE112">
        <f>SUM(Sales[[#This Row],[Days Prior Total]:[Mdl BltinGar]])</f>
        <v>353580.92632915534</v>
      </c>
      <c r="CF112">
        <f>ROUND(Sales[[#This Row],[25Det]],-2)</f>
        <v>0</v>
      </c>
      <c r="CG112">
        <f>ROUND(SUM(Sales[[#This Row],[Mdl Qlty]:[Mdl BltinGar]])+Sales[[#This Row],[Mdl Res Intercept]]+Sales[[#This Row],[Days Prior Total]],-2)</f>
        <v>287000</v>
      </c>
      <c r="CH112">
        <f>ROUND(Sales[[#This Row],[Mdl Land Intercept]]+Sales[[#This Row],[Mdl LnAcres]],-2)</f>
        <v>66600</v>
      </c>
      <c r="CI112">
        <f>Sales[[#This Row],[Unadj Res Value]]+Sales[[#This Row],[Unadj Det Value]]+Sales[[#This Row],[Unadj Land Value]]</f>
        <v>353600</v>
      </c>
      <c r="CJ112" s="10">
        <f>Sales[[#This Row],[Price]]/Sales[[#This Row],[Unadj Total Value]]</f>
        <v>0.94994343891402711</v>
      </c>
      <c r="CK112" s="10">
        <f>(Sales[[#This Row],[Unadj Total Value]]-Sales[[#This Row],[24Final]])/Sales[[#This Row],[24Final]]</f>
        <v>-0.1703425621773815</v>
      </c>
      <c r="CL112">
        <f>VLOOKUP(Sales[[#This Row],[TNbhd]],Lookups!$M$3:$P$5,4,FALSE)</f>
        <v>0.99970000000000003</v>
      </c>
      <c r="CM112">
        <f>VLOOKUP(Sales[[#This Row],[Qlty]],Lookups!$M$8:$P$22,4,FALSE)</f>
        <v>1.0019</v>
      </c>
      <c r="CN112">
        <f>VLOOKUP(Sales[[#This Row],[Cnd]],Lookups!$R$8:$U$17,4,FALSE)</f>
        <v>1.0012000000000001</v>
      </c>
      <c r="CO112">
        <f>VLOOKUP(Sales[[#This Row],[LivArea Range]],Lookups!$R$25:$U$43,4,FALSE)</f>
        <v>1.0008999999999999</v>
      </c>
      <c r="CP112">
        <f>VLOOKUP(Sales[[#This Row],[Decade]],Lookups!$M$24:$P$40,4,FALSE)</f>
        <v>1.0024</v>
      </c>
      <c r="CQ112">
        <f>Sales[[#This Row],[Nbhd Adj]]*0.95</f>
        <v>0.94971499999999998</v>
      </c>
      <c r="CR112">
        <f>Sales[[#This Row],[Nbhd Adj]]*Sales[[#This Row],[Quality Adj]]*Sales[[#This Row],[Condition Adj]]*Sales[[#This Row],[Living Area Adj]]*Sales[[#This Row],[Decade Adj]]*0.95</f>
        <v>0.95580712182867422</v>
      </c>
      <c r="CS112">
        <f>ROUND(SUM(Sales[[#This Row],[Mdl Qlty]:[Mdl BltinGar]])+Sales[[#This Row],[Mdl Res Intercept]]*Sales[[#This Row],[Res Adj ]],-2)</f>
        <v>349700</v>
      </c>
      <c r="CT112">
        <f>ROUND(Sales[[#This Row],[25Det]]*Sales[[#This Row],[Det/Nbhd Adj]],-2)</f>
        <v>0</v>
      </c>
      <c r="CU112">
        <f>Sales[[#This Row],[Adjusted Res]]+Sales[[#This Row],[Adj Det ]]</f>
        <v>349700</v>
      </c>
      <c r="CV112">
        <f>ROUND((Sales[[#This Row],[Mdl Land Intercept]]+Sales[[#This Row],[Mdl LnAcres]])*Sales[[#This Row],[Det/Nbhd Adj]],-2)</f>
        <v>63200</v>
      </c>
      <c r="CW112">
        <f>Sales[[#This Row],[Adjusted Impr Total]]+Sales[[#This Row],[Adjusted Land Total]]</f>
        <v>412900</v>
      </c>
      <c r="CX112" s="10">
        <f>IFERROR((Sales[[#This Row],[Adjusted Impr Total]]-Sales[[#This Row],[24Bldg]])/Sales[[#This Row],[24Bldg]],0)</f>
        <v>-3.6639118457300272E-2</v>
      </c>
      <c r="CY112" s="10">
        <f>(Sales[[#This Row],[Adjusted Land Total]]-Sales[[#This Row],[24Lnd]])/Sales[[#This Row],[24Lnd]]</f>
        <v>0</v>
      </c>
      <c r="CZ112">
        <f>(Sales[[#This Row],[Adjusted Total]]-Sales[[#This Row],[24Final]])/Sales[[#This Row],[24Final]]</f>
        <v>-3.1206006569685595E-2</v>
      </c>
      <c r="DA112" s="10">
        <f>(Sales[[#This Row],[Adjusted Total]]+Sales[[#This Row],[Days Prior Total]])/Sales[[#This Row],[Price]]</f>
        <v>1.0251467745430187</v>
      </c>
    </row>
    <row r="113" spans="1:105">
      <c r="A113">
        <v>2025</v>
      </c>
      <c r="B113">
        <v>19133514423</v>
      </c>
      <c r="C113">
        <v>-1.6607312068216509</v>
      </c>
      <c r="D113">
        <v>0.19</v>
      </c>
      <c r="E113">
        <v>8300</v>
      </c>
      <c r="F113">
        <v>2</v>
      </c>
      <c r="G113" t="s">
        <v>155</v>
      </c>
      <c r="H113">
        <v>317</v>
      </c>
      <c r="I113" t="s">
        <v>5</v>
      </c>
      <c r="J113" t="s">
        <v>212</v>
      </c>
      <c r="K113">
        <v>11</v>
      </c>
      <c r="L113">
        <v>259</v>
      </c>
      <c r="M113" t="s">
        <v>157</v>
      </c>
      <c r="N113" t="s">
        <v>21</v>
      </c>
      <c r="O113" t="s">
        <v>24</v>
      </c>
      <c r="P113">
        <v>2021</v>
      </c>
      <c r="Q113">
        <v>2021</v>
      </c>
      <c r="R113">
        <v>10</v>
      </c>
      <c r="S113">
        <v>3</v>
      </c>
      <c r="T113">
        <v>3</v>
      </c>
      <c r="U113">
        <v>1</v>
      </c>
      <c r="V113">
        <v>1740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1740</v>
      </c>
      <c r="AC113">
        <v>2000</v>
      </c>
      <c r="AD113">
        <v>2</v>
      </c>
      <c r="AE113" t="s">
        <v>56</v>
      </c>
      <c r="AF113" t="s">
        <v>158</v>
      </c>
      <c r="AG113" t="s">
        <v>27</v>
      </c>
      <c r="AI113">
        <v>0</v>
      </c>
      <c r="AJ113">
        <v>0</v>
      </c>
      <c r="AK113">
        <v>0</v>
      </c>
      <c r="AL113">
        <v>1</v>
      </c>
      <c r="AM113">
        <v>0</v>
      </c>
      <c r="AN113">
        <v>10</v>
      </c>
      <c r="AO113">
        <v>450</v>
      </c>
      <c r="AP113">
        <v>0</v>
      </c>
      <c r="AQ113">
        <v>0</v>
      </c>
      <c r="AR113">
        <v>0</v>
      </c>
      <c r="AS113">
        <v>144</v>
      </c>
      <c r="AT113">
        <v>0</v>
      </c>
      <c r="AU113">
        <v>100</v>
      </c>
      <c r="AV113">
        <v>100</v>
      </c>
      <c r="AW113">
        <v>339934</v>
      </c>
      <c r="AX113">
        <v>336535</v>
      </c>
      <c r="AY113">
        <v>811</v>
      </c>
      <c r="AZ113">
        <v>365</v>
      </c>
      <c r="BA113">
        <v>365</v>
      </c>
      <c r="BB113">
        <v>81</v>
      </c>
      <c r="BC113" s="2">
        <v>44481</v>
      </c>
      <c r="BD113" t="s">
        <v>272</v>
      </c>
      <c r="BE113">
        <v>321990</v>
      </c>
      <c r="BF113">
        <v>321990</v>
      </c>
      <c r="BG113" t="s">
        <v>160</v>
      </c>
      <c r="BH113">
        <v>30</v>
      </c>
      <c r="BI113" t="s">
        <v>56</v>
      </c>
      <c r="BJ113" t="s">
        <v>161</v>
      </c>
      <c r="BK113">
        <v>386700</v>
      </c>
      <c r="BL113">
        <v>63200</v>
      </c>
      <c r="BM113">
        <v>323500</v>
      </c>
      <c r="BN113">
        <v>0</v>
      </c>
      <c r="BO113">
        <v>354426.96557237674</v>
      </c>
      <c r="BP113">
        <v>394126.2414592806</v>
      </c>
      <c r="BQ113">
        <f>(Sales[[#This Row],[DP1]]*Lookups!$B$61)+(Sales[[#This Row],[DP2]]*Lookups!$B$62)+(Sales[[#This Row],[DP3]]*Lookups!$B$63)</f>
        <v>-39699.274031000001</v>
      </c>
      <c r="BR113">
        <f>Lookups!$B$58*0.6</f>
        <v>132535.48800000001</v>
      </c>
      <c r="BS113">
        <f>Lookups!$B$58*0.4</f>
        <v>88356.992000000013</v>
      </c>
      <c r="BT113">
        <f>Lookups!$B$59*Sales[[#This Row],[LnAcres]]</f>
        <v>-21795.969453044734</v>
      </c>
      <c r="BU113">
        <f>VLOOKUP(Sales[[#This Row],[Qlty]],Lookups!$A$66:$E$79,2,FALSE)</f>
        <v>32917.849192000001</v>
      </c>
      <c r="BV113">
        <f>VLOOKUP(Sales[[#This Row],[Cnd]],Lookups!$A$80:$E$91,2,FALSE)</f>
        <v>47371.278778200001</v>
      </c>
      <c r="BW113">
        <f>Sales[[#This Row],[EffAge]]*Lookups!$B$65</f>
        <v>-326.22329999999999</v>
      </c>
      <c r="BX113">
        <f>Sales[[#This Row],[MainFn]]*Lookups!$B$90</f>
        <v>108594.06120000001</v>
      </c>
      <c r="BY113">
        <f>Sales[[#This Row],[UpprFn]]*Lookups!$B$91</f>
        <v>0</v>
      </c>
      <c r="BZ113">
        <f>Sales[[#This Row],[Bsmt]]*Lookups!$B$95</f>
        <v>0</v>
      </c>
      <c r="CA113">
        <f>VLOOKUP(Sales[[#This Row],[MsnryTrim]],Lookups!$A$90:$E$99,2,FALSE)</f>
        <v>-9412.7029999999995</v>
      </c>
      <c r="CB113">
        <f>Sales[[#This Row],[PrefabFP]]*Lookups!$B$92</f>
        <v>0</v>
      </c>
      <c r="CC113">
        <f>Sales[[#This Row],[AttGar]]*Lookups!$B$93</f>
        <v>15885.463950000001</v>
      </c>
      <c r="CD113">
        <f>Sales[[#This Row],[BltinGar]]*Lookups!$B$94</f>
        <v>0</v>
      </c>
      <c r="CE113">
        <f>SUM(Sales[[#This Row],[Days Prior Total]:[Mdl BltinGar]])</f>
        <v>354426.96333615528</v>
      </c>
      <c r="CF113">
        <f>ROUND(Sales[[#This Row],[25Det]],-2)</f>
        <v>0</v>
      </c>
      <c r="CG113">
        <f>ROUND(SUM(Sales[[#This Row],[Mdl Qlty]:[Mdl BltinGar]])+Sales[[#This Row],[Mdl Res Intercept]]+Sales[[#This Row],[Days Prior Total]],-2)</f>
        <v>287900</v>
      </c>
      <c r="CH113">
        <f>ROUND(Sales[[#This Row],[Mdl Land Intercept]]+Sales[[#This Row],[Mdl LnAcres]],-2)</f>
        <v>66600</v>
      </c>
      <c r="CI113">
        <f>Sales[[#This Row],[Unadj Res Value]]+Sales[[#This Row],[Unadj Det Value]]+Sales[[#This Row],[Unadj Land Value]]</f>
        <v>354500</v>
      </c>
      <c r="CJ113" s="10">
        <f>Sales[[#This Row],[Price]]/Sales[[#This Row],[Unadj Total Value]]</f>
        <v>0.90829337094499296</v>
      </c>
      <c r="CK113" s="10">
        <f>(Sales[[#This Row],[Unadj Total Value]]-Sales[[#This Row],[24Final]])/Sales[[#This Row],[24Final]]</f>
        <v>-8.3268683734160853E-2</v>
      </c>
      <c r="CL113">
        <f>VLOOKUP(Sales[[#This Row],[TNbhd]],Lookups!$M$3:$P$5,4,FALSE)</f>
        <v>0.99970000000000003</v>
      </c>
      <c r="CM113">
        <f>VLOOKUP(Sales[[#This Row],[Qlty]],Lookups!$M$8:$P$22,4,FALSE)</f>
        <v>1.0019</v>
      </c>
      <c r="CN113">
        <f>VLOOKUP(Sales[[#This Row],[Cnd]],Lookups!$R$8:$U$17,4,FALSE)</f>
        <v>1.0012000000000001</v>
      </c>
      <c r="CO113">
        <f>VLOOKUP(Sales[[#This Row],[LivArea Range]],Lookups!$R$25:$U$43,4,FALSE)</f>
        <v>1.0007999999999999</v>
      </c>
      <c r="CP113">
        <f>VLOOKUP(Sales[[#This Row],[Decade]],Lookups!$M$24:$P$40,4,FALSE)</f>
        <v>1.0024</v>
      </c>
      <c r="CQ113">
        <f>Sales[[#This Row],[Nbhd Adj]]*0.95</f>
        <v>0.94971499999999998</v>
      </c>
      <c r="CR113">
        <f>Sales[[#This Row],[Nbhd Adj]]*Sales[[#This Row],[Quality Adj]]*Sales[[#This Row],[Condition Adj]]*Sales[[#This Row],[Living Area Adj]]*Sales[[#This Row],[Decade Adj]]*0.95</f>
        <v>0.95571162706178159</v>
      </c>
      <c r="CS113">
        <f>ROUND(SUM(Sales[[#This Row],[Mdl Qlty]:[Mdl BltinGar]])+Sales[[#This Row],[Mdl Res Intercept]]*Sales[[#This Row],[Res Adj ]],-2)</f>
        <v>321700</v>
      </c>
      <c r="CT113">
        <f>ROUND(Sales[[#This Row],[25Det]]*Sales[[#This Row],[Det/Nbhd Adj]],-2)</f>
        <v>0</v>
      </c>
      <c r="CU113">
        <f>Sales[[#This Row],[Adjusted Res]]+Sales[[#This Row],[Adj Det ]]</f>
        <v>321700</v>
      </c>
      <c r="CV113">
        <f>ROUND((Sales[[#This Row],[Mdl Land Intercept]]+Sales[[#This Row],[Mdl LnAcres]])*Sales[[#This Row],[Det/Nbhd Adj]],-2)</f>
        <v>63200</v>
      </c>
      <c r="CW113">
        <f>Sales[[#This Row],[Adjusted Impr Total]]+Sales[[#This Row],[Adjusted Land Total]]</f>
        <v>384900</v>
      </c>
      <c r="CX113" s="10">
        <f>IFERROR((Sales[[#This Row],[Adjusted Impr Total]]-Sales[[#This Row],[24Bldg]])/Sales[[#This Row],[24Bldg]],0)</f>
        <v>-5.5641421947449764E-3</v>
      </c>
      <c r="CY113" s="10">
        <f>(Sales[[#This Row],[Adjusted Land Total]]-Sales[[#This Row],[24Lnd]])/Sales[[#This Row],[24Lnd]]</f>
        <v>0</v>
      </c>
      <c r="CZ113">
        <f>(Sales[[#This Row],[Adjusted Total]]-Sales[[#This Row],[24Final]])/Sales[[#This Row],[24Final]]</f>
        <v>-4.6547711404189293E-3</v>
      </c>
      <c r="DA113" s="10">
        <f>(Sales[[#This Row],[Adjusted Total]]+Sales[[#This Row],[Days Prior Total]])/Sales[[#This Row],[Price]]</f>
        <v>1.0720852385757322</v>
      </c>
    </row>
    <row r="114" spans="1:105">
      <c r="A114">
        <v>2025</v>
      </c>
      <c r="B114">
        <v>19133514424</v>
      </c>
      <c r="C114">
        <v>-1.6607312068216509</v>
      </c>
      <c r="D114">
        <v>0.19</v>
      </c>
      <c r="E114">
        <v>8233</v>
      </c>
      <c r="F114">
        <v>2</v>
      </c>
      <c r="G114" t="s">
        <v>155</v>
      </c>
      <c r="H114">
        <v>317</v>
      </c>
      <c r="I114" t="s">
        <v>5</v>
      </c>
      <c r="J114" t="s">
        <v>212</v>
      </c>
      <c r="K114">
        <v>11</v>
      </c>
      <c r="L114">
        <v>259</v>
      </c>
      <c r="M114" t="s">
        <v>157</v>
      </c>
      <c r="N114" t="s">
        <v>21</v>
      </c>
      <c r="O114" t="s">
        <v>24</v>
      </c>
      <c r="P114">
        <v>2021</v>
      </c>
      <c r="Q114">
        <v>2021</v>
      </c>
      <c r="R114">
        <v>10</v>
      </c>
      <c r="S114">
        <v>3</v>
      </c>
      <c r="T114">
        <v>3</v>
      </c>
      <c r="U114">
        <v>1</v>
      </c>
      <c r="V114">
        <v>2010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2010</v>
      </c>
      <c r="AC114">
        <v>2500</v>
      </c>
      <c r="AD114">
        <v>2</v>
      </c>
      <c r="AE114" t="s">
        <v>56</v>
      </c>
      <c r="AF114" t="s">
        <v>158</v>
      </c>
      <c r="AG114" t="s">
        <v>27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11</v>
      </c>
      <c r="AO114">
        <v>424</v>
      </c>
      <c r="AP114">
        <v>0</v>
      </c>
      <c r="AQ114">
        <v>0</v>
      </c>
      <c r="AR114">
        <v>0</v>
      </c>
      <c r="AS114">
        <v>144</v>
      </c>
      <c r="AT114">
        <v>0</v>
      </c>
      <c r="AU114">
        <v>100</v>
      </c>
      <c r="AV114">
        <v>100</v>
      </c>
      <c r="AW114">
        <v>381408</v>
      </c>
      <c r="AX114">
        <v>377594</v>
      </c>
      <c r="AY114">
        <v>635</v>
      </c>
      <c r="AZ114">
        <v>365</v>
      </c>
      <c r="BA114">
        <v>270</v>
      </c>
      <c r="BB114">
        <v>0</v>
      </c>
      <c r="BC114" s="2">
        <v>44657</v>
      </c>
      <c r="BD114" t="s">
        <v>273</v>
      </c>
      <c r="BE114">
        <v>401230</v>
      </c>
      <c r="BF114">
        <v>401230</v>
      </c>
      <c r="BG114" t="s">
        <v>160</v>
      </c>
      <c r="BH114">
        <v>30</v>
      </c>
      <c r="BI114" t="s">
        <v>56</v>
      </c>
      <c r="BJ114" t="s">
        <v>161</v>
      </c>
      <c r="BK114">
        <v>396900</v>
      </c>
      <c r="BL114">
        <v>63200</v>
      </c>
      <c r="BM114">
        <v>333700</v>
      </c>
      <c r="BN114">
        <v>0</v>
      </c>
      <c r="BO114">
        <v>395316.03103307885</v>
      </c>
      <c r="BP114">
        <v>410059.21726915601</v>
      </c>
      <c r="BQ114">
        <f>(Sales[[#This Row],[DP1]]*Lookups!$B$61)+(Sales[[#This Row],[DP2]]*Lookups!$B$62)+(Sales[[#This Row],[DP3]]*Lookups!$B$63)</f>
        <v>-14743.185380999999</v>
      </c>
      <c r="BR114">
        <f>Lookups!$B$58*0.6</f>
        <v>132535.48800000001</v>
      </c>
      <c r="BS114">
        <f>Lookups!$B$58*0.4</f>
        <v>88356.992000000013</v>
      </c>
      <c r="BT114">
        <f>Lookups!$B$59*Sales[[#This Row],[LnAcres]]</f>
        <v>-21795.969453044734</v>
      </c>
      <c r="BU114">
        <f>VLOOKUP(Sales[[#This Row],[Qlty]],Lookups!$A$66:$E$79,2,FALSE)</f>
        <v>32917.849192000001</v>
      </c>
      <c r="BV114">
        <f>VLOOKUP(Sales[[#This Row],[Cnd]],Lookups!$A$80:$E$91,2,FALSE)</f>
        <v>47371.278778200001</v>
      </c>
      <c r="BW114">
        <f>Sales[[#This Row],[EffAge]]*Lookups!$B$65</f>
        <v>-326.22329999999999</v>
      </c>
      <c r="BX114">
        <f>Sales[[#This Row],[MainFn]]*Lookups!$B$90</f>
        <v>125444.86380000001</v>
      </c>
      <c r="BY114">
        <f>Sales[[#This Row],[UpprFn]]*Lookups!$B$91</f>
        <v>0</v>
      </c>
      <c r="BZ114">
        <f>Sales[[#This Row],[Bsmt]]*Lookups!$B$95</f>
        <v>0</v>
      </c>
      <c r="CA114">
        <f>VLOOKUP(Sales[[#This Row],[MsnryTrim]],Lookups!$A$90:$E$99,2,FALSE)</f>
        <v>-9412.7029999999995</v>
      </c>
      <c r="CB114">
        <f>Sales[[#This Row],[PrefabFP]]*Lookups!$B$92</f>
        <v>0</v>
      </c>
      <c r="CC114">
        <f>Sales[[#This Row],[AttGar]]*Lookups!$B$93</f>
        <v>14967.637144</v>
      </c>
      <c r="CD114">
        <f>Sales[[#This Row],[BltinGar]]*Lookups!$B$94</f>
        <v>0</v>
      </c>
      <c r="CE114">
        <f>SUM(Sales[[#This Row],[Days Prior Total]:[Mdl BltinGar]])</f>
        <v>395316.02778015524</v>
      </c>
      <c r="CF114">
        <f>ROUND(Sales[[#This Row],[25Det]],-2)</f>
        <v>0</v>
      </c>
      <c r="CG114">
        <f>ROUND(SUM(Sales[[#This Row],[Mdl Qlty]:[Mdl BltinGar]])+Sales[[#This Row],[Mdl Res Intercept]]+Sales[[#This Row],[Days Prior Total]],-2)</f>
        <v>328800</v>
      </c>
      <c r="CH114">
        <f>ROUND(Sales[[#This Row],[Mdl Land Intercept]]+Sales[[#This Row],[Mdl LnAcres]],-2)</f>
        <v>66600</v>
      </c>
      <c r="CI114">
        <f>Sales[[#This Row],[Unadj Res Value]]+Sales[[#This Row],[Unadj Det Value]]+Sales[[#This Row],[Unadj Land Value]]</f>
        <v>395400</v>
      </c>
      <c r="CJ114" s="10">
        <f>Sales[[#This Row],[Price]]/Sales[[#This Row],[Unadj Total Value]]</f>
        <v>1.0147445624683864</v>
      </c>
      <c r="CK114" s="10">
        <f>(Sales[[#This Row],[Unadj Total Value]]-Sales[[#This Row],[24Final]])/Sales[[#This Row],[24Final]]</f>
        <v>-3.779289493575208E-3</v>
      </c>
      <c r="CL114">
        <f>VLOOKUP(Sales[[#This Row],[TNbhd]],Lookups!$M$3:$P$5,4,FALSE)</f>
        <v>0.99970000000000003</v>
      </c>
      <c r="CM114">
        <f>VLOOKUP(Sales[[#This Row],[Qlty]],Lookups!$M$8:$P$22,4,FALSE)</f>
        <v>1.0019</v>
      </c>
      <c r="CN114">
        <f>VLOOKUP(Sales[[#This Row],[Cnd]],Lookups!$R$8:$U$17,4,FALSE)</f>
        <v>1.0012000000000001</v>
      </c>
      <c r="CO114">
        <f>VLOOKUP(Sales[[#This Row],[LivArea Range]],Lookups!$R$25:$U$43,4,FALSE)</f>
        <v>1.0008999999999999</v>
      </c>
      <c r="CP114">
        <f>VLOOKUP(Sales[[#This Row],[Decade]],Lookups!$M$24:$P$40,4,FALSE)</f>
        <v>1.0024</v>
      </c>
      <c r="CQ114">
        <f>Sales[[#This Row],[Nbhd Adj]]*0.95</f>
        <v>0.94971499999999998</v>
      </c>
      <c r="CR114">
        <f>Sales[[#This Row],[Nbhd Adj]]*Sales[[#This Row],[Quality Adj]]*Sales[[#This Row],[Condition Adj]]*Sales[[#This Row],[Living Area Adj]]*Sales[[#This Row],[Decade Adj]]*0.95</f>
        <v>0.95580712182867422</v>
      </c>
      <c r="CS114">
        <f>ROUND(SUM(Sales[[#This Row],[Mdl Qlty]:[Mdl BltinGar]])+Sales[[#This Row],[Mdl Res Intercept]]*Sales[[#This Row],[Res Adj ]],-2)</f>
        <v>337600</v>
      </c>
      <c r="CT114">
        <f>ROUND(Sales[[#This Row],[25Det]]*Sales[[#This Row],[Det/Nbhd Adj]],-2)</f>
        <v>0</v>
      </c>
      <c r="CU114">
        <f>Sales[[#This Row],[Adjusted Res]]+Sales[[#This Row],[Adj Det ]]</f>
        <v>337600</v>
      </c>
      <c r="CV114">
        <f>ROUND((Sales[[#This Row],[Mdl Land Intercept]]+Sales[[#This Row],[Mdl LnAcres]])*Sales[[#This Row],[Det/Nbhd Adj]],-2)</f>
        <v>63200</v>
      </c>
      <c r="CW114">
        <f>Sales[[#This Row],[Adjusted Impr Total]]+Sales[[#This Row],[Adjusted Land Total]]</f>
        <v>400800</v>
      </c>
      <c r="CX114" s="10">
        <f>IFERROR((Sales[[#This Row],[Adjusted Impr Total]]-Sales[[#This Row],[24Bldg]])/Sales[[#This Row],[24Bldg]],0)</f>
        <v>1.1687144141444412E-2</v>
      </c>
      <c r="CY114" s="10">
        <f>(Sales[[#This Row],[Adjusted Land Total]]-Sales[[#This Row],[24Lnd]])/Sales[[#This Row],[24Lnd]]</f>
        <v>0</v>
      </c>
      <c r="CZ114">
        <f>(Sales[[#This Row],[Adjusted Total]]-Sales[[#This Row],[24Final]])/Sales[[#This Row],[24Final]]</f>
        <v>9.8261526832955411E-3</v>
      </c>
      <c r="DA114" s="10">
        <f>(Sales[[#This Row],[Adjusted Total]]+Sales[[#This Row],[Days Prior Total]])/Sales[[#This Row],[Price]]</f>
        <v>0.96218332282979835</v>
      </c>
    </row>
    <row r="115" spans="1:105">
      <c r="A115">
        <v>2025</v>
      </c>
      <c r="B115">
        <v>19133514424</v>
      </c>
      <c r="C115">
        <v>-1.6607312068216509</v>
      </c>
      <c r="D115">
        <v>0.19</v>
      </c>
      <c r="E115">
        <v>8233</v>
      </c>
      <c r="F115">
        <v>2</v>
      </c>
      <c r="G115" t="s">
        <v>155</v>
      </c>
      <c r="H115" t="s">
        <v>5</v>
      </c>
      <c r="I115" t="s">
        <v>5</v>
      </c>
      <c r="J115" t="s">
        <v>212</v>
      </c>
      <c r="K115">
        <v>11</v>
      </c>
      <c r="L115">
        <v>259</v>
      </c>
      <c r="M115" t="s">
        <v>157</v>
      </c>
      <c r="N115" t="s">
        <v>21</v>
      </c>
      <c r="O115" t="s">
        <v>24</v>
      </c>
      <c r="P115">
        <v>2021</v>
      </c>
      <c r="Q115">
        <v>2021</v>
      </c>
      <c r="R115">
        <v>10</v>
      </c>
      <c r="S115">
        <v>3</v>
      </c>
      <c r="T115">
        <v>3</v>
      </c>
      <c r="U115">
        <v>1</v>
      </c>
      <c r="V115">
        <v>2010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2010</v>
      </c>
      <c r="AC115">
        <v>2500</v>
      </c>
      <c r="AD115">
        <v>2</v>
      </c>
      <c r="AE115" t="s">
        <v>57</v>
      </c>
      <c r="AF115" t="s">
        <v>158</v>
      </c>
      <c r="AG115" t="s">
        <v>27</v>
      </c>
      <c r="AI115">
        <v>0</v>
      </c>
      <c r="AJ115">
        <v>0</v>
      </c>
      <c r="AK115">
        <v>1</v>
      </c>
      <c r="AL115">
        <v>0</v>
      </c>
      <c r="AM115">
        <v>0</v>
      </c>
      <c r="AN115">
        <v>11</v>
      </c>
      <c r="AO115">
        <v>424</v>
      </c>
      <c r="AP115">
        <v>0</v>
      </c>
      <c r="AQ115">
        <v>0</v>
      </c>
      <c r="AR115">
        <v>0</v>
      </c>
      <c r="AS115">
        <v>144</v>
      </c>
      <c r="AT115">
        <v>0</v>
      </c>
      <c r="AU115">
        <v>100</v>
      </c>
      <c r="AV115">
        <v>100</v>
      </c>
      <c r="AW115">
        <v>381408</v>
      </c>
      <c r="AX115">
        <v>377594</v>
      </c>
      <c r="AY115">
        <v>80</v>
      </c>
      <c r="AZ115">
        <v>80</v>
      </c>
      <c r="BA115">
        <v>0</v>
      </c>
      <c r="BB115">
        <v>0</v>
      </c>
      <c r="BC115" s="2">
        <v>45212</v>
      </c>
      <c r="BD115" t="s">
        <v>274</v>
      </c>
      <c r="BE115">
        <v>425000</v>
      </c>
      <c r="BF115">
        <v>425000</v>
      </c>
      <c r="BG115" t="s">
        <v>160</v>
      </c>
      <c r="BH115">
        <v>30</v>
      </c>
      <c r="BI115" t="s">
        <v>56</v>
      </c>
      <c r="BJ115" t="s">
        <v>161</v>
      </c>
      <c r="BK115">
        <v>396900</v>
      </c>
      <c r="BL115">
        <v>63200</v>
      </c>
      <c r="BM115">
        <v>333700</v>
      </c>
      <c r="BN115">
        <v>0</v>
      </c>
      <c r="BO115">
        <v>434151.6997101857</v>
      </c>
      <c r="BP115">
        <v>433391.90285949036</v>
      </c>
      <c r="BQ115">
        <f>(Sales[[#This Row],[DP1]]*Lookups!$B$61)+(Sales[[#This Row],[DP2]]*Lookups!$B$62)+(Sales[[#This Row],[DP3]]*Lookups!$B$63)</f>
        <v>759.79684799999995</v>
      </c>
      <c r="BR115">
        <f>Lookups!$B$58*0.6</f>
        <v>132535.48800000001</v>
      </c>
      <c r="BS115">
        <f>Lookups!$B$58*0.4</f>
        <v>88356.992000000013</v>
      </c>
      <c r="BT115">
        <f>Lookups!$B$59*Sales[[#This Row],[LnAcres]]</f>
        <v>-21795.969453044734</v>
      </c>
      <c r="BU115">
        <f>VLOOKUP(Sales[[#This Row],[Qlty]],Lookups!$A$66:$E$79,2,FALSE)</f>
        <v>32917.849192000001</v>
      </c>
      <c r="BV115">
        <f>VLOOKUP(Sales[[#This Row],[Cnd]],Lookups!$A$80:$E$91,2,FALSE)</f>
        <v>47371.278778200001</v>
      </c>
      <c r="BW115">
        <f>Sales[[#This Row],[EffAge]]*Lookups!$B$65</f>
        <v>-326.22329999999999</v>
      </c>
      <c r="BX115">
        <f>Sales[[#This Row],[MainFn]]*Lookups!$B$90</f>
        <v>125444.86380000001</v>
      </c>
      <c r="BY115">
        <f>Sales[[#This Row],[UpprFn]]*Lookups!$B$91</f>
        <v>0</v>
      </c>
      <c r="BZ115">
        <f>Sales[[#This Row],[Bsmt]]*Lookups!$B$95</f>
        <v>0</v>
      </c>
      <c r="CA115">
        <f>VLOOKUP(Sales[[#This Row],[MsnryTrim]],Lookups!$A$90:$E$99,2,FALSE)</f>
        <v>4112.8784489</v>
      </c>
      <c r="CB115">
        <f>Sales[[#This Row],[PrefabFP]]*Lookups!$B$92</f>
        <v>9807.1044999999995</v>
      </c>
      <c r="CC115">
        <f>Sales[[#This Row],[AttGar]]*Lookups!$B$93</f>
        <v>14967.637144</v>
      </c>
      <c r="CD115">
        <f>Sales[[#This Row],[BltinGar]]*Lookups!$B$94</f>
        <v>0</v>
      </c>
      <c r="CE115">
        <f>SUM(Sales[[#This Row],[Days Prior Total]:[Mdl BltinGar]])</f>
        <v>434151.69595805526</v>
      </c>
      <c r="CF115">
        <f>ROUND(Sales[[#This Row],[25Det]],-2)</f>
        <v>0</v>
      </c>
      <c r="CG115">
        <f>ROUND(SUM(Sales[[#This Row],[Mdl Qlty]:[Mdl BltinGar]])+Sales[[#This Row],[Mdl Res Intercept]]+Sales[[#This Row],[Days Prior Total]],-2)</f>
        <v>367600</v>
      </c>
      <c r="CH115">
        <f>ROUND(Sales[[#This Row],[Mdl Land Intercept]]+Sales[[#This Row],[Mdl LnAcres]],-2)</f>
        <v>66600</v>
      </c>
      <c r="CI115">
        <f>Sales[[#This Row],[Unadj Res Value]]+Sales[[#This Row],[Unadj Det Value]]+Sales[[#This Row],[Unadj Land Value]]</f>
        <v>434200</v>
      </c>
      <c r="CJ115" s="10">
        <f>Sales[[#This Row],[Price]]/Sales[[#This Row],[Unadj Total Value]]</f>
        <v>0.97881160755412255</v>
      </c>
      <c r="CK115" s="10">
        <f>(Sales[[#This Row],[Unadj Total Value]]-Sales[[#This Row],[24Final]])/Sales[[#This Row],[24Final]]</f>
        <v>9.3978332073570175E-2</v>
      </c>
      <c r="CL115">
        <f>VLOOKUP(Sales[[#This Row],[TNbhd]],Lookups!$M$3:$P$5,4,FALSE)</f>
        <v>0.99970000000000003</v>
      </c>
      <c r="CM115">
        <f>VLOOKUP(Sales[[#This Row],[Qlty]],Lookups!$M$8:$P$22,4,FALSE)</f>
        <v>1.0019</v>
      </c>
      <c r="CN115">
        <f>VLOOKUP(Sales[[#This Row],[Cnd]],Lookups!$R$8:$U$17,4,FALSE)</f>
        <v>1.0012000000000001</v>
      </c>
      <c r="CO115">
        <f>VLOOKUP(Sales[[#This Row],[LivArea Range]],Lookups!$R$25:$U$43,4,FALSE)</f>
        <v>1.0008999999999999</v>
      </c>
      <c r="CP115">
        <f>VLOOKUP(Sales[[#This Row],[Decade]],Lookups!$M$24:$P$40,4,FALSE)</f>
        <v>1.0024</v>
      </c>
      <c r="CQ115">
        <f>Sales[[#This Row],[Nbhd Adj]]*0.95</f>
        <v>0.94971499999999998</v>
      </c>
      <c r="CR115">
        <f>Sales[[#This Row],[Nbhd Adj]]*Sales[[#This Row],[Quality Adj]]*Sales[[#This Row],[Condition Adj]]*Sales[[#This Row],[Living Area Adj]]*Sales[[#This Row],[Decade Adj]]*0.95</f>
        <v>0.95580712182867422</v>
      </c>
      <c r="CS115">
        <f>ROUND(SUM(Sales[[#This Row],[Mdl Qlty]:[Mdl BltinGar]])+Sales[[#This Row],[Mdl Res Intercept]]*Sales[[#This Row],[Res Adj ]],-2)</f>
        <v>361000</v>
      </c>
      <c r="CT115">
        <f>ROUND(Sales[[#This Row],[25Det]]*Sales[[#This Row],[Det/Nbhd Adj]],-2)</f>
        <v>0</v>
      </c>
      <c r="CU115">
        <f>Sales[[#This Row],[Adjusted Res]]+Sales[[#This Row],[Adj Det ]]</f>
        <v>361000</v>
      </c>
      <c r="CV115">
        <f>ROUND((Sales[[#This Row],[Mdl Land Intercept]]+Sales[[#This Row],[Mdl LnAcres]])*Sales[[#This Row],[Det/Nbhd Adj]],-2)</f>
        <v>63200</v>
      </c>
      <c r="CW115">
        <f>Sales[[#This Row],[Adjusted Impr Total]]+Sales[[#This Row],[Adjusted Land Total]]</f>
        <v>424200</v>
      </c>
      <c r="CX115" s="10">
        <f>IFERROR((Sales[[#This Row],[Adjusted Impr Total]]-Sales[[#This Row],[24Bldg]])/Sales[[#This Row],[24Bldg]],0)</f>
        <v>8.1810008990110872E-2</v>
      </c>
      <c r="CY115" s="10">
        <f>(Sales[[#This Row],[Adjusted Land Total]]-Sales[[#This Row],[24Lnd]])/Sales[[#This Row],[24Lnd]]</f>
        <v>0</v>
      </c>
      <c r="CZ115">
        <f>(Sales[[#This Row],[Adjusted Total]]-Sales[[#This Row],[24Final]])/Sales[[#This Row],[24Final]]</f>
        <v>6.8783068783068779E-2</v>
      </c>
      <c r="DA115" s="10">
        <f>(Sales[[#This Row],[Adjusted Total]]+Sales[[#This Row],[Days Prior Total]])/Sales[[#This Row],[Price]]</f>
        <v>0.99990540434823538</v>
      </c>
    </row>
    <row r="116" spans="1:105">
      <c r="A116">
        <v>2025</v>
      </c>
      <c r="B116">
        <v>19133514424</v>
      </c>
      <c r="C116">
        <v>-1.6607312068216509</v>
      </c>
      <c r="D116">
        <v>0.19</v>
      </c>
      <c r="E116">
        <v>8233</v>
      </c>
      <c r="F116">
        <v>2</v>
      </c>
      <c r="G116" t="s">
        <v>155</v>
      </c>
      <c r="H116">
        <v>317</v>
      </c>
      <c r="I116" t="s">
        <v>5</v>
      </c>
      <c r="J116" t="s">
        <v>212</v>
      </c>
      <c r="K116">
        <v>11</v>
      </c>
      <c r="L116">
        <v>259</v>
      </c>
      <c r="M116" t="s">
        <v>157</v>
      </c>
      <c r="N116" t="s">
        <v>21</v>
      </c>
      <c r="O116" t="s">
        <v>24</v>
      </c>
      <c r="P116">
        <v>2021</v>
      </c>
      <c r="Q116">
        <v>2021</v>
      </c>
      <c r="R116">
        <v>10</v>
      </c>
      <c r="S116">
        <v>3</v>
      </c>
      <c r="T116">
        <v>3</v>
      </c>
      <c r="U116">
        <v>1</v>
      </c>
      <c r="V116">
        <v>2010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2010</v>
      </c>
      <c r="AC116">
        <v>2500</v>
      </c>
      <c r="AD116">
        <v>2</v>
      </c>
      <c r="AE116" t="s">
        <v>57</v>
      </c>
      <c r="AF116" t="s">
        <v>158</v>
      </c>
      <c r="AG116" t="s">
        <v>27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11</v>
      </c>
      <c r="AO116">
        <v>424</v>
      </c>
      <c r="AP116">
        <v>0</v>
      </c>
      <c r="AQ116">
        <v>0</v>
      </c>
      <c r="AR116">
        <v>0</v>
      </c>
      <c r="AS116">
        <v>144</v>
      </c>
      <c r="AT116">
        <v>0</v>
      </c>
      <c r="AU116">
        <v>100</v>
      </c>
      <c r="AV116">
        <v>100</v>
      </c>
      <c r="AW116">
        <v>381408</v>
      </c>
      <c r="AX116">
        <v>377594</v>
      </c>
      <c r="AY116">
        <v>235</v>
      </c>
      <c r="AZ116">
        <v>235</v>
      </c>
      <c r="BA116">
        <v>0</v>
      </c>
      <c r="BB116">
        <v>0</v>
      </c>
      <c r="BC116" s="2">
        <v>45057</v>
      </c>
      <c r="BD116" t="s">
        <v>275</v>
      </c>
      <c r="BE116">
        <v>437500</v>
      </c>
      <c r="BF116">
        <v>437500</v>
      </c>
      <c r="BG116" t="s">
        <v>160</v>
      </c>
      <c r="BH116">
        <v>30</v>
      </c>
      <c r="BI116" t="s">
        <v>56</v>
      </c>
      <c r="BJ116" t="s">
        <v>161</v>
      </c>
      <c r="BK116">
        <v>396900</v>
      </c>
      <c r="BL116">
        <v>63200</v>
      </c>
      <c r="BM116">
        <v>333700</v>
      </c>
      <c r="BN116">
        <v>0</v>
      </c>
      <c r="BO116">
        <v>425816.70158803253</v>
      </c>
      <c r="BP116">
        <v>423584.79833911534</v>
      </c>
      <c r="BQ116">
        <f>(Sales[[#This Row],[DP1]]*Lookups!$B$61)+(Sales[[#This Row],[DP2]]*Lookups!$B$62)+(Sales[[#This Row],[DP3]]*Lookups!$B$63)</f>
        <v>2231.903241</v>
      </c>
      <c r="BR116">
        <f>Lookups!$B$58*0.6</f>
        <v>132535.48800000001</v>
      </c>
      <c r="BS116">
        <f>Lookups!$B$58*0.4</f>
        <v>88356.992000000013</v>
      </c>
      <c r="BT116">
        <f>Lookups!$B$59*Sales[[#This Row],[LnAcres]]</f>
        <v>-21795.969453044734</v>
      </c>
      <c r="BU116">
        <f>VLOOKUP(Sales[[#This Row],[Qlty]],Lookups!$A$66:$E$79,2,FALSE)</f>
        <v>32917.849192000001</v>
      </c>
      <c r="BV116">
        <f>VLOOKUP(Sales[[#This Row],[Cnd]],Lookups!$A$80:$E$91,2,FALSE)</f>
        <v>47371.278778200001</v>
      </c>
      <c r="BW116">
        <f>Sales[[#This Row],[EffAge]]*Lookups!$B$65</f>
        <v>-326.22329999999999</v>
      </c>
      <c r="BX116">
        <f>Sales[[#This Row],[MainFn]]*Lookups!$B$90</f>
        <v>125444.86380000001</v>
      </c>
      <c r="BY116">
        <f>Sales[[#This Row],[UpprFn]]*Lookups!$B$91</f>
        <v>0</v>
      </c>
      <c r="BZ116">
        <f>Sales[[#This Row],[Bsmt]]*Lookups!$B$95</f>
        <v>0</v>
      </c>
      <c r="CA116">
        <f>VLOOKUP(Sales[[#This Row],[MsnryTrim]],Lookups!$A$90:$E$99,2,FALSE)</f>
        <v>4112.8784489</v>
      </c>
      <c r="CB116">
        <f>Sales[[#This Row],[PrefabFP]]*Lookups!$B$92</f>
        <v>0</v>
      </c>
      <c r="CC116">
        <f>Sales[[#This Row],[AttGar]]*Lookups!$B$93</f>
        <v>14967.637144</v>
      </c>
      <c r="CD116">
        <f>Sales[[#This Row],[BltinGar]]*Lookups!$B$94</f>
        <v>0</v>
      </c>
      <c r="CE116">
        <f>SUM(Sales[[#This Row],[Days Prior Total]:[Mdl BltinGar]])</f>
        <v>425816.69785105524</v>
      </c>
      <c r="CF116">
        <f>ROUND(Sales[[#This Row],[25Det]],-2)</f>
        <v>0</v>
      </c>
      <c r="CG116">
        <f>ROUND(SUM(Sales[[#This Row],[Mdl Qlty]:[Mdl BltinGar]])+Sales[[#This Row],[Mdl Res Intercept]]+Sales[[#This Row],[Days Prior Total]],-2)</f>
        <v>359300</v>
      </c>
      <c r="CH116">
        <f>ROUND(Sales[[#This Row],[Mdl Land Intercept]]+Sales[[#This Row],[Mdl LnAcres]],-2)</f>
        <v>66600</v>
      </c>
      <c r="CI116">
        <f>Sales[[#This Row],[Unadj Res Value]]+Sales[[#This Row],[Unadj Det Value]]+Sales[[#This Row],[Unadj Land Value]]</f>
        <v>425900</v>
      </c>
      <c r="CJ116" s="10">
        <f>Sales[[#This Row],[Price]]/Sales[[#This Row],[Unadj Total Value]]</f>
        <v>1.0272364404789858</v>
      </c>
      <c r="CK116" s="10">
        <f>(Sales[[#This Row],[Unadj Total Value]]-Sales[[#This Row],[24Final]])/Sales[[#This Row],[24Final]]</f>
        <v>7.3066263542454019E-2</v>
      </c>
      <c r="CL116">
        <f>VLOOKUP(Sales[[#This Row],[TNbhd]],Lookups!$M$3:$P$5,4,FALSE)</f>
        <v>0.99970000000000003</v>
      </c>
      <c r="CM116">
        <f>VLOOKUP(Sales[[#This Row],[Qlty]],Lookups!$M$8:$P$22,4,FALSE)</f>
        <v>1.0019</v>
      </c>
      <c r="CN116">
        <f>VLOOKUP(Sales[[#This Row],[Cnd]],Lookups!$R$8:$U$17,4,FALSE)</f>
        <v>1.0012000000000001</v>
      </c>
      <c r="CO116">
        <f>VLOOKUP(Sales[[#This Row],[LivArea Range]],Lookups!$R$25:$U$43,4,FALSE)</f>
        <v>1.0008999999999999</v>
      </c>
      <c r="CP116">
        <f>VLOOKUP(Sales[[#This Row],[Decade]],Lookups!$M$24:$P$40,4,FALSE)</f>
        <v>1.0024</v>
      </c>
      <c r="CQ116">
        <f>Sales[[#This Row],[Nbhd Adj]]*0.95</f>
        <v>0.94971499999999998</v>
      </c>
      <c r="CR116">
        <f>Sales[[#This Row],[Nbhd Adj]]*Sales[[#This Row],[Quality Adj]]*Sales[[#This Row],[Condition Adj]]*Sales[[#This Row],[Living Area Adj]]*Sales[[#This Row],[Decade Adj]]*0.95</f>
        <v>0.95580712182867422</v>
      </c>
      <c r="CS116">
        <f>ROUND(SUM(Sales[[#This Row],[Mdl Qlty]:[Mdl BltinGar]])+Sales[[#This Row],[Mdl Res Intercept]]*Sales[[#This Row],[Res Adj ]],-2)</f>
        <v>351200</v>
      </c>
      <c r="CT116">
        <f>ROUND(Sales[[#This Row],[25Det]]*Sales[[#This Row],[Det/Nbhd Adj]],-2)</f>
        <v>0</v>
      </c>
      <c r="CU116">
        <f>Sales[[#This Row],[Adjusted Res]]+Sales[[#This Row],[Adj Det ]]</f>
        <v>351200</v>
      </c>
      <c r="CV116">
        <f>ROUND((Sales[[#This Row],[Mdl Land Intercept]]+Sales[[#This Row],[Mdl LnAcres]])*Sales[[#This Row],[Det/Nbhd Adj]],-2)</f>
        <v>63200</v>
      </c>
      <c r="CW116">
        <f>Sales[[#This Row],[Adjusted Impr Total]]+Sales[[#This Row],[Adjusted Land Total]]</f>
        <v>414400</v>
      </c>
      <c r="CX116" s="10">
        <f>IFERROR((Sales[[#This Row],[Adjusted Impr Total]]-Sales[[#This Row],[24Bldg]])/Sales[[#This Row],[24Bldg]],0)</f>
        <v>5.2442313455199278E-2</v>
      </c>
      <c r="CY116" s="10">
        <f>(Sales[[#This Row],[Adjusted Land Total]]-Sales[[#This Row],[24Lnd]])/Sales[[#This Row],[24Lnd]]</f>
        <v>0</v>
      </c>
      <c r="CZ116">
        <f>(Sales[[#This Row],[Adjusted Total]]-Sales[[#This Row],[24Final]])/Sales[[#This Row],[24Final]]</f>
        <v>4.4091710758377423E-2</v>
      </c>
      <c r="DA116" s="10">
        <f>(Sales[[#This Row],[Adjusted Total]]+Sales[[#This Row],[Days Prior Total]])/Sales[[#This Row],[Price]]</f>
        <v>0.95230149312228574</v>
      </c>
    </row>
    <row r="117" spans="1:105">
      <c r="A117">
        <v>2025</v>
      </c>
      <c r="B117">
        <v>19133514425</v>
      </c>
      <c r="C117">
        <v>-1.7147984280919266</v>
      </c>
      <c r="D117">
        <v>0.18</v>
      </c>
      <c r="E117">
        <v>8010</v>
      </c>
      <c r="F117">
        <v>2</v>
      </c>
      <c r="G117" t="s">
        <v>155</v>
      </c>
      <c r="H117">
        <v>317</v>
      </c>
      <c r="I117" t="s">
        <v>5</v>
      </c>
      <c r="J117" t="s">
        <v>212</v>
      </c>
      <c r="K117">
        <v>11</v>
      </c>
      <c r="L117">
        <v>259</v>
      </c>
      <c r="M117" t="s">
        <v>157</v>
      </c>
      <c r="N117" t="s">
        <v>21</v>
      </c>
      <c r="O117" t="s">
        <v>24</v>
      </c>
      <c r="P117">
        <v>2021</v>
      </c>
      <c r="Q117">
        <v>2021</v>
      </c>
      <c r="R117">
        <v>10</v>
      </c>
      <c r="S117">
        <v>3</v>
      </c>
      <c r="T117">
        <v>3</v>
      </c>
      <c r="U117">
        <v>2</v>
      </c>
      <c r="V117">
        <v>1111</v>
      </c>
      <c r="W117">
        <v>1126</v>
      </c>
      <c r="X117">
        <v>0</v>
      </c>
      <c r="Y117">
        <v>0</v>
      </c>
      <c r="Z117">
        <v>0</v>
      </c>
      <c r="AA117">
        <v>0</v>
      </c>
      <c r="AB117">
        <v>2237</v>
      </c>
      <c r="AC117">
        <v>2500</v>
      </c>
      <c r="AD117">
        <v>2</v>
      </c>
      <c r="AE117" t="s">
        <v>56</v>
      </c>
      <c r="AF117" t="s">
        <v>158</v>
      </c>
      <c r="AG117" t="s">
        <v>27</v>
      </c>
      <c r="AI117">
        <v>0</v>
      </c>
      <c r="AJ117">
        <v>0</v>
      </c>
      <c r="AK117">
        <v>0</v>
      </c>
      <c r="AL117">
        <v>0</v>
      </c>
      <c r="AM117">
        <v>1</v>
      </c>
      <c r="AN117">
        <v>13</v>
      </c>
      <c r="AO117">
        <v>455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100</v>
      </c>
      <c r="AV117">
        <v>100</v>
      </c>
      <c r="AW117">
        <v>407747</v>
      </c>
      <c r="AX117">
        <v>403670</v>
      </c>
      <c r="AY117">
        <v>894</v>
      </c>
      <c r="AZ117">
        <v>365</v>
      </c>
      <c r="BA117">
        <v>365</v>
      </c>
      <c r="BB117">
        <v>164</v>
      </c>
      <c r="BC117" s="2">
        <v>44398</v>
      </c>
      <c r="BD117" t="s">
        <v>276</v>
      </c>
      <c r="BE117">
        <v>368825</v>
      </c>
      <c r="BF117">
        <v>368825</v>
      </c>
      <c r="BG117" t="s">
        <v>160</v>
      </c>
      <c r="BH117">
        <v>30</v>
      </c>
      <c r="BI117" t="s">
        <v>56</v>
      </c>
      <c r="BJ117" t="s">
        <v>161</v>
      </c>
      <c r="BK117">
        <v>434700</v>
      </c>
      <c r="BL117">
        <v>62500</v>
      </c>
      <c r="BM117">
        <v>372200</v>
      </c>
      <c r="BN117">
        <v>0</v>
      </c>
      <c r="BO117">
        <v>362718.30615594849</v>
      </c>
      <c r="BP117">
        <v>421424.53295566817</v>
      </c>
      <c r="BQ117">
        <f>(Sales[[#This Row],[DP1]]*Lookups!$B$61)+(Sales[[#This Row],[DP2]]*Lookups!$B$62)+(Sales[[#This Row],[DP3]]*Lookups!$B$63)</f>
        <v>-58706.224231</v>
      </c>
      <c r="BR117">
        <f>Lookups!$B$58*0.6</f>
        <v>132535.48800000001</v>
      </c>
      <c r="BS117">
        <f>Lookups!$B$58*0.4</f>
        <v>88356.992000000013</v>
      </c>
      <c r="BT117">
        <f>Lookups!$B$59*Sales[[#This Row],[LnAcres]]</f>
        <v>-22505.565020573864</v>
      </c>
      <c r="BU117">
        <f>VLOOKUP(Sales[[#This Row],[Qlty]],Lookups!$A$66:$E$79,2,FALSE)</f>
        <v>32917.849192000001</v>
      </c>
      <c r="BV117">
        <f>VLOOKUP(Sales[[#This Row],[Cnd]],Lookups!$A$80:$E$91,2,FALSE)</f>
        <v>47371.278778200001</v>
      </c>
      <c r="BW117">
        <f>Sales[[#This Row],[EffAge]]*Lookups!$B$65</f>
        <v>-326.22329999999999</v>
      </c>
      <c r="BX117">
        <f>Sales[[#This Row],[MainFn]]*Lookups!$B$90</f>
        <v>69337.932180000003</v>
      </c>
      <c r="BY117">
        <f>Sales[[#This Row],[UpprFn]]*Lookups!$B$91</f>
        <v>67087.511257999999</v>
      </c>
      <c r="BZ117">
        <f>Sales[[#This Row],[Bsmt]]*Lookups!$B$95</f>
        <v>0</v>
      </c>
      <c r="CA117">
        <f>VLOOKUP(Sales[[#This Row],[MsnryTrim]],Lookups!$A$90:$E$99,2,FALSE)</f>
        <v>-9412.7029999999995</v>
      </c>
      <c r="CB117">
        <f>Sales[[#This Row],[PrefabFP]]*Lookups!$B$92</f>
        <v>0</v>
      </c>
      <c r="CC117">
        <f>Sales[[#This Row],[AttGar]]*Lookups!$B$93</f>
        <v>16061.969105</v>
      </c>
      <c r="CD117">
        <f>Sales[[#This Row],[BltinGar]]*Lookups!$B$94</f>
        <v>0</v>
      </c>
      <c r="CE117">
        <f>SUM(Sales[[#This Row],[Days Prior Total]:[Mdl BltinGar]])</f>
        <v>362718.30496162624</v>
      </c>
      <c r="CF117">
        <f>ROUND(Sales[[#This Row],[25Det]],-2)</f>
        <v>0</v>
      </c>
      <c r="CG117">
        <f>ROUND(SUM(Sales[[#This Row],[Mdl Qlty]:[Mdl BltinGar]])+Sales[[#This Row],[Mdl Res Intercept]]+Sales[[#This Row],[Days Prior Total]],-2)</f>
        <v>296900</v>
      </c>
      <c r="CH117">
        <f>ROUND(Sales[[#This Row],[Mdl Land Intercept]]+Sales[[#This Row],[Mdl LnAcres]],-2)</f>
        <v>65900</v>
      </c>
      <c r="CI117">
        <f>Sales[[#This Row],[Unadj Res Value]]+Sales[[#This Row],[Unadj Det Value]]+Sales[[#This Row],[Unadj Land Value]]</f>
        <v>362800</v>
      </c>
      <c r="CJ117" s="10">
        <f>Sales[[#This Row],[Price]]/Sales[[#This Row],[Unadj Total Value]]</f>
        <v>1.0166069459757443</v>
      </c>
      <c r="CK117" s="10">
        <f>(Sales[[#This Row],[Unadj Total Value]]-Sales[[#This Row],[24Final]])/Sales[[#This Row],[24Final]]</f>
        <v>-0.1654014262709915</v>
      </c>
      <c r="CL117">
        <f>VLOOKUP(Sales[[#This Row],[TNbhd]],Lookups!$M$3:$P$5,4,FALSE)</f>
        <v>0.99970000000000003</v>
      </c>
      <c r="CM117">
        <f>VLOOKUP(Sales[[#This Row],[Qlty]],Lookups!$M$8:$P$22,4,FALSE)</f>
        <v>1.0019</v>
      </c>
      <c r="CN117">
        <f>VLOOKUP(Sales[[#This Row],[Cnd]],Lookups!$R$8:$U$17,4,FALSE)</f>
        <v>1.0012000000000001</v>
      </c>
      <c r="CO117">
        <f>VLOOKUP(Sales[[#This Row],[LivArea Range]],Lookups!$R$25:$U$43,4,FALSE)</f>
        <v>1.0008999999999999</v>
      </c>
      <c r="CP117">
        <f>VLOOKUP(Sales[[#This Row],[Decade]],Lookups!$M$24:$P$40,4,FALSE)</f>
        <v>1.0024</v>
      </c>
      <c r="CQ117">
        <f>Sales[[#This Row],[Nbhd Adj]]*0.95</f>
        <v>0.94971499999999998</v>
      </c>
      <c r="CR117">
        <f>Sales[[#This Row],[Nbhd Adj]]*Sales[[#This Row],[Quality Adj]]*Sales[[#This Row],[Condition Adj]]*Sales[[#This Row],[Living Area Adj]]*Sales[[#This Row],[Decade Adj]]*0.95</f>
        <v>0.95580712182867422</v>
      </c>
      <c r="CS117">
        <f>ROUND(SUM(Sales[[#This Row],[Mdl Qlty]:[Mdl BltinGar]])+Sales[[#This Row],[Mdl Res Intercept]]*Sales[[#This Row],[Res Adj ]],-2)</f>
        <v>349700</v>
      </c>
      <c r="CT117">
        <f>ROUND(Sales[[#This Row],[25Det]]*Sales[[#This Row],[Det/Nbhd Adj]],-2)</f>
        <v>0</v>
      </c>
      <c r="CU117">
        <f>Sales[[#This Row],[Adjusted Res]]+Sales[[#This Row],[Adj Det ]]</f>
        <v>349700</v>
      </c>
      <c r="CV117">
        <f>ROUND((Sales[[#This Row],[Mdl Land Intercept]]+Sales[[#This Row],[Mdl LnAcres]])*Sales[[#This Row],[Det/Nbhd Adj]],-2)</f>
        <v>62500</v>
      </c>
      <c r="CW117">
        <f>Sales[[#This Row],[Adjusted Impr Total]]+Sales[[#This Row],[Adjusted Land Total]]</f>
        <v>412200</v>
      </c>
      <c r="CX117" s="10">
        <f>IFERROR((Sales[[#This Row],[Adjusted Impr Total]]-Sales[[#This Row],[24Bldg]])/Sales[[#This Row],[24Bldg]],0)</f>
        <v>-6.0451370231058572E-2</v>
      </c>
      <c r="CY117" s="10">
        <f>(Sales[[#This Row],[Adjusted Land Total]]-Sales[[#This Row],[24Lnd]])/Sales[[#This Row],[24Lnd]]</f>
        <v>0</v>
      </c>
      <c r="CZ117">
        <f>(Sales[[#This Row],[Adjusted Total]]-Sales[[#This Row],[24Final]])/Sales[[#This Row],[24Final]]</f>
        <v>-5.1759834368530024E-2</v>
      </c>
      <c r="DA117" s="10">
        <f>(Sales[[#This Row],[Adjusted Total]]+Sales[[#This Row],[Days Prior Total]])/Sales[[#This Row],[Price]]</f>
        <v>0.95843225315257918</v>
      </c>
    </row>
    <row r="118" spans="1:105">
      <c r="A118">
        <v>2025</v>
      </c>
      <c r="B118">
        <v>19133514426</v>
      </c>
      <c r="C118">
        <v>-1.7719568419318752</v>
      </c>
      <c r="D118">
        <v>0.17</v>
      </c>
      <c r="E118">
        <v>7198</v>
      </c>
      <c r="F118">
        <v>2</v>
      </c>
      <c r="G118" t="s">
        <v>155</v>
      </c>
      <c r="H118">
        <v>317</v>
      </c>
      <c r="I118" t="s">
        <v>5</v>
      </c>
      <c r="J118" t="s">
        <v>212</v>
      </c>
      <c r="K118">
        <v>11</v>
      </c>
      <c r="L118">
        <v>259</v>
      </c>
      <c r="M118" t="s">
        <v>157</v>
      </c>
      <c r="N118" t="s">
        <v>21</v>
      </c>
      <c r="O118" t="s">
        <v>24</v>
      </c>
      <c r="P118">
        <v>2021</v>
      </c>
      <c r="Q118">
        <v>2021</v>
      </c>
      <c r="R118">
        <v>10</v>
      </c>
      <c r="S118">
        <v>3</v>
      </c>
      <c r="T118">
        <v>3</v>
      </c>
      <c r="U118">
        <v>2</v>
      </c>
      <c r="V118">
        <v>1073</v>
      </c>
      <c r="W118">
        <v>1331</v>
      </c>
      <c r="X118">
        <v>0</v>
      </c>
      <c r="Y118">
        <v>0</v>
      </c>
      <c r="Z118">
        <v>0</v>
      </c>
      <c r="AA118">
        <v>0</v>
      </c>
      <c r="AB118">
        <v>2404</v>
      </c>
      <c r="AC118">
        <v>2500</v>
      </c>
      <c r="AD118">
        <v>2</v>
      </c>
      <c r="AE118" t="s">
        <v>56</v>
      </c>
      <c r="AF118" t="s">
        <v>158</v>
      </c>
      <c r="AG118" t="s">
        <v>27</v>
      </c>
      <c r="AI118">
        <v>0</v>
      </c>
      <c r="AJ118">
        <v>0</v>
      </c>
      <c r="AK118">
        <v>0</v>
      </c>
      <c r="AL118">
        <v>0</v>
      </c>
      <c r="AM118">
        <v>1</v>
      </c>
      <c r="AN118">
        <v>14</v>
      </c>
      <c r="AO118">
        <v>0</v>
      </c>
      <c r="AP118">
        <v>500</v>
      </c>
      <c r="AQ118">
        <v>0</v>
      </c>
      <c r="AR118">
        <v>0</v>
      </c>
      <c r="AS118">
        <v>144</v>
      </c>
      <c r="AT118">
        <v>0</v>
      </c>
      <c r="AU118">
        <v>100</v>
      </c>
      <c r="AV118">
        <v>100</v>
      </c>
      <c r="AW118">
        <v>426820</v>
      </c>
      <c r="AX118">
        <v>422552</v>
      </c>
      <c r="AY118">
        <v>829</v>
      </c>
      <c r="AZ118">
        <v>365</v>
      </c>
      <c r="BA118">
        <v>365</v>
      </c>
      <c r="BB118">
        <v>99</v>
      </c>
      <c r="BC118" s="2">
        <v>44463</v>
      </c>
      <c r="BD118" t="s">
        <v>277</v>
      </c>
      <c r="BE118">
        <v>359850</v>
      </c>
      <c r="BF118">
        <v>359850</v>
      </c>
      <c r="BG118" t="s">
        <v>160</v>
      </c>
      <c r="BH118">
        <v>30</v>
      </c>
      <c r="BI118" t="s">
        <v>56</v>
      </c>
      <c r="BJ118" t="s">
        <v>161</v>
      </c>
      <c r="BK118">
        <v>437000</v>
      </c>
      <c r="BL118">
        <v>61700</v>
      </c>
      <c r="BM118">
        <v>375300</v>
      </c>
      <c r="BN118">
        <v>0</v>
      </c>
      <c r="BO118">
        <v>395331.91728542652</v>
      </c>
      <c r="BP118">
        <v>439153.18252691696</v>
      </c>
      <c r="BQ118">
        <f>(Sales[[#This Row],[DP1]]*Lookups!$B$61)+(Sales[[#This Row],[DP2]]*Lookups!$B$62)+(Sales[[#This Row],[DP3]]*Lookups!$B$63)</f>
        <v>-43821.263231000004</v>
      </c>
      <c r="BR118">
        <f>Lookups!$B$58*0.6</f>
        <v>132535.48800000001</v>
      </c>
      <c r="BS118">
        <f>Lookups!$B$58*0.4</f>
        <v>88356.992000000013</v>
      </c>
      <c r="BT118">
        <f>Lookups!$B$59*Sales[[#This Row],[LnAcres]]</f>
        <v>-23255.730391660189</v>
      </c>
      <c r="BU118">
        <f>VLOOKUP(Sales[[#This Row],[Qlty]],Lookups!$A$66:$E$79,2,FALSE)</f>
        <v>32917.849192000001</v>
      </c>
      <c r="BV118">
        <f>VLOOKUP(Sales[[#This Row],[Cnd]],Lookups!$A$80:$E$91,2,FALSE)</f>
        <v>47371.278778200001</v>
      </c>
      <c r="BW118">
        <f>Sales[[#This Row],[EffAge]]*Lookups!$B$65</f>
        <v>-326.22329999999999</v>
      </c>
      <c r="BX118">
        <f>Sales[[#This Row],[MainFn]]*Lookups!$B$90</f>
        <v>66966.337740000003</v>
      </c>
      <c r="BY118">
        <f>Sales[[#This Row],[UpprFn]]*Lookups!$B$91</f>
        <v>79301.489772999994</v>
      </c>
      <c r="BZ118">
        <f>Sales[[#This Row],[Bsmt]]*Lookups!$B$95</f>
        <v>0</v>
      </c>
      <c r="CA118">
        <f>VLOOKUP(Sales[[#This Row],[MsnryTrim]],Lookups!$A$90:$E$99,2,FALSE)</f>
        <v>-9412.7029999999995</v>
      </c>
      <c r="CB118">
        <f>Sales[[#This Row],[PrefabFP]]*Lookups!$B$92</f>
        <v>0</v>
      </c>
      <c r="CC118">
        <f>Sales[[#This Row],[AttGar]]*Lookups!$B$93</f>
        <v>0</v>
      </c>
      <c r="CD118">
        <f>Sales[[#This Row],[BltinGar]]*Lookups!$B$94</f>
        <v>24698.399999999998</v>
      </c>
      <c r="CE118">
        <f>SUM(Sales[[#This Row],[Days Prior Total]:[Mdl BltinGar]])</f>
        <v>395331.91556053987</v>
      </c>
      <c r="CF118">
        <f>ROUND(Sales[[#This Row],[25Det]],-2)</f>
        <v>0</v>
      </c>
      <c r="CG118">
        <f>ROUND(SUM(Sales[[#This Row],[Mdl Qlty]:[Mdl BltinGar]])+Sales[[#This Row],[Mdl Res Intercept]]+Sales[[#This Row],[Days Prior Total]],-2)</f>
        <v>330200</v>
      </c>
      <c r="CH118">
        <f>ROUND(Sales[[#This Row],[Mdl Land Intercept]]+Sales[[#This Row],[Mdl LnAcres]],-2)</f>
        <v>65100</v>
      </c>
      <c r="CI118">
        <f>Sales[[#This Row],[Unadj Res Value]]+Sales[[#This Row],[Unadj Det Value]]+Sales[[#This Row],[Unadj Land Value]]</f>
        <v>395300</v>
      </c>
      <c r="CJ118" s="10">
        <f>Sales[[#This Row],[Price]]/Sales[[#This Row],[Unadj Total Value]]</f>
        <v>0.91032127498102711</v>
      </c>
      <c r="CK118" s="10">
        <f>(Sales[[#This Row],[Unadj Total Value]]-Sales[[#This Row],[24Final]])/Sales[[#This Row],[24Final]]</f>
        <v>-9.5423340961098405E-2</v>
      </c>
      <c r="CL118">
        <f>VLOOKUP(Sales[[#This Row],[TNbhd]],Lookups!$M$3:$P$5,4,FALSE)</f>
        <v>0.99970000000000003</v>
      </c>
      <c r="CM118">
        <f>VLOOKUP(Sales[[#This Row],[Qlty]],Lookups!$M$8:$P$22,4,FALSE)</f>
        <v>1.0019</v>
      </c>
      <c r="CN118">
        <f>VLOOKUP(Sales[[#This Row],[Cnd]],Lookups!$R$8:$U$17,4,FALSE)</f>
        <v>1.0012000000000001</v>
      </c>
      <c r="CO118">
        <f>VLOOKUP(Sales[[#This Row],[LivArea Range]],Lookups!$R$25:$U$43,4,FALSE)</f>
        <v>1.0008999999999999</v>
      </c>
      <c r="CP118">
        <f>VLOOKUP(Sales[[#This Row],[Decade]],Lookups!$M$24:$P$40,4,FALSE)</f>
        <v>1.0024</v>
      </c>
      <c r="CQ118">
        <f>Sales[[#This Row],[Nbhd Adj]]*0.95</f>
        <v>0.94971499999999998</v>
      </c>
      <c r="CR118">
        <f>Sales[[#This Row],[Nbhd Adj]]*Sales[[#This Row],[Quality Adj]]*Sales[[#This Row],[Condition Adj]]*Sales[[#This Row],[Living Area Adj]]*Sales[[#This Row],[Decade Adj]]*0.95</f>
        <v>0.95580712182867422</v>
      </c>
      <c r="CS118">
        <f>ROUND(SUM(Sales[[#This Row],[Mdl Qlty]:[Mdl BltinGar]])+Sales[[#This Row],[Mdl Res Intercept]]*Sales[[#This Row],[Res Adj ]],-2)</f>
        <v>368200</v>
      </c>
      <c r="CT118">
        <f>ROUND(Sales[[#This Row],[25Det]]*Sales[[#This Row],[Det/Nbhd Adj]],-2)</f>
        <v>0</v>
      </c>
      <c r="CU118">
        <f>Sales[[#This Row],[Adjusted Res]]+Sales[[#This Row],[Adj Det ]]</f>
        <v>368200</v>
      </c>
      <c r="CV118">
        <f>ROUND((Sales[[#This Row],[Mdl Land Intercept]]+Sales[[#This Row],[Mdl LnAcres]])*Sales[[#This Row],[Det/Nbhd Adj]],-2)</f>
        <v>61800</v>
      </c>
      <c r="CW118">
        <f>Sales[[#This Row],[Adjusted Impr Total]]+Sales[[#This Row],[Adjusted Land Total]]</f>
        <v>430000</v>
      </c>
      <c r="CX118" s="10">
        <f>IFERROR((Sales[[#This Row],[Adjusted Impr Total]]-Sales[[#This Row],[24Bldg]])/Sales[[#This Row],[24Bldg]],0)</f>
        <v>-1.8918198774313881E-2</v>
      </c>
      <c r="CY118" s="10">
        <f>(Sales[[#This Row],[Adjusted Land Total]]-Sales[[#This Row],[24Lnd]])/Sales[[#This Row],[24Lnd]]</f>
        <v>1.6207455429497568E-3</v>
      </c>
      <c r="CZ118">
        <f>(Sales[[#This Row],[Adjusted Total]]-Sales[[#This Row],[24Final]])/Sales[[#This Row],[24Final]]</f>
        <v>-1.6018306636155607E-2</v>
      </c>
      <c r="DA118" s="10">
        <f>(Sales[[#This Row],[Adjusted Total]]+Sales[[#This Row],[Days Prior Total]])/Sales[[#This Row],[Price]]</f>
        <v>1.0731658656912604</v>
      </c>
    </row>
    <row r="119" spans="1:105">
      <c r="A119">
        <v>2025</v>
      </c>
      <c r="B119">
        <v>19133514427</v>
      </c>
      <c r="C119">
        <v>-1.7147984280919266</v>
      </c>
      <c r="D119">
        <v>0.18</v>
      </c>
      <c r="E119">
        <v>7762</v>
      </c>
      <c r="F119">
        <v>2</v>
      </c>
      <c r="G119" t="s">
        <v>155</v>
      </c>
      <c r="H119">
        <v>317</v>
      </c>
      <c r="I119" t="s">
        <v>5</v>
      </c>
      <c r="J119" t="s">
        <v>212</v>
      </c>
      <c r="K119">
        <v>11</v>
      </c>
      <c r="L119">
        <v>259</v>
      </c>
      <c r="M119" t="s">
        <v>157</v>
      </c>
      <c r="N119" t="s">
        <v>21</v>
      </c>
      <c r="O119" t="s">
        <v>24</v>
      </c>
      <c r="P119">
        <v>2021</v>
      </c>
      <c r="Q119">
        <v>2021</v>
      </c>
      <c r="R119">
        <v>10</v>
      </c>
      <c r="S119">
        <v>3</v>
      </c>
      <c r="T119">
        <v>3</v>
      </c>
      <c r="U119">
        <v>2</v>
      </c>
      <c r="V119">
        <v>1650</v>
      </c>
      <c r="W119">
        <v>1346</v>
      </c>
      <c r="X119">
        <v>0</v>
      </c>
      <c r="Y119">
        <v>0</v>
      </c>
      <c r="Z119">
        <v>0</v>
      </c>
      <c r="AA119">
        <v>0</v>
      </c>
      <c r="AB119">
        <v>2996</v>
      </c>
      <c r="AC119">
        <v>3000</v>
      </c>
      <c r="AD119">
        <v>3</v>
      </c>
      <c r="AE119" t="s">
        <v>56</v>
      </c>
      <c r="AF119" t="s">
        <v>158</v>
      </c>
      <c r="AG119" t="s">
        <v>27</v>
      </c>
      <c r="AI119">
        <v>0</v>
      </c>
      <c r="AJ119">
        <v>0</v>
      </c>
      <c r="AK119">
        <v>0</v>
      </c>
      <c r="AL119">
        <v>0</v>
      </c>
      <c r="AM119">
        <v>1</v>
      </c>
      <c r="AN119">
        <v>19</v>
      </c>
      <c r="AO119">
        <v>660</v>
      </c>
      <c r="AP119">
        <v>0</v>
      </c>
      <c r="AQ119">
        <v>0</v>
      </c>
      <c r="AR119">
        <v>0</v>
      </c>
      <c r="AS119">
        <v>240</v>
      </c>
      <c r="AT119">
        <v>0</v>
      </c>
      <c r="AU119">
        <v>100</v>
      </c>
      <c r="AV119">
        <v>100</v>
      </c>
      <c r="AW119">
        <v>530083</v>
      </c>
      <c r="AX119">
        <v>524782</v>
      </c>
      <c r="AY119">
        <v>941</v>
      </c>
      <c r="AZ119">
        <v>365</v>
      </c>
      <c r="BA119">
        <v>365</v>
      </c>
      <c r="BB119">
        <v>211</v>
      </c>
      <c r="BC119" s="2">
        <v>44351</v>
      </c>
      <c r="BD119" t="s">
        <v>278</v>
      </c>
      <c r="BE119">
        <v>418223</v>
      </c>
      <c r="BF119">
        <v>418223</v>
      </c>
      <c r="BG119" t="s">
        <v>160</v>
      </c>
      <c r="BH119">
        <v>30</v>
      </c>
      <c r="BI119" t="s">
        <v>56</v>
      </c>
      <c r="BJ119" t="s">
        <v>161</v>
      </c>
      <c r="BK119">
        <v>471200</v>
      </c>
      <c r="BL119">
        <v>62500</v>
      </c>
      <c r="BM119">
        <v>408700</v>
      </c>
      <c r="BN119">
        <v>0</v>
      </c>
      <c r="BO119">
        <v>405938.92426363309</v>
      </c>
      <c r="BP119">
        <v>475408.12326699542</v>
      </c>
      <c r="BQ119">
        <f>(Sales[[#This Row],[DP1]]*Lookups!$B$61)+(Sales[[#This Row],[DP2]]*Lookups!$B$62)+(Sales[[#This Row],[DP3]]*Lookups!$B$63)</f>
        <v>-69469.196030999999</v>
      </c>
      <c r="BR119">
        <f>Lookups!$B$58*0.6</f>
        <v>132535.48800000001</v>
      </c>
      <c r="BS119">
        <f>Lookups!$B$58*0.4</f>
        <v>88356.992000000013</v>
      </c>
      <c r="BT119">
        <f>Lookups!$B$59*Sales[[#This Row],[LnAcres]]</f>
        <v>-22505.565020573864</v>
      </c>
      <c r="BU119">
        <f>VLOOKUP(Sales[[#This Row],[Qlty]],Lookups!$A$66:$E$79,2,FALSE)</f>
        <v>32917.849192000001</v>
      </c>
      <c r="BV119">
        <f>VLOOKUP(Sales[[#This Row],[Cnd]],Lookups!$A$80:$E$91,2,FALSE)</f>
        <v>47371.278778200001</v>
      </c>
      <c r="BW119">
        <f>Sales[[#This Row],[EffAge]]*Lookups!$B$65</f>
        <v>-326.22329999999999</v>
      </c>
      <c r="BX119">
        <f>Sales[[#This Row],[MainFn]]*Lookups!$B$90</f>
        <v>102977.12700000001</v>
      </c>
      <c r="BY119">
        <f>Sales[[#This Row],[UpprFn]]*Lookups!$B$91</f>
        <v>80195.195517999993</v>
      </c>
      <c r="BZ119">
        <f>Sales[[#This Row],[Bsmt]]*Lookups!$B$95</f>
        <v>0</v>
      </c>
      <c r="CA119">
        <f>VLOOKUP(Sales[[#This Row],[MsnryTrim]],Lookups!$A$90:$E$99,2,FALSE)</f>
        <v>-9412.7029999999995</v>
      </c>
      <c r="CB119">
        <f>Sales[[#This Row],[PrefabFP]]*Lookups!$B$92</f>
        <v>0</v>
      </c>
      <c r="CC119">
        <f>Sales[[#This Row],[AttGar]]*Lookups!$B$93</f>
        <v>23298.68046</v>
      </c>
      <c r="CD119">
        <f>Sales[[#This Row],[BltinGar]]*Lookups!$B$94</f>
        <v>0</v>
      </c>
      <c r="CE119">
        <f>SUM(Sales[[#This Row],[Days Prior Total]:[Mdl BltinGar]])</f>
        <v>405938.92359662621</v>
      </c>
      <c r="CF119">
        <f>ROUND(Sales[[#This Row],[25Det]],-2)</f>
        <v>0</v>
      </c>
      <c r="CG119">
        <f>ROUND(SUM(Sales[[#This Row],[Mdl Qlty]:[Mdl BltinGar]])+Sales[[#This Row],[Mdl Res Intercept]]+Sales[[#This Row],[Days Prior Total]],-2)</f>
        <v>340100</v>
      </c>
      <c r="CH119">
        <f>ROUND(Sales[[#This Row],[Mdl Land Intercept]]+Sales[[#This Row],[Mdl LnAcres]],-2)</f>
        <v>65900</v>
      </c>
      <c r="CI119">
        <f>Sales[[#This Row],[Unadj Res Value]]+Sales[[#This Row],[Unadj Det Value]]+Sales[[#This Row],[Unadj Land Value]]</f>
        <v>406000</v>
      </c>
      <c r="CJ119" s="10">
        <f>Sales[[#This Row],[Price]]/Sales[[#This Row],[Unadj Total Value]]</f>
        <v>1.0301059113300493</v>
      </c>
      <c r="CK119" s="10">
        <f>(Sales[[#This Row],[Unadj Total Value]]-Sales[[#This Row],[24Final]])/Sales[[#This Row],[24Final]]</f>
        <v>-0.13837011884550085</v>
      </c>
      <c r="CL119">
        <f>VLOOKUP(Sales[[#This Row],[TNbhd]],Lookups!$M$3:$P$5,4,FALSE)</f>
        <v>0.99970000000000003</v>
      </c>
      <c r="CM119">
        <f>VLOOKUP(Sales[[#This Row],[Qlty]],Lookups!$M$8:$P$22,4,FALSE)</f>
        <v>1.0019</v>
      </c>
      <c r="CN119">
        <f>VLOOKUP(Sales[[#This Row],[Cnd]],Lookups!$R$8:$U$17,4,FALSE)</f>
        <v>1.0012000000000001</v>
      </c>
      <c r="CO119">
        <f>VLOOKUP(Sales[[#This Row],[LivArea Range]],Lookups!$R$25:$U$43,4,FALSE)</f>
        <v>1.0099</v>
      </c>
      <c r="CP119">
        <f>VLOOKUP(Sales[[#This Row],[Decade]],Lookups!$M$24:$P$40,4,FALSE)</f>
        <v>1.0024</v>
      </c>
      <c r="CQ119">
        <f>Sales[[#This Row],[Nbhd Adj]]*0.95</f>
        <v>0.94971499999999998</v>
      </c>
      <c r="CR119">
        <f>Sales[[#This Row],[Nbhd Adj]]*Sales[[#This Row],[Quality Adj]]*Sales[[#This Row],[Condition Adj]]*Sales[[#This Row],[Living Area Adj]]*Sales[[#This Row],[Decade Adj]]*0.95</f>
        <v>0.96440165084901408</v>
      </c>
      <c r="CS119">
        <f>ROUND(SUM(Sales[[#This Row],[Mdl Qlty]:[Mdl BltinGar]])+Sales[[#This Row],[Mdl Res Intercept]]*Sales[[#This Row],[Res Adj ]],-2)</f>
        <v>404800</v>
      </c>
      <c r="CT119">
        <f>ROUND(Sales[[#This Row],[25Det]]*Sales[[#This Row],[Det/Nbhd Adj]],-2)</f>
        <v>0</v>
      </c>
      <c r="CU119">
        <f>Sales[[#This Row],[Adjusted Res]]+Sales[[#This Row],[Adj Det ]]</f>
        <v>404800</v>
      </c>
      <c r="CV119">
        <f>ROUND((Sales[[#This Row],[Mdl Land Intercept]]+Sales[[#This Row],[Mdl LnAcres]])*Sales[[#This Row],[Det/Nbhd Adj]],-2)</f>
        <v>62500</v>
      </c>
      <c r="CW119">
        <f>Sales[[#This Row],[Adjusted Impr Total]]+Sales[[#This Row],[Adjusted Land Total]]</f>
        <v>467300</v>
      </c>
      <c r="CX119" s="10">
        <f>IFERROR((Sales[[#This Row],[Adjusted Impr Total]]-Sales[[#This Row],[24Bldg]])/Sales[[#This Row],[24Bldg]],0)</f>
        <v>-9.5424516760459991E-3</v>
      </c>
      <c r="CY119" s="10">
        <f>(Sales[[#This Row],[Adjusted Land Total]]-Sales[[#This Row],[24Lnd]])/Sales[[#This Row],[24Lnd]]</f>
        <v>0</v>
      </c>
      <c r="CZ119">
        <f>(Sales[[#This Row],[Adjusted Total]]-Sales[[#This Row],[24Final]])/Sales[[#This Row],[24Final]]</f>
        <v>-8.2767402376910017E-3</v>
      </c>
      <c r="DA119" s="10">
        <f>(Sales[[#This Row],[Adjusted Total]]+Sales[[#This Row],[Days Prior Total]])/Sales[[#This Row],[Price]]</f>
        <v>0.95124085468517994</v>
      </c>
    </row>
    <row r="120" spans="1:105">
      <c r="A120">
        <v>2025</v>
      </c>
      <c r="B120">
        <v>19133514428</v>
      </c>
      <c r="C120">
        <v>-1.7719568419318752</v>
      </c>
      <c r="D120">
        <v>0.17</v>
      </c>
      <c r="E120">
        <v>7520</v>
      </c>
      <c r="F120">
        <v>2</v>
      </c>
      <c r="G120" t="s">
        <v>155</v>
      </c>
      <c r="H120">
        <v>317</v>
      </c>
      <c r="I120" t="s">
        <v>5</v>
      </c>
      <c r="J120" t="s">
        <v>212</v>
      </c>
      <c r="K120">
        <v>11</v>
      </c>
      <c r="L120">
        <v>259</v>
      </c>
      <c r="M120" t="s">
        <v>157</v>
      </c>
      <c r="N120" t="s">
        <v>21</v>
      </c>
      <c r="O120" t="s">
        <v>24</v>
      </c>
      <c r="P120">
        <v>2021</v>
      </c>
      <c r="Q120">
        <v>2021</v>
      </c>
      <c r="R120">
        <v>10</v>
      </c>
      <c r="S120">
        <v>3</v>
      </c>
      <c r="T120">
        <v>3</v>
      </c>
      <c r="U120">
        <v>2</v>
      </c>
      <c r="V120">
        <v>1257</v>
      </c>
      <c r="W120">
        <v>1451</v>
      </c>
      <c r="X120">
        <v>0</v>
      </c>
      <c r="Y120">
        <v>0</v>
      </c>
      <c r="Z120">
        <v>0</v>
      </c>
      <c r="AA120">
        <v>0</v>
      </c>
      <c r="AB120">
        <v>2708</v>
      </c>
      <c r="AC120">
        <v>3000</v>
      </c>
      <c r="AD120">
        <v>3</v>
      </c>
      <c r="AE120" t="s">
        <v>56</v>
      </c>
      <c r="AF120" t="s">
        <v>158</v>
      </c>
      <c r="AG120" t="s">
        <v>27</v>
      </c>
      <c r="AI120">
        <v>0</v>
      </c>
      <c r="AJ120">
        <v>0</v>
      </c>
      <c r="AK120">
        <v>0</v>
      </c>
      <c r="AL120">
        <v>0</v>
      </c>
      <c r="AM120">
        <v>1</v>
      </c>
      <c r="AN120">
        <v>14</v>
      </c>
      <c r="AO120">
        <v>0</v>
      </c>
      <c r="AP120">
        <v>678</v>
      </c>
      <c r="AQ120">
        <v>0</v>
      </c>
      <c r="AR120">
        <v>0</v>
      </c>
      <c r="AS120">
        <v>0</v>
      </c>
      <c r="AT120">
        <v>0</v>
      </c>
      <c r="AU120">
        <v>100</v>
      </c>
      <c r="AV120">
        <v>100</v>
      </c>
      <c r="AW120">
        <v>477080</v>
      </c>
      <c r="AX120">
        <v>472309</v>
      </c>
      <c r="AY120">
        <v>833</v>
      </c>
      <c r="AZ120">
        <v>365</v>
      </c>
      <c r="BA120">
        <v>365</v>
      </c>
      <c r="BB120">
        <v>103</v>
      </c>
      <c r="BC120" s="2">
        <v>44459</v>
      </c>
      <c r="BD120" t="s">
        <v>279</v>
      </c>
      <c r="BE120">
        <v>394700</v>
      </c>
      <c r="BF120">
        <v>394700</v>
      </c>
      <c r="BG120" t="s">
        <v>160</v>
      </c>
      <c r="BH120">
        <v>30</v>
      </c>
      <c r="BI120" t="s">
        <v>56</v>
      </c>
      <c r="BJ120" t="s">
        <v>161</v>
      </c>
      <c r="BK120">
        <v>466500</v>
      </c>
      <c r="BL120">
        <v>61700</v>
      </c>
      <c r="BM120">
        <v>404800</v>
      </c>
      <c r="BN120">
        <v>0</v>
      </c>
      <c r="BO120">
        <v>421841.70585116878</v>
      </c>
      <c r="BP120">
        <v>466578.96872701182</v>
      </c>
      <c r="BQ120">
        <f>(Sales[[#This Row],[DP1]]*Lookups!$B$61)+(Sales[[#This Row],[DP2]]*Lookups!$B$62)+(Sales[[#This Row],[DP3]]*Lookups!$B$63)</f>
        <v>-44737.260831</v>
      </c>
      <c r="BR120">
        <f>Lookups!$B$58*0.6</f>
        <v>132535.48800000001</v>
      </c>
      <c r="BS120">
        <f>Lookups!$B$58*0.4</f>
        <v>88356.992000000013</v>
      </c>
      <c r="BT120">
        <f>Lookups!$B$59*Sales[[#This Row],[LnAcres]]</f>
        <v>-23255.730391660189</v>
      </c>
      <c r="BU120">
        <f>VLOOKUP(Sales[[#This Row],[Qlty]],Lookups!$A$66:$E$79,2,FALSE)</f>
        <v>32917.849192000001</v>
      </c>
      <c r="BV120">
        <f>VLOOKUP(Sales[[#This Row],[Cnd]],Lookups!$A$80:$E$91,2,FALSE)</f>
        <v>47371.278778200001</v>
      </c>
      <c r="BW120">
        <f>Sales[[#This Row],[EffAge]]*Lookups!$B$65</f>
        <v>-326.22329999999999</v>
      </c>
      <c r="BX120">
        <f>Sales[[#This Row],[MainFn]]*Lookups!$B$90</f>
        <v>78449.847659999999</v>
      </c>
      <c r="BY120">
        <f>Sales[[#This Row],[UpprFn]]*Lookups!$B$91</f>
        <v>86451.135733000003</v>
      </c>
      <c r="BZ120">
        <f>Sales[[#This Row],[Bsmt]]*Lookups!$B$95</f>
        <v>0</v>
      </c>
      <c r="CA120">
        <f>VLOOKUP(Sales[[#This Row],[MsnryTrim]],Lookups!$A$90:$E$99,2,FALSE)</f>
        <v>-9412.7029999999995</v>
      </c>
      <c r="CB120">
        <f>Sales[[#This Row],[PrefabFP]]*Lookups!$B$92</f>
        <v>0</v>
      </c>
      <c r="CC120">
        <f>Sales[[#This Row],[AttGar]]*Lookups!$B$93</f>
        <v>0</v>
      </c>
      <c r="CD120">
        <f>Sales[[#This Row],[BltinGar]]*Lookups!$B$94</f>
        <v>33491.030399999996</v>
      </c>
      <c r="CE120">
        <f>SUM(Sales[[#This Row],[Days Prior Total]:[Mdl BltinGar]])</f>
        <v>421841.70424053987</v>
      </c>
      <c r="CF120">
        <f>ROUND(Sales[[#This Row],[25Det]],-2)</f>
        <v>0</v>
      </c>
      <c r="CG120">
        <f>ROUND(SUM(Sales[[#This Row],[Mdl Qlty]:[Mdl BltinGar]])+Sales[[#This Row],[Mdl Res Intercept]]+Sales[[#This Row],[Days Prior Total]],-2)</f>
        <v>356700</v>
      </c>
      <c r="CH120">
        <f>ROUND(Sales[[#This Row],[Mdl Land Intercept]]+Sales[[#This Row],[Mdl LnAcres]],-2)</f>
        <v>65100</v>
      </c>
      <c r="CI120">
        <f>Sales[[#This Row],[Unadj Res Value]]+Sales[[#This Row],[Unadj Det Value]]+Sales[[#This Row],[Unadj Land Value]]</f>
        <v>421800</v>
      </c>
      <c r="CJ120" s="10">
        <f>Sales[[#This Row],[Price]]/Sales[[#This Row],[Unadj Total Value]]</f>
        <v>0.93575154101469893</v>
      </c>
      <c r="CK120" s="10">
        <f>(Sales[[#This Row],[Unadj Total Value]]-Sales[[#This Row],[24Final]])/Sales[[#This Row],[24Final]]</f>
        <v>-9.5819935691318331E-2</v>
      </c>
      <c r="CL120">
        <f>VLOOKUP(Sales[[#This Row],[TNbhd]],Lookups!$M$3:$P$5,4,FALSE)</f>
        <v>0.99970000000000003</v>
      </c>
      <c r="CM120">
        <f>VLOOKUP(Sales[[#This Row],[Qlty]],Lookups!$M$8:$P$22,4,FALSE)</f>
        <v>1.0019</v>
      </c>
      <c r="CN120">
        <f>VLOOKUP(Sales[[#This Row],[Cnd]],Lookups!$R$8:$U$17,4,FALSE)</f>
        <v>1.0012000000000001</v>
      </c>
      <c r="CO120">
        <f>VLOOKUP(Sales[[#This Row],[LivArea Range]],Lookups!$R$25:$U$43,4,FALSE)</f>
        <v>1.0099</v>
      </c>
      <c r="CP120">
        <f>VLOOKUP(Sales[[#This Row],[Decade]],Lookups!$M$24:$P$40,4,FALSE)</f>
        <v>1.0024</v>
      </c>
      <c r="CQ120">
        <f>Sales[[#This Row],[Nbhd Adj]]*0.95</f>
        <v>0.94971499999999998</v>
      </c>
      <c r="CR120">
        <f>Sales[[#This Row],[Nbhd Adj]]*Sales[[#This Row],[Quality Adj]]*Sales[[#This Row],[Condition Adj]]*Sales[[#This Row],[Living Area Adj]]*Sales[[#This Row],[Decade Adj]]*0.95</f>
        <v>0.96440165084901408</v>
      </c>
      <c r="CS120">
        <f>ROUND(SUM(Sales[[#This Row],[Mdl Qlty]:[Mdl BltinGar]])+Sales[[#This Row],[Mdl Res Intercept]]*Sales[[#This Row],[Res Adj ]],-2)</f>
        <v>396800</v>
      </c>
      <c r="CT120">
        <f>ROUND(Sales[[#This Row],[25Det]]*Sales[[#This Row],[Det/Nbhd Adj]],-2)</f>
        <v>0</v>
      </c>
      <c r="CU120">
        <f>Sales[[#This Row],[Adjusted Res]]+Sales[[#This Row],[Adj Det ]]</f>
        <v>396800</v>
      </c>
      <c r="CV120">
        <f>ROUND((Sales[[#This Row],[Mdl Land Intercept]]+Sales[[#This Row],[Mdl LnAcres]])*Sales[[#This Row],[Det/Nbhd Adj]],-2)</f>
        <v>61800</v>
      </c>
      <c r="CW120">
        <f>Sales[[#This Row],[Adjusted Impr Total]]+Sales[[#This Row],[Adjusted Land Total]]</f>
        <v>458600</v>
      </c>
      <c r="CX120" s="10">
        <f>IFERROR((Sales[[#This Row],[Adjusted Impr Total]]-Sales[[#This Row],[24Bldg]])/Sales[[#This Row],[24Bldg]],0)</f>
        <v>-1.9762845849802372E-2</v>
      </c>
      <c r="CY120" s="10">
        <f>(Sales[[#This Row],[Adjusted Land Total]]-Sales[[#This Row],[24Lnd]])/Sales[[#This Row],[24Lnd]]</f>
        <v>1.6207455429497568E-3</v>
      </c>
      <c r="CZ120">
        <f>(Sales[[#This Row],[Adjusted Total]]-Sales[[#This Row],[24Final]])/Sales[[#This Row],[24Final]]</f>
        <v>-1.6934619506966776E-2</v>
      </c>
      <c r="DA120" s="10">
        <f>(Sales[[#This Row],[Adjusted Total]]+Sales[[#This Row],[Days Prior Total]])/Sales[[#This Row],[Price]]</f>
        <v>1.0485501372409425</v>
      </c>
    </row>
    <row r="121" spans="1:105">
      <c r="A121">
        <v>2025</v>
      </c>
      <c r="B121">
        <v>19133514429</v>
      </c>
      <c r="C121">
        <v>-1.4271163556401458</v>
      </c>
      <c r="D121">
        <v>0.24</v>
      </c>
      <c r="E121">
        <v>10438</v>
      </c>
      <c r="F121">
        <v>2</v>
      </c>
      <c r="G121" t="s">
        <v>155</v>
      </c>
      <c r="H121">
        <v>317</v>
      </c>
      <c r="I121" t="s">
        <v>5</v>
      </c>
      <c r="J121" t="s">
        <v>212</v>
      </c>
      <c r="K121">
        <v>11</v>
      </c>
      <c r="L121">
        <v>259</v>
      </c>
      <c r="M121" t="s">
        <v>157</v>
      </c>
      <c r="N121" t="s">
        <v>21</v>
      </c>
      <c r="O121" t="s">
        <v>24</v>
      </c>
      <c r="P121">
        <v>2021</v>
      </c>
      <c r="Q121">
        <v>2021</v>
      </c>
      <c r="R121">
        <v>10</v>
      </c>
      <c r="S121">
        <v>3</v>
      </c>
      <c r="T121">
        <v>3</v>
      </c>
      <c r="U121">
        <v>2</v>
      </c>
      <c r="V121">
        <v>1257</v>
      </c>
      <c r="W121">
        <v>1451</v>
      </c>
      <c r="X121">
        <v>0</v>
      </c>
      <c r="Y121">
        <v>0</v>
      </c>
      <c r="Z121">
        <v>0</v>
      </c>
      <c r="AA121">
        <v>0</v>
      </c>
      <c r="AB121">
        <v>2708</v>
      </c>
      <c r="AC121">
        <v>3000</v>
      </c>
      <c r="AD121">
        <v>2</v>
      </c>
      <c r="AE121" t="s">
        <v>56</v>
      </c>
      <c r="AF121" t="s">
        <v>158</v>
      </c>
      <c r="AG121" t="s">
        <v>27</v>
      </c>
      <c r="AI121">
        <v>0</v>
      </c>
      <c r="AJ121">
        <v>0</v>
      </c>
      <c r="AK121">
        <v>1</v>
      </c>
      <c r="AL121">
        <v>0</v>
      </c>
      <c r="AM121">
        <v>1</v>
      </c>
      <c r="AN121">
        <v>14</v>
      </c>
      <c r="AO121">
        <v>0</v>
      </c>
      <c r="AP121">
        <v>438</v>
      </c>
      <c r="AQ121">
        <v>0</v>
      </c>
      <c r="AR121">
        <v>0</v>
      </c>
      <c r="AS121">
        <v>0</v>
      </c>
      <c r="AT121">
        <v>0</v>
      </c>
      <c r="AU121">
        <v>100</v>
      </c>
      <c r="AV121">
        <v>100</v>
      </c>
      <c r="AW121">
        <v>472666</v>
      </c>
      <c r="AX121">
        <v>467939</v>
      </c>
      <c r="AY121">
        <v>857</v>
      </c>
      <c r="AZ121">
        <v>365</v>
      </c>
      <c r="BA121">
        <v>365</v>
      </c>
      <c r="BB121">
        <v>127</v>
      </c>
      <c r="BC121" s="2">
        <v>44435</v>
      </c>
      <c r="BD121" t="s">
        <v>280</v>
      </c>
      <c r="BE121">
        <v>384910</v>
      </c>
      <c r="BF121">
        <v>384910</v>
      </c>
      <c r="BG121" t="s">
        <v>160</v>
      </c>
      <c r="BH121">
        <v>30</v>
      </c>
      <c r="BI121" t="s">
        <v>56</v>
      </c>
      <c r="BJ121" t="s">
        <v>161</v>
      </c>
      <c r="BK121">
        <v>464400</v>
      </c>
      <c r="BL121">
        <v>66500</v>
      </c>
      <c r="BM121">
        <v>397900</v>
      </c>
      <c r="BN121">
        <v>0</v>
      </c>
      <c r="BO121">
        <v>418823.38982022618</v>
      </c>
      <c r="BP121">
        <v>469056.63850218459</v>
      </c>
      <c r="BQ121">
        <f>(Sales[[#This Row],[DP1]]*Lookups!$B$61)+(Sales[[#This Row],[DP2]]*Lookups!$B$62)+(Sales[[#This Row],[DP3]]*Lookups!$B$63)</f>
        <v>-50233.246431</v>
      </c>
      <c r="BR121">
        <f>Lookups!$B$58*0.6</f>
        <v>132535.48800000001</v>
      </c>
      <c r="BS121">
        <f>Lookups!$B$58*0.4</f>
        <v>88356.992000000013</v>
      </c>
      <c r="BT121">
        <f>Lookups!$B$59*Sales[[#This Row],[LnAcres]]</f>
        <v>-18729.933155771436</v>
      </c>
      <c r="BU121">
        <f>VLOOKUP(Sales[[#This Row],[Qlty]],Lookups!$A$66:$E$79,2,FALSE)</f>
        <v>32917.849192000001</v>
      </c>
      <c r="BV121">
        <f>VLOOKUP(Sales[[#This Row],[Cnd]],Lookups!$A$80:$E$91,2,FALSE)</f>
        <v>47371.278778200001</v>
      </c>
      <c r="BW121">
        <f>Sales[[#This Row],[EffAge]]*Lookups!$B$65</f>
        <v>-326.22329999999999</v>
      </c>
      <c r="BX121">
        <f>Sales[[#This Row],[MainFn]]*Lookups!$B$90</f>
        <v>78449.847659999999</v>
      </c>
      <c r="BY121">
        <f>Sales[[#This Row],[UpprFn]]*Lookups!$B$91</f>
        <v>86451.135733000003</v>
      </c>
      <c r="BZ121">
        <f>Sales[[#This Row],[Bsmt]]*Lookups!$B$95</f>
        <v>0</v>
      </c>
      <c r="CA121">
        <f>VLOOKUP(Sales[[#This Row],[MsnryTrim]],Lookups!$A$90:$E$99,2,FALSE)</f>
        <v>-9412.7029999999995</v>
      </c>
      <c r="CB121">
        <f>Sales[[#This Row],[PrefabFP]]*Lookups!$B$92</f>
        <v>9807.1044999999995</v>
      </c>
      <c r="CC121">
        <f>Sales[[#This Row],[AttGar]]*Lookups!$B$93</f>
        <v>0</v>
      </c>
      <c r="CD121">
        <f>Sales[[#This Row],[BltinGar]]*Lookups!$B$94</f>
        <v>21635.7984</v>
      </c>
      <c r="CE121">
        <f>SUM(Sales[[#This Row],[Days Prior Total]:[Mdl BltinGar]])</f>
        <v>418823.38837642863</v>
      </c>
      <c r="CF121">
        <f>ROUND(Sales[[#This Row],[25Det]],-2)</f>
        <v>0</v>
      </c>
      <c r="CG121">
        <f>ROUND(SUM(Sales[[#This Row],[Mdl Qlty]:[Mdl BltinGar]])+Sales[[#This Row],[Mdl Res Intercept]]+Sales[[#This Row],[Days Prior Total]],-2)</f>
        <v>349200</v>
      </c>
      <c r="CH121">
        <f>ROUND(Sales[[#This Row],[Mdl Land Intercept]]+Sales[[#This Row],[Mdl LnAcres]],-2)</f>
        <v>69600</v>
      </c>
      <c r="CI121">
        <f>Sales[[#This Row],[Unadj Res Value]]+Sales[[#This Row],[Unadj Det Value]]+Sales[[#This Row],[Unadj Land Value]]</f>
        <v>418800</v>
      </c>
      <c r="CJ121" s="10">
        <f>Sales[[#This Row],[Price]]/Sales[[#This Row],[Unadj Total Value]]</f>
        <v>0.9190783190066858</v>
      </c>
      <c r="CK121" s="10">
        <f>(Sales[[#This Row],[Unadj Total Value]]-Sales[[#This Row],[24Final]])/Sales[[#This Row],[24Final]]</f>
        <v>-9.8191214470284241E-2</v>
      </c>
      <c r="CL121">
        <f>VLOOKUP(Sales[[#This Row],[TNbhd]],Lookups!$M$3:$P$5,4,FALSE)</f>
        <v>0.99970000000000003</v>
      </c>
      <c r="CM121">
        <f>VLOOKUP(Sales[[#This Row],[Qlty]],Lookups!$M$8:$P$22,4,FALSE)</f>
        <v>1.0019</v>
      </c>
      <c r="CN121">
        <f>VLOOKUP(Sales[[#This Row],[Cnd]],Lookups!$R$8:$U$17,4,FALSE)</f>
        <v>1.0012000000000001</v>
      </c>
      <c r="CO121">
        <f>VLOOKUP(Sales[[#This Row],[LivArea Range]],Lookups!$R$25:$U$43,4,FALSE)</f>
        <v>1.0099</v>
      </c>
      <c r="CP121">
        <f>VLOOKUP(Sales[[#This Row],[Decade]],Lookups!$M$24:$P$40,4,FALSE)</f>
        <v>1.0024</v>
      </c>
      <c r="CQ121">
        <f>Sales[[#This Row],[Nbhd Adj]]*0.95</f>
        <v>0.94971499999999998</v>
      </c>
      <c r="CR121">
        <f>Sales[[#This Row],[Nbhd Adj]]*Sales[[#This Row],[Quality Adj]]*Sales[[#This Row],[Condition Adj]]*Sales[[#This Row],[Living Area Adj]]*Sales[[#This Row],[Decade Adj]]*0.95</f>
        <v>0.96440165084901408</v>
      </c>
      <c r="CS121">
        <f>ROUND(SUM(Sales[[#This Row],[Mdl Qlty]:[Mdl BltinGar]])+Sales[[#This Row],[Mdl Res Intercept]]*Sales[[#This Row],[Res Adj ]],-2)</f>
        <v>394700</v>
      </c>
      <c r="CT121">
        <f>ROUND(Sales[[#This Row],[25Det]]*Sales[[#This Row],[Det/Nbhd Adj]],-2)</f>
        <v>0</v>
      </c>
      <c r="CU121">
        <f>Sales[[#This Row],[Adjusted Res]]+Sales[[#This Row],[Adj Det ]]</f>
        <v>394700</v>
      </c>
      <c r="CV121">
        <f>ROUND((Sales[[#This Row],[Mdl Land Intercept]]+Sales[[#This Row],[Mdl LnAcres]])*Sales[[#This Row],[Det/Nbhd Adj]],-2)</f>
        <v>66100</v>
      </c>
      <c r="CW121">
        <f>Sales[[#This Row],[Adjusted Impr Total]]+Sales[[#This Row],[Adjusted Land Total]]</f>
        <v>460800</v>
      </c>
      <c r="CX121" s="10">
        <f>IFERROR((Sales[[#This Row],[Adjusted Impr Total]]-Sales[[#This Row],[24Bldg]])/Sales[[#This Row],[24Bldg]],0)</f>
        <v>-8.0422216637346059E-3</v>
      </c>
      <c r="CY121" s="10">
        <f>(Sales[[#This Row],[Adjusted Land Total]]-Sales[[#This Row],[24Lnd]])/Sales[[#This Row],[24Lnd]]</f>
        <v>-6.0150375939849628E-3</v>
      </c>
      <c r="CZ121">
        <f>(Sales[[#This Row],[Adjusted Total]]-Sales[[#This Row],[24Final]])/Sales[[#This Row],[24Final]]</f>
        <v>-7.7519379844961239E-3</v>
      </c>
      <c r="DA121" s="10">
        <f>(Sales[[#This Row],[Adjusted Total]]+Sales[[#This Row],[Days Prior Total]])/Sales[[#This Row],[Price]]</f>
        <v>1.0666565004000934</v>
      </c>
    </row>
    <row r="122" spans="1:105">
      <c r="A122">
        <v>2025</v>
      </c>
      <c r="B122">
        <v>19133514430</v>
      </c>
      <c r="C122">
        <v>-1.7719568419318752</v>
      </c>
      <c r="D122">
        <v>0.17</v>
      </c>
      <c r="E122">
        <v>7388</v>
      </c>
      <c r="F122">
        <v>2</v>
      </c>
      <c r="G122" t="s">
        <v>155</v>
      </c>
      <c r="H122">
        <v>317</v>
      </c>
      <c r="I122" t="s">
        <v>5</v>
      </c>
      <c r="J122" t="s">
        <v>212</v>
      </c>
      <c r="K122">
        <v>11</v>
      </c>
      <c r="L122">
        <v>259</v>
      </c>
      <c r="M122" t="s">
        <v>157</v>
      </c>
      <c r="N122" t="s">
        <v>21</v>
      </c>
      <c r="O122" t="s">
        <v>24</v>
      </c>
      <c r="P122">
        <v>2021</v>
      </c>
      <c r="Q122">
        <v>2021</v>
      </c>
      <c r="R122">
        <v>10</v>
      </c>
      <c r="S122">
        <v>3</v>
      </c>
      <c r="T122">
        <v>3</v>
      </c>
      <c r="U122">
        <v>1</v>
      </c>
      <c r="V122">
        <v>1550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1550</v>
      </c>
      <c r="AC122">
        <v>2000</v>
      </c>
      <c r="AD122">
        <v>2</v>
      </c>
      <c r="AE122" t="s">
        <v>56</v>
      </c>
      <c r="AF122" t="s">
        <v>158</v>
      </c>
      <c r="AG122" t="s">
        <v>27</v>
      </c>
      <c r="AI122">
        <v>0</v>
      </c>
      <c r="AJ122">
        <v>0</v>
      </c>
      <c r="AK122">
        <v>0</v>
      </c>
      <c r="AL122">
        <v>1</v>
      </c>
      <c r="AM122">
        <v>0</v>
      </c>
      <c r="AN122">
        <v>10</v>
      </c>
      <c r="AO122">
        <v>420</v>
      </c>
      <c r="AP122">
        <v>0</v>
      </c>
      <c r="AQ122">
        <v>0</v>
      </c>
      <c r="AR122">
        <v>0</v>
      </c>
      <c r="AS122">
        <v>144</v>
      </c>
      <c r="AT122">
        <v>0</v>
      </c>
      <c r="AU122">
        <v>100</v>
      </c>
      <c r="AV122">
        <v>100</v>
      </c>
      <c r="AW122">
        <v>309397</v>
      </c>
      <c r="AX122">
        <v>306303</v>
      </c>
      <c r="AY122">
        <v>907</v>
      </c>
      <c r="AZ122">
        <v>365</v>
      </c>
      <c r="BA122">
        <v>365</v>
      </c>
      <c r="BB122">
        <v>177</v>
      </c>
      <c r="BC122" s="2">
        <v>44385</v>
      </c>
      <c r="BD122" t="s">
        <v>281</v>
      </c>
      <c r="BE122">
        <v>300970</v>
      </c>
      <c r="BF122">
        <v>300970</v>
      </c>
      <c r="BG122" t="s">
        <v>160</v>
      </c>
      <c r="BH122">
        <v>30</v>
      </c>
      <c r="BI122" t="s">
        <v>56</v>
      </c>
      <c r="BJ122" t="s">
        <v>161</v>
      </c>
      <c r="BK122">
        <v>378700</v>
      </c>
      <c r="BL122">
        <v>61700</v>
      </c>
      <c r="BM122">
        <v>317000</v>
      </c>
      <c r="BN122">
        <v>0</v>
      </c>
      <c r="BO122">
        <v>318066.25830133405</v>
      </c>
      <c r="BP122">
        <v>379749.47741269961</v>
      </c>
      <c r="BQ122">
        <f>(Sales[[#This Row],[DP1]]*Lookups!$B$61)+(Sales[[#This Row],[DP2]]*Lookups!$B$62)+(Sales[[#This Row],[DP3]]*Lookups!$B$63)</f>
        <v>-61683.216430999993</v>
      </c>
      <c r="BR122">
        <f>Lookups!$B$58*0.6</f>
        <v>132535.48800000001</v>
      </c>
      <c r="BS122">
        <f>Lookups!$B$58*0.4</f>
        <v>88356.992000000013</v>
      </c>
      <c r="BT122">
        <f>Lookups!$B$59*Sales[[#This Row],[LnAcres]]</f>
        <v>-23255.730391660189</v>
      </c>
      <c r="BU122">
        <f>VLOOKUP(Sales[[#This Row],[Qlty]],Lookups!$A$66:$E$79,2,FALSE)</f>
        <v>32917.849192000001</v>
      </c>
      <c r="BV122">
        <f>VLOOKUP(Sales[[#This Row],[Cnd]],Lookups!$A$80:$E$91,2,FALSE)</f>
        <v>47371.278778200001</v>
      </c>
      <c r="BW122">
        <f>Sales[[#This Row],[EffAge]]*Lookups!$B$65</f>
        <v>-326.22329999999999</v>
      </c>
      <c r="BX122">
        <f>Sales[[#This Row],[MainFn]]*Lookups!$B$90</f>
        <v>96736.089000000007</v>
      </c>
      <c r="BY122">
        <f>Sales[[#This Row],[UpprFn]]*Lookups!$B$91</f>
        <v>0</v>
      </c>
      <c r="BZ122">
        <f>Sales[[#This Row],[Bsmt]]*Lookups!$B$95</f>
        <v>0</v>
      </c>
      <c r="CA122">
        <f>VLOOKUP(Sales[[#This Row],[MsnryTrim]],Lookups!$A$90:$E$99,2,FALSE)</f>
        <v>-9412.7029999999995</v>
      </c>
      <c r="CB122">
        <f>Sales[[#This Row],[PrefabFP]]*Lookups!$B$92</f>
        <v>0</v>
      </c>
      <c r="CC122">
        <f>Sales[[#This Row],[AttGar]]*Lookups!$B$93</f>
        <v>14826.43302</v>
      </c>
      <c r="CD122">
        <f>Sales[[#This Row],[BltinGar]]*Lookups!$B$94</f>
        <v>0</v>
      </c>
      <c r="CE122">
        <f>SUM(Sales[[#This Row],[Days Prior Total]:[Mdl BltinGar]])</f>
        <v>318066.25686753984</v>
      </c>
      <c r="CF122">
        <f>ROUND(Sales[[#This Row],[25Det]],-2)</f>
        <v>0</v>
      </c>
      <c r="CG122">
        <f>ROUND(SUM(Sales[[#This Row],[Mdl Qlty]:[Mdl BltinGar]])+Sales[[#This Row],[Mdl Res Intercept]]+Sales[[#This Row],[Days Prior Total]],-2)</f>
        <v>253000</v>
      </c>
      <c r="CH122">
        <f>ROUND(Sales[[#This Row],[Mdl Land Intercept]]+Sales[[#This Row],[Mdl LnAcres]],-2)</f>
        <v>65100</v>
      </c>
      <c r="CI122">
        <f>Sales[[#This Row],[Unadj Res Value]]+Sales[[#This Row],[Unadj Det Value]]+Sales[[#This Row],[Unadj Land Value]]</f>
        <v>318100</v>
      </c>
      <c r="CJ122" s="10">
        <f>Sales[[#This Row],[Price]]/Sales[[#This Row],[Unadj Total Value]]</f>
        <v>0.94614900974536309</v>
      </c>
      <c r="CK122" s="10">
        <f>(Sales[[#This Row],[Unadj Total Value]]-Sales[[#This Row],[24Final]])/Sales[[#This Row],[24Final]]</f>
        <v>-0.16002112490097703</v>
      </c>
      <c r="CL122">
        <f>VLOOKUP(Sales[[#This Row],[TNbhd]],Lookups!$M$3:$P$5,4,FALSE)</f>
        <v>0.99970000000000003</v>
      </c>
      <c r="CM122">
        <f>VLOOKUP(Sales[[#This Row],[Qlty]],Lookups!$M$8:$P$22,4,FALSE)</f>
        <v>1.0019</v>
      </c>
      <c r="CN122">
        <f>VLOOKUP(Sales[[#This Row],[Cnd]],Lookups!$R$8:$U$17,4,FALSE)</f>
        <v>1.0012000000000001</v>
      </c>
      <c r="CO122">
        <f>VLOOKUP(Sales[[#This Row],[LivArea Range]],Lookups!$R$25:$U$43,4,FALSE)</f>
        <v>1.0007999999999999</v>
      </c>
      <c r="CP122">
        <f>VLOOKUP(Sales[[#This Row],[Decade]],Lookups!$M$24:$P$40,4,FALSE)</f>
        <v>1.0024</v>
      </c>
      <c r="CQ122">
        <f>Sales[[#This Row],[Nbhd Adj]]*0.95</f>
        <v>0.94971499999999998</v>
      </c>
      <c r="CR122">
        <f>Sales[[#This Row],[Nbhd Adj]]*Sales[[#This Row],[Quality Adj]]*Sales[[#This Row],[Condition Adj]]*Sales[[#This Row],[Living Area Adj]]*Sales[[#This Row],[Decade Adj]]*0.95</f>
        <v>0.95571162706178159</v>
      </c>
      <c r="CS122">
        <f>ROUND(SUM(Sales[[#This Row],[Mdl Qlty]:[Mdl BltinGar]])+Sales[[#This Row],[Mdl Res Intercept]]*Sales[[#This Row],[Res Adj ]],-2)</f>
        <v>308800</v>
      </c>
      <c r="CT122">
        <f>ROUND(Sales[[#This Row],[25Det]]*Sales[[#This Row],[Det/Nbhd Adj]],-2)</f>
        <v>0</v>
      </c>
      <c r="CU122">
        <f>Sales[[#This Row],[Adjusted Res]]+Sales[[#This Row],[Adj Det ]]</f>
        <v>308800</v>
      </c>
      <c r="CV122">
        <f>ROUND((Sales[[#This Row],[Mdl Land Intercept]]+Sales[[#This Row],[Mdl LnAcres]])*Sales[[#This Row],[Det/Nbhd Adj]],-2)</f>
        <v>61800</v>
      </c>
      <c r="CW122">
        <f>Sales[[#This Row],[Adjusted Impr Total]]+Sales[[#This Row],[Adjusted Land Total]]</f>
        <v>370600</v>
      </c>
      <c r="CX122" s="10">
        <f>IFERROR((Sales[[#This Row],[Adjusted Impr Total]]-Sales[[#This Row],[24Bldg]])/Sales[[#This Row],[24Bldg]],0)</f>
        <v>-2.5867507886435333E-2</v>
      </c>
      <c r="CY122" s="10">
        <f>(Sales[[#This Row],[Adjusted Land Total]]-Sales[[#This Row],[24Lnd]])/Sales[[#This Row],[24Lnd]]</f>
        <v>1.6207455429497568E-3</v>
      </c>
      <c r="CZ122">
        <f>(Sales[[#This Row],[Adjusted Total]]-Sales[[#This Row],[24Final]])/Sales[[#This Row],[24Final]]</f>
        <v>-2.1388962239239504E-2</v>
      </c>
      <c r="DA122" s="10">
        <f>(Sales[[#This Row],[Adjusted Total]]+Sales[[#This Row],[Days Prior Total]])/Sales[[#This Row],[Price]]</f>
        <v>1.0264039059341463</v>
      </c>
    </row>
    <row r="123" spans="1:105">
      <c r="A123">
        <v>2025</v>
      </c>
      <c r="B123">
        <v>19133514431</v>
      </c>
      <c r="C123">
        <v>-1.8325814637483102</v>
      </c>
      <c r="D123">
        <v>0.16</v>
      </c>
      <c r="E123">
        <v>7171</v>
      </c>
      <c r="F123">
        <v>2</v>
      </c>
      <c r="G123" t="s">
        <v>155</v>
      </c>
      <c r="H123">
        <v>317</v>
      </c>
      <c r="I123" t="s">
        <v>5</v>
      </c>
      <c r="J123" t="s">
        <v>212</v>
      </c>
      <c r="K123">
        <v>11</v>
      </c>
      <c r="L123">
        <v>259</v>
      </c>
      <c r="M123" t="s">
        <v>157</v>
      </c>
      <c r="N123" t="s">
        <v>21</v>
      </c>
      <c r="O123" t="s">
        <v>24</v>
      </c>
      <c r="P123">
        <v>2021</v>
      </c>
      <c r="Q123">
        <v>2021</v>
      </c>
      <c r="R123">
        <v>10</v>
      </c>
      <c r="S123">
        <v>3</v>
      </c>
      <c r="T123">
        <v>3</v>
      </c>
      <c r="U123">
        <v>1</v>
      </c>
      <c r="V123">
        <v>1728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1728</v>
      </c>
      <c r="AC123">
        <v>2000</v>
      </c>
      <c r="AD123">
        <v>3</v>
      </c>
      <c r="AE123" t="s">
        <v>56</v>
      </c>
      <c r="AF123" t="s">
        <v>158</v>
      </c>
      <c r="AG123" t="s">
        <v>27</v>
      </c>
      <c r="AI123">
        <v>0</v>
      </c>
      <c r="AJ123">
        <v>0</v>
      </c>
      <c r="AK123">
        <v>0</v>
      </c>
      <c r="AL123">
        <v>1</v>
      </c>
      <c r="AM123">
        <v>0</v>
      </c>
      <c r="AN123">
        <v>10</v>
      </c>
      <c r="AO123">
        <v>702</v>
      </c>
      <c r="AP123">
        <v>0</v>
      </c>
      <c r="AQ123">
        <v>0</v>
      </c>
      <c r="AR123">
        <v>0</v>
      </c>
      <c r="AS123">
        <v>330</v>
      </c>
      <c r="AT123">
        <v>0</v>
      </c>
      <c r="AU123">
        <v>100</v>
      </c>
      <c r="AV123">
        <v>100</v>
      </c>
      <c r="AW123">
        <v>356970</v>
      </c>
      <c r="AX123">
        <v>353400</v>
      </c>
      <c r="AY123">
        <v>962</v>
      </c>
      <c r="AZ123">
        <v>365</v>
      </c>
      <c r="BA123">
        <v>365</v>
      </c>
      <c r="BB123">
        <v>232</v>
      </c>
      <c r="BC123" s="2">
        <v>44330</v>
      </c>
      <c r="BD123" t="s">
        <v>282</v>
      </c>
      <c r="BE123">
        <v>331348</v>
      </c>
      <c r="BF123">
        <v>331348</v>
      </c>
      <c r="BG123" t="s">
        <v>160</v>
      </c>
      <c r="BH123">
        <v>30</v>
      </c>
      <c r="BI123" t="s">
        <v>56</v>
      </c>
      <c r="BJ123" t="s">
        <v>161</v>
      </c>
      <c r="BK123">
        <v>405700</v>
      </c>
      <c r="BL123">
        <v>60800</v>
      </c>
      <c r="BM123">
        <v>344900</v>
      </c>
      <c r="BN123">
        <v>0</v>
      </c>
      <c r="BO123">
        <v>325739.57212467014</v>
      </c>
      <c r="BP123">
        <v>400017.75870838348</v>
      </c>
      <c r="BQ123">
        <f>(Sales[[#This Row],[DP1]]*Lookups!$B$61)+(Sales[[#This Row],[DP2]]*Lookups!$B$62)+(Sales[[#This Row],[DP3]]*Lookups!$B$63)</f>
        <v>-74278.183430999998</v>
      </c>
      <c r="BR123">
        <f>Lookups!$B$58*0.6</f>
        <v>132535.48800000001</v>
      </c>
      <c r="BS123">
        <f>Lookups!$B$58*0.4</f>
        <v>88356.992000000013</v>
      </c>
      <c r="BT123">
        <f>Lookups!$B$59*Sales[[#This Row],[LnAcres]]</f>
        <v>-24051.387388882686</v>
      </c>
      <c r="BU123">
        <f>VLOOKUP(Sales[[#This Row],[Qlty]],Lookups!$A$66:$E$79,2,FALSE)</f>
        <v>32917.849192000001</v>
      </c>
      <c r="BV123">
        <f>VLOOKUP(Sales[[#This Row],[Cnd]],Lookups!$A$80:$E$91,2,FALSE)</f>
        <v>47371.278778200001</v>
      </c>
      <c r="BW123">
        <f>Sales[[#This Row],[EffAge]]*Lookups!$B$65</f>
        <v>-326.22329999999999</v>
      </c>
      <c r="BX123">
        <f>Sales[[#This Row],[MainFn]]*Lookups!$B$90</f>
        <v>107845.13664000001</v>
      </c>
      <c r="BY123">
        <f>Sales[[#This Row],[UpprFn]]*Lookups!$B$91</f>
        <v>0</v>
      </c>
      <c r="BZ123">
        <f>Sales[[#This Row],[Bsmt]]*Lookups!$B$95</f>
        <v>0</v>
      </c>
      <c r="CA123">
        <f>VLOOKUP(Sales[[#This Row],[MsnryTrim]],Lookups!$A$90:$E$99,2,FALSE)</f>
        <v>-9412.7029999999995</v>
      </c>
      <c r="CB123">
        <f>Sales[[#This Row],[PrefabFP]]*Lookups!$B$92</f>
        <v>0</v>
      </c>
      <c r="CC123">
        <f>Sales[[#This Row],[AttGar]]*Lookups!$B$93</f>
        <v>24781.323762</v>
      </c>
      <c r="CD123">
        <f>Sales[[#This Row],[BltinGar]]*Lookups!$B$94</f>
        <v>0</v>
      </c>
      <c r="CE123">
        <f>SUM(Sales[[#This Row],[Days Prior Total]:[Mdl BltinGar]])</f>
        <v>325739.57125231734</v>
      </c>
      <c r="CF123">
        <f>ROUND(Sales[[#This Row],[25Det]],-2)</f>
        <v>0</v>
      </c>
      <c r="CG123">
        <f>ROUND(SUM(Sales[[#This Row],[Mdl Qlty]:[Mdl BltinGar]])+Sales[[#This Row],[Mdl Res Intercept]]+Sales[[#This Row],[Days Prior Total]],-2)</f>
        <v>261400</v>
      </c>
      <c r="CH123">
        <f>ROUND(Sales[[#This Row],[Mdl Land Intercept]]+Sales[[#This Row],[Mdl LnAcres]],-2)</f>
        <v>64300</v>
      </c>
      <c r="CI123">
        <f>Sales[[#This Row],[Unadj Res Value]]+Sales[[#This Row],[Unadj Det Value]]+Sales[[#This Row],[Unadj Land Value]]</f>
        <v>325700</v>
      </c>
      <c r="CJ123" s="10">
        <f>Sales[[#This Row],[Price]]/Sales[[#This Row],[Unadj Total Value]]</f>
        <v>1.0173411114522566</v>
      </c>
      <c r="CK123" s="10">
        <f>(Sales[[#This Row],[Unadj Total Value]]-Sales[[#This Row],[24Final]])/Sales[[#This Row],[24Final]]</f>
        <v>-0.19719004190288392</v>
      </c>
      <c r="CL123">
        <f>VLOOKUP(Sales[[#This Row],[TNbhd]],Lookups!$M$3:$P$5,4,FALSE)</f>
        <v>0.99970000000000003</v>
      </c>
      <c r="CM123">
        <f>VLOOKUP(Sales[[#This Row],[Qlty]],Lookups!$M$8:$P$22,4,FALSE)</f>
        <v>1.0019</v>
      </c>
      <c r="CN123">
        <f>VLOOKUP(Sales[[#This Row],[Cnd]],Lookups!$R$8:$U$17,4,FALSE)</f>
        <v>1.0012000000000001</v>
      </c>
      <c r="CO123">
        <f>VLOOKUP(Sales[[#This Row],[LivArea Range]],Lookups!$R$25:$U$43,4,FALSE)</f>
        <v>1.0007999999999999</v>
      </c>
      <c r="CP123">
        <f>VLOOKUP(Sales[[#This Row],[Decade]],Lookups!$M$24:$P$40,4,FALSE)</f>
        <v>1.0024</v>
      </c>
      <c r="CQ123">
        <f>Sales[[#This Row],[Nbhd Adj]]*0.95</f>
        <v>0.94971499999999998</v>
      </c>
      <c r="CR123">
        <f>Sales[[#This Row],[Nbhd Adj]]*Sales[[#This Row],[Quality Adj]]*Sales[[#This Row],[Condition Adj]]*Sales[[#This Row],[Living Area Adj]]*Sales[[#This Row],[Decade Adj]]*0.95</f>
        <v>0.95571162706178159</v>
      </c>
      <c r="CS123">
        <f>ROUND(SUM(Sales[[#This Row],[Mdl Qlty]:[Mdl BltinGar]])+Sales[[#This Row],[Mdl Res Intercept]]*Sales[[#This Row],[Res Adj ]],-2)</f>
        <v>329800</v>
      </c>
      <c r="CT123">
        <f>ROUND(Sales[[#This Row],[25Det]]*Sales[[#This Row],[Det/Nbhd Adj]],-2)</f>
        <v>0</v>
      </c>
      <c r="CU123">
        <f>Sales[[#This Row],[Adjusted Res]]+Sales[[#This Row],[Adj Det ]]</f>
        <v>329800</v>
      </c>
      <c r="CV123">
        <f>ROUND((Sales[[#This Row],[Mdl Land Intercept]]+Sales[[#This Row],[Mdl LnAcres]])*Sales[[#This Row],[Det/Nbhd Adj]],-2)</f>
        <v>61100</v>
      </c>
      <c r="CW123">
        <f>Sales[[#This Row],[Adjusted Impr Total]]+Sales[[#This Row],[Adjusted Land Total]]</f>
        <v>390900</v>
      </c>
      <c r="CX123" s="10">
        <f>IFERROR((Sales[[#This Row],[Adjusted Impr Total]]-Sales[[#This Row],[24Bldg]])/Sales[[#This Row],[24Bldg]],0)</f>
        <v>-4.3780806030733546E-2</v>
      </c>
      <c r="CY123" s="10">
        <f>(Sales[[#This Row],[Adjusted Land Total]]-Sales[[#This Row],[24Lnd]])/Sales[[#This Row],[24Lnd]]</f>
        <v>4.9342105263157892E-3</v>
      </c>
      <c r="CZ123">
        <f>(Sales[[#This Row],[Adjusted Total]]-Sales[[#This Row],[24Final]])/Sales[[#This Row],[24Final]]</f>
        <v>-3.6480157752033525E-2</v>
      </c>
      <c r="DA123" s="10">
        <f>(Sales[[#This Row],[Adjusted Total]]+Sales[[#This Row],[Days Prior Total]])/Sales[[#This Row],[Price]]</f>
        <v>0.95555674568429572</v>
      </c>
    </row>
    <row r="124" spans="1:105">
      <c r="A124">
        <v>2025</v>
      </c>
      <c r="B124">
        <v>19133514432</v>
      </c>
      <c r="C124">
        <v>-1.8325814637483102</v>
      </c>
      <c r="D124">
        <v>0.16</v>
      </c>
      <c r="E124">
        <v>7150</v>
      </c>
      <c r="F124">
        <v>2</v>
      </c>
      <c r="G124" t="s">
        <v>155</v>
      </c>
      <c r="H124">
        <v>317</v>
      </c>
      <c r="I124" t="s">
        <v>5</v>
      </c>
      <c r="J124" t="s">
        <v>212</v>
      </c>
      <c r="K124">
        <v>11</v>
      </c>
      <c r="L124">
        <v>259</v>
      </c>
      <c r="M124" t="s">
        <v>157</v>
      </c>
      <c r="N124" t="s">
        <v>21</v>
      </c>
      <c r="O124" t="s">
        <v>24</v>
      </c>
      <c r="P124">
        <v>2021</v>
      </c>
      <c r="Q124">
        <v>2021</v>
      </c>
      <c r="R124">
        <v>10</v>
      </c>
      <c r="S124">
        <v>3</v>
      </c>
      <c r="T124">
        <v>3</v>
      </c>
      <c r="U124">
        <v>2</v>
      </c>
      <c r="V124">
        <v>1668</v>
      </c>
      <c r="W124">
        <v>1160</v>
      </c>
      <c r="X124">
        <v>0</v>
      </c>
      <c r="Y124">
        <v>0</v>
      </c>
      <c r="Z124">
        <v>0</v>
      </c>
      <c r="AA124">
        <v>0</v>
      </c>
      <c r="AB124">
        <v>2828</v>
      </c>
      <c r="AC124">
        <v>3000</v>
      </c>
      <c r="AD124">
        <v>2</v>
      </c>
      <c r="AE124" t="s">
        <v>56</v>
      </c>
      <c r="AF124" t="s">
        <v>158</v>
      </c>
      <c r="AG124" t="s">
        <v>27</v>
      </c>
      <c r="AI124">
        <v>0</v>
      </c>
      <c r="AJ124">
        <v>0</v>
      </c>
      <c r="AK124">
        <v>0</v>
      </c>
      <c r="AL124">
        <v>1</v>
      </c>
      <c r="AM124">
        <v>0</v>
      </c>
      <c r="AN124">
        <v>15</v>
      </c>
      <c r="AO124">
        <v>0</v>
      </c>
      <c r="AP124">
        <v>420</v>
      </c>
      <c r="AQ124">
        <v>0</v>
      </c>
      <c r="AR124">
        <v>0</v>
      </c>
      <c r="AS124">
        <v>0</v>
      </c>
      <c r="AT124">
        <v>0</v>
      </c>
      <c r="AU124">
        <v>100</v>
      </c>
      <c r="AV124">
        <v>100</v>
      </c>
      <c r="AW124">
        <v>477010</v>
      </c>
      <c r="AX124">
        <v>472240</v>
      </c>
      <c r="AY124">
        <v>886</v>
      </c>
      <c r="AZ124">
        <v>365</v>
      </c>
      <c r="BA124">
        <v>365</v>
      </c>
      <c r="BB124">
        <v>156</v>
      </c>
      <c r="BC124" s="2">
        <v>44406</v>
      </c>
      <c r="BD124" t="s">
        <v>283</v>
      </c>
      <c r="BE124">
        <v>384380</v>
      </c>
      <c r="BF124">
        <v>384380</v>
      </c>
      <c r="BG124" t="s">
        <v>160</v>
      </c>
      <c r="BH124">
        <v>30</v>
      </c>
      <c r="BI124" t="s">
        <v>56</v>
      </c>
      <c r="BJ124" t="s">
        <v>161</v>
      </c>
      <c r="BK124">
        <v>442800</v>
      </c>
      <c r="BL124">
        <v>60800</v>
      </c>
      <c r="BM124">
        <v>382000</v>
      </c>
      <c r="BN124">
        <v>0</v>
      </c>
      <c r="BO124">
        <v>404477.4806996836</v>
      </c>
      <c r="BP124">
        <v>461351.71223069815</v>
      </c>
      <c r="BQ124">
        <f>(Sales[[#This Row],[DP1]]*Lookups!$B$61)+(Sales[[#This Row],[DP2]]*Lookups!$B$62)+(Sales[[#This Row],[DP3]]*Lookups!$B$63)</f>
        <v>-56874.229030999995</v>
      </c>
      <c r="BR124">
        <f>Lookups!$B$58*0.6</f>
        <v>132535.48800000001</v>
      </c>
      <c r="BS124">
        <f>Lookups!$B$58*0.4</f>
        <v>88356.992000000013</v>
      </c>
      <c r="BT124">
        <f>Lookups!$B$59*Sales[[#This Row],[LnAcres]]</f>
        <v>-24051.387388882686</v>
      </c>
      <c r="BU124">
        <f>VLOOKUP(Sales[[#This Row],[Qlty]],Lookups!$A$66:$E$79,2,FALSE)</f>
        <v>32917.849192000001</v>
      </c>
      <c r="BV124">
        <f>VLOOKUP(Sales[[#This Row],[Cnd]],Lookups!$A$80:$E$91,2,FALSE)</f>
        <v>47371.278778200001</v>
      </c>
      <c r="BW124">
        <f>Sales[[#This Row],[EffAge]]*Lookups!$B$65</f>
        <v>-326.22329999999999</v>
      </c>
      <c r="BX124">
        <f>Sales[[#This Row],[MainFn]]*Lookups!$B$90</f>
        <v>104100.51384</v>
      </c>
      <c r="BY124">
        <f>Sales[[#This Row],[UpprFn]]*Lookups!$B$91</f>
        <v>69113.244279999999</v>
      </c>
      <c r="BZ124">
        <f>Sales[[#This Row],[Bsmt]]*Lookups!$B$95</f>
        <v>0</v>
      </c>
      <c r="CA124">
        <f>VLOOKUP(Sales[[#This Row],[MsnryTrim]],Lookups!$A$90:$E$99,2,FALSE)</f>
        <v>-9412.7029999999995</v>
      </c>
      <c r="CB124">
        <f>Sales[[#This Row],[PrefabFP]]*Lookups!$B$92</f>
        <v>0</v>
      </c>
      <c r="CC124">
        <f>Sales[[#This Row],[AttGar]]*Lookups!$B$93</f>
        <v>0</v>
      </c>
      <c r="CD124">
        <f>Sales[[#This Row],[BltinGar]]*Lookups!$B$94</f>
        <v>20746.655999999999</v>
      </c>
      <c r="CE124">
        <f>SUM(Sales[[#This Row],[Days Prior Total]:[Mdl BltinGar]])</f>
        <v>404477.47937031736</v>
      </c>
      <c r="CF124">
        <f>ROUND(Sales[[#This Row],[25Det]],-2)</f>
        <v>0</v>
      </c>
      <c r="CG124">
        <f>ROUND(SUM(Sales[[#This Row],[Mdl Qlty]:[Mdl BltinGar]])+Sales[[#This Row],[Mdl Res Intercept]]+Sales[[#This Row],[Days Prior Total]],-2)</f>
        <v>340200</v>
      </c>
      <c r="CH124">
        <f>ROUND(Sales[[#This Row],[Mdl Land Intercept]]+Sales[[#This Row],[Mdl LnAcres]],-2)</f>
        <v>64300</v>
      </c>
      <c r="CI124">
        <f>Sales[[#This Row],[Unadj Res Value]]+Sales[[#This Row],[Unadj Det Value]]+Sales[[#This Row],[Unadj Land Value]]</f>
        <v>404500</v>
      </c>
      <c r="CJ124" s="10">
        <f>Sales[[#This Row],[Price]]/Sales[[#This Row],[Unadj Total Value]]</f>
        <v>0.9502595797280593</v>
      </c>
      <c r="CK124" s="10">
        <f>(Sales[[#This Row],[Unadj Total Value]]-Sales[[#This Row],[24Final]])/Sales[[#This Row],[24Final]]</f>
        <v>-8.649503161698284E-2</v>
      </c>
      <c r="CL124">
        <f>VLOOKUP(Sales[[#This Row],[TNbhd]],Lookups!$M$3:$P$5,4,FALSE)</f>
        <v>0.99970000000000003</v>
      </c>
      <c r="CM124">
        <f>VLOOKUP(Sales[[#This Row],[Qlty]],Lookups!$M$8:$P$22,4,FALSE)</f>
        <v>1.0019</v>
      </c>
      <c r="CN124">
        <f>VLOOKUP(Sales[[#This Row],[Cnd]],Lookups!$R$8:$U$17,4,FALSE)</f>
        <v>1.0012000000000001</v>
      </c>
      <c r="CO124">
        <f>VLOOKUP(Sales[[#This Row],[LivArea Range]],Lookups!$R$25:$U$43,4,FALSE)</f>
        <v>1.0099</v>
      </c>
      <c r="CP124">
        <f>VLOOKUP(Sales[[#This Row],[Decade]],Lookups!$M$24:$P$40,4,FALSE)</f>
        <v>1.0024</v>
      </c>
      <c r="CQ124">
        <f>Sales[[#This Row],[Nbhd Adj]]*0.95</f>
        <v>0.94971499999999998</v>
      </c>
      <c r="CR124">
        <f>Sales[[#This Row],[Nbhd Adj]]*Sales[[#This Row],[Quality Adj]]*Sales[[#This Row],[Condition Adj]]*Sales[[#This Row],[Living Area Adj]]*Sales[[#This Row],[Decade Adj]]*0.95</f>
        <v>0.96440165084901408</v>
      </c>
      <c r="CS124">
        <f>ROUND(SUM(Sales[[#This Row],[Mdl Qlty]:[Mdl BltinGar]])+Sales[[#This Row],[Mdl Res Intercept]]*Sales[[#This Row],[Res Adj ]],-2)</f>
        <v>392300</v>
      </c>
      <c r="CT124">
        <f>ROUND(Sales[[#This Row],[25Det]]*Sales[[#This Row],[Det/Nbhd Adj]],-2)</f>
        <v>0</v>
      </c>
      <c r="CU124">
        <f>Sales[[#This Row],[Adjusted Res]]+Sales[[#This Row],[Adj Det ]]</f>
        <v>392300</v>
      </c>
      <c r="CV124">
        <f>ROUND((Sales[[#This Row],[Mdl Land Intercept]]+Sales[[#This Row],[Mdl LnAcres]])*Sales[[#This Row],[Det/Nbhd Adj]],-2)</f>
        <v>61100</v>
      </c>
      <c r="CW124">
        <f>Sales[[#This Row],[Adjusted Impr Total]]+Sales[[#This Row],[Adjusted Land Total]]</f>
        <v>453400</v>
      </c>
      <c r="CX124" s="10">
        <f>IFERROR((Sales[[#This Row],[Adjusted Impr Total]]-Sales[[#This Row],[24Bldg]])/Sales[[#This Row],[24Bldg]],0)</f>
        <v>2.6963350785340314E-2</v>
      </c>
      <c r="CY124" s="10">
        <f>(Sales[[#This Row],[Adjusted Land Total]]-Sales[[#This Row],[24Lnd]])/Sales[[#This Row],[24Lnd]]</f>
        <v>4.9342105263157892E-3</v>
      </c>
      <c r="CZ124">
        <f>(Sales[[#This Row],[Adjusted Total]]-Sales[[#This Row],[24Final]])/Sales[[#This Row],[24Final]]</f>
        <v>2.3938572719060525E-2</v>
      </c>
      <c r="DA124" s="10">
        <f>(Sales[[#This Row],[Adjusted Total]]+Sales[[#This Row],[Days Prior Total]])/Sales[[#This Row],[Price]]</f>
        <v>1.0315983427051356</v>
      </c>
    </row>
    <row r="125" spans="1:105">
      <c r="A125">
        <v>2025</v>
      </c>
      <c r="B125">
        <v>19133541423</v>
      </c>
      <c r="C125">
        <v>-1.6607312068216509</v>
      </c>
      <c r="D125">
        <v>0.19</v>
      </c>
      <c r="E125">
        <v>8428</v>
      </c>
      <c r="F125">
        <v>2</v>
      </c>
      <c r="G125" t="s">
        <v>155</v>
      </c>
      <c r="H125">
        <v>317</v>
      </c>
      <c r="I125" t="s">
        <v>5</v>
      </c>
      <c r="J125" t="s">
        <v>212</v>
      </c>
      <c r="K125">
        <v>11</v>
      </c>
      <c r="L125">
        <v>259</v>
      </c>
      <c r="M125" t="s">
        <v>157</v>
      </c>
      <c r="N125" t="s">
        <v>21</v>
      </c>
      <c r="O125" t="s">
        <v>24</v>
      </c>
      <c r="P125">
        <v>2021</v>
      </c>
      <c r="Q125">
        <v>2021</v>
      </c>
      <c r="R125">
        <v>10</v>
      </c>
      <c r="S125">
        <v>3</v>
      </c>
      <c r="T125">
        <v>3</v>
      </c>
      <c r="U125">
        <v>1</v>
      </c>
      <c r="V125">
        <v>2010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2010</v>
      </c>
      <c r="AC125">
        <v>2500</v>
      </c>
      <c r="AD125">
        <v>2</v>
      </c>
      <c r="AE125" t="s">
        <v>56</v>
      </c>
      <c r="AF125" t="s">
        <v>158</v>
      </c>
      <c r="AG125" t="s">
        <v>27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11</v>
      </c>
      <c r="AO125">
        <v>424</v>
      </c>
      <c r="AP125">
        <v>0</v>
      </c>
      <c r="AQ125">
        <v>0</v>
      </c>
      <c r="AR125">
        <v>0</v>
      </c>
      <c r="AS125">
        <v>144</v>
      </c>
      <c r="AT125">
        <v>0</v>
      </c>
      <c r="AU125">
        <v>100</v>
      </c>
      <c r="AV125">
        <v>100</v>
      </c>
      <c r="AW125">
        <v>383336</v>
      </c>
      <c r="AX125">
        <v>379503</v>
      </c>
      <c r="AY125">
        <v>922</v>
      </c>
      <c r="AZ125">
        <v>365</v>
      </c>
      <c r="BA125">
        <v>365</v>
      </c>
      <c r="BB125">
        <v>192</v>
      </c>
      <c r="BC125" s="2">
        <v>44370</v>
      </c>
      <c r="BD125" t="s">
        <v>284</v>
      </c>
      <c r="BE125">
        <v>330000</v>
      </c>
      <c r="BF125">
        <v>330000</v>
      </c>
      <c r="BG125" t="s">
        <v>160</v>
      </c>
      <c r="BH125">
        <v>30</v>
      </c>
      <c r="BI125" t="s">
        <v>56</v>
      </c>
      <c r="BJ125" t="s">
        <v>161</v>
      </c>
      <c r="BK125">
        <v>400600</v>
      </c>
      <c r="BL125">
        <v>63200</v>
      </c>
      <c r="BM125">
        <v>337400</v>
      </c>
      <c r="BN125">
        <v>0</v>
      </c>
      <c r="BO125">
        <v>344941.00702896836</v>
      </c>
      <c r="BP125">
        <v>410059.21726915601</v>
      </c>
      <c r="BQ125">
        <f>(Sales[[#This Row],[DP1]]*Lookups!$B$61)+(Sales[[#This Row],[DP2]]*Lookups!$B$62)+(Sales[[#This Row],[DP3]]*Lookups!$B$63)</f>
        <v>-65118.207431000003</v>
      </c>
      <c r="BR125">
        <f>Lookups!$B$58*0.6</f>
        <v>132535.48800000001</v>
      </c>
      <c r="BS125">
        <f>Lookups!$B$58*0.4</f>
        <v>88356.992000000013</v>
      </c>
      <c r="BT125">
        <f>Lookups!$B$59*Sales[[#This Row],[LnAcres]]</f>
        <v>-21795.969453044734</v>
      </c>
      <c r="BU125">
        <f>VLOOKUP(Sales[[#This Row],[Qlty]],Lookups!$A$66:$E$79,2,FALSE)</f>
        <v>32917.849192000001</v>
      </c>
      <c r="BV125">
        <f>VLOOKUP(Sales[[#This Row],[Cnd]],Lookups!$A$80:$E$91,2,FALSE)</f>
        <v>47371.278778200001</v>
      </c>
      <c r="BW125">
        <f>Sales[[#This Row],[EffAge]]*Lookups!$B$65</f>
        <v>-326.22329999999999</v>
      </c>
      <c r="BX125">
        <f>Sales[[#This Row],[MainFn]]*Lookups!$B$90</f>
        <v>125444.86380000001</v>
      </c>
      <c r="BY125">
        <f>Sales[[#This Row],[UpprFn]]*Lookups!$B$91</f>
        <v>0</v>
      </c>
      <c r="BZ125">
        <f>Sales[[#This Row],[Bsmt]]*Lookups!$B$95</f>
        <v>0</v>
      </c>
      <c r="CA125">
        <f>VLOOKUP(Sales[[#This Row],[MsnryTrim]],Lookups!$A$90:$E$99,2,FALSE)</f>
        <v>-9412.7029999999995</v>
      </c>
      <c r="CB125">
        <f>Sales[[#This Row],[PrefabFP]]*Lookups!$B$92</f>
        <v>0</v>
      </c>
      <c r="CC125">
        <f>Sales[[#This Row],[AttGar]]*Lookups!$B$93</f>
        <v>14967.637144</v>
      </c>
      <c r="CD125">
        <f>Sales[[#This Row],[BltinGar]]*Lookups!$B$94</f>
        <v>0</v>
      </c>
      <c r="CE125">
        <f>SUM(Sales[[#This Row],[Days Prior Total]:[Mdl BltinGar]])</f>
        <v>344941.00573015527</v>
      </c>
      <c r="CF125">
        <f>ROUND(Sales[[#This Row],[25Det]],-2)</f>
        <v>0</v>
      </c>
      <c r="CG125">
        <f>ROUND(SUM(Sales[[#This Row],[Mdl Qlty]:[Mdl BltinGar]])+Sales[[#This Row],[Mdl Res Intercept]]+Sales[[#This Row],[Days Prior Total]],-2)</f>
        <v>278400</v>
      </c>
      <c r="CH125">
        <f>ROUND(Sales[[#This Row],[Mdl Land Intercept]]+Sales[[#This Row],[Mdl LnAcres]],-2)</f>
        <v>66600</v>
      </c>
      <c r="CI125">
        <f>Sales[[#This Row],[Unadj Res Value]]+Sales[[#This Row],[Unadj Det Value]]+Sales[[#This Row],[Unadj Land Value]]</f>
        <v>345000</v>
      </c>
      <c r="CJ125" s="10">
        <f>Sales[[#This Row],[Price]]/Sales[[#This Row],[Unadj Total Value]]</f>
        <v>0.95652173913043481</v>
      </c>
      <c r="CK125" s="10">
        <f>(Sales[[#This Row],[Unadj Total Value]]-Sales[[#This Row],[24Final]])/Sales[[#This Row],[24Final]]</f>
        <v>-0.13879181228157764</v>
      </c>
      <c r="CL125">
        <f>VLOOKUP(Sales[[#This Row],[TNbhd]],Lookups!$M$3:$P$5,4,FALSE)</f>
        <v>0.99970000000000003</v>
      </c>
      <c r="CM125">
        <f>VLOOKUP(Sales[[#This Row],[Qlty]],Lookups!$M$8:$P$22,4,FALSE)</f>
        <v>1.0019</v>
      </c>
      <c r="CN125">
        <f>VLOOKUP(Sales[[#This Row],[Cnd]],Lookups!$R$8:$U$17,4,FALSE)</f>
        <v>1.0012000000000001</v>
      </c>
      <c r="CO125">
        <f>VLOOKUP(Sales[[#This Row],[LivArea Range]],Lookups!$R$25:$U$43,4,FALSE)</f>
        <v>1.0008999999999999</v>
      </c>
      <c r="CP125">
        <f>VLOOKUP(Sales[[#This Row],[Decade]],Lookups!$M$24:$P$40,4,FALSE)</f>
        <v>1.0024</v>
      </c>
      <c r="CQ125">
        <f>Sales[[#This Row],[Nbhd Adj]]*0.95</f>
        <v>0.94971499999999998</v>
      </c>
      <c r="CR125">
        <f>Sales[[#This Row],[Nbhd Adj]]*Sales[[#This Row],[Quality Adj]]*Sales[[#This Row],[Condition Adj]]*Sales[[#This Row],[Living Area Adj]]*Sales[[#This Row],[Decade Adj]]*0.95</f>
        <v>0.95580712182867422</v>
      </c>
      <c r="CS125">
        <f>ROUND(SUM(Sales[[#This Row],[Mdl Qlty]:[Mdl BltinGar]])+Sales[[#This Row],[Mdl Res Intercept]]*Sales[[#This Row],[Res Adj ]],-2)</f>
        <v>337600</v>
      </c>
      <c r="CT125">
        <f>ROUND(Sales[[#This Row],[25Det]]*Sales[[#This Row],[Det/Nbhd Adj]],-2)</f>
        <v>0</v>
      </c>
      <c r="CU125">
        <f>Sales[[#This Row],[Adjusted Res]]+Sales[[#This Row],[Adj Det ]]</f>
        <v>337600</v>
      </c>
      <c r="CV125">
        <f>ROUND((Sales[[#This Row],[Mdl Land Intercept]]+Sales[[#This Row],[Mdl LnAcres]])*Sales[[#This Row],[Det/Nbhd Adj]],-2)</f>
        <v>63200</v>
      </c>
      <c r="CW125">
        <f>Sales[[#This Row],[Adjusted Impr Total]]+Sales[[#This Row],[Adjusted Land Total]]</f>
        <v>400800</v>
      </c>
      <c r="CX125" s="10">
        <f>IFERROR((Sales[[#This Row],[Adjusted Impr Total]]-Sales[[#This Row],[24Bldg]])/Sales[[#This Row],[24Bldg]],0)</f>
        <v>5.9276822762299936E-4</v>
      </c>
      <c r="CY125" s="10">
        <f>(Sales[[#This Row],[Adjusted Land Total]]-Sales[[#This Row],[24Lnd]])/Sales[[#This Row],[24Lnd]]</f>
        <v>0</v>
      </c>
      <c r="CZ125">
        <f>(Sales[[#This Row],[Adjusted Total]]-Sales[[#This Row],[24Final]])/Sales[[#This Row],[24Final]]</f>
        <v>4.992511233150275E-4</v>
      </c>
      <c r="DA125" s="10">
        <f>(Sales[[#This Row],[Adjusted Total]]+Sales[[#This Row],[Days Prior Total]])/Sales[[#This Row],[Price]]</f>
        <v>1.0172175532393939</v>
      </c>
    </row>
    <row r="126" spans="1:105">
      <c r="A126">
        <v>2025</v>
      </c>
      <c r="B126">
        <v>19133541424</v>
      </c>
      <c r="C126">
        <v>-1.7719568419318752</v>
      </c>
      <c r="D126">
        <v>0.17</v>
      </c>
      <c r="E126">
        <v>7245</v>
      </c>
      <c r="F126">
        <v>2</v>
      </c>
      <c r="G126" t="s">
        <v>155</v>
      </c>
      <c r="H126">
        <v>317</v>
      </c>
      <c r="I126" t="s">
        <v>5</v>
      </c>
      <c r="J126" t="s">
        <v>212</v>
      </c>
      <c r="K126">
        <v>11</v>
      </c>
      <c r="L126">
        <v>259</v>
      </c>
      <c r="M126" t="s">
        <v>157</v>
      </c>
      <c r="N126" t="s">
        <v>21</v>
      </c>
      <c r="O126" t="s">
        <v>24</v>
      </c>
      <c r="P126">
        <v>2021</v>
      </c>
      <c r="Q126">
        <v>2021</v>
      </c>
      <c r="R126">
        <v>10</v>
      </c>
      <c r="S126">
        <v>3</v>
      </c>
      <c r="T126">
        <v>3</v>
      </c>
      <c r="U126">
        <v>2</v>
      </c>
      <c r="V126">
        <v>1073</v>
      </c>
      <c r="W126">
        <v>1331</v>
      </c>
      <c r="X126">
        <v>0</v>
      </c>
      <c r="Y126">
        <v>0</v>
      </c>
      <c r="Z126">
        <v>0</v>
      </c>
      <c r="AA126">
        <v>0</v>
      </c>
      <c r="AB126">
        <v>2404</v>
      </c>
      <c r="AC126">
        <v>2500</v>
      </c>
      <c r="AD126">
        <v>3</v>
      </c>
      <c r="AE126" t="s">
        <v>56</v>
      </c>
      <c r="AF126" t="s">
        <v>158</v>
      </c>
      <c r="AG126" t="s">
        <v>27</v>
      </c>
      <c r="AI126">
        <v>0</v>
      </c>
      <c r="AJ126">
        <v>0</v>
      </c>
      <c r="AK126">
        <v>0</v>
      </c>
      <c r="AL126">
        <v>0</v>
      </c>
      <c r="AM126">
        <v>1</v>
      </c>
      <c r="AN126">
        <v>14</v>
      </c>
      <c r="AO126">
        <v>0</v>
      </c>
      <c r="AP126">
        <v>1143</v>
      </c>
      <c r="AQ126">
        <v>0</v>
      </c>
      <c r="AR126">
        <v>0</v>
      </c>
      <c r="AS126">
        <v>192</v>
      </c>
      <c r="AT126">
        <v>0</v>
      </c>
      <c r="AU126">
        <v>100</v>
      </c>
      <c r="AV126">
        <v>100</v>
      </c>
      <c r="AW126">
        <v>454578</v>
      </c>
      <c r="AX126">
        <v>450032</v>
      </c>
      <c r="AY126">
        <v>922</v>
      </c>
      <c r="AZ126">
        <v>365</v>
      </c>
      <c r="BA126">
        <v>365</v>
      </c>
      <c r="BB126">
        <v>192</v>
      </c>
      <c r="BC126" s="2">
        <v>44370</v>
      </c>
      <c r="BD126" t="s">
        <v>285</v>
      </c>
      <c r="BE126">
        <v>369128</v>
      </c>
      <c r="BF126">
        <v>369128</v>
      </c>
      <c r="BG126" t="s">
        <v>160</v>
      </c>
      <c r="BH126">
        <v>30</v>
      </c>
      <c r="BI126" t="s">
        <v>56</v>
      </c>
      <c r="BJ126" t="s">
        <v>161</v>
      </c>
      <c r="BK126">
        <v>473200</v>
      </c>
      <c r="BL126">
        <v>61700</v>
      </c>
      <c r="BM126">
        <v>411500</v>
      </c>
      <c r="BN126">
        <v>0</v>
      </c>
      <c r="BO126">
        <v>405797.1145052723</v>
      </c>
      <c r="BP126">
        <v>470915.32474546001</v>
      </c>
      <c r="BQ126">
        <f>(Sales[[#This Row],[DP1]]*Lookups!$B$61)+(Sales[[#This Row],[DP2]]*Lookups!$B$62)+(Sales[[#This Row],[DP3]]*Lookups!$B$63)</f>
        <v>-65118.207431000003</v>
      </c>
      <c r="BR126">
        <f>Lookups!$B$58*0.6</f>
        <v>132535.48800000001</v>
      </c>
      <c r="BS126">
        <f>Lookups!$B$58*0.4</f>
        <v>88356.992000000013</v>
      </c>
      <c r="BT126">
        <f>Lookups!$B$59*Sales[[#This Row],[LnAcres]]</f>
        <v>-23255.730391660189</v>
      </c>
      <c r="BU126">
        <f>VLOOKUP(Sales[[#This Row],[Qlty]],Lookups!$A$66:$E$79,2,FALSE)</f>
        <v>32917.849192000001</v>
      </c>
      <c r="BV126">
        <f>VLOOKUP(Sales[[#This Row],[Cnd]],Lookups!$A$80:$E$91,2,FALSE)</f>
        <v>47371.278778200001</v>
      </c>
      <c r="BW126">
        <f>Sales[[#This Row],[EffAge]]*Lookups!$B$65</f>
        <v>-326.22329999999999</v>
      </c>
      <c r="BX126">
        <f>Sales[[#This Row],[MainFn]]*Lookups!$B$90</f>
        <v>66966.337740000003</v>
      </c>
      <c r="BY126">
        <f>Sales[[#This Row],[UpprFn]]*Lookups!$B$91</f>
        <v>79301.489772999994</v>
      </c>
      <c r="BZ126">
        <f>Sales[[#This Row],[Bsmt]]*Lookups!$B$95</f>
        <v>0</v>
      </c>
      <c r="CA126">
        <f>VLOOKUP(Sales[[#This Row],[MsnryTrim]],Lookups!$A$90:$E$99,2,FALSE)</f>
        <v>-9412.7029999999995</v>
      </c>
      <c r="CB126">
        <f>Sales[[#This Row],[PrefabFP]]*Lookups!$B$92</f>
        <v>0</v>
      </c>
      <c r="CC126">
        <f>Sales[[#This Row],[AttGar]]*Lookups!$B$93</f>
        <v>0</v>
      </c>
      <c r="CD126">
        <f>Sales[[#This Row],[BltinGar]]*Lookups!$B$94</f>
        <v>56460.542399999998</v>
      </c>
      <c r="CE126">
        <f>SUM(Sales[[#This Row],[Days Prior Total]:[Mdl BltinGar]])</f>
        <v>405797.11376053985</v>
      </c>
      <c r="CF126">
        <f>ROUND(Sales[[#This Row],[25Det]],-2)</f>
        <v>0</v>
      </c>
      <c r="CG126">
        <f>ROUND(SUM(Sales[[#This Row],[Mdl Qlty]:[Mdl BltinGar]])+Sales[[#This Row],[Mdl Res Intercept]]+Sales[[#This Row],[Days Prior Total]],-2)</f>
        <v>340700</v>
      </c>
      <c r="CH126">
        <f>ROUND(Sales[[#This Row],[Mdl Land Intercept]]+Sales[[#This Row],[Mdl LnAcres]],-2)</f>
        <v>65100</v>
      </c>
      <c r="CI126">
        <f>Sales[[#This Row],[Unadj Res Value]]+Sales[[#This Row],[Unadj Det Value]]+Sales[[#This Row],[Unadj Land Value]]</f>
        <v>405800</v>
      </c>
      <c r="CJ126" s="10">
        <f>Sales[[#This Row],[Price]]/Sales[[#This Row],[Unadj Total Value]]</f>
        <v>0.90963035978314444</v>
      </c>
      <c r="CK126" s="10">
        <f>(Sales[[#This Row],[Unadj Total Value]]-Sales[[#This Row],[24Final]])/Sales[[#This Row],[24Final]]</f>
        <v>-0.14243448858833474</v>
      </c>
      <c r="CL126">
        <f>VLOOKUP(Sales[[#This Row],[TNbhd]],Lookups!$M$3:$P$5,4,FALSE)</f>
        <v>0.99970000000000003</v>
      </c>
      <c r="CM126">
        <f>VLOOKUP(Sales[[#This Row],[Qlty]],Lookups!$M$8:$P$22,4,FALSE)</f>
        <v>1.0019</v>
      </c>
      <c r="CN126">
        <f>VLOOKUP(Sales[[#This Row],[Cnd]],Lookups!$R$8:$U$17,4,FALSE)</f>
        <v>1.0012000000000001</v>
      </c>
      <c r="CO126">
        <f>VLOOKUP(Sales[[#This Row],[LivArea Range]],Lookups!$R$25:$U$43,4,FALSE)</f>
        <v>1.0008999999999999</v>
      </c>
      <c r="CP126">
        <f>VLOOKUP(Sales[[#This Row],[Decade]],Lookups!$M$24:$P$40,4,FALSE)</f>
        <v>1.0024</v>
      </c>
      <c r="CQ126">
        <f>Sales[[#This Row],[Nbhd Adj]]*0.95</f>
        <v>0.94971499999999998</v>
      </c>
      <c r="CR126">
        <f>Sales[[#This Row],[Nbhd Adj]]*Sales[[#This Row],[Quality Adj]]*Sales[[#This Row],[Condition Adj]]*Sales[[#This Row],[Living Area Adj]]*Sales[[#This Row],[Decade Adj]]*0.95</f>
        <v>0.95580712182867422</v>
      </c>
      <c r="CS126">
        <f>ROUND(SUM(Sales[[#This Row],[Mdl Qlty]:[Mdl BltinGar]])+Sales[[#This Row],[Mdl Res Intercept]]*Sales[[#This Row],[Res Adj ]],-2)</f>
        <v>400000</v>
      </c>
      <c r="CT126">
        <f>ROUND(Sales[[#This Row],[25Det]]*Sales[[#This Row],[Det/Nbhd Adj]],-2)</f>
        <v>0</v>
      </c>
      <c r="CU126">
        <f>Sales[[#This Row],[Adjusted Res]]+Sales[[#This Row],[Adj Det ]]</f>
        <v>400000</v>
      </c>
      <c r="CV126">
        <f>ROUND((Sales[[#This Row],[Mdl Land Intercept]]+Sales[[#This Row],[Mdl LnAcres]])*Sales[[#This Row],[Det/Nbhd Adj]],-2)</f>
        <v>61800</v>
      </c>
      <c r="CW126">
        <f>Sales[[#This Row],[Adjusted Impr Total]]+Sales[[#This Row],[Adjusted Land Total]]</f>
        <v>461800</v>
      </c>
      <c r="CX126" s="10">
        <f>IFERROR((Sales[[#This Row],[Adjusted Impr Total]]-Sales[[#This Row],[24Bldg]])/Sales[[#This Row],[24Bldg]],0)</f>
        <v>-2.7946537059538274E-2</v>
      </c>
      <c r="CY126" s="10">
        <f>(Sales[[#This Row],[Adjusted Land Total]]-Sales[[#This Row],[24Lnd]])/Sales[[#This Row],[24Lnd]]</f>
        <v>1.6207455429497568E-3</v>
      </c>
      <c r="CZ126">
        <f>(Sales[[#This Row],[Adjusted Total]]-Sales[[#This Row],[24Final]])/Sales[[#This Row],[24Final]]</f>
        <v>-2.4091293322062553E-2</v>
      </c>
      <c r="DA126" s="10">
        <f>(Sales[[#This Row],[Adjusted Total]]+Sales[[#This Row],[Days Prior Total]])/Sales[[#This Row],[Price]]</f>
        <v>1.0746456312417372</v>
      </c>
    </row>
    <row r="127" spans="1:105">
      <c r="A127">
        <v>2025</v>
      </c>
      <c r="B127">
        <v>19133541425</v>
      </c>
      <c r="C127">
        <v>-1.7719568419318752</v>
      </c>
      <c r="D127">
        <v>0.17</v>
      </c>
      <c r="E127">
        <v>7245</v>
      </c>
      <c r="F127">
        <v>2</v>
      </c>
      <c r="G127" t="s">
        <v>155</v>
      </c>
      <c r="H127">
        <v>317</v>
      </c>
      <c r="I127" t="s">
        <v>5</v>
      </c>
      <c r="J127" t="s">
        <v>212</v>
      </c>
      <c r="K127">
        <v>11</v>
      </c>
      <c r="L127">
        <v>259</v>
      </c>
      <c r="M127" t="s">
        <v>157</v>
      </c>
      <c r="N127" t="s">
        <v>21</v>
      </c>
      <c r="O127" t="s">
        <v>24</v>
      </c>
      <c r="P127">
        <v>2021</v>
      </c>
      <c r="Q127">
        <v>2021</v>
      </c>
      <c r="R127">
        <v>10</v>
      </c>
      <c r="S127">
        <v>3</v>
      </c>
      <c r="T127">
        <v>3</v>
      </c>
      <c r="U127">
        <v>1</v>
      </c>
      <c r="V127">
        <v>1856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1856</v>
      </c>
      <c r="AC127">
        <v>2000</v>
      </c>
      <c r="AD127">
        <v>3</v>
      </c>
      <c r="AE127" t="s">
        <v>56</v>
      </c>
      <c r="AF127" t="s">
        <v>158</v>
      </c>
      <c r="AG127" t="s">
        <v>27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11</v>
      </c>
      <c r="AO127">
        <v>664</v>
      </c>
      <c r="AP127">
        <v>0</v>
      </c>
      <c r="AQ127">
        <v>0</v>
      </c>
      <c r="AR127">
        <v>0</v>
      </c>
      <c r="AS127">
        <v>80</v>
      </c>
      <c r="AT127">
        <v>0</v>
      </c>
      <c r="AU127">
        <v>100</v>
      </c>
      <c r="AV127">
        <v>100</v>
      </c>
      <c r="AW127">
        <v>375863</v>
      </c>
      <c r="AX127">
        <v>372104</v>
      </c>
      <c r="AY127">
        <v>951</v>
      </c>
      <c r="AZ127">
        <v>365</v>
      </c>
      <c r="BA127">
        <v>365</v>
      </c>
      <c r="BB127">
        <v>221</v>
      </c>
      <c r="BC127" s="2">
        <v>44341</v>
      </c>
      <c r="BD127" t="s">
        <v>286</v>
      </c>
      <c r="BE127">
        <v>329800</v>
      </c>
      <c r="BF127">
        <v>329800</v>
      </c>
      <c r="BG127" t="s">
        <v>160</v>
      </c>
      <c r="BH127">
        <v>30</v>
      </c>
      <c r="BI127" t="s">
        <v>56</v>
      </c>
      <c r="BJ127" t="s">
        <v>161</v>
      </c>
      <c r="BK127">
        <v>410200</v>
      </c>
      <c r="BL127">
        <v>61700</v>
      </c>
      <c r="BM127">
        <v>348500</v>
      </c>
      <c r="BN127">
        <v>0</v>
      </c>
      <c r="BO127">
        <v>335701.31208658696</v>
      </c>
      <c r="BP127">
        <v>407460.5051758308</v>
      </c>
      <c r="BQ127">
        <f>(Sales[[#This Row],[DP1]]*Lookups!$B$61)+(Sales[[#This Row],[DP2]]*Lookups!$B$62)+(Sales[[#This Row],[DP3]]*Lookups!$B$63)</f>
        <v>-71759.190031000006</v>
      </c>
      <c r="BR127">
        <f>Lookups!$B$58*0.6</f>
        <v>132535.48800000001</v>
      </c>
      <c r="BS127">
        <f>Lookups!$B$58*0.4</f>
        <v>88356.992000000013</v>
      </c>
      <c r="BT127">
        <f>Lookups!$B$59*Sales[[#This Row],[LnAcres]]</f>
        <v>-23255.730391660189</v>
      </c>
      <c r="BU127">
        <f>VLOOKUP(Sales[[#This Row],[Qlty]],Lookups!$A$66:$E$79,2,FALSE)</f>
        <v>32917.849192000001</v>
      </c>
      <c r="BV127">
        <f>VLOOKUP(Sales[[#This Row],[Cnd]],Lookups!$A$80:$E$91,2,FALSE)</f>
        <v>47371.278778200001</v>
      </c>
      <c r="BW127">
        <f>Sales[[#This Row],[EffAge]]*Lookups!$B$65</f>
        <v>-326.22329999999999</v>
      </c>
      <c r="BX127">
        <f>Sales[[#This Row],[MainFn]]*Lookups!$B$90</f>
        <v>115833.66528</v>
      </c>
      <c r="BY127">
        <f>Sales[[#This Row],[UpprFn]]*Lookups!$B$91</f>
        <v>0</v>
      </c>
      <c r="BZ127">
        <f>Sales[[#This Row],[Bsmt]]*Lookups!$B$95</f>
        <v>0</v>
      </c>
      <c r="CA127">
        <f>VLOOKUP(Sales[[#This Row],[MsnryTrim]],Lookups!$A$90:$E$99,2,FALSE)</f>
        <v>-9412.7029999999995</v>
      </c>
      <c r="CB127">
        <f>Sales[[#This Row],[PrefabFP]]*Lookups!$B$92</f>
        <v>0</v>
      </c>
      <c r="CC127">
        <f>Sales[[#This Row],[AttGar]]*Lookups!$B$93</f>
        <v>23439.884583999999</v>
      </c>
      <c r="CD127">
        <f>Sales[[#This Row],[BltinGar]]*Lookups!$B$94</f>
        <v>0</v>
      </c>
      <c r="CE127">
        <f>SUM(Sales[[#This Row],[Days Prior Total]:[Mdl BltinGar]])</f>
        <v>335701.31111153984</v>
      </c>
      <c r="CF127">
        <f>ROUND(Sales[[#This Row],[25Det]],-2)</f>
        <v>0</v>
      </c>
      <c r="CG127">
        <f>ROUND(SUM(Sales[[#This Row],[Mdl Qlty]:[Mdl BltinGar]])+Sales[[#This Row],[Mdl Res Intercept]]+Sales[[#This Row],[Days Prior Total]],-2)</f>
        <v>270600</v>
      </c>
      <c r="CH127">
        <f>ROUND(Sales[[#This Row],[Mdl Land Intercept]]+Sales[[#This Row],[Mdl LnAcres]],-2)</f>
        <v>65100</v>
      </c>
      <c r="CI127">
        <f>Sales[[#This Row],[Unadj Res Value]]+Sales[[#This Row],[Unadj Det Value]]+Sales[[#This Row],[Unadj Land Value]]</f>
        <v>335700</v>
      </c>
      <c r="CJ127" s="10">
        <f>Sales[[#This Row],[Price]]/Sales[[#This Row],[Unadj Total Value]]</f>
        <v>0.98242478403336309</v>
      </c>
      <c r="CK127" s="10">
        <f>(Sales[[#This Row],[Unadj Total Value]]-Sales[[#This Row],[24Final]])/Sales[[#This Row],[24Final]]</f>
        <v>-0.18161872257435396</v>
      </c>
      <c r="CL127">
        <f>VLOOKUP(Sales[[#This Row],[TNbhd]],Lookups!$M$3:$P$5,4,FALSE)</f>
        <v>0.99970000000000003</v>
      </c>
      <c r="CM127">
        <f>VLOOKUP(Sales[[#This Row],[Qlty]],Lookups!$M$8:$P$22,4,FALSE)</f>
        <v>1.0019</v>
      </c>
      <c r="CN127">
        <f>VLOOKUP(Sales[[#This Row],[Cnd]],Lookups!$R$8:$U$17,4,FALSE)</f>
        <v>1.0012000000000001</v>
      </c>
      <c r="CO127">
        <f>VLOOKUP(Sales[[#This Row],[LivArea Range]],Lookups!$R$25:$U$43,4,FALSE)</f>
        <v>1.0007999999999999</v>
      </c>
      <c r="CP127">
        <f>VLOOKUP(Sales[[#This Row],[Decade]],Lookups!$M$24:$P$40,4,FALSE)</f>
        <v>1.0024</v>
      </c>
      <c r="CQ127">
        <f>Sales[[#This Row],[Nbhd Adj]]*0.95</f>
        <v>0.94971499999999998</v>
      </c>
      <c r="CR127">
        <f>Sales[[#This Row],[Nbhd Adj]]*Sales[[#This Row],[Quality Adj]]*Sales[[#This Row],[Condition Adj]]*Sales[[#This Row],[Living Area Adj]]*Sales[[#This Row],[Decade Adj]]*0.95</f>
        <v>0.95571162706178159</v>
      </c>
      <c r="CS127">
        <f>ROUND(SUM(Sales[[#This Row],[Mdl Qlty]:[Mdl BltinGar]])+Sales[[#This Row],[Mdl Res Intercept]]*Sales[[#This Row],[Res Adj ]],-2)</f>
        <v>336500</v>
      </c>
      <c r="CT127">
        <f>ROUND(Sales[[#This Row],[25Det]]*Sales[[#This Row],[Det/Nbhd Adj]],-2)</f>
        <v>0</v>
      </c>
      <c r="CU127">
        <f>Sales[[#This Row],[Adjusted Res]]+Sales[[#This Row],[Adj Det ]]</f>
        <v>336500</v>
      </c>
      <c r="CV127">
        <f>ROUND((Sales[[#This Row],[Mdl Land Intercept]]+Sales[[#This Row],[Mdl LnAcres]])*Sales[[#This Row],[Det/Nbhd Adj]],-2)</f>
        <v>61800</v>
      </c>
      <c r="CW127">
        <f>Sales[[#This Row],[Adjusted Impr Total]]+Sales[[#This Row],[Adjusted Land Total]]</f>
        <v>398300</v>
      </c>
      <c r="CX127" s="10">
        <f>IFERROR((Sales[[#This Row],[Adjusted Impr Total]]-Sales[[#This Row],[24Bldg]])/Sales[[#This Row],[24Bldg]],0)</f>
        <v>-3.443328550932568E-2</v>
      </c>
      <c r="CY127" s="10">
        <f>(Sales[[#This Row],[Adjusted Land Total]]-Sales[[#This Row],[24Lnd]])/Sales[[#This Row],[24Lnd]]</f>
        <v>1.6207455429497568E-3</v>
      </c>
      <c r="CZ127">
        <f>(Sales[[#This Row],[Adjusted Total]]-Sales[[#This Row],[24Final]])/Sales[[#This Row],[24Final]]</f>
        <v>-2.9010238907849831E-2</v>
      </c>
      <c r="DA127" s="10">
        <f>(Sales[[#This Row],[Adjusted Total]]+Sales[[#This Row],[Days Prior Total]])/Sales[[#This Row],[Price]]</f>
        <v>0.99011767728623401</v>
      </c>
    </row>
    <row r="128" spans="1:105">
      <c r="A128">
        <v>2025</v>
      </c>
      <c r="B128">
        <v>19133541426</v>
      </c>
      <c r="C128">
        <v>-1.7719568419318752</v>
      </c>
      <c r="D128">
        <v>0.17</v>
      </c>
      <c r="E128">
        <v>7245</v>
      </c>
      <c r="F128">
        <v>2</v>
      </c>
      <c r="G128" t="s">
        <v>155</v>
      </c>
      <c r="H128">
        <v>317</v>
      </c>
      <c r="I128" t="s">
        <v>5</v>
      </c>
      <c r="J128" t="s">
        <v>212</v>
      </c>
      <c r="K128">
        <v>11</v>
      </c>
      <c r="L128">
        <v>259</v>
      </c>
      <c r="M128" t="s">
        <v>157</v>
      </c>
      <c r="N128" t="s">
        <v>21</v>
      </c>
      <c r="O128" t="s">
        <v>24</v>
      </c>
      <c r="P128">
        <v>2021</v>
      </c>
      <c r="Q128">
        <v>2021</v>
      </c>
      <c r="R128">
        <v>10</v>
      </c>
      <c r="S128">
        <v>3</v>
      </c>
      <c r="T128">
        <v>3</v>
      </c>
      <c r="U128">
        <v>1</v>
      </c>
      <c r="V128">
        <v>1856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1856</v>
      </c>
      <c r="AC128">
        <v>2000</v>
      </c>
      <c r="AD128">
        <v>2</v>
      </c>
      <c r="AE128" t="s">
        <v>56</v>
      </c>
      <c r="AF128" t="s">
        <v>158</v>
      </c>
      <c r="AG128" t="s">
        <v>27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11</v>
      </c>
      <c r="AO128">
        <v>424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100</v>
      </c>
      <c r="AV128">
        <v>100</v>
      </c>
      <c r="AW128">
        <v>357719</v>
      </c>
      <c r="AX128">
        <v>354142</v>
      </c>
      <c r="AY128">
        <v>889</v>
      </c>
      <c r="AZ128">
        <v>365</v>
      </c>
      <c r="BA128">
        <v>365</v>
      </c>
      <c r="BB128">
        <v>159</v>
      </c>
      <c r="BC128" s="2">
        <v>44403</v>
      </c>
      <c r="BD128" t="s">
        <v>287</v>
      </c>
      <c r="BE128">
        <v>310600</v>
      </c>
      <c r="BF128">
        <v>310600</v>
      </c>
      <c r="BG128" t="s">
        <v>160</v>
      </c>
      <c r="BH128">
        <v>30</v>
      </c>
      <c r="BI128" t="s">
        <v>56</v>
      </c>
      <c r="BJ128" t="s">
        <v>161</v>
      </c>
      <c r="BK128">
        <v>389800</v>
      </c>
      <c r="BL128">
        <v>61700</v>
      </c>
      <c r="BM128">
        <v>328100</v>
      </c>
      <c r="BN128">
        <v>0</v>
      </c>
      <c r="BO128">
        <v>341427.02806581423</v>
      </c>
      <c r="BP128">
        <v>398988.25782259321</v>
      </c>
      <c r="BQ128">
        <f>(Sales[[#This Row],[DP1]]*Lookups!$B$61)+(Sales[[#This Row],[DP2]]*Lookups!$B$62)+(Sales[[#This Row],[DP3]]*Lookups!$B$63)</f>
        <v>-57561.227230999997</v>
      </c>
      <c r="BR128">
        <f>Lookups!$B$58*0.6</f>
        <v>132535.48800000001</v>
      </c>
      <c r="BS128">
        <f>Lookups!$B$58*0.4</f>
        <v>88356.992000000013</v>
      </c>
      <c r="BT128">
        <f>Lookups!$B$59*Sales[[#This Row],[LnAcres]]</f>
        <v>-23255.730391660189</v>
      </c>
      <c r="BU128">
        <f>VLOOKUP(Sales[[#This Row],[Qlty]],Lookups!$A$66:$E$79,2,FALSE)</f>
        <v>32917.849192000001</v>
      </c>
      <c r="BV128">
        <f>VLOOKUP(Sales[[#This Row],[Cnd]],Lookups!$A$80:$E$91,2,FALSE)</f>
        <v>47371.278778200001</v>
      </c>
      <c r="BW128">
        <f>Sales[[#This Row],[EffAge]]*Lookups!$B$65</f>
        <v>-326.22329999999999</v>
      </c>
      <c r="BX128">
        <f>Sales[[#This Row],[MainFn]]*Lookups!$B$90</f>
        <v>115833.66528</v>
      </c>
      <c r="BY128">
        <f>Sales[[#This Row],[UpprFn]]*Lookups!$B$91</f>
        <v>0</v>
      </c>
      <c r="BZ128">
        <f>Sales[[#This Row],[Bsmt]]*Lookups!$B$95</f>
        <v>0</v>
      </c>
      <c r="CA128">
        <f>VLOOKUP(Sales[[#This Row],[MsnryTrim]],Lookups!$A$90:$E$99,2,FALSE)</f>
        <v>-9412.7029999999995</v>
      </c>
      <c r="CB128">
        <f>Sales[[#This Row],[PrefabFP]]*Lookups!$B$92</f>
        <v>0</v>
      </c>
      <c r="CC128">
        <f>Sales[[#This Row],[AttGar]]*Lookups!$B$93</f>
        <v>14967.637144</v>
      </c>
      <c r="CD128">
        <f>Sales[[#This Row],[BltinGar]]*Lookups!$B$94</f>
        <v>0</v>
      </c>
      <c r="CE128">
        <f>SUM(Sales[[#This Row],[Days Prior Total]:[Mdl BltinGar]])</f>
        <v>341427.02647153981</v>
      </c>
      <c r="CF128">
        <f>ROUND(Sales[[#This Row],[25Det]],-2)</f>
        <v>0</v>
      </c>
      <c r="CG128">
        <f>ROUND(SUM(Sales[[#This Row],[Mdl Qlty]:[Mdl BltinGar]])+Sales[[#This Row],[Mdl Res Intercept]]+Sales[[#This Row],[Days Prior Total]],-2)</f>
        <v>276300</v>
      </c>
      <c r="CH128">
        <f>ROUND(Sales[[#This Row],[Mdl Land Intercept]]+Sales[[#This Row],[Mdl LnAcres]],-2)</f>
        <v>65100</v>
      </c>
      <c r="CI128">
        <f>Sales[[#This Row],[Unadj Res Value]]+Sales[[#This Row],[Unadj Det Value]]+Sales[[#This Row],[Unadj Land Value]]</f>
        <v>341400</v>
      </c>
      <c r="CJ128" s="10">
        <f>Sales[[#This Row],[Price]]/Sales[[#This Row],[Unadj Total Value]]</f>
        <v>0.9097832454598711</v>
      </c>
      <c r="CK128" s="10">
        <f>(Sales[[#This Row],[Unadj Total Value]]-Sales[[#This Row],[24Final]])/Sales[[#This Row],[24Final]]</f>
        <v>-0.1241662390969728</v>
      </c>
      <c r="CL128">
        <f>VLOOKUP(Sales[[#This Row],[TNbhd]],Lookups!$M$3:$P$5,4,FALSE)</f>
        <v>0.99970000000000003</v>
      </c>
      <c r="CM128">
        <f>VLOOKUP(Sales[[#This Row],[Qlty]],Lookups!$M$8:$P$22,4,FALSE)</f>
        <v>1.0019</v>
      </c>
      <c r="CN128">
        <f>VLOOKUP(Sales[[#This Row],[Cnd]],Lookups!$R$8:$U$17,4,FALSE)</f>
        <v>1.0012000000000001</v>
      </c>
      <c r="CO128">
        <f>VLOOKUP(Sales[[#This Row],[LivArea Range]],Lookups!$R$25:$U$43,4,FALSE)</f>
        <v>1.0007999999999999</v>
      </c>
      <c r="CP128">
        <f>VLOOKUP(Sales[[#This Row],[Decade]],Lookups!$M$24:$P$40,4,FALSE)</f>
        <v>1.0024</v>
      </c>
      <c r="CQ128">
        <f>Sales[[#This Row],[Nbhd Adj]]*0.95</f>
        <v>0.94971499999999998</v>
      </c>
      <c r="CR128">
        <f>Sales[[#This Row],[Nbhd Adj]]*Sales[[#This Row],[Quality Adj]]*Sales[[#This Row],[Condition Adj]]*Sales[[#This Row],[Living Area Adj]]*Sales[[#This Row],[Decade Adj]]*0.95</f>
        <v>0.95571162706178159</v>
      </c>
      <c r="CS128">
        <f>ROUND(SUM(Sales[[#This Row],[Mdl Qlty]:[Mdl BltinGar]])+Sales[[#This Row],[Mdl Res Intercept]]*Sales[[#This Row],[Res Adj ]],-2)</f>
        <v>328000</v>
      </c>
      <c r="CT128">
        <f>ROUND(Sales[[#This Row],[25Det]]*Sales[[#This Row],[Det/Nbhd Adj]],-2)</f>
        <v>0</v>
      </c>
      <c r="CU128">
        <f>Sales[[#This Row],[Adjusted Res]]+Sales[[#This Row],[Adj Det ]]</f>
        <v>328000</v>
      </c>
      <c r="CV128">
        <f>ROUND((Sales[[#This Row],[Mdl Land Intercept]]+Sales[[#This Row],[Mdl LnAcres]])*Sales[[#This Row],[Det/Nbhd Adj]],-2)</f>
        <v>61800</v>
      </c>
      <c r="CW128">
        <f>Sales[[#This Row],[Adjusted Impr Total]]+Sales[[#This Row],[Adjusted Land Total]]</f>
        <v>389800</v>
      </c>
      <c r="CX128" s="10">
        <f>IFERROR((Sales[[#This Row],[Adjusted Impr Total]]-Sales[[#This Row],[24Bldg]])/Sales[[#This Row],[24Bldg]],0)</f>
        <v>-3.0478512648582747E-4</v>
      </c>
      <c r="CY128" s="10">
        <f>(Sales[[#This Row],[Adjusted Land Total]]-Sales[[#This Row],[24Lnd]])/Sales[[#This Row],[24Lnd]]</f>
        <v>1.6207455429497568E-3</v>
      </c>
      <c r="CZ128">
        <f>(Sales[[#This Row],[Adjusted Total]]-Sales[[#This Row],[24Final]])/Sales[[#This Row],[24Final]]</f>
        <v>0</v>
      </c>
      <c r="DA128" s="10">
        <f>(Sales[[#This Row],[Adjusted Total]]+Sales[[#This Row],[Days Prior Total]])/Sales[[#This Row],[Price]]</f>
        <v>1.0696676521860915</v>
      </c>
    </row>
    <row r="129" spans="1:105">
      <c r="A129">
        <v>2025</v>
      </c>
      <c r="B129">
        <v>19133541427</v>
      </c>
      <c r="C129">
        <v>-1.7719568419318752</v>
      </c>
      <c r="D129">
        <v>0.17</v>
      </c>
      <c r="E129">
        <v>7245</v>
      </c>
      <c r="F129">
        <v>2</v>
      </c>
      <c r="G129" t="s">
        <v>155</v>
      </c>
      <c r="H129">
        <v>317</v>
      </c>
      <c r="I129" t="s">
        <v>5</v>
      </c>
      <c r="J129" t="s">
        <v>212</v>
      </c>
      <c r="K129">
        <v>11</v>
      </c>
      <c r="L129">
        <v>259</v>
      </c>
      <c r="M129" t="s">
        <v>157</v>
      </c>
      <c r="N129" t="s">
        <v>21</v>
      </c>
      <c r="O129" t="s">
        <v>24</v>
      </c>
      <c r="P129">
        <v>2021</v>
      </c>
      <c r="Q129">
        <v>2021</v>
      </c>
      <c r="R129">
        <v>10</v>
      </c>
      <c r="S129">
        <v>3</v>
      </c>
      <c r="T129">
        <v>3</v>
      </c>
      <c r="U129">
        <v>1</v>
      </c>
      <c r="V129">
        <v>1740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1740</v>
      </c>
      <c r="AC129">
        <v>2000</v>
      </c>
      <c r="AD129">
        <v>2</v>
      </c>
      <c r="AE129" t="s">
        <v>56</v>
      </c>
      <c r="AF129" t="s">
        <v>158</v>
      </c>
      <c r="AG129" t="s">
        <v>27</v>
      </c>
      <c r="AI129">
        <v>0</v>
      </c>
      <c r="AJ129">
        <v>0</v>
      </c>
      <c r="AK129">
        <v>0</v>
      </c>
      <c r="AL129">
        <v>1</v>
      </c>
      <c r="AM129">
        <v>0</v>
      </c>
      <c r="AN129">
        <v>10</v>
      </c>
      <c r="AO129">
        <v>450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100</v>
      </c>
      <c r="AV129">
        <v>100</v>
      </c>
      <c r="AW129">
        <v>345244</v>
      </c>
      <c r="AX129">
        <v>341792</v>
      </c>
      <c r="AY129">
        <v>928</v>
      </c>
      <c r="AZ129">
        <v>365</v>
      </c>
      <c r="BA129">
        <v>365</v>
      </c>
      <c r="BB129">
        <v>198</v>
      </c>
      <c r="BC129" s="2">
        <v>44364</v>
      </c>
      <c r="BD129" t="s">
        <v>288</v>
      </c>
      <c r="BE129">
        <v>320660</v>
      </c>
      <c r="BF129">
        <v>320660</v>
      </c>
      <c r="BG129" t="s">
        <v>160</v>
      </c>
      <c r="BH129">
        <v>30</v>
      </c>
      <c r="BI129" t="s">
        <v>56</v>
      </c>
      <c r="BJ129" t="s">
        <v>161</v>
      </c>
      <c r="BK129">
        <v>394400</v>
      </c>
      <c r="BL129">
        <v>61700</v>
      </c>
      <c r="BM129">
        <v>332700</v>
      </c>
      <c r="BN129">
        <v>0</v>
      </c>
      <c r="BO129">
        <v>326174.27384469507</v>
      </c>
      <c r="BP129">
        <v>392666.48053641163</v>
      </c>
      <c r="BQ129">
        <f>(Sales[[#This Row],[DP1]]*Lookups!$B$61)+(Sales[[#This Row],[DP2]]*Lookups!$B$62)+(Sales[[#This Row],[DP3]]*Lookups!$B$63)</f>
        <v>-66492.203831000006</v>
      </c>
      <c r="BR129">
        <f>Lookups!$B$58*0.6</f>
        <v>132535.48800000001</v>
      </c>
      <c r="BS129">
        <f>Lookups!$B$58*0.4</f>
        <v>88356.992000000013</v>
      </c>
      <c r="BT129">
        <f>Lookups!$B$59*Sales[[#This Row],[LnAcres]]</f>
        <v>-23255.730391660189</v>
      </c>
      <c r="BU129">
        <f>VLOOKUP(Sales[[#This Row],[Qlty]],Lookups!$A$66:$E$79,2,FALSE)</f>
        <v>32917.849192000001</v>
      </c>
      <c r="BV129">
        <f>VLOOKUP(Sales[[#This Row],[Cnd]],Lookups!$A$80:$E$91,2,FALSE)</f>
        <v>47371.278778200001</v>
      </c>
      <c r="BW129">
        <f>Sales[[#This Row],[EffAge]]*Lookups!$B$65</f>
        <v>-326.22329999999999</v>
      </c>
      <c r="BX129">
        <f>Sales[[#This Row],[MainFn]]*Lookups!$B$90</f>
        <v>108594.06120000001</v>
      </c>
      <c r="BY129">
        <f>Sales[[#This Row],[UpprFn]]*Lookups!$B$91</f>
        <v>0</v>
      </c>
      <c r="BZ129">
        <f>Sales[[#This Row],[Bsmt]]*Lookups!$B$95</f>
        <v>0</v>
      </c>
      <c r="CA129">
        <f>VLOOKUP(Sales[[#This Row],[MsnryTrim]],Lookups!$A$90:$E$99,2,FALSE)</f>
        <v>-9412.7029999999995</v>
      </c>
      <c r="CB129">
        <f>Sales[[#This Row],[PrefabFP]]*Lookups!$B$92</f>
        <v>0</v>
      </c>
      <c r="CC129">
        <f>Sales[[#This Row],[AttGar]]*Lookups!$B$93</f>
        <v>15885.463950000001</v>
      </c>
      <c r="CD129">
        <f>Sales[[#This Row],[BltinGar]]*Lookups!$B$94</f>
        <v>0</v>
      </c>
      <c r="CE129">
        <f>SUM(Sales[[#This Row],[Days Prior Total]:[Mdl BltinGar]])</f>
        <v>326174.27259753988</v>
      </c>
      <c r="CF129">
        <f>ROUND(Sales[[#This Row],[25Det]],-2)</f>
        <v>0</v>
      </c>
      <c r="CG129">
        <f>ROUND(SUM(Sales[[#This Row],[Mdl Qlty]:[Mdl BltinGar]])+Sales[[#This Row],[Mdl Res Intercept]]+Sales[[#This Row],[Days Prior Total]],-2)</f>
        <v>261100</v>
      </c>
      <c r="CH129">
        <f>ROUND(Sales[[#This Row],[Mdl Land Intercept]]+Sales[[#This Row],[Mdl LnAcres]],-2)</f>
        <v>65100</v>
      </c>
      <c r="CI129">
        <f>Sales[[#This Row],[Unadj Res Value]]+Sales[[#This Row],[Unadj Det Value]]+Sales[[#This Row],[Unadj Land Value]]</f>
        <v>326200</v>
      </c>
      <c r="CJ129" s="10">
        <f>Sales[[#This Row],[Price]]/Sales[[#This Row],[Unadj Total Value]]</f>
        <v>0.9830165542611895</v>
      </c>
      <c r="CK129" s="10">
        <f>(Sales[[#This Row],[Unadj Total Value]]-Sales[[#This Row],[24Final]])/Sales[[#This Row],[24Final]]</f>
        <v>-0.17292089249492901</v>
      </c>
      <c r="CL129">
        <f>VLOOKUP(Sales[[#This Row],[TNbhd]],Lookups!$M$3:$P$5,4,FALSE)</f>
        <v>0.99970000000000003</v>
      </c>
      <c r="CM129">
        <f>VLOOKUP(Sales[[#This Row],[Qlty]],Lookups!$M$8:$P$22,4,FALSE)</f>
        <v>1.0019</v>
      </c>
      <c r="CN129">
        <f>VLOOKUP(Sales[[#This Row],[Cnd]],Lookups!$R$8:$U$17,4,FALSE)</f>
        <v>1.0012000000000001</v>
      </c>
      <c r="CO129">
        <f>VLOOKUP(Sales[[#This Row],[LivArea Range]],Lookups!$R$25:$U$43,4,FALSE)</f>
        <v>1.0007999999999999</v>
      </c>
      <c r="CP129">
        <f>VLOOKUP(Sales[[#This Row],[Decade]],Lookups!$M$24:$P$40,4,FALSE)</f>
        <v>1.0024</v>
      </c>
      <c r="CQ129">
        <f>Sales[[#This Row],[Nbhd Adj]]*0.95</f>
        <v>0.94971499999999998</v>
      </c>
      <c r="CR129">
        <f>Sales[[#This Row],[Nbhd Adj]]*Sales[[#This Row],[Quality Adj]]*Sales[[#This Row],[Condition Adj]]*Sales[[#This Row],[Living Area Adj]]*Sales[[#This Row],[Decade Adj]]*0.95</f>
        <v>0.95571162706178159</v>
      </c>
      <c r="CS129">
        <f>ROUND(SUM(Sales[[#This Row],[Mdl Qlty]:[Mdl BltinGar]])+Sales[[#This Row],[Mdl Res Intercept]]*Sales[[#This Row],[Res Adj ]],-2)</f>
        <v>321700</v>
      </c>
      <c r="CT129">
        <f>ROUND(Sales[[#This Row],[25Det]]*Sales[[#This Row],[Det/Nbhd Adj]],-2)</f>
        <v>0</v>
      </c>
      <c r="CU129">
        <f>Sales[[#This Row],[Adjusted Res]]+Sales[[#This Row],[Adj Det ]]</f>
        <v>321700</v>
      </c>
      <c r="CV129">
        <f>ROUND((Sales[[#This Row],[Mdl Land Intercept]]+Sales[[#This Row],[Mdl LnAcres]])*Sales[[#This Row],[Det/Nbhd Adj]],-2)</f>
        <v>61800</v>
      </c>
      <c r="CW129">
        <f>Sales[[#This Row],[Adjusted Impr Total]]+Sales[[#This Row],[Adjusted Land Total]]</f>
        <v>383500</v>
      </c>
      <c r="CX129" s="10">
        <f>IFERROR((Sales[[#This Row],[Adjusted Impr Total]]-Sales[[#This Row],[24Bldg]])/Sales[[#This Row],[24Bldg]],0)</f>
        <v>-3.3062819356777878E-2</v>
      </c>
      <c r="CY129" s="10">
        <f>(Sales[[#This Row],[Adjusted Land Total]]-Sales[[#This Row],[24Lnd]])/Sales[[#This Row],[24Lnd]]</f>
        <v>1.6207455429497568E-3</v>
      </c>
      <c r="CZ129">
        <f>(Sales[[#This Row],[Adjusted Total]]-Sales[[#This Row],[24Final]])/Sales[[#This Row],[24Final]]</f>
        <v>-2.7636916835699799E-2</v>
      </c>
      <c r="DA129" s="10">
        <f>(Sales[[#This Row],[Adjusted Total]]+Sales[[#This Row],[Days Prior Total]])/Sales[[#This Row],[Price]]</f>
        <v>0.98861035417264387</v>
      </c>
    </row>
    <row r="130" spans="1:105">
      <c r="A130">
        <v>2025</v>
      </c>
      <c r="B130">
        <v>19133541428</v>
      </c>
      <c r="C130">
        <v>-1.7719568419318752</v>
      </c>
      <c r="D130">
        <v>0.17</v>
      </c>
      <c r="E130">
        <v>7245</v>
      </c>
      <c r="F130">
        <v>2</v>
      </c>
      <c r="G130" t="s">
        <v>155</v>
      </c>
      <c r="H130">
        <v>317</v>
      </c>
      <c r="I130" t="s">
        <v>5</v>
      </c>
      <c r="J130" t="s">
        <v>212</v>
      </c>
      <c r="K130">
        <v>11</v>
      </c>
      <c r="L130">
        <v>259</v>
      </c>
      <c r="M130" t="s">
        <v>157</v>
      </c>
      <c r="N130" t="s">
        <v>21</v>
      </c>
      <c r="O130" t="s">
        <v>24</v>
      </c>
      <c r="P130">
        <v>2021</v>
      </c>
      <c r="Q130">
        <v>2021</v>
      </c>
      <c r="R130">
        <v>10</v>
      </c>
      <c r="S130">
        <v>3</v>
      </c>
      <c r="T130">
        <v>3</v>
      </c>
      <c r="U130">
        <v>1</v>
      </c>
      <c r="V130">
        <v>2010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2010</v>
      </c>
      <c r="AC130">
        <v>2500</v>
      </c>
      <c r="AD130">
        <v>2</v>
      </c>
      <c r="AE130" t="s">
        <v>56</v>
      </c>
      <c r="AF130" t="s">
        <v>158</v>
      </c>
      <c r="AG130" t="s">
        <v>27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11</v>
      </c>
      <c r="AO130">
        <v>424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100</v>
      </c>
      <c r="AV130">
        <v>100</v>
      </c>
      <c r="AW130">
        <v>388434</v>
      </c>
      <c r="AX130">
        <v>384550</v>
      </c>
      <c r="AY130">
        <v>941</v>
      </c>
      <c r="AZ130">
        <v>365</v>
      </c>
      <c r="BA130">
        <v>365</v>
      </c>
      <c r="BB130">
        <v>211</v>
      </c>
      <c r="BC130" s="2">
        <v>44351</v>
      </c>
      <c r="BD130" t="s">
        <v>289</v>
      </c>
      <c r="BE130">
        <v>333600</v>
      </c>
      <c r="BF130">
        <v>333600</v>
      </c>
      <c r="BG130" t="s">
        <v>160</v>
      </c>
      <c r="BH130">
        <v>30</v>
      </c>
      <c r="BI130" t="s">
        <v>56</v>
      </c>
      <c r="BJ130" t="s">
        <v>161</v>
      </c>
      <c r="BK130">
        <v>408300</v>
      </c>
      <c r="BL130">
        <v>61700</v>
      </c>
      <c r="BM130">
        <v>346600</v>
      </c>
      <c r="BN130">
        <v>0</v>
      </c>
      <c r="BO130">
        <v>339130.25734292465</v>
      </c>
      <c r="BP130">
        <v>408599.45634628704</v>
      </c>
      <c r="BQ130">
        <f>(Sales[[#This Row],[DP1]]*Lookups!$B$61)+(Sales[[#This Row],[DP2]]*Lookups!$B$62)+(Sales[[#This Row],[DP3]]*Lookups!$B$63)</f>
        <v>-69469.196030999999</v>
      </c>
      <c r="BR130">
        <f>Lookups!$B$58*0.6</f>
        <v>132535.48800000001</v>
      </c>
      <c r="BS130">
        <f>Lookups!$B$58*0.4</f>
        <v>88356.992000000013</v>
      </c>
      <c r="BT130">
        <f>Lookups!$B$59*Sales[[#This Row],[LnAcres]]</f>
        <v>-23255.730391660189</v>
      </c>
      <c r="BU130">
        <f>VLOOKUP(Sales[[#This Row],[Qlty]],Lookups!$A$66:$E$79,2,FALSE)</f>
        <v>32917.849192000001</v>
      </c>
      <c r="BV130">
        <f>VLOOKUP(Sales[[#This Row],[Cnd]],Lookups!$A$80:$E$91,2,FALSE)</f>
        <v>47371.278778200001</v>
      </c>
      <c r="BW130">
        <f>Sales[[#This Row],[EffAge]]*Lookups!$B$65</f>
        <v>-326.22329999999999</v>
      </c>
      <c r="BX130">
        <f>Sales[[#This Row],[MainFn]]*Lookups!$B$90</f>
        <v>125444.86380000001</v>
      </c>
      <c r="BY130">
        <f>Sales[[#This Row],[UpprFn]]*Lookups!$B$91</f>
        <v>0</v>
      </c>
      <c r="BZ130">
        <f>Sales[[#This Row],[Bsmt]]*Lookups!$B$95</f>
        <v>0</v>
      </c>
      <c r="CA130">
        <f>VLOOKUP(Sales[[#This Row],[MsnryTrim]],Lookups!$A$90:$E$99,2,FALSE)</f>
        <v>-9412.7029999999995</v>
      </c>
      <c r="CB130">
        <f>Sales[[#This Row],[PrefabFP]]*Lookups!$B$92</f>
        <v>0</v>
      </c>
      <c r="CC130">
        <f>Sales[[#This Row],[AttGar]]*Lookups!$B$93</f>
        <v>14967.637144</v>
      </c>
      <c r="CD130">
        <f>Sales[[#This Row],[BltinGar]]*Lookups!$B$94</f>
        <v>0</v>
      </c>
      <c r="CE130">
        <f>SUM(Sales[[#This Row],[Days Prior Total]:[Mdl BltinGar]])</f>
        <v>339130.25619153987</v>
      </c>
      <c r="CF130">
        <f>ROUND(Sales[[#This Row],[25Det]],-2)</f>
        <v>0</v>
      </c>
      <c r="CG130">
        <f>ROUND(SUM(Sales[[#This Row],[Mdl Qlty]:[Mdl BltinGar]])+Sales[[#This Row],[Mdl Res Intercept]]+Sales[[#This Row],[Days Prior Total]],-2)</f>
        <v>274000</v>
      </c>
      <c r="CH130">
        <f>ROUND(Sales[[#This Row],[Mdl Land Intercept]]+Sales[[#This Row],[Mdl LnAcres]],-2)</f>
        <v>65100</v>
      </c>
      <c r="CI130">
        <f>Sales[[#This Row],[Unadj Res Value]]+Sales[[#This Row],[Unadj Det Value]]+Sales[[#This Row],[Unadj Land Value]]</f>
        <v>339100</v>
      </c>
      <c r="CJ130" s="10">
        <f>Sales[[#This Row],[Price]]/Sales[[#This Row],[Unadj Total Value]]</f>
        <v>0.98378059569448539</v>
      </c>
      <c r="CK130" s="10">
        <f>(Sales[[#This Row],[Unadj Total Value]]-Sales[[#This Row],[24Final]])/Sales[[#This Row],[24Final]]</f>
        <v>-0.16948322312025471</v>
      </c>
      <c r="CL130">
        <f>VLOOKUP(Sales[[#This Row],[TNbhd]],Lookups!$M$3:$P$5,4,FALSE)</f>
        <v>0.99970000000000003</v>
      </c>
      <c r="CM130">
        <f>VLOOKUP(Sales[[#This Row],[Qlty]],Lookups!$M$8:$P$22,4,FALSE)</f>
        <v>1.0019</v>
      </c>
      <c r="CN130">
        <f>VLOOKUP(Sales[[#This Row],[Cnd]],Lookups!$R$8:$U$17,4,FALSE)</f>
        <v>1.0012000000000001</v>
      </c>
      <c r="CO130">
        <f>VLOOKUP(Sales[[#This Row],[LivArea Range]],Lookups!$R$25:$U$43,4,FALSE)</f>
        <v>1.0008999999999999</v>
      </c>
      <c r="CP130">
        <f>VLOOKUP(Sales[[#This Row],[Decade]],Lookups!$M$24:$P$40,4,FALSE)</f>
        <v>1.0024</v>
      </c>
      <c r="CQ130">
        <f>Sales[[#This Row],[Nbhd Adj]]*0.95</f>
        <v>0.94971499999999998</v>
      </c>
      <c r="CR130">
        <f>Sales[[#This Row],[Nbhd Adj]]*Sales[[#This Row],[Quality Adj]]*Sales[[#This Row],[Condition Adj]]*Sales[[#This Row],[Living Area Adj]]*Sales[[#This Row],[Decade Adj]]*0.95</f>
        <v>0.95580712182867422</v>
      </c>
      <c r="CS130">
        <f>ROUND(SUM(Sales[[#This Row],[Mdl Qlty]:[Mdl BltinGar]])+Sales[[#This Row],[Mdl Res Intercept]]*Sales[[#This Row],[Res Adj ]],-2)</f>
        <v>337600</v>
      </c>
      <c r="CT130">
        <f>ROUND(Sales[[#This Row],[25Det]]*Sales[[#This Row],[Det/Nbhd Adj]],-2)</f>
        <v>0</v>
      </c>
      <c r="CU130">
        <f>Sales[[#This Row],[Adjusted Res]]+Sales[[#This Row],[Adj Det ]]</f>
        <v>337600</v>
      </c>
      <c r="CV130">
        <f>ROUND((Sales[[#This Row],[Mdl Land Intercept]]+Sales[[#This Row],[Mdl LnAcres]])*Sales[[#This Row],[Det/Nbhd Adj]],-2)</f>
        <v>61800</v>
      </c>
      <c r="CW130">
        <f>Sales[[#This Row],[Adjusted Impr Total]]+Sales[[#This Row],[Adjusted Land Total]]</f>
        <v>399400</v>
      </c>
      <c r="CX130" s="10">
        <f>IFERROR((Sales[[#This Row],[Adjusted Impr Total]]-Sales[[#This Row],[24Bldg]])/Sales[[#This Row],[24Bldg]],0)</f>
        <v>-2.5966532025389497E-2</v>
      </c>
      <c r="CY130" s="10">
        <f>(Sales[[#This Row],[Adjusted Land Total]]-Sales[[#This Row],[24Lnd]])/Sales[[#This Row],[24Lnd]]</f>
        <v>1.6207455429497568E-3</v>
      </c>
      <c r="CZ130">
        <f>(Sales[[#This Row],[Adjusted Total]]-Sales[[#This Row],[24Final]])/Sales[[#This Row],[24Final]]</f>
        <v>-2.1797697771246634E-2</v>
      </c>
      <c r="DA130" s="10">
        <f>(Sales[[#This Row],[Adjusted Total]]+Sales[[#This Row],[Days Prior Total]])/Sales[[#This Row],[Price]]</f>
        <v>0.98900121093824944</v>
      </c>
    </row>
    <row r="131" spans="1:105">
      <c r="A131">
        <v>2025</v>
      </c>
      <c r="B131">
        <v>19133541428</v>
      </c>
      <c r="C131">
        <v>-1.7719568419318752</v>
      </c>
      <c r="D131">
        <v>0.17</v>
      </c>
      <c r="E131">
        <v>7245</v>
      </c>
      <c r="F131">
        <v>2</v>
      </c>
      <c r="G131" t="s">
        <v>155</v>
      </c>
      <c r="H131">
        <v>317</v>
      </c>
      <c r="I131" t="s">
        <v>5</v>
      </c>
      <c r="J131" t="s">
        <v>212</v>
      </c>
      <c r="K131">
        <v>11</v>
      </c>
      <c r="L131">
        <v>259</v>
      </c>
      <c r="M131" t="s">
        <v>157</v>
      </c>
      <c r="N131" t="s">
        <v>21</v>
      </c>
      <c r="O131" t="s">
        <v>24</v>
      </c>
      <c r="P131">
        <v>2021</v>
      </c>
      <c r="Q131">
        <v>2021</v>
      </c>
      <c r="R131">
        <v>10</v>
      </c>
      <c r="S131">
        <v>3</v>
      </c>
      <c r="T131">
        <v>3</v>
      </c>
      <c r="U131">
        <v>1</v>
      </c>
      <c r="V131">
        <v>2010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2010</v>
      </c>
      <c r="AC131">
        <v>2500</v>
      </c>
      <c r="AD131">
        <v>2</v>
      </c>
      <c r="AE131" t="s">
        <v>56</v>
      </c>
      <c r="AF131" t="s">
        <v>158</v>
      </c>
      <c r="AG131" t="s">
        <v>27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11</v>
      </c>
      <c r="AO131">
        <v>424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100</v>
      </c>
      <c r="AV131">
        <v>100</v>
      </c>
      <c r="AW131">
        <v>388434</v>
      </c>
      <c r="AX131">
        <v>384550</v>
      </c>
      <c r="AY131">
        <v>171</v>
      </c>
      <c r="AZ131">
        <v>171</v>
      </c>
      <c r="BA131">
        <v>0</v>
      </c>
      <c r="BB131">
        <v>0</v>
      </c>
      <c r="BC131" s="2">
        <v>45121</v>
      </c>
      <c r="BD131" t="s">
        <v>290</v>
      </c>
      <c r="BE131">
        <v>396000</v>
      </c>
      <c r="BF131">
        <v>396000</v>
      </c>
      <c r="BG131" t="s">
        <v>160</v>
      </c>
      <c r="BH131">
        <v>30</v>
      </c>
      <c r="BI131" t="s">
        <v>56</v>
      </c>
      <c r="BJ131" t="s">
        <v>161</v>
      </c>
      <c r="BK131">
        <v>408300</v>
      </c>
      <c r="BL131">
        <v>61700</v>
      </c>
      <c r="BM131">
        <v>346600</v>
      </c>
      <c r="BN131">
        <v>0</v>
      </c>
      <c r="BO131">
        <v>410223.52211464808</v>
      </c>
      <c r="BP131">
        <v>408599.45634628704</v>
      </c>
      <c r="BQ131">
        <f>(Sales[[#This Row],[DP1]]*Lookups!$B$61)+(Sales[[#This Row],[DP2]]*Lookups!$B$62)+(Sales[[#This Row],[DP3]]*Lookups!$B$63)</f>
        <v>1624.0657626</v>
      </c>
      <c r="BR131">
        <f>Lookups!$B$58*0.6</f>
        <v>132535.48800000001</v>
      </c>
      <c r="BS131">
        <f>Lookups!$B$58*0.4</f>
        <v>88356.992000000013</v>
      </c>
      <c r="BT131">
        <f>Lookups!$B$59*Sales[[#This Row],[LnAcres]]</f>
        <v>-23255.730391660189</v>
      </c>
      <c r="BU131">
        <f>VLOOKUP(Sales[[#This Row],[Qlty]],Lookups!$A$66:$E$79,2,FALSE)</f>
        <v>32917.849192000001</v>
      </c>
      <c r="BV131">
        <f>VLOOKUP(Sales[[#This Row],[Cnd]],Lookups!$A$80:$E$91,2,FALSE)</f>
        <v>47371.278778200001</v>
      </c>
      <c r="BW131">
        <f>Sales[[#This Row],[EffAge]]*Lookups!$B$65</f>
        <v>-326.22329999999999</v>
      </c>
      <c r="BX131">
        <f>Sales[[#This Row],[MainFn]]*Lookups!$B$90</f>
        <v>125444.86380000001</v>
      </c>
      <c r="BY131">
        <f>Sales[[#This Row],[UpprFn]]*Lookups!$B$91</f>
        <v>0</v>
      </c>
      <c r="BZ131">
        <f>Sales[[#This Row],[Bsmt]]*Lookups!$B$95</f>
        <v>0</v>
      </c>
      <c r="CA131">
        <f>VLOOKUP(Sales[[#This Row],[MsnryTrim]],Lookups!$A$90:$E$99,2,FALSE)</f>
        <v>-9412.7029999999995</v>
      </c>
      <c r="CB131">
        <f>Sales[[#This Row],[PrefabFP]]*Lookups!$B$92</f>
        <v>0</v>
      </c>
      <c r="CC131">
        <f>Sales[[#This Row],[AttGar]]*Lookups!$B$93</f>
        <v>14967.637144</v>
      </c>
      <c r="CD131">
        <f>Sales[[#This Row],[BltinGar]]*Lookups!$B$94</f>
        <v>0</v>
      </c>
      <c r="CE131">
        <f>SUM(Sales[[#This Row],[Days Prior Total]:[Mdl BltinGar]])</f>
        <v>410223.5179851398</v>
      </c>
      <c r="CF131">
        <f>ROUND(Sales[[#This Row],[25Det]],-2)</f>
        <v>0</v>
      </c>
      <c r="CG131">
        <f>ROUND(SUM(Sales[[#This Row],[Mdl Qlty]:[Mdl BltinGar]])+Sales[[#This Row],[Mdl Res Intercept]]+Sales[[#This Row],[Days Prior Total]],-2)</f>
        <v>345100</v>
      </c>
      <c r="CH131">
        <f>ROUND(Sales[[#This Row],[Mdl Land Intercept]]+Sales[[#This Row],[Mdl LnAcres]],-2)</f>
        <v>65100</v>
      </c>
      <c r="CI131">
        <f>Sales[[#This Row],[Unadj Res Value]]+Sales[[#This Row],[Unadj Det Value]]+Sales[[#This Row],[Unadj Land Value]]</f>
        <v>410200</v>
      </c>
      <c r="CJ131" s="10">
        <f>Sales[[#This Row],[Price]]/Sales[[#This Row],[Unadj Total Value]]</f>
        <v>0.96538274012676739</v>
      </c>
      <c r="CK131" s="10">
        <f>(Sales[[#This Row],[Unadj Total Value]]-Sales[[#This Row],[24Final]])/Sales[[#This Row],[24Final]]</f>
        <v>4.6534410972324273E-3</v>
      </c>
      <c r="CL131">
        <f>VLOOKUP(Sales[[#This Row],[TNbhd]],Lookups!$M$3:$P$5,4,FALSE)</f>
        <v>0.99970000000000003</v>
      </c>
      <c r="CM131">
        <f>VLOOKUP(Sales[[#This Row],[Qlty]],Lookups!$M$8:$P$22,4,FALSE)</f>
        <v>1.0019</v>
      </c>
      <c r="CN131">
        <f>VLOOKUP(Sales[[#This Row],[Cnd]],Lookups!$R$8:$U$17,4,FALSE)</f>
        <v>1.0012000000000001</v>
      </c>
      <c r="CO131">
        <f>VLOOKUP(Sales[[#This Row],[LivArea Range]],Lookups!$R$25:$U$43,4,FALSE)</f>
        <v>1.0008999999999999</v>
      </c>
      <c r="CP131">
        <f>VLOOKUP(Sales[[#This Row],[Decade]],Lookups!$M$24:$P$40,4,FALSE)</f>
        <v>1.0024</v>
      </c>
      <c r="CQ131">
        <f>Sales[[#This Row],[Nbhd Adj]]*0.95</f>
        <v>0.94971499999999998</v>
      </c>
      <c r="CR131">
        <f>Sales[[#This Row],[Nbhd Adj]]*Sales[[#This Row],[Quality Adj]]*Sales[[#This Row],[Condition Adj]]*Sales[[#This Row],[Living Area Adj]]*Sales[[#This Row],[Decade Adj]]*0.95</f>
        <v>0.95580712182867422</v>
      </c>
      <c r="CS131">
        <f>ROUND(SUM(Sales[[#This Row],[Mdl Qlty]:[Mdl BltinGar]])+Sales[[#This Row],[Mdl Res Intercept]]*Sales[[#This Row],[Res Adj ]],-2)</f>
        <v>337600</v>
      </c>
      <c r="CT131">
        <f>ROUND(Sales[[#This Row],[25Det]]*Sales[[#This Row],[Det/Nbhd Adj]],-2)</f>
        <v>0</v>
      </c>
      <c r="CU131">
        <f>Sales[[#This Row],[Adjusted Res]]+Sales[[#This Row],[Adj Det ]]</f>
        <v>337600</v>
      </c>
      <c r="CV131">
        <f>ROUND((Sales[[#This Row],[Mdl Land Intercept]]+Sales[[#This Row],[Mdl LnAcres]])*Sales[[#This Row],[Det/Nbhd Adj]],-2)</f>
        <v>61800</v>
      </c>
      <c r="CW131">
        <f>Sales[[#This Row],[Adjusted Impr Total]]+Sales[[#This Row],[Adjusted Land Total]]</f>
        <v>399400</v>
      </c>
      <c r="CX131" s="10">
        <f>IFERROR((Sales[[#This Row],[Adjusted Impr Total]]-Sales[[#This Row],[24Bldg]])/Sales[[#This Row],[24Bldg]],0)</f>
        <v>-2.5966532025389497E-2</v>
      </c>
      <c r="CY131" s="10">
        <f>(Sales[[#This Row],[Adjusted Land Total]]-Sales[[#This Row],[24Lnd]])/Sales[[#This Row],[24Lnd]]</f>
        <v>1.6207455429497568E-3</v>
      </c>
      <c r="CZ131">
        <f>(Sales[[#This Row],[Adjusted Total]]-Sales[[#This Row],[24Final]])/Sales[[#This Row],[24Final]]</f>
        <v>-2.1797697771246634E-2</v>
      </c>
      <c r="DA131" s="10">
        <f>(Sales[[#This Row],[Adjusted Total]]+Sales[[#This Row],[Days Prior Total]])/Sales[[#This Row],[Price]]</f>
        <v>1.0126870347540404</v>
      </c>
    </row>
    <row r="132" spans="1:105">
      <c r="A132">
        <v>2025</v>
      </c>
      <c r="B132">
        <v>19133541429</v>
      </c>
      <c r="C132">
        <v>-1.7719568419318752</v>
      </c>
      <c r="D132">
        <v>0.17</v>
      </c>
      <c r="E132">
        <v>7360</v>
      </c>
      <c r="F132">
        <v>2</v>
      </c>
      <c r="G132" t="s">
        <v>155</v>
      </c>
      <c r="H132">
        <v>317</v>
      </c>
      <c r="I132" t="s">
        <v>5</v>
      </c>
      <c r="J132" t="s">
        <v>212</v>
      </c>
      <c r="K132">
        <v>11</v>
      </c>
      <c r="L132">
        <v>259</v>
      </c>
      <c r="M132" t="s">
        <v>157</v>
      </c>
      <c r="N132" t="s">
        <v>21</v>
      </c>
      <c r="O132" t="s">
        <v>24</v>
      </c>
      <c r="P132">
        <v>2021</v>
      </c>
      <c r="Q132">
        <v>2021</v>
      </c>
      <c r="R132">
        <v>10</v>
      </c>
      <c r="S132">
        <v>3</v>
      </c>
      <c r="T132">
        <v>3</v>
      </c>
      <c r="U132">
        <v>1</v>
      </c>
      <c r="V132">
        <v>1550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1550</v>
      </c>
      <c r="AC132">
        <v>2000</v>
      </c>
      <c r="AD132">
        <v>3</v>
      </c>
      <c r="AE132" t="s">
        <v>56</v>
      </c>
      <c r="AF132" t="s">
        <v>158</v>
      </c>
      <c r="AG132" t="s">
        <v>27</v>
      </c>
      <c r="AI132">
        <v>0</v>
      </c>
      <c r="AJ132">
        <v>0</v>
      </c>
      <c r="AK132">
        <v>0</v>
      </c>
      <c r="AL132">
        <v>1</v>
      </c>
      <c r="AM132">
        <v>0</v>
      </c>
      <c r="AN132">
        <v>10</v>
      </c>
      <c r="AO132">
        <v>660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100</v>
      </c>
      <c r="AV132">
        <v>100</v>
      </c>
      <c r="AW132">
        <v>324896</v>
      </c>
      <c r="AX132">
        <v>321647</v>
      </c>
      <c r="AY132">
        <v>874</v>
      </c>
      <c r="AZ132">
        <v>365</v>
      </c>
      <c r="BA132">
        <v>365</v>
      </c>
      <c r="BB132">
        <v>144</v>
      </c>
      <c r="BC132" s="2">
        <v>44418</v>
      </c>
      <c r="BD132" t="s">
        <v>291</v>
      </c>
      <c r="BE132">
        <v>310290</v>
      </c>
      <c r="BF132">
        <v>310290</v>
      </c>
      <c r="BG132" t="s">
        <v>160</v>
      </c>
      <c r="BH132">
        <v>30</v>
      </c>
      <c r="BI132" t="s">
        <v>56</v>
      </c>
      <c r="BJ132" t="s">
        <v>161</v>
      </c>
      <c r="BK132">
        <v>399000</v>
      </c>
      <c r="BL132">
        <v>61700</v>
      </c>
      <c r="BM132">
        <v>337300</v>
      </c>
      <c r="BN132">
        <v>0</v>
      </c>
      <c r="BO132">
        <v>334095.48613798025</v>
      </c>
      <c r="BP132">
        <v>388221.72476593714</v>
      </c>
      <c r="BQ132">
        <f>(Sales[[#This Row],[DP1]]*Lookups!$B$61)+(Sales[[#This Row],[DP2]]*Lookups!$B$62)+(Sales[[#This Row],[DP3]]*Lookups!$B$63)</f>
        <v>-54126.236231000003</v>
      </c>
      <c r="BR132">
        <f>Lookups!$B$58*0.6</f>
        <v>132535.48800000001</v>
      </c>
      <c r="BS132">
        <f>Lookups!$B$58*0.4</f>
        <v>88356.992000000013</v>
      </c>
      <c r="BT132">
        <f>Lookups!$B$59*Sales[[#This Row],[LnAcres]]</f>
        <v>-23255.730391660189</v>
      </c>
      <c r="BU132">
        <f>VLOOKUP(Sales[[#This Row],[Qlty]],Lookups!$A$66:$E$79,2,FALSE)</f>
        <v>32917.849192000001</v>
      </c>
      <c r="BV132">
        <f>VLOOKUP(Sales[[#This Row],[Cnd]],Lookups!$A$80:$E$91,2,FALSE)</f>
        <v>47371.278778200001</v>
      </c>
      <c r="BW132">
        <f>Sales[[#This Row],[EffAge]]*Lookups!$B$65</f>
        <v>-326.22329999999999</v>
      </c>
      <c r="BX132">
        <f>Sales[[#This Row],[MainFn]]*Lookups!$B$90</f>
        <v>96736.089000000007</v>
      </c>
      <c r="BY132">
        <f>Sales[[#This Row],[UpprFn]]*Lookups!$B$91</f>
        <v>0</v>
      </c>
      <c r="BZ132">
        <f>Sales[[#This Row],[Bsmt]]*Lookups!$B$95</f>
        <v>0</v>
      </c>
      <c r="CA132">
        <f>VLOOKUP(Sales[[#This Row],[MsnryTrim]],Lookups!$A$90:$E$99,2,FALSE)</f>
        <v>-9412.7029999999995</v>
      </c>
      <c r="CB132">
        <f>Sales[[#This Row],[PrefabFP]]*Lookups!$B$92</f>
        <v>0</v>
      </c>
      <c r="CC132">
        <f>Sales[[#This Row],[AttGar]]*Lookups!$B$93</f>
        <v>23298.68046</v>
      </c>
      <c r="CD132">
        <f>Sales[[#This Row],[BltinGar]]*Lookups!$B$94</f>
        <v>0</v>
      </c>
      <c r="CE132">
        <f>SUM(Sales[[#This Row],[Days Prior Total]:[Mdl BltinGar]])</f>
        <v>334095.48450753983</v>
      </c>
      <c r="CF132">
        <f>ROUND(Sales[[#This Row],[25Det]],-2)</f>
        <v>0</v>
      </c>
      <c r="CG132">
        <f>ROUND(SUM(Sales[[#This Row],[Mdl Qlty]:[Mdl BltinGar]])+Sales[[#This Row],[Mdl Res Intercept]]+Sales[[#This Row],[Days Prior Total]],-2)</f>
        <v>269000</v>
      </c>
      <c r="CH132">
        <f>ROUND(Sales[[#This Row],[Mdl Land Intercept]]+Sales[[#This Row],[Mdl LnAcres]],-2)</f>
        <v>65100</v>
      </c>
      <c r="CI132">
        <f>Sales[[#This Row],[Unadj Res Value]]+Sales[[#This Row],[Unadj Det Value]]+Sales[[#This Row],[Unadj Land Value]]</f>
        <v>334100</v>
      </c>
      <c r="CJ132" s="10">
        <f>Sales[[#This Row],[Price]]/Sales[[#This Row],[Unadj Total Value]]</f>
        <v>0.92873391200239452</v>
      </c>
      <c r="CK132" s="10">
        <f>(Sales[[#This Row],[Unadj Total Value]]-Sales[[#This Row],[24Final]])/Sales[[#This Row],[24Final]]</f>
        <v>-0.16265664160401003</v>
      </c>
      <c r="CL132">
        <f>VLOOKUP(Sales[[#This Row],[TNbhd]],Lookups!$M$3:$P$5,4,FALSE)</f>
        <v>0.99970000000000003</v>
      </c>
      <c r="CM132">
        <f>VLOOKUP(Sales[[#This Row],[Qlty]],Lookups!$M$8:$P$22,4,FALSE)</f>
        <v>1.0019</v>
      </c>
      <c r="CN132">
        <f>VLOOKUP(Sales[[#This Row],[Cnd]],Lookups!$R$8:$U$17,4,FALSE)</f>
        <v>1.0012000000000001</v>
      </c>
      <c r="CO132">
        <f>VLOOKUP(Sales[[#This Row],[LivArea Range]],Lookups!$R$25:$U$43,4,FALSE)</f>
        <v>1.0007999999999999</v>
      </c>
      <c r="CP132">
        <f>VLOOKUP(Sales[[#This Row],[Decade]],Lookups!$M$24:$P$40,4,FALSE)</f>
        <v>1.0024</v>
      </c>
      <c r="CQ132">
        <f>Sales[[#This Row],[Nbhd Adj]]*0.95</f>
        <v>0.94971499999999998</v>
      </c>
      <c r="CR132">
        <f>Sales[[#This Row],[Nbhd Adj]]*Sales[[#This Row],[Quality Adj]]*Sales[[#This Row],[Condition Adj]]*Sales[[#This Row],[Living Area Adj]]*Sales[[#This Row],[Decade Adj]]*0.95</f>
        <v>0.95571162706178159</v>
      </c>
      <c r="CS132">
        <f>ROUND(SUM(Sales[[#This Row],[Mdl Qlty]:[Mdl BltinGar]])+Sales[[#This Row],[Mdl Res Intercept]]*Sales[[#This Row],[Res Adj ]],-2)</f>
        <v>317300</v>
      </c>
      <c r="CT132">
        <f>ROUND(Sales[[#This Row],[25Det]]*Sales[[#This Row],[Det/Nbhd Adj]],-2)</f>
        <v>0</v>
      </c>
      <c r="CU132">
        <f>Sales[[#This Row],[Adjusted Res]]+Sales[[#This Row],[Adj Det ]]</f>
        <v>317300</v>
      </c>
      <c r="CV132">
        <f>ROUND((Sales[[#This Row],[Mdl Land Intercept]]+Sales[[#This Row],[Mdl LnAcres]])*Sales[[#This Row],[Det/Nbhd Adj]],-2)</f>
        <v>61800</v>
      </c>
      <c r="CW132">
        <f>Sales[[#This Row],[Adjusted Impr Total]]+Sales[[#This Row],[Adjusted Land Total]]</f>
        <v>379100</v>
      </c>
      <c r="CX132" s="10">
        <f>IFERROR((Sales[[#This Row],[Adjusted Impr Total]]-Sales[[#This Row],[24Bldg]])/Sales[[#This Row],[24Bldg]],0)</f>
        <v>-5.9294396679513785E-2</v>
      </c>
      <c r="CY132" s="10">
        <f>(Sales[[#This Row],[Adjusted Land Total]]-Sales[[#This Row],[24Lnd]])/Sales[[#This Row],[24Lnd]]</f>
        <v>1.6207455429497568E-3</v>
      </c>
      <c r="CZ132">
        <f>(Sales[[#This Row],[Adjusted Total]]-Sales[[#This Row],[24Final]])/Sales[[#This Row],[24Final]]</f>
        <v>-4.9874686716791981E-2</v>
      </c>
      <c r="DA132" s="10">
        <f>(Sales[[#This Row],[Adjusted Total]]+Sales[[#This Row],[Days Prior Total]])/Sales[[#This Row],[Price]]</f>
        <v>1.047322710267814</v>
      </c>
    </row>
    <row r="133" spans="1:105">
      <c r="A133">
        <v>2025</v>
      </c>
      <c r="B133">
        <v>19133541430</v>
      </c>
      <c r="C133">
        <v>-1.7147984280919266</v>
      </c>
      <c r="D133">
        <v>0.18</v>
      </c>
      <c r="E133">
        <v>7976</v>
      </c>
      <c r="F133">
        <v>2</v>
      </c>
      <c r="G133" t="s">
        <v>155</v>
      </c>
      <c r="H133">
        <v>317</v>
      </c>
      <c r="I133" t="s">
        <v>5</v>
      </c>
      <c r="J133" t="s">
        <v>212</v>
      </c>
      <c r="K133">
        <v>11</v>
      </c>
      <c r="L133">
        <v>259</v>
      </c>
      <c r="M133" t="s">
        <v>157</v>
      </c>
      <c r="N133" t="s">
        <v>21</v>
      </c>
      <c r="O133" t="s">
        <v>24</v>
      </c>
      <c r="P133">
        <v>2021</v>
      </c>
      <c r="Q133">
        <v>2021</v>
      </c>
      <c r="R133">
        <v>10</v>
      </c>
      <c r="S133">
        <v>3</v>
      </c>
      <c r="T133">
        <v>3</v>
      </c>
      <c r="U133">
        <v>1</v>
      </c>
      <c r="V133">
        <v>1709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1709</v>
      </c>
      <c r="AC133">
        <v>2000</v>
      </c>
      <c r="AD133">
        <v>2</v>
      </c>
      <c r="AE133" t="s">
        <v>56</v>
      </c>
      <c r="AF133" t="s">
        <v>158</v>
      </c>
      <c r="AG133" t="s">
        <v>27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11</v>
      </c>
      <c r="AO133">
        <v>415</v>
      </c>
      <c r="AP133">
        <v>0</v>
      </c>
      <c r="AQ133">
        <v>0</v>
      </c>
      <c r="AR133">
        <v>0</v>
      </c>
      <c r="AS133">
        <v>91</v>
      </c>
      <c r="AT133">
        <v>0</v>
      </c>
      <c r="AU133">
        <v>100</v>
      </c>
      <c r="AV133">
        <v>100</v>
      </c>
      <c r="AW133">
        <v>340455</v>
      </c>
      <c r="AX133">
        <v>337050</v>
      </c>
      <c r="AY133">
        <v>922</v>
      </c>
      <c r="AZ133">
        <v>365</v>
      </c>
      <c r="BA133">
        <v>365</v>
      </c>
      <c r="BB133">
        <v>192</v>
      </c>
      <c r="BC133" s="2">
        <v>44370</v>
      </c>
      <c r="BD133" t="s">
        <v>292</v>
      </c>
      <c r="BE133">
        <v>323150</v>
      </c>
      <c r="BF133">
        <v>323150</v>
      </c>
      <c r="BG133" t="s">
        <v>160</v>
      </c>
      <c r="BH133">
        <v>30</v>
      </c>
      <c r="BI133" t="s">
        <v>56</v>
      </c>
      <c r="BJ133" t="s">
        <v>161</v>
      </c>
      <c r="BK133">
        <v>388200</v>
      </c>
      <c r="BL133">
        <v>62500</v>
      </c>
      <c r="BM133">
        <v>325700</v>
      </c>
      <c r="BN133">
        <v>0</v>
      </c>
      <c r="BO133">
        <v>325128.17780612753</v>
      </c>
      <c r="BP133">
        <v>390246.38804631517</v>
      </c>
      <c r="BQ133">
        <f>(Sales[[#This Row],[DP1]]*Lookups!$B$61)+(Sales[[#This Row],[DP2]]*Lookups!$B$62)+(Sales[[#This Row],[DP3]]*Lookups!$B$63)</f>
        <v>-65118.207431000003</v>
      </c>
      <c r="BR133">
        <f>Lookups!$B$58*0.6</f>
        <v>132535.48800000001</v>
      </c>
      <c r="BS133">
        <f>Lookups!$B$58*0.4</f>
        <v>88356.992000000013</v>
      </c>
      <c r="BT133">
        <f>Lookups!$B$59*Sales[[#This Row],[LnAcres]]</f>
        <v>-22505.565020573864</v>
      </c>
      <c r="BU133">
        <f>VLOOKUP(Sales[[#This Row],[Qlty]],Lookups!$A$66:$E$79,2,FALSE)</f>
        <v>32917.849192000001</v>
      </c>
      <c r="BV133">
        <f>VLOOKUP(Sales[[#This Row],[Cnd]],Lookups!$A$80:$E$91,2,FALSE)</f>
        <v>47371.278778200001</v>
      </c>
      <c r="BW133">
        <f>Sales[[#This Row],[EffAge]]*Lookups!$B$65</f>
        <v>-326.22329999999999</v>
      </c>
      <c r="BX133">
        <f>Sales[[#This Row],[MainFn]]*Lookups!$B$90</f>
        <v>106659.33942</v>
      </c>
      <c r="BY133">
        <f>Sales[[#This Row],[UpprFn]]*Lookups!$B$91</f>
        <v>0</v>
      </c>
      <c r="BZ133">
        <f>Sales[[#This Row],[Bsmt]]*Lookups!$B$95</f>
        <v>0</v>
      </c>
      <c r="CA133">
        <f>VLOOKUP(Sales[[#This Row],[MsnryTrim]],Lookups!$A$90:$E$99,2,FALSE)</f>
        <v>-9412.7029999999995</v>
      </c>
      <c r="CB133">
        <f>Sales[[#This Row],[PrefabFP]]*Lookups!$B$92</f>
        <v>0</v>
      </c>
      <c r="CC133">
        <f>Sales[[#This Row],[AttGar]]*Lookups!$B$93</f>
        <v>14649.927865000001</v>
      </c>
      <c r="CD133">
        <f>Sales[[#This Row],[BltinGar]]*Lookups!$B$94</f>
        <v>0</v>
      </c>
      <c r="CE133">
        <f>SUM(Sales[[#This Row],[Days Prior Total]:[Mdl BltinGar]])</f>
        <v>325128.17650362616</v>
      </c>
      <c r="CF133">
        <f>ROUND(Sales[[#This Row],[25Det]],-2)</f>
        <v>0</v>
      </c>
      <c r="CG133">
        <f>ROUND(SUM(Sales[[#This Row],[Mdl Qlty]:[Mdl BltinGar]])+Sales[[#This Row],[Mdl Res Intercept]]+Sales[[#This Row],[Days Prior Total]],-2)</f>
        <v>259300</v>
      </c>
      <c r="CH133">
        <f>ROUND(Sales[[#This Row],[Mdl Land Intercept]]+Sales[[#This Row],[Mdl LnAcres]],-2)</f>
        <v>65900</v>
      </c>
      <c r="CI133">
        <f>Sales[[#This Row],[Unadj Res Value]]+Sales[[#This Row],[Unadj Det Value]]+Sales[[#This Row],[Unadj Land Value]]</f>
        <v>325200</v>
      </c>
      <c r="CJ133" s="10">
        <f>Sales[[#This Row],[Price]]/Sales[[#This Row],[Unadj Total Value]]</f>
        <v>0.99369618696186957</v>
      </c>
      <c r="CK133" s="10">
        <f>(Sales[[#This Row],[Unadj Total Value]]-Sales[[#This Row],[24Final]])/Sales[[#This Row],[24Final]]</f>
        <v>-0.16228748068006182</v>
      </c>
      <c r="CL133">
        <f>VLOOKUP(Sales[[#This Row],[TNbhd]],Lookups!$M$3:$P$5,4,FALSE)</f>
        <v>0.99970000000000003</v>
      </c>
      <c r="CM133">
        <f>VLOOKUP(Sales[[#This Row],[Qlty]],Lookups!$M$8:$P$22,4,FALSE)</f>
        <v>1.0019</v>
      </c>
      <c r="CN133">
        <f>VLOOKUP(Sales[[#This Row],[Cnd]],Lookups!$R$8:$U$17,4,FALSE)</f>
        <v>1.0012000000000001</v>
      </c>
      <c r="CO133">
        <f>VLOOKUP(Sales[[#This Row],[LivArea Range]],Lookups!$R$25:$U$43,4,FALSE)</f>
        <v>1.0007999999999999</v>
      </c>
      <c r="CP133">
        <f>VLOOKUP(Sales[[#This Row],[Decade]],Lookups!$M$24:$P$40,4,FALSE)</f>
        <v>1.0024</v>
      </c>
      <c r="CQ133">
        <f>Sales[[#This Row],[Nbhd Adj]]*0.95</f>
        <v>0.94971499999999998</v>
      </c>
      <c r="CR133">
        <f>Sales[[#This Row],[Nbhd Adj]]*Sales[[#This Row],[Quality Adj]]*Sales[[#This Row],[Condition Adj]]*Sales[[#This Row],[Living Area Adj]]*Sales[[#This Row],[Decade Adj]]*0.95</f>
        <v>0.95571162706178159</v>
      </c>
      <c r="CS133">
        <f>ROUND(SUM(Sales[[#This Row],[Mdl Qlty]:[Mdl BltinGar]])+Sales[[#This Row],[Mdl Res Intercept]]*Sales[[#This Row],[Res Adj ]],-2)</f>
        <v>318500</v>
      </c>
      <c r="CT133">
        <f>ROUND(Sales[[#This Row],[25Det]]*Sales[[#This Row],[Det/Nbhd Adj]],-2)</f>
        <v>0</v>
      </c>
      <c r="CU133">
        <f>Sales[[#This Row],[Adjusted Res]]+Sales[[#This Row],[Adj Det ]]</f>
        <v>318500</v>
      </c>
      <c r="CV133">
        <f>ROUND((Sales[[#This Row],[Mdl Land Intercept]]+Sales[[#This Row],[Mdl LnAcres]])*Sales[[#This Row],[Det/Nbhd Adj]],-2)</f>
        <v>62500</v>
      </c>
      <c r="CW133">
        <f>Sales[[#This Row],[Adjusted Impr Total]]+Sales[[#This Row],[Adjusted Land Total]]</f>
        <v>381000</v>
      </c>
      <c r="CX133" s="10">
        <f>IFERROR((Sales[[#This Row],[Adjusted Impr Total]]-Sales[[#This Row],[24Bldg]])/Sales[[#This Row],[24Bldg]],0)</f>
        <v>-2.2106232729505682E-2</v>
      </c>
      <c r="CY133" s="10">
        <f>(Sales[[#This Row],[Adjusted Land Total]]-Sales[[#This Row],[24Lnd]])/Sales[[#This Row],[24Lnd]]</f>
        <v>0</v>
      </c>
      <c r="CZ133">
        <f>(Sales[[#This Row],[Adjusted Total]]-Sales[[#This Row],[24Final]])/Sales[[#This Row],[24Final]]</f>
        <v>-1.8547140649149921E-2</v>
      </c>
      <c r="DA133" s="10">
        <f>(Sales[[#This Row],[Adjusted Total]]+Sales[[#This Row],[Days Prior Total]])/Sales[[#This Row],[Price]]</f>
        <v>0.97750825489401205</v>
      </c>
    </row>
    <row r="134" spans="1:105">
      <c r="A134">
        <v>2025</v>
      </c>
      <c r="B134">
        <v>19133541431</v>
      </c>
      <c r="C134">
        <v>-1.4696759700589417</v>
      </c>
      <c r="D134">
        <v>0.23</v>
      </c>
      <c r="E134">
        <v>10201</v>
      </c>
      <c r="F134">
        <v>2</v>
      </c>
      <c r="G134" t="s">
        <v>155</v>
      </c>
      <c r="H134">
        <v>317</v>
      </c>
      <c r="I134" t="s">
        <v>5</v>
      </c>
      <c r="J134" t="s">
        <v>212</v>
      </c>
      <c r="K134">
        <v>11</v>
      </c>
      <c r="L134">
        <v>259</v>
      </c>
      <c r="M134" t="s">
        <v>157</v>
      </c>
      <c r="N134" t="s">
        <v>21</v>
      </c>
      <c r="O134" t="s">
        <v>24</v>
      </c>
      <c r="P134">
        <v>2021</v>
      </c>
      <c r="Q134">
        <v>2021</v>
      </c>
      <c r="R134">
        <v>10</v>
      </c>
      <c r="S134">
        <v>3</v>
      </c>
      <c r="T134">
        <v>3</v>
      </c>
      <c r="U134">
        <v>2</v>
      </c>
      <c r="V134">
        <v>1111</v>
      </c>
      <c r="W134">
        <v>1126</v>
      </c>
      <c r="X134">
        <v>0</v>
      </c>
      <c r="Y134">
        <v>0</v>
      </c>
      <c r="Z134">
        <v>0</v>
      </c>
      <c r="AA134">
        <v>0</v>
      </c>
      <c r="AB134">
        <v>2237</v>
      </c>
      <c r="AC134">
        <v>2500</v>
      </c>
      <c r="AD134">
        <v>2</v>
      </c>
      <c r="AE134" t="s">
        <v>56</v>
      </c>
      <c r="AF134" t="s">
        <v>158</v>
      </c>
      <c r="AG134" t="s">
        <v>27</v>
      </c>
      <c r="AI134">
        <v>0</v>
      </c>
      <c r="AJ134">
        <v>0</v>
      </c>
      <c r="AK134">
        <v>0</v>
      </c>
      <c r="AL134">
        <v>0</v>
      </c>
      <c r="AM134">
        <v>1</v>
      </c>
      <c r="AN134">
        <v>13</v>
      </c>
      <c r="AO134">
        <v>455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100</v>
      </c>
      <c r="AV134">
        <v>100</v>
      </c>
      <c r="AW134">
        <v>407747</v>
      </c>
      <c r="AX134">
        <v>403670</v>
      </c>
      <c r="AY134">
        <v>857</v>
      </c>
      <c r="AZ134">
        <v>365</v>
      </c>
      <c r="BA134">
        <v>365</v>
      </c>
      <c r="BB134">
        <v>127</v>
      </c>
      <c r="BC134" s="2">
        <v>44435</v>
      </c>
      <c r="BD134" t="s">
        <v>293</v>
      </c>
      <c r="BE134">
        <v>361070</v>
      </c>
      <c r="BF134">
        <v>324358</v>
      </c>
      <c r="BG134" t="s">
        <v>160</v>
      </c>
      <c r="BH134">
        <v>30</v>
      </c>
      <c r="BI134" t="s">
        <v>56</v>
      </c>
      <c r="BJ134" t="s">
        <v>161</v>
      </c>
      <c r="BK134">
        <v>472900</v>
      </c>
      <c r="BL134">
        <v>65900</v>
      </c>
      <c r="BM134">
        <v>407000</v>
      </c>
      <c r="BN134">
        <v>36712</v>
      </c>
      <c r="BO134">
        <v>374408.35006254108</v>
      </c>
      <c r="BP134">
        <v>424641.59874449956</v>
      </c>
      <c r="BQ134">
        <f>(Sales[[#This Row],[DP1]]*Lookups!$B$61)+(Sales[[#This Row],[DP2]]*Lookups!$B$62)+(Sales[[#This Row],[DP3]]*Lookups!$B$63)</f>
        <v>-50233.246431</v>
      </c>
      <c r="BR134">
        <f>Lookups!$B$58*0.6</f>
        <v>132535.48800000001</v>
      </c>
      <c r="BS134">
        <f>Lookups!$B$58*0.4</f>
        <v>88356.992000000013</v>
      </c>
      <c r="BT134">
        <f>Lookups!$B$59*Sales[[#This Row],[LnAcres]]</f>
        <v>-19288.499197039939</v>
      </c>
      <c r="BU134">
        <f>VLOOKUP(Sales[[#This Row],[Qlty]],Lookups!$A$66:$E$79,2,FALSE)</f>
        <v>32917.849192000001</v>
      </c>
      <c r="BV134">
        <f>VLOOKUP(Sales[[#This Row],[Cnd]],Lookups!$A$80:$E$91,2,FALSE)</f>
        <v>47371.278778200001</v>
      </c>
      <c r="BW134">
        <f>Sales[[#This Row],[EffAge]]*Lookups!$B$65</f>
        <v>-326.22329999999999</v>
      </c>
      <c r="BX134">
        <f>Sales[[#This Row],[MainFn]]*Lookups!$B$90</f>
        <v>69337.932180000003</v>
      </c>
      <c r="BY134">
        <f>Sales[[#This Row],[UpprFn]]*Lookups!$B$91</f>
        <v>67087.511257999999</v>
      </c>
      <c r="BZ134">
        <f>Sales[[#This Row],[Bsmt]]*Lookups!$B$95</f>
        <v>0</v>
      </c>
      <c r="CA134">
        <f>VLOOKUP(Sales[[#This Row],[MsnryTrim]],Lookups!$A$90:$E$99,2,FALSE)</f>
        <v>-9412.7029999999995</v>
      </c>
      <c r="CB134">
        <f>Sales[[#This Row],[PrefabFP]]*Lookups!$B$92</f>
        <v>0</v>
      </c>
      <c r="CC134">
        <f>Sales[[#This Row],[AttGar]]*Lookups!$B$93</f>
        <v>16061.969105</v>
      </c>
      <c r="CD134">
        <f>Sales[[#This Row],[BltinGar]]*Lookups!$B$94</f>
        <v>0</v>
      </c>
      <c r="CE134">
        <f>SUM(Sales[[#This Row],[Days Prior Total]:[Mdl BltinGar]])</f>
        <v>374408.34858516016</v>
      </c>
      <c r="CF134">
        <f>ROUND(Sales[[#This Row],[25Det]],-2)</f>
        <v>36700</v>
      </c>
      <c r="CG134">
        <f>ROUND(SUM(Sales[[#This Row],[Mdl Qlty]:[Mdl BltinGar]])+Sales[[#This Row],[Mdl Res Intercept]]+Sales[[#This Row],[Days Prior Total]],-2)</f>
        <v>305300</v>
      </c>
      <c r="CH134">
        <f>ROUND(Sales[[#This Row],[Mdl Land Intercept]]+Sales[[#This Row],[Mdl LnAcres]],-2)</f>
        <v>69100</v>
      </c>
      <c r="CI134">
        <f>Sales[[#This Row],[Unadj Res Value]]+Sales[[#This Row],[Unadj Det Value]]+Sales[[#This Row],[Unadj Land Value]]</f>
        <v>411100</v>
      </c>
      <c r="CJ134" s="10">
        <f>Sales[[#This Row],[Price]]/Sales[[#This Row],[Unadj Total Value]]</f>
        <v>0.87830211627341281</v>
      </c>
      <c r="CK134" s="10">
        <f>(Sales[[#This Row],[Unadj Total Value]]-Sales[[#This Row],[24Final]])/Sales[[#This Row],[24Final]]</f>
        <v>-0.1306830196658913</v>
      </c>
      <c r="CL134">
        <f>VLOOKUP(Sales[[#This Row],[TNbhd]],Lookups!$M$3:$P$5,4,FALSE)</f>
        <v>0.99970000000000003</v>
      </c>
      <c r="CM134">
        <f>VLOOKUP(Sales[[#This Row],[Qlty]],Lookups!$M$8:$P$22,4,FALSE)</f>
        <v>1.0019</v>
      </c>
      <c r="CN134">
        <f>VLOOKUP(Sales[[#This Row],[Cnd]],Lookups!$R$8:$U$17,4,FALSE)</f>
        <v>1.0012000000000001</v>
      </c>
      <c r="CO134">
        <f>VLOOKUP(Sales[[#This Row],[LivArea Range]],Lookups!$R$25:$U$43,4,FALSE)</f>
        <v>1.0008999999999999</v>
      </c>
      <c r="CP134">
        <f>VLOOKUP(Sales[[#This Row],[Decade]],Lookups!$M$24:$P$40,4,FALSE)</f>
        <v>1.0024</v>
      </c>
      <c r="CQ134">
        <f>Sales[[#This Row],[Nbhd Adj]]*0.95</f>
        <v>0.94971499999999998</v>
      </c>
      <c r="CR134">
        <f>Sales[[#This Row],[Nbhd Adj]]*Sales[[#This Row],[Quality Adj]]*Sales[[#This Row],[Condition Adj]]*Sales[[#This Row],[Living Area Adj]]*Sales[[#This Row],[Decade Adj]]*0.95</f>
        <v>0.95580712182867422</v>
      </c>
      <c r="CS134">
        <f>ROUND(SUM(Sales[[#This Row],[Mdl Qlty]:[Mdl BltinGar]])+Sales[[#This Row],[Mdl Res Intercept]]*Sales[[#This Row],[Res Adj ]],-2)</f>
        <v>349700</v>
      </c>
      <c r="CT134">
        <f>ROUND(Sales[[#This Row],[25Det]]*Sales[[#This Row],[Det/Nbhd Adj]],-2)</f>
        <v>34900</v>
      </c>
      <c r="CU134">
        <f>Sales[[#This Row],[Adjusted Res]]+Sales[[#This Row],[Adj Det ]]</f>
        <v>384600</v>
      </c>
      <c r="CV134">
        <f>ROUND((Sales[[#This Row],[Mdl Land Intercept]]+Sales[[#This Row],[Mdl LnAcres]])*Sales[[#This Row],[Det/Nbhd Adj]],-2)</f>
        <v>65600</v>
      </c>
      <c r="CW134">
        <f>Sales[[#This Row],[Adjusted Impr Total]]+Sales[[#This Row],[Adjusted Land Total]]</f>
        <v>450200</v>
      </c>
      <c r="CX134" s="10">
        <f>IFERROR((Sales[[#This Row],[Adjusted Impr Total]]-Sales[[#This Row],[24Bldg]])/Sales[[#This Row],[24Bldg]],0)</f>
        <v>-5.5036855036855035E-2</v>
      </c>
      <c r="CY134" s="10">
        <f>(Sales[[#This Row],[Adjusted Land Total]]-Sales[[#This Row],[24Lnd]])/Sales[[#This Row],[24Lnd]]</f>
        <v>-4.552352048558422E-3</v>
      </c>
      <c r="CZ134">
        <f>(Sales[[#This Row],[Adjusted Total]]-Sales[[#This Row],[24Final]])/Sales[[#This Row],[24Final]]</f>
        <v>-4.8001691689574966E-2</v>
      </c>
      <c r="DA134" s="10">
        <f>(Sales[[#This Row],[Adjusted Total]]+Sales[[#This Row],[Days Prior Total]])/Sales[[#This Row],[Price]]</f>
        <v>1.1077263510371951</v>
      </c>
    </row>
    <row r="135" spans="1:105">
      <c r="A135">
        <v>2025</v>
      </c>
      <c r="B135">
        <v>19133541433</v>
      </c>
      <c r="C135">
        <v>-1.6094379124341003</v>
      </c>
      <c r="D135">
        <v>0.2</v>
      </c>
      <c r="E135">
        <v>8515</v>
      </c>
      <c r="F135">
        <v>2</v>
      </c>
      <c r="G135" t="s">
        <v>155</v>
      </c>
      <c r="H135">
        <v>317</v>
      </c>
      <c r="I135" t="s">
        <v>5</v>
      </c>
      <c r="J135" t="s">
        <v>212</v>
      </c>
      <c r="K135">
        <v>11</v>
      </c>
      <c r="L135">
        <v>259</v>
      </c>
      <c r="M135" t="s">
        <v>157</v>
      </c>
      <c r="N135" t="s">
        <v>21</v>
      </c>
      <c r="O135" t="s">
        <v>24</v>
      </c>
      <c r="P135">
        <v>2021</v>
      </c>
      <c r="Q135">
        <v>2021</v>
      </c>
      <c r="R135">
        <v>10</v>
      </c>
      <c r="S135">
        <v>3</v>
      </c>
      <c r="T135">
        <v>3</v>
      </c>
      <c r="U135">
        <v>1</v>
      </c>
      <c r="V135">
        <v>2040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2040</v>
      </c>
      <c r="AC135">
        <v>2500</v>
      </c>
      <c r="AD135">
        <v>3</v>
      </c>
      <c r="AE135" t="s">
        <v>56</v>
      </c>
      <c r="AF135" t="s">
        <v>158</v>
      </c>
      <c r="AG135" t="s">
        <v>27</v>
      </c>
      <c r="AI135">
        <v>0</v>
      </c>
      <c r="AJ135">
        <v>0</v>
      </c>
      <c r="AK135">
        <v>1</v>
      </c>
      <c r="AL135">
        <v>0</v>
      </c>
      <c r="AM135">
        <v>0</v>
      </c>
      <c r="AN135">
        <v>11</v>
      </c>
      <c r="AO135">
        <v>655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100</v>
      </c>
      <c r="AV135">
        <v>100</v>
      </c>
      <c r="AW135">
        <v>409065</v>
      </c>
      <c r="AX135">
        <v>404974</v>
      </c>
      <c r="AY135">
        <v>958</v>
      </c>
      <c r="AZ135">
        <v>365</v>
      </c>
      <c r="BA135">
        <v>365</v>
      </c>
      <c r="BB135">
        <v>228</v>
      </c>
      <c r="BC135" s="2">
        <v>44334</v>
      </c>
      <c r="BD135" t="s">
        <v>294</v>
      </c>
      <c r="BE135">
        <v>381254</v>
      </c>
      <c r="BF135">
        <v>381254</v>
      </c>
      <c r="BG135" t="s">
        <v>160</v>
      </c>
      <c r="BH135">
        <v>30</v>
      </c>
      <c r="BI135" t="s">
        <v>56</v>
      </c>
      <c r="BJ135" t="s">
        <v>161</v>
      </c>
      <c r="BK135">
        <v>426700</v>
      </c>
      <c r="BL135">
        <v>64000</v>
      </c>
      <c r="BM135">
        <v>362700</v>
      </c>
      <c r="BN135">
        <v>0</v>
      </c>
      <c r="BO135">
        <v>357204.17197180894</v>
      </c>
      <c r="BP135">
        <v>430566.36092116975</v>
      </c>
      <c r="BQ135">
        <f>(Sales[[#This Row],[DP1]]*Lookups!$B$61)+(Sales[[#This Row],[DP2]]*Lookups!$B$62)+(Sales[[#This Row],[DP3]]*Lookups!$B$63)</f>
        <v>-73362.185830999995</v>
      </c>
      <c r="BR135">
        <f>Lookups!$B$58*0.6</f>
        <v>132535.48800000001</v>
      </c>
      <c r="BS135">
        <f>Lookups!$B$58*0.4</f>
        <v>88356.992000000013</v>
      </c>
      <c r="BT135">
        <f>Lookups!$B$59*Sales[[#This Row],[LnAcres]]</f>
        <v>-21122.779792355024</v>
      </c>
      <c r="BU135">
        <f>VLOOKUP(Sales[[#This Row],[Qlty]],Lookups!$A$66:$E$79,2,FALSE)</f>
        <v>32917.849192000001</v>
      </c>
      <c r="BV135">
        <f>VLOOKUP(Sales[[#This Row],[Cnd]],Lookups!$A$80:$E$91,2,FALSE)</f>
        <v>47371.278778200001</v>
      </c>
      <c r="BW135">
        <f>Sales[[#This Row],[EffAge]]*Lookups!$B$65</f>
        <v>-326.22329999999999</v>
      </c>
      <c r="BX135">
        <f>Sales[[#This Row],[MainFn]]*Lookups!$B$90</f>
        <v>127317.17520000001</v>
      </c>
      <c r="BY135">
        <f>Sales[[#This Row],[UpprFn]]*Lookups!$B$91</f>
        <v>0</v>
      </c>
      <c r="BZ135">
        <f>Sales[[#This Row],[Bsmt]]*Lookups!$B$95</f>
        <v>0</v>
      </c>
      <c r="CA135">
        <f>VLOOKUP(Sales[[#This Row],[MsnryTrim]],Lookups!$A$90:$E$99,2,FALSE)</f>
        <v>-9412.7029999999995</v>
      </c>
      <c r="CB135">
        <f>Sales[[#This Row],[PrefabFP]]*Lookups!$B$92</f>
        <v>9807.1044999999995</v>
      </c>
      <c r="CC135">
        <f>Sales[[#This Row],[AttGar]]*Lookups!$B$93</f>
        <v>23122.175305000001</v>
      </c>
      <c r="CD135">
        <f>Sales[[#This Row],[BltinGar]]*Lookups!$B$94</f>
        <v>0</v>
      </c>
      <c r="CE135">
        <f>SUM(Sales[[#This Row],[Days Prior Total]:[Mdl BltinGar]])</f>
        <v>357204.17105184501</v>
      </c>
      <c r="CF135">
        <f>ROUND(Sales[[#This Row],[25Det]],-2)</f>
        <v>0</v>
      </c>
      <c r="CG135">
        <f>ROUND(SUM(Sales[[#This Row],[Mdl Qlty]:[Mdl BltinGar]])+Sales[[#This Row],[Mdl Res Intercept]]+Sales[[#This Row],[Days Prior Total]],-2)</f>
        <v>290000</v>
      </c>
      <c r="CH135">
        <f>ROUND(Sales[[#This Row],[Mdl Land Intercept]]+Sales[[#This Row],[Mdl LnAcres]],-2)</f>
        <v>67200</v>
      </c>
      <c r="CI135">
        <f>Sales[[#This Row],[Unadj Res Value]]+Sales[[#This Row],[Unadj Det Value]]+Sales[[#This Row],[Unadj Land Value]]</f>
        <v>357200</v>
      </c>
      <c r="CJ135" s="10">
        <f>Sales[[#This Row],[Price]]/Sales[[#This Row],[Unadj Total Value]]</f>
        <v>1.067340425531915</v>
      </c>
      <c r="CK135" s="10">
        <f>(Sales[[#This Row],[Unadj Total Value]]-Sales[[#This Row],[24Final]])/Sales[[#This Row],[24Final]]</f>
        <v>-0.16287790016404968</v>
      </c>
      <c r="CL135">
        <f>VLOOKUP(Sales[[#This Row],[TNbhd]],Lookups!$M$3:$P$5,4,FALSE)</f>
        <v>0.99970000000000003</v>
      </c>
      <c r="CM135">
        <f>VLOOKUP(Sales[[#This Row],[Qlty]],Lookups!$M$8:$P$22,4,FALSE)</f>
        <v>1.0019</v>
      </c>
      <c r="CN135">
        <f>VLOOKUP(Sales[[#This Row],[Cnd]],Lookups!$R$8:$U$17,4,FALSE)</f>
        <v>1.0012000000000001</v>
      </c>
      <c r="CO135">
        <f>VLOOKUP(Sales[[#This Row],[LivArea Range]],Lookups!$R$25:$U$43,4,FALSE)</f>
        <v>1.0008999999999999</v>
      </c>
      <c r="CP135">
        <f>VLOOKUP(Sales[[#This Row],[Decade]],Lookups!$M$24:$P$40,4,FALSE)</f>
        <v>1.0024</v>
      </c>
      <c r="CQ135">
        <f>Sales[[#This Row],[Nbhd Adj]]*0.95</f>
        <v>0.94971499999999998</v>
      </c>
      <c r="CR135">
        <f>Sales[[#This Row],[Nbhd Adj]]*Sales[[#This Row],[Quality Adj]]*Sales[[#This Row],[Condition Adj]]*Sales[[#This Row],[Living Area Adj]]*Sales[[#This Row],[Decade Adj]]*0.95</f>
        <v>0.95580712182867422</v>
      </c>
      <c r="CS135">
        <f>ROUND(SUM(Sales[[#This Row],[Mdl Qlty]:[Mdl BltinGar]])+Sales[[#This Row],[Mdl Res Intercept]]*Sales[[#This Row],[Res Adj ]],-2)</f>
        <v>357500</v>
      </c>
      <c r="CT135">
        <f>ROUND(Sales[[#This Row],[25Det]]*Sales[[#This Row],[Det/Nbhd Adj]],-2)</f>
        <v>0</v>
      </c>
      <c r="CU135">
        <f>Sales[[#This Row],[Adjusted Res]]+Sales[[#This Row],[Adj Det ]]</f>
        <v>357500</v>
      </c>
      <c r="CV135">
        <f>ROUND((Sales[[#This Row],[Mdl Land Intercept]]+Sales[[#This Row],[Mdl LnAcres]])*Sales[[#This Row],[Det/Nbhd Adj]],-2)</f>
        <v>63900</v>
      </c>
      <c r="CW135">
        <f>Sales[[#This Row],[Adjusted Impr Total]]+Sales[[#This Row],[Adjusted Land Total]]</f>
        <v>421400</v>
      </c>
      <c r="CX135" s="10">
        <f>IFERROR((Sales[[#This Row],[Adjusted Impr Total]]-Sales[[#This Row],[24Bldg]])/Sales[[#This Row],[24Bldg]],0)</f>
        <v>-1.4336917562724014E-2</v>
      </c>
      <c r="CY135" s="10">
        <f>(Sales[[#This Row],[Adjusted Land Total]]-Sales[[#This Row],[24Lnd]])/Sales[[#This Row],[24Lnd]]</f>
        <v>-1.5625000000000001E-3</v>
      </c>
      <c r="CZ135">
        <f>(Sales[[#This Row],[Adjusted Total]]-Sales[[#This Row],[24Final]])/Sales[[#This Row],[24Final]]</f>
        <v>-1.242090461682681E-2</v>
      </c>
      <c r="DA135" s="10">
        <f>(Sales[[#This Row],[Adjusted Total]]+Sales[[#This Row],[Days Prior Total]])/Sales[[#This Row],[Price]]</f>
        <v>0.91287649223090128</v>
      </c>
    </row>
    <row r="136" spans="1:105">
      <c r="A136">
        <v>2025</v>
      </c>
      <c r="B136">
        <v>19133541434</v>
      </c>
      <c r="C136">
        <v>-1.7147984280919266</v>
      </c>
      <c r="D136">
        <v>0.18</v>
      </c>
      <c r="E136">
        <v>7982</v>
      </c>
      <c r="F136">
        <v>2</v>
      </c>
      <c r="G136" t="s">
        <v>155</v>
      </c>
      <c r="H136">
        <v>317</v>
      </c>
      <c r="I136" t="s">
        <v>5</v>
      </c>
      <c r="J136" t="s">
        <v>212</v>
      </c>
      <c r="K136">
        <v>11</v>
      </c>
      <c r="L136">
        <v>259</v>
      </c>
      <c r="M136" t="s">
        <v>157</v>
      </c>
      <c r="N136" t="s">
        <v>21</v>
      </c>
      <c r="O136" t="s">
        <v>24</v>
      </c>
      <c r="P136">
        <v>2021</v>
      </c>
      <c r="Q136">
        <v>2021</v>
      </c>
      <c r="R136">
        <v>10</v>
      </c>
      <c r="S136">
        <v>3</v>
      </c>
      <c r="T136">
        <v>3</v>
      </c>
      <c r="U136">
        <v>1</v>
      </c>
      <c r="V136">
        <v>2010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2010</v>
      </c>
      <c r="AC136">
        <v>2500</v>
      </c>
      <c r="AD136">
        <v>2</v>
      </c>
      <c r="AE136" t="s">
        <v>56</v>
      </c>
      <c r="AF136" t="s">
        <v>158</v>
      </c>
      <c r="AG136" t="s">
        <v>27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11</v>
      </c>
      <c r="AO136">
        <v>424</v>
      </c>
      <c r="AP136">
        <v>0</v>
      </c>
      <c r="AQ136">
        <v>0</v>
      </c>
      <c r="AR136">
        <v>0</v>
      </c>
      <c r="AS136">
        <v>144</v>
      </c>
      <c r="AT136">
        <v>0</v>
      </c>
      <c r="AU136">
        <v>100</v>
      </c>
      <c r="AV136">
        <v>100</v>
      </c>
      <c r="AW136">
        <v>383336</v>
      </c>
      <c r="AX136">
        <v>379503</v>
      </c>
      <c r="AY136">
        <v>857</v>
      </c>
      <c r="AZ136">
        <v>365</v>
      </c>
      <c r="BA136">
        <v>365</v>
      </c>
      <c r="BB136">
        <v>127</v>
      </c>
      <c r="BC136" s="2">
        <v>44435</v>
      </c>
      <c r="BD136" t="s">
        <v>295</v>
      </c>
      <c r="BE136">
        <v>321900</v>
      </c>
      <c r="BF136">
        <v>321900</v>
      </c>
      <c r="BG136" t="s">
        <v>160</v>
      </c>
      <c r="BH136">
        <v>30</v>
      </c>
      <c r="BI136" t="s">
        <v>56</v>
      </c>
      <c r="BJ136" t="s">
        <v>161</v>
      </c>
      <c r="BK136">
        <v>399900</v>
      </c>
      <c r="BL136">
        <v>62500</v>
      </c>
      <c r="BM136">
        <v>337400</v>
      </c>
      <c r="BN136">
        <v>0</v>
      </c>
      <c r="BO136">
        <v>359116.37302732287</v>
      </c>
      <c r="BP136">
        <v>409349.62170928129</v>
      </c>
      <c r="BQ136">
        <f>(Sales[[#This Row],[DP1]]*Lookups!$B$61)+(Sales[[#This Row],[DP2]]*Lookups!$B$62)+(Sales[[#This Row],[DP3]]*Lookups!$B$63)</f>
        <v>-50233.246431</v>
      </c>
      <c r="BR136">
        <f>Lookups!$B$58*0.6</f>
        <v>132535.48800000001</v>
      </c>
      <c r="BS136">
        <f>Lookups!$B$58*0.4</f>
        <v>88356.992000000013</v>
      </c>
      <c r="BT136">
        <f>Lookups!$B$59*Sales[[#This Row],[LnAcres]]</f>
        <v>-22505.565020573864</v>
      </c>
      <c r="BU136">
        <f>VLOOKUP(Sales[[#This Row],[Qlty]],Lookups!$A$66:$E$79,2,FALSE)</f>
        <v>32917.849192000001</v>
      </c>
      <c r="BV136">
        <f>VLOOKUP(Sales[[#This Row],[Cnd]],Lookups!$A$80:$E$91,2,FALSE)</f>
        <v>47371.278778200001</v>
      </c>
      <c r="BW136">
        <f>Sales[[#This Row],[EffAge]]*Lookups!$B$65</f>
        <v>-326.22329999999999</v>
      </c>
      <c r="BX136">
        <f>Sales[[#This Row],[MainFn]]*Lookups!$B$90</f>
        <v>125444.86380000001</v>
      </c>
      <c r="BY136">
        <f>Sales[[#This Row],[UpprFn]]*Lookups!$B$91</f>
        <v>0</v>
      </c>
      <c r="BZ136">
        <f>Sales[[#This Row],[Bsmt]]*Lookups!$B$95</f>
        <v>0</v>
      </c>
      <c r="CA136">
        <f>VLOOKUP(Sales[[#This Row],[MsnryTrim]],Lookups!$A$90:$E$99,2,FALSE)</f>
        <v>-9412.7029999999995</v>
      </c>
      <c r="CB136">
        <f>Sales[[#This Row],[PrefabFP]]*Lookups!$B$92</f>
        <v>0</v>
      </c>
      <c r="CC136">
        <f>Sales[[#This Row],[AttGar]]*Lookups!$B$93</f>
        <v>14967.637144</v>
      </c>
      <c r="CD136">
        <f>Sales[[#This Row],[BltinGar]]*Lookups!$B$94</f>
        <v>0</v>
      </c>
      <c r="CE136">
        <f>SUM(Sales[[#This Row],[Days Prior Total]:[Mdl BltinGar]])</f>
        <v>359116.37116262619</v>
      </c>
      <c r="CF136">
        <f>ROUND(Sales[[#This Row],[25Det]],-2)</f>
        <v>0</v>
      </c>
      <c r="CG136">
        <f>ROUND(SUM(Sales[[#This Row],[Mdl Qlty]:[Mdl BltinGar]])+Sales[[#This Row],[Mdl Res Intercept]]+Sales[[#This Row],[Days Prior Total]],-2)</f>
        <v>293300</v>
      </c>
      <c r="CH136">
        <f>ROUND(Sales[[#This Row],[Mdl Land Intercept]]+Sales[[#This Row],[Mdl LnAcres]],-2)</f>
        <v>65900</v>
      </c>
      <c r="CI136">
        <f>Sales[[#This Row],[Unadj Res Value]]+Sales[[#This Row],[Unadj Det Value]]+Sales[[#This Row],[Unadj Land Value]]</f>
        <v>359200</v>
      </c>
      <c r="CJ136" s="10">
        <f>Sales[[#This Row],[Price]]/Sales[[#This Row],[Unadj Total Value]]</f>
        <v>0.89615812917594651</v>
      </c>
      <c r="CK136" s="10">
        <f>(Sales[[#This Row],[Unadj Total Value]]-Sales[[#This Row],[24Final]])/Sales[[#This Row],[24Final]]</f>
        <v>-0.10177544386096524</v>
      </c>
      <c r="CL136">
        <f>VLOOKUP(Sales[[#This Row],[TNbhd]],Lookups!$M$3:$P$5,4,FALSE)</f>
        <v>0.99970000000000003</v>
      </c>
      <c r="CM136">
        <f>VLOOKUP(Sales[[#This Row],[Qlty]],Lookups!$M$8:$P$22,4,FALSE)</f>
        <v>1.0019</v>
      </c>
      <c r="CN136">
        <f>VLOOKUP(Sales[[#This Row],[Cnd]],Lookups!$R$8:$U$17,4,FALSE)</f>
        <v>1.0012000000000001</v>
      </c>
      <c r="CO136">
        <f>VLOOKUP(Sales[[#This Row],[LivArea Range]],Lookups!$R$25:$U$43,4,FALSE)</f>
        <v>1.0008999999999999</v>
      </c>
      <c r="CP136">
        <f>VLOOKUP(Sales[[#This Row],[Decade]],Lookups!$M$24:$P$40,4,FALSE)</f>
        <v>1.0024</v>
      </c>
      <c r="CQ136">
        <f>Sales[[#This Row],[Nbhd Adj]]*0.95</f>
        <v>0.94971499999999998</v>
      </c>
      <c r="CR136">
        <f>Sales[[#This Row],[Nbhd Adj]]*Sales[[#This Row],[Quality Adj]]*Sales[[#This Row],[Condition Adj]]*Sales[[#This Row],[Living Area Adj]]*Sales[[#This Row],[Decade Adj]]*0.95</f>
        <v>0.95580712182867422</v>
      </c>
      <c r="CS136">
        <f>ROUND(SUM(Sales[[#This Row],[Mdl Qlty]:[Mdl BltinGar]])+Sales[[#This Row],[Mdl Res Intercept]]*Sales[[#This Row],[Res Adj ]],-2)</f>
        <v>337600</v>
      </c>
      <c r="CT136">
        <f>ROUND(Sales[[#This Row],[25Det]]*Sales[[#This Row],[Det/Nbhd Adj]],-2)</f>
        <v>0</v>
      </c>
      <c r="CU136">
        <f>Sales[[#This Row],[Adjusted Res]]+Sales[[#This Row],[Adj Det ]]</f>
        <v>337600</v>
      </c>
      <c r="CV136">
        <f>ROUND((Sales[[#This Row],[Mdl Land Intercept]]+Sales[[#This Row],[Mdl LnAcres]])*Sales[[#This Row],[Det/Nbhd Adj]],-2)</f>
        <v>62500</v>
      </c>
      <c r="CW136">
        <f>Sales[[#This Row],[Adjusted Impr Total]]+Sales[[#This Row],[Adjusted Land Total]]</f>
        <v>400100</v>
      </c>
      <c r="CX136" s="10">
        <f>IFERROR((Sales[[#This Row],[Adjusted Impr Total]]-Sales[[#This Row],[24Bldg]])/Sales[[#This Row],[24Bldg]],0)</f>
        <v>5.9276822762299936E-4</v>
      </c>
      <c r="CY136" s="10">
        <f>(Sales[[#This Row],[Adjusted Land Total]]-Sales[[#This Row],[24Lnd]])/Sales[[#This Row],[24Lnd]]</f>
        <v>0</v>
      </c>
      <c r="CZ136">
        <f>(Sales[[#This Row],[Adjusted Total]]-Sales[[#This Row],[24Final]])/Sales[[#This Row],[24Final]]</f>
        <v>5.0012503125781451E-4</v>
      </c>
      <c r="DA136" s="10">
        <f>(Sales[[#This Row],[Adjusted Total]]+Sales[[#This Row],[Days Prior Total]])/Sales[[#This Row],[Price]]</f>
        <v>1.0868802533985709</v>
      </c>
    </row>
    <row r="137" spans="1:105">
      <c r="A137">
        <v>2025</v>
      </c>
      <c r="B137">
        <v>19133541435</v>
      </c>
      <c r="C137">
        <v>-1.7719568419318752</v>
      </c>
      <c r="D137">
        <v>0.17</v>
      </c>
      <c r="E137">
        <v>7245</v>
      </c>
      <c r="F137">
        <v>2</v>
      </c>
      <c r="G137" t="s">
        <v>155</v>
      </c>
      <c r="H137">
        <v>317</v>
      </c>
      <c r="I137" t="s">
        <v>5</v>
      </c>
      <c r="J137" t="s">
        <v>212</v>
      </c>
      <c r="K137">
        <v>11</v>
      </c>
      <c r="L137">
        <v>259</v>
      </c>
      <c r="M137" t="s">
        <v>157</v>
      </c>
      <c r="N137" t="s">
        <v>21</v>
      </c>
      <c r="O137" t="s">
        <v>24</v>
      </c>
      <c r="P137">
        <v>2021</v>
      </c>
      <c r="Q137">
        <v>2021</v>
      </c>
      <c r="R137">
        <v>10</v>
      </c>
      <c r="S137">
        <v>3</v>
      </c>
      <c r="T137">
        <v>3</v>
      </c>
      <c r="U137">
        <v>1</v>
      </c>
      <c r="V137">
        <v>1740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1740</v>
      </c>
      <c r="AC137">
        <v>2000</v>
      </c>
      <c r="AD137">
        <v>2</v>
      </c>
      <c r="AE137" t="s">
        <v>56</v>
      </c>
      <c r="AF137" t="s">
        <v>158</v>
      </c>
      <c r="AG137" t="s">
        <v>27</v>
      </c>
      <c r="AI137">
        <v>0</v>
      </c>
      <c r="AJ137">
        <v>0</v>
      </c>
      <c r="AK137">
        <v>0</v>
      </c>
      <c r="AL137">
        <v>1</v>
      </c>
      <c r="AM137">
        <v>0</v>
      </c>
      <c r="AN137">
        <v>10</v>
      </c>
      <c r="AO137">
        <v>450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100</v>
      </c>
      <c r="AV137">
        <v>100</v>
      </c>
      <c r="AW137">
        <v>346527</v>
      </c>
      <c r="AX137">
        <v>343062</v>
      </c>
      <c r="AY137">
        <v>811</v>
      </c>
      <c r="AZ137">
        <v>365</v>
      </c>
      <c r="BA137">
        <v>365</v>
      </c>
      <c r="BB137">
        <v>81</v>
      </c>
      <c r="BC137" s="2">
        <v>44481</v>
      </c>
      <c r="BD137" t="s">
        <v>296</v>
      </c>
      <c r="BE137">
        <v>319450</v>
      </c>
      <c r="BF137">
        <v>319450</v>
      </c>
      <c r="BG137" t="s">
        <v>160</v>
      </c>
      <c r="BH137">
        <v>30</v>
      </c>
      <c r="BI137" t="s">
        <v>56</v>
      </c>
      <c r="BJ137" t="s">
        <v>161</v>
      </c>
      <c r="BK137">
        <v>396200</v>
      </c>
      <c r="BL137">
        <v>61700</v>
      </c>
      <c r="BM137">
        <v>334500</v>
      </c>
      <c r="BN137">
        <v>0</v>
      </c>
      <c r="BO137">
        <v>352967.20464950771</v>
      </c>
      <c r="BP137">
        <v>392666.48053641163</v>
      </c>
      <c r="BQ137">
        <f>(Sales[[#This Row],[DP1]]*Lookups!$B$61)+(Sales[[#This Row],[DP2]]*Lookups!$B$62)+(Sales[[#This Row],[DP3]]*Lookups!$B$63)</f>
        <v>-39699.274031000001</v>
      </c>
      <c r="BR137">
        <f>Lookups!$B$58*0.6</f>
        <v>132535.48800000001</v>
      </c>
      <c r="BS137">
        <f>Lookups!$B$58*0.4</f>
        <v>88356.992000000013</v>
      </c>
      <c r="BT137">
        <f>Lookups!$B$59*Sales[[#This Row],[LnAcres]]</f>
        <v>-23255.730391660189</v>
      </c>
      <c r="BU137">
        <f>VLOOKUP(Sales[[#This Row],[Qlty]],Lookups!$A$66:$E$79,2,FALSE)</f>
        <v>32917.849192000001</v>
      </c>
      <c r="BV137">
        <f>VLOOKUP(Sales[[#This Row],[Cnd]],Lookups!$A$80:$E$91,2,FALSE)</f>
        <v>47371.278778200001</v>
      </c>
      <c r="BW137">
        <f>Sales[[#This Row],[EffAge]]*Lookups!$B$65</f>
        <v>-326.22329999999999</v>
      </c>
      <c r="BX137">
        <f>Sales[[#This Row],[MainFn]]*Lookups!$B$90</f>
        <v>108594.06120000001</v>
      </c>
      <c r="BY137">
        <f>Sales[[#This Row],[UpprFn]]*Lookups!$B$91</f>
        <v>0</v>
      </c>
      <c r="BZ137">
        <f>Sales[[#This Row],[Bsmt]]*Lookups!$B$95</f>
        <v>0</v>
      </c>
      <c r="CA137">
        <f>VLOOKUP(Sales[[#This Row],[MsnryTrim]],Lookups!$A$90:$E$99,2,FALSE)</f>
        <v>-9412.7029999999995</v>
      </c>
      <c r="CB137">
        <f>Sales[[#This Row],[PrefabFP]]*Lookups!$B$92</f>
        <v>0</v>
      </c>
      <c r="CC137">
        <f>Sales[[#This Row],[AttGar]]*Lookups!$B$93</f>
        <v>15885.463950000001</v>
      </c>
      <c r="CD137">
        <f>Sales[[#This Row],[BltinGar]]*Lookups!$B$94</f>
        <v>0</v>
      </c>
      <c r="CE137">
        <f>SUM(Sales[[#This Row],[Days Prior Total]:[Mdl BltinGar]])</f>
        <v>352967.20239753986</v>
      </c>
      <c r="CF137">
        <f>ROUND(Sales[[#This Row],[25Det]],-2)</f>
        <v>0</v>
      </c>
      <c r="CG137">
        <f>ROUND(SUM(Sales[[#This Row],[Mdl Qlty]:[Mdl BltinGar]])+Sales[[#This Row],[Mdl Res Intercept]]+Sales[[#This Row],[Days Prior Total]],-2)</f>
        <v>287900</v>
      </c>
      <c r="CH137">
        <f>ROUND(Sales[[#This Row],[Mdl Land Intercept]]+Sales[[#This Row],[Mdl LnAcres]],-2)</f>
        <v>65100</v>
      </c>
      <c r="CI137">
        <f>Sales[[#This Row],[Unadj Res Value]]+Sales[[#This Row],[Unadj Det Value]]+Sales[[#This Row],[Unadj Land Value]]</f>
        <v>353000</v>
      </c>
      <c r="CJ137" s="10">
        <f>Sales[[#This Row],[Price]]/Sales[[#This Row],[Unadj Total Value]]</f>
        <v>0.90495750708215295</v>
      </c>
      <c r="CK137" s="10">
        <f>(Sales[[#This Row],[Unadj Total Value]]-Sales[[#This Row],[24Final]])/Sales[[#This Row],[24Final]]</f>
        <v>-0.10903584048460374</v>
      </c>
      <c r="CL137">
        <f>VLOOKUP(Sales[[#This Row],[TNbhd]],Lookups!$M$3:$P$5,4,FALSE)</f>
        <v>0.99970000000000003</v>
      </c>
      <c r="CM137">
        <f>VLOOKUP(Sales[[#This Row],[Qlty]],Lookups!$M$8:$P$22,4,FALSE)</f>
        <v>1.0019</v>
      </c>
      <c r="CN137">
        <f>VLOOKUP(Sales[[#This Row],[Cnd]],Lookups!$R$8:$U$17,4,FALSE)</f>
        <v>1.0012000000000001</v>
      </c>
      <c r="CO137">
        <f>VLOOKUP(Sales[[#This Row],[LivArea Range]],Lookups!$R$25:$U$43,4,FALSE)</f>
        <v>1.0007999999999999</v>
      </c>
      <c r="CP137">
        <f>VLOOKUP(Sales[[#This Row],[Decade]],Lookups!$M$24:$P$40,4,FALSE)</f>
        <v>1.0024</v>
      </c>
      <c r="CQ137">
        <f>Sales[[#This Row],[Nbhd Adj]]*0.95</f>
        <v>0.94971499999999998</v>
      </c>
      <c r="CR137">
        <f>Sales[[#This Row],[Nbhd Adj]]*Sales[[#This Row],[Quality Adj]]*Sales[[#This Row],[Condition Adj]]*Sales[[#This Row],[Living Area Adj]]*Sales[[#This Row],[Decade Adj]]*0.95</f>
        <v>0.95571162706178159</v>
      </c>
      <c r="CS137">
        <f>ROUND(SUM(Sales[[#This Row],[Mdl Qlty]:[Mdl BltinGar]])+Sales[[#This Row],[Mdl Res Intercept]]*Sales[[#This Row],[Res Adj ]],-2)</f>
        <v>321700</v>
      </c>
      <c r="CT137">
        <f>ROUND(Sales[[#This Row],[25Det]]*Sales[[#This Row],[Det/Nbhd Adj]],-2)</f>
        <v>0</v>
      </c>
      <c r="CU137">
        <f>Sales[[#This Row],[Adjusted Res]]+Sales[[#This Row],[Adj Det ]]</f>
        <v>321700</v>
      </c>
      <c r="CV137">
        <f>ROUND((Sales[[#This Row],[Mdl Land Intercept]]+Sales[[#This Row],[Mdl LnAcres]])*Sales[[#This Row],[Det/Nbhd Adj]],-2)</f>
        <v>61800</v>
      </c>
      <c r="CW137">
        <f>Sales[[#This Row],[Adjusted Impr Total]]+Sales[[#This Row],[Adjusted Land Total]]</f>
        <v>383500</v>
      </c>
      <c r="CX137" s="10">
        <f>IFERROR((Sales[[#This Row],[Adjusted Impr Total]]-Sales[[#This Row],[24Bldg]])/Sales[[#This Row],[24Bldg]],0)</f>
        <v>-3.8266068759342305E-2</v>
      </c>
      <c r="CY137" s="10">
        <f>(Sales[[#This Row],[Adjusted Land Total]]-Sales[[#This Row],[24Lnd]])/Sales[[#This Row],[24Lnd]]</f>
        <v>1.6207455429497568E-3</v>
      </c>
      <c r="CZ137">
        <f>(Sales[[#This Row],[Adjusted Total]]-Sales[[#This Row],[24Final]])/Sales[[#This Row],[24Final]]</f>
        <v>-3.2054517920242304E-2</v>
      </c>
      <c r="DA137" s="10">
        <f>(Sales[[#This Row],[Adjusted Total]]+Sales[[#This Row],[Days Prior Total]])/Sales[[#This Row],[Price]]</f>
        <v>1.076227033867585</v>
      </c>
    </row>
    <row r="138" spans="1:105">
      <c r="A138">
        <v>2025</v>
      </c>
      <c r="B138">
        <v>19133541436</v>
      </c>
      <c r="C138">
        <v>-1.7719568419318752</v>
      </c>
      <c r="D138">
        <v>0.17</v>
      </c>
      <c r="E138">
        <v>7245</v>
      </c>
      <c r="F138">
        <v>2</v>
      </c>
      <c r="G138" t="s">
        <v>155</v>
      </c>
      <c r="H138">
        <v>317</v>
      </c>
      <c r="I138" t="s">
        <v>5</v>
      </c>
      <c r="J138" t="s">
        <v>212</v>
      </c>
      <c r="K138">
        <v>11</v>
      </c>
      <c r="L138">
        <v>259</v>
      </c>
      <c r="M138" t="s">
        <v>157</v>
      </c>
      <c r="N138" t="s">
        <v>21</v>
      </c>
      <c r="O138" t="s">
        <v>24</v>
      </c>
      <c r="P138">
        <v>2021</v>
      </c>
      <c r="Q138">
        <v>2021</v>
      </c>
      <c r="R138">
        <v>10</v>
      </c>
      <c r="S138">
        <v>3</v>
      </c>
      <c r="T138">
        <v>3</v>
      </c>
      <c r="U138">
        <v>1</v>
      </c>
      <c r="V138">
        <v>2010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2010</v>
      </c>
      <c r="AC138">
        <v>2500</v>
      </c>
      <c r="AD138">
        <v>2</v>
      </c>
      <c r="AE138" t="s">
        <v>57</v>
      </c>
      <c r="AF138" t="s">
        <v>158</v>
      </c>
      <c r="AG138" t="s">
        <v>27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11</v>
      </c>
      <c r="AO138">
        <v>424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100</v>
      </c>
      <c r="AV138">
        <v>100</v>
      </c>
      <c r="AW138">
        <v>389661</v>
      </c>
      <c r="AX138">
        <v>385764</v>
      </c>
      <c r="AY138">
        <v>803</v>
      </c>
      <c r="AZ138">
        <v>365</v>
      </c>
      <c r="BA138">
        <v>365</v>
      </c>
      <c r="BB138">
        <v>73</v>
      </c>
      <c r="BC138" s="2">
        <v>44489</v>
      </c>
      <c r="BD138" t="s">
        <v>297</v>
      </c>
      <c r="BE138">
        <v>395055</v>
      </c>
      <c r="BF138">
        <v>395055</v>
      </c>
      <c r="BG138" t="s">
        <v>160</v>
      </c>
      <c r="BH138">
        <v>30</v>
      </c>
      <c r="BI138" t="s">
        <v>56</v>
      </c>
      <c r="BJ138" t="s">
        <v>161</v>
      </c>
      <c r="BK138">
        <v>410100</v>
      </c>
      <c r="BL138">
        <v>61700</v>
      </c>
      <c r="BM138">
        <v>348400</v>
      </c>
      <c r="BN138">
        <v>0</v>
      </c>
      <c r="BO138">
        <v>384257.75679804763</v>
      </c>
      <c r="BP138">
        <v>422125.03741624637</v>
      </c>
      <c r="BQ138">
        <f>(Sales[[#This Row],[DP1]]*Lookups!$B$61)+(Sales[[#This Row],[DP2]]*Lookups!$B$62)+(Sales[[#This Row],[DP3]]*Lookups!$B$63)</f>
        <v>-37867.278831000003</v>
      </c>
      <c r="BR138">
        <f>Lookups!$B$58*0.6</f>
        <v>132535.48800000001</v>
      </c>
      <c r="BS138">
        <f>Lookups!$B$58*0.4</f>
        <v>88356.992000000013</v>
      </c>
      <c r="BT138">
        <f>Lookups!$B$59*Sales[[#This Row],[LnAcres]]</f>
        <v>-23255.730391660189</v>
      </c>
      <c r="BU138">
        <f>VLOOKUP(Sales[[#This Row],[Qlty]],Lookups!$A$66:$E$79,2,FALSE)</f>
        <v>32917.849192000001</v>
      </c>
      <c r="BV138">
        <f>VLOOKUP(Sales[[#This Row],[Cnd]],Lookups!$A$80:$E$91,2,FALSE)</f>
        <v>47371.278778200001</v>
      </c>
      <c r="BW138">
        <f>Sales[[#This Row],[EffAge]]*Lookups!$B$65</f>
        <v>-326.22329999999999</v>
      </c>
      <c r="BX138">
        <f>Sales[[#This Row],[MainFn]]*Lookups!$B$90</f>
        <v>125444.86380000001</v>
      </c>
      <c r="BY138">
        <f>Sales[[#This Row],[UpprFn]]*Lookups!$B$91</f>
        <v>0</v>
      </c>
      <c r="BZ138">
        <f>Sales[[#This Row],[Bsmt]]*Lookups!$B$95</f>
        <v>0</v>
      </c>
      <c r="CA138">
        <f>VLOOKUP(Sales[[#This Row],[MsnryTrim]],Lookups!$A$90:$E$99,2,FALSE)</f>
        <v>4112.8784489</v>
      </c>
      <c r="CB138">
        <f>Sales[[#This Row],[PrefabFP]]*Lookups!$B$92</f>
        <v>0</v>
      </c>
      <c r="CC138">
        <f>Sales[[#This Row],[AttGar]]*Lookups!$B$93</f>
        <v>14967.637144</v>
      </c>
      <c r="CD138">
        <f>Sales[[#This Row],[BltinGar]]*Lookups!$B$94</f>
        <v>0</v>
      </c>
      <c r="CE138">
        <f>SUM(Sales[[#This Row],[Days Prior Total]:[Mdl BltinGar]])</f>
        <v>384257.75484043983</v>
      </c>
      <c r="CF138">
        <f>ROUND(Sales[[#This Row],[25Det]],-2)</f>
        <v>0</v>
      </c>
      <c r="CG138">
        <f>ROUND(SUM(Sales[[#This Row],[Mdl Qlty]:[Mdl BltinGar]])+Sales[[#This Row],[Mdl Res Intercept]]+Sales[[#This Row],[Days Prior Total]],-2)</f>
        <v>319200</v>
      </c>
      <c r="CH138">
        <f>ROUND(Sales[[#This Row],[Mdl Land Intercept]]+Sales[[#This Row],[Mdl LnAcres]],-2)</f>
        <v>65100</v>
      </c>
      <c r="CI138">
        <f>Sales[[#This Row],[Unadj Res Value]]+Sales[[#This Row],[Unadj Det Value]]+Sales[[#This Row],[Unadj Land Value]]</f>
        <v>384300</v>
      </c>
      <c r="CJ138" s="10">
        <f>Sales[[#This Row],[Price]]/Sales[[#This Row],[Unadj Total Value]]</f>
        <v>1.0279859484777518</v>
      </c>
      <c r="CK138" s="10">
        <f>(Sales[[#This Row],[Unadj Total Value]]-Sales[[#This Row],[24Final]])/Sales[[#This Row],[24Final]]</f>
        <v>-6.2911485003657647E-2</v>
      </c>
      <c r="CL138">
        <f>VLOOKUP(Sales[[#This Row],[TNbhd]],Lookups!$M$3:$P$5,4,FALSE)</f>
        <v>0.99970000000000003</v>
      </c>
      <c r="CM138">
        <f>VLOOKUP(Sales[[#This Row],[Qlty]],Lookups!$M$8:$P$22,4,FALSE)</f>
        <v>1.0019</v>
      </c>
      <c r="CN138">
        <f>VLOOKUP(Sales[[#This Row],[Cnd]],Lookups!$R$8:$U$17,4,FALSE)</f>
        <v>1.0012000000000001</v>
      </c>
      <c r="CO138">
        <f>VLOOKUP(Sales[[#This Row],[LivArea Range]],Lookups!$R$25:$U$43,4,FALSE)</f>
        <v>1.0008999999999999</v>
      </c>
      <c r="CP138">
        <f>VLOOKUP(Sales[[#This Row],[Decade]],Lookups!$M$24:$P$40,4,FALSE)</f>
        <v>1.0024</v>
      </c>
      <c r="CQ138">
        <f>Sales[[#This Row],[Nbhd Adj]]*0.95</f>
        <v>0.94971499999999998</v>
      </c>
      <c r="CR138">
        <f>Sales[[#This Row],[Nbhd Adj]]*Sales[[#This Row],[Quality Adj]]*Sales[[#This Row],[Condition Adj]]*Sales[[#This Row],[Living Area Adj]]*Sales[[#This Row],[Decade Adj]]*0.95</f>
        <v>0.95580712182867422</v>
      </c>
      <c r="CS138">
        <f>ROUND(SUM(Sales[[#This Row],[Mdl Qlty]:[Mdl BltinGar]])+Sales[[#This Row],[Mdl Res Intercept]]*Sales[[#This Row],[Res Adj ]],-2)</f>
        <v>351200</v>
      </c>
      <c r="CT138">
        <f>ROUND(Sales[[#This Row],[25Det]]*Sales[[#This Row],[Det/Nbhd Adj]],-2)</f>
        <v>0</v>
      </c>
      <c r="CU138">
        <f>Sales[[#This Row],[Adjusted Res]]+Sales[[#This Row],[Adj Det ]]</f>
        <v>351200</v>
      </c>
      <c r="CV138">
        <f>ROUND((Sales[[#This Row],[Mdl Land Intercept]]+Sales[[#This Row],[Mdl LnAcres]])*Sales[[#This Row],[Det/Nbhd Adj]],-2)</f>
        <v>61800</v>
      </c>
      <c r="CW138">
        <f>Sales[[#This Row],[Adjusted Impr Total]]+Sales[[#This Row],[Adjusted Land Total]]</f>
        <v>413000</v>
      </c>
      <c r="CX138" s="10">
        <f>IFERROR((Sales[[#This Row],[Adjusted Impr Total]]-Sales[[#This Row],[24Bldg]])/Sales[[#This Row],[24Bldg]],0)</f>
        <v>8.0367393800229621E-3</v>
      </c>
      <c r="CY138" s="10">
        <f>(Sales[[#This Row],[Adjusted Land Total]]-Sales[[#This Row],[24Lnd]])/Sales[[#This Row],[24Lnd]]</f>
        <v>1.6207455429497568E-3</v>
      </c>
      <c r="CZ138">
        <f>(Sales[[#This Row],[Adjusted Total]]-Sales[[#This Row],[24Final]])/Sales[[#This Row],[24Final]]</f>
        <v>7.0714459887832237E-3</v>
      </c>
      <c r="DA138" s="10">
        <f>(Sales[[#This Row],[Adjusted Total]]+Sales[[#This Row],[Days Prior Total]])/Sales[[#This Row],[Price]]</f>
        <v>0.94957087283795938</v>
      </c>
    </row>
    <row r="139" spans="1:105">
      <c r="A139">
        <v>2025</v>
      </c>
      <c r="B139">
        <v>19133541437</v>
      </c>
      <c r="C139">
        <v>-1.7719568419318752</v>
      </c>
      <c r="D139">
        <v>0.17</v>
      </c>
      <c r="E139">
        <v>7245</v>
      </c>
      <c r="F139">
        <v>2</v>
      </c>
      <c r="G139" t="s">
        <v>155</v>
      </c>
      <c r="H139">
        <v>317</v>
      </c>
      <c r="I139" t="s">
        <v>5</v>
      </c>
      <c r="J139" t="s">
        <v>212</v>
      </c>
      <c r="K139">
        <v>11</v>
      </c>
      <c r="L139">
        <v>259</v>
      </c>
      <c r="M139" t="s">
        <v>157</v>
      </c>
      <c r="N139" t="s">
        <v>21</v>
      </c>
      <c r="O139" t="s">
        <v>24</v>
      </c>
      <c r="P139">
        <v>2021</v>
      </c>
      <c r="Q139">
        <v>2021</v>
      </c>
      <c r="R139">
        <v>10</v>
      </c>
      <c r="S139">
        <v>3</v>
      </c>
      <c r="T139">
        <v>3</v>
      </c>
      <c r="U139">
        <v>1</v>
      </c>
      <c r="V139">
        <v>1740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1740</v>
      </c>
      <c r="AC139">
        <v>2000</v>
      </c>
      <c r="AD139">
        <v>2</v>
      </c>
      <c r="AE139" t="s">
        <v>56</v>
      </c>
      <c r="AF139" t="s">
        <v>158</v>
      </c>
      <c r="AG139" t="s">
        <v>27</v>
      </c>
      <c r="AI139">
        <v>0</v>
      </c>
      <c r="AJ139">
        <v>0</v>
      </c>
      <c r="AK139">
        <v>0</v>
      </c>
      <c r="AL139">
        <v>1</v>
      </c>
      <c r="AM139">
        <v>0</v>
      </c>
      <c r="AN139">
        <v>10</v>
      </c>
      <c r="AO139">
        <v>450</v>
      </c>
      <c r="AP139">
        <v>0</v>
      </c>
      <c r="AQ139">
        <v>0</v>
      </c>
      <c r="AR139">
        <v>0</v>
      </c>
      <c r="AS139">
        <v>144</v>
      </c>
      <c r="AT139">
        <v>0</v>
      </c>
      <c r="AU139">
        <v>100</v>
      </c>
      <c r="AV139">
        <v>100</v>
      </c>
      <c r="AW139">
        <v>339934</v>
      </c>
      <c r="AX139">
        <v>336535</v>
      </c>
      <c r="AY139">
        <v>899</v>
      </c>
      <c r="AZ139">
        <v>365</v>
      </c>
      <c r="BA139">
        <v>365</v>
      </c>
      <c r="BB139">
        <v>169</v>
      </c>
      <c r="BC139" s="2">
        <v>44393</v>
      </c>
      <c r="BD139" t="s">
        <v>298</v>
      </c>
      <c r="BE139">
        <v>306590</v>
      </c>
      <c r="BF139">
        <v>306590</v>
      </c>
      <c r="BG139" t="s">
        <v>160</v>
      </c>
      <c r="BH139">
        <v>30</v>
      </c>
      <c r="BI139" t="s">
        <v>56</v>
      </c>
      <c r="BJ139" t="s">
        <v>161</v>
      </c>
      <c r="BK139">
        <v>385200</v>
      </c>
      <c r="BL139">
        <v>61700</v>
      </c>
      <c r="BM139">
        <v>323500</v>
      </c>
      <c r="BN139">
        <v>0</v>
      </c>
      <c r="BO139">
        <v>332815.2566937512</v>
      </c>
      <c r="BP139">
        <v>392666.48053641163</v>
      </c>
      <c r="BQ139">
        <f>(Sales[[#This Row],[DP1]]*Lookups!$B$61)+(Sales[[#This Row],[DP2]]*Lookups!$B$62)+(Sales[[#This Row],[DP3]]*Lookups!$B$63)</f>
        <v>-59851.221231000003</v>
      </c>
      <c r="BR139">
        <f>Lookups!$B$58*0.6</f>
        <v>132535.48800000001</v>
      </c>
      <c r="BS139">
        <f>Lookups!$B$58*0.4</f>
        <v>88356.992000000013</v>
      </c>
      <c r="BT139">
        <f>Lookups!$B$59*Sales[[#This Row],[LnAcres]]</f>
        <v>-23255.730391660189</v>
      </c>
      <c r="BU139">
        <f>VLOOKUP(Sales[[#This Row],[Qlty]],Lookups!$A$66:$E$79,2,FALSE)</f>
        <v>32917.849192000001</v>
      </c>
      <c r="BV139">
        <f>VLOOKUP(Sales[[#This Row],[Cnd]],Lookups!$A$80:$E$91,2,FALSE)</f>
        <v>47371.278778200001</v>
      </c>
      <c r="BW139">
        <f>Sales[[#This Row],[EffAge]]*Lookups!$B$65</f>
        <v>-326.22329999999999</v>
      </c>
      <c r="BX139">
        <f>Sales[[#This Row],[MainFn]]*Lookups!$B$90</f>
        <v>108594.06120000001</v>
      </c>
      <c r="BY139">
        <f>Sales[[#This Row],[UpprFn]]*Lookups!$B$91</f>
        <v>0</v>
      </c>
      <c r="BZ139">
        <f>Sales[[#This Row],[Bsmt]]*Lookups!$B$95</f>
        <v>0</v>
      </c>
      <c r="CA139">
        <f>VLOOKUP(Sales[[#This Row],[MsnryTrim]],Lookups!$A$90:$E$99,2,FALSE)</f>
        <v>-9412.7029999999995</v>
      </c>
      <c r="CB139">
        <f>Sales[[#This Row],[PrefabFP]]*Lookups!$B$92</f>
        <v>0</v>
      </c>
      <c r="CC139">
        <f>Sales[[#This Row],[AttGar]]*Lookups!$B$93</f>
        <v>15885.463950000001</v>
      </c>
      <c r="CD139">
        <f>Sales[[#This Row],[BltinGar]]*Lookups!$B$94</f>
        <v>0</v>
      </c>
      <c r="CE139">
        <f>SUM(Sales[[#This Row],[Days Prior Total]:[Mdl BltinGar]])</f>
        <v>332815.25519753987</v>
      </c>
      <c r="CF139">
        <f>ROUND(Sales[[#This Row],[25Det]],-2)</f>
        <v>0</v>
      </c>
      <c r="CG139">
        <f>ROUND(SUM(Sales[[#This Row],[Mdl Qlty]:[Mdl BltinGar]])+Sales[[#This Row],[Mdl Res Intercept]]+Sales[[#This Row],[Days Prior Total]],-2)</f>
        <v>267700</v>
      </c>
      <c r="CH139">
        <f>ROUND(Sales[[#This Row],[Mdl Land Intercept]]+Sales[[#This Row],[Mdl LnAcres]],-2)</f>
        <v>65100</v>
      </c>
      <c r="CI139">
        <f>Sales[[#This Row],[Unadj Res Value]]+Sales[[#This Row],[Unadj Det Value]]+Sales[[#This Row],[Unadj Land Value]]</f>
        <v>332800</v>
      </c>
      <c r="CJ139" s="10">
        <f>Sales[[#This Row],[Price]]/Sales[[#This Row],[Unadj Total Value]]</f>
        <v>0.92124399038461535</v>
      </c>
      <c r="CK139" s="10">
        <f>(Sales[[#This Row],[Unadj Total Value]]-Sales[[#This Row],[24Final]])/Sales[[#This Row],[24Final]]</f>
        <v>-0.13603322949117341</v>
      </c>
      <c r="CL139">
        <f>VLOOKUP(Sales[[#This Row],[TNbhd]],Lookups!$M$3:$P$5,4,FALSE)</f>
        <v>0.99970000000000003</v>
      </c>
      <c r="CM139">
        <f>VLOOKUP(Sales[[#This Row],[Qlty]],Lookups!$M$8:$P$22,4,FALSE)</f>
        <v>1.0019</v>
      </c>
      <c r="CN139">
        <f>VLOOKUP(Sales[[#This Row],[Cnd]],Lookups!$R$8:$U$17,4,FALSE)</f>
        <v>1.0012000000000001</v>
      </c>
      <c r="CO139">
        <f>VLOOKUP(Sales[[#This Row],[LivArea Range]],Lookups!$R$25:$U$43,4,FALSE)</f>
        <v>1.0007999999999999</v>
      </c>
      <c r="CP139">
        <f>VLOOKUP(Sales[[#This Row],[Decade]],Lookups!$M$24:$P$40,4,FALSE)</f>
        <v>1.0024</v>
      </c>
      <c r="CQ139">
        <f>Sales[[#This Row],[Nbhd Adj]]*0.95</f>
        <v>0.94971499999999998</v>
      </c>
      <c r="CR139">
        <f>Sales[[#This Row],[Nbhd Adj]]*Sales[[#This Row],[Quality Adj]]*Sales[[#This Row],[Condition Adj]]*Sales[[#This Row],[Living Area Adj]]*Sales[[#This Row],[Decade Adj]]*0.95</f>
        <v>0.95571162706178159</v>
      </c>
      <c r="CS139">
        <f>ROUND(SUM(Sales[[#This Row],[Mdl Qlty]:[Mdl BltinGar]])+Sales[[#This Row],[Mdl Res Intercept]]*Sales[[#This Row],[Res Adj ]],-2)</f>
        <v>321700</v>
      </c>
      <c r="CT139">
        <f>ROUND(Sales[[#This Row],[25Det]]*Sales[[#This Row],[Det/Nbhd Adj]],-2)</f>
        <v>0</v>
      </c>
      <c r="CU139">
        <f>Sales[[#This Row],[Adjusted Res]]+Sales[[#This Row],[Adj Det ]]</f>
        <v>321700</v>
      </c>
      <c r="CV139">
        <f>ROUND((Sales[[#This Row],[Mdl Land Intercept]]+Sales[[#This Row],[Mdl LnAcres]])*Sales[[#This Row],[Det/Nbhd Adj]],-2)</f>
        <v>61800</v>
      </c>
      <c r="CW139">
        <f>Sales[[#This Row],[Adjusted Impr Total]]+Sales[[#This Row],[Adjusted Land Total]]</f>
        <v>383500</v>
      </c>
      <c r="CX139" s="10">
        <f>IFERROR((Sales[[#This Row],[Adjusted Impr Total]]-Sales[[#This Row],[24Bldg]])/Sales[[#This Row],[24Bldg]],0)</f>
        <v>-5.5641421947449764E-3</v>
      </c>
      <c r="CY139" s="10">
        <f>(Sales[[#This Row],[Adjusted Land Total]]-Sales[[#This Row],[24Lnd]])/Sales[[#This Row],[24Lnd]]</f>
        <v>1.6207455429497568E-3</v>
      </c>
      <c r="CZ139">
        <f>(Sales[[#This Row],[Adjusted Total]]-Sales[[#This Row],[24Final]])/Sales[[#This Row],[24Final]]</f>
        <v>-4.4132917964693668E-3</v>
      </c>
      <c r="DA139" s="10">
        <f>(Sales[[#This Row],[Adjusted Total]]+Sales[[#This Row],[Days Prior Total]])/Sales[[#This Row],[Price]]</f>
        <v>1.0556403625982582</v>
      </c>
    </row>
    <row r="140" spans="1:105">
      <c r="A140">
        <v>2025</v>
      </c>
      <c r="B140">
        <v>19133541438</v>
      </c>
      <c r="C140">
        <v>-1.7719568419318752</v>
      </c>
      <c r="D140">
        <v>0.17</v>
      </c>
      <c r="E140">
        <v>7245</v>
      </c>
      <c r="F140">
        <v>2</v>
      </c>
      <c r="G140" t="s">
        <v>155</v>
      </c>
      <c r="H140">
        <v>317</v>
      </c>
      <c r="I140" t="s">
        <v>5</v>
      </c>
      <c r="J140" t="s">
        <v>212</v>
      </c>
      <c r="K140">
        <v>11</v>
      </c>
      <c r="L140">
        <v>259</v>
      </c>
      <c r="M140" t="s">
        <v>157</v>
      </c>
      <c r="N140" t="s">
        <v>21</v>
      </c>
      <c r="O140" t="s">
        <v>24</v>
      </c>
      <c r="P140">
        <v>2021</v>
      </c>
      <c r="Q140">
        <v>2021</v>
      </c>
      <c r="R140">
        <v>10</v>
      </c>
      <c r="S140">
        <v>3</v>
      </c>
      <c r="T140">
        <v>3</v>
      </c>
      <c r="U140">
        <v>2</v>
      </c>
      <c r="V140">
        <v>780</v>
      </c>
      <c r="W140">
        <v>1080</v>
      </c>
      <c r="X140">
        <v>0</v>
      </c>
      <c r="Y140">
        <v>0</v>
      </c>
      <c r="Z140">
        <v>0</v>
      </c>
      <c r="AA140">
        <v>0</v>
      </c>
      <c r="AB140">
        <v>1860</v>
      </c>
      <c r="AC140">
        <v>2000</v>
      </c>
      <c r="AD140">
        <v>2</v>
      </c>
      <c r="AE140" t="s">
        <v>56</v>
      </c>
      <c r="AF140" t="s">
        <v>158</v>
      </c>
      <c r="AG140" t="s">
        <v>27</v>
      </c>
      <c r="AI140">
        <v>0</v>
      </c>
      <c r="AJ140">
        <v>0</v>
      </c>
      <c r="AK140">
        <v>1</v>
      </c>
      <c r="AL140">
        <v>1</v>
      </c>
      <c r="AM140">
        <v>1</v>
      </c>
      <c r="AN140">
        <v>13</v>
      </c>
      <c r="AO140">
        <v>0</v>
      </c>
      <c r="AP140">
        <v>420</v>
      </c>
      <c r="AQ140">
        <v>0</v>
      </c>
      <c r="AR140">
        <v>0</v>
      </c>
      <c r="AS140">
        <v>144</v>
      </c>
      <c r="AT140">
        <v>0</v>
      </c>
      <c r="AU140">
        <v>100</v>
      </c>
      <c r="AV140">
        <v>100</v>
      </c>
      <c r="AW140">
        <v>348311</v>
      </c>
      <c r="AX140">
        <v>344828</v>
      </c>
      <c r="AY140">
        <v>907</v>
      </c>
      <c r="AZ140">
        <v>365</v>
      </c>
      <c r="BA140">
        <v>365</v>
      </c>
      <c r="BB140">
        <v>177</v>
      </c>
      <c r="BC140" s="2">
        <v>44385</v>
      </c>
      <c r="BD140" t="s">
        <v>299</v>
      </c>
      <c r="BE140">
        <v>326430</v>
      </c>
      <c r="BF140">
        <v>326430</v>
      </c>
      <c r="BG140" t="s">
        <v>160</v>
      </c>
      <c r="BH140">
        <v>30</v>
      </c>
      <c r="BI140" t="s">
        <v>56</v>
      </c>
      <c r="BJ140" t="s">
        <v>161</v>
      </c>
      <c r="BK140">
        <v>396900</v>
      </c>
      <c r="BL140">
        <v>61700</v>
      </c>
      <c r="BM140">
        <v>335200</v>
      </c>
      <c r="BN140">
        <v>0</v>
      </c>
      <c r="BO140">
        <v>350084.40654977201</v>
      </c>
      <c r="BP140">
        <v>411767.62566113763</v>
      </c>
      <c r="BQ140">
        <f>(Sales[[#This Row],[DP1]]*Lookups!$B$61)+(Sales[[#This Row],[DP2]]*Lookups!$B$62)+(Sales[[#This Row],[DP3]]*Lookups!$B$63)</f>
        <v>-61683.216430999993</v>
      </c>
      <c r="BR140">
        <f>Lookups!$B$58*0.6</f>
        <v>132535.48800000001</v>
      </c>
      <c r="BS140">
        <f>Lookups!$B$58*0.4</f>
        <v>88356.992000000013</v>
      </c>
      <c r="BT140">
        <f>Lookups!$B$59*Sales[[#This Row],[LnAcres]]</f>
        <v>-23255.730391660189</v>
      </c>
      <c r="BU140">
        <f>VLOOKUP(Sales[[#This Row],[Qlty]],Lookups!$A$66:$E$79,2,FALSE)</f>
        <v>32917.849192000001</v>
      </c>
      <c r="BV140">
        <f>VLOOKUP(Sales[[#This Row],[Cnd]],Lookups!$A$80:$E$91,2,FALSE)</f>
        <v>47371.278778200001</v>
      </c>
      <c r="BW140">
        <f>Sales[[#This Row],[EffAge]]*Lookups!$B$65</f>
        <v>-326.22329999999999</v>
      </c>
      <c r="BX140">
        <f>Sales[[#This Row],[MainFn]]*Lookups!$B$90</f>
        <v>48680.096400000002</v>
      </c>
      <c r="BY140">
        <f>Sales[[#This Row],[UpprFn]]*Lookups!$B$91</f>
        <v>64346.81364</v>
      </c>
      <c r="BZ140">
        <f>Sales[[#This Row],[Bsmt]]*Lookups!$B$95</f>
        <v>0</v>
      </c>
      <c r="CA140">
        <f>VLOOKUP(Sales[[#This Row],[MsnryTrim]],Lookups!$A$90:$E$99,2,FALSE)</f>
        <v>-9412.7029999999995</v>
      </c>
      <c r="CB140">
        <f>Sales[[#This Row],[PrefabFP]]*Lookups!$B$92</f>
        <v>9807.1044999999995</v>
      </c>
      <c r="CC140">
        <f>Sales[[#This Row],[AttGar]]*Lookups!$B$93</f>
        <v>0</v>
      </c>
      <c r="CD140">
        <f>Sales[[#This Row],[BltinGar]]*Lookups!$B$94</f>
        <v>20746.655999999999</v>
      </c>
      <c r="CE140">
        <f>SUM(Sales[[#This Row],[Days Prior Total]:[Mdl BltinGar]])</f>
        <v>350084.40538753988</v>
      </c>
      <c r="CF140">
        <f>ROUND(Sales[[#This Row],[25Det]],-2)</f>
        <v>0</v>
      </c>
      <c r="CG140">
        <f>ROUND(SUM(Sales[[#This Row],[Mdl Qlty]:[Mdl BltinGar]])+Sales[[#This Row],[Mdl Res Intercept]]+Sales[[#This Row],[Days Prior Total]],-2)</f>
        <v>285000</v>
      </c>
      <c r="CH140">
        <f>ROUND(Sales[[#This Row],[Mdl Land Intercept]]+Sales[[#This Row],[Mdl LnAcres]],-2)</f>
        <v>65100</v>
      </c>
      <c r="CI140">
        <f>Sales[[#This Row],[Unadj Res Value]]+Sales[[#This Row],[Unadj Det Value]]+Sales[[#This Row],[Unadj Land Value]]</f>
        <v>350100</v>
      </c>
      <c r="CJ140" s="10">
        <f>Sales[[#This Row],[Price]]/Sales[[#This Row],[Unadj Total Value]]</f>
        <v>0.93239074550128531</v>
      </c>
      <c r="CK140" s="10">
        <f>(Sales[[#This Row],[Unadj Total Value]]-Sales[[#This Row],[24Final]])/Sales[[#This Row],[24Final]]</f>
        <v>-0.11791383219954649</v>
      </c>
      <c r="CL140">
        <f>VLOOKUP(Sales[[#This Row],[TNbhd]],Lookups!$M$3:$P$5,4,FALSE)</f>
        <v>0.99970000000000003</v>
      </c>
      <c r="CM140">
        <f>VLOOKUP(Sales[[#This Row],[Qlty]],Lookups!$M$8:$P$22,4,FALSE)</f>
        <v>1.0019</v>
      </c>
      <c r="CN140">
        <f>VLOOKUP(Sales[[#This Row],[Cnd]],Lookups!$R$8:$U$17,4,FALSE)</f>
        <v>1.0012000000000001</v>
      </c>
      <c r="CO140">
        <f>VLOOKUP(Sales[[#This Row],[LivArea Range]],Lookups!$R$25:$U$43,4,FALSE)</f>
        <v>1.0007999999999999</v>
      </c>
      <c r="CP140">
        <f>VLOOKUP(Sales[[#This Row],[Decade]],Lookups!$M$24:$P$40,4,FALSE)</f>
        <v>1.0024</v>
      </c>
      <c r="CQ140">
        <f>Sales[[#This Row],[Nbhd Adj]]*0.95</f>
        <v>0.94971499999999998</v>
      </c>
      <c r="CR140">
        <f>Sales[[#This Row],[Nbhd Adj]]*Sales[[#This Row],[Quality Adj]]*Sales[[#This Row],[Condition Adj]]*Sales[[#This Row],[Living Area Adj]]*Sales[[#This Row],[Decade Adj]]*0.95</f>
        <v>0.95571162706178159</v>
      </c>
      <c r="CS140">
        <f>ROUND(SUM(Sales[[#This Row],[Mdl Qlty]:[Mdl BltinGar]])+Sales[[#This Row],[Mdl Res Intercept]]*Sales[[#This Row],[Res Adj ]],-2)</f>
        <v>340800</v>
      </c>
      <c r="CT140">
        <f>ROUND(Sales[[#This Row],[25Det]]*Sales[[#This Row],[Det/Nbhd Adj]],-2)</f>
        <v>0</v>
      </c>
      <c r="CU140">
        <f>Sales[[#This Row],[Adjusted Res]]+Sales[[#This Row],[Adj Det ]]</f>
        <v>340800</v>
      </c>
      <c r="CV140">
        <f>ROUND((Sales[[#This Row],[Mdl Land Intercept]]+Sales[[#This Row],[Mdl LnAcres]])*Sales[[#This Row],[Det/Nbhd Adj]],-2)</f>
        <v>61800</v>
      </c>
      <c r="CW140">
        <f>Sales[[#This Row],[Adjusted Impr Total]]+Sales[[#This Row],[Adjusted Land Total]]</f>
        <v>402600</v>
      </c>
      <c r="CX140" s="10">
        <f>IFERROR((Sales[[#This Row],[Adjusted Impr Total]]-Sales[[#This Row],[24Bldg]])/Sales[[#This Row],[24Bldg]],0)</f>
        <v>1.6706443914081145E-2</v>
      </c>
      <c r="CY140" s="10">
        <f>(Sales[[#This Row],[Adjusted Land Total]]-Sales[[#This Row],[24Lnd]])/Sales[[#This Row],[24Lnd]]</f>
        <v>1.6207455429497568E-3</v>
      </c>
      <c r="CZ140">
        <f>(Sales[[#This Row],[Adjusted Total]]-Sales[[#This Row],[24Final]])/Sales[[#This Row],[24Final]]</f>
        <v>1.436130007558579E-2</v>
      </c>
      <c r="DA140" s="10">
        <f>(Sales[[#This Row],[Adjusted Total]]+Sales[[#This Row],[Days Prior Total]])/Sales[[#This Row],[Price]]</f>
        <v>1.0443794490978158</v>
      </c>
    </row>
    <row r="141" spans="1:105">
      <c r="A141">
        <v>2025</v>
      </c>
      <c r="B141">
        <v>19133541439</v>
      </c>
      <c r="C141">
        <v>-1.7719568419318752</v>
      </c>
      <c r="D141">
        <v>0.17</v>
      </c>
      <c r="E141">
        <v>7245</v>
      </c>
      <c r="F141">
        <v>2</v>
      </c>
      <c r="G141" t="s">
        <v>155</v>
      </c>
      <c r="H141">
        <v>317</v>
      </c>
      <c r="I141" t="s">
        <v>5</v>
      </c>
      <c r="J141" t="s">
        <v>212</v>
      </c>
      <c r="K141">
        <v>11</v>
      </c>
      <c r="L141">
        <v>259</v>
      </c>
      <c r="M141" t="s">
        <v>157</v>
      </c>
      <c r="N141" t="s">
        <v>21</v>
      </c>
      <c r="O141" t="s">
        <v>24</v>
      </c>
      <c r="P141">
        <v>2021</v>
      </c>
      <c r="Q141">
        <v>2021</v>
      </c>
      <c r="R141">
        <v>10</v>
      </c>
      <c r="S141">
        <v>3</v>
      </c>
      <c r="T141">
        <v>3</v>
      </c>
      <c r="U141">
        <v>2</v>
      </c>
      <c r="V141">
        <v>1111</v>
      </c>
      <c r="W141">
        <v>1126</v>
      </c>
      <c r="X141">
        <v>0</v>
      </c>
      <c r="Y141">
        <v>0</v>
      </c>
      <c r="Z141">
        <v>0</v>
      </c>
      <c r="AA141">
        <v>0</v>
      </c>
      <c r="AB141">
        <v>2237</v>
      </c>
      <c r="AC141">
        <v>2500</v>
      </c>
      <c r="AD141">
        <v>2</v>
      </c>
      <c r="AE141" t="s">
        <v>56</v>
      </c>
      <c r="AF141" t="s">
        <v>158</v>
      </c>
      <c r="AG141" t="s">
        <v>27</v>
      </c>
      <c r="AI141">
        <v>0</v>
      </c>
      <c r="AJ141">
        <v>0</v>
      </c>
      <c r="AK141">
        <v>0</v>
      </c>
      <c r="AL141">
        <v>0</v>
      </c>
      <c r="AM141">
        <v>1</v>
      </c>
      <c r="AN141">
        <v>13</v>
      </c>
      <c r="AO141">
        <v>455</v>
      </c>
      <c r="AP141">
        <v>0</v>
      </c>
      <c r="AQ141">
        <v>0</v>
      </c>
      <c r="AR141">
        <v>0</v>
      </c>
      <c r="AS141">
        <v>144</v>
      </c>
      <c r="AT141">
        <v>0</v>
      </c>
      <c r="AU141">
        <v>100</v>
      </c>
      <c r="AV141">
        <v>100</v>
      </c>
      <c r="AW141">
        <v>403514</v>
      </c>
      <c r="AX141">
        <v>399479</v>
      </c>
      <c r="AY141">
        <v>845</v>
      </c>
      <c r="AZ141">
        <v>365</v>
      </c>
      <c r="BA141">
        <v>365</v>
      </c>
      <c r="BB141">
        <v>115</v>
      </c>
      <c r="BC141" s="2">
        <v>44447</v>
      </c>
      <c r="BD141" t="s">
        <v>300</v>
      </c>
      <c r="BE141">
        <v>335800</v>
      </c>
      <c r="BF141">
        <v>335800</v>
      </c>
      <c r="BG141" t="s">
        <v>160</v>
      </c>
      <c r="BH141">
        <v>30</v>
      </c>
      <c r="BI141" t="s">
        <v>56</v>
      </c>
      <c r="BJ141" t="s">
        <v>161</v>
      </c>
      <c r="BK141">
        <v>424700</v>
      </c>
      <c r="BL141">
        <v>61700</v>
      </c>
      <c r="BM141">
        <v>363000</v>
      </c>
      <c r="BN141">
        <v>0</v>
      </c>
      <c r="BO141">
        <v>373189.11181377317</v>
      </c>
      <c r="BP141">
        <v>420674.36759267392</v>
      </c>
      <c r="BQ141">
        <f>(Sales[[#This Row],[DP1]]*Lookups!$B$61)+(Sales[[#This Row],[DP2]]*Lookups!$B$62)+(Sales[[#This Row],[DP3]]*Lookups!$B$63)</f>
        <v>-47485.253631</v>
      </c>
      <c r="BR141">
        <f>Lookups!$B$58*0.6</f>
        <v>132535.48800000001</v>
      </c>
      <c r="BS141">
        <f>Lookups!$B$58*0.4</f>
        <v>88356.992000000013</v>
      </c>
      <c r="BT141">
        <f>Lookups!$B$59*Sales[[#This Row],[LnAcres]]</f>
        <v>-23255.730391660189</v>
      </c>
      <c r="BU141">
        <f>VLOOKUP(Sales[[#This Row],[Qlty]],Lookups!$A$66:$E$79,2,FALSE)</f>
        <v>32917.849192000001</v>
      </c>
      <c r="BV141">
        <f>VLOOKUP(Sales[[#This Row],[Cnd]],Lookups!$A$80:$E$91,2,FALSE)</f>
        <v>47371.278778200001</v>
      </c>
      <c r="BW141">
        <f>Sales[[#This Row],[EffAge]]*Lookups!$B$65</f>
        <v>-326.22329999999999</v>
      </c>
      <c r="BX141">
        <f>Sales[[#This Row],[MainFn]]*Lookups!$B$90</f>
        <v>69337.932180000003</v>
      </c>
      <c r="BY141">
        <f>Sales[[#This Row],[UpprFn]]*Lookups!$B$91</f>
        <v>67087.511257999999</v>
      </c>
      <c r="BZ141">
        <f>Sales[[#This Row],[Bsmt]]*Lookups!$B$95</f>
        <v>0</v>
      </c>
      <c r="CA141">
        <f>VLOOKUP(Sales[[#This Row],[MsnryTrim]],Lookups!$A$90:$E$99,2,FALSE)</f>
        <v>-9412.7029999999995</v>
      </c>
      <c r="CB141">
        <f>Sales[[#This Row],[PrefabFP]]*Lookups!$B$92</f>
        <v>0</v>
      </c>
      <c r="CC141">
        <f>Sales[[#This Row],[AttGar]]*Lookups!$B$93</f>
        <v>16061.969105</v>
      </c>
      <c r="CD141">
        <f>Sales[[#This Row],[BltinGar]]*Lookups!$B$94</f>
        <v>0</v>
      </c>
      <c r="CE141">
        <f>SUM(Sales[[#This Row],[Days Prior Total]:[Mdl BltinGar]])</f>
        <v>373189.11019053991</v>
      </c>
      <c r="CF141">
        <f>ROUND(Sales[[#This Row],[25Det]],-2)</f>
        <v>0</v>
      </c>
      <c r="CG141">
        <f>ROUND(SUM(Sales[[#This Row],[Mdl Qlty]:[Mdl BltinGar]])+Sales[[#This Row],[Mdl Res Intercept]]+Sales[[#This Row],[Days Prior Total]],-2)</f>
        <v>308100</v>
      </c>
      <c r="CH141">
        <f>ROUND(Sales[[#This Row],[Mdl Land Intercept]]+Sales[[#This Row],[Mdl LnAcres]],-2)</f>
        <v>65100</v>
      </c>
      <c r="CI141">
        <f>Sales[[#This Row],[Unadj Res Value]]+Sales[[#This Row],[Unadj Det Value]]+Sales[[#This Row],[Unadj Land Value]]</f>
        <v>373200</v>
      </c>
      <c r="CJ141" s="10">
        <f>Sales[[#This Row],[Price]]/Sales[[#This Row],[Unadj Total Value]]</f>
        <v>0.89978563772775988</v>
      </c>
      <c r="CK141" s="10">
        <f>(Sales[[#This Row],[Unadj Total Value]]-Sales[[#This Row],[24Final]])/Sales[[#This Row],[24Final]]</f>
        <v>-0.12126206734165293</v>
      </c>
      <c r="CL141">
        <f>VLOOKUP(Sales[[#This Row],[TNbhd]],Lookups!$M$3:$P$5,4,FALSE)</f>
        <v>0.99970000000000003</v>
      </c>
      <c r="CM141">
        <f>VLOOKUP(Sales[[#This Row],[Qlty]],Lookups!$M$8:$P$22,4,FALSE)</f>
        <v>1.0019</v>
      </c>
      <c r="CN141">
        <f>VLOOKUP(Sales[[#This Row],[Cnd]],Lookups!$R$8:$U$17,4,FALSE)</f>
        <v>1.0012000000000001</v>
      </c>
      <c r="CO141">
        <f>VLOOKUP(Sales[[#This Row],[LivArea Range]],Lookups!$R$25:$U$43,4,FALSE)</f>
        <v>1.0008999999999999</v>
      </c>
      <c r="CP141">
        <f>VLOOKUP(Sales[[#This Row],[Decade]],Lookups!$M$24:$P$40,4,FALSE)</f>
        <v>1.0024</v>
      </c>
      <c r="CQ141">
        <f>Sales[[#This Row],[Nbhd Adj]]*0.95</f>
        <v>0.94971499999999998</v>
      </c>
      <c r="CR141">
        <f>Sales[[#This Row],[Nbhd Adj]]*Sales[[#This Row],[Quality Adj]]*Sales[[#This Row],[Condition Adj]]*Sales[[#This Row],[Living Area Adj]]*Sales[[#This Row],[Decade Adj]]*0.95</f>
        <v>0.95580712182867422</v>
      </c>
      <c r="CS141">
        <f>ROUND(SUM(Sales[[#This Row],[Mdl Qlty]:[Mdl BltinGar]])+Sales[[#This Row],[Mdl Res Intercept]]*Sales[[#This Row],[Res Adj ]],-2)</f>
        <v>349700</v>
      </c>
      <c r="CT141">
        <f>ROUND(Sales[[#This Row],[25Det]]*Sales[[#This Row],[Det/Nbhd Adj]],-2)</f>
        <v>0</v>
      </c>
      <c r="CU141">
        <f>Sales[[#This Row],[Adjusted Res]]+Sales[[#This Row],[Adj Det ]]</f>
        <v>349700</v>
      </c>
      <c r="CV141">
        <f>ROUND((Sales[[#This Row],[Mdl Land Intercept]]+Sales[[#This Row],[Mdl LnAcres]])*Sales[[#This Row],[Det/Nbhd Adj]],-2)</f>
        <v>61800</v>
      </c>
      <c r="CW141">
        <f>Sales[[#This Row],[Adjusted Impr Total]]+Sales[[#This Row],[Adjusted Land Total]]</f>
        <v>411500</v>
      </c>
      <c r="CX141" s="10">
        <f>IFERROR((Sales[[#This Row],[Adjusted Impr Total]]-Sales[[#This Row],[24Bldg]])/Sales[[#This Row],[24Bldg]],0)</f>
        <v>-3.6639118457300272E-2</v>
      </c>
      <c r="CY141" s="10">
        <f>(Sales[[#This Row],[Adjusted Land Total]]-Sales[[#This Row],[24Lnd]])/Sales[[#This Row],[24Lnd]]</f>
        <v>1.6207455429497568E-3</v>
      </c>
      <c r="CZ141">
        <f>(Sales[[#This Row],[Adjusted Total]]-Sales[[#This Row],[24Final]])/Sales[[#This Row],[24Final]]</f>
        <v>-3.1080762891452791E-2</v>
      </c>
      <c r="DA141" s="10">
        <f>(Sales[[#This Row],[Adjusted Total]]+Sales[[#This Row],[Days Prior Total]])/Sales[[#This Row],[Price]]</f>
        <v>1.0840224728082193</v>
      </c>
    </row>
    <row r="142" spans="1:105">
      <c r="A142">
        <v>2025</v>
      </c>
      <c r="B142">
        <v>19133541440</v>
      </c>
      <c r="C142">
        <v>-1.6607312068216509</v>
      </c>
      <c r="D142">
        <v>0.19</v>
      </c>
      <c r="E142">
        <v>8363</v>
      </c>
      <c r="F142">
        <v>2</v>
      </c>
      <c r="G142" t="s">
        <v>155</v>
      </c>
      <c r="H142">
        <v>317</v>
      </c>
      <c r="I142" t="s">
        <v>5</v>
      </c>
      <c r="J142" t="s">
        <v>212</v>
      </c>
      <c r="K142">
        <v>11</v>
      </c>
      <c r="L142">
        <v>259</v>
      </c>
      <c r="M142" t="s">
        <v>157</v>
      </c>
      <c r="N142" t="s">
        <v>21</v>
      </c>
      <c r="O142" t="s">
        <v>24</v>
      </c>
      <c r="P142">
        <v>2021</v>
      </c>
      <c r="Q142">
        <v>2021</v>
      </c>
      <c r="R142">
        <v>10</v>
      </c>
      <c r="S142">
        <v>3</v>
      </c>
      <c r="T142">
        <v>3</v>
      </c>
      <c r="U142">
        <v>1</v>
      </c>
      <c r="V142">
        <v>2010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2010</v>
      </c>
      <c r="AC142">
        <v>2500</v>
      </c>
      <c r="AD142">
        <v>2</v>
      </c>
      <c r="AE142" t="s">
        <v>56</v>
      </c>
      <c r="AF142" t="s">
        <v>158</v>
      </c>
      <c r="AG142" t="s">
        <v>27</v>
      </c>
      <c r="AI142">
        <v>0</v>
      </c>
      <c r="AJ142">
        <v>0</v>
      </c>
      <c r="AK142">
        <v>1</v>
      </c>
      <c r="AL142">
        <v>0</v>
      </c>
      <c r="AM142">
        <v>0</v>
      </c>
      <c r="AN142">
        <v>11</v>
      </c>
      <c r="AO142">
        <v>424</v>
      </c>
      <c r="AP142">
        <v>0</v>
      </c>
      <c r="AQ142">
        <v>0</v>
      </c>
      <c r="AR142">
        <v>0</v>
      </c>
      <c r="AS142">
        <v>144</v>
      </c>
      <c r="AT142">
        <v>0</v>
      </c>
      <c r="AU142">
        <v>100</v>
      </c>
      <c r="AV142">
        <v>100</v>
      </c>
      <c r="AW142">
        <v>387197</v>
      </c>
      <c r="AX142">
        <v>383325</v>
      </c>
      <c r="AY142">
        <v>839</v>
      </c>
      <c r="AZ142">
        <v>365</v>
      </c>
      <c r="BA142">
        <v>365</v>
      </c>
      <c r="BB142">
        <v>109</v>
      </c>
      <c r="BC142" s="2">
        <v>44453</v>
      </c>
      <c r="BD142" t="s">
        <v>301</v>
      </c>
      <c r="BE142">
        <v>363790</v>
      </c>
      <c r="BF142">
        <v>363790</v>
      </c>
      <c r="BG142" t="s">
        <v>160</v>
      </c>
      <c r="BH142">
        <v>30</v>
      </c>
      <c r="BI142" t="s">
        <v>56</v>
      </c>
      <c r="BJ142" t="s">
        <v>161</v>
      </c>
      <c r="BK142">
        <v>400600</v>
      </c>
      <c r="BL142">
        <v>63200</v>
      </c>
      <c r="BM142">
        <v>337400</v>
      </c>
      <c r="BN142">
        <v>0</v>
      </c>
      <c r="BO142">
        <v>373755.0624621592</v>
      </c>
      <c r="BP142">
        <v>419866.32178953104</v>
      </c>
      <c r="BQ142">
        <f>(Sales[[#This Row],[DP1]]*Lookups!$B$61)+(Sales[[#This Row],[DP2]]*Lookups!$B$62)+(Sales[[#This Row],[DP3]]*Lookups!$B$63)</f>
        <v>-46111.257230999996</v>
      </c>
      <c r="BR142">
        <f>Lookups!$B$58*0.6</f>
        <v>132535.48800000001</v>
      </c>
      <c r="BS142">
        <f>Lookups!$B$58*0.4</f>
        <v>88356.992000000013</v>
      </c>
      <c r="BT142">
        <f>Lookups!$B$59*Sales[[#This Row],[LnAcres]]</f>
        <v>-21795.969453044734</v>
      </c>
      <c r="BU142">
        <f>VLOOKUP(Sales[[#This Row],[Qlty]],Lookups!$A$66:$E$79,2,FALSE)</f>
        <v>32917.849192000001</v>
      </c>
      <c r="BV142">
        <f>VLOOKUP(Sales[[#This Row],[Cnd]],Lookups!$A$80:$E$91,2,FALSE)</f>
        <v>47371.278778200001</v>
      </c>
      <c r="BW142">
        <f>Sales[[#This Row],[EffAge]]*Lookups!$B$65</f>
        <v>-326.22329999999999</v>
      </c>
      <c r="BX142">
        <f>Sales[[#This Row],[MainFn]]*Lookups!$B$90</f>
        <v>125444.86380000001</v>
      </c>
      <c r="BY142">
        <f>Sales[[#This Row],[UpprFn]]*Lookups!$B$91</f>
        <v>0</v>
      </c>
      <c r="BZ142">
        <f>Sales[[#This Row],[Bsmt]]*Lookups!$B$95</f>
        <v>0</v>
      </c>
      <c r="CA142">
        <f>VLOOKUP(Sales[[#This Row],[MsnryTrim]],Lookups!$A$90:$E$99,2,FALSE)</f>
        <v>-9412.7029999999995</v>
      </c>
      <c r="CB142">
        <f>Sales[[#This Row],[PrefabFP]]*Lookups!$B$92</f>
        <v>9807.1044999999995</v>
      </c>
      <c r="CC142">
        <f>Sales[[#This Row],[AttGar]]*Lookups!$B$93</f>
        <v>14967.637144</v>
      </c>
      <c r="CD142">
        <f>Sales[[#This Row],[BltinGar]]*Lookups!$B$94</f>
        <v>0</v>
      </c>
      <c r="CE142">
        <f>SUM(Sales[[#This Row],[Days Prior Total]:[Mdl BltinGar]])</f>
        <v>373755.06043015531</v>
      </c>
      <c r="CF142">
        <f>ROUND(Sales[[#This Row],[25Det]],-2)</f>
        <v>0</v>
      </c>
      <c r="CG142">
        <f>ROUND(SUM(Sales[[#This Row],[Mdl Qlty]:[Mdl BltinGar]])+Sales[[#This Row],[Mdl Res Intercept]]+Sales[[#This Row],[Days Prior Total]],-2)</f>
        <v>307200</v>
      </c>
      <c r="CH142">
        <f>ROUND(Sales[[#This Row],[Mdl Land Intercept]]+Sales[[#This Row],[Mdl LnAcres]],-2)</f>
        <v>66600</v>
      </c>
      <c r="CI142">
        <f>Sales[[#This Row],[Unadj Res Value]]+Sales[[#This Row],[Unadj Det Value]]+Sales[[#This Row],[Unadj Land Value]]</f>
        <v>373800</v>
      </c>
      <c r="CJ142" s="10">
        <f>Sales[[#This Row],[Price]]/Sales[[#This Row],[Unadj Total Value]]</f>
        <v>0.9732209737827715</v>
      </c>
      <c r="CK142" s="10">
        <f>(Sales[[#This Row],[Unadj Total Value]]-Sales[[#This Row],[24Final]])/Sales[[#This Row],[24Final]]</f>
        <v>-6.6899650524213677E-2</v>
      </c>
      <c r="CL142">
        <f>VLOOKUP(Sales[[#This Row],[TNbhd]],Lookups!$M$3:$P$5,4,FALSE)</f>
        <v>0.99970000000000003</v>
      </c>
      <c r="CM142">
        <f>VLOOKUP(Sales[[#This Row],[Qlty]],Lookups!$M$8:$P$22,4,FALSE)</f>
        <v>1.0019</v>
      </c>
      <c r="CN142">
        <f>VLOOKUP(Sales[[#This Row],[Cnd]],Lookups!$R$8:$U$17,4,FALSE)</f>
        <v>1.0012000000000001</v>
      </c>
      <c r="CO142">
        <f>VLOOKUP(Sales[[#This Row],[LivArea Range]],Lookups!$R$25:$U$43,4,FALSE)</f>
        <v>1.0008999999999999</v>
      </c>
      <c r="CP142">
        <f>VLOOKUP(Sales[[#This Row],[Decade]],Lookups!$M$24:$P$40,4,FALSE)</f>
        <v>1.0024</v>
      </c>
      <c r="CQ142">
        <f>Sales[[#This Row],[Nbhd Adj]]*0.95</f>
        <v>0.94971499999999998</v>
      </c>
      <c r="CR142">
        <f>Sales[[#This Row],[Nbhd Adj]]*Sales[[#This Row],[Quality Adj]]*Sales[[#This Row],[Condition Adj]]*Sales[[#This Row],[Living Area Adj]]*Sales[[#This Row],[Decade Adj]]*0.95</f>
        <v>0.95580712182867422</v>
      </c>
      <c r="CS142">
        <f>ROUND(SUM(Sales[[#This Row],[Mdl Qlty]:[Mdl BltinGar]])+Sales[[#This Row],[Mdl Res Intercept]]*Sales[[#This Row],[Res Adj ]],-2)</f>
        <v>347400</v>
      </c>
      <c r="CT142">
        <f>ROUND(Sales[[#This Row],[25Det]]*Sales[[#This Row],[Det/Nbhd Adj]],-2)</f>
        <v>0</v>
      </c>
      <c r="CU142">
        <f>Sales[[#This Row],[Adjusted Res]]+Sales[[#This Row],[Adj Det ]]</f>
        <v>347400</v>
      </c>
      <c r="CV142">
        <f>ROUND((Sales[[#This Row],[Mdl Land Intercept]]+Sales[[#This Row],[Mdl LnAcres]])*Sales[[#This Row],[Det/Nbhd Adj]],-2)</f>
        <v>63200</v>
      </c>
      <c r="CW142">
        <f>Sales[[#This Row],[Adjusted Impr Total]]+Sales[[#This Row],[Adjusted Land Total]]</f>
        <v>410600</v>
      </c>
      <c r="CX142" s="10">
        <f>IFERROR((Sales[[#This Row],[Adjusted Impr Total]]-Sales[[#This Row],[24Bldg]])/Sales[[#This Row],[24Bldg]],0)</f>
        <v>2.9638411381149969E-2</v>
      </c>
      <c r="CY142" s="10">
        <f>(Sales[[#This Row],[Adjusted Land Total]]-Sales[[#This Row],[24Lnd]])/Sales[[#This Row],[24Lnd]]</f>
        <v>0</v>
      </c>
      <c r="CZ142">
        <f>(Sales[[#This Row],[Adjusted Total]]-Sales[[#This Row],[24Final]])/Sales[[#This Row],[24Final]]</f>
        <v>2.4962556165751371E-2</v>
      </c>
      <c r="DA142" s="10">
        <f>(Sales[[#This Row],[Adjusted Total]]+Sales[[#This Row],[Days Prior Total]])/Sales[[#This Row],[Price]]</f>
        <v>1.0019207311058578</v>
      </c>
    </row>
    <row r="143" spans="1:105">
      <c r="A143">
        <v>2025</v>
      </c>
      <c r="B143">
        <v>19133541441</v>
      </c>
      <c r="C143">
        <v>-1.6094379124341003</v>
      </c>
      <c r="D143">
        <v>0.2</v>
      </c>
      <c r="E143">
        <v>8505</v>
      </c>
      <c r="F143">
        <v>2</v>
      </c>
      <c r="G143" t="s">
        <v>155</v>
      </c>
      <c r="H143">
        <v>317</v>
      </c>
      <c r="I143" t="s">
        <v>5</v>
      </c>
      <c r="J143" t="s">
        <v>212</v>
      </c>
      <c r="K143">
        <v>11</v>
      </c>
      <c r="L143">
        <v>259</v>
      </c>
      <c r="M143" t="s">
        <v>157</v>
      </c>
      <c r="N143" t="s">
        <v>21</v>
      </c>
      <c r="O143" t="s">
        <v>24</v>
      </c>
      <c r="P143">
        <v>2021</v>
      </c>
      <c r="Q143">
        <v>2021</v>
      </c>
      <c r="R143">
        <v>10</v>
      </c>
      <c r="S143">
        <v>3</v>
      </c>
      <c r="T143">
        <v>3</v>
      </c>
      <c r="U143">
        <v>2</v>
      </c>
      <c r="V143">
        <v>1650</v>
      </c>
      <c r="W143">
        <v>1346</v>
      </c>
      <c r="X143">
        <v>0</v>
      </c>
      <c r="Y143">
        <v>0</v>
      </c>
      <c r="Z143">
        <v>0</v>
      </c>
      <c r="AA143">
        <v>0</v>
      </c>
      <c r="AB143">
        <v>2996</v>
      </c>
      <c r="AC143">
        <v>3000</v>
      </c>
      <c r="AD143">
        <v>3</v>
      </c>
      <c r="AE143" t="s">
        <v>57</v>
      </c>
      <c r="AF143" t="s">
        <v>158</v>
      </c>
      <c r="AG143" t="s">
        <v>27</v>
      </c>
      <c r="AI143">
        <v>0</v>
      </c>
      <c r="AJ143">
        <v>0</v>
      </c>
      <c r="AK143">
        <v>0</v>
      </c>
      <c r="AL143">
        <v>0</v>
      </c>
      <c r="AM143">
        <v>1</v>
      </c>
      <c r="AN143">
        <v>15</v>
      </c>
      <c r="AO143">
        <v>660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100</v>
      </c>
      <c r="AV143">
        <v>100</v>
      </c>
      <c r="AW143">
        <v>521206</v>
      </c>
      <c r="AX143">
        <v>515994</v>
      </c>
      <c r="AY143">
        <v>802</v>
      </c>
      <c r="AZ143">
        <v>365</v>
      </c>
      <c r="BA143">
        <v>365</v>
      </c>
      <c r="BB143">
        <v>72</v>
      </c>
      <c r="BC143" s="2">
        <v>44490</v>
      </c>
      <c r="BD143" t="s">
        <v>302</v>
      </c>
      <c r="BE143">
        <v>485510</v>
      </c>
      <c r="BF143">
        <v>485510</v>
      </c>
      <c r="BG143" t="s">
        <v>160</v>
      </c>
      <c r="BH143">
        <v>30</v>
      </c>
      <c r="BI143" t="s">
        <v>56</v>
      </c>
      <c r="BJ143" t="s">
        <v>161</v>
      </c>
      <c r="BK143">
        <v>483500</v>
      </c>
      <c r="BL143">
        <v>64000</v>
      </c>
      <c r="BM143">
        <v>419500</v>
      </c>
      <c r="BN143">
        <v>0</v>
      </c>
      <c r="BO143">
        <v>452678.20834064693</v>
      </c>
      <c r="BP143">
        <v>490316.48955025745</v>
      </c>
      <c r="BQ143">
        <f>(Sales[[#This Row],[DP1]]*Lookups!$B$61)+(Sales[[#This Row],[DP2]]*Lookups!$B$62)+(Sales[[#This Row],[DP3]]*Lookups!$B$63)</f>
        <v>-37638.279431000003</v>
      </c>
      <c r="BR143">
        <f>Lookups!$B$58*0.6</f>
        <v>132535.48800000001</v>
      </c>
      <c r="BS143">
        <f>Lookups!$B$58*0.4</f>
        <v>88356.992000000013</v>
      </c>
      <c r="BT143">
        <f>Lookups!$B$59*Sales[[#This Row],[LnAcres]]</f>
        <v>-21122.779792355024</v>
      </c>
      <c r="BU143">
        <f>VLOOKUP(Sales[[#This Row],[Qlty]],Lookups!$A$66:$E$79,2,FALSE)</f>
        <v>32917.849192000001</v>
      </c>
      <c r="BV143">
        <f>VLOOKUP(Sales[[#This Row],[Cnd]],Lookups!$A$80:$E$91,2,FALSE)</f>
        <v>47371.278778200001</v>
      </c>
      <c r="BW143">
        <f>Sales[[#This Row],[EffAge]]*Lookups!$B$65</f>
        <v>-326.22329999999999</v>
      </c>
      <c r="BX143">
        <f>Sales[[#This Row],[MainFn]]*Lookups!$B$90</f>
        <v>102977.12700000001</v>
      </c>
      <c r="BY143">
        <f>Sales[[#This Row],[UpprFn]]*Lookups!$B$91</f>
        <v>80195.195517999993</v>
      </c>
      <c r="BZ143">
        <f>Sales[[#This Row],[Bsmt]]*Lookups!$B$95</f>
        <v>0</v>
      </c>
      <c r="CA143">
        <f>VLOOKUP(Sales[[#This Row],[MsnryTrim]],Lookups!$A$90:$E$99,2,FALSE)</f>
        <v>4112.8784489</v>
      </c>
      <c r="CB143">
        <f>Sales[[#This Row],[PrefabFP]]*Lookups!$B$92</f>
        <v>0</v>
      </c>
      <c r="CC143">
        <f>Sales[[#This Row],[AttGar]]*Lookups!$B$93</f>
        <v>23298.68046</v>
      </c>
      <c r="CD143">
        <f>Sales[[#This Row],[BltinGar]]*Lookups!$B$94</f>
        <v>0</v>
      </c>
      <c r="CE143">
        <f>SUM(Sales[[#This Row],[Days Prior Total]:[Mdl BltinGar]])</f>
        <v>452678.20687374502</v>
      </c>
      <c r="CF143">
        <f>ROUND(Sales[[#This Row],[25Det]],-2)</f>
        <v>0</v>
      </c>
      <c r="CG143">
        <f>ROUND(SUM(Sales[[#This Row],[Mdl Qlty]:[Mdl BltinGar]])+Sales[[#This Row],[Mdl Res Intercept]]+Sales[[#This Row],[Days Prior Total]],-2)</f>
        <v>385400</v>
      </c>
      <c r="CH143">
        <f>ROUND(Sales[[#This Row],[Mdl Land Intercept]]+Sales[[#This Row],[Mdl LnAcres]],-2)</f>
        <v>67200</v>
      </c>
      <c r="CI143">
        <f>Sales[[#This Row],[Unadj Res Value]]+Sales[[#This Row],[Unadj Det Value]]+Sales[[#This Row],[Unadj Land Value]]</f>
        <v>452600</v>
      </c>
      <c r="CJ143" s="10">
        <f>Sales[[#This Row],[Price]]/Sales[[#This Row],[Unadj Total Value]]</f>
        <v>1.0727132125497127</v>
      </c>
      <c r="CK143" s="10">
        <f>(Sales[[#This Row],[Unadj Total Value]]-Sales[[#This Row],[24Final]])/Sales[[#This Row],[24Final]]</f>
        <v>-6.3908996897621514E-2</v>
      </c>
      <c r="CL143">
        <f>VLOOKUP(Sales[[#This Row],[TNbhd]],Lookups!$M$3:$P$5,4,FALSE)</f>
        <v>0.99970000000000003</v>
      </c>
      <c r="CM143">
        <f>VLOOKUP(Sales[[#This Row],[Qlty]],Lookups!$M$8:$P$22,4,FALSE)</f>
        <v>1.0019</v>
      </c>
      <c r="CN143">
        <f>VLOOKUP(Sales[[#This Row],[Cnd]],Lookups!$R$8:$U$17,4,FALSE)</f>
        <v>1.0012000000000001</v>
      </c>
      <c r="CO143">
        <f>VLOOKUP(Sales[[#This Row],[LivArea Range]],Lookups!$R$25:$U$43,4,FALSE)</f>
        <v>1.0099</v>
      </c>
      <c r="CP143">
        <f>VLOOKUP(Sales[[#This Row],[Decade]],Lookups!$M$24:$P$40,4,FALSE)</f>
        <v>1.0024</v>
      </c>
      <c r="CQ143">
        <f>Sales[[#This Row],[Nbhd Adj]]*0.95</f>
        <v>0.94971499999999998</v>
      </c>
      <c r="CR143">
        <f>Sales[[#This Row],[Nbhd Adj]]*Sales[[#This Row],[Quality Adj]]*Sales[[#This Row],[Condition Adj]]*Sales[[#This Row],[Living Area Adj]]*Sales[[#This Row],[Decade Adj]]*0.95</f>
        <v>0.96440165084901408</v>
      </c>
      <c r="CS143">
        <f>ROUND(SUM(Sales[[#This Row],[Mdl Qlty]:[Mdl BltinGar]])+Sales[[#This Row],[Mdl Res Intercept]]*Sales[[#This Row],[Res Adj ]],-2)</f>
        <v>418400</v>
      </c>
      <c r="CT143">
        <f>ROUND(Sales[[#This Row],[25Det]]*Sales[[#This Row],[Det/Nbhd Adj]],-2)</f>
        <v>0</v>
      </c>
      <c r="CU143">
        <f>Sales[[#This Row],[Adjusted Res]]+Sales[[#This Row],[Adj Det ]]</f>
        <v>418400</v>
      </c>
      <c r="CV143">
        <f>ROUND((Sales[[#This Row],[Mdl Land Intercept]]+Sales[[#This Row],[Mdl LnAcres]])*Sales[[#This Row],[Det/Nbhd Adj]],-2)</f>
        <v>63900</v>
      </c>
      <c r="CW143">
        <f>Sales[[#This Row],[Adjusted Impr Total]]+Sales[[#This Row],[Adjusted Land Total]]</f>
        <v>482300</v>
      </c>
      <c r="CX143" s="10">
        <f>IFERROR((Sales[[#This Row],[Adjusted Impr Total]]-Sales[[#This Row],[24Bldg]])/Sales[[#This Row],[24Bldg]],0)</f>
        <v>-2.6221692491060788E-3</v>
      </c>
      <c r="CY143" s="10">
        <f>(Sales[[#This Row],[Adjusted Land Total]]-Sales[[#This Row],[24Lnd]])/Sales[[#This Row],[24Lnd]]</f>
        <v>-1.5625000000000001E-3</v>
      </c>
      <c r="CZ143">
        <f>(Sales[[#This Row],[Adjusted Total]]-Sales[[#This Row],[24Final]])/Sales[[#This Row],[24Final]]</f>
        <v>-2.4819027921406411E-3</v>
      </c>
      <c r="DA143" s="10">
        <f>(Sales[[#This Row],[Adjusted Total]]+Sales[[#This Row],[Days Prior Total]])/Sales[[#This Row],[Price]]</f>
        <v>0.91586521507075036</v>
      </c>
    </row>
    <row r="144" spans="1:105">
      <c r="A144">
        <v>2025</v>
      </c>
      <c r="B144">
        <v>19133541442</v>
      </c>
      <c r="C144">
        <v>-1.7719568419318752</v>
      </c>
      <c r="D144">
        <v>0.17</v>
      </c>
      <c r="E144">
        <v>7245</v>
      </c>
      <c r="F144">
        <v>2</v>
      </c>
      <c r="G144" t="s">
        <v>155</v>
      </c>
      <c r="H144">
        <v>317</v>
      </c>
      <c r="I144" t="s">
        <v>5</v>
      </c>
      <c r="J144" t="s">
        <v>212</v>
      </c>
      <c r="K144">
        <v>11</v>
      </c>
      <c r="L144">
        <v>259</v>
      </c>
      <c r="M144" t="s">
        <v>157</v>
      </c>
      <c r="N144" t="s">
        <v>21</v>
      </c>
      <c r="O144" t="s">
        <v>24</v>
      </c>
      <c r="P144">
        <v>2021</v>
      </c>
      <c r="Q144">
        <v>2021</v>
      </c>
      <c r="R144">
        <v>10</v>
      </c>
      <c r="S144">
        <v>3</v>
      </c>
      <c r="T144">
        <v>3</v>
      </c>
      <c r="U144">
        <v>1</v>
      </c>
      <c r="V144">
        <v>2010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2010</v>
      </c>
      <c r="AC144">
        <v>2500</v>
      </c>
      <c r="AD144">
        <v>2</v>
      </c>
      <c r="AE144" t="s">
        <v>56</v>
      </c>
      <c r="AF144" t="s">
        <v>158</v>
      </c>
      <c r="AG144" t="s">
        <v>27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11</v>
      </c>
      <c r="AO144">
        <v>424</v>
      </c>
      <c r="AP144">
        <v>0</v>
      </c>
      <c r="AQ144">
        <v>0</v>
      </c>
      <c r="AR144">
        <v>0</v>
      </c>
      <c r="AS144">
        <v>144</v>
      </c>
      <c r="AT144">
        <v>0</v>
      </c>
      <c r="AU144">
        <v>100</v>
      </c>
      <c r="AV144">
        <v>100</v>
      </c>
      <c r="AW144">
        <v>383336</v>
      </c>
      <c r="AX144">
        <v>379503</v>
      </c>
      <c r="AY144">
        <v>839</v>
      </c>
      <c r="AZ144">
        <v>365</v>
      </c>
      <c r="BA144">
        <v>365</v>
      </c>
      <c r="BB144">
        <v>109</v>
      </c>
      <c r="BC144" s="2">
        <v>44453</v>
      </c>
      <c r="BD144" t="s">
        <v>303</v>
      </c>
      <c r="BE144">
        <v>335670</v>
      </c>
      <c r="BF144">
        <v>335670</v>
      </c>
      <c r="BG144" t="s">
        <v>160</v>
      </c>
      <c r="BH144">
        <v>30</v>
      </c>
      <c r="BI144" t="s">
        <v>56</v>
      </c>
      <c r="BJ144" t="s">
        <v>161</v>
      </c>
      <c r="BK144">
        <v>399100</v>
      </c>
      <c r="BL144">
        <v>61700</v>
      </c>
      <c r="BM144">
        <v>337400</v>
      </c>
      <c r="BN144">
        <v>0</v>
      </c>
      <c r="BO144">
        <v>362488.19701891515</v>
      </c>
      <c r="BP144">
        <v>408599.45634628704</v>
      </c>
      <c r="BQ144">
        <f>(Sales[[#This Row],[DP1]]*Lookups!$B$61)+(Sales[[#This Row],[DP2]]*Lookups!$B$62)+(Sales[[#This Row],[DP3]]*Lookups!$B$63)</f>
        <v>-46111.257230999996</v>
      </c>
      <c r="BR144">
        <f>Lookups!$B$58*0.6</f>
        <v>132535.48800000001</v>
      </c>
      <c r="BS144">
        <f>Lookups!$B$58*0.4</f>
        <v>88356.992000000013</v>
      </c>
      <c r="BT144">
        <f>Lookups!$B$59*Sales[[#This Row],[LnAcres]]</f>
        <v>-23255.730391660189</v>
      </c>
      <c r="BU144">
        <f>VLOOKUP(Sales[[#This Row],[Qlty]],Lookups!$A$66:$E$79,2,FALSE)</f>
        <v>32917.849192000001</v>
      </c>
      <c r="BV144">
        <f>VLOOKUP(Sales[[#This Row],[Cnd]],Lookups!$A$80:$E$91,2,FALSE)</f>
        <v>47371.278778200001</v>
      </c>
      <c r="BW144">
        <f>Sales[[#This Row],[EffAge]]*Lookups!$B$65</f>
        <v>-326.22329999999999</v>
      </c>
      <c r="BX144">
        <f>Sales[[#This Row],[MainFn]]*Lookups!$B$90</f>
        <v>125444.86380000001</v>
      </c>
      <c r="BY144">
        <f>Sales[[#This Row],[UpprFn]]*Lookups!$B$91</f>
        <v>0</v>
      </c>
      <c r="BZ144">
        <f>Sales[[#This Row],[Bsmt]]*Lookups!$B$95</f>
        <v>0</v>
      </c>
      <c r="CA144">
        <f>VLOOKUP(Sales[[#This Row],[MsnryTrim]],Lookups!$A$90:$E$99,2,FALSE)</f>
        <v>-9412.7029999999995</v>
      </c>
      <c r="CB144">
        <f>Sales[[#This Row],[PrefabFP]]*Lookups!$B$92</f>
        <v>0</v>
      </c>
      <c r="CC144">
        <f>Sales[[#This Row],[AttGar]]*Lookups!$B$93</f>
        <v>14967.637144</v>
      </c>
      <c r="CD144">
        <f>Sales[[#This Row],[BltinGar]]*Lookups!$B$94</f>
        <v>0</v>
      </c>
      <c r="CE144">
        <f>SUM(Sales[[#This Row],[Days Prior Total]:[Mdl BltinGar]])</f>
        <v>362488.19499153987</v>
      </c>
      <c r="CF144">
        <f>ROUND(Sales[[#This Row],[25Det]],-2)</f>
        <v>0</v>
      </c>
      <c r="CG144">
        <f>ROUND(SUM(Sales[[#This Row],[Mdl Qlty]:[Mdl BltinGar]])+Sales[[#This Row],[Mdl Res Intercept]]+Sales[[#This Row],[Days Prior Total]],-2)</f>
        <v>297400</v>
      </c>
      <c r="CH144">
        <f>ROUND(Sales[[#This Row],[Mdl Land Intercept]]+Sales[[#This Row],[Mdl LnAcres]],-2)</f>
        <v>65100</v>
      </c>
      <c r="CI144">
        <f>Sales[[#This Row],[Unadj Res Value]]+Sales[[#This Row],[Unadj Det Value]]+Sales[[#This Row],[Unadj Land Value]]</f>
        <v>362500</v>
      </c>
      <c r="CJ144" s="10">
        <f>Sales[[#This Row],[Price]]/Sales[[#This Row],[Unadj Total Value]]</f>
        <v>0.92598620689655176</v>
      </c>
      <c r="CK144" s="10">
        <f>(Sales[[#This Row],[Unadj Total Value]]-Sales[[#This Row],[24Final]])/Sales[[#This Row],[24Final]]</f>
        <v>-9.1706339263342526E-2</v>
      </c>
      <c r="CL144">
        <f>VLOOKUP(Sales[[#This Row],[TNbhd]],Lookups!$M$3:$P$5,4,FALSE)</f>
        <v>0.99970000000000003</v>
      </c>
      <c r="CM144">
        <f>VLOOKUP(Sales[[#This Row],[Qlty]],Lookups!$M$8:$P$22,4,FALSE)</f>
        <v>1.0019</v>
      </c>
      <c r="CN144">
        <f>VLOOKUP(Sales[[#This Row],[Cnd]],Lookups!$R$8:$U$17,4,FALSE)</f>
        <v>1.0012000000000001</v>
      </c>
      <c r="CO144">
        <f>VLOOKUP(Sales[[#This Row],[LivArea Range]],Lookups!$R$25:$U$43,4,FALSE)</f>
        <v>1.0008999999999999</v>
      </c>
      <c r="CP144">
        <f>VLOOKUP(Sales[[#This Row],[Decade]],Lookups!$M$24:$P$40,4,FALSE)</f>
        <v>1.0024</v>
      </c>
      <c r="CQ144">
        <f>Sales[[#This Row],[Nbhd Adj]]*0.95</f>
        <v>0.94971499999999998</v>
      </c>
      <c r="CR144">
        <f>Sales[[#This Row],[Nbhd Adj]]*Sales[[#This Row],[Quality Adj]]*Sales[[#This Row],[Condition Adj]]*Sales[[#This Row],[Living Area Adj]]*Sales[[#This Row],[Decade Adj]]*0.95</f>
        <v>0.95580712182867422</v>
      </c>
      <c r="CS144">
        <f>ROUND(SUM(Sales[[#This Row],[Mdl Qlty]:[Mdl BltinGar]])+Sales[[#This Row],[Mdl Res Intercept]]*Sales[[#This Row],[Res Adj ]],-2)</f>
        <v>337600</v>
      </c>
      <c r="CT144">
        <f>ROUND(Sales[[#This Row],[25Det]]*Sales[[#This Row],[Det/Nbhd Adj]],-2)</f>
        <v>0</v>
      </c>
      <c r="CU144">
        <f>Sales[[#This Row],[Adjusted Res]]+Sales[[#This Row],[Adj Det ]]</f>
        <v>337600</v>
      </c>
      <c r="CV144">
        <f>ROUND((Sales[[#This Row],[Mdl Land Intercept]]+Sales[[#This Row],[Mdl LnAcres]])*Sales[[#This Row],[Det/Nbhd Adj]],-2)</f>
        <v>61800</v>
      </c>
      <c r="CW144">
        <f>Sales[[#This Row],[Adjusted Impr Total]]+Sales[[#This Row],[Adjusted Land Total]]</f>
        <v>399400</v>
      </c>
      <c r="CX144" s="10">
        <f>IFERROR((Sales[[#This Row],[Adjusted Impr Total]]-Sales[[#This Row],[24Bldg]])/Sales[[#This Row],[24Bldg]],0)</f>
        <v>5.9276822762299936E-4</v>
      </c>
      <c r="CY144" s="10">
        <f>(Sales[[#This Row],[Adjusted Land Total]]-Sales[[#This Row],[24Lnd]])/Sales[[#This Row],[24Lnd]]</f>
        <v>1.6207455429497568E-3</v>
      </c>
      <c r="CZ144">
        <f>(Sales[[#This Row],[Adjusted Total]]-Sales[[#This Row],[24Final]])/Sales[[#This Row],[24Final]]</f>
        <v>7.5169130543723374E-4</v>
      </c>
      <c r="DA144" s="10">
        <f>(Sales[[#This Row],[Adjusted Total]]+Sales[[#This Row],[Days Prior Total]])/Sales[[#This Row],[Price]]</f>
        <v>1.0524882854261626</v>
      </c>
    </row>
    <row r="145" spans="1:105">
      <c r="A145">
        <v>2025</v>
      </c>
      <c r="B145">
        <v>19133541443</v>
      </c>
      <c r="C145">
        <v>-1.7719568419318752</v>
      </c>
      <c r="D145">
        <v>0.17</v>
      </c>
      <c r="E145">
        <v>7245</v>
      </c>
      <c r="F145">
        <v>2</v>
      </c>
      <c r="G145" t="s">
        <v>155</v>
      </c>
      <c r="H145">
        <v>317</v>
      </c>
      <c r="I145" t="s">
        <v>5</v>
      </c>
      <c r="J145" t="s">
        <v>212</v>
      </c>
      <c r="K145">
        <v>11</v>
      </c>
      <c r="L145">
        <v>259</v>
      </c>
      <c r="M145" t="s">
        <v>157</v>
      </c>
      <c r="N145" t="s">
        <v>21</v>
      </c>
      <c r="O145" t="s">
        <v>24</v>
      </c>
      <c r="P145">
        <v>2021</v>
      </c>
      <c r="Q145">
        <v>2021</v>
      </c>
      <c r="R145">
        <v>10</v>
      </c>
      <c r="S145">
        <v>3</v>
      </c>
      <c r="T145">
        <v>3</v>
      </c>
      <c r="U145">
        <v>1</v>
      </c>
      <c r="V145">
        <v>1740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1740</v>
      </c>
      <c r="AC145">
        <v>2000</v>
      </c>
      <c r="AD145">
        <v>3</v>
      </c>
      <c r="AE145" t="s">
        <v>56</v>
      </c>
      <c r="AF145" t="s">
        <v>158</v>
      </c>
      <c r="AG145" t="s">
        <v>27</v>
      </c>
      <c r="AI145">
        <v>0</v>
      </c>
      <c r="AJ145">
        <v>0</v>
      </c>
      <c r="AK145">
        <v>0</v>
      </c>
      <c r="AL145">
        <v>1</v>
      </c>
      <c r="AM145">
        <v>0</v>
      </c>
      <c r="AN145">
        <v>10</v>
      </c>
      <c r="AO145">
        <v>690</v>
      </c>
      <c r="AP145">
        <v>0</v>
      </c>
      <c r="AQ145">
        <v>0</v>
      </c>
      <c r="AR145">
        <v>0</v>
      </c>
      <c r="AS145">
        <v>396</v>
      </c>
      <c r="AT145">
        <v>0</v>
      </c>
      <c r="AU145">
        <v>100</v>
      </c>
      <c r="AV145">
        <v>100</v>
      </c>
      <c r="AW145">
        <v>360365</v>
      </c>
      <c r="AX145">
        <v>356761</v>
      </c>
      <c r="AY145">
        <v>944</v>
      </c>
      <c r="AZ145">
        <v>365</v>
      </c>
      <c r="BA145">
        <v>365</v>
      </c>
      <c r="BB145">
        <v>214</v>
      </c>
      <c r="BC145" s="2">
        <v>44348</v>
      </c>
      <c r="BD145" t="s">
        <v>304</v>
      </c>
      <c r="BE145">
        <v>329348</v>
      </c>
      <c r="BF145">
        <v>329348</v>
      </c>
      <c r="BG145" t="s">
        <v>160</v>
      </c>
      <c r="BH145">
        <v>30</v>
      </c>
      <c r="BI145" t="s">
        <v>56</v>
      </c>
      <c r="BJ145" t="s">
        <v>161</v>
      </c>
      <c r="BK145">
        <v>406600</v>
      </c>
      <c r="BL145">
        <v>61700</v>
      </c>
      <c r="BM145">
        <v>344900</v>
      </c>
      <c r="BN145">
        <v>0</v>
      </c>
      <c r="BO145">
        <v>330982.53066052234</v>
      </c>
      <c r="BP145">
        <v>401138.72788964916</v>
      </c>
      <c r="BQ145">
        <f>(Sales[[#This Row],[DP1]]*Lookups!$B$61)+(Sales[[#This Row],[DP2]]*Lookups!$B$62)+(Sales[[#This Row],[DP3]]*Lookups!$B$63)</f>
        <v>-70156.194231000001</v>
      </c>
      <c r="BR145">
        <f>Lookups!$B$58*0.6</f>
        <v>132535.48800000001</v>
      </c>
      <c r="BS145">
        <f>Lookups!$B$58*0.4</f>
        <v>88356.992000000013</v>
      </c>
      <c r="BT145">
        <f>Lookups!$B$59*Sales[[#This Row],[LnAcres]]</f>
        <v>-23255.730391660189</v>
      </c>
      <c r="BU145">
        <f>VLOOKUP(Sales[[#This Row],[Qlty]],Lookups!$A$66:$E$79,2,FALSE)</f>
        <v>32917.849192000001</v>
      </c>
      <c r="BV145">
        <f>VLOOKUP(Sales[[#This Row],[Cnd]],Lookups!$A$80:$E$91,2,FALSE)</f>
        <v>47371.278778200001</v>
      </c>
      <c r="BW145">
        <f>Sales[[#This Row],[EffAge]]*Lookups!$B$65</f>
        <v>-326.22329999999999</v>
      </c>
      <c r="BX145">
        <f>Sales[[#This Row],[MainFn]]*Lookups!$B$90</f>
        <v>108594.06120000001</v>
      </c>
      <c r="BY145">
        <f>Sales[[#This Row],[UpprFn]]*Lookups!$B$91</f>
        <v>0</v>
      </c>
      <c r="BZ145">
        <f>Sales[[#This Row],[Bsmt]]*Lookups!$B$95</f>
        <v>0</v>
      </c>
      <c r="CA145">
        <f>VLOOKUP(Sales[[#This Row],[MsnryTrim]],Lookups!$A$90:$E$99,2,FALSE)</f>
        <v>-9412.7029999999995</v>
      </c>
      <c r="CB145">
        <f>Sales[[#This Row],[PrefabFP]]*Lookups!$B$92</f>
        <v>0</v>
      </c>
      <c r="CC145">
        <f>Sales[[#This Row],[AttGar]]*Lookups!$B$93</f>
        <v>24357.71139</v>
      </c>
      <c r="CD145">
        <f>Sales[[#This Row],[BltinGar]]*Lookups!$B$94</f>
        <v>0</v>
      </c>
      <c r="CE145">
        <f>SUM(Sales[[#This Row],[Days Prior Total]:[Mdl BltinGar]])</f>
        <v>330982.52963753988</v>
      </c>
      <c r="CF145">
        <f>ROUND(Sales[[#This Row],[25Det]],-2)</f>
        <v>0</v>
      </c>
      <c r="CG145">
        <f>ROUND(SUM(Sales[[#This Row],[Mdl Qlty]:[Mdl BltinGar]])+Sales[[#This Row],[Mdl Res Intercept]]+Sales[[#This Row],[Days Prior Total]],-2)</f>
        <v>265900</v>
      </c>
      <c r="CH145">
        <f>ROUND(Sales[[#This Row],[Mdl Land Intercept]]+Sales[[#This Row],[Mdl LnAcres]],-2)</f>
        <v>65100</v>
      </c>
      <c r="CI145">
        <f>Sales[[#This Row],[Unadj Res Value]]+Sales[[#This Row],[Unadj Det Value]]+Sales[[#This Row],[Unadj Land Value]]</f>
        <v>331000</v>
      </c>
      <c r="CJ145" s="10">
        <f>Sales[[#This Row],[Price]]/Sales[[#This Row],[Unadj Total Value]]</f>
        <v>0.99500906344410878</v>
      </c>
      <c r="CK145" s="10">
        <f>(Sales[[#This Row],[Unadj Total Value]]-Sales[[#This Row],[24Final]])/Sales[[#This Row],[24Final]]</f>
        <v>-0.18593212001967535</v>
      </c>
      <c r="CL145">
        <f>VLOOKUP(Sales[[#This Row],[TNbhd]],Lookups!$M$3:$P$5,4,FALSE)</f>
        <v>0.99970000000000003</v>
      </c>
      <c r="CM145">
        <f>VLOOKUP(Sales[[#This Row],[Qlty]],Lookups!$M$8:$P$22,4,FALSE)</f>
        <v>1.0019</v>
      </c>
      <c r="CN145">
        <f>VLOOKUP(Sales[[#This Row],[Cnd]],Lookups!$R$8:$U$17,4,FALSE)</f>
        <v>1.0012000000000001</v>
      </c>
      <c r="CO145">
        <f>VLOOKUP(Sales[[#This Row],[LivArea Range]],Lookups!$R$25:$U$43,4,FALSE)</f>
        <v>1.0007999999999999</v>
      </c>
      <c r="CP145">
        <f>VLOOKUP(Sales[[#This Row],[Decade]],Lookups!$M$24:$P$40,4,FALSE)</f>
        <v>1.0024</v>
      </c>
      <c r="CQ145">
        <f>Sales[[#This Row],[Nbhd Adj]]*0.95</f>
        <v>0.94971499999999998</v>
      </c>
      <c r="CR145">
        <f>Sales[[#This Row],[Nbhd Adj]]*Sales[[#This Row],[Quality Adj]]*Sales[[#This Row],[Condition Adj]]*Sales[[#This Row],[Living Area Adj]]*Sales[[#This Row],[Decade Adj]]*0.95</f>
        <v>0.95571162706178159</v>
      </c>
      <c r="CS145">
        <f>ROUND(SUM(Sales[[#This Row],[Mdl Qlty]:[Mdl BltinGar]])+Sales[[#This Row],[Mdl Res Intercept]]*Sales[[#This Row],[Res Adj ]],-2)</f>
        <v>330200</v>
      </c>
      <c r="CT145">
        <f>ROUND(Sales[[#This Row],[25Det]]*Sales[[#This Row],[Det/Nbhd Adj]],-2)</f>
        <v>0</v>
      </c>
      <c r="CU145">
        <f>Sales[[#This Row],[Adjusted Res]]+Sales[[#This Row],[Adj Det ]]</f>
        <v>330200</v>
      </c>
      <c r="CV145">
        <f>ROUND((Sales[[#This Row],[Mdl Land Intercept]]+Sales[[#This Row],[Mdl LnAcres]])*Sales[[#This Row],[Det/Nbhd Adj]],-2)</f>
        <v>61800</v>
      </c>
      <c r="CW145">
        <f>Sales[[#This Row],[Adjusted Impr Total]]+Sales[[#This Row],[Adjusted Land Total]]</f>
        <v>392000</v>
      </c>
      <c r="CX145" s="10">
        <f>IFERROR((Sales[[#This Row],[Adjusted Impr Total]]-Sales[[#This Row],[24Bldg]])/Sales[[#This Row],[24Bldg]],0)</f>
        <v>-4.2621049579588288E-2</v>
      </c>
      <c r="CY145" s="10">
        <f>(Sales[[#This Row],[Adjusted Land Total]]-Sales[[#This Row],[24Lnd]])/Sales[[#This Row],[24Lnd]]</f>
        <v>1.6207455429497568E-3</v>
      </c>
      <c r="CZ145">
        <f>(Sales[[#This Row],[Adjusted Total]]-Sales[[#This Row],[24Final]])/Sales[[#This Row],[24Final]]</f>
        <v>-3.5907525823905558E-2</v>
      </c>
      <c r="DA145" s="10">
        <f>(Sales[[#This Row],[Adjusted Total]]+Sales[[#This Row],[Days Prior Total]])/Sales[[#This Row],[Price]]</f>
        <v>0.97721499984514848</v>
      </c>
    </row>
    <row r="146" spans="1:105">
      <c r="A146">
        <v>2025</v>
      </c>
      <c r="B146">
        <v>19133541444</v>
      </c>
      <c r="C146">
        <v>-1.7719568419318752</v>
      </c>
      <c r="D146">
        <v>0.17</v>
      </c>
      <c r="E146">
        <v>7245</v>
      </c>
      <c r="F146">
        <v>2</v>
      </c>
      <c r="G146" t="s">
        <v>155</v>
      </c>
      <c r="H146">
        <v>317</v>
      </c>
      <c r="I146" t="s">
        <v>5</v>
      </c>
      <c r="J146" t="s">
        <v>212</v>
      </c>
      <c r="K146">
        <v>11</v>
      </c>
      <c r="L146">
        <v>259</v>
      </c>
      <c r="M146" t="s">
        <v>157</v>
      </c>
      <c r="N146" t="s">
        <v>21</v>
      </c>
      <c r="O146" t="s">
        <v>24</v>
      </c>
      <c r="P146">
        <v>2021</v>
      </c>
      <c r="Q146">
        <v>2021</v>
      </c>
      <c r="R146">
        <v>10</v>
      </c>
      <c r="S146">
        <v>3</v>
      </c>
      <c r="T146">
        <v>3</v>
      </c>
      <c r="U146">
        <v>1</v>
      </c>
      <c r="V146">
        <v>1740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1740</v>
      </c>
      <c r="AC146">
        <v>2000</v>
      </c>
      <c r="AD146">
        <v>2</v>
      </c>
      <c r="AE146" t="s">
        <v>56</v>
      </c>
      <c r="AF146" t="s">
        <v>158</v>
      </c>
      <c r="AG146" t="s">
        <v>27</v>
      </c>
      <c r="AI146">
        <v>0</v>
      </c>
      <c r="AJ146">
        <v>0</v>
      </c>
      <c r="AK146">
        <v>0</v>
      </c>
      <c r="AL146">
        <v>1</v>
      </c>
      <c r="AM146">
        <v>0</v>
      </c>
      <c r="AN146">
        <v>10</v>
      </c>
      <c r="AO146">
        <v>450</v>
      </c>
      <c r="AP146">
        <v>0</v>
      </c>
      <c r="AQ146">
        <v>0</v>
      </c>
      <c r="AR146">
        <v>0</v>
      </c>
      <c r="AS146">
        <v>144</v>
      </c>
      <c r="AT146">
        <v>0</v>
      </c>
      <c r="AU146">
        <v>100</v>
      </c>
      <c r="AV146">
        <v>100</v>
      </c>
      <c r="AW146">
        <v>339934</v>
      </c>
      <c r="AX146">
        <v>336535</v>
      </c>
      <c r="AY146">
        <v>802</v>
      </c>
      <c r="AZ146">
        <v>365</v>
      </c>
      <c r="BA146">
        <v>365</v>
      </c>
      <c r="BB146">
        <v>72</v>
      </c>
      <c r="BC146" s="2">
        <v>44490</v>
      </c>
      <c r="BD146" t="s">
        <v>305</v>
      </c>
      <c r="BE146">
        <v>316150</v>
      </c>
      <c r="BF146">
        <v>316150</v>
      </c>
      <c r="BG146" t="s">
        <v>160</v>
      </c>
      <c r="BH146">
        <v>30</v>
      </c>
      <c r="BI146" t="s">
        <v>56</v>
      </c>
      <c r="BJ146" t="s">
        <v>161</v>
      </c>
      <c r="BK146">
        <v>385200</v>
      </c>
      <c r="BL146">
        <v>61700</v>
      </c>
      <c r="BM146">
        <v>323500</v>
      </c>
      <c r="BN146">
        <v>0</v>
      </c>
      <c r="BO146">
        <v>355028.199326801</v>
      </c>
      <c r="BP146">
        <v>392666.48053641163</v>
      </c>
      <c r="BQ146">
        <f>(Sales[[#This Row],[DP1]]*Lookups!$B$61)+(Sales[[#This Row],[DP2]]*Lookups!$B$62)+(Sales[[#This Row],[DP3]]*Lookups!$B$63)</f>
        <v>-37638.279431000003</v>
      </c>
      <c r="BR146">
        <f>Lookups!$B$58*0.6</f>
        <v>132535.48800000001</v>
      </c>
      <c r="BS146">
        <f>Lookups!$B$58*0.4</f>
        <v>88356.992000000013</v>
      </c>
      <c r="BT146">
        <f>Lookups!$B$59*Sales[[#This Row],[LnAcres]]</f>
        <v>-23255.730391660189</v>
      </c>
      <c r="BU146">
        <f>VLOOKUP(Sales[[#This Row],[Qlty]],Lookups!$A$66:$E$79,2,FALSE)</f>
        <v>32917.849192000001</v>
      </c>
      <c r="BV146">
        <f>VLOOKUP(Sales[[#This Row],[Cnd]],Lookups!$A$80:$E$91,2,FALSE)</f>
        <v>47371.278778200001</v>
      </c>
      <c r="BW146">
        <f>Sales[[#This Row],[EffAge]]*Lookups!$B$65</f>
        <v>-326.22329999999999</v>
      </c>
      <c r="BX146">
        <f>Sales[[#This Row],[MainFn]]*Lookups!$B$90</f>
        <v>108594.06120000001</v>
      </c>
      <c r="BY146">
        <f>Sales[[#This Row],[UpprFn]]*Lookups!$B$91</f>
        <v>0</v>
      </c>
      <c r="BZ146">
        <f>Sales[[#This Row],[Bsmt]]*Lookups!$B$95</f>
        <v>0</v>
      </c>
      <c r="CA146">
        <f>VLOOKUP(Sales[[#This Row],[MsnryTrim]],Lookups!$A$90:$E$99,2,FALSE)</f>
        <v>-9412.7029999999995</v>
      </c>
      <c r="CB146">
        <f>Sales[[#This Row],[PrefabFP]]*Lookups!$B$92</f>
        <v>0</v>
      </c>
      <c r="CC146">
        <f>Sales[[#This Row],[AttGar]]*Lookups!$B$93</f>
        <v>15885.463950000001</v>
      </c>
      <c r="CD146">
        <f>Sales[[#This Row],[BltinGar]]*Lookups!$B$94</f>
        <v>0</v>
      </c>
      <c r="CE146">
        <f>SUM(Sales[[#This Row],[Days Prior Total]:[Mdl BltinGar]])</f>
        <v>355028.1969975399</v>
      </c>
      <c r="CF146">
        <f>ROUND(Sales[[#This Row],[25Det]],-2)</f>
        <v>0</v>
      </c>
      <c r="CG146">
        <f>ROUND(SUM(Sales[[#This Row],[Mdl Qlty]:[Mdl BltinGar]])+Sales[[#This Row],[Mdl Res Intercept]]+Sales[[#This Row],[Days Prior Total]],-2)</f>
        <v>289900</v>
      </c>
      <c r="CH146">
        <f>ROUND(Sales[[#This Row],[Mdl Land Intercept]]+Sales[[#This Row],[Mdl LnAcres]],-2)</f>
        <v>65100</v>
      </c>
      <c r="CI146">
        <f>Sales[[#This Row],[Unadj Res Value]]+Sales[[#This Row],[Unadj Det Value]]+Sales[[#This Row],[Unadj Land Value]]</f>
        <v>355000</v>
      </c>
      <c r="CJ146" s="10">
        <f>Sales[[#This Row],[Price]]/Sales[[#This Row],[Unadj Total Value]]</f>
        <v>0.89056338028169013</v>
      </c>
      <c r="CK146" s="10">
        <f>(Sales[[#This Row],[Unadj Total Value]]-Sales[[#This Row],[24Final]])/Sales[[#This Row],[24Final]]</f>
        <v>-7.8400830737279339E-2</v>
      </c>
      <c r="CL146">
        <f>VLOOKUP(Sales[[#This Row],[TNbhd]],Lookups!$M$3:$P$5,4,FALSE)</f>
        <v>0.99970000000000003</v>
      </c>
      <c r="CM146">
        <f>VLOOKUP(Sales[[#This Row],[Qlty]],Lookups!$M$8:$P$22,4,FALSE)</f>
        <v>1.0019</v>
      </c>
      <c r="CN146">
        <f>VLOOKUP(Sales[[#This Row],[Cnd]],Lookups!$R$8:$U$17,4,FALSE)</f>
        <v>1.0012000000000001</v>
      </c>
      <c r="CO146">
        <f>VLOOKUP(Sales[[#This Row],[LivArea Range]],Lookups!$R$25:$U$43,4,FALSE)</f>
        <v>1.0007999999999999</v>
      </c>
      <c r="CP146">
        <f>VLOOKUP(Sales[[#This Row],[Decade]],Lookups!$M$24:$P$40,4,FALSE)</f>
        <v>1.0024</v>
      </c>
      <c r="CQ146">
        <f>Sales[[#This Row],[Nbhd Adj]]*0.95</f>
        <v>0.94971499999999998</v>
      </c>
      <c r="CR146">
        <f>Sales[[#This Row],[Nbhd Adj]]*Sales[[#This Row],[Quality Adj]]*Sales[[#This Row],[Condition Adj]]*Sales[[#This Row],[Living Area Adj]]*Sales[[#This Row],[Decade Adj]]*0.95</f>
        <v>0.95571162706178159</v>
      </c>
      <c r="CS146">
        <f>ROUND(SUM(Sales[[#This Row],[Mdl Qlty]:[Mdl BltinGar]])+Sales[[#This Row],[Mdl Res Intercept]]*Sales[[#This Row],[Res Adj ]],-2)</f>
        <v>321700</v>
      </c>
      <c r="CT146">
        <f>ROUND(Sales[[#This Row],[25Det]]*Sales[[#This Row],[Det/Nbhd Adj]],-2)</f>
        <v>0</v>
      </c>
      <c r="CU146">
        <f>Sales[[#This Row],[Adjusted Res]]+Sales[[#This Row],[Adj Det ]]</f>
        <v>321700</v>
      </c>
      <c r="CV146">
        <f>ROUND((Sales[[#This Row],[Mdl Land Intercept]]+Sales[[#This Row],[Mdl LnAcres]])*Sales[[#This Row],[Det/Nbhd Adj]],-2)</f>
        <v>61800</v>
      </c>
      <c r="CW146">
        <f>Sales[[#This Row],[Adjusted Impr Total]]+Sales[[#This Row],[Adjusted Land Total]]</f>
        <v>383500</v>
      </c>
      <c r="CX146" s="10">
        <f>IFERROR((Sales[[#This Row],[Adjusted Impr Total]]-Sales[[#This Row],[24Bldg]])/Sales[[#This Row],[24Bldg]],0)</f>
        <v>-5.5641421947449764E-3</v>
      </c>
      <c r="CY146" s="10">
        <f>(Sales[[#This Row],[Adjusted Land Total]]-Sales[[#This Row],[24Lnd]])/Sales[[#This Row],[24Lnd]]</f>
        <v>1.6207455429497568E-3</v>
      </c>
      <c r="CZ146">
        <f>(Sales[[#This Row],[Adjusted Total]]-Sales[[#This Row],[24Final]])/Sales[[#This Row],[24Final]]</f>
        <v>-4.4132917964693668E-3</v>
      </c>
      <c r="DA146" s="10">
        <f>(Sales[[#This Row],[Adjusted Total]]+Sales[[#This Row],[Days Prior Total]])/Sales[[#This Row],[Price]]</f>
        <v>1.0939798215056145</v>
      </c>
    </row>
    <row r="147" spans="1:105">
      <c r="A147">
        <v>2025</v>
      </c>
      <c r="B147">
        <v>19133541445</v>
      </c>
      <c r="C147">
        <v>-1.7719568419318752</v>
      </c>
      <c r="D147">
        <v>0.17</v>
      </c>
      <c r="E147">
        <v>7245</v>
      </c>
      <c r="F147">
        <v>2</v>
      </c>
      <c r="G147" t="s">
        <v>155</v>
      </c>
      <c r="H147">
        <v>317</v>
      </c>
      <c r="I147" t="s">
        <v>5</v>
      </c>
      <c r="J147" t="s">
        <v>212</v>
      </c>
      <c r="K147">
        <v>11</v>
      </c>
      <c r="L147">
        <v>259</v>
      </c>
      <c r="M147" t="s">
        <v>157</v>
      </c>
      <c r="N147" t="s">
        <v>21</v>
      </c>
      <c r="O147" t="s">
        <v>24</v>
      </c>
      <c r="P147">
        <v>2021</v>
      </c>
      <c r="Q147">
        <v>2021</v>
      </c>
      <c r="R147">
        <v>10</v>
      </c>
      <c r="S147">
        <v>3</v>
      </c>
      <c r="T147">
        <v>3</v>
      </c>
      <c r="U147">
        <v>2</v>
      </c>
      <c r="V147">
        <v>1668</v>
      </c>
      <c r="W147">
        <v>1160</v>
      </c>
      <c r="X147">
        <v>0</v>
      </c>
      <c r="Y147">
        <v>0</v>
      </c>
      <c r="Z147">
        <v>0</v>
      </c>
      <c r="AA147">
        <v>0</v>
      </c>
      <c r="AB147">
        <v>2828</v>
      </c>
      <c r="AC147">
        <v>3000</v>
      </c>
      <c r="AD147">
        <v>2</v>
      </c>
      <c r="AE147" t="s">
        <v>56</v>
      </c>
      <c r="AF147" t="s">
        <v>158</v>
      </c>
      <c r="AG147" t="s">
        <v>27</v>
      </c>
      <c r="AI147">
        <v>0</v>
      </c>
      <c r="AJ147">
        <v>0</v>
      </c>
      <c r="AK147">
        <v>0</v>
      </c>
      <c r="AL147">
        <v>1</v>
      </c>
      <c r="AM147">
        <v>0</v>
      </c>
      <c r="AN147">
        <v>15</v>
      </c>
      <c r="AO147">
        <v>0</v>
      </c>
      <c r="AP147">
        <v>420</v>
      </c>
      <c r="AQ147">
        <v>0</v>
      </c>
      <c r="AR147">
        <v>0</v>
      </c>
      <c r="AS147">
        <v>120</v>
      </c>
      <c r="AT147">
        <v>0</v>
      </c>
      <c r="AU147">
        <v>100</v>
      </c>
      <c r="AV147">
        <v>100</v>
      </c>
      <c r="AW147">
        <v>478430</v>
      </c>
      <c r="AX147">
        <v>473646</v>
      </c>
      <c r="AY147">
        <v>817</v>
      </c>
      <c r="AZ147">
        <v>365</v>
      </c>
      <c r="BA147">
        <v>365</v>
      </c>
      <c r="BB147">
        <v>87</v>
      </c>
      <c r="BC147" s="2">
        <v>44475</v>
      </c>
      <c r="BD147" t="s">
        <v>306</v>
      </c>
      <c r="BE147">
        <v>390280</v>
      </c>
      <c r="BF147">
        <v>390280</v>
      </c>
      <c r="BG147" t="s">
        <v>160</v>
      </c>
      <c r="BH147">
        <v>30</v>
      </c>
      <c r="BI147" t="s">
        <v>56</v>
      </c>
      <c r="BJ147" t="s">
        <v>161</v>
      </c>
      <c r="BK147">
        <v>443700</v>
      </c>
      <c r="BL147">
        <v>61700</v>
      </c>
      <c r="BM147">
        <v>382000</v>
      </c>
      <c r="BN147">
        <v>0</v>
      </c>
      <c r="BO147">
        <v>421074.09688090516</v>
      </c>
      <c r="BP147">
        <v>462147.36921933788</v>
      </c>
      <c r="BQ147">
        <f>(Sales[[#This Row],[DP1]]*Lookups!$B$61)+(Sales[[#This Row],[DP2]]*Lookups!$B$62)+(Sales[[#This Row],[DP3]]*Lookups!$B$63)</f>
        <v>-41073.270430999997</v>
      </c>
      <c r="BR147">
        <f>Lookups!$B$58*0.6</f>
        <v>132535.48800000001</v>
      </c>
      <c r="BS147">
        <f>Lookups!$B$58*0.4</f>
        <v>88356.992000000013</v>
      </c>
      <c r="BT147">
        <f>Lookups!$B$59*Sales[[#This Row],[LnAcres]]</f>
        <v>-23255.730391660189</v>
      </c>
      <c r="BU147">
        <f>VLOOKUP(Sales[[#This Row],[Qlty]],Lookups!$A$66:$E$79,2,FALSE)</f>
        <v>32917.849192000001</v>
      </c>
      <c r="BV147">
        <f>VLOOKUP(Sales[[#This Row],[Cnd]],Lookups!$A$80:$E$91,2,FALSE)</f>
        <v>47371.278778200001</v>
      </c>
      <c r="BW147">
        <f>Sales[[#This Row],[EffAge]]*Lookups!$B$65</f>
        <v>-326.22329999999999</v>
      </c>
      <c r="BX147">
        <f>Sales[[#This Row],[MainFn]]*Lookups!$B$90</f>
        <v>104100.51384</v>
      </c>
      <c r="BY147">
        <f>Sales[[#This Row],[UpprFn]]*Lookups!$B$91</f>
        <v>69113.244279999999</v>
      </c>
      <c r="BZ147">
        <f>Sales[[#This Row],[Bsmt]]*Lookups!$B$95</f>
        <v>0</v>
      </c>
      <c r="CA147">
        <f>VLOOKUP(Sales[[#This Row],[MsnryTrim]],Lookups!$A$90:$E$99,2,FALSE)</f>
        <v>-9412.7029999999995</v>
      </c>
      <c r="CB147">
        <f>Sales[[#This Row],[PrefabFP]]*Lookups!$B$92</f>
        <v>0</v>
      </c>
      <c r="CC147">
        <f>Sales[[#This Row],[AttGar]]*Lookups!$B$93</f>
        <v>0</v>
      </c>
      <c r="CD147">
        <f>Sales[[#This Row],[BltinGar]]*Lookups!$B$94</f>
        <v>20746.655999999999</v>
      </c>
      <c r="CE147">
        <f>SUM(Sales[[#This Row],[Days Prior Total]:[Mdl BltinGar]])</f>
        <v>421074.09496753983</v>
      </c>
      <c r="CF147">
        <f>ROUND(Sales[[#This Row],[25Det]],-2)</f>
        <v>0</v>
      </c>
      <c r="CG147">
        <f>ROUND(SUM(Sales[[#This Row],[Mdl Qlty]:[Mdl BltinGar]])+Sales[[#This Row],[Mdl Res Intercept]]+Sales[[#This Row],[Days Prior Total]],-2)</f>
        <v>356000</v>
      </c>
      <c r="CH147">
        <f>ROUND(Sales[[#This Row],[Mdl Land Intercept]]+Sales[[#This Row],[Mdl LnAcres]],-2)</f>
        <v>65100</v>
      </c>
      <c r="CI147">
        <f>Sales[[#This Row],[Unadj Res Value]]+Sales[[#This Row],[Unadj Det Value]]+Sales[[#This Row],[Unadj Land Value]]</f>
        <v>421100</v>
      </c>
      <c r="CJ147" s="10">
        <f>Sales[[#This Row],[Price]]/Sales[[#This Row],[Unadj Total Value]]</f>
        <v>0.92681073379244838</v>
      </c>
      <c r="CK147" s="10">
        <f>(Sales[[#This Row],[Unadj Total Value]]-Sales[[#This Row],[24Final]])/Sales[[#This Row],[24Final]]</f>
        <v>-5.0935316655397793E-2</v>
      </c>
      <c r="CL147">
        <f>VLOOKUP(Sales[[#This Row],[TNbhd]],Lookups!$M$3:$P$5,4,FALSE)</f>
        <v>0.99970000000000003</v>
      </c>
      <c r="CM147">
        <f>VLOOKUP(Sales[[#This Row],[Qlty]],Lookups!$M$8:$P$22,4,FALSE)</f>
        <v>1.0019</v>
      </c>
      <c r="CN147">
        <f>VLOOKUP(Sales[[#This Row],[Cnd]],Lookups!$R$8:$U$17,4,FALSE)</f>
        <v>1.0012000000000001</v>
      </c>
      <c r="CO147">
        <f>VLOOKUP(Sales[[#This Row],[LivArea Range]],Lookups!$R$25:$U$43,4,FALSE)</f>
        <v>1.0099</v>
      </c>
      <c r="CP147">
        <f>VLOOKUP(Sales[[#This Row],[Decade]],Lookups!$M$24:$P$40,4,FALSE)</f>
        <v>1.0024</v>
      </c>
      <c r="CQ147">
        <f>Sales[[#This Row],[Nbhd Adj]]*0.95</f>
        <v>0.94971499999999998</v>
      </c>
      <c r="CR147">
        <f>Sales[[#This Row],[Nbhd Adj]]*Sales[[#This Row],[Quality Adj]]*Sales[[#This Row],[Condition Adj]]*Sales[[#This Row],[Living Area Adj]]*Sales[[#This Row],[Decade Adj]]*0.95</f>
        <v>0.96440165084901408</v>
      </c>
      <c r="CS147">
        <f>ROUND(SUM(Sales[[#This Row],[Mdl Qlty]:[Mdl BltinGar]])+Sales[[#This Row],[Mdl Res Intercept]]*Sales[[#This Row],[Res Adj ]],-2)</f>
        <v>392300</v>
      </c>
      <c r="CT147">
        <f>ROUND(Sales[[#This Row],[25Det]]*Sales[[#This Row],[Det/Nbhd Adj]],-2)</f>
        <v>0</v>
      </c>
      <c r="CU147">
        <f>Sales[[#This Row],[Adjusted Res]]+Sales[[#This Row],[Adj Det ]]</f>
        <v>392300</v>
      </c>
      <c r="CV147">
        <f>ROUND((Sales[[#This Row],[Mdl Land Intercept]]+Sales[[#This Row],[Mdl LnAcres]])*Sales[[#This Row],[Det/Nbhd Adj]],-2)</f>
        <v>61800</v>
      </c>
      <c r="CW147">
        <f>Sales[[#This Row],[Adjusted Impr Total]]+Sales[[#This Row],[Adjusted Land Total]]</f>
        <v>454100</v>
      </c>
      <c r="CX147" s="10">
        <f>IFERROR((Sales[[#This Row],[Adjusted Impr Total]]-Sales[[#This Row],[24Bldg]])/Sales[[#This Row],[24Bldg]],0)</f>
        <v>2.6963350785340314E-2</v>
      </c>
      <c r="CY147" s="10">
        <f>(Sales[[#This Row],[Adjusted Land Total]]-Sales[[#This Row],[24Lnd]])/Sales[[#This Row],[24Lnd]]</f>
        <v>1.6207455429497568E-3</v>
      </c>
      <c r="CZ147">
        <f>(Sales[[#This Row],[Adjusted Total]]-Sales[[#This Row],[24Final]])/Sales[[#This Row],[24Final]]</f>
        <v>2.3439260761775976E-2</v>
      </c>
      <c r="DA147" s="10">
        <f>(Sales[[#This Row],[Adjusted Total]]+Sales[[#This Row],[Days Prior Total]])/Sales[[#This Row],[Price]]</f>
        <v>1.0582831033335043</v>
      </c>
    </row>
    <row r="148" spans="1:105">
      <c r="A148">
        <v>2025</v>
      </c>
      <c r="B148">
        <v>19133541446</v>
      </c>
      <c r="C148">
        <v>-1.7719568419318752</v>
      </c>
      <c r="D148">
        <v>0.17</v>
      </c>
      <c r="E148">
        <v>7245</v>
      </c>
      <c r="F148">
        <v>2</v>
      </c>
      <c r="G148" t="s">
        <v>155</v>
      </c>
      <c r="H148">
        <v>317</v>
      </c>
      <c r="I148" t="s">
        <v>5</v>
      </c>
      <c r="J148" t="s">
        <v>212</v>
      </c>
      <c r="K148">
        <v>11</v>
      </c>
      <c r="L148">
        <v>259</v>
      </c>
      <c r="M148" t="s">
        <v>157</v>
      </c>
      <c r="N148" t="s">
        <v>19</v>
      </c>
      <c r="O148" t="s">
        <v>24</v>
      </c>
      <c r="P148">
        <v>2021</v>
      </c>
      <c r="Q148">
        <v>2021</v>
      </c>
      <c r="R148">
        <v>10</v>
      </c>
      <c r="S148">
        <v>3</v>
      </c>
      <c r="T148">
        <v>3</v>
      </c>
      <c r="U148">
        <v>1</v>
      </c>
      <c r="V148">
        <v>1403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1403</v>
      </c>
      <c r="AC148">
        <v>1500</v>
      </c>
      <c r="AD148">
        <v>3</v>
      </c>
      <c r="AE148" t="s">
        <v>57</v>
      </c>
      <c r="AF148" t="s">
        <v>158</v>
      </c>
      <c r="AG148" t="s">
        <v>21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10</v>
      </c>
      <c r="AO148">
        <v>640</v>
      </c>
      <c r="AP148">
        <v>0</v>
      </c>
      <c r="AQ148">
        <v>0</v>
      </c>
      <c r="AR148">
        <v>0</v>
      </c>
      <c r="AS148">
        <v>264</v>
      </c>
      <c r="AT148">
        <v>144</v>
      </c>
      <c r="AU148">
        <v>100</v>
      </c>
      <c r="AV148">
        <v>100</v>
      </c>
      <c r="AW148">
        <v>265225</v>
      </c>
      <c r="AX148">
        <v>262573</v>
      </c>
      <c r="AY148">
        <v>726</v>
      </c>
      <c r="AZ148">
        <v>365</v>
      </c>
      <c r="BA148">
        <v>361</v>
      </c>
      <c r="BB148">
        <v>0</v>
      </c>
      <c r="BC148" s="2">
        <v>44566</v>
      </c>
      <c r="BD148" t="s">
        <v>307</v>
      </c>
      <c r="BE148">
        <v>359950</v>
      </c>
      <c r="BF148">
        <v>359950</v>
      </c>
      <c r="BG148" t="s">
        <v>160</v>
      </c>
      <c r="BH148">
        <v>30</v>
      </c>
      <c r="BI148" t="s">
        <v>56</v>
      </c>
      <c r="BJ148" t="s">
        <v>161</v>
      </c>
      <c r="BK148">
        <v>390500</v>
      </c>
      <c r="BL148">
        <v>61700</v>
      </c>
      <c r="BM148">
        <v>328800</v>
      </c>
      <c r="BN148">
        <v>0</v>
      </c>
      <c r="BO148">
        <v>375222.81297729816</v>
      </c>
      <c r="BP148">
        <v>396103.36255571246</v>
      </c>
      <c r="BQ148">
        <f>(Sales[[#This Row],[DP1]]*Lookups!$B$61)+(Sales[[#This Row],[DP2]]*Lookups!$B$62)+(Sales[[#This Row],[DP3]]*Lookups!$B$63)</f>
        <v>-20880.548430999999</v>
      </c>
      <c r="BR148">
        <f>Lookups!$B$58*0.6</f>
        <v>132535.48800000001</v>
      </c>
      <c r="BS148">
        <f>Lookups!$B$58*0.4</f>
        <v>88356.992000000013</v>
      </c>
      <c r="BT148">
        <f>Lookups!$B$59*Sales[[#This Row],[LnAcres]]</f>
        <v>-23255.730391660189</v>
      </c>
      <c r="BU148">
        <f>VLOOKUP(Sales[[#This Row],[Qlty]],Lookups!$A$66:$E$79,2,FALSE)</f>
        <v>37154.252388000001</v>
      </c>
      <c r="BV148">
        <f>VLOOKUP(Sales[[#This Row],[Cnd]],Lookups!$A$80:$E$91,2,FALSE)</f>
        <v>47371.278778200001</v>
      </c>
      <c r="BW148">
        <f>Sales[[#This Row],[EffAge]]*Lookups!$B$65</f>
        <v>-326.22329999999999</v>
      </c>
      <c r="BX148">
        <f>Sales[[#This Row],[MainFn]]*Lookups!$B$90</f>
        <v>87561.76314000001</v>
      </c>
      <c r="BY148">
        <f>Sales[[#This Row],[UpprFn]]*Lookups!$B$91</f>
        <v>0</v>
      </c>
      <c r="BZ148">
        <f>Sales[[#This Row],[Bsmt]]*Lookups!$B$95</f>
        <v>0</v>
      </c>
      <c r="CA148">
        <f>VLOOKUP(Sales[[#This Row],[MsnryTrim]],Lookups!$A$90:$E$99,2,FALSE)</f>
        <v>4112.8784489</v>
      </c>
      <c r="CB148">
        <f>Sales[[#This Row],[PrefabFP]]*Lookups!$B$92</f>
        <v>0</v>
      </c>
      <c r="CC148">
        <f>Sales[[#This Row],[AttGar]]*Lookups!$B$93</f>
        <v>22592.65984</v>
      </c>
      <c r="CD148">
        <f>Sales[[#This Row],[BltinGar]]*Lookups!$B$94</f>
        <v>0</v>
      </c>
      <c r="CE148">
        <f>SUM(Sales[[#This Row],[Days Prior Total]:[Mdl BltinGar]])</f>
        <v>375222.8104724398</v>
      </c>
      <c r="CF148">
        <f>ROUND(Sales[[#This Row],[25Det]],-2)</f>
        <v>0</v>
      </c>
      <c r="CG148">
        <f>ROUND(SUM(Sales[[#This Row],[Mdl Qlty]:[Mdl BltinGar]])+Sales[[#This Row],[Mdl Res Intercept]]+Sales[[#This Row],[Days Prior Total]],-2)</f>
        <v>310100</v>
      </c>
      <c r="CH148">
        <f>ROUND(Sales[[#This Row],[Mdl Land Intercept]]+Sales[[#This Row],[Mdl LnAcres]],-2)</f>
        <v>65100</v>
      </c>
      <c r="CI148">
        <f>Sales[[#This Row],[Unadj Res Value]]+Sales[[#This Row],[Unadj Det Value]]+Sales[[#This Row],[Unadj Land Value]]</f>
        <v>375200</v>
      </c>
      <c r="CJ148" s="10">
        <f>Sales[[#This Row],[Price]]/Sales[[#This Row],[Unadj Total Value]]</f>
        <v>0.95935501066098083</v>
      </c>
      <c r="CK148" s="10">
        <f>(Sales[[#This Row],[Unadj Total Value]]-Sales[[#This Row],[24Final]])/Sales[[#This Row],[24Final]]</f>
        <v>-3.9180537772087069E-2</v>
      </c>
      <c r="CL148">
        <f>VLOOKUP(Sales[[#This Row],[TNbhd]],Lookups!$M$3:$P$5,4,FALSE)</f>
        <v>0.99970000000000003</v>
      </c>
      <c r="CM148">
        <f>VLOOKUP(Sales[[#This Row],[Qlty]],Lookups!$M$8:$P$22,4,FALSE)</f>
        <v>0.99819999999999998</v>
      </c>
      <c r="CN148">
        <f>VLOOKUP(Sales[[#This Row],[Cnd]],Lookups!$R$8:$U$17,4,FALSE)</f>
        <v>1.0012000000000001</v>
      </c>
      <c r="CO148">
        <f>VLOOKUP(Sales[[#This Row],[LivArea Range]],Lookups!$R$25:$U$43,4,FALSE)</f>
        <v>0.99519999999999997</v>
      </c>
      <c r="CP148">
        <f>VLOOKUP(Sales[[#This Row],[Decade]],Lookups!$M$24:$P$40,4,FALSE)</f>
        <v>1.0024</v>
      </c>
      <c r="CQ148">
        <f>Sales[[#This Row],[Nbhd Adj]]*0.95</f>
        <v>0.94971499999999998</v>
      </c>
      <c r="CR148">
        <f>Sales[[#This Row],[Nbhd Adj]]*Sales[[#This Row],[Quality Adj]]*Sales[[#This Row],[Condition Adj]]*Sales[[#This Row],[Living Area Adj]]*Sales[[#This Row],[Decade Adj]]*0.95</f>
        <v>0.94685424199978463</v>
      </c>
      <c r="CS148">
        <f>ROUND(SUM(Sales[[#This Row],[Mdl Qlty]:[Mdl BltinGar]])+Sales[[#This Row],[Mdl Res Intercept]]*Sales[[#This Row],[Res Adj ]],-2)</f>
        <v>324000</v>
      </c>
      <c r="CT148">
        <f>ROUND(Sales[[#This Row],[25Det]]*Sales[[#This Row],[Det/Nbhd Adj]],-2)</f>
        <v>0</v>
      </c>
      <c r="CU148">
        <f>Sales[[#This Row],[Adjusted Res]]+Sales[[#This Row],[Adj Det ]]</f>
        <v>324000</v>
      </c>
      <c r="CV148">
        <f>ROUND((Sales[[#This Row],[Mdl Land Intercept]]+Sales[[#This Row],[Mdl LnAcres]])*Sales[[#This Row],[Det/Nbhd Adj]],-2)</f>
        <v>61800</v>
      </c>
      <c r="CW148">
        <f>Sales[[#This Row],[Adjusted Impr Total]]+Sales[[#This Row],[Adjusted Land Total]]</f>
        <v>385800</v>
      </c>
      <c r="CX148" s="10">
        <f>IFERROR((Sales[[#This Row],[Adjusted Impr Total]]-Sales[[#This Row],[24Bldg]])/Sales[[#This Row],[24Bldg]],0)</f>
        <v>-1.4598540145985401E-2</v>
      </c>
      <c r="CY148" s="10">
        <f>(Sales[[#This Row],[Adjusted Land Total]]-Sales[[#This Row],[24Lnd]])/Sales[[#This Row],[24Lnd]]</f>
        <v>1.6207455429497568E-3</v>
      </c>
      <c r="CZ148">
        <f>(Sales[[#This Row],[Adjusted Total]]-Sales[[#This Row],[24Final]])/Sales[[#This Row],[24Final]]</f>
        <v>-1.2035851472471191E-2</v>
      </c>
      <c r="DA148" s="10">
        <f>(Sales[[#This Row],[Adjusted Total]]+Sales[[#This Row],[Days Prior Total]])/Sales[[#This Row],[Price]]</f>
        <v>1.0138059496291152</v>
      </c>
    </row>
    <row r="149" spans="1:105">
      <c r="A149">
        <v>2025</v>
      </c>
      <c r="B149">
        <v>19133541447</v>
      </c>
      <c r="C149">
        <v>-1.7147984280919266</v>
      </c>
      <c r="D149">
        <v>0.18</v>
      </c>
      <c r="E149">
        <v>7982</v>
      </c>
      <c r="F149">
        <v>2</v>
      </c>
      <c r="G149" t="s">
        <v>155</v>
      </c>
      <c r="H149">
        <v>317</v>
      </c>
      <c r="I149" t="s">
        <v>5</v>
      </c>
      <c r="J149" t="s">
        <v>212</v>
      </c>
      <c r="K149">
        <v>11</v>
      </c>
      <c r="L149">
        <v>259</v>
      </c>
      <c r="M149" t="s">
        <v>157</v>
      </c>
      <c r="N149" t="s">
        <v>21</v>
      </c>
      <c r="O149" t="s">
        <v>24</v>
      </c>
      <c r="P149">
        <v>2021</v>
      </c>
      <c r="Q149">
        <v>2021</v>
      </c>
      <c r="R149">
        <v>10</v>
      </c>
      <c r="S149">
        <v>3</v>
      </c>
      <c r="T149">
        <v>3</v>
      </c>
      <c r="U149">
        <v>1</v>
      </c>
      <c r="V149">
        <v>2040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2040</v>
      </c>
      <c r="AC149">
        <v>2500</v>
      </c>
      <c r="AD149">
        <v>3</v>
      </c>
      <c r="AE149" t="s">
        <v>56</v>
      </c>
      <c r="AF149" t="s">
        <v>158</v>
      </c>
      <c r="AG149" t="s">
        <v>27</v>
      </c>
      <c r="AI149">
        <v>0</v>
      </c>
      <c r="AJ149">
        <v>0</v>
      </c>
      <c r="AK149">
        <v>1</v>
      </c>
      <c r="AL149">
        <v>0</v>
      </c>
      <c r="AM149">
        <v>0</v>
      </c>
      <c r="AN149">
        <v>11</v>
      </c>
      <c r="AO149">
        <v>655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100</v>
      </c>
      <c r="AV149">
        <v>100</v>
      </c>
      <c r="AW149">
        <v>408597</v>
      </c>
      <c r="AX149">
        <v>404511</v>
      </c>
      <c r="AY149">
        <v>811</v>
      </c>
      <c r="AZ149">
        <v>365</v>
      </c>
      <c r="BA149">
        <v>365</v>
      </c>
      <c r="BB149">
        <v>81</v>
      </c>
      <c r="BC149" s="2">
        <v>44481</v>
      </c>
      <c r="BD149" t="s">
        <v>308</v>
      </c>
      <c r="BE149">
        <v>377150</v>
      </c>
      <c r="BF149">
        <v>377150</v>
      </c>
      <c r="BG149" t="s">
        <v>160</v>
      </c>
      <c r="BH149">
        <v>30</v>
      </c>
      <c r="BI149" t="s">
        <v>56</v>
      </c>
      <c r="BJ149" t="s">
        <v>161</v>
      </c>
      <c r="BK149">
        <v>424500</v>
      </c>
      <c r="BL149">
        <v>62500</v>
      </c>
      <c r="BM149">
        <v>362000</v>
      </c>
      <c r="BN149">
        <v>0</v>
      </c>
      <c r="BO149">
        <v>389484.29982096318</v>
      </c>
      <c r="BP149">
        <v>429183.57570786704</v>
      </c>
      <c r="BQ149">
        <f>(Sales[[#This Row],[DP1]]*Lookups!$B$61)+(Sales[[#This Row],[DP2]]*Lookups!$B$62)+(Sales[[#This Row],[DP3]]*Lookups!$B$63)</f>
        <v>-39699.274031000001</v>
      </c>
      <c r="BR149">
        <f>Lookups!$B$58*0.6</f>
        <v>132535.48800000001</v>
      </c>
      <c r="BS149">
        <f>Lookups!$B$58*0.4</f>
        <v>88356.992000000013</v>
      </c>
      <c r="BT149">
        <f>Lookups!$B$59*Sales[[#This Row],[LnAcres]]</f>
        <v>-22505.565020573864</v>
      </c>
      <c r="BU149">
        <f>VLOOKUP(Sales[[#This Row],[Qlty]],Lookups!$A$66:$E$79,2,FALSE)</f>
        <v>32917.849192000001</v>
      </c>
      <c r="BV149">
        <f>VLOOKUP(Sales[[#This Row],[Cnd]],Lookups!$A$80:$E$91,2,FALSE)</f>
        <v>47371.278778200001</v>
      </c>
      <c r="BW149">
        <f>Sales[[#This Row],[EffAge]]*Lookups!$B$65</f>
        <v>-326.22329999999999</v>
      </c>
      <c r="BX149">
        <f>Sales[[#This Row],[MainFn]]*Lookups!$B$90</f>
        <v>127317.17520000001</v>
      </c>
      <c r="BY149">
        <f>Sales[[#This Row],[UpprFn]]*Lookups!$B$91</f>
        <v>0</v>
      </c>
      <c r="BZ149">
        <f>Sales[[#This Row],[Bsmt]]*Lookups!$B$95</f>
        <v>0</v>
      </c>
      <c r="CA149">
        <f>VLOOKUP(Sales[[#This Row],[MsnryTrim]],Lookups!$A$90:$E$99,2,FALSE)</f>
        <v>-9412.7029999999995</v>
      </c>
      <c r="CB149">
        <f>Sales[[#This Row],[PrefabFP]]*Lookups!$B$92</f>
        <v>9807.1044999999995</v>
      </c>
      <c r="CC149">
        <f>Sales[[#This Row],[AttGar]]*Lookups!$B$93</f>
        <v>23122.175305000001</v>
      </c>
      <c r="CD149">
        <f>Sales[[#This Row],[BltinGar]]*Lookups!$B$94</f>
        <v>0</v>
      </c>
      <c r="CE149">
        <f>SUM(Sales[[#This Row],[Days Prior Total]:[Mdl BltinGar]])</f>
        <v>389484.29762362619</v>
      </c>
      <c r="CF149">
        <f>ROUND(Sales[[#This Row],[25Det]],-2)</f>
        <v>0</v>
      </c>
      <c r="CG149">
        <f>ROUND(SUM(Sales[[#This Row],[Mdl Qlty]:[Mdl BltinGar]])+Sales[[#This Row],[Mdl Res Intercept]]+Sales[[#This Row],[Days Prior Total]],-2)</f>
        <v>323600</v>
      </c>
      <c r="CH149">
        <f>ROUND(Sales[[#This Row],[Mdl Land Intercept]]+Sales[[#This Row],[Mdl LnAcres]],-2)</f>
        <v>65900</v>
      </c>
      <c r="CI149">
        <f>Sales[[#This Row],[Unadj Res Value]]+Sales[[#This Row],[Unadj Det Value]]+Sales[[#This Row],[Unadj Land Value]]</f>
        <v>389500</v>
      </c>
      <c r="CJ149" s="10">
        <f>Sales[[#This Row],[Price]]/Sales[[#This Row],[Unadj Total Value]]</f>
        <v>0.96829268292682924</v>
      </c>
      <c r="CK149" s="10">
        <f>(Sales[[#This Row],[Unadj Total Value]]-Sales[[#This Row],[24Final]])/Sales[[#This Row],[24Final]]</f>
        <v>-8.2449941107184926E-2</v>
      </c>
      <c r="CL149">
        <f>VLOOKUP(Sales[[#This Row],[TNbhd]],Lookups!$M$3:$P$5,4,FALSE)</f>
        <v>0.99970000000000003</v>
      </c>
      <c r="CM149">
        <f>VLOOKUP(Sales[[#This Row],[Qlty]],Lookups!$M$8:$P$22,4,FALSE)</f>
        <v>1.0019</v>
      </c>
      <c r="CN149">
        <f>VLOOKUP(Sales[[#This Row],[Cnd]],Lookups!$R$8:$U$17,4,FALSE)</f>
        <v>1.0012000000000001</v>
      </c>
      <c r="CO149">
        <f>VLOOKUP(Sales[[#This Row],[LivArea Range]],Lookups!$R$25:$U$43,4,FALSE)</f>
        <v>1.0008999999999999</v>
      </c>
      <c r="CP149">
        <f>VLOOKUP(Sales[[#This Row],[Decade]],Lookups!$M$24:$P$40,4,FALSE)</f>
        <v>1.0024</v>
      </c>
      <c r="CQ149">
        <f>Sales[[#This Row],[Nbhd Adj]]*0.95</f>
        <v>0.94971499999999998</v>
      </c>
      <c r="CR149">
        <f>Sales[[#This Row],[Nbhd Adj]]*Sales[[#This Row],[Quality Adj]]*Sales[[#This Row],[Condition Adj]]*Sales[[#This Row],[Living Area Adj]]*Sales[[#This Row],[Decade Adj]]*0.95</f>
        <v>0.95580712182867422</v>
      </c>
      <c r="CS149">
        <f>ROUND(SUM(Sales[[#This Row],[Mdl Qlty]:[Mdl BltinGar]])+Sales[[#This Row],[Mdl Res Intercept]]*Sales[[#This Row],[Res Adj ]],-2)</f>
        <v>357500</v>
      </c>
      <c r="CT149">
        <f>ROUND(Sales[[#This Row],[25Det]]*Sales[[#This Row],[Det/Nbhd Adj]],-2)</f>
        <v>0</v>
      </c>
      <c r="CU149">
        <f>Sales[[#This Row],[Adjusted Res]]+Sales[[#This Row],[Adj Det ]]</f>
        <v>357500</v>
      </c>
      <c r="CV149">
        <f>ROUND((Sales[[#This Row],[Mdl Land Intercept]]+Sales[[#This Row],[Mdl LnAcres]])*Sales[[#This Row],[Det/Nbhd Adj]],-2)</f>
        <v>62500</v>
      </c>
      <c r="CW149">
        <f>Sales[[#This Row],[Adjusted Impr Total]]+Sales[[#This Row],[Adjusted Land Total]]</f>
        <v>420000</v>
      </c>
      <c r="CX149" s="10">
        <f>IFERROR((Sales[[#This Row],[Adjusted Impr Total]]-Sales[[#This Row],[24Bldg]])/Sales[[#This Row],[24Bldg]],0)</f>
        <v>-1.2430939226519336E-2</v>
      </c>
      <c r="CY149" s="10">
        <f>(Sales[[#This Row],[Adjusted Land Total]]-Sales[[#This Row],[24Lnd]])/Sales[[#This Row],[24Lnd]]</f>
        <v>0</v>
      </c>
      <c r="CZ149">
        <f>(Sales[[#This Row],[Adjusted Total]]-Sales[[#This Row],[24Final]])/Sales[[#This Row],[24Final]]</f>
        <v>-1.0600706713780919E-2</v>
      </c>
      <c r="DA149" s="10">
        <f>(Sales[[#This Row],[Adjusted Total]]+Sales[[#This Row],[Days Prior Total]])/Sales[[#This Row],[Price]]</f>
        <v>1.0083540394246322</v>
      </c>
    </row>
    <row r="150" spans="1:105">
      <c r="A150">
        <v>2025</v>
      </c>
      <c r="B150">
        <v>19133541448</v>
      </c>
      <c r="C150">
        <v>-1.6607312068216509</v>
      </c>
      <c r="D150">
        <v>0.19</v>
      </c>
      <c r="E150">
        <v>8348</v>
      </c>
      <c r="F150">
        <v>2</v>
      </c>
      <c r="G150" t="s">
        <v>155</v>
      </c>
      <c r="H150">
        <v>317</v>
      </c>
      <c r="I150" t="s">
        <v>5</v>
      </c>
      <c r="J150" t="s">
        <v>212</v>
      </c>
      <c r="K150">
        <v>11</v>
      </c>
      <c r="L150">
        <v>259</v>
      </c>
      <c r="M150" t="s">
        <v>157</v>
      </c>
      <c r="N150" t="s">
        <v>21</v>
      </c>
      <c r="O150" t="s">
        <v>24</v>
      </c>
      <c r="P150">
        <v>2021</v>
      </c>
      <c r="Q150">
        <v>2021</v>
      </c>
      <c r="R150">
        <v>10</v>
      </c>
      <c r="S150">
        <v>3</v>
      </c>
      <c r="T150">
        <v>3</v>
      </c>
      <c r="U150">
        <v>1</v>
      </c>
      <c r="V150">
        <v>2010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2010</v>
      </c>
      <c r="AC150">
        <v>2500</v>
      </c>
      <c r="AD150">
        <v>3</v>
      </c>
      <c r="AE150" t="s">
        <v>56</v>
      </c>
      <c r="AF150" t="s">
        <v>158</v>
      </c>
      <c r="AG150" t="s">
        <v>27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11</v>
      </c>
      <c r="AO150">
        <v>664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100</v>
      </c>
      <c r="AV150">
        <v>100</v>
      </c>
      <c r="AW150">
        <v>397955</v>
      </c>
      <c r="AX150">
        <v>393975</v>
      </c>
      <c r="AY150">
        <v>823</v>
      </c>
      <c r="AZ150">
        <v>365</v>
      </c>
      <c r="BA150">
        <v>365</v>
      </c>
      <c r="BB150">
        <v>93</v>
      </c>
      <c r="BC150" s="2">
        <v>44469</v>
      </c>
      <c r="BD150" t="s">
        <v>309</v>
      </c>
      <c r="BE150">
        <v>366735</v>
      </c>
      <c r="BF150">
        <v>366735</v>
      </c>
      <c r="BG150" t="s">
        <v>160</v>
      </c>
      <c r="BH150">
        <v>30</v>
      </c>
      <c r="BI150" t="s">
        <v>56</v>
      </c>
      <c r="BJ150" t="s">
        <v>161</v>
      </c>
      <c r="BK150">
        <v>420100</v>
      </c>
      <c r="BL150">
        <v>63200</v>
      </c>
      <c r="BM150">
        <v>356900</v>
      </c>
      <c r="BN150">
        <v>0</v>
      </c>
      <c r="BO150">
        <v>376084.19583243201</v>
      </c>
      <c r="BP150">
        <v>418531.4646223936</v>
      </c>
      <c r="BQ150">
        <f>(Sales[[#This Row],[DP1]]*Lookups!$B$61)+(Sales[[#This Row],[DP2]]*Lookups!$B$62)+(Sales[[#This Row],[DP3]]*Lookups!$B$63)</f>
        <v>-42447.266831000001</v>
      </c>
      <c r="BR150">
        <f>Lookups!$B$58*0.6</f>
        <v>132535.48800000001</v>
      </c>
      <c r="BS150">
        <f>Lookups!$B$58*0.4</f>
        <v>88356.992000000013</v>
      </c>
      <c r="BT150">
        <f>Lookups!$B$59*Sales[[#This Row],[LnAcres]]</f>
        <v>-21795.969453044734</v>
      </c>
      <c r="BU150">
        <f>VLOOKUP(Sales[[#This Row],[Qlty]],Lookups!$A$66:$E$79,2,FALSE)</f>
        <v>32917.849192000001</v>
      </c>
      <c r="BV150">
        <f>VLOOKUP(Sales[[#This Row],[Cnd]],Lookups!$A$80:$E$91,2,FALSE)</f>
        <v>47371.278778200001</v>
      </c>
      <c r="BW150">
        <f>Sales[[#This Row],[EffAge]]*Lookups!$B$65</f>
        <v>-326.22329999999999</v>
      </c>
      <c r="BX150">
        <f>Sales[[#This Row],[MainFn]]*Lookups!$B$90</f>
        <v>125444.86380000001</v>
      </c>
      <c r="BY150">
        <f>Sales[[#This Row],[UpprFn]]*Lookups!$B$91</f>
        <v>0</v>
      </c>
      <c r="BZ150">
        <f>Sales[[#This Row],[Bsmt]]*Lookups!$B$95</f>
        <v>0</v>
      </c>
      <c r="CA150">
        <f>VLOOKUP(Sales[[#This Row],[MsnryTrim]],Lookups!$A$90:$E$99,2,FALSE)</f>
        <v>-9412.7029999999995</v>
      </c>
      <c r="CB150">
        <f>Sales[[#This Row],[PrefabFP]]*Lookups!$B$92</f>
        <v>0</v>
      </c>
      <c r="CC150">
        <f>Sales[[#This Row],[AttGar]]*Lookups!$B$93</f>
        <v>23439.884583999999</v>
      </c>
      <c r="CD150">
        <f>Sales[[#This Row],[BltinGar]]*Lookups!$B$94</f>
        <v>0</v>
      </c>
      <c r="CE150">
        <f>SUM(Sales[[#This Row],[Days Prior Total]:[Mdl BltinGar]])</f>
        <v>376084.19377015531</v>
      </c>
      <c r="CF150">
        <f>ROUND(Sales[[#This Row],[25Det]],-2)</f>
        <v>0</v>
      </c>
      <c r="CG150">
        <f>ROUND(SUM(Sales[[#This Row],[Mdl Qlty]:[Mdl BltinGar]])+Sales[[#This Row],[Mdl Res Intercept]]+Sales[[#This Row],[Days Prior Total]],-2)</f>
        <v>309500</v>
      </c>
      <c r="CH150">
        <f>ROUND(Sales[[#This Row],[Mdl Land Intercept]]+Sales[[#This Row],[Mdl LnAcres]],-2)</f>
        <v>66600</v>
      </c>
      <c r="CI150">
        <f>Sales[[#This Row],[Unadj Res Value]]+Sales[[#This Row],[Unadj Det Value]]+Sales[[#This Row],[Unadj Land Value]]</f>
        <v>376100</v>
      </c>
      <c r="CJ150" s="10">
        <f>Sales[[#This Row],[Price]]/Sales[[#This Row],[Unadj Total Value]]</f>
        <v>0.97509970752459452</v>
      </c>
      <c r="CK150" s="10">
        <f>(Sales[[#This Row],[Unadj Total Value]]-Sales[[#This Row],[24Final]])/Sales[[#This Row],[24Final]]</f>
        <v>-0.10473696738871698</v>
      </c>
      <c r="CL150">
        <f>VLOOKUP(Sales[[#This Row],[TNbhd]],Lookups!$M$3:$P$5,4,FALSE)</f>
        <v>0.99970000000000003</v>
      </c>
      <c r="CM150">
        <f>VLOOKUP(Sales[[#This Row],[Qlty]],Lookups!$M$8:$P$22,4,FALSE)</f>
        <v>1.0019</v>
      </c>
      <c r="CN150">
        <f>VLOOKUP(Sales[[#This Row],[Cnd]],Lookups!$R$8:$U$17,4,FALSE)</f>
        <v>1.0012000000000001</v>
      </c>
      <c r="CO150">
        <f>VLOOKUP(Sales[[#This Row],[LivArea Range]],Lookups!$R$25:$U$43,4,FALSE)</f>
        <v>1.0008999999999999</v>
      </c>
      <c r="CP150">
        <f>VLOOKUP(Sales[[#This Row],[Decade]],Lookups!$M$24:$P$40,4,FALSE)</f>
        <v>1.0024</v>
      </c>
      <c r="CQ150">
        <f>Sales[[#This Row],[Nbhd Adj]]*0.95</f>
        <v>0.94971499999999998</v>
      </c>
      <c r="CR150">
        <f>Sales[[#This Row],[Nbhd Adj]]*Sales[[#This Row],[Quality Adj]]*Sales[[#This Row],[Condition Adj]]*Sales[[#This Row],[Living Area Adj]]*Sales[[#This Row],[Decade Adj]]*0.95</f>
        <v>0.95580712182867422</v>
      </c>
      <c r="CS150">
        <f>ROUND(SUM(Sales[[#This Row],[Mdl Qlty]:[Mdl BltinGar]])+Sales[[#This Row],[Mdl Res Intercept]]*Sales[[#This Row],[Res Adj ]],-2)</f>
        <v>346100</v>
      </c>
      <c r="CT150">
        <f>ROUND(Sales[[#This Row],[25Det]]*Sales[[#This Row],[Det/Nbhd Adj]],-2)</f>
        <v>0</v>
      </c>
      <c r="CU150">
        <f>Sales[[#This Row],[Adjusted Res]]+Sales[[#This Row],[Adj Det ]]</f>
        <v>346100</v>
      </c>
      <c r="CV150">
        <f>ROUND((Sales[[#This Row],[Mdl Land Intercept]]+Sales[[#This Row],[Mdl LnAcres]])*Sales[[#This Row],[Det/Nbhd Adj]],-2)</f>
        <v>63200</v>
      </c>
      <c r="CW150">
        <f>Sales[[#This Row],[Adjusted Impr Total]]+Sales[[#This Row],[Adjusted Land Total]]</f>
        <v>409300</v>
      </c>
      <c r="CX150" s="10">
        <f>IFERROR((Sales[[#This Row],[Adjusted Impr Total]]-Sales[[#This Row],[24Bldg]])/Sales[[#This Row],[24Bldg]],0)</f>
        <v>-3.0260577192490895E-2</v>
      </c>
      <c r="CY150" s="10">
        <f>(Sales[[#This Row],[Adjusted Land Total]]-Sales[[#This Row],[24Lnd]])/Sales[[#This Row],[24Lnd]]</f>
        <v>0</v>
      </c>
      <c r="CZ150">
        <f>(Sales[[#This Row],[Adjusted Total]]-Sales[[#This Row],[24Final]])/Sales[[#This Row],[24Final]]</f>
        <v>-2.5708164722685074E-2</v>
      </c>
      <c r="DA150" s="10">
        <f>(Sales[[#This Row],[Adjusted Total]]+Sales[[#This Row],[Days Prior Total]])/Sales[[#This Row],[Price]]</f>
        <v>1.000321030632473</v>
      </c>
    </row>
    <row r="151" spans="1:105">
      <c r="A151">
        <v>2025</v>
      </c>
      <c r="B151">
        <v>19133541449</v>
      </c>
      <c r="C151">
        <v>-1.6607312068216509</v>
      </c>
      <c r="D151">
        <v>0.19</v>
      </c>
      <c r="E151">
        <v>8366</v>
      </c>
      <c r="F151">
        <v>2</v>
      </c>
      <c r="G151" t="s">
        <v>155</v>
      </c>
      <c r="H151">
        <v>317</v>
      </c>
      <c r="I151" t="s">
        <v>5</v>
      </c>
      <c r="J151" t="s">
        <v>212</v>
      </c>
      <c r="K151">
        <v>11</v>
      </c>
      <c r="L151">
        <v>259</v>
      </c>
      <c r="M151" t="s">
        <v>157</v>
      </c>
      <c r="N151" t="s">
        <v>21</v>
      </c>
      <c r="O151" t="s">
        <v>24</v>
      </c>
      <c r="P151">
        <v>2021</v>
      </c>
      <c r="Q151">
        <v>2021</v>
      </c>
      <c r="R151">
        <v>10</v>
      </c>
      <c r="S151">
        <v>3</v>
      </c>
      <c r="T151">
        <v>3</v>
      </c>
      <c r="U151">
        <v>1</v>
      </c>
      <c r="V151">
        <v>2010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2010</v>
      </c>
      <c r="AC151">
        <v>2500</v>
      </c>
      <c r="AD151">
        <v>3</v>
      </c>
      <c r="AE151" t="s">
        <v>56</v>
      </c>
      <c r="AF151" t="s">
        <v>158</v>
      </c>
      <c r="AG151" t="s">
        <v>27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11</v>
      </c>
      <c r="AO151">
        <v>664</v>
      </c>
      <c r="AP151">
        <v>0</v>
      </c>
      <c r="AQ151">
        <v>0</v>
      </c>
      <c r="AR151">
        <v>0</v>
      </c>
      <c r="AS151">
        <v>120</v>
      </c>
      <c r="AT151">
        <v>0</v>
      </c>
      <c r="AU151">
        <v>100</v>
      </c>
      <c r="AV151">
        <v>100</v>
      </c>
      <c r="AW151">
        <v>392585</v>
      </c>
      <c r="AX151">
        <v>388659</v>
      </c>
      <c r="AY151">
        <v>942</v>
      </c>
      <c r="AZ151">
        <v>365</v>
      </c>
      <c r="BA151">
        <v>365</v>
      </c>
      <c r="BB151">
        <v>212</v>
      </c>
      <c r="BC151" s="2">
        <v>44350</v>
      </c>
      <c r="BD151" t="s">
        <v>310</v>
      </c>
      <c r="BE151">
        <v>353140</v>
      </c>
      <c r="BF151">
        <v>353140</v>
      </c>
      <c r="BG151" t="s">
        <v>160</v>
      </c>
      <c r="BH151">
        <v>30</v>
      </c>
      <c r="BI151" t="s">
        <v>56</v>
      </c>
      <c r="BJ151" t="s">
        <v>161</v>
      </c>
      <c r="BK151">
        <v>410900</v>
      </c>
      <c r="BL151">
        <v>63200</v>
      </c>
      <c r="BM151">
        <v>347700</v>
      </c>
      <c r="BN151">
        <v>0</v>
      </c>
      <c r="BO151">
        <v>348833.26621044311</v>
      </c>
      <c r="BP151">
        <v>418531.4646223936</v>
      </c>
      <c r="BQ151">
        <f>(Sales[[#This Row],[DP1]]*Lookups!$B$61)+(Sales[[#This Row],[DP2]]*Lookups!$B$62)+(Sales[[#This Row],[DP3]]*Lookups!$B$63)</f>
        <v>-69698.195431</v>
      </c>
      <c r="BR151">
        <f>Lookups!$B$58*0.6</f>
        <v>132535.48800000001</v>
      </c>
      <c r="BS151">
        <f>Lookups!$B$58*0.4</f>
        <v>88356.992000000013</v>
      </c>
      <c r="BT151">
        <f>Lookups!$B$59*Sales[[#This Row],[LnAcres]]</f>
        <v>-21795.969453044734</v>
      </c>
      <c r="BU151">
        <f>VLOOKUP(Sales[[#This Row],[Qlty]],Lookups!$A$66:$E$79,2,FALSE)</f>
        <v>32917.849192000001</v>
      </c>
      <c r="BV151">
        <f>VLOOKUP(Sales[[#This Row],[Cnd]],Lookups!$A$80:$E$91,2,FALSE)</f>
        <v>47371.278778200001</v>
      </c>
      <c r="BW151">
        <f>Sales[[#This Row],[EffAge]]*Lookups!$B$65</f>
        <v>-326.22329999999999</v>
      </c>
      <c r="BX151">
        <f>Sales[[#This Row],[MainFn]]*Lookups!$B$90</f>
        <v>125444.86380000001</v>
      </c>
      <c r="BY151">
        <f>Sales[[#This Row],[UpprFn]]*Lookups!$B$91</f>
        <v>0</v>
      </c>
      <c r="BZ151">
        <f>Sales[[#This Row],[Bsmt]]*Lookups!$B$95</f>
        <v>0</v>
      </c>
      <c r="CA151">
        <f>VLOOKUP(Sales[[#This Row],[MsnryTrim]],Lookups!$A$90:$E$99,2,FALSE)</f>
        <v>-9412.7029999999995</v>
      </c>
      <c r="CB151">
        <f>Sales[[#This Row],[PrefabFP]]*Lookups!$B$92</f>
        <v>0</v>
      </c>
      <c r="CC151">
        <f>Sales[[#This Row],[AttGar]]*Lookups!$B$93</f>
        <v>23439.884583999999</v>
      </c>
      <c r="CD151">
        <f>Sales[[#This Row],[BltinGar]]*Lookups!$B$94</f>
        <v>0</v>
      </c>
      <c r="CE151">
        <f>SUM(Sales[[#This Row],[Days Prior Total]:[Mdl BltinGar]])</f>
        <v>348833.26517015527</v>
      </c>
      <c r="CF151">
        <f>ROUND(Sales[[#This Row],[25Det]],-2)</f>
        <v>0</v>
      </c>
      <c r="CG151">
        <f>ROUND(SUM(Sales[[#This Row],[Mdl Qlty]:[Mdl BltinGar]])+Sales[[#This Row],[Mdl Res Intercept]]+Sales[[#This Row],[Days Prior Total]],-2)</f>
        <v>282300</v>
      </c>
      <c r="CH151">
        <f>ROUND(Sales[[#This Row],[Mdl Land Intercept]]+Sales[[#This Row],[Mdl LnAcres]],-2)</f>
        <v>66600</v>
      </c>
      <c r="CI151">
        <f>Sales[[#This Row],[Unadj Res Value]]+Sales[[#This Row],[Unadj Det Value]]+Sales[[#This Row],[Unadj Land Value]]</f>
        <v>348900</v>
      </c>
      <c r="CJ151" s="10">
        <f>Sales[[#This Row],[Price]]/Sales[[#This Row],[Unadj Total Value]]</f>
        <v>1.0121524792204071</v>
      </c>
      <c r="CK151" s="10">
        <f>(Sales[[#This Row],[Unadj Total Value]]-Sales[[#This Row],[24Final]])/Sales[[#This Row],[24Final]]</f>
        <v>-0.15088829398880507</v>
      </c>
      <c r="CL151">
        <f>VLOOKUP(Sales[[#This Row],[TNbhd]],Lookups!$M$3:$P$5,4,FALSE)</f>
        <v>0.99970000000000003</v>
      </c>
      <c r="CM151">
        <f>VLOOKUP(Sales[[#This Row],[Qlty]],Lookups!$M$8:$P$22,4,FALSE)</f>
        <v>1.0019</v>
      </c>
      <c r="CN151">
        <f>VLOOKUP(Sales[[#This Row],[Cnd]],Lookups!$R$8:$U$17,4,FALSE)</f>
        <v>1.0012000000000001</v>
      </c>
      <c r="CO151">
        <f>VLOOKUP(Sales[[#This Row],[LivArea Range]],Lookups!$R$25:$U$43,4,FALSE)</f>
        <v>1.0008999999999999</v>
      </c>
      <c r="CP151">
        <f>VLOOKUP(Sales[[#This Row],[Decade]],Lookups!$M$24:$P$40,4,FALSE)</f>
        <v>1.0024</v>
      </c>
      <c r="CQ151">
        <f>Sales[[#This Row],[Nbhd Adj]]*0.95</f>
        <v>0.94971499999999998</v>
      </c>
      <c r="CR151">
        <f>Sales[[#This Row],[Nbhd Adj]]*Sales[[#This Row],[Quality Adj]]*Sales[[#This Row],[Condition Adj]]*Sales[[#This Row],[Living Area Adj]]*Sales[[#This Row],[Decade Adj]]*0.95</f>
        <v>0.95580712182867422</v>
      </c>
      <c r="CS151">
        <f>ROUND(SUM(Sales[[#This Row],[Mdl Qlty]:[Mdl BltinGar]])+Sales[[#This Row],[Mdl Res Intercept]]*Sales[[#This Row],[Res Adj ]],-2)</f>
        <v>346100</v>
      </c>
      <c r="CT151">
        <f>ROUND(Sales[[#This Row],[25Det]]*Sales[[#This Row],[Det/Nbhd Adj]],-2)</f>
        <v>0</v>
      </c>
      <c r="CU151">
        <f>Sales[[#This Row],[Adjusted Res]]+Sales[[#This Row],[Adj Det ]]</f>
        <v>346100</v>
      </c>
      <c r="CV151">
        <f>ROUND((Sales[[#This Row],[Mdl Land Intercept]]+Sales[[#This Row],[Mdl LnAcres]])*Sales[[#This Row],[Det/Nbhd Adj]],-2)</f>
        <v>63200</v>
      </c>
      <c r="CW151">
        <f>Sales[[#This Row],[Adjusted Impr Total]]+Sales[[#This Row],[Adjusted Land Total]]</f>
        <v>409300</v>
      </c>
      <c r="CX151" s="10">
        <f>IFERROR((Sales[[#This Row],[Adjusted Impr Total]]-Sales[[#This Row],[24Bldg]])/Sales[[#This Row],[24Bldg]],0)</f>
        <v>-4.601668104687949E-3</v>
      </c>
      <c r="CY151" s="10">
        <f>(Sales[[#This Row],[Adjusted Land Total]]-Sales[[#This Row],[24Lnd]])/Sales[[#This Row],[24Lnd]]</f>
        <v>0</v>
      </c>
      <c r="CZ151">
        <f>(Sales[[#This Row],[Adjusted Total]]-Sales[[#This Row],[24Final]])/Sales[[#This Row],[24Final]]</f>
        <v>-3.8938914577756143E-3</v>
      </c>
      <c r="DA151" s="10">
        <f>(Sales[[#This Row],[Adjusted Total]]+Sales[[#This Row],[Days Prior Total]])/Sales[[#This Row],[Price]]</f>
        <v>0.96166337591040385</v>
      </c>
    </row>
    <row r="152" spans="1:105">
      <c r="A152">
        <v>2025</v>
      </c>
      <c r="B152">
        <v>19133541450</v>
      </c>
      <c r="C152">
        <v>-1.4696759700589417</v>
      </c>
      <c r="D152">
        <v>0.23</v>
      </c>
      <c r="E152">
        <v>10202</v>
      </c>
      <c r="F152">
        <v>2</v>
      </c>
      <c r="G152" t="s">
        <v>155</v>
      </c>
      <c r="H152">
        <v>317</v>
      </c>
      <c r="I152" t="s">
        <v>5</v>
      </c>
      <c r="J152" t="s">
        <v>212</v>
      </c>
      <c r="K152">
        <v>11</v>
      </c>
      <c r="L152">
        <v>259</v>
      </c>
      <c r="M152" t="s">
        <v>157</v>
      </c>
      <c r="N152" t="s">
        <v>21</v>
      </c>
      <c r="O152" t="s">
        <v>24</v>
      </c>
      <c r="P152">
        <v>2021</v>
      </c>
      <c r="Q152">
        <v>2021</v>
      </c>
      <c r="R152">
        <v>10</v>
      </c>
      <c r="S152">
        <v>3</v>
      </c>
      <c r="T152">
        <v>3</v>
      </c>
      <c r="U152">
        <v>1</v>
      </c>
      <c r="V152">
        <v>2298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2298</v>
      </c>
      <c r="AC152">
        <v>2500</v>
      </c>
      <c r="AD152">
        <v>3</v>
      </c>
      <c r="AE152" t="s">
        <v>56</v>
      </c>
      <c r="AF152" t="s">
        <v>158</v>
      </c>
      <c r="AG152" t="s">
        <v>27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12</v>
      </c>
      <c r="AO152">
        <v>678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100</v>
      </c>
      <c r="AV152">
        <v>100</v>
      </c>
      <c r="AW152">
        <v>453334</v>
      </c>
      <c r="AX152">
        <v>448801</v>
      </c>
      <c r="AY152">
        <v>924</v>
      </c>
      <c r="AZ152">
        <v>365</v>
      </c>
      <c r="BA152">
        <v>365</v>
      </c>
      <c r="BB152">
        <v>194</v>
      </c>
      <c r="BC152" s="2">
        <v>44368</v>
      </c>
      <c r="BD152" t="s">
        <v>311</v>
      </c>
      <c r="BE152">
        <v>385040</v>
      </c>
      <c r="BF152">
        <v>385040</v>
      </c>
      <c r="BG152" t="s">
        <v>160</v>
      </c>
      <c r="BH152">
        <v>30</v>
      </c>
      <c r="BI152" t="s">
        <v>56</v>
      </c>
      <c r="BJ152" t="s">
        <v>161</v>
      </c>
      <c r="BK152">
        <v>452600</v>
      </c>
      <c r="BL152">
        <v>65900</v>
      </c>
      <c r="BM152">
        <v>386700</v>
      </c>
      <c r="BN152">
        <v>0</v>
      </c>
      <c r="BO152">
        <v>373931.12966983311</v>
      </c>
      <c r="BP152">
        <v>439507.33872719709</v>
      </c>
      <c r="BQ152">
        <f>(Sales[[#This Row],[DP1]]*Lookups!$B$61)+(Sales[[#This Row],[DP2]]*Lookups!$B$62)+(Sales[[#This Row],[DP3]]*Lookups!$B$63)</f>
        <v>-65576.206231000004</v>
      </c>
      <c r="BR152">
        <f>Lookups!$B$58*0.6</f>
        <v>132535.48800000001</v>
      </c>
      <c r="BS152">
        <f>Lookups!$B$58*0.4</f>
        <v>88356.992000000013</v>
      </c>
      <c r="BT152">
        <f>Lookups!$B$59*Sales[[#This Row],[LnAcres]]</f>
        <v>-19288.499197039939</v>
      </c>
      <c r="BU152">
        <f>VLOOKUP(Sales[[#This Row],[Qlty]],Lookups!$A$66:$E$79,2,FALSE)</f>
        <v>32917.849192000001</v>
      </c>
      <c r="BV152">
        <f>VLOOKUP(Sales[[#This Row],[Cnd]],Lookups!$A$80:$E$91,2,FALSE)</f>
        <v>47371.278778200001</v>
      </c>
      <c r="BW152">
        <f>Sales[[#This Row],[EffAge]]*Lookups!$B$65</f>
        <v>-326.22329999999999</v>
      </c>
      <c r="BX152">
        <f>Sales[[#This Row],[MainFn]]*Lookups!$B$90</f>
        <v>143419.05324000001</v>
      </c>
      <c r="BY152">
        <f>Sales[[#This Row],[UpprFn]]*Lookups!$B$91</f>
        <v>0</v>
      </c>
      <c r="BZ152">
        <f>Sales[[#This Row],[Bsmt]]*Lookups!$B$95</f>
        <v>0</v>
      </c>
      <c r="CA152">
        <f>VLOOKUP(Sales[[#This Row],[MsnryTrim]],Lookups!$A$90:$E$99,2,FALSE)</f>
        <v>-9412.7029999999995</v>
      </c>
      <c r="CB152">
        <f>Sales[[#This Row],[PrefabFP]]*Lookups!$B$92</f>
        <v>0</v>
      </c>
      <c r="CC152">
        <f>Sales[[#This Row],[AttGar]]*Lookups!$B$93</f>
        <v>23934.099018000001</v>
      </c>
      <c r="CD152">
        <f>Sales[[#This Row],[BltinGar]]*Lookups!$B$94</f>
        <v>0</v>
      </c>
      <c r="CE152">
        <f>SUM(Sales[[#This Row],[Days Prior Total]:[Mdl BltinGar]])</f>
        <v>373931.12850016012</v>
      </c>
      <c r="CF152">
        <f>ROUND(Sales[[#This Row],[25Det]],-2)</f>
        <v>0</v>
      </c>
      <c r="CG152">
        <f>ROUND(SUM(Sales[[#This Row],[Mdl Qlty]:[Mdl BltinGar]])+Sales[[#This Row],[Mdl Res Intercept]]+Sales[[#This Row],[Days Prior Total]],-2)</f>
        <v>304900</v>
      </c>
      <c r="CH152">
        <f>ROUND(Sales[[#This Row],[Mdl Land Intercept]]+Sales[[#This Row],[Mdl LnAcres]],-2)</f>
        <v>69100</v>
      </c>
      <c r="CI152">
        <f>Sales[[#This Row],[Unadj Res Value]]+Sales[[#This Row],[Unadj Det Value]]+Sales[[#This Row],[Unadj Land Value]]</f>
        <v>374000</v>
      </c>
      <c r="CJ152" s="10">
        <f>Sales[[#This Row],[Price]]/Sales[[#This Row],[Unadj Total Value]]</f>
        <v>1.0295187165775401</v>
      </c>
      <c r="CK152" s="10">
        <f>(Sales[[#This Row],[Unadj Total Value]]-Sales[[#This Row],[24Final]])/Sales[[#This Row],[24Final]]</f>
        <v>-0.17366327883340699</v>
      </c>
      <c r="CL152">
        <f>VLOOKUP(Sales[[#This Row],[TNbhd]],Lookups!$M$3:$P$5,4,FALSE)</f>
        <v>0.99970000000000003</v>
      </c>
      <c r="CM152">
        <f>VLOOKUP(Sales[[#This Row],[Qlty]],Lookups!$M$8:$P$22,4,FALSE)</f>
        <v>1.0019</v>
      </c>
      <c r="CN152">
        <f>VLOOKUP(Sales[[#This Row],[Cnd]],Lookups!$R$8:$U$17,4,FALSE)</f>
        <v>1.0012000000000001</v>
      </c>
      <c r="CO152">
        <f>VLOOKUP(Sales[[#This Row],[LivArea Range]],Lookups!$R$25:$U$43,4,FALSE)</f>
        <v>1.0008999999999999</v>
      </c>
      <c r="CP152">
        <f>VLOOKUP(Sales[[#This Row],[Decade]],Lookups!$M$24:$P$40,4,FALSE)</f>
        <v>1.0024</v>
      </c>
      <c r="CQ152">
        <f>Sales[[#This Row],[Nbhd Adj]]*0.95</f>
        <v>0.94971499999999998</v>
      </c>
      <c r="CR152">
        <f>Sales[[#This Row],[Nbhd Adj]]*Sales[[#This Row],[Quality Adj]]*Sales[[#This Row],[Condition Adj]]*Sales[[#This Row],[Living Area Adj]]*Sales[[#This Row],[Decade Adj]]*0.95</f>
        <v>0.95580712182867422</v>
      </c>
      <c r="CS152">
        <f>ROUND(SUM(Sales[[#This Row],[Mdl Qlty]:[Mdl BltinGar]])+Sales[[#This Row],[Mdl Res Intercept]]*Sales[[#This Row],[Res Adj ]],-2)</f>
        <v>364600</v>
      </c>
      <c r="CT152">
        <f>ROUND(Sales[[#This Row],[25Det]]*Sales[[#This Row],[Det/Nbhd Adj]],-2)</f>
        <v>0</v>
      </c>
      <c r="CU152">
        <f>Sales[[#This Row],[Adjusted Res]]+Sales[[#This Row],[Adj Det ]]</f>
        <v>364600</v>
      </c>
      <c r="CV152">
        <f>ROUND((Sales[[#This Row],[Mdl Land Intercept]]+Sales[[#This Row],[Mdl LnAcres]])*Sales[[#This Row],[Det/Nbhd Adj]],-2)</f>
        <v>65600</v>
      </c>
      <c r="CW152">
        <f>Sales[[#This Row],[Adjusted Impr Total]]+Sales[[#This Row],[Adjusted Land Total]]</f>
        <v>430200</v>
      </c>
      <c r="CX152" s="10">
        <f>IFERROR((Sales[[#This Row],[Adjusted Impr Total]]-Sales[[#This Row],[24Bldg]])/Sales[[#This Row],[24Bldg]],0)</f>
        <v>-5.7150245668476853E-2</v>
      </c>
      <c r="CY152" s="10">
        <f>(Sales[[#This Row],[Adjusted Land Total]]-Sales[[#This Row],[24Lnd]])/Sales[[#This Row],[24Lnd]]</f>
        <v>-4.552352048558422E-3</v>
      </c>
      <c r="CZ152">
        <f>(Sales[[#This Row],[Adjusted Total]]-Sales[[#This Row],[24Final]])/Sales[[#This Row],[24Final]]</f>
        <v>-4.9491825011047284E-2</v>
      </c>
      <c r="DA152" s="10">
        <f>(Sales[[#This Row],[Adjusted Total]]+Sales[[#This Row],[Days Prior Total]])/Sales[[#This Row],[Price]]</f>
        <v>0.94697640185175558</v>
      </c>
    </row>
    <row r="153" spans="1:105">
      <c r="A153">
        <v>2025</v>
      </c>
      <c r="B153">
        <v>19133541451</v>
      </c>
      <c r="C153">
        <v>-1.6607312068216509</v>
      </c>
      <c r="D153">
        <v>0.19</v>
      </c>
      <c r="E153">
        <v>8085</v>
      </c>
      <c r="F153">
        <v>2</v>
      </c>
      <c r="G153" t="s">
        <v>155</v>
      </c>
      <c r="H153">
        <v>317</v>
      </c>
      <c r="I153" t="s">
        <v>5</v>
      </c>
      <c r="J153" t="s">
        <v>212</v>
      </c>
      <c r="K153">
        <v>11</v>
      </c>
      <c r="L153">
        <v>259</v>
      </c>
      <c r="M153" t="s">
        <v>157</v>
      </c>
      <c r="N153" t="s">
        <v>21</v>
      </c>
      <c r="O153" t="s">
        <v>24</v>
      </c>
      <c r="P153">
        <v>2021</v>
      </c>
      <c r="Q153">
        <v>2021</v>
      </c>
      <c r="R153">
        <v>10</v>
      </c>
      <c r="S153">
        <v>3</v>
      </c>
      <c r="T153">
        <v>3</v>
      </c>
      <c r="U153">
        <v>1</v>
      </c>
      <c r="V153">
        <v>1740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1740</v>
      </c>
      <c r="AC153">
        <v>2000</v>
      </c>
      <c r="AD153">
        <v>2</v>
      </c>
      <c r="AE153" t="s">
        <v>56</v>
      </c>
      <c r="AF153" t="s">
        <v>158</v>
      </c>
      <c r="AG153" t="s">
        <v>27</v>
      </c>
      <c r="AI153">
        <v>0</v>
      </c>
      <c r="AJ153">
        <v>0</v>
      </c>
      <c r="AK153">
        <v>0</v>
      </c>
      <c r="AL153">
        <v>1</v>
      </c>
      <c r="AM153">
        <v>0</v>
      </c>
      <c r="AN153">
        <v>10</v>
      </c>
      <c r="AO153">
        <v>450</v>
      </c>
      <c r="AP153">
        <v>0</v>
      </c>
      <c r="AQ153">
        <v>0</v>
      </c>
      <c r="AR153">
        <v>0</v>
      </c>
      <c r="AS153">
        <v>144</v>
      </c>
      <c r="AT153">
        <v>0</v>
      </c>
      <c r="AU153">
        <v>100</v>
      </c>
      <c r="AV153">
        <v>100</v>
      </c>
      <c r="AW153">
        <v>339934</v>
      </c>
      <c r="AX153">
        <v>336535</v>
      </c>
      <c r="AY153">
        <v>811</v>
      </c>
      <c r="AZ153">
        <v>365</v>
      </c>
      <c r="BA153">
        <v>365</v>
      </c>
      <c r="BB153">
        <v>81</v>
      </c>
      <c r="BC153" s="2">
        <v>44481</v>
      </c>
      <c r="BD153" t="s">
        <v>312</v>
      </c>
      <c r="BE153">
        <v>314200</v>
      </c>
      <c r="BF153">
        <v>314200</v>
      </c>
      <c r="BG153" t="s">
        <v>160</v>
      </c>
      <c r="BH153">
        <v>30</v>
      </c>
      <c r="BI153" t="s">
        <v>56</v>
      </c>
      <c r="BJ153" t="s">
        <v>161</v>
      </c>
      <c r="BK153">
        <v>386700</v>
      </c>
      <c r="BL153">
        <v>63200</v>
      </c>
      <c r="BM153">
        <v>323500</v>
      </c>
      <c r="BN153">
        <v>0</v>
      </c>
      <c r="BO153">
        <v>354426.96557237674</v>
      </c>
      <c r="BP153">
        <v>394126.2414592806</v>
      </c>
      <c r="BQ153">
        <f>(Sales[[#This Row],[DP1]]*Lookups!$B$61)+(Sales[[#This Row],[DP2]]*Lookups!$B$62)+(Sales[[#This Row],[DP3]]*Lookups!$B$63)</f>
        <v>-39699.274031000001</v>
      </c>
      <c r="BR153">
        <f>Lookups!$B$58*0.6</f>
        <v>132535.48800000001</v>
      </c>
      <c r="BS153">
        <f>Lookups!$B$58*0.4</f>
        <v>88356.992000000013</v>
      </c>
      <c r="BT153">
        <f>Lookups!$B$59*Sales[[#This Row],[LnAcres]]</f>
        <v>-21795.969453044734</v>
      </c>
      <c r="BU153">
        <f>VLOOKUP(Sales[[#This Row],[Qlty]],Lookups!$A$66:$E$79,2,FALSE)</f>
        <v>32917.849192000001</v>
      </c>
      <c r="BV153">
        <f>VLOOKUP(Sales[[#This Row],[Cnd]],Lookups!$A$80:$E$91,2,FALSE)</f>
        <v>47371.278778200001</v>
      </c>
      <c r="BW153">
        <f>Sales[[#This Row],[EffAge]]*Lookups!$B$65</f>
        <v>-326.22329999999999</v>
      </c>
      <c r="BX153">
        <f>Sales[[#This Row],[MainFn]]*Lookups!$B$90</f>
        <v>108594.06120000001</v>
      </c>
      <c r="BY153">
        <f>Sales[[#This Row],[UpprFn]]*Lookups!$B$91</f>
        <v>0</v>
      </c>
      <c r="BZ153">
        <f>Sales[[#This Row],[Bsmt]]*Lookups!$B$95</f>
        <v>0</v>
      </c>
      <c r="CA153">
        <f>VLOOKUP(Sales[[#This Row],[MsnryTrim]],Lookups!$A$90:$E$99,2,FALSE)</f>
        <v>-9412.7029999999995</v>
      </c>
      <c r="CB153">
        <f>Sales[[#This Row],[PrefabFP]]*Lookups!$B$92</f>
        <v>0</v>
      </c>
      <c r="CC153">
        <f>Sales[[#This Row],[AttGar]]*Lookups!$B$93</f>
        <v>15885.463950000001</v>
      </c>
      <c r="CD153">
        <f>Sales[[#This Row],[BltinGar]]*Lookups!$B$94</f>
        <v>0</v>
      </c>
      <c r="CE153">
        <f>SUM(Sales[[#This Row],[Days Prior Total]:[Mdl BltinGar]])</f>
        <v>354426.96333615528</v>
      </c>
      <c r="CF153">
        <f>ROUND(Sales[[#This Row],[25Det]],-2)</f>
        <v>0</v>
      </c>
      <c r="CG153">
        <f>ROUND(SUM(Sales[[#This Row],[Mdl Qlty]:[Mdl BltinGar]])+Sales[[#This Row],[Mdl Res Intercept]]+Sales[[#This Row],[Days Prior Total]],-2)</f>
        <v>287900</v>
      </c>
      <c r="CH153">
        <f>ROUND(Sales[[#This Row],[Mdl Land Intercept]]+Sales[[#This Row],[Mdl LnAcres]],-2)</f>
        <v>66600</v>
      </c>
      <c r="CI153">
        <f>Sales[[#This Row],[Unadj Res Value]]+Sales[[#This Row],[Unadj Det Value]]+Sales[[#This Row],[Unadj Land Value]]</f>
        <v>354500</v>
      </c>
      <c r="CJ153" s="10">
        <f>Sales[[#This Row],[Price]]/Sales[[#This Row],[Unadj Total Value]]</f>
        <v>0.8863187588152327</v>
      </c>
      <c r="CK153" s="10">
        <f>(Sales[[#This Row],[Unadj Total Value]]-Sales[[#This Row],[24Final]])/Sales[[#This Row],[24Final]]</f>
        <v>-8.3268683734160853E-2</v>
      </c>
      <c r="CL153">
        <f>VLOOKUP(Sales[[#This Row],[TNbhd]],Lookups!$M$3:$P$5,4,FALSE)</f>
        <v>0.99970000000000003</v>
      </c>
      <c r="CM153">
        <f>VLOOKUP(Sales[[#This Row],[Qlty]],Lookups!$M$8:$P$22,4,FALSE)</f>
        <v>1.0019</v>
      </c>
      <c r="CN153">
        <f>VLOOKUP(Sales[[#This Row],[Cnd]],Lookups!$R$8:$U$17,4,FALSE)</f>
        <v>1.0012000000000001</v>
      </c>
      <c r="CO153">
        <f>VLOOKUP(Sales[[#This Row],[LivArea Range]],Lookups!$R$25:$U$43,4,FALSE)</f>
        <v>1.0007999999999999</v>
      </c>
      <c r="CP153">
        <f>VLOOKUP(Sales[[#This Row],[Decade]],Lookups!$M$24:$P$40,4,FALSE)</f>
        <v>1.0024</v>
      </c>
      <c r="CQ153">
        <f>Sales[[#This Row],[Nbhd Adj]]*0.95</f>
        <v>0.94971499999999998</v>
      </c>
      <c r="CR153">
        <f>Sales[[#This Row],[Nbhd Adj]]*Sales[[#This Row],[Quality Adj]]*Sales[[#This Row],[Condition Adj]]*Sales[[#This Row],[Living Area Adj]]*Sales[[#This Row],[Decade Adj]]*0.95</f>
        <v>0.95571162706178159</v>
      </c>
      <c r="CS153">
        <f>ROUND(SUM(Sales[[#This Row],[Mdl Qlty]:[Mdl BltinGar]])+Sales[[#This Row],[Mdl Res Intercept]]*Sales[[#This Row],[Res Adj ]],-2)</f>
        <v>321700</v>
      </c>
      <c r="CT153">
        <f>ROUND(Sales[[#This Row],[25Det]]*Sales[[#This Row],[Det/Nbhd Adj]],-2)</f>
        <v>0</v>
      </c>
      <c r="CU153">
        <f>Sales[[#This Row],[Adjusted Res]]+Sales[[#This Row],[Adj Det ]]</f>
        <v>321700</v>
      </c>
      <c r="CV153">
        <f>ROUND((Sales[[#This Row],[Mdl Land Intercept]]+Sales[[#This Row],[Mdl LnAcres]])*Sales[[#This Row],[Det/Nbhd Adj]],-2)</f>
        <v>63200</v>
      </c>
      <c r="CW153">
        <f>Sales[[#This Row],[Adjusted Impr Total]]+Sales[[#This Row],[Adjusted Land Total]]</f>
        <v>384900</v>
      </c>
      <c r="CX153" s="10">
        <f>IFERROR((Sales[[#This Row],[Adjusted Impr Total]]-Sales[[#This Row],[24Bldg]])/Sales[[#This Row],[24Bldg]],0)</f>
        <v>-5.5641421947449764E-3</v>
      </c>
      <c r="CY153" s="10">
        <f>(Sales[[#This Row],[Adjusted Land Total]]-Sales[[#This Row],[24Lnd]])/Sales[[#This Row],[24Lnd]]</f>
        <v>0</v>
      </c>
      <c r="CZ153">
        <f>(Sales[[#This Row],[Adjusted Total]]-Sales[[#This Row],[24Final]])/Sales[[#This Row],[24Final]]</f>
        <v>-4.6547711404189293E-3</v>
      </c>
      <c r="DA153" s="10">
        <f>(Sales[[#This Row],[Adjusted Total]]+Sales[[#This Row],[Days Prior Total]])/Sales[[#This Row],[Price]]</f>
        <v>1.098665582332909</v>
      </c>
    </row>
    <row r="154" spans="1:105">
      <c r="A154">
        <v>2025</v>
      </c>
      <c r="B154">
        <v>19133541452</v>
      </c>
      <c r="C154">
        <v>-1.7719568419318752</v>
      </c>
      <c r="D154">
        <v>0.17</v>
      </c>
      <c r="E154">
        <v>7544</v>
      </c>
      <c r="F154">
        <v>2</v>
      </c>
      <c r="G154" t="s">
        <v>155</v>
      </c>
      <c r="H154">
        <v>317</v>
      </c>
      <c r="I154" t="s">
        <v>5</v>
      </c>
      <c r="J154" t="s">
        <v>212</v>
      </c>
      <c r="K154">
        <v>11</v>
      </c>
      <c r="L154">
        <v>259</v>
      </c>
      <c r="M154" t="s">
        <v>157</v>
      </c>
      <c r="N154" t="s">
        <v>21</v>
      </c>
      <c r="O154" t="s">
        <v>24</v>
      </c>
      <c r="P154">
        <v>2021</v>
      </c>
      <c r="Q154">
        <v>2021</v>
      </c>
      <c r="R154">
        <v>10</v>
      </c>
      <c r="S154">
        <v>3</v>
      </c>
      <c r="T154">
        <v>3</v>
      </c>
      <c r="U154">
        <v>1</v>
      </c>
      <c r="V154">
        <v>2010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2010</v>
      </c>
      <c r="AC154">
        <v>2500</v>
      </c>
      <c r="AD154">
        <v>2</v>
      </c>
      <c r="AE154" t="s">
        <v>56</v>
      </c>
      <c r="AF154" t="s">
        <v>158</v>
      </c>
      <c r="AG154" t="s">
        <v>27</v>
      </c>
      <c r="AI154">
        <v>0</v>
      </c>
      <c r="AJ154">
        <v>0</v>
      </c>
      <c r="AK154">
        <v>1</v>
      </c>
      <c r="AL154">
        <v>0</v>
      </c>
      <c r="AM154">
        <v>0</v>
      </c>
      <c r="AN154">
        <v>11</v>
      </c>
      <c r="AO154">
        <v>424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100</v>
      </c>
      <c r="AV154">
        <v>100</v>
      </c>
      <c r="AW154">
        <v>392295</v>
      </c>
      <c r="AX154">
        <v>388372</v>
      </c>
      <c r="AY154">
        <v>818</v>
      </c>
      <c r="AZ154">
        <v>365</v>
      </c>
      <c r="BA154">
        <v>365</v>
      </c>
      <c r="BB154">
        <v>88</v>
      </c>
      <c r="BC154" s="2">
        <v>44474</v>
      </c>
      <c r="BD154" t="s">
        <v>313</v>
      </c>
      <c r="BE154">
        <v>357700</v>
      </c>
      <c r="BF154">
        <v>357700</v>
      </c>
      <c r="BG154" t="s">
        <v>160</v>
      </c>
      <c r="BH154">
        <v>30</v>
      </c>
      <c r="BI154" t="s">
        <v>56</v>
      </c>
      <c r="BJ154" t="s">
        <v>161</v>
      </c>
      <c r="BK154">
        <v>408300</v>
      </c>
      <c r="BL154">
        <v>61700</v>
      </c>
      <c r="BM154">
        <v>346600</v>
      </c>
      <c r="BN154">
        <v>0</v>
      </c>
      <c r="BO154">
        <v>377104.28911964118</v>
      </c>
      <c r="BP154">
        <v>418406.56086666207</v>
      </c>
      <c r="BQ154">
        <f>(Sales[[#This Row],[DP1]]*Lookups!$B$61)+(Sales[[#This Row],[DP2]]*Lookups!$B$62)+(Sales[[#This Row],[DP3]]*Lookups!$B$63)</f>
        <v>-41302.269830999998</v>
      </c>
      <c r="BR154">
        <f>Lookups!$B$58*0.6</f>
        <v>132535.48800000001</v>
      </c>
      <c r="BS154">
        <f>Lookups!$B$58*0.4</f>
        <v>88356.992000000013</v>
      </c>
      <c r="BT154">
        <f>Lookups!$B$59*Sales[[#This Row],[LnAcres]]</f>
        <v>-23255.730391660189</v>
      </c>
      <c r="BU154">
        <f>VLOOKUP(Sales[[#This Row],[Qlty]],Lookups!$A$66:$E$79,2,FALSE)</f>
        <v>32917.849192000001</v>
      </c>
      <c r="BV154">
        <f>VLOOKUP(Sales[[#This Row],[Cnd]],Lookups!$A$80:$E$91,2,FALSE)</f>
        <v>47371.278778200001</v>
      </c>
      <c r="BW154">
        <f>Sales[[#This Row],[EffAge]]*Lookups!$B$65</f>
        <v>-326.22329999999999</v>
      </c>
      <c r="BX154">
        <f>Sales[[#This Row],[MainFn]]*Lookups!$B$90</f>
        <v>125444.86380000001</v>
      </c>
      <c r="BY154">
        <f>Sales[[#This Row],[UpprFn]]*Lookups!$B$91</f>
        <v>0</v>
      </c>
      <c r="BZ154">
        <f>Sales[[#This Row],[Bsmt]]*Lookups!$B$95</f>
        <v>0</v>
      </c>
      <c r="CA154">
        <f>VLOOKUP(Sales[[#This Row],[MsnryTrim]],Lookups!$A$90:$E$99,2,FALSE)</f>
        <v>-9412.7029999999995</v>
      </c>
      <c r="CB154">
        <f>Sales[[#This Row],[PrefabFP]]*Lookups!$B$92</f>
        <v>9807.1044999999995</v>
      </c>
      <c r="CC154">
        <f>Sales[[#This Row],[AttGar]]*Lookups!$B$93</f>
        <v>14967.637144</v>
      </c>
      <c r="CD154">
        <f>Sales[[#This Row],[BltinGar]]*Lookups!$B$94</f>
        <v>0</v>
      </c>
      <c r="CE154">
        <f>SUM(Sales[[#This Row],[Days Prior Total]:[Mdl BltinGar]])</f>
        <v>377104.28689153987</v>
      </c>
      <c r="CF154">
        <f>ROUND(Sales[[#This Row],[25Det]],-2)</f>
        <v>0</v>
      </c>
      <c r="CG154">
        <f>ROUND(SUM(Sales[[#This Row],[Mdl Qlty]:[Mdl BltinGar]])+Sales[[#This Row],[Mdl Res Intercept]]+Sales[[#This Row],[Days Prior Total]],-2)</f>
        <v>312000</v>
      </c>
      <c r="CH154">
        <f>ROUND(Sales[[#This Row],[Mdl Land Intercept]]+Sales[[#This Row],[Mdl LnAcres]],-2)</f>
        <v>65100</v>
      </c>
      <c r="CI154">
        <f>Sales[[#This Row],[Unadj Res Value]]+Sales[[#This Row],[Unadj Det Value]]+Sales[[#This Row],[Unadj Land Value]]</f>
        <v>377100</v>
      </c>
      <c r="CJ154" s="10">
        <f>Sales[[#This Row],[Price]]/Sales[[#This Row],[Unadj Total Value]]</f>
        <v>0.94855476001060723</v>
      </c>
      <c r="CK154" s="10">
        <f>(Sales[[#This Row],[Unadj Total Value]]-Sales[[#This Row],[24Final]])/Sales[[#This Row],[24Final]]</f>
        <v>-7.6414401175606175E-2</v>
      </c>
      <c r="CL154">
        <f>VLOOKUP(Sales[[#This Row],[TNbhd]],Lookups!$M$3:$P$5,4,FALSE)</f>
        <v>0.99970000000000003</v>
      </c>
      <c r="CM154">
        <f>VLOOKUP(Sales[[#This Row],[Qlty]],Lookups!$M$8:$P$22,4,FALSE)</f>
        <v>1.0019</v>
      </c>
      <c r="CN154">
        <f>VLOOKUP(Sales[[#This Row],[Cnd]],Lookups!$R$8:$U$17,4,FALSE)</f>
        <v>1.0012000000000001</v>
      </c>
      <c r="CO154">
        <f>VLOOKUP(Sales[[#This Row],[LivArea Range]],Lookups!$R$25:$U$43,4,FALSE)</f>
        <v>1.0008999999999999</v>
      </c>
      <c r="CP154">
        <f>VLOOKUP(Sales[[#This Row],[Decade]],Lookups!$M$24:$P$40,4,FALSE)</f>
        <v>1.0024</v>
      </c>
      <c r="CQ154">
        <f>Sales[[#This Row],[Nbhd Adj]]*0.95</f>
        <v>0.94971499999999998</v>
      </c>
      <c r="CR154">
        <f>Sales[[#This Row],[Nbhd Adj]]*Sales[[#This Row],[Quality Adj]]*Sales[[#This Row],[Condition Adj]]*Sales[[#This Row],[Living Area Adj]]*Sales[[#This Row],[Decade Adj]]*0.95</f>
        <v>0.95580712182867422</v>
      </c>
      <c r="CS154">
        <f>ROUND(SUM(Sales[[#This Row],[Mdl Qlty]:[Mdl BltinGar]])+Sales[[#This Row],[Mdl Res Intercept]]*Sales[[#This Row],[Res Adj ]],-2)</f>
        <v>347400</v>
      </c>
      <c r="CT154">
        <f>ROUND(Sales[[#This Row],[25Det]]*Sales[[#This Row],[Det/Nbhd Adj]],-2)</f>
        <v>0</v>
      </c>
      <c r="CU154">
        <f>Sales[[#This Row],[Adjusted Res]]+Sales[[#This Row],[Adj Det ]]</f>
        <v>347400</v>
      </c>
      <c r="CV154">
        <f>ROUND((Sales[[#This Row],[Mdl Land Intercept]]+Sales[[#This Row],[Mdl LnAcres]])*Sales[[#This Row],[Det/Nbhd Adj]],-2)</f>
        <v>61800</v>
      </c>
      <c r="CW154">
        <f>Sales[[#This Row],[Adjusted Impr Total]]+Sales[[#This Row],[Adjusted Land Total]]</f>
        <v>409200</v>
      </c>
      <c r="CX154" s="10">
        <f>IFERROR((Sales[[#This Row],[Adjusted Impr Total]]-Sales[[#This Row],[24Bldg]])/Sales[[#This Row],[24Bldg]],0)</f>
        <v>2.3081361800346219E-3</v>
      </c>
      <c r="CY154" s="10">
        <f>(Sales[[#This Row],[Adjusted Land Total]]-Sales[[#This Row],[24Lnd]])/Sales[[#This Row],[24Lnd]]</f>
        <v>1.6207455429497568E-3</v>
      </c>
      <c r="CZ154">
        <f>(Sales[[#This Row],[Adjusted Total]]-Sales[[#This Row],[24Final]])/Sales[[#This Row],[24Final]]</f>
        <v>2.204261572373255E-3</v>
      </c>
      <c r="DA154" s="10">
        <f>(Sales[[#This Row],[Adjusted Total]]+Sales[[#This Row],[Days Prior Total]])/Sales[[#This Row],[Price]]</f>
        <v>1.0285091701677382</v>
      </c>
    </row>
    <row r="155" spans="1:105">
      <c r="A155">
        <v>2025</v>
      </c>
      <c r="B155">
        <v>19133541453</v>
      </c>
      <c r="C155">
        <v>-1.7719568419318752</v>
      </c>
      <c r="D155">
        <v>0.17</v>
      </c>
      <c r="E155">
        <v>7350</v>
      </c>
      <c r="F155">
        <v>2</v>
      </c>
      <c r="G155" t="s">
        <v>155</v>
      </c>
      <c r="H155">
        <v>317</v>
      </c>
      <c r="I155" t="s">
        <v>5</v>
      </c>
      <c r="J155" t="s">
        <v>212</v>
      </c>
      <c r="K155">
        <v>11</v>
      </c>
      <c r="L155">
        <v>259</v>
      </c>
      <c r="M155" t="s">
        <v>157</v>
      </c>
      <c r="N155" t="s">
        <v>21</v>
      </c>
      <c r="O155" t="s">
        <v>24</v>
      </c>
      <c r="P155">
        <v>2021</v>
      </c>
      <c r="Q155">
        <v>2021</v>
      </c>
      <c r="R155">
        <v>10</v>
      </c>
      <c r="S155">
        <v>3</v>
      </c>
      <c r="T155">
        <v>3</v>
      </c>
      <c r="U155">
        <v>1</v>
      </c>
      <c r="V155">
        <v>2010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2010</v>
      </c>
      <c r="AC155">
        <v>2500</v>
      </c>
      <c r="AD155">
        <v>3</v>
      </c>
      <c r="AE155" t="s">
        <v>57</v>
      </c>
      <c r="AF155" t="s">
        <v>158</v>
      </c>
      <c r="AG155" t="s">
        <v>27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11</v>
      </c>
      <c r="AO155">
        <v>664</v>
      </c>
      <c r="AP155">
        <v>0</v>
      </c>
      <c r="AQ155">
        <v>0</v>
      </c>
      <c r="AR155">
        <v>0</v>
      </c>
      <c r="AS155">
        <v>120</v>
      </c>
      <c r="AT155">
        <v>0</v>
      </c>
      <c r="AU155">
        <v>100</v>
      </c>
      <c r="AV155">
        <v>100</v>
      </c>
      <c r="AW155">
        <v>392585</v>
      </c>
      <c r="AX155">
        <v>388659</v>
      </c>
      <c r="AY155">
        <v>672</v>
      </c>
      <c r="AZ155">
        <v>365</v>
      </c>
      <c r="BA155">
        <v>307</v>
      </c>
      <c r="BB155">
        <v>0</v>
      </c>
      <c r="BC155" s="2">
        <v>44620</v>
      </c>
      <c r="BD155" t="s">
        <v>314</v>
      </c>
      <c r="BE155">
        <v>416880</v>
      </c>
      <c r="BF155">
        <v>416880</v>
      </c>
      <c r="BG155" t="s">
        <v>160</v>
      </c>
      <c r="BH155">
        <v>30</v>
      </c>
      <c r="BI155" t="s">
        <v>56</v>
      </c>
      <c r="BJ155" t="s">
        <v>161</v>
      </c>
      <c r="BK155">
        <v>409400</v>
      </c>
      <c r="BL155">
        <v>61700</v>
      </c>
      <c r="BM155">
        <v>347700</v>
      </c>
      <c r="BN155">
        <v>0</v>
      </c>
      <c r="BO155">
        <v>413358.68706454441</v>
      </c>
      <c r="BP155">
        <v>430597.28476948396</v>
      </c>
      <c r="BQ155">
        <f>(Sales[[#This Row],[DP1]]*Lookups!$B$61)+(Sales[[#This Row],[DP2]]*Lookups!$B$62)+(Sales[[#This Row],[DP3]]*Lookups!$B$63)</f>
        <v>-17238.596731000001</v>
      </c>
      <c r="BR155">
        <f>Lookups!$B$58*0.6</f>
        <v>132535.48800000001</v>
      </c>
      <c r="BS155">
        <f>Lookups!$B$58*0.4</f>
        <v>88356.992000000013</v>
      </c>
      <c r="BT155">
        <f>Lookups!$B$59*Sales[[#This Row],[LnAcres]]</f>
        <v>-23255.730391660189</v>
      </c>
      <c r="BU155">
        <f>VLOOKUP(Sales[[#This Row],[Qlty]],Lookups!$A$66:$E$79,2,FALSE)</f>
        <v>32917.849192000001</v>
      </c>
      <c r="BV155">
        <f>VLOOKUP(Sales[[#This Row],[Cnd]],Lookups!$A$80:$E$91,2,FALSE)</f>
        <v>47371.278778200001</v>
      </c>
      <c r="BW155">
        <f>Sales[[#This Row],[EffAge]]*Lookups!$B$65</f>
        <v>-326.22329999999999</v>
      </c>
      <c r="BX155">
        <f>Sales[[#This Row],[MainFn]]*Lookups!$B$90</f>
        <v>125444.86380000001</v>
      </c>
      <c r="BY155">
        <f>Sales[[#This Row],[UpprFn]]*Lookups!$B$91</f>
        <v>0</v>
      </c>
      <c r="BZ155">
        <f>Sales[[#This Row],[Bsmt]]*Lookups!$B$95</f>
        <v>0</v>
      </c>
      <c r="CA155">
        <f>VLOOKUP(Sales[[#This Row],[MsnryTrim]],Lookups!$A$90:$E$99,2,FALSE)</f>
        <v>4112.8784489</v>
      </c>
      <c r="CB155">
        <f>Sales[[#This Row],[PrefabFP]]*Lookups!$B$92</f>
        <v>0</v>
      </c>
      <c r="CC155">
        <f>Sales[[#This Row],[AttGar]]*Lookups!$B$93</f>
        <v>23439.884583999999</v>
      </c>
      <c r="CD155">
        <f>Sales[[#This Row],[BltinGar]]*Lookups!$B$94</f>
        <v>0</v>
      </c>
      <c r="CE155">
        <f>SUM(Sales[[#This Row],[Days Prior Total]:[Mdl BltinGar]])</f>
        <v>413358.68438043987</v>
      </c>
      <c r="CF155">
        <f>ROUND(Sales[[#This Row],[25Det]],-2)</f>
        <v>0</v>
      </c>
      <c r="CG155">
        <f>ROUND(SUM(Sales[[#This Row],[Mdl Qlty]:[Mdl BltinGar]])+Sales[[#This Row],[Mdl Res Intercept]]+Sales[[#This Row],[Days Prior Total]],-2)</f>
        <v>348300</v>
      </c>
      <c r="CH155">
        <f>ROUND(Sales[[#This Row],[Mdl Land Intercept]]+Sales[[#This Row],[Mdl LnAcres]],-2)</f>
        <v>65100</v>
      </c>
      <c r="CI155">
        <f>Sales[[#This Row],[Unadj Res Value]]+Sales[[#This Row],[Unadj Det Value]]+Sales[[#This Row],[Unadj Land Value]]</f>
        <v>413400</v>
      </c>
      <c r="CJ155" s="10">
        <f>Sales[[#This Row],[Price]]/Sales[[#This Row],[Unadj Total Value]]</f>
        <v>1.0084179970972424</v>
      </c>
      <c r="CK155" s="10">
        <f>(Sales[[#This Row],[Unadj Total Value]]-Sales[[#This Row],[24Final]])/Sales[[#This Row],[24Final]]</f>
        <v>9.7703957010258913E-3</v>
      </c>
      <c r="CL155">
        <f>VLOOKUP(Sales[[#This Row],[TNbhd]],Lookups!$M$3:$P$5,4,FALSE)</f>
        <v>0.99970000000000003</v>
      </c>
      <c r="CM155">
        <f>VLOOKUP(Sales[[#This Row],[Qlty]],Lookups!$M$8:$P$22,4,FALSE)</f>
        <v>1.0019</v>
      </c>
      <c r="CN155">
        <f>VLOOKUP(Sales[[#This Row],[Cnd]],Lookups!$R$8:$U$17,4,FALSE)</f>
        <v>1.0012000000000001</v>
      </c>
      <c r="CO155">
        <f>VLOOKUP(Sales[[#This Row],[LivArea Range]],Lookups!$R$25:$U$43,4,FALSE)</f>
        <v>1.0008999999999999</v>
      </c>
      <c r="CP155">
        <f>VLOOKUP(Sales[[#This Row],[Decade]],Lookups!$M$24:$P$40,4,FALSE)</f>
        <v>1.0024</v>
      </c>
      <c r="CQ155">
        <f>Sales[[#This Row],[Nbhd Adj]]*0.95</f>
        <v>0.94971499999999998</v>
      </c>
      <c r="CR155">
        <f>Sales[[#This Row],[Nbhd Adj]]*Sales[[#This Row],[Quality Adj]]*Sales[[#This Row],[Condition Adj]]*Sales[[#This Row],[Living Area Adj]]*Sales[[#This Row],[Decade Adj]]*0.95</f>
        <v>0.95580712182867422</v>
      </c>
      <c r="CS155">
        <f>ROUND(SUM(Sales[[#This Row],[Mdl Qlty]:[Mdl BltinGar]])+Sales[[#This Row],[Mdl Res Intercept]]*Sales[[#This Row],[Res Adj ]],-2)</f>
        <v>359600</v>
      </c>
      <c r="CT155">
        <f>ROUND(Sales[[#This Row],[25Det]]*Sales[[#This Row],[Det/Nbhd Adj]],-2)</f>
        <v>0</v>
      </c>
      <c r="CU155">
        <f>Sales[[#This Row],[Adjusted Res]]+Sales[[#This Row],[Adj Det ]]</f>
        <v>359600</v>
      </c>
      <c r="CV155">
        <f>ROUND((Sales[[#This Row],[Mdl Land Intercept]]+Sales[[#This Row],[Mdl LnAcres]])*Sales[[#This Row],[Det/Nbhd Adj]],-2)</f>
        <v>61800</v>
      </c>
      <c r="CW155">
        <f>Sales[[#This Row],[Adjusted Impr Total]]+Sales[[#This Row],[Adjusted Land Total]]</f>
        <v>421400</v>
      </c>
      <c r="CX155" s="10">
        <f>IFERROR((Sales[[#This Row],[Adjusted Impr Total]]-Sales[[#This Row],[24Bldg]])/Sales[[#This Row],[24Bldg]],0)</f>
        <v>3.4224906528616622E-2</v>
      </c>
      <c r="CY155" s="10">
        <f>(Sales[[#This Row],[Adjusted Land Total]]-Sales[[#This Row],[24Lnd]])/Sales[[#This Row],[24Lnd]]</f>
        <v>1.6207455429497568E-3</v>
      </c>
      <c r="CZ155">
        <f>(Sales[[#This Row],[Adjusted Total]]-Sales[[#This Row],[24Final]])/Sales[[#This Row],[24Final]]</f>
        <v>2.9311187103077674E-2</v>
      </c>
      <c r="DA155" s="10">
        <f>(Sales[[#This Row],[Adjusted Total]]+Sales[[#This Row],[Days Prior Total]])/Sales[[#This Row],[Price]]</f>
        <v>0.96949098845950876</v>
      </c>
    </row>
    <row r="156" spans="1:105">
      <c r="A156">
        <v>2025</v>
      </c>
      <c r="B156">
        <v>19133541454</v>
      </c>
      <c r="C156">
        <v>-1.7719568419318752</v>
      </c>
      <c r="D156">
        <v>0.17</v>
      </c>
      <c r="E156">
        <v>7350</v>
      </c>
      <c r="F156">
        <v>2</v>
      </c>
      <c r="G156" t="s">
        <v>155</v>
      </c>
      <c r="H156">
        <v>317</v>
      </c>
      <c r="I156" t="s">
        <v>5</v>
      </c>
      <c r="J156" t="s">
        <v>212</v>
      </c>
      <c r="K156">
        <v>11</v>
      </c>
      <c r="L156">
        <v>259</v>
      </c>
      <c r="M156" t="s">
        <v>157</v>
      </c>
      <c r="N156" t="s">
        <v>21</v>
      </c>
      <c r="O156" t="s">
        <v>24</v>
      </c>
      <c r="P156">
        <v>2021</v>
      </c>
      <c r="Q156">
        <v>2021</v>
      </c>
      <c r="R156">
        <v>10</v>
      </c>
      <c r="S156">
        <v>3</v>
      </c>
      <c r="T156">
        <v>3</v>
      </c>
      <c r="U156">
        <v>1</v>
      </c>
      <c r="V156">
        <v>2010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2010</v>
      </c>
      <c r="AC156">
        <v>2500</v>
      </c>
      <c r="AD156">
        <v>2</v>
      </c>
      <c r="AE156" t="s">
        <v>56</v>
      </c>
      <c r="AF156" t="s">
        <v>158</v>
      </c>
      <c r="AG156" t="s">
        <v>27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11</v>
      </c>
      <c r="AO156">
        <v>424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100</v>
      </c>
      <c r="AV156">
        <v>100</v>
      </c>
      <c r="AW156">
        <v>388434</v>
      </c>
      <c r="AX156">
        <v>384550</v>
      </c>
      <c r="AY156">
        <v>851</v>
      </c>
      <c r="AZ156">
        <v>365</v>
      </c>
      <c r="BA156">
        <v>365</v>
      </c>
      <c r="BB156">
        <v>121</v>
      </c>
      <c r="BC156" s="2">
        <v>44441</v>
      </c>
      <c r="BD156" t="s">
        <v>315</v>
      </c>
      <c r="BE156">
        <v>336600</v>
      </c>
      <c r="BF156">
        <v>336600</v>
      </c>
      <c r="BG156" t="s">
        <v>160</v>
      </c>
      <c r="BH156">
        <v>30</v>
      </c>
      <c r="BI156" t="s">
        <v>56</v>
      </c>
      <c r="BJ156" t="s">
        <v>161</v>
      </c>
      <c r="BK156">
        <v>408300</v>
      </c>
      <c r="BL156">
        <v>61700</v>
      </c>
      <c r="BM156">
        <v>346600</v>
      </c>
      <c r="BN156">
        <v>0</v>
      </c>
      <c r="BO156">
        <v>359740.20411585743</v>
      </c>
      <c r="BP156">
        <v>408599.45634628704</v>
      </c>
      <c r="BQ156">
        <f>(Sales[[#This Row],[DP1]]*Lookups!$B$61)+(Sales[[#This Row],[DP2]]*Lookups!$B$62)+(Sales[[#This Row],[DP3]]*Lookups!$B$63)</f>
        <v>-48859.250031000003</v>
      </c>
      <c r="BR156">
        <f>Lookups!$B$58*0.6</f>
        <v>132535.48800000001</v>
      </c>
      <c r="BS156">
        <f>Lookups!$B$58*0.4</f>
        <v>88356.992000000013</v>
      </c>
      <c r="BT156">
        <f>Lookups!$B$59*Sales[[#This Row],[LnAcres]]</f>
        <v>-23255.730391660189</v>
      </c>
      <c r="BU156">
        <f>VLOOKUP(Sales[[#This Row],[Qlty]],Lookups!$A$66:$E$79,2,FALSE)</f>
        <v>32917.849192000001</v>
      </c>
      <c r="BV156">
        <f>VLOOKUP(Sales[[#This Row],[Cnd]],Lookups!$A$80:$E$91,2,FALSE)</f>
        <v>47371.278778200001</v>
      </c>
      <c r="BW156">
        <f>Sales[[#This Row],[EffAge]]*Lookups!$B$65</f>
        <v>-326.22329999999999</v>
      </c>
      <c r="BX156">
        <f>Sales[[#This Row],[MainFn]]*Lookups!$B$90</f>
        <v>125444.86380000001</v>
      </c>
      <c r="BY156">
        <f>Sales[[#This Row],[UpprFn]]*Lookups!$B$91</f>
        <v>0</v>
      </c>
      <c r="BZ156">
        <f>Sales[[#This Row],[Bsmt]]*Lookups!$B$95</f>
        <v>0</v>
      </c>
      <c r="CA156">
        <f>VLOOKUP(Sales[[#This Row],[MsnryTrim]],Lookups!$A$90:$E$99,2,FALSE)</f>
        <v>-9412.7029999999995</v>
      </c>
      <c r="CB156">
        <f>Sales[[#This Row],[PrefabFP]]*Lookups!$B$92</f>
        <v>0</v>
      </c>
      <c r="CC156">
        <f>Sales[[#This Row],[AttGar]]*Lookups!$B$93</f>
        <v>14967.637144</v>
      </c>
      <c r="CD156">
        <f>Sales[[#This Row],[BltinGar]]*Lookups!$B$94</f>
        <v>0</v>
      </c>
      <c r="CE156">
        <f>SUM(Sales[[#This Row],[Days Prior Total]:[Mdl BltinGar]])</f>
        <v>359740.20219153987</v>
      </c>
      <c r="CF156">
        <f>ROUND(Sales[[#This Row],[25Det]],-2)</f>
        <v>0</v>
      </c>
      <c r="CG156">
        <f>ROUND(SUM(Sales[[#This Row],[Mdl Qlty]:[Mdl BltinGar]])+Sales[[#This Row],[Mdl Res Intercept]]+Sales[[#This Row],[Days Prior Total]],-2)</f>
        <v>294600</v>
      </c>
      <c r="CH156">
        <f>ROUND(Sales[[#This Row],[Mdl Land Intercept]]+Sales[[#This Row],[Mdl LnAcres]],-2)</f>
        <v>65100</v>
      </c>
      <c r="CI156">
        <f>Sales[[#This Row],[Unadj Res Value]]+Sales[[#This Row],[Unadj Det Value]]+Sales[[#This Row],[Unadj Land Value]]</f>
        <v>359700</v>
      </c>
      <c r="CJ156" s="10">
        <f>Sales[[#This Row],[Price]]/Sales[[#This Row],[Unadj Total Value]]</f>
        <v>0.93577981651376152</v>
      </c>
      <c r="CK156" s="10">
        <f>(Sales[[#This Row],[Unadj Total Value]]-Sales[[#This Row],[24Final]])/Sales[[#This Row],[24Final]]</f>
        <v>-0.11903012490815577</v>
      </c>
      <c r="CL156">
        <f>VLOOKUP(Sales[[#This Row],[TNbhd]],Lookups!$M$3:$P$5,4,FALSE)</f>
        <v>0.99970000000000003</v>
      </c>
      <c r="CM156">
        <f>VLOOKUP(Sales[[#This Row],[Qlty]],Lookups!$M$8:$P$22,4,FALSE)</f>
        <v>1.0019</v>
      </c>
      <c r="CN156">
        <f>VLOOKUP(Sales[[#This Row],[Cnd]],Lookups!$R$8:$U$17,4,FALSE)</f>
        <v>1.0012000000000001</v>
      </c>
      <c r="CO156">
        <f>VLOOKUP(Sales[[#This Row],[LivArea Range]],Lookups!$R$25:$U$43,4,FALSE)</f>
        <v>1.0008999999999999</v>
      </c>
      <c r="CP156">
        <f>VLOOKUP(Sales[[#This Row],[Decade]],Lookups!$M$24:$P$40,4,FALSE)</f>
        <v>1.0024</v>
      </c>
      <c r="CQ156">
        <f>Sales[[#This Row],[Nbhd Adj]]*0.95</f>
        <v>0.94971499999999998</v>
      </c>
      <c r="CR156">
        <f>Sales[[#This Row],[Nbhd Adj]]*Sales[[#This Row],[Quality Adj]]*Sales[[#This Row],[Condition Adj]]*Sales[[#This Row],[Living Area Adj]]*Sales[[#This Row],[Decade Adj]]*0.95</f>
        <v>0.95580712182867422</v>
      </c>
      <c r="CS156">
        <f>ROUND(SUM(Sales[[#This Row],[Mdl Qlty]:[Mdl BltinGar]])+Sales[[#This Row],[Mdl Res Intercept]]*Sales[[#This Row],[Res Adj ]],-2)</f>
        <v>337600</v>
      </c>
      <c r="CT156">
        <f>ROUND(Sales[[#This Row],[25Det]]*Sales[[#This Row],[Det/Nbhd Adj]],-2)</f>
        <v>0</v>
      </c>
      <c r="CU156">
        <f>Sales[[#This Row],[Adjusted Res]]+Sales[[#This Row],[Adj Det ]]</f>
        <v>337600</v>
      </c>
      <c r="CV156">
        <f>ROUND((Sales[[#This Row],[Mdl Land Intercept]]+Sales[[#This Row],[Mdl LnAcres]])*Sales[[#This Row],[Det/Nbhd Adj]],-2)</f>
        <v>61800</v>
      </c>
      <c r="CW156">
        <f>Sales[[#This Row],[Adjusted Impr Total]]+Sales[[#This Row],[Adjusted Land Total]]</f>
        <v>399400</v>
      </c>
      <c r="CX156" s="10">
        <f>IFERROR((Sales[[#This Row],[Adjusted Impr Total]]-Sales[[#This Row],[24Bldg]])/Sales[[#This Row],[24Bldg]],0)</f>
        <v>-2.5966532025389497E-2</v>
      </c>
      <c r="CY156" s="10">
        <f>(Sales[[#This Row],[Adjusted Land Total]]-Sales[[#This Row],[24Lnd]])/Sales[[#This Row],[24Lnd]]</f>
        <v>1.6207455429497568E-3</v>
      </c>
      <c r="CZ156">
        <f>(Sales[[#This Row],[Adjusted Total]]-Sales[[#This Row],[24Final]])/Sales[[#This Row],[24Final]]</f>
        <v>-2.1797697771246634E-2</v>
      </c>
      <c r="DA156" s="10">
        <f>(Sales[[#This Row],[Adjusted Total]]+Sales[[#This Row],[Days Prior Total]])/Sales[[#This Row],[Price]]</f>
        <v>1.0414163694860368</v>
      </c>
    </row>
    <row r="157" spans="1:105">
      <c r="A157">
        <v>2025</v>
      </c>
      <c r="B157">
        <v>19133541455</v>
      </c>
      <c r="C157">
        <v>-1.7719568419318752</v>
      </c>
      <c r="D157">
        <v>0.17</v>
      </c>
      <c r="E157">
        <v>7350</v>
      </c>
      <c r="F157">
        <v>2</v>
      </c>
      <c r="G157" t="s">
        <v>155</v>
      </c>
      <c r="H157">
        <v>317</v>
      </c>
      <c r="I157" t="s">
        <v>5</v>
      </c>
      <c r="J157" t="s">
        <v>212</v>
      </c>
      <c r="K157">
        <v>11</v>
      </c>
      <c r="L157">
        <v>259</v>
      </c>
      <c r="M157" t="s">
        <v>157</v>
      </c>
      <c r="N157" t="s">
        <v>21</v>
      </c>
      <c r="O157" t="s">
        <v>24</v>
      </c>
      <c r="P157">
        <v>2021</v>
      </c>
      <c r="Q157">
        <v>2021</v>
      </c>
      <c r="R157">
        <v>10</v>
      </c>
      <c r="S157">
        <v>3</v>
      </c>
      <c r="T157">
        <v>3</v>
      </c>
      <c r="U157">
        <v>2</v>
      </c>
      <c r="V157">
        <v>780</v>
      </c>
      <c r="W157">
        <v>1080</v>
      </c>
      <c r="X157">
        <v>0</v>
      </c>
      <c r="Y157">
        <v>0</v>
      </c>
      <c r="Z157">
        <v>0</v>
      </c>
      <c r="AA157">
        <v>0</v>
      </c>
      <c r="AB157">
        <v>1860</v>
      </c>
      <c r="AC157">
        <v>2000</v>
      </c>
      <c r="AD157">
        <v>2</v>
      </c>
      <c r="AE157" t="s">
        <v>56</v>
      </c>
      <c r="AF157" t="s">
        <v>158</v>
      </c>
      <c r="AG157" t="s">
        <v>27</v>
      </c>
      <c r="AI157">
        <v>0</v>
      </c>
      <c r="AJ157">
        <v>0</v>
      </c>
      <c r="AK157">
        <v>0</v>
      </c>
      <c r="AL157">
        <v>1</v>
      </c>
      <c r="AM157">
        <v>1</v>
      </c>
      <c r="AN157">
        <v>13</v>
      </c>
      <c r="AO157">
        <v>0</v>
      </c>
      <c r="AP157">
        <v>420</v>
      </c>
      <c r="AQ157">
        <v>0</v>
      </c>
      <c r="AR157">
        <v>0</v>
      </c>
      <c r="AS157">
        <v>0</v>
      </c>
      <c r="AT157">
        <v>0</v>
      </c>
      <c r="AU157">
        <v>100</v>
      </c>
      <c r="AV157">
        <v>100</v>
      </c>
      <c r="AW157">
        <v>348473</v>
      </c>
      <c r="AX157">
        <v>344988</v>
      </c>
      <c r="AY157">
        <v>871</v>
      </c>
      <c r="AZ157">
        <v>365</v>
      </c>
      <c r="BA157">
        <v>365</v>
      </c>
      <c r="BB157">
        <v>141</v>
      </c>
      <c r="BC157" s="2">
        <v>44421</v>
      </c>
      <c r="BD157" t="s">
        <v>316</v>
      </c>
      <c r="BE157">
        <v>323730</v>
      </c>
      <c r="BF157">
        <v>323730</v>
      </c>
      <c r="BG157" t="s">
        <v>160</v>
      </c>
      <c r="BH157">
        <v>30</v>
      </c>
      <c r="BI157" t="s">
        <v>56</v>
      </c>
      <c r="BJ157" t="s">
        <v>161</v>
      </c>
      <c r="BK157">
        <v>410500</v>
      </c>
      <c r="BL157">
        <v>61700</v>
      </c>
      <c r="BM157">
        <v>348800</v>
      </c>
      <c r="BN157">
        <v>0</v>
      </c>
      <c r="BO157">
        <v>348521.28073857015</v>
      </c>
      <c r="BP157">
        <v>401960.5211407626</v>
      </c>
      <c r="BQ157">
        <f>(Sales[[#This Row],[DP1]]*Lookups!$B$61)+(Sales[[#This Row],[DP2]]*Lookups!$B$62)+(Sales[[#This Row],[DP3]]*Lookups!$B$63)</f>
        <v>-53439.238031000001</v>
      </c>
      <c r="BR157">
        <f>Lookups!$B$58*0.6</f>
        <v>132535.48800000001</v>
      </c>
      <c r="BS157">
        <f>Lookups!$B$58*0.4</f>
        <v>88356.992000000013</v>
      </c>
      <c r="BT157">
        <f>Lookups!$B$59*Sales[[#This Row],[LnAcres]]</f>
        <v>-23255.730391660189</v>
      </c>
      <c r="BU157">
        <f>VLOOKUP(Sales[[#This Row],[Qlty]],Lookups!$A$66:$E$79,2,FALSE)</f>
        <v>32917.849192000001</v>
      </c>
      <c r="BV157">
        <f>VLOOKUP(Sales[[#This Row],[Cnd]],Lookups!$A$80:$E$91,2,FALSE)</f>
        <v>47371.278778200001</v>
      </c>
      <c r="BW157">
        <f>Sales[[#This Row],[EffAge]]*Lookups!$B$65</f>
        <v>-326.22329999999999</v>
      </c>
      <c r="BX157">
        <f>Sales[[#This Row],[MainFn]]*Lookups!$B$90</f>
        <v>48680.096400000002</v>
      </c>
      <c r="BY157">
        <f>Sales[[#This Row],[UpprFn]]*Lookups!$B$91</f>
        <v>64346.81364</v>
      </c>
      <c r="BZ157">
        <f>Sales[[#This Row],[Bsmt]]*Lookups!$B$95</f>
        <v>0</v>
      </c>
      <c r="CA157">
        <f>VLOOKUP(Sales[[#This Row],[MsnryTrim]],Lookups!$A$90:$E$99,2,FALSE)</f>
        <v>-9412.7029999999995</v>
      </c>
      <c r="CB157">
        <f>Sales[[#This Row],[PrefabFP]]*Lookups!$B$92</f>
        <v>0</v>
      </c>
      <c r="CC157">
        <f>Sales[[#This Row],[AttGar]]*Lookups!$B$93</f>
        <v>0</v>
      </c>
      <c r="CD157">
        <f>Sales[[#This Row],[BltinGar]]*Lookups!$B$94</f>
        <v>20746.655999999999</v>
      </c>
      <c r="CE157">
        <f>SUM(Sales[[#This Row],[Days Prior Total]:[Mdl BltinGar]])</f>
        <v>348521.27928753989</v>
      </c>
      <c r="CF157">
        <f>ROUND(Sales[[#This Row],[25Det]],-2)</f>
        <v>0</v>
      </c>
      <c r="CG157">
        <f>ROUND(SUM(Sales[[#This Row],[Mdl Qlty]:[Mdl BltinGar]])+Sales[[#This Row],[Mdl Res Intercept]]+Sales[[#This Row],[Days Prior Total]],-2)</f>
        <v>283400</v>
      </c>
      <c r="CH157">
        <f>ROUND(Sales[[#This Row],[Mdl Land Intercept]]+Sales[[#This Row],[Mdl LnAcres]],-2)</f>
        <v>65100</v>
      </c>
      <c r="CI157">
        <f>Sales[[#This Row],[Unadj Res Value]]+Sales[[#This Row],[Unadj Det Value]]+Sales[[#This Row],[Unadj Land Value]]</f>
        <v>348500</v>
      </c>
      <c r="CJ157" s="10">
        <f>Sales[[#This Row],[Price]]/Sales[[#This Row],[Unadj Total Value]]</f>
        <v>0.9289239598278336</v>
      </c>
      <c r="CK157" s="10">
        <f>(Sales[[#This Row],[Unadj Total Value]]-Sales[[#This Row],[24Final]])/Sales[[#This Row],[24Final]]</f>
        <v>-0.15103532277710111</v>
      </c>
      <c r="CL157">
        <f>VLOOKUP(Sales[[#This Row],[TNbhd]],Lookups!$M$3:$P$5,4,FALSE)</f>
        <v>0.99970000000000003</v>
      </c>
      <c r="CM157">
        <f>VLOOKUP(Sales[[#This Row],[Qlty]],Lookups!$M$8:$P$22,4,FALSE)</f>
        <v>1.0019</v>
      </c>
      <c r="CN157">
        <f>VLOOKUP(Sales[[#This Row],[Cnd]],Lookups!$R$8:$U$17,4,FALSE)</f>
        <v>1.0012000000000001</v>
      </c>
      <c r="CO157">
        <f>VLOOKUP(Sales[[#This Row],[LivArea Range]],Lookups!$R$25:$U$43,4,FALSE)</f>
        <v>1.0007999999999999</v>
      </c>
      <c r="CP157">
        <f>VLOOKUP(Sales[[#This Row],[Decade]],Lookups!$M$24:$P$40,4,FALSE)</f>
        <v>1.0024</v>
      </c>
      <c r="CQ157">
        <f>Sales[[#This Row],[Nbhd Adj]]*0.95</f>
        <v>0.94971499999999998</v>
      </c>
      <c r="CR157">
        <f>Sales[[#This Row],[Nbhd Adj]]*Sales[[#This Row],[Quality Adj]]*Sales[[#This Row],[Condition Adj]]*Sales[[#This Row],[Living Area Adj]]*Sales[[#This Row],[Decade Adj]]*0.95</f>
        <v>0.95571162706178159</v>
      </c>
      <c r="CS157">
        <f>ROUND(SUM(Sales[[#This Row],[Mdl Qlty]:[Mdl BltinGar]])+Sales[[#This Row],[Mdl Res Intercept]]*Sales[[#This Row],[Res Adj ]],-2)</f>
        <v>331000</v>
      </c>
      <c r="CT157">
        <f>ROUND(Sales[[#This Row],[25Det]]*Sales[[#This Row],[Det/Nbhd Adj]],-2)</f>
        <v>0</v>
      </c>
      <c r="CU157">
        <f>Sales[[#This Row],[Adjusted Res]]+Sales[[#This Row],[Adj Det ]]</f>
        <v>331000</v>
      </c>
      <c r="CV157">
        <f>ROUND((Sales[[#This Row],[Mdl Land Intercept]]+Sales[[#This Row],[Mdl LnAcres]])*Sales[[#This Row],[Det/Nbhd Adj]],-2)</f>
        <v>61800</v>
      </c>
      <c r="CW157">
        <f>Sales[[#This Row],[Adjusted Impr Total]]+Sales[[#This Row],[Adjusted Land Total]]</f>
        <v>392800</v>
      </c>
      <c r="CX157" s="10">
        <f>IFERROR((Sales[[#This Row],[Adjusted Impr Total]]-Sales[[#This Row],[24Bldg]])/Sales[[#This Row],[24Bldg]],0)</f>
        <v>-5.1032110091743119E-2</v>
      </c>
      <c r="CY157" s="10">
        <f>(Sales[[#This Row],[Adjusted Land Total]]-Sales[[#This Row],[24Lnd]])/Sales[[#This Row],[24Lnd]]</f>
        <v>1.6207455429497568E-3</v>
      </c>
      <c r="CZ157">
        <f>(Sales[[#This Row],[Adjusted Total]]-Sales[[#This Row],[24Final]])/Sales[[#This Row],[24Final]]</f>
        <v>-4.3118148599269185E-2</v>
      </c>
      <c r="DA157" s="10">
        <f>(Sales[[#This Row],[Adjusted Total]]+Sales[[#This Row],[Days Prior Total]])/Sales[[#This Row],[Price]]</f>
        <v>1.0482833286040836</v>
      </c>
    </row>
    <row r="158" spans="1:105">
      <c r="A158">
        <v>2025</v>
      </c>
      <c r="B158">
        <v>19133541456</v>
      </c>
      <c r="C158">
        <v>-1.7719568419318752</v>
      </c>
      <c r="D158">
        <v>0.17</v>
      </c>
      <c r="E158">
        <v>7350</v>
      </c>
      <c r="F158">
        <v>2</v>
      </c>
      <c r="G158" t="s">
        <v>155</v>
      </c>
      <c r="H158">
        <v>317</v>
      </c>
      <c r="I158" t="s">
        <v>5</v>
      </c>
      <c r="J158" t="s">
        <v>212</v>
      </c>
      <c r="K158">
        <v>11</v>
      </c>
      <c r="L158">
        <v>259</v>
      </c>
      <c r="M158" t="s">
        <v>157</v>
      </c>
      <c r="N158" t="s">
        <v>19</v>
      </c>
      <c r="O158" t="s">
        <v>24</v>
      </c>
      <c r="P158">
        <v>2021</v>
      </c>
      <c r="Q158">
        <v>2021</v>
      </c>
      <c r="R158">
        <v>10</v>
      </c>
      <c r="S158">
        <v>3</v>
      </c>
      <c r="T158">
        <v>3</v>
      </c>
      <c r="U158">
        <v>1</v>
      </c>
      <c r="V158">
        <v>1403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1403</v>
      </c>
      <c r="AC158">
        <v>1500</v>
      </c>
      <c r="AD158">
        <v>3</v>
      </c>
      <c r="AE158" t="s">
        <v>57</v>
      </c>
      <c r="AF158" t="s">
        <v>158</v>
      </c>
      <c r="AG158" t="s">
        <v>27</v>
      </c>
      <c r="AI158">
        <v>0</v>
      </c>
      <c r="AJ158">
        <v>0</v>
      </c>
      <c r="AK158">
        <v>1</v>
      </c>
      <c r="AL158">
        <v>1</v>
      </c>
      <c r="AM158">
        <v>0</v>
      </c>
      <c r="AN158">
        <v>10</v>
      </c>
      <c r="AO158">
        <v>640</v>
      </c>
      <c r="AP158">
        <v>0</v>
      </c>
      <c r="AQ158">
        <v>0</v>
      </c>
      <c r="AR158">
        <v>0</v>
      </c>
      <c r="AS158">
        <v>144</v>
      </c>
      <c r="AT158">
        <v>0</v>
      </c>
      <c r="AU158">
        <v>100</v>
      </c>
      <c r="AV158">
        <v>100</v>
      </c>
      <c r="AW158">
        <v>266675</v>
      </c>
      <c r="AX158">
        <v>264008</v>
      </c>
      <c r="AY158">
        <v>663</v>
      </c>
      <c r="AZ158">
        <v>365</v>
      </c>
      <c r="BA158">
        <v>298</v>
      </c>
      <c r="BB158">
        <v>0</v>
      </c>
      <c r="BC158" s="2">
        <v>44629</v>
      </c>
      <c r="BD158" t="s">
        <v>317</v>
      </c>
      <c r="BE158">
        <v>362450</v>
      </c>
      <c r="BF158">
        <v>362450</v>
      </c>
      <c r="BG158" t="s">
        <v>160</v>
      </c>
      <c r="BH158">
        <v>30</v>
      </c>
      <c r="BI158" t="s">
        <v>56</v>
      </c>
      <c r="BJ158" t="s">
        <v>161</v>
      </c>
      <c r="BK158">
        <v>382500</v>
      </c>
      <c r="BL158">
        <v>61700</v>
      </c>
      <c r="BM158">
        <v>320800</v>
      </c>
      <c r="BN158">
        <v>0</v>
      </c>
      <c r="BO158">
        <v>389278.86135006044</v>
      </c>
      <c r="BP158">
        <v>405910.46707608749</v>
      </c>
      <c r="BQ158">
        <f>(Sales[[#This Row],[DP1]]*Lookups!$B$61)+(Sales[[#This Row],[DP2]]*Lookups!$B$62)+(Sales[[#This Row],[DP3]]*Lookups!$B$63)</f>
        <v>-16631.604780999998</v>
      </c>
      <c r="BR158">
        <f>Lookups!$B$58*0.6</f>
        <v>132535.48800000001</v>
      </c>
      <c r="BS158">
        <f>Lookups!$B$58*0.4</f>
        <v>88356.992000000013</v>
      </c>
      <c r="BT158">
        <f>Lookups!$B$59*Sales[[#This Row],[LnAcres]]</f>
        <v>-23255.730391660189</v>
      </c>
      <c r="BU158">
        <f>VLOOKUP(Sales[[#This Row],[Qlty]],Lookups!$A$66:$E$79,2,FALSE)</f>
        <v>37154.252388000001</v>
      </c>
      <c r="BV158">
        <f>VLOOKUP(Sales[[#This Row],[Cnd]],Lookups!$A$80:$E$91,2,FALSE)</f>
        <v>47371.278778200001</v>
      </c>
      <c r="BW158">
        <f>Sales[[#This Row],[EffAge]]*Lookups!$B$65</f>
        <v>-326.22329999999999</v>
      </c>
      <c r="BX158">
        <f>Sales[[#This Row],[MainFn]]*Lookups!$B$90</f>
        <v>87561.76314000001</v>
      </c>
      <c r="BY158">
        <f>Sales[[#This Row],[UpprFn]]*Lookups!$B$91</f>
        <v>0</v>
      </c>
      <c r="BZ158">
        <f>Sales[[#This Row],[Bsmt]]*Lookups!$B$95</f>
        <v>0</v>
      </c>
      <c r="CA158">
        <f>VLOOKUP(Sales[[#This Row],[MsnryTrim]],Lookups!$A$90:$E$99,2,FALSE)</f>
        <v>4112.8784489</v>
      </c>
      <c r="CB158">
        <f>Sales[[#This Row],[PrefabFP]]*Lookups!$B$92</f>
        <v>9807.1044999999995</v>
      </c>
      <c r="CC158">
        <f>Sales[[#This Row],[AttGar]]*Lookups!$B$93</f>
        <v>22592.65984</v>
      </c>
      <c r="CD158">
        <f>Sales[[#This Row],[BltinGar]]*Lookups!$B$94</f>
        <v>0</v>
      </c>
      <c r="CE158">
        <f>SUM(Sales[[#This Row],[Days Prior Total]:[Mdl BltinGar]])</f>
        <v>389278.85862243985</v>
      </c>
      <c r="CF158">
        <f>ROUND(Sales[[#This Row],[25Det]],-2)</f>
        <v>0</v>
      </c>
      <c r="CG158">
        <f>ROUND(SUM(Sales[[#This Row],[Mdl Qlty]:[Mdl BltinGar]])+Sales[[#This Row],[Mdl Res Intercept]]+Sales[[#This Row],[Days Prior Total]],-2)</f>
        <v>324200</v>
      </c>
      <c r="CH158">
        <f>ROUND(Sales[[#This Row],[Mdl Land Intercept]]+Sales[[#This Row],[Mdl LnAcres]],-2)</f>
        <v>65100</v>
      </c>
      <c r="CI158">
        <f>Sales[[#This Row],[Unadj Res Value]]+Sales[[#This Row],[Unadj Det Value]]+Sales[[#This Row],[Unadj Land Value]]</f>
        <v>389300</v>
      </c>
      <c r="CJ158" s="10">
        <f>Sales[[#This Row],[Price]]/Sales[[#This Row],[Unadj Total Value]]</f>
        <v>0.93103005394297456</v>
      </c>
      <c r="CK158" s="10">
        <f>(Sales[[#This Row],[Unadj Total Value]]-Sales[[#This Row],[24Final]])/Sales[[#This Row],[24Final]]</f>
        <v>1.7777777777777778E-2</v>
      </c>
      <c r="CL158">
        <f>VLOOKUP(Sales[[#This Row],[TNbhd]],Lookups!$M$3:$P$5,4,FALSE)</f>
        <v>0.99970000000000003</v>
      </c>
      <c r="CM158">
        <f>VLOOKUP(Sales[[#This Row],[Qlty]],Lookups!$M$8:$P$22,4,FALSE)</f>
        <v>0.99819999999999998</v>
      </c>
      <c r="CN158">
        <f>VLOOKUP(Sales[[#This Row],[Cnd]],Lookups!$R$8:$U$17,4,FALSE)</f>
        <v>1.0012000000000001</v>
      </c>
      <c r="CO158">
        <f>VLOOKUP(Sales[[#This Row],[LivArea Range]],Lookups!$R$25:$U$43,4,FALSE)</f>
        <v>0.99519999999999997</v>
      </c>
      <c r="CP158">
        <f>VLOOKUP(Sales[[#This Row],[Decade]],Lookups!$M$24:$P$40,4,FALSE)</f>
        <v>1.0024</v>
      </c>
      <c r="CQ158">
        <f>Sales[[#This Row],[Nbhd Adj]]*0.95</f>
        <v>0.94971499999999998</v>
      </c>
      <c r="CR158">
        <f>Sales[[#This Row],[Nbhd Adj]]*Sales[[#This Row],[Quality Adj]]*Sales[[#This Row],[Condition Adj]]*Sales[[#This Row],[Living Area Adj]]*Sales[[#This Row],[Decade Adj]]*0.95</f>
        <v>0.94685424199978463</v>
      </c>
      <c r="CS158">
        <f>ROUND(SUM(Sales[[#This Row],[Mdl Qlty]:[Mdl BltinGar]])+Sales[[#This Row],[Mdl Res Intercept]]*Sales[[#This Row],[Res Adj ]],-2)</f>
        <v>333800</v>
      </c>
      <c r="CT158">
        <f>ROUND(Sales[[#This Row],[25Det]]*Sales[[#This Row],[Det/Nbhd Adj]],-2)</f>
        <v>0</v>
      </c>
      <c r="CU158">
        <f>Sales[[#This Row],[Adjusted Res]]+Sales[[#This Row],[Adj Det ]]</f>
        <v>333800</v>
      </c>
      <c r="CV158">
        <f>ROUND((Sales[[#This Row],[Mdl Land Intercept]]+Sales[[#This Row],[Mdl LnAcres]])*Sales[[#This Row],[Det/Nbhd Adj]],-2)</f>
        <v>61800</v>
      </c>
      <c r="CW158">
        <f>Sales[[#This Row],[Adjusted Impr Total]]+Sales[[#This Row],[Adjusted Land Total]]</f>
        <v>395600</v>
      </c>
      <c r="CX158" s="10">
        <f>IFERROR((Sales[[#This Row],[Adjusted Impr Total]]-Sales[[#This Row],[24Bldg]])/Sales[[#This Row],[24Bldg]],0)</f>
        <v>4.0523690773067333E-2</v>
      </c>
      <c r="CY158" s="10">
        <f>(Sales[[#This Row],[Adjusted Land Total]]-Sales[[#This Row],[24Lnd]])/Sales[[#This Row],[24Lnd]]</f>
        <v>1.6207455429497568E-3</v>
      </c>
      <c r="CZ158">
        <f>(Sales[[#This Row],[Adjusted Total]]-Sales[[#This Row],[24Final]])/Sales[[#This Row],[24Final]]</f>
        <v>3.4248366013071893E-2</v>
      </c>
      <c r="DA158" s="10">
        <f>(Sales[[#This Row],[Adjusted Total]]+Sales[[#This Row],[Days Prior Total]])/Sales[[#This Row],[Price]]</f>
        <v>1.0455742729176438</v>
      </c>
    </row>
    <row r="159" spans="1:105">
      <c r="A159">
        <v>2025</v>
      </c>
      <c r="B159">
        <v>19133541457</v>
      </c>
      <c r="C159">
        <v>-1.7719568419318752</v>
      </c>
      <c r="D159">
        <v>0.17</v>
      </c>
      <c r="E159">
        <v>7350</v>
      </c>
      <c r="F159">
        <v>2</v>
      </c>
      <c r="G159" t="s">
        <v>155</v>
      </c>
      <c r="H159">
        <v>317</v>
      </c>
      <c r="I159" t="s">
        <v>5</v>
      </c>
      <c r="J159" t="s">
        <v>212</v>
      </c>
      <c r="K159">
        <v>11</v>
      </c>
      <c r="L159">
        <v>259</v>
      </c>
      <c r="M159" t="s">
        <v>157</v>
      </c>
      <c r="N159" t="s">
        <v>21</v>
      </c>
      <c r="O159" t="s">
        <v>24</v>
      </c>
      <c r="P159">
        <v>2021</v>
      </c>
      <c r="Q159">
        <v>2021</v>
      </c>
      <c r="R159">
        <v>10</v>
      </c>
      <c r="S159">
        <v>3</v>
      </c>
      <c r="T159">
        <v>3</v>
      </c>
      <c r="U159">
        <v>1</v>
      </c>
      <c r="V159">
        <v>1550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1550</v>
      </c>
      <c r="AC159">
        <v>2000</v>
      </c>
      <c r="AD159">
        <v>2</v>
      </c>
      <c r="AE159" t="s">
        <v>56</v>
      </c>
      <c r="AF159" t="s">
        <v>158</v>
      </c>
      <c r="AG159" t="s">
        <v>27</v>
      </c>
      <c r="AI159">
        <v>0</v>
      </c>
      <c r="AJ159">
        <v>0</v>
      </c>
      <c r="AK159">
        <v>0</v>
      </c>
      <c r="AL159">
        <v>1</v>
      </c>
      <c r="AM159">
        <v>0</v>
      </c>
      <c r="AN159">
        <v>10</v>
      </c>
      <c r="AO159">
        <v>420</v>
      </c>
      <c r="AP159">
        <v>0</v>
      </c>
      <c r="AQ159">
        <v>0</v>
      </c>
      <c r="AR159">
        <v>0</v>
      </c>
      <c r="AS159">
        <v>144</v>
      </c>
      <c r="AT159">
        <v>0</v>
      </c>
      <c r="AU159">
        <v>100</v>
      </c>
      <c r="AV159">
        <v>100</v>
      </c>
      <c r="AW159">
        <v>308994</v>
      </c>
      <c r="AX159">
        <v>305904</v>
      </c>
      <c r="AY159">
        <v>831</v>
      </c>
      <c r="AZ159">
        <v>365</v>
      </c>
      <c r="BA159">
        <v>365</v>
      </c>
      <c r="BB159">
        <v>101</v>
      </c>
      <c r="BC159" s="2">
        <v>44461</v>
      </c>
      <c r="BD159" t="s">
        <v>318</v>
      </c>
      <c r="BE159">
        <v>312050</v>
      </c>
      <c r="BF159">
        <v>312050</v>
      </c>
      <c r="BG159" t="s">
        <v>160</v>
      </c>
      <c r="BH159">
        <v>30</v>
      </c>
      <c r="BI159" t="s">
        <v>56</v>
      </c>
      <c r="BJ159" t="s">
        <v>161</v>
      </c>
      <c r="BK159">
        <v>378300</v>
      </c>
      <c r="BL159">
        <v>61700</v>
      </c>
      <c r="BM159">
        <v>316600</v>
      </c>
      <c r="BN159">
        <v>0</v>
      </c>
      <c r="BO159">
        <v>335470.21335403284</v>
      </c>
      <c r="BP159">
        <v>379749.47741269961</v>
      </c>
      <c r="BQ159">
        <f>(Sales[[#This Row],[DP1]]*Lookups!$B$61)+(Sales[[#This Row],[DP2]]*Lookups!$B$62)+(Sales[[#This Row],[DP3]]*Lookups!$B$63)</f>
        <v>-44279.262030999998</v>
      </c>
      <c r="BR159">
        <f>Lookups!$B$58*0.6</f>
        <v>132535.48800000001</v>
      </c>
      <c r="BS159">
        <f>Lookups!$B$58*0.4</f>
        <v>88356.992000000013</v>
      </c>
      <c r="BT159">
        <f>Lookups!$B$59*Sales[[#This Row],[LnAcres]]</f>
        <v>-23255.730391660189</v>
      </c>
      <c r="BU159">
        <f>VLOOKUP(Sales[[#This Row],[Qlty]],Lookups!$A$66:$E$79,2,FALSE)</f>
        <v>32917.849192000001</v>
      </c>
      <c r="BV159">
        <f>VLOOKUP(Sales[[#This Row],[Cnd]],Lookups!$A$80:$E$91,2,FALSE)</f>
        <v>47371.278778200001</v>
      </c>
      <c r="BW159">
        <f>Sales[[#This Row],[EffAge]]*Lookups!$B$65</f>
        <v>-326.22329999999999</v>
      </c>
      <c r="BX159">
        <f>Sales[[#This Row],[MainFn]]*Lookups!$B$90</f>
        <v>96736.089000000007</v>
      </c>
      <c r="BY159">
        <f>Sales[[#This Row],[UpprFn]]*Lookups!$B$91</f>
        <v>0</v>
      </c>
      <c r="BZ159">
        <f>Sales[[#This Row],[Bsmt]]*Lookups!$B$95</f>
        <v>0</v>
      </c>
      <c r="CA159">
        <f>VLOOKUP(Sales[[#This Row],[MsnryTrim]],Lookups!$A$90:$E$99,2,FALSE)</f>
        <v>-9412.7029999999995</v>
      </c>
      <c r="CB159">
        <f>Sales[[#This Row],[PrefabFP]]*Lookups!$B$92</f>
        <v>0</v>
      </c>
      <c r="CC159">
        <f>Sales[[#This Row],[AttGar]]*Lookups!$B$93</f>
        <v>14826.43302</v>
      </c>
      <c r="CD159">
        <f>Sales[[#This Row],[BltinGar]]*Lookups!$B$94</f>
        <v>0</v>
      </c>
      <c r="CE159">
        <f>SUM(Sales[[#This Row],[Days Prior Total]:[Mdl BltinGar]])</f>
        <v>335470.21126753988</v>
      </c>
      <c r="CF159">
        <f>ROUND(Sales[[#This Row],[25Det]],-2)</f>
        <v>0</v>
      </c>
      <c r="CG159">
        <f>ROUND(SUM(Sales[[#This Row],[Mdl Qlty]:[Mdl BltinGar]])+Sales[[#This Row],[Mdl Res Intercept]]+Sales[[#This Row],[Days Prior Total]],-2)</f>
        <v>270400</v>
      </c>
      <c r="CH159">
        <f>ROUND(Sales[[#This Row],[Mdl Land Intercept]]+Sales[[#This Row],[Mdl LnAcres]],-2)</f>
        <v>65100</v>
      </c>
      <c r="CI159">
        <f>Sales[[#This Row],[Unadj Res Value]]+Sales[[#This Row],[Unadj Det Value]]+Sales[[#This Row],[Unadj Land Value]]</f>
        <v>335500</v>
      </c>
      <c r="CJ159" s="10">
        <f>Sales[[#This Row],[Price]]/Sales[[#This Row],[Unadj Total Value]]</f>
        <v>0.93010432190760062</v>
      </c>
      <c r="CK159" s="10">
        <f>(Sales[[#This Row],[Unadj Total Value]]-Sales[[#This Row],[24Final]])/Sales[[#This Row],[24Final]]</f>
        <v>-0.11313772138514407</v>
      </c>
      <c r="CL159">
        <f>VLOOKUP(Sales[[#This Row],[TNbhd]],Lookups!$M$3:$P$5,4,FALSE)</f>
        <v>0.99970000000000003</v>
      </c>
      <c r="CM159">
        <f>VLOOKUP(Sales[[#This Row],[Qlty]],Lookups!$M$8:$P$22,4,FALSE)</f>
        <v>1.0019</v>
      </c>
      <c r="CN159">
        <f>VLOOKUP(Sales[[#This Row],[Cnd]],Lookups!$R$8:$U$17,4,FALSE)</f>
        <v>1.0012000000000001</v>
      </c>
      <c r="CO159">
        <f>VLOOKUP(Sales[[#This Row],[LivArea Range]],Lookups!$R$25:$U$43,4,FALSE)</f>
        <v>1.0007999999999999</v>
      </c>
      <c r="CP159">
        <f>VLOOKUP(Sales[[#This Row],[Decade]],Lookups!$M$24:$P$40,4,FALSE)</f>
        <v>1.0024</v>
      </c>
      <c r="CQ159">
        <f>Sales[[#This Row],[Nbhd Adj]]*0.95</f>
        <v>0.94971499999999998</v>
      </c>
      <c r="CR159">
        <f>Sales[[#This Row],[Nbhd Adj]]*Sales[[#This Row],[Quality Adj]]*Sales[[#This Row],[Condition Adj]]*Sales[[#This Row],[Living Area Adj]]*Sales[[#This Row],[Decade Adj]]*0.95</f>
        <v>0.95571162706178159</v>
      </c>
      <c r="CS159">
        <f>ROUND(SUM(Sales[[#This Row],[Mdl Qlty]:[Mdl BltinGar]])+Sales[[#This Row],[Mdl Res Intercept]]*Sales[[#This Row],[Res Adj ]],-2)</f>
        <v>308800</v>
      </c>
      <c r="CT159">
        <f>ROUND(Sales[[#This Row],[25Det]]*Sales[[#This Row],[Det/Nbhd Adj]],-2)</f>
        <v>0</v>
      </c>
      <c r="CU159">
        <f>Sales[[#This Row],[Adjusted Res]]+Sales[[#This Row],[Adj Det ]]</f>
        <v>308800</v>
      </c>
      <c r="CV159">
        <f>ROUND((Sales[[#This Row],[Mdl Land Intercept]]+Sales[[#This Row],[Mdl LnAcres]])*Sales[[#This Row],[Det/Nbhd Adj]],-2)</f>
        <v>61800</v>
      </c>
      <c r="CW159">
        <f>Sales[[#This Row],[Adjusted Impr Total]]+Sales[[#This Row],[Adjusted Land Total]]</f>
        <v>370600</v>
      </c>
      <c r="CX159" s="10">
        <f>IFERROR((Sales[[#This Row],[Adjusted Impr Total]]-Sales[[#This Row],[24Bldg]])/Sales[[#This Row],[24Bldg]],0)</f>
        <v>-2.4636765634870498E-2</v>
      </c>
      <c r="CY159" s="10">
        <f>(Sales[[#This Row],[Adjusted Land Total]]-Sales[[#This Row],[24Lnd]])/Sales[[#This Row],[24Lnd]]</f>
        <v>1.6207455429497568E-3</v>
      </c>
      <c r="CZ159">
        <f>(Sales[[#This Row],[Adjusted Total]]-Sales[[#This Row],[24Final]])/Sales[[#This Row],[24Final]]</f>
        <v>-2.0354216230504891E-2</v>
      </c>
      <c r="DA159" s="10">
        <f>(Sales[[#This Row],[Adjusted Total]]+Sales[[#This Row],[Days Prior Total]])/Sales[[#This Row],[Price]]</f>
        <v>1.045732215891684</v>
      </c>
    </row>
    <row r="160" spans="1:105">
      <c r="A160">
        <v>2025</v>
      </c>
      <c r="B160">
        <v>19133541458</v>
      </c>
      <c r="C160">
        <v>-1.5141277326297755</v>
      </c>
      <c r="D160">
        <v>0.22</v>
      </c>
      <c r="E160">
        <v>9386</v>
      </c>
      <c r="F160">
        <v>2</v>
      </c>
      <c r="G160" t="s">
        <v>155</v>
      </c>
      <c r="H160">
        <v>317</v>
      </c>
      <c r="I160" t="s">
        <v>5</v>
      </c>
      <c r="J160" t="s">
        <v>212</v>
      </c>
      <c r="K160">
        <v>11</v>
      </c>
      <c r="L160">
        <v>259</v>
      </c>
      <c r="M160" t="s">
        <v>157</v>
      </c>
      <c r="N160" t="s">
        <v>21</v>
      </c>
      <c r="O160" t="s">
        <v>24</v>
      </c>
      <c r="P160">
        <v>2021</v>
      </c>
      <c r="Q160">
        <v>2021</v>
      </c>
      <c r="R160">
        <v>10</v>
      </c>
      <c r="S160">
        <v>3</v>
      </c>
      <c r="T160">
        <v>3</v>
      </c>
      <c r="U160">
        <v>1</v>
      </c>
      <c r="V160">
        <v>2026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2026</v>
      </c>
      <c r="AC160">
        <v>2500</v>
      </c>
      <c r="AD160">
        <v>3</v>
      </c>
      <c r="AE160" t="s">
        <v>57</v>
      </c>
      <c r="AF160" t="s">
        <v>158</v>
      </c>
      <c r="AG160" t="s">
        <v>27</v>
      </c>
      <c r="AI160">
        <v>0</v>
      </c>
      <c r="AJ160">
        <v>0</v>
      </c>
      <c r="AK160">
        <v>1</v>
      </c>
      <c r="AL160">
        <v>0</v>
      </c>
      <c r="AM160">
        <v>0</v>
      </c>
      <c r="AN160">
        <v>11</v>
      </c>
      <c r="AO160">
        <v>664</v>
      </c>
      <c r="AP160">
        <v>0</v>
      </c>
      <c r="AQ160">
        <v>0</v>
      </c>
      <c r="AR160">
        <v>0</v>
      </c>
      <c r="AS160">
        <v>144</v>
      </c>
      <c r="AT160">
        <v>0</v>
      </c>
      <c r="AU160">
        <v>100</v>
      </c>
      <c r="AV160">
        <v>100</v>
      </c>
      <c r="AW160">
        <v>399510</v>
      </c>
      <c r="AX160">
        <v>395515</v>
      </c>
      <c r="AY160">
        <v>683</v>
      </c>
      <c r="AZ160">
        <v>365</v>
      </c>
      <c r="BA160">
        <v>318</v>
      </c>
      <c r="BB160">
        <v>0</v>
      </c>
      <c r="BC160" s="2">
        <v>44609</v>
      </c>
      <c r="BD160" t="s">
        <v>319</v>
      </c>
      <c r="BE160">
        <v>419880</v>
      </c>
      <c r="BF160">
        <v>419880</v>
      </c>
      <c r="BG160" t="s">
        <v>160</v>
      </c>
      <c r="BH160">
        <v>30</v>
      </c>
      <c r="BI160" t="s">
        <v>56</v>
      </c>
      <c r="BJ160" t="s">
        <v>161</v>
      </c>
      <c r="BK160">
        <v>414300</v>
      </c>
      <c r="BL160">
        <v>65300</v>
      </c>
      <c r="BM160">
        <v>349000</v>
      </c>
      <c r="BN160">
        <v>0</v>
      </c>
      <c r="BO160">
        <v>426806.31053708913</v>
      </c>
      <c r="BP160">
        <v>444786.78732736612</v>
      </c>
      <c r="BQ160">
        <f>(Sales[[#This Row],[DP1]]*Lookups!$B$61)+(Sales[[#This Row],[DP2]]*Lookups!$B$62)+(Sales[[#This Row],[DP3]]*Lookups!$B$63)</f>
        <v>-17980.475781000001</v>
      </c>
      <c r="BR160">
        <f>Lookups!$B$58*0.6</f>
        <v>132535.48800000001</v>
      </c>
      <c r="BS160">
        <f>Lookups!$B$58*0.4</f>
        <v>88356.992000000013</v>
      </c>
      <c r="BT160">
        <f>Lookups!$B$59*Sales[[#This Row],[LnAcres]]</f>
        <v>-19871.898398035348</v>
      </c>
      <c r="BU160">
        <f>VLOOKUP(Sales[[#This Row],[Qlty]],Lookups!$A$66:$E$79,2,FALSE)</f>
        <v>32917.849192000001</v>
      </c>
      <c r="BV160">
        <f>VLOOKUP(Sales[[#This Row],[Cnd]],Lookups!$A$80:$E$91,2,FALSE)</f>
        <v>47371.278778200001</v>
      </c>
      <c r="BW160">
        <f>Sales[[#This Row],[EffAge]]*Lookups!$B$65</f>
        <v>-326.22329999999999</v>
      </c>
      <c r="BX160">
        <f>Sales[[#This Row],[MainFn]]*Lookups!$B$90</f>
        <v>126443.42988000001</v>
      </c>
      <c r="BY160">
        <f>Sales[[#This Row],[UpprFn]]*Lookups!$B$91</f>
        <v>0</v>
      </c>
      <c r="BZ160">
        <f>Sales[[#This Row],[Bsmt]]*Lookups!$B$95</f>
        <v>0</v>
      </c>
      <c r="CA160">
        <f>VLOOKUP(Sales[[#This Row],[MsnryTrim]],Lookups!$A$90:$E$99,2,FALSE)</f>
        <v>4112.8784489</v>
      </c>
      <c r="CB160">
        <f>Sales[[#This Row],[PrefabFP]]*Lookups!$B$92</f>
        <v>9807.1044999999995</v>
      </c>
      <c r="CC160">
        <f>Sales[[#This Row],[AttGar]]*Lookups!$B$93</f>
        <v>23439.884583999999</v>
      </c>
      <c r="CD160">
        <f>Sales[[#This Row],[BltinGar]]*Lookups!$B$94</f>
        <v>0</v>
      </c>
      <c r="CE160">
        <f>SUM(Sales[[#This Row],[Days Prior Total]:[Mdl BltinGar]])</f>
        <v>426806.30790406466</v>
      </c>
      <c r="CF160">
        <f>ROUND(Sales[[#This Row],[25Det]],-2)</f>
        <v>0</v>
      </c>
      <c r="CG160">
        <f>ROUND(SUM(Sales[[#This Row],[Mdl Qlty]:[Mdl BltinGar]])+Sales[[#This Row],[Mdl Res Intercept]]+Sales[[#This Row],[Days Prior Total]],-2)</f>
        <v>358300</v>
      </c>
      <c r="CH160">
        <f>ROUND(Sales[[#This Row],[Mdl Land Intercept]]+Sales[[#This Row],[Mdl LnAcres]],-2)</f>
        <v>68500</v>
      </c>
      <c r="CI160">
        <f>Sales[[#This Row],[Unadj Res Value]]+Sales[[#This Row],[Unadj Det Value]]+Sales[[#This Row],[Unadj Land Value]]</f>
        <v>426800</v>
      </c>
      <c r="CJ160" s="10">
        <f>Sales[[#This Row],[Price]]/Sales[[#This Row],[Unadj Total Value]]</f>
        <v>0.98378631677600747</v>
      </c>
      <c r="CK160" s="10">
        <f>(Sales[[#This Row],[Unadj Total Value]]-Sales[[#This Row],[24Final]])/Sales[[#This Row],[24Final]]</f>
        <v>3.017137340091721E-2</v>
      </c>
      <c r="CL160">
        <f>VLOOKUP(Sales[[#This Row],[TNbhd]],Lookups!$M$3:$P$5,4,FALSE)</f>
        <v>0.99970000000000003</v>
      </c>
      <c r="CM160">
        <f>VLOOKUP(Sales[[#This Row],[Qlty]],Lookups!$M$8:$P$22,4,FALSE)</f>
        <v>1.0019</v>
      </c>
      <c r="CN160">
        <f>VLOOKUP(Sales[[#This Row],[Cnd]],Lookups!$R$8:$U$17,4,FALSE)</f>
        <v>1.0012000000000001</v>
      </c>
      <c r="CO160">
        <f>VLOOKUP(Sales[[#This Row],[LivArea Range]],Lookups!$R$25:$U$43,4,FALSE)</f>
        <v>1.0008999999999999</v>
      </c>
      <c r="CP160">
        <f>VLOOKUP(Sales[[#This Row],[Decade]],Lookups!$M$24:$P$40,4,FALSE)</f>
        <v>1.0024</v>
      </c>
      <c r="CQ160">
        <f>Sales[[#This Row],[Nbhd Adj]]*0.95</f>
        <v>0.94971499999999998</v>
      </c>
      <c r="CR160">
        <f>Sales[[#This Row],[Nbhd Adj]]*Sales[[#This Row],[Quality Adj]]*Sales[[#This Row],[Condition Adj]]*Sales[[#This Row],[Living Area Adj]]*Sales[[#This Row],[Decade Adj]]*0.95</f>
        <v>0.95580712182867422</v>
      </c>
      <c r="CS160">
        <f>ROUND(SUM(Sales[[#This Row],[Mdl Qlty]:[Mdl BltinGar]])+Sales[[#This Row],[Mdl Res Intercept]]*Sales[[#This Row],[Res Adj ]],-2)</f>
        <v>370400</v>
      </c>
      <c r="CT160">
        <f>ROUND(Sales[[#This Row],[25Det]]*Sales[[#This Row],[Det/Nbhd Adj]],-2)</f>
        <v>0</v>
      </c>
      <c r="CU160">
        <f>Sales[[#This Row],[Adjusted Res]]+Sales[[#This Row],[Adj Det ]]</f>
        <v>370400</v>
      </c>
      <c r="CV160">
        <f>ROUND((Sales[[#This Row],[Mdl Land Intercept]]+Sales[[#This Row],[Mdl LnAcres]])*Sales[[#This Row],[Det/Nbhd Adj]],-2)</f>
        <v>65000</v>
      </c>
      <c r="CW160">
        <f>Sales[[#This Row],[Adjusted Impr Total]]+Sales[[#This Row],[Adjusted Land Total]]</f>
        <v>435400</v>
      </c>
      <c r="CX160" s="10">
        <f>IFERROR((Sales[[#This Row],[Adjusted Impr Total]]-Sales[[#This Row],[24Bldg]])/Sales[[#This Row],[24Bldg]],0)</f>
        <v>6.1318051575931232E-2</v>
      </c>
      <c r="CY160" s="10">
        <f>(Sales[[#This Row],[Adjusted Land Total]]-Sales[[#This Row],[24Lnd]])/Sales[[#This Row],[24Lnd]]</f>
        <v>-4.5941807044410417E-3</v>
      </c>
      <c r="CZ160">
        <f>(Sales[[#This Row],[Adjusted Total]]-Sales[[#This Row],[24Final]])/Sales[[#This Row],[24Final]]</f>
        <v>5.0929278300748247E-2</v>
      </c>
      <c r="DA160" s="10">
        <f>(Sales[[#This Row],[Adjusted Total]]+Sales[[#This Row],[Days Prior Total]])/Sales[[#This Row],[Price]]</f>
        <v>0.99414005005954087</v>
      </c>
    </row>
    <row r="161" spans="1:105">
      <c r="A161">
        <v>2025</v>
      </c>
      <c r="B161">
        <v>19133541459</v>
      </c>
      <c r="C161">
        <v>-1.5141277326297755</v>
      </c>
      <c r="D161">
        <v>0.22</v>
      </c>
      <c r="E161">
        <v>9646</v>
      </c>
      <c r="F161">
        <v>2</v>
      </c>
      <c r="G161" t="s">
        <v>155</v>
      </c>
      <c r="H161">
        <v>317</v>
      </c>
      <c r="I161" t="s">
        <v>5</v>
      </c>
      <c r="J161" t="s">
        <v>212</v>
      </c>
      <c r="K161">
        <v>11</v>
      </c>
      <c r="L161">
        <v>259</v>
      </c>
      <c r="M161" t="s">
        <v>157</v>
      </c>
      <c r="N161" t="s">
        <v>21</v>
      </c>
      <c r="O161" t="s">
        <v>24</v>
      </c>
      <c r="P161">
        <v>2021</v>
      </c>
      <c r="Q161">
        <v>2021</v>
      </c>
      <c r="R161">
        <v>10</v>
      </c>
      <c r="S161">
        <v>3</v>
      </c>
      <c r="T161">
        <v>3</v>
      </c>
      <c r="U161">
        <v>1</v>
      </c>
      <c r="V161">
        <v>2010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2010</v>
      </c>
      <c r="AC161">
        <v>2500</v>
      </c>
      <c r="AD161">
        <v>3</v>
      </c>
      <c r="AE161" t="s">
        <v>56</v>
      </c>
      <c r="AF161" t="s">
        <v>158</v>
      </c>
      <c r="AG161" t="s">
        <v>27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11</v>
      </c>
      <c r="AO161">
        <v>664</v>
      </c>
      <c r="AP161">
        <v>0</v>
      </c>
      <c r="AQ161">
        <v>0</v>
      </c>
      <c r="AR161">
        <v>0</v>
      </c>
      <c r="AS161">
        <v>48</v>
      </c>
      <c r="AT161">
        <v>0</v>
      </c>
      <c r="AU161">
        <v>100</v>
      </c>
      <c r="AV161">
        <v>100</v>
      </c>
      <c r="AW161">
        <v>395948</v>
      </c>
      <c r="AX161">
        <v>391989</v>
      </c>
      <c r="AY161">
        <v>726</v>
      </c>
      <c r="AZ161">
        <v>365</v>
      </c>
      <c r="BA161">
        <v>361</v>
      </c>
      <c r="BB161">
        <v>0</v>
      </c>
      <c r="BC161" s="2">
        <v>44566</v>
      </c>
      <c r="BD161" t="s">
        <v>320</v>
      </c>
      <c r="BE161">
        <v>419380</v>
      </c>
      <c r="BF161">
        <v>419380</v>
      </c>
      <c r="BG161" t="s">
        <v>160</v>
      </c>
      <c r="BH161">
        <v>30</v>
      </c>
      <c r="BI161" t="s">
        <v>56</v>
      </c>
      <c r="BJ161" t="s">
        <v>161</v>
      </c>
      <c r="BK161">
        <v>418500</v>
      </c>
      <c r="BL161">
        <v>65300</v>
      </c>
      <c r="BM161">
        <v>353200</v>
      </c>
      <c r="BN161">
        <v>0</v>
      </c>
      <c r="BO161">
        <v>399574.98607823363</v>
      </c>
      <c r="BP161">
        <v>420455.53565664799</v>
      </c>
      <c r="BQ161">
        <f>(Sales[[#This Row],[DP1]]*Lookups!$B$61)+(Sales[[#This Row],[DP2]]*Lookups!$B$62)+(Sales[[#This Row],[DP3]]*Lookups!$B$63)</f>
        <v>-20880.548430999999</v>
      </c>
      <c r="BR161">
        <f>Lookups!$B$58*0.6</f>
        <v>132535.48800000001</v>
      </c>
      <c r="BS161">
        <f>Lookups!$B$58*0.4</f>
        <v>88356.992000000013</v>
      </c>
      <c r="BT161">
        <f>Lookups!$B$59*Sales[[#This Row],[LnAcres]]</f>
        <v>-19871.898398035348</v>
      </c>
      <c r="BU161">
        <f>VLOOKUP(Sales[[#This Row],[Qlty]],Lookups!$A$66:$E$79,2,FALSE)</f>
        <v>32917.849192000001</v>
      </c>
      <c r="BV161">
        <f>VLOOKUP(Sales[[#This Row],[Cnd]],Lookups!$A$80:$E$91,2,FALSE)</f>
        <v>47371.278778200001</v>
      </c>
      <c r="BW161">
        <f>Sales[[#This Row],[EffAge]]*Lookups!$B$65</f>
        <v>-326.22329999999999</v>
      </c>
      <c r="BX161">
        <f>Sales[[#This Row],[MainFn]]*Lookups!$B$90</f>
        <v>125444.86380000001</v>
      </c>
      <c r="BY161">
        <f>Sales[[#This Row],[UpprFn]]*Lookups!$B$91</f>
        <v>0</v>
      </c>
      <c r="BZ161">
        <f>Sales[[#This Row],[Bsmt]]*Lookups!$B$95</f>
        <v>0</v>
      </c>
      <c r="CA161">
        <f>VLOOKUP(Sales[[#This Row],[MsnryTrim]],Lookups!$A$90:$E$99,2,FALSE)</f>
        <v>-9412.7029999999995</v>
      </c>
      <c r="CB161">
        <f>Sales[[#This Row],[PrefabFP]]*Lookups!$B$92</f>
        <v>0</v>
      </c>
      <c r="CC161">
        <f>Sales[[#This Row],[AttGar]]*Lookups!$B$93</f>
        <v>23439.884583999999</v>
      </c>
      <c r="CD161">
        <f>Sales[[#This Row],[BltinGar]]*Lookups!$B$94</f>
        <v>0</v>
      </c>
      <c r="CE161">
        <f>SUM(Sales[[#This Row],[Days Prior Total]:[Mdl BltinGar]])</f>
        <v>399574.98322516464</v>
      </c>
      <c r="CF161">
        <f>ROUND(Sales[[#This Row],[25Det]],-2)</f>
        <v>0</v>
      </c>
      <c r="CG161">
        <f>ROUND(SUM(Sales[[#This Row],[Mdl Qlty]:[Mdl BltinGar]])+Sales[[#This Row],[Mdl Res Intercept]]+Sales[[#This Row],[Days Prior Total]],-2)</f>
        <v>331100</v>
      </c>
      <c r="CH161">
        <f>ROUND(Sales[[#This Row],[Mdl Land Intercept]]+Sales[[#This Row],[Mdl LnAcres]],-2)</f>
        <v>68500</v>
      </c>
      <c r="CI161">
        <f>Sales[[#This Row],[Unadj Res Value]]+Sales[[#This Row],[Unadj Det Value]]+Sales[[#This Row],[Unadj Land Value]]</f>
        <v>399600</v>
      </c>
      <c r="CJ161" s="10">
        <f>Sales[[#This Row],[Price]]/Sales[[#This Row],[Unadj Total Value]]</f>
        <v>1.0494994994994995</v>
      </c>
      <c r="CK161" s="10">
        <f>(Sales[[#This Row],[Unadj Total Value]]-Sales[[#This Row],[24Final]])/Sales[[#This Row],[24Final]]</f>
        <v>-4.5161290322580643E-2</v>
      </c>
      <c r="CL161">
        <f>VLOOKUP(Sales[[#This Row],[TNbhd]],Lookups!$M$3:$P$5,4,FALSE)</f>
        <v>0.99970000000000003</v>
      </c>
      <c r="CM161">
        <f>VLOOKUP(Sales[[#This Row],[Qlty]],Lookups!$M$8:$P$22,4,FALSE)</f>
        <v>1.0019</v>
      </c>
      <c r="CN161">
        <f>VLOOKUP(Sales[[#This Row],[Cnd]],Lookups!$R$8:$U$17,4,FALSE)</f>
        <v>1.0012000000000001</v>
      </c>
      <c r="CO161">
        <f>VLOOKUP(Sales[[#This Row],[LivArea Range]],Lookups!$R$25:$U$43,4,FALSE)</f>
        <v>1.0008999999999999</v>
      </c>
      <c r="CP161">
        <f>VLOOKUP(Sales[[#This Row],[Decade]],Lookups!$M$24:$P$40,4,FALSE)</f>
        <v>1.0024</v>
      </c>
      <c r="CQ161">
        <f>Sales[[#This Row],[Nbhd Adj]]*0.95</f>
        <v>0.94971499999999998</v>
      </c>
      <c r="CR161">
        <f>Sales[[#This Row],[Nbhd Adj]]*Sales[[#This Row],[Quality Adj]]*Sales[[#This Row],[Condition Adj]]*Sales[[#This Row],[Living Area Adj]]*Sales[[#This Row],[Decade Adj]]*0.95</f>
        <v>0.95580712182867422</v>
      </c>
      <c r="CS161">
        <f>ROUND(SUM(Sales[[#This Row],[Mdl Qlty]:[Mdl BltinGar]])+Sales[[#This Row],[Mdl Res Intercept]]*Sales[[#This Row],[Res Adj ]],-2)</f>
        <v>346100</v>
      </c>
      <c r="CT161">
        <f>ROUND(Sales[[#This Row],[25Det]]*Sales[[#This Row],[Det/Nbhd Adj]],-2)</f>
        <v>0</v>
      </c>
      <c r="CU161">
        <f>Sales[[#This Row],[Adjusted Res]]+Sales[[#This Row],[Adj Det ]]</f>
        <v>346100</v>
      </c>
      <c r="CV161">
        <f>ROUND((Sales[[#This Row],[Mdl Land Intercept]]+Sales[[#This Row],[Mdl LnAcres]])*Sales[[#This Row],[Det/Nbhd Adj]],-2)</f>
        <v>65000</v>
      </c>
      <c r="CW161">
        <f>Sales[[#This Row],[Adjusted Impr Total]]+Sales[[#This Row],[Adjusted Land Total]]</f>
        <v>411100</v>
      </c>
      <c r="CX161" s="10">
        <f>IFERROR((Sales[[#This Row],[Adjusted Impr Total]]-Sales[[#This Row],[24Bldg]])/Sales[[#This Row],[24Bldg]],0)</f>
        <v>-2.0101925254813136E-2</v>
      </c>
      <c r="CY161" s="10">
        <f>(Sales[[#This Row],[Adjusted Land Total]]-Sales[[#This Row],[24Lnd]])/Sales[[#This Row],[24Lnd]]</f>
        <v>-4.5941807044410417E-3</v>
      </c>
      <c r="CZ161">
        <f>(Sales[[#This Row],[Adjusted Total]]-Sales[[#This Row],[24Final]])/Sales[[#This Row],[24Final]]</f>
        <v>-1.7682198327359618E-2</v>
      </c>
      <c r="DA161" s="10">
        <f>(Sales[[#This Row],[Adjusted Total]]+Sales[[#This Row],[Days Prior Total]])/Sales[[#This Row],[Price]]</f>
        <v>0.93046747953884312</v>
      </c>
    </row>
    <row r="162" spans="1:105">
      <c r="A162">
        <v>2025</v>
      </c>
      <c r="B162">
        <v>19133541460</v>
      </c>
      <c r="C162">
        <v>-1.7147984280919266</v>
      </c>
      <c r="D162">
        <v>0.18</v>
      </c>
      <c r="E162">
        <v>7680</v>
      </c>
      <c r="F162">
        <v>2</v>
      </c>
      <c r="G162" t="s">
        <v>155</v>
      </c>
      <c r="H162" t="s">
        <v>5</v>
      </c>
      <c r="I162" t="s">
        <v>5</v>
      </c>
      <c r="J162" t="s">
        <v>212</v>
      </c>
      <c r="K162">
        <v>11</v>
      </c>
      <c r="L162">
        <v>259</v>
      </c>
      <c r="M162" t="s">
        <v>157</v>
      </c>
      <c r="N162" t="s">
        <v>19</v>
      </c>
      <c r="O162" t="s">
        <v>24</v>
      </c>
      <c r="P162">
        <v>2021</v>
      </c>
      <c r="Q162">
        <v>2021</v>
      </c>
      <c r="R162">
        <v>10</v>
      </c>
      <c r="S162">
        <v>3</v>
      </c>
      <c r="T162">
        <v>3</v>
      </c>
      <c r="U162">
        <v>1</v>
      </c>
      <c r="V162">
        <v>1403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1403</v>
      </c>
      <c r="AC162">
        <v>1500</v>
      </c>
      <c r="AD162">
        <v>2</v>
      </c>
      <c r="AE162" t="s">
        <v>57</v>
      </c>
      <c r="AF162" t="s">
        <v>158</v>
      </c>
      <c r="AG162" t="s">
        <v>27</v>
      </c>
      <c r="AI162">
        <v>0</v>
      </c>
      <c r="AJ162">
        <v>0</v>
      </c>
      <c r="AK162">
        <v>1</v>
      </c>
      <c r="AL162">
        <v>1</v>
      </c>
      <c r="AM162">
        <v>0</v>
      </c>
      <c r="AN162">
        <v>10</v>
      </c>
      <c r="AO162">
        <v>400</v>
      </c>
      <c r="AP162">
        <v>0</v>
      </c>
      <c r="AQ162">
        <v>0</v>
      </c>
      <c r="AR162">
        <v>0</v>
      </c>
      <c r="AS162">
        <v>144</v>
      </c>
      <c r="AT162">
        <v>0</v>
      </c>
      <c r="AU162">
        <v>100</v>
      </c>
      <c r="AV162">
        <v>100</v>
      </c>
      <c r="AW162">
        <v>258539</v>
      </c>
      <c r="AX162">
        <v>255954</v>
      </c>
      <c r="AY162">
        <v>-18</v>
      </c>
      <c r="AZ162">
        <v>-18</v>
      </c>
      <c r="BA162">
        <v>0</v>
      </c>
      <c r="BB162">
        <v>0</v>
      </c>
      <c r="BC162" s="2">
        <v>45310</v>
      </c>
      <c r="BD162" t="s">
        <v>321</v>
      </c>
      <c r="BE162">
        <v>398000</v>
      </c>
      <c r="BF162">
        <v>398000</v>
      </c>
      <c r="BG162" t="s">
        <v>160</v>
      </c>
      <c r="BH162">
        <v>30</v>
      </c>
      <c r="BI162" t="s">
        <v>56</v>
      </c>
      <c r="BJ162" t="s">
        <v>161</v>
      </c>
      <c r="BK162">
        <v>373000</v>
      </c>
      <c r="BL162">
        <v>62500</v>
      </c>
      <c r="BM162">
        <v>310500</v>
      </c>
      <c r="BN162">
        <v>0</v>
      </c>
      <c r="BO162">
        <v>398017.43079443794</v>
      </c>
      <c r="BP162">
        <v>398188.3850858442</v>
      </c>
      <c r="BQ162">
        <f>(Sales[[#This Row],[DP1]]*Lookups!$B$61)+(Sales[[#This Row],[DP2]]*Lookups!$B$62)+(Sales[[#This Row],[DP3]]*Lookups!$B$63)</f>
        <v>-170.9542908</v>
      </c>
      <c r="BR162">
        <f>Lookups!$B$58*0.6</f>
        <v>132535.48800000001</v>
      </c>
      <c r="BS162">
        <f>Lookups!$B$58*0.4</f>
        <v>88356.992000000013</v>
      </c>
      <c r="BT162">
        <f>Lookups!$B$59*Sales[[#This Row],[LnAcres]]</f>
        <v>-22505.565020573864</v>
      </c>
      <c r="BU162">
        <f>VLOOKUP(Sales[[#This Row],[Qlty]],Lookups!$A$66:$E$79,2,FALSE)</f>
        <v>37154.252388000001</v>
      </c>
      <c r="BV162">
        <f>VLOOKUP(Sales[[#This Row],[Cnd]],Lookups!$A$80:$E$91,2,FALSE)</f>
        <v>47371.278778200001</v>
      </c>
      <c r="BW162">
        <f>Sales[[#This Row],[EffAge]]*Lookups!$B$65</f>
        <v>-326.22329999999999</v>
      </c>
      <c r="BX162">
        <f>Sales[[#This Row],[MainFn]]*Lookups!$B$90</f>
        <v>87561.76314000001</v>
      </c>
      <c r="BY162">
        <f>Sales[[#This Row],[UpprFn]]*Lookups!$B$91</f>
        <v>0</v>
      </c>
      <c r="BZ162">
        <f>Sales[[#This Row],[Bsmt]]*Lookups!$B$95</f>
        <v>0</v>
      </c>
      <c r="CA162">
        <f>VLOOKUP(Sales[[#This Row],[MsnryTrim]],Lookups!$A$90:$E$99,2,FALSE)</f>
        <v>4112.8784489</v>
      </c>
      <c r="CB162">
        <f>Sales[[#This Row],[PrefabFP]]*Lookups!$B$92</f>
        <v>9807.1044999999995</v>
      </c>
      <c r="CC162">
        <f>Sales[[#This Row],[AttGar]]*Lookups!$B$93</f>
        <v>14120.412400000001</v>
      </c>
      <c r="CD162">
        <f>Sales[[#This Row],[BltinGar]]*Lookups!$B$94</f>
        <v>0</v>
      </c>
      <c r="CE162">
        <f>SUM(Sales[[#This Row],[Days Prior Total]:[Mdl BltinGar]])</f>
        <v>398017.4270437262</v>
      </c>
      <c r="CF162">
        <f>ROUND(Sales[[#This Row],[25Det]],-2)</f>
        <v>0</v>
      </c>
      <c r="CG162">
        <f>ROUND(SUM(Sales[[#This Row],[Mdl Qlty]:[Mdl BltinGar]])+Sales[[#This Row],[Mdl Res Intercept]]+Sales[[#This Row],[Days Prior Total]],-2)</f>
        <v>332200</v>
      </c>
      <c r="CH162">
        <f>ROUND(Sales[[#This Row],[Mdl Land Intercept]]+Sales[[#This Row],[Mdl LnAcres]],-2)</f>
        <v>65900</v>
      </c>
      <c r="CI162">
        <f>Sales[[#This Row],[Unadj Res Value]]+Sales[[#This Row],[Unadj Det Value]]+Sales[[#This Row],[Unadj Land Value]]</f>
        <v>398100</v>
      </c>
      <c r="CJ162" s="10">
        <f>Sales[[#This Row],[Price]]/Sales[[#This Row],[Unadj Total Value]]</f>
        <v>0.99974880683245415</v>
      </c>
      <c r="CK162" s="10">
        <f>(Sales[[#This Row],[Unadj Total Value]]-Sales[[#This Row],[24Final]])/Sales[[#This Row],[24Final]]</f>
        <v>6.7292225201072392E-2</v>
      </c>
      <c r="CL162">
        <f>VLOOKUP(Sales[[#This Row],[TNbhd]],Lookups!$M$3:$P$5,4,FALSE)</f>
        <v>0.99970000000000003</v>
      </c>
      <c r="CM162">
        <f>VLOOKUP(Sales[[#This Row],[Qlty]],Lookups!$M$8:$P$22,4,FALSE)</f>
        <v>0.99819999999999998</v>
      </c>
      <c r="CN162">
        <f>VLOOKUP(Sales[[#This Row],[Cnd]],Lookups!$R$8:$U$17,4,FALSE)</f>
        <v>1.0012000000000001</v>
      </c>
      <c r="CO162">
        <f>VLOOKUP(Sales[[#This Row],[LivArea Range]],Lookups!$R$25:$U$43,4,FALSE)</f>
        <v>0.99519999999999997</v>
      </c>
      <c r="CP162">
        <f>VLOOKUP(Sales[[#This Row],[Decade]],Lookups!$M$24:$P$40,4,FALSE)</f>
        <v>1.0024</v>
      </c>
      <c r="CQ162">
        <f>Sales[[#This Row],[Nbhd Adj]]*0.95</f>
        <v>0.94971499999999998</v>
      </c>
      <c r="CR162">
        <f>Sales[[#This Row],[Nbhd Adj]]*Sales[[#This Row],[Quality Adj]]*Sales[[#This Row],[Condition Adj]]*Sales[[#This Row],[Living Area Adj]]*Sales[[#This Row],[Decade Adj]]*0.95</f>
        <v>0.94685424199978463</v>
      </c>
      <c r="CS162">
        <f>ROUND(SUM(Sales[[#This Row],[Mdl Qlty]:[Mdl BltinGar]])+Sales[[#This Row],[Mdl Res Intercept]]*Sales[[#This Row],[Res Adj ]],-2)</f>
        <v>325300</v>
      </c>
      <c r="CT162">
        <f>ROUND(Sales[[#This Row],[25Det]]*Sales[[#This Row],[Det/Nbhd Adj]],-2)</f>
        <v>0</v>
      </c>
      <c r="CU162">
        <f>Sales[[#This Row],[Adjusted Res]]+Sales[[#This Row],[Adj Det ]]</f>
        <v>325300</v>
      </c>
      <c r="CV162">
        <f>ROUND((Sales[[#This Row],[Mdl Land Intercept]]+Sales[[#This Row],[Mdl LnAcres]])*Sales[[#This Row],[Det/Nbhd Adj]],-2)</f>
        <v>62500</v>
      </c>
      <c r="CW162">
        <f>Sales[[#This Row],[Adjusted Impr Total]]+Sales[[#This Row],[Adjusted Land Total]]</f>
        <v>387800</v>
      </c>
      <c r="CX162" s="10">
        <f>IFERROR((Sales[[#This Row],[Adjusted Impr Total]]-Sales[[#This Row],[24Bldg]])/Sales[[#This Row],[24Bldg]],0)</f>
        <v>4.7665056360708537E-2</v>
      </c>
      <c r="CY162" s="10">
        <f>(Sales[[#This Row],[Adjusted Land Total]]-Sales[[#This Row],[24Lnd]])/Sales[[#This Row],[24Lnd]]</f>
        <v>0</v>
      </c>
      <c r="CZ162">
        <f>(Sales[[#This Row],[Adjusted Total]]-Sales[[#This Row],[24Final]])/Sales[[#This Row],[24Final]]</f>
        <v>3.967828418230563E-2</v>
      </c>
      <c r="DA162" s="10">
        <f>(Sales[[#This Row],[Adjusted Total]]+Sales[[#This Row],[Days Prior Total]])/Sales[[#This Row],[Price]]</f>
        <v>0.97394232590251262</v>
      </c>
    </row>
    <row r="163" spans="1:105">
      <c r="A163">
        <v>2025</v>
      </c>
      <c r="B163">
        <v>19133541460</v>
      </c>
      <c r="C163">
        <v>-1.7147984280919266</v>
      </c>
      <c r="D163">
        <v>0.18</v>
      </c>
      <c r="E163">
        <v>7680</v>
      </c>
      <c r="F163">
        <v>2</v>
      </c>
      <c r="G163" t="s">
        <v>155</v>
      </c>
      <c r="H163">
        <v>317</v>
      </c>
      <c r="I163" t="s">
        <v>5</v>
      </c>
      <c r="J163" t="s">
        <v>212</v>
      </c>
      <c r="K163">
        <v>11</v>
      </c>
      <c r="L163">
        <v>259</v>
      </c>
      <c r="M163" t="s">
        <v>157</v>
      </c>
      <c r="N163" t="s">
        <v>19</v>
      </c>
      <c r="O163" t="s">
        <v>24</v>
      </c>
      <c r="P163">
        <v>2021</v>
      </c>
      <c r="Q163">
        <v>2021</v>
      </c>
      <c r="R163">
        <v>10</v>
      </c>
      <c r="S163">
        <v>3</v>
      </c>
      <c r="T163">
        <v>3</v>
      </c>
      <c r="U163">
        <v>1</v>
      </c>
      <c r="V163">
        <v>1403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1403</v>
      </c>
      <c r="AC163">
        <v>1500</v>
      </c>
      <c r="AD163">
        <v>2</v>
      </c>
      <c r="AE163" t="s">
        <v>57</v>
      </c>
      <c r="AF163" t="s">
        <v>158</v>
      </c>
      <c r="AG163" t="s">
        <v>27</v>
      </c>
      <c r="AI163">
        <v>0</v>
      </c>
      <c r="AJ163">
        <v>0</v>
      </c>
      <c r="AK163">
        <v>1</v>
      </c>
      <c r="AL163">
        <v>1</v>
      </c>
      <c r="AM163">
        <v>0</v>
      </c>
      <c r="AN163">
        <v>10</v>
      </c>
      <c r="AO163">
        <v>400</v>
      </c>
      <c r="AP163">
        <v>0</v>
      </c>
      <c r="AQ163">
        <v>0</v>
      </c>
      <c r="AR163">
        <v>0</v>
      </c>
      <c r="AS163">
        <v>144</v>
      </c>
      <c r="AT163">
        <v>0</v>
      </c>
      <c r="AU163">
        <v>100</v>
      </c>
      <c r="AV163">
        <v>100</v>
      </c>
      <c r="AW163">
        <v>258539</v>
      </c>
      <c r="AX163">
        <v>255954</v>
      </c>
      <c r="AY163">
        <v>697</v>
      </c>
      <c r="AZ163">
        <v>365</v>
      </c>
      <c r="BA163">
        <v>332</v>
      </c>
      <c r="BB163">
        <v>0</v>
      </c>
      <c r="BC163" s="2">
        <v>44595</v>
      </c>
      <c r="BD163" t="s">
        <v>322</v>
      </c>
      <c r="BE163">
        <v>348000</v>
      </c>
      <c r="BF163">
        <v>348000</v>
      </c>
      <c r="BG163" t="s">
        <v>160</v>
      </c>
      <c r="BH163">
        <v>30</v>
      </c>
      <c r="BI163" t="s">
        <v>56</v>
      </c>
      <c r="BJ163" t="s">
        <v>161</v>
      </c>
      <c r="BK163">
        <v>373000</v>
      </c>
      <c r="BL163">
        <v>62500</v>
      </c>
      <c r="BM163">
        <v>310500</v>
      </c>
      <c r="BN163">
        <v>0</v>
      </c>
      <c r="BO163">
        <v>379263.69855059229</v>
      </c>
      <c r="BP163">
        <v>398188.3850858442</v>
      </c>
      <c r="BQ163">
        <f>(Sales[[#This Row],[DP1]]*Lookups!$B$61)+(Sales[[#This Row],[DP2]]*Lookups!$B$62)+(Sales[[#This Row],[DP3]]*Lookups!$B$63)</f>
        <v>-18924.685481</v>
      </c>
      <c r="BR163">
        <f>Lookups!$B$58*0.6</f>
        <v>132535.48800000001</v>
      </c>
      <c r="BS163">
        <f>Lookups!$B$58*0.4</f>
        <v>88356.992000000013</v>
      </c>
      <c r="BT163">
        <f>Lookups!$B$59*Sales[[#This Row],[LnAcres]]</f>
        <v>-22505.565020573864</v>
      </c>
      <c r="BU163">
        <f>VLOOKUP(Sales[[#This Row],[Qlty]],Lookups!$A$66:$E$79,2,FALSE)</f>
        <v>37154.252388000001</v>
      </c>
      <c r="BV163">
        <f>VLOOKUP(Sales[[#This Row],[Cnd]],Lookups!$A$80:$E$91,2,FALSE)</f>
        <v>47371.278778200001</v>
      </c>
      <c r="BW163">
        <f>Sales[[#This Row],[EffAge]]*Lookups!$B$65</f>
        <v>-326.22329999999999</v>
      </c>
      <c r="BX163">
        <f>Sales[[#This Row],[MainFn]]*Lookups!$B$90</f>
        <v>87561.76314000001</v>
      </c>
      <c r="BY163">
        <f>Sales[[#This Row],[UpprFn]]*Lookups!$B$91</f>
        <v>0</v>
      </c>
      <c r="BZ163">
        <f>Sales[[#This Row],[Bsmt]]*Lookups!$B$95</f>
        <v>0</v>
      </c>
      <c r="CA163">
        <f>VLOOKUP(Sales[[#This Row],[MsnryTrim]],Lookups!$A$90:$E$99,2,FALSE)</f>
        <v>4112.8784489</v>
      </c>
      <c r="CB163">
        <f>Sales[[#This Row],[PrefabFP]]*Lookups!$B$92</f>
        <v>9807.1044999999995</v>
      </c>
      <c r="CC163">
        <f>Sales[[#This Row],[AttGar]]*Lookups!$B$93</f>
        <v>14120.412400000001</v>
      </c>
      <c r="CD163">
        <f>Sales[[#This Row],[BltinGar]]*Lookups!$B$94</f>
        <v>0</v>
      </c>
      <c r="CE163">
        <f>SUM(Sales[[#This Row],[Days Prior Total]:[Mdl BltinGar]])</f>
        <v>379263.69585352624</v>
      </c>
      <c r="CF163">
        <f>ROUND(Sales[[#This Row],[25Det]],-2)</f>
        <v>0</v>
      </c>
      <c r="CG163">
        <f>ROUND(SUM(Sales[[#This Row],[Mdl Qlty]:[Mdl BltinGar]])+Sales[[#This Row],[Mdl Res Intercept]]+Sales[[#This Row],[Days Prior Total]],-2)</f>
        <v>313400</v>
      </c>
      <c r="CH163">
        <f>ROUND(Sales[[#This Row],[Mdl Land Intercept]]+Sales[[#This Row],[Mdl LnAcres]],-2)</f>
        <v>65900</v>
      </c>
      <c r="CI163">
        <f>Sales[[#This Row],[Unadj Res Value]]+Sales[[#This Row],[Unadj Det Value]]+Sales[[#This Row],[Unadj Land Value]]</f>
        <v>379300</v>
      </c>
      <c r="CJ163" s="10">
        <f>Sales[[#This Row],[Price]]/Sales[[#This Row],[Unadj Total Value]]</f>
        <v>0.91747956762457161</v>
      </c>
      <c r="CK163" s="10">
        <f>(Sales[[#This Row],[Unadj Total Value]]-Sales[[#This Row],[24Final]])/Sales[[#This Row],[24Final]]</f>
        <v>1.6890080428954422E-2</v>
      </c>
      <c r="CL163">
        <f>VLOOKUP(Sales[[#This Row],[TNbhd]],Lookups!$M$3:$P$5,4,FALSE)</f>
        <v>0.99970000000000003</v>
      </c>
      <c r="CM163">
        <f>VLOOKUP(Sales[[#This Row],[Qlty]],Lookups!$M$8:$P$22,4,FALSE)</f>
        <v>0.99819999999999998</v>
      </c>
      <c r="CN163">
        <f>VLOOKUP(Sales[[#This Row],[Cnd]],Lookups!$R$8:$U$17,4,FALSE)</f>
        <v>1.0012000000000001</v>
      </c>
      <c r="CO163">
        <f>VLOOKUP(Sales[[#This Row],[LivArea Range]],Lookups!$R$25:$U$43,4,FALSE)</f>
        <v>0.99519999999999997</v>
      </c>
      <c r="CP163">
        <f>VLOOKUP(Sales[[#This Row],[Decade]],Lookups!$M$24:$P$40,4,FALSE)</f>
        <v>1.0024</v>
      </c>
      <c r="CQ163">
        <f>Sales[[#This Row],[Nbhd Adj]]*0.95</f>
        <v>0.94971499999999998</v>
      </c>
      <c r="CR163">
        <f>Sales[[#This Row],[Nbhd Adj]]*Sales[[#This Row],[Quality Adj]]*Sales[[#This Row],[Condition Adj]]*Sales[[#This Row],[Living Area Adj]]*Sales[[#This Row],[Decade Adj]]*0.95</f>
        <v>0.94685424199978463</v>
      </c>
      <c r="CS163">
        <f>ROUND(SUM(Sales[[#This Row],[Mdl Qlty]:[Mdl BltinGar]])+Sales[[#This Row],[Mdl Res Intercept]]*Sales[[#This Row],[Res Adj ]],-2)</f>
        <v>325300</v>
      </c>
      <c r="CT163">
        <f>ROUND(Sales[[#This Row],[25Det]]*Sales[[#This Row],[Det/Nbhd Adj]],-2)</f>
        <v>0</v>
      </c>
      <c r="CU163">
        <f>Sales[[#This Row],[Adjusted Res]]+Sales[[#This Row],[Adj Det ]]</f>
        <v>325300</v>
      </c>
      <c r="CV163">
        <f>ROUND((Sales[[#This Row],[Mdl Land Intercept]]+Sales[[#This Row],[Mdl LnAcres]])*Sales[[#This Row],[Det/Nbhd Adj]],-2)</f>
        <v>62500</v>
      </c>
      <c r="CW163">
        <f>Sales[[#This Row],[Adjusted Impr Total]]+Sales[[#This Row],[Adjusted Land Total]]</f>
        <v>387800</v>
      </c>
      <c r="CX163" s="10">
        <f>IFERROR((Sales[[#This Row],[Adjusted Impr Total]]-Sales[[#This Row],[24Bldg]])/Sales[[#This Row],[24Bldg]],0)</f>
        <v>4.7665056360708537E-2</v>
      </c>
      <c r="CY163" s="10">
        <f>(Sales[[#This Row],[Adjusted Land Total]]-Sales[[#This Row],[24Lnd]])/Sales[[#This Row],[24Lnd]]</f>
        <v>0</v>
      </c>
      <c r="CZ163">
        <f>(Sales[[#This Row],[Adjusted Total]]-Sales[[#This Row],[24Final]])/Sales[[#This Row],[24Final]]</f>
        <v>3.967828418230563E-2</v>
      </c>
      <c r="DA163" s="10">
        <f>(Sales[[#This Row],[Adjusted Total]]+Sales[[#This Row],[Days Prior Total]])/Sales[[#This Row],[Price]]</f>
        <v>1.0599865359741381</v>
      </c>
    </row>
    <row r="164" spans="1:105">
      <c r="A164">
        <v>2025</v>
      </c>
      <c r="B164">
        <v>19133541461</v>
      </c>
      <c r="C164">
        <v>-1.7147984280919266</v>
      </c>
      <c r="D164">
        <v>0.18</v>
      </c>
      <c r="E164">
        <v>7677</v>
      </c>
      <c r="F164">
        <v>2</v>
      </c>
      <c r="G164" t="s">
        <v>155</v>
      </c>
      <c r="H164">
        <v>317</v>
      </c>
      <c r="I164" t="s">
        <v>5</v>
      </c>
      <c r="J164" t="s">
        <v>212</v>
      </c>
      <c r="K164">
        <v>11</v>
      </c>
      <c r="L164">
        <v>259</v>
      </c>
      <c r="M164" t="s">
        <v>157</v>
      </c>
      <c r="N164" t="s">
        <v>19</v>
      </c>
      <c r="O164" t="s">
        <v>24</v>
      </c>
      <c r="P164">
        <v>2021</v>
      </c>
      <c r="Q164">
        <v>2021</v>
      </c>
      <c r="R164">
        <v>10</v>
      </c>
      <c r="S164">
        <v>3</v>
      </c>
      <c r="T164">
        <v>3</v>
      </c>
      <c r="U164">
        <v>1</v>
      </c>
      <c r="V164">
        <v>1403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1403</v>
      </c>
      <c r="AC164">
        <v>1500</v>
      </c>
      <c r="AD164">
        <v>2</v>
      </c>
      <c r="AE164" t="s">
        <v>57</v>
      </c>
      <c r="AF164" t="s">
        <v>158</v>
      </c>
      <c r="AG164" t="s">
        <v>27</v>
      </c>
      <c r="AI164">
        <v>0</v>
      </c>
      <c r="AJ164">
        <v>0</v>
      </c>
      <c r="AK164">
        <v>1</v>
      </c>
      <c r="AL164">
        <v>1</v>
      </c>
      <c r="AM164">
        <v>0</v>
      </c>
      <c r="AN164">
        <v>10</v>
      </c>
      <c r="AO164">
        <v>400</v>
      </c>
      <c r="AP164">
        <v>0</v>
      </c>
      <c r="AQ164">
        <v>0</v>
      </c>
      <c r="AR164">
        <v>0</v>
      </c>
      <c r="AS164">
        <v>144</v>
      </c>
      <c r="AT164">
        <v>0</v>
      </c>
      <c r="AU164">
        <v>100</v>
      </c>
      <c r="AV164">
        <v>100</v>
      </c>
      <c r="AW164">
        <v>258539</v>
      </c>
      <c r="AX164">
        <v>255954</v>
      </c>
      <c r="AY164">
        <v>684</v>
      </c>
      <c r="AZ164">
        <v>365</v>
      </c>
      <c r="BA164">
        <v>319</v>
      </c>
      <c r="BB164">
        <v>0</v>
      </c>
      <c r="BC164" s="2">
        <v>44608</v>
      </c>
      <c r="BD164" t="s">
        <v>323</v>
      </c>
      <c r="BE164">
        <v>347500</v>
      </c>
      <c r="BF164">
        <v>347500</v>
      </c>
      <c r="BG164" t="s">
        <v>160</v>
      </c>
      <c r="BH164">
        <v>30</v>
      </c>
      <c r="BI164" t="s">
        <v>56</v>
      </c>
      <c r="BJ164" t="s">
        <v>161</v>
      </c>
      <c r="BK164">
        <v>373000</v>
      </c>
      <c r="BL164">
        <v>62500</v>
      </c>
      <c r="BM164">
        <v>310500</v>
      </c>
      <c r="BN164">
        <v>0</v>
      </c>
      <c r="BO164">
        <v>380140.46474235476</v>
      </c>
      <c r="BP164">
        <v>398188.3850858442</v>
      </c>
      <c r="BQ164">
        <f>(Sales[[#This Row],[DP1]]*Lookups!$B$61)+(Sales[[#This Row],[DP2]]*Lookups!$B$62)+(Sales[[#This Row],[DP3]]*Lookups!$B$63)</f>
        <v>-18047.919331000001</v>
      </c>
      <c r="BR164">
        <f>Lookups!$B$58*0.6</f>
        <v>132535.48800000001</v>
      </c>
      <c r="BS164">
        <f>Lookups!$B$58*0.4</f>
        <v>88356.992000000013</v>
      </c>
      <c r="BT164">
        <f>Lookups!$B$59*Sales[[#This Row],[LnAcres]]</f>
        <v>-22505.565020573864</v>
      </c>
      <c r="BU164">
        <f>VLOOKUP(Sales[[#This Row],[Qlty]],Lookups!$A$66:$E$79,2,FALSE)</f>
        <v>37154.252388000001</v>
      </c>
      <c r="BV164">
        <f>VLOOKUP(Sales[[#This Row],[Cnd]],Lookups!$A$80:$E$91,2,FALSE)</f>
        <v>47371.278778200001</v>
      </c>
      <c r="BW164">
        <f>Sales[[#This Row],[EffAge]]*Lookups!$B$65</f>
        <v>-326.22329999999999</v>
      </c>
      <c r="BX164">
        <f>Sales[[#This Row],[MainFn]]*Lookups!$B$90</f>
        <v>87561.76314000001</v>
      </c>
      <c r="BY164">
        <f>Sales[[#This Row],[UpprFn]]*Lookups!$B$91</f>
        <v>0</v>
      </c>
      <c r="BZ164">
        <f>Sales[[#This Row],[Bsmt]]*Lookups!$B$95</f>
        <v>0</v>
      </c>
      <c r="CA164">
        <f>VLOOKUP(Sales[[#This Row],[MsnryTrim]],Lookups!$A$90:$E$99,2,FALSE)</f>
        <v>4112.8784489</v>
      </c>
      <c r="CB164">
        <f>Sales[[#This Row],[PrefabFP]]*Lookups!$B$92</f>
        <v>9807.1044999999995</v>
      </c>
      <c r="CC164">
        <f>Sales[[#This Row],[AttGar]]*Lookups!$B$93</f>
        <v>14120.412400000001</v>
      </c>
      <c r="CD164">
        <f>Sales[[#This Row],[BltinGar]]*Lookups!$B$94</f>
        <v>0</v>
      </c>
      <c r="CE164">
        <f>SUM(Sales[[#This Row],[Days Prior Total]:[Mdl BltinGar]])</f>
        <v>380140.46200352616</v>
      </c>
      <c r="CF164">
        <f>ROUND(Sales[[#This Row],[25Det]],-2)</f>
        <v>0</v>
      </c>
      <c r="CG164">
        <f>ROUND(SUM(Sales[[#This Row],[Mdl Qlty]:[Mdl BltinGar]])+Sales[[#This Row],[Mdl Res Intercept]]+Sales[[#This Row],[Days Prior Total]],-2)</f>
        <v>314300</v>
      </c>
      <c r="CH164">
        <f>ROUND(Sales[[#This Row],[Mdl Land Intercept]]+Sales[[#This Row],[Mdl LnAcres]],-2)</f>
        <v>65900</v>
      </c>
      <c r="CI164">
        <f>Sales[[#This Row],[Unadj Res Value]]+Sales[[#This Row],[Unadj Det Value]]+Sales[[#This Row],[Unadj Land Value]]</f>
        <v>380200</v>
      </c>
      <c r="CJ164" s="10">
        <f>Sales[[#This Row],[Price]]/Sales[[#This Row],[Unadj Total Value]]</f>
        <v>0.91399263545502363</v>
      </c>
      <c r="CK164" s="10">
        <f>(Sales[[#This Row],[Unadj Total Value]]-Sales[[#This Row],[24Final]])/Sales[[#This Row],[24Final]]</f>
        <v>1.9302949061662199E-2</v>
      </c>
      <c r="CL164">
        <f>VLOOKUP(Sales[[#This Row],[TNbhd]],Lookups!$M$3:$P$5,4,FALSE)</f>
        <v>0.99970000000000003</v>
      </c>
      <c r="CM164">
        <f>VLOOKUP(Sales[[#This Row],[Qlty]],Lookups!$M$8:$P$22,4,FALSE)</f>
        <v>0.99819999999999998</v>
      </c>
      <c r="CN164">
        <f>VLOOKUP(Sales[[#This Row],[Cnd]],Lookups!$R$8:$U$17,4,FALSE)</f>
        <v>1.0012000000000001</v>
      </c>
      <c r="CO164">
        <f>VLOOKUP(Sales[[#This Row],[LivArea Range]],Lookups!$R$25:$U$43,4,FALSE)</f>
        <v>0.99519999999999997</v>
      </c>
      <c r="CP164">
        <f>VLOOKUP(Sales[[#This Row],[Decade]],Lookups!$M$24:$P$40,4,FALSE)</f>
        <v>1.0024</v>
      </c>
      <c r="CQ164">
        <f>Sales[[#This Row],[Nbhd Adj]]*0.95</f>
        <v>0.94971499999999998</v>
      </c>
      <c r="CR164">
        <f>Sales[[#This Row],[Nbhd Adj]]*Sales[[#This Row],[Quality Adj]]*Sales[[#This Row],[Condition Adj]]*Sales[[#This Row],[Living Area Adj]]*Sales[[#This Row],[Decade Adj]]*0.95</f>
        <v>0.94685424199978463</v>
      </c>
      <c r="CS164">
        <f>ROUND(SUM(Sales[[#This Row],[Mdl Qlty]:[Mdl BltinGar]])+Sales[[#This Row],[Mdl Res Intercept]]*Sales[[#This Row],[Res Adj ]],-2)</f>
        <v>325300</v>
      </c>
      <c r="CT164">
        <f>ROUND(Sales[[#This Row],[25Det]]*Sales[[#This Row],[Det/Nbhd Adj]],-2)</f>
        <v>0</v>
      </c>
      <c r="CU164">
        <f>Sales[[#This Row],[Adjusted Res]]+Sales[[#This Row],[Adj Det ]]</f>
        <v>325300</v>
      </c>
      <c r="CV164">
        <f>ROUND((Sales[[#This Row],[Mdl Land Intercept]]+Sales[[#This Row],[Mdl LnAcres]])*Sales[[#This Row],[Det/Nbhd Adj]],-2)</f>
        <v>62500</v>
      </c>
      <c r="CW164">
        <f>Sales[[#This Row],[Adjusted Impr Total]]+Sales[[#This Row],[Adjusted Land Total]]</f>
        <v>387800</v>
      </c>
      <c r="CX164" s="10">
        <f>IFERROR((Sales[[#This Row],[Adjusted Impr Total]]-Sales[[#This Row],[24Bldg]])/Sales[[#This Row],[24Bldg]],0)</f>
        <v>4.7665056360708537E-2</v>
      </c>
      <c r="CY164" s="10">
        <f>(Sales[[#This Row],[Adjusted Land Total]]-Sales[[#This Row],[24Lnd]])/Sales[[#This Row],[24Lnd]]</f>
        <v>0</v>
      </c>
      <c r="CZ164">
        <f>(Sales[[#This Row],[Adjusted Total]]-Sales[[#This Row],[24Final]])/Sales[[#This Row],[24Final]]</f>
        <v>3.967828418230563E-2</v>
      </c>
      <c r="DA164" s="10">
        <f>(Sales[[#This Row],[Adjusted Total]]+Sales[[#This Row],[Days Prior Total]])/Sales[[#This Row],[Price]]</f>
        <v>1.0640347645151078</v>
      </c>
    </row>
    <row r="165" spans="1:105">
      <c r="A165">
        <v>2025</v>
      </c>
      <c r="B165">
        <v>19133541462</v>
      </c>
      <c r="C165">
        <v>-1.7147984280919266</v>
      </c>
      <c r="D165">
        <v>0.18</v>
      </c>
      <c r="E165">
        <v>7674</v>
      </c>
      <c r="F165">
        <v>2</v>
      </c>
      <c r="G165" t="s">
        <v>155</v>
      </c>
      <c r="H165">
        <v>317</v>
      </c>
      <c r="I165" t="s">
        <v>5</v>
      </c>
      <c r="J165" t="s">
        <v>212</v>
      </c>
      <c r="K165">
        <v>11</v>
      </c>
      <c r="L165">
        <v>259</v>
      </c>
      <c r="M165" t="s">
        <v>157</v>
      </c>
      <c r="N165" t="s">
        <v>21</v>
      </c>
      <c r="O165" t="s">
        <v>24</v>
      </c>
      <c r="P165">
        <v>2021</v>
      </c>
      <c r="Q165">
        <v>2021</v>
      </c>
      <c r="R165">
        <v>10</v>
      </c>
      <c r="S165">
        <v>3</v>
      </c>
      <c r="T165">
        <v>3</v>
      </c>
      <c r="U165">
        <v>1</v>
      </c>
      <c r="V165">
        <v>1550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1550</v>
      </c>
      <c r="AC165">
        <v>2000</v>
      </c>
      <c r="AD165">
        <v>2</v>
      </c>
      <c r="AE165" t="s">
        <v>56</v>
      </c>
      <c r="AF165" t="s">
        <v>158</v>
      </c>
      <c r="AG165" t="s">
        <v>27</v>
      </c>
      <c r="AI165">
        <v>0</v>
      </c>
      <c r="AJ165">
        <v>0</v>
      </c>
      <c r="AK165">
        <v>0</v>
      </c>
      <c r="AL165">
        <v>1</v>
      </c>
      <c r="AM165">
        <v>0</v>
      </c>
      <c r="AN165">
        <v>10</v>
      </c>
      <c r="AO165">
        <v>420</v>
      </c>
      <c r="AP165">
        <v>0</v>
      </c>
      <c r="AQ165">
        <v>0</v>
      </c>
      <c r="AR165">
        <v>0</v>
      </c>
      <c r="AS165">
        <v>144</v>
      </c>
      <c r="AT165">
        <v>0</v>
      </c>
      <c r="AU165">
        <v>100</v>
      </c>
      <c r="AV165">
        <v>100</v>
      </c>
      <c r="AW165">
        <v>310143</v>
      </c>
      <c r="AX165">
        <v>307042</v>
      </c>
      <c r="AY165">
        <v>857</v>
      </c>
      <c r="AZ165">
        <v>365</v>
      </c>
      <c r="BA165">
        <v>365</v>
      </c>
      <c r="BB165">
        <v>127</v>
      </c>
      <c r="BC165" s="2">
        <v>44435</v>
      </c>
      <c r="BD165" t="s">
        <v>324</v>
      </c>
      <c r="BE165">
        <v>305125</v>
      </c>
      <c r="BF165">
        <v>305125</v>
      </c>
      <c r="BG165" t="s">
        <v>160</v>
      </c>
      <c r="BH165">
        <v>30</v>
      </c>
      <c r="BI165" t="s">
        <v>56</v>
      </c>
      <c r="BJ165" t="s">
        <v>161</v>
      </c>
      <c r="BK165">
        <v>380300</v>
      </c>
      <c r="BL165">
        <v>62500</v>
      </c>
      <c r="BM165">
        <v>317800</v>
      </c>
      <c r="BN165">
        <v>0</v>
      </c>
      <c r="BO165">
        <v>330266.39409373543</v>
      </c>
      <c r="BP165">
        <v>380499.64277569385</v>
      </c>
      <c r="BQ165">
        <f>(Sales[[#This Row],[DP1]]*Lookups!$B$61)+(Sales[[#This Row],[DP2]]*Lookups!$B$62)+(Sales[[#This Row],[DP3]]*Lookups!$B$63)</f>
        <v>-50233.246431</v>
      </c>
      <c r="BR165">
        <f>Lookups!$B$58*0.6</f>
        <v>132535.48800000001</v>
      </c>
      <c r="BS165">
        <f>Lookups!$B$58*0.4</f>
        <v>88356.992000000013</v>
      </c>
      <c r="BT165">
        <f>Lookups!$B$59*Sales[[#This Row],[LnAcres]]</f>
        <v>-22505.565020573864</v>
      </c>
      <c r="BU165">
        <f>VLOOKUP(Sales[[#This Row],[Qlty]],Lookups!$A$66:$E$79,2,FALSE)</f>
        <v>32917.849192000001</v>
      </c>
      <c r="BV165">
        <f>VLOOKUP(Sales[[#This Row],[Cnd]],Lookups!$A$80:$E$91,2,FALSE)</f>
        <v>47371.278778200001</v>
      </c>
      <c r="BW165">
        <f>Sales[[#This Row],[EffAge]]*Lookups!$B$65</f>
        <v>-326.22329999999999</v>
      </c>
      <c r="BX165">
        <f>Sales[[#This Row],[MainFn]]*Lookups!$B$90</f>
        <v>96736.089000000007</v>
      </c>
      <c r="BY165">
        <f>Sales[[#This Row],[UpprFn]]*Lookups!$B$91</f>
        <v>0</v>
      </c>
      <c r="BZ165">
        <f>Sales[[#This Row],[Bsmt]]*Lookups!$B$95</f>
        <v>0</v>
      </c>
      <c r="CA165">
        <f>VLOOKUP(Sales[[#This Row],[MsnryTrim]],Lookups!$A$90:$E$99,2,FALSE)</f>
        <v>-9412.7029999999995</v>
      </c>
      <c r="CB165">
        <f>Sales[[#This Row],[PrefabFP]]*Lookups!$B$92</f>
        <v>0</v>
      </c>
      <c r="CC165">
        <f>Sales[[#This Row],[AttGar]]*Lookups!$B$93</f>
        <v>14826.43302</v>
      </c>
      <c r="CD165">
        <f>Sales[[#This Row],[BltinGar]]*Lookups!$B$94</f>
        <v>0</v>
      </c>
      <c r="CE165">
        <f>SUM(Sales[[#This Row],[Days Prior Total]:[Mdl BltinGar]])</f>
        <v>330266.3922386262</v>
      </c>
      <c r="CF165">
        <f>ROUND(Sales[[#This Row],[25Det]],-2)</f>
        <v>0</v>
      </c>
      <c r="CG165">
        <f>ROUND(SUM(Sales[[#This Row],[Mdl Qlty]:[Mdl BltinGar]])+Sales[[#This Row],[Mdl Res Intercept]]+Sales[[#This Row],[Days Prior Total]],-2)</f>
        <v>264400</v>
      </c>
      <c r="CH165">
        <f>ROUND(Sales[[#This Row],[Mdl Land Intercept]]+Sales[[#This Row],[Mdl LnAcres]],-2)</f>
        <v>65900</v>
      </c>
      <c r="CI165">
        <f>Sales[[#This Row],[Unadj Res Value]]+Sales[[#This Row],[Unadj Det Value]]+Sales[[#This Row],[Unadj Land Value]]</f>
        <v>330300</v>
      </c>
      <c r="CJ165" s="10">
        <f>Sales[[#This Row],[Price]]/Sales[[#This Row],[Unadj Total Value]]</f>
        <v>0.92378141083863152</v>
      </c>
      <c r="CK165" s="10">
        <f>(Sales[[#This Row],[Unadj Total Value]]-Sales[[#This Row],[24Final]])/Sales[[#This Row],[24Final]]</f>
        <v>-0.13147515119642389</v>
      </c>
      <c r="CL165">
        <f>VLOOKUP(Sales[[#This Row],[TNbhd]],Lookups!$M$3:$P$5,4,FALSE)</f>
        <v>0.99970000000000003</v>
      </c>
      <c r="CM165">
        <f>VLOOKUP(Sales[[#This Row],[Qlty]],Lookups!$M$8:$P$22,4,FALSE)</f>
        <v>1.0019</v>
      </c>
      <c r="CN165">
        <f>VLOOKUP(Sales[[#This Row],[Cnd]],Lookups!$R$8:$U$17,4,FALSE)</f>
        <v>1.0012000000000001</v>
      </c>
      <c r="CO165">
        <f>VLOOKUP(Sales[[#This Row],[LivArea Range]],Lookups!$R$25:$U$43,4,FALSE)</f>
        <v>1.0007999999999999</v>
      </c>
      <c r="CP165">
        <f>VLOOKUP(Sales[[#This Row],[Decade]],Lookups!$M$24:$P$40,4,FALSE)</f>
        <v>1.0024</v>
      </c>
      <c r="CQ165">
        <f>Sales[[#This Row],[Nbhd Adj]]*0.95</f>
        <v>0.94971499999999998</v>
      </c>
      <c r="CR165">
        <f>Sales[[#This Row],[Nbhd Adj]]*Sales[[#This Row],[Quality Adj]]*Sales[[#This Row],[Condition Adj]]*Sales[[#This Row],[Living Area Adj]]*Sales[[#This Row],[Decade Adj]]*0.95</f>
        <v>0.95571162706178159</v>
      </c>
      <c r="CS165">
        <f>ROUND(SUM(Sales[[#This Row],[Mdl Qlty]:[Mdl BltinGar]])+Sales[[#This Row],[Mdl Res Intercept]]*Sales[[#This Row],[Res Adj ]],-2)</f>
        <v>308800</v>
      </c>
      <c r="CT165">
        <f>ROUND(Sales[[#This Row],[25Det]]*Sales[[#This Row],[Det/Nbhd Adj]],-2)</f>
        <v>0</v>
      </c>
      <c r="CU165">
        <f>Sales[[#This Row],[Adjusted Res]]+Sales[[#This Row],[Adj Det ]]</f>
        <v>308800</v>
      </c>
      <c r="CV165">
        <f>ROUND((Sales[[#This Row],[Mdl Land Intercept]]+Sales[[#This Row],[Mdl LnAcres]])*Sales[[#This Row],[Det/Nbhd Adj]],-2)</f>
        <v>62500</v>
      </c>
      <c r="CW165">
        <f>Sales[[#This Row],[Adjusted Impr Total]]+Sales[[#This Row],[Adjusted Land Total]]</f>
        <v>371300</v>
      </c>
      <c r="CX165" s="10">
        <f>IFERROR((Sales[[#This Row],[Adjusted Impr Total]]-Sales[[#This Row],[24Bldg]])/Sales[[#This Row],[24Bldg]],0)</f>
        <v>-2.8319697923222153E-2</v>
      </c>
      <c r="CY165" s="10">
        <f>(Sales[[#This Row],[Adjusted Land Total]]-Sales[[#This Row],[24Lnd]])/Sales[[#This Row],[24Lnd]]</f>
        <v>0</v>
      </c>
      <c r="CZ165">
        <f>(Sales[[#This Row],[Adjusted Total]]-Sales[[#This Row],[24Final]])/Sales[[#This Row],[24Final]]</f>
        <v>-2.3665527215356297E-2</v>
      </c>
      <c r="DA165" s="10">
        <f>(Sales[[#This Row],[Adjusted Total]]+Sales[[#This Row],[Days Prior Total]])/Sales[[#This Row],[Price]]</f>
        <v>1.052246631934453</v>
      </c>
    </row>
    <row r="166" spans="1:105">
      <c r="A166">
        <v>2025</v>
      </c>
      <c r="B166">
        <v>19133541463</v>
      </c>
      <c r="C166">
        <v>-1.7147984280919266</v>
      </c>
      <c r="D166">
        <v>0.18</v>
      </c>
      <c r="E166">
        <v>7671</v>
      </c>
      <c r="F166">
        <v>2</v>
      </c>
      <c r="G166" t="s">
        <v>155</v>
      </c>
      <c r="H166">
        <v>317</v>
      </c>
      <c r="I166" t="s">
        <v>5</v>
      </c>
      <c r="J166" t="s">
        <v>212</v>
      </c>
      <c r="K166">
        <v>11</v>
      </c>
      <c r="L166">
        <v>259</v>
      </c>
      <c r="M166" t="s">
        <v>157</v>
      </c>
      <c r="N166" t="s">
        <v>21</v>
      </c>
      <c r="O166" t="s">
        <v>24</v>
      </c>
      <c r="P166">
        <v>2021</v>
      </c>
      <c r="Q166">
        <v>2021</v>
      </c>
      <c r="R166">
        <v>10</v>
      </c>
      <c r="S166">
        <v>3</v>
      </c>
      <c r="T166">
        <v>3</v>
      </c>
      <c r="U166">
        <v>2</v>
      </c>
      <c r="V166">
        <v>1073</v>
      </c>
      <c r="W166">
        <v>1331</v>
      </c>
      <c r="X166">
        <v>0</v>
      </c>
      <c r="Y166">
        <v>0</v>
      </c>
      <c r="Z166">
        <v>0</v>
      </c>
      <c r="AA166">
        <v>0</v>
      </c>
      <c r="AB166">
        <v>2404</v>
      </c>
      <c r="AC166">
        <v>2500</v>
      </c>
      <c r="AD166">
        <v>3</v>
      </c>
      <c r="AE166" t="s">
        <v>56</v>
      </c>
      <c r="AF166" t="s">
        <v>158</v>
      </c>
      <c r="AG166" t="s">
        <v>27</v>
      </c>
      <c r="AI166">
        <v>0</v>
      </c>
      <c r="AJ166">
        <v>0</v>
      </c>
      <c r="AK166">
        <v>1</v>
      </c>
      <c r="AL166">
        <v>0</v>
      </c>
      <c r="AM166">
        <v>1</v>
      </c>
      <c r="AN166">
        <v>14</v>
      </c>
      <c r="AO166">
        <v>0</v>
      </c>
      <c r="AP166">
        <v>971</v>
      </c>
      <c r="AQ166">
        <v>0</v>
      </c>
      <c r="AR166">
        <v>0</v>
      </c>
      <c r="AS166">
        <v>144</v>
      </c>
      <c r="AT166">
        <v>0</v>
      </c>
      <c r="AU166">
        <v>100</v>
      </c>
      <c r="AV166">
        <v>100</v>
      </c>
      <c r="AW166">
        <v>445701</v>
      </c>
      <c r="AX166">
        <v>441244</v>
      </c>
      <c r="AY166">
        <v>867</v>
      </c>
      <c r="AZ166">
        <v>365</v>
      </c>
      <c r="BA166">
        <v>365</v>
      </c>
      <c r="BB166">
        <v>137</v>
      </c>
      <c r="BC166" s="2">
        <v>44425</v>
      </c>
      <c r="BD166" t="s">
        <v>325</v>
      </c>
      <c r="BE166">
        <v>373200</v>
      </c>
      <c r="BF166">
        <v>373200</v>
      </c>
      <c r="BG166" t="s">
        <v>160</v>
      </c>
      <c r="BH166">
        <v>30</v>
      </c>
      <c r="BI166" t="s">
        <v>56</v>
      </c>
      <c r="BJ166" t="s">
        <v>161</v>
      </c>
      <c r="BK166">
        <v>452800</v>
      </c>
      <c r="BL166">
        <v>62500</v>
      </c>
      <c r="BM166">
        <v>390300</v>
      </c>
      <c r="BN166">
        <v>0</v>
      </c>
      <c r="BO166">
        <v>420453.10230952845</v>
      </c>
      <c r="BP166">
        <v>472976.34507736837</v>
      </c>
      <c r="BQ166">
        <f>(Sales[[#This Row],[DP1]]*Lookups!$B$61)+(Sales[[#This Row],[DP2]]*Lookups!$B$62)+(Sales[[#This Row],[DP3]]*Lookups!$B$63)</f>
        <v>-52523.240430999998</v>
      </c>
      <c r="BR166">
        <f>Lookups!$B$58*0.6</f>
        <v>132535.48800000001</v>
      </c>
      <c r="BS166">
        <f>Lookups!$B$58*0.4</f>
        <v>88356.992000000013</v>
      </c>
      <c r="BT166">
        <f>Lookups!$B$59*Sales[[#This Row],[LnAcres]]</f>
        <v>-22505.565020573864</v>
      </c>
      <c r="BU166">
        <f>VLOOKUP(Sales[[#This Row],[Qlty]],Lookups!$A$66:$E$79,2,FALSE)</f>
        <v>32917.849192000001</v>
      </c>
      <c r="BV166">
        <f>VLOOKUP(Sales[[#This Row],[Cnd]],Lookups!$A$80:$E$91,2,FALSE)</f>
        <v>47371.278778200001</v>
      </c>
      <c r="BW166">
        <f>Sales[[#This Row],[EffAge]]*Lookups!$B$65</f>
        <v>-326.22329999999999</v>
      </c>
      <c r="BX166">
        <f>Sales[[#This Row],[MainFn]]*Lookups!$B$90</f>
        <v>66966.337740000003</v>
      </c>
      <c r="BY166">
        <f>Sales[[#This Row],[UpprFn]]*Lookups!$B$91</f>
        <v>79301.489772999994</v>
      </c>
      <c r="BZ166">
        <f>Sales[[#This Row],[Bsmt]]*Lookups!$B$95</f>
        <v>0</v>
      </c>
      <c r="CA166">
        <f>VLOOKUP(Sales[[#This Row],[MsnryTrim]],Lookups!$A$90:$E$99,2,FALSE)</f>
        <v>-9412.7029999999995</v>
      </c>
      <c r="CB166">
        <f>Sales[[#This Row],[PrefabFP]]*Lookups!$B$92</f>
        <v>9807.1044999999995</v>
      </c>
      <c r="CC166">
        <f>Sales[[#This Row],[AttGar]]*Lookups!$B$93</f>
        <v>0</v>
      </c>
      <c r="CD166">
        <f>Sales[[#This Row],[BltinGar]]*Lookups!$B$94</f>
        <v>47964.292799999996</v>
      </c>
      <c r="CE166">
        <f>SUM(Sales[[#This Row],[Days Prior Total]:[Mdl BltinGar]])</f>
        <v>420453.10103162623</v>
      </c>
      <c r="CF166">
        <f>ROUND(Sales[[#This Row],[25Det]],-2)</f>
        <v>0</v>
      </c>
      <c r="CG166">
        <f>ROUND(SUM(Sales[[#This Row],[Mdl Qlty]:[Mdl BltinGar]])+Sales[[#This Row],[Mdl Res Intercept]]+Sales[[#This Row],[Days Prior Total]],-2)</f>
        <v>354600</v>
      </c>
      <c r="CH166">
        <f>ROUND(Sales[[#This Row],[Mdl Land Intercept]]+Sales[[#This Row],[Mdl LnAcres]],-2)</f>
        <v>65900</v>
      </c>
      <c r="CI166">
        <f>Sales[[#This Row],[Unadj Res Value]]+Sales[[#This Row],[Unadj Det Value]]+Sales[[#This Row],[Unadj Land Value]]</f>
        <v>420500</v>
      </c>
      <c r="CJ166" s="10">
        <f>Sales[[#This Row],[Price]]/Sales[[#This Row],[Unadj Total Value]]</f>
        <v>0.8875148632580262</v>
      </c>
      <c r="CK166" s="10">
        <f>(Sales[[#This Row],[Unadj Total Value]]-Sales[[#This Row],[24Final]])/Sales[[#This Row],[24Final]]</f>
        <v>-7.1333922261484092E-2</v>
      </c>
      <c r="CL166">
        <f>VLOOKUP(Sales[[#This Row],[TNbhd]],Lookups!$M$3:$P$5,4,FALSE)</f>
        <v>0.99970000000000003</v>
      </c>
      <c r="CM166">
        <f>VLOOKUP(Sales[[#This Row],[Qlty]],Lookups!$M$8:$P$22,4,FALSE)</f>
        <v>1.0019</v>
      </c>
      <c r="CN166">
        <f>VLOOKUP(Sales[[#This Row],[Cnd]],Lookups!$R$8:$U$17,4,FALSE)</f>
        <v>1.0012000000000001</v>
      </c>
      <c r="CO166">
        <f>VLOOKUP(Sales[[#This Row],[LivArea Range]],Lookups!$R$25:$U$43,4,FALSE)</f>
        <v>1.0008999999999999</v>
      </c>
      <c r="CP166">
        <f>VLOOKUP(Sales[[#This Row],[Decade]],Lookups!$M$24:$P$40,4,FALSE)</f>
        <v>1.0024</v>
      </c>
      <c r="CQ166">
        <f>Sales[[#This Row],[Nbhd Adj]]*0.95</f>
        <v>0.94971499999999998</v>
      </c>
      <c r="CR166">
        <f>Sales[[#This Row],[Nbhd Adj]]*Sales[[#This Row],[Quality Adj]]*Sales[[#This Row],[Condition Adj]]*Sales[[#This Row],[Living Area Adj]]*Sales[[#This Row],[Decade Adj]]*0.95</f>
        <v>0.95580712182867422</v>
      </c>
      <c r="CS166">
        <f>ROUND(SUM(Sales[[#This Row],[Mdl Qlty]:[Mdl BltinGar]])+Sales[[#This Row],[Mdl Res Intercept]]*Sales[[#This Row],[Res Adj ]],-2)</f>
        <v>401300</v>
      </c>
      <c r="CT166">
        <f>ROUND(Sales[[#This Row],[25Det]]*Sales[[#This Row],[Det/Nbhd Adj]],-2)</f>
        <v>0</v>
      </c>
      <c r="CU166">
        <f>Sales[[#This Row],[Adjusted Res]]+Sales[[#This Row],[Adj Det ]]</f>
        <v>401300</v>
      </c>
      <c r="CV166">
        <f>ROUND((Sales[[#This Row],[Mdl Land Intercept]]+Sales[[#This Row],[Mdl LnAcres]])*Sales[[#This Row],[Det/Nbhd Adj]],-2)</f>
        <v>62500</v>
      </c>
      <c r="CW166">
        <f>Sales[[#This Row],[Adjusted Impr Total]]+Sales[[#This Row],[Adjusted Land Total]]</f>
        <v>463800</v>
      </c>
      <c r="CX166" s="10">
        <f>IFERROR((Sales[[#This Row],[Adjusted Impr Total]]-Sales[[#This Row],[24Bldg]])/Sales[[#This Row],[24Bldg]],0)</f>
        <v>2.8183448629259544E-2</v>
      </c>
      <c r="CY166" s="10">
        <f>(Sales[[#This Row],[Adjusted Land Total]]-Sales[[#This Row],[24Lnd]])/Sales[[#This Row],[24Lnd]]</f>
        <v>0</v>
      </c>
      <c r="CZ166">
        <f>(Sales[[#This Row],[Adjusted Total]]-Sales[[#This Row],[24Final]])/Sales[[#This Row],[24Final]]</f>
        <v>2.4293286219081271E-2</v>
      </c>
      <c r="DA166" s="10">
        <f>(Sales[[#This Row],[Adjusted Total]]+Sales[[#This Row],[Days Prior Total]])/Sales[[#This Row],[Price]]</f>
        <v>1.1020277587593783</v>
      </c>
    </row>
    <row r="167" spans="1:105">
      <c r="A167">
        <v>2025</v>
      </c>
      <c r="B167">
        <v>19133541464</v>
      </c>
      <c r="C167">
        <v>-1.7147984280919266</v>
      </c>
      <c r="D167">
        <v>0.18</v>
      </c>
      <c r="E167">
        <v>7668</v>
      </c>
      <c r="F167">
        <v>2</v>
      </c>
      <c r="G167" t="s">
        <v>155</v>
      </c>
      <c r="H167">
        <v>317</v>
      </c>
      <c r="I167" t="s">
        <v>5</v>
      </c>
      <c r="J167" t="s">
        <v>212</v>
      </c>
      <c r="K167">
        <v>11</v>
      </c>
      <c r="L167">
        <v>259</v>
      </c>
      <c r="M167" t="s">
        <v>157</v>
      </c>
      <c r="N167" t="s">
        <v>21</v>
      </c>
      <c r="O167" t="s">
        <v>24</v>
      </c>
      <c r="P167">
        <v>2021</v>
      </c>
      <c r="Q167">
        <v>2021</v>
      </c>
      <c r="R167">
        <v>10</v>
      </c>
      <c r="S167">
        <v>3</v>
      </c>
      <c r="T167">
        <v>3</v>
      </c>
      <c r="U167">
        <v>1</v>
      </c>
      <c r="V167">
        <v>2010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2010</v>
      </c>
      <c r="AC167">
        <v>2500</v>
      </c>
      <c r="AD167">
        <v>2</v>
      </c>
      <c r="AE167" t="s">
        <v>56</v>
      </c>
      <c r="AF167" t="s">
        <v>158</v>
      </c>
      <c r="AG167" t="s">
        <v>27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11</v>
      </c>
      <c r="AO167">
        <v>424</v>
      </c>
      <c r="AP167">
        <v>0</v>
      </c>
      <c r="AQ167">
        <v>0</v>
      </c>
      <c r="AR167">
        <v>0</v>
      </c>
      <c r="AS167">
        <v>144</v>
      </c>
      <c r="AT167">
        <v>0</v>
      </c>
      <c r="AU167">
        <v>100</v>
      </c>
      <c r="AV167">
        <v>100</v>
      </c>
      <c r="AW167">
        <v>383336</v>
      </c>
      <c r="AX167">
        <v>379503</v>
      </c>
      <c r="AY167">
        <v>832</v>
      </c>
      <c r="AZ167">
        <v>365</v>
      </c>
      <c r="BA167">
        <v>365</v>
      </c>
      <c r="BB167">
        <v>102</v>
      </c>
      <c r="BC167" s="2">
        <v>44460</v>
      </c>
      <c r="BD167" t="s">
        <v>326</v>
      </c>
      <c r="BE167">
        <v>338390</v>
      </c>
      <c r="BF167">
        <v>338390</v>
      </c>
      <c r="BG167" t="s">
        <v>160</v>
      </c>
      <c r="BH167">
        <v>30</v>
      </c>
      <c r="BI167" t="s">
        <v>56</v>
      </c>
      <c r="BJ167" t="s">
        <v>161</v>
      </c>
      <c r="BK167">
        <v>399900</v>
      </c>
      <c r="BL167">
        <v>62500</v>
      </c>
      <c r="BM167">
        <v>337400</v>
      </c>
      <c r="BN167">
        <v>0</v>
      </c>
      <c r="BO167">
        <v>364841.35824202641</v>
      </c>
      <c r="BP167">
        <v>409349.62170928129</v>
      </c>
      <c r="BQ167">
        <f>(Sales[[#This Row],[DP1]]*Lookups!$B$61)+(Sales[[#This Row],[DP2]]*Lookups!$B$62)+(Sales[[#This Row],[DP3]]*Lookups!$B$63)</f>
        <v>-44508.261430999999</v>
      </c>
      <c r="BR167">
        <f>Lookups!$B$58*0.6</f>
        <v>132535.48800000001</v>
      </c>
      <c r="BS167">
        <f>Lookups!$B$58*0.4</f>
        <v>88356.992000000013</v>
      </c>
      <c r="BT167">
        <f>Lookups!$B$59*Sales[[#This Row],[LnAcres]]</f>
        <v>-22505.565020573864</v>
      </c>
      <c r="BU167">
        <f>VLOOKUP(Sales[[#This Row],[Qlty]],Lookups!$A$66:$E$79,2,FALSE)</f>
        <v>32917.849192000001</v>
      </c>
      <c r="BV167">
        <f>VLOOKUP(Sales[[#This Row],[Cnd]],Lookups!$A$80:$E$91,2,FALSE)</f>
        <v>47371.278778200001</v>
      </c>
      <c r="BW167">
        <f>Sales[[#This Row],[EffAge]]*Lookups!$B$65</f>
        <v>-326.22329999999999</v>
      </c>
      <c r="BX167">
        <f>Sales[[#This Row],[MainFn]]*Lookups!$B$90</f>
        <v>125444.86380000001</v>
      </c>
      <c r="BY167">
        <f>Sales[[#This Row],[UpprFn]]*Lookups!$B$91</f>
        <v>0</v>
      </c>
      <c r="BZ167">
        <f>Sales[[#This Row],[Bsmt]]*Lookups!$B$95</f>
        <v>0</v>
      </c>
      <c r="CA167">
        <f>VLOOKUP(Sales[[#This Row],[MsnryTrim]],Lookups!$A$90:$E$99,2,FALSE)</f>
        <v>-9412.7029999999995</v>
      </c>
      <c r="CB167">
        <f>Sales[[#This Row],[PrefabFP]]*Lookups!$B$92</f>
        <v>0</v>
      </c>
      <c r="CC167">
        <f>Sales[[#This Row],[AttGar]]*Lookups!$B$93</f>
        <v>14967.637144</v>
      </c>
      <c r="CD167">
        <f>Sales[[#This Row],[BltinGar]]*Lookups!$B$94</f>
        <v>0</v>
      </c>
      <c r="CE167">
        <f>SUM(Sales[[#This Row],[Days Prior Total]:[Mdl BltinGar]])</f>
        <v>364841.35616262618</v>
      </c>
      <c r="CF167">
        <f>ROUND(Sales[[#This Row],[25Det]],-2)</f>
        <v>0</v>
      </c>
      <c r="CG167">
        <f>ROUND(SUM(Sales[[#This Row],[Mdl Qlty]:[Mdl BltinGar]])+Sales[[#This Row],[Mdl Res Intercept]]+Sales[[#This Row],[Days Prior Total]],-2)</f>
        <v>299000</v>
      </c>
      <c r="CH167">
        <f>ROUND(Sales[[#This Row],[Mdl Land Intercept]]+Sales[[#This Row],[Mdl LnAcres]],-2)</f>
        <v>65900</v>
      </c>
      <c r="CI167">
        <f>Sales[[#This Row],[Unadj Res Value]]+Sales[[#This Row],[Unadj Det Value]]+Sales[[#This Row],[Unadj Land Value]]</f>
        <v>364900</v>
      </c>
      <c r="CJ167" s="10">
        <f>Sales[[#This Row],[Price]]/Sales[[#This Row],[Unadj Total Value]]</f>
        <v>0.92734995889284733</v>
      </c>
      <c r="CK167" s="10">
        <f>(Sales[[#This Row],[Unadj Total Value]]-Sales[[#This Row],[24Final]])/Sales[[#This Row],[24Final]]</f>
        <v>-8.7521880470117525E-2</v>
      </c>
      <c r="CL167">
        <f>VLOOKUP(Sales[[#This Row],[TNbhd]],Lookups!$M$3:$P$5,4,FALSE)</f>
        <v>0.99970000000000003</v>
      </c>
      <c r="CM167">
        <f>VLOOKUP(Sales[[#This Row],[Qlty]],Lookups!$M$8:$P$22,4,FALSE)</f>
        <v>1.0019</v>
      </c>
      <c r="CN167">
        <f>VLOOKUP(Sales[[#This Row],[Cnd]],Lookups!$R$8:$U$17,4,FALSE)</f>
        <v>1.0012000000000001</v>
      </c>
      <c r="CO167">
        <f>VLOOKUP(Sales[[#This Row],[LivArea Range]],Lookups!$R$25:$U$43,4,FALSE)</f>
        <v>1.0008999999999999</v>
      </c>
      <c r="CP167">
        <f>VLOOKUP(Sales[[#This Row],[Decade]],Lookups!$M$24:$P$40,4,FALSE)</f>
        <v>1.0024</v>
      </c>
      <c r="CQ167">
        <f>Sales[[#This Row],[Nbhd Adj]]*0.95</f>
        <v>0.94971499999999998</v>
      </c>
      <c r="CR167">
        <f>Sales[[#This Row],[Nbhd Adj]]*Sales[[#This Row],[Quality Adj]]*Sales[[#This Row],[Condition Adj]]*Sales[[#This Row],[Living Area Adj]]*Sales[[#This Row],[Decade Adj]]*0.95</f>
        <v>0.95580712182867422</v>
      </c>
      <c r="CS167">
        <f>ROUND(SUM(Sales[[#This Row],[Mdl Qlty]:[Mdl BltinGar]])+Sales[[#This Row],[Mdl Res Intercept]]*Sales[[#This Row],[Res Adj ]],-2)</f>
        <v>337600</v>
      </c>
      <c r="CT167">
        <f>ROUND(Sales[[#This Row],[25Det]]*Sales[[#This Row],[Det/Nbhd Adj]],-2)</f>
        <v>0</v>
      </c>
      <c r="CU167">
        <f>Sales[[#This Row],[Adjusted Res]]+Sales[[#This Row],[Adj Det ]]</f>
        <v>337600</v>
      </c>
      <c r="CV167">
        <f>ROUND((Sales[[#This Row],[Mdl Land Intercept]]+Sales[[#This Row],[Mdl LnAcres]])*Sales[[#This Row],[Det/Nbhd Adj]],-2)</f>
        <v>62500</v>
      </c>
      <c r="CW167">
        <f>Sales[[#This Row],[Adjusted Impr Total]]+Sales[[#This Row],[Adjusted Land Total]]</f>
        <v>400100</v>
      </c>
      <c r="CX167" s="10">
        <f>IFERROR((Sales[[#This Row],[Adjusted Impr Total]]-Sales[[#This Row],[24Bldg]])/Sales[[#This Row],[24Bldg]],0)</f>
        <v>5.9276822762299936E-4</v>
      </c>
      <c r="CY167" s="10">
        <f>(Sales[[#This Row],[Adjusted Land Total]]-Sales[[#This Row],[24Lnd]])/Sales[[#This Row],[24Lnd]]</f>
        <v>0</v>
      </c>
      <c r="CZ167">
        <f>(Sales[[#This Row],[Adjusted Total]]-Sales[[#This Row],[24Final]])/Sales[[#This Row],[24Final]]</f>
        <v>5.0012503125781451E-4</v>
      </c>
      <c r="DA167" s="10">
        <f>(Sales[[#This Row],[Adjusted Total]]+Sales[[#This Row],[Days Prior Total]])/Sales[[#This Row],[Price]]</f>
        <v>1.050834062971719</v>
      </c>
    </row>
    <row r="168" spans="1:105">
      <c r="A168">
        <v>2025</v>
      </c>
      <c r="B168">
        <v>19133541465</v>
      </c>
      <c r="C168">
        <v>-1.7147984280919266</v>
      </c>
      <c r="D168">
        <v>0.18</v>
      </c>
      <c r="E168">
        <v>7643</v>
      </c>
      <c r="F168">
        <v>2</v>
      </c>
      <c r="G168" t="s">
        <v>155</v>
      </c>
      <c r="H168">
        <v>317</v>
      </c>
      <c r="I168" t="s">
        <v>5</v>
      </c>
      <c r="J168" t="s">
        <v>212</v>
      </c>
      <c r="K168">
        <v>11</v>
      </c>
      <c r="L168">
        <v>259</v>
      </c>
      <c r="M168" t="s">
        <v>157</v>
      </c>
      <c r="N168" t="s">
        <v>21</v>
      </c>
      <c r="O168" t="s">
        <v>24</v>
      </c>
      <c r="P168">
        <v>2021</v>
      </c>
      <c r="Q168">
        <v>2021</v>
      </c>
      <c r="R168">
        <v>10</v>
      </c>
      <c r="S168">
        <v>3</v>
      </c>
      <c r="T168">
        <v>3</v>
      </c>
      <c r="U168">
        <v>2</v>
      </c>
      <c r="V168">
        <v>1650</v>
      </c>
      <c r="W168">
        <v>1346</v>
      </c>
      <c r="X168">
        <v>0</v>
      </c>
      <c r="Y168">
        <v>0</v>
      </c>
      <c r="Z168">
        <v>0</v>
      </c>
      <c r="AA168">
        <v>0</v>
      </c>
      <c r="AB168">
        <v>2996</v>
      </c>
      <c r="AC168">
        <v>3000</v>
      </c>
      <c r="AD168">
        <v>3</v>
      </c>
      <c r="AE168" t="s">
        <v>56</v>
      </c>
      <c r="AF168" t="s">
        <v>158</v>
      </c>
      <c r="AG168" t="s">
        <v>27</v>
      </c>
      <c r="AI168">
        <v>0</v>
      </c>
      <c r="AJ168">
        <v>0</v>
      </c>
      <c r="AK168">
        <v>1</v>
      </c>
      <c r="AL168">
        <v>0</v>
      </c>
      <c r="AM168">
        <v>1</v>
      </c>
      <c r="AN168">
        <v>19</v>
      </c>
      <c r="AO168">
        <v>660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100</v>
      </c>
      <c r="AV168">
        <v>100</v>
      </c>
      <c r="AW168">
        <v>539184</v>
      </c>
      <c r="AX168">
        <v>533792</v>
      </c>
      <c r="AY168">
        <v>845</v>
      </c>
      <c r="AZ168">
        <v>365</v>
      </c>
      <c r="BA168">
        <v>365</v>
      </c>
      <c r="BB168">
        <v>115</v>
      </c>
      <c r="BC168" s="2">
        <v>44447</v>
      </c>
      <c r="BD168" t="s">
        <v>327</v>
      </c>
      <c r="BE168">
        <v>421550</v>
      </c>
      <c r="BF168">
        <v>421550</v>
      </c>
      <c r="BG168" t="s">
        <v>160</v>
      </c>
      <c r="BH168">
        <v>30</v>
      </c>
      <c r="BI168" t="s">
        <v>56</v>
      </c>
      <c r="BJ168" t="s">
        <v>161</v>
      </c>
      <c r="BK168">
        <v>482000</v>
      </c>
      <c r="BL168">
        <v>62500</v>
      </c>
      <c r="BM168">
        <v>419500</v>
      </c>
      <c r="BN168">
        <v>0</v>
      </c>
      <c r="BO168">
        <v>437729.97200846975</v>
      </c>
      <c r="BP168">
        <v>485215.22778737044</v>
      </c>
      <c r="BQ168">
        <f>(Sales[[#This Row],[DP1]]*Lookups!$B$61)+(Sales[[#This Row],[DP2]]*Lookups!$B$62)+(Sales[[#This Row],[DP3]]*Lookups!$B$63)</f>
        <v>-47485.253631</v>
      </c>
      <c r="BR168">
        <f>Lookups!$B$58*0.6</f>
        <v>132535.48800000001</v>
      </c>
      <c r="BS168">
        <f>Lookups!$B$58*0.4</f>
        <v>88356.992000000013</v>
      </c>
      <c r="BT168">
        <f>Lookups!$B$59*Sales[[#This Row],[LnAcres]]</f>
        <v>-22505.565020573864</v>
      </c>
      <c r="BU168">
        <f>VLOOKUP(Sales[[#This Row],[Qlty]],Lookups!$A$66:$E$79,2,FALSE)</f>
        <v>32917.849192000001</v>
      </c>
      <c r="BV168">
        <f>VLOOKUP(Sales[[#This Row],[Cnd]],Lookups!$A$80:$E$91,2,FALSE)</f>
        <v>47371.278778200001</v>
      </c>
      <c r="BW168">
        <f>Sales[[#This Row],[EffAge]]*Lookups!$B$65</f>
        <v>-326.22329999999999</v>
      </c>
      <c r="BX168">
        <f>Sales[[#This Row],[MainFn]]*Lookups!$B$90</f>
        <v>102977.12700000001</v>
      </c>
      <c r="BY168">
        <f>Sales[[#This Row],[UpprFn]]*Lookups!$B$91</f>
        <v>80195.195517999993</v>
      </c>
      <c r="BZ168">
        <f>Sales[[#This Row],[Bsmt]]*Lookups!$B$95</f>
        <v>0</v>
      </c>
      <c r="CA168">
        <f>VLOOKUP(Sales[[#This Row],[MsnryTrim]],Lookups!$A$90:$E$99,2,FALSE)</f>
        <v>-9412.7029999999995</v>
      </c>
      <c r="CB168">
        <f>Sales[[#This Row],[PrefabFP]]*Lookups!$B$92</f>
        <v>9807.1044999999995</v>
      </c>
      <c r="CC168">
        <f>Sales[[#This Row],[AttGar]]*Lookups!$B$93</f>
        <v>23298.68046</v>
      </c>
      <c r="CD168">
        <f>Sales[[#This Row],[BltinGar]]*Lookups!$B$94</f>
        <v>0</v>
      </c>
      <c r="CE168">
        <f>SUM(Sales[[#This Row],[Days Prior Total]:[Mdl BltinGar]])</f>
        <v>437729.97049662622</v>
      </c>
      <c r="CF168">
        <f>ROUND(Sales[[#This Row],[25Det]],-2)</f>
        <v>0</v>
      </c>
      <c r="CG168">
        <f>ROUND(SUM(Sales[[#This Row],[Mdl Qlty]:[Mdl BltinGar]])+Sales[[#This Row],[Mdl Res Intercept]]+Sales[[#This Row],[Days Prior Total]],-2)</f>
        <v>371900</v>
      </c>
      <c r="CH168">
        <f>ROUND(Sales[[#This Row],[Mdl Land Intercept]]+Sales[[#This Row],[Mdl LnAcres]],-2)</f>
        <v>65900</v>
      </c>
      <c r="CI168">
        <f>Sales[[#This Row],[Unadj Res Value]]+Sales[[#This Row],[Unadj Det Value]]+Sales[[#This Row],[Unadj Land Value]]</f>
        <v>437800</v>
      </c>
      <c r="CJ168" s="10">
        <f>Sales[[#This Row],[Price]]/Sales[[#This Row],[Unadj Total Value]]</f>
        <v>0.96288259479214255</v>
      </c>
      <c r="CK168" s="10">
        <f>(Sales[[#This Row],[Unadj Total Value]]-Sales[[#This Row],[24Final]])/Sales[[#This Row],[24Final]]</f>
        <v>-9.1701244813278002E-2</v>
      </c>
      <c r="CL168">
        <f>VLOOKUP(Sales[[#This Row],[TNbhd]],Lookups!$M$3:$P$5,4,FALSE)</f>
        <v>0.99970000000000003</v>
      </c>
      <c r="CM168">
        <f>VLOOKUP(Sales[[#This Row],[Qlty]],Lookups!$M$8:$P$22,4,FALSE)</f>
        <v>1.0019</v>
      </c>
      <c r="CN168">
        <f>VLOOKUP(Sales[[#This Row],[Cnd]],Lookups!$R$8:$U$17,4,FALSE)</f>
        <v>1.0012000000000001</v>
      </c>
      <c r="CO168">
        <f>VLOOKUP(Sales[[#This Row],[LivArea Range]],Lookups!$R$25:$U$43,4,FALSE)</f>
        <v>1.0099</v>
      </c>
      <c r="CP168">
        <f>VLOOKUP(Sales[[#This Row],[Decade]],Lookups!$M$24:$P$40,4,FALSE)</f>
        <v>1.0024</v>
      </c>
      <c r="CQ168">
        <f>Sales[[#This Row],[Nbhd Adj]]*0.95</f>
        <v>0.94971499999999998</v>
      </c>
      <c r="CR168">
        <f>Sales[[#This Row],[Nbhd Adj]]*Sales[[#This Row],[Quality Adj]]*Sales[[#This Row],[Condition Adj]]*Sales[[#This Row],[Living Area Adj]]*Sales[[#This Row],[Decade Adj]]*0.95</f>
        <v>0.96440165084901408</v>
      </c>
      <c r="CS168">
        <f>ROUND(SUM(Sales[[#This Row],[Mdl Qlty]:[Mdl BltinGar]])+Sales[[#This Row],[Mdl Res Intercept]]*Sales[[#This Row],[Res Adj ]],-2)</f>
        <v>414600</v>
      </c>
      <c r="CT168">
        <f>ROUND(Sales[[#This Row],[25Det]]*Sales[[#This Row],[Det/Nbhd Adj]],-2)</f>
        <v>0</v>
      </c>
      <c r="CU168">
        <f>Sales[[#This Row],[Adjusted Res]]+Sales[[#This Row],[Adj Det ]]</f>
        <v>414600</v>
      </c>
      <c r="CV168">
        <f>ROUND((Sales[[#This Row],[Mdl Land Intercept]]+Sales[[#This Row],[Mdl LnAcres]])*Sales[[#This Row],[Det/Nbhd Adj]],-2)</f>
        <v>62500</v>
      </c>
      <c r="CW168">
        <f>Sales[[#This Row],[Adjusted Impr Total]]+Sales[[#This Row],[Adjusted Land Total]]</f>
        <v>477100</v>
      </c>
      <c r="CX168" s="10">
        <f>IFERROR((Sales[[#This Row],[Adjusted Impr Total]]-Sales[[#This Row],[24Bldg]])/Sales[[#This Row],[24Bldg]],0)</f>
        <v>-1.168057210965435E-2</v>
      </c>
      <c r="CY168" s="10">
        <f>(Sales[[#This Row],[Adjusted Land Total]]-Sales[[#This Row],[24Lnd]])/Sales[[#This Row],[24Lnd]]</f>
        <v>0</v>
      </c>
      <c r="CZ168">
        <f>(Sales[[#This Row],[Adjusted Total]]-Sales[[#This Row],[24Final]])/Sales[[#This Row],[24Final]]</f>
        <v>-1.016597510373444E-2</v>
      </c>
      <c r="DA168" s="10">
        <f>(Sales[[#This Row],[Adjusted Total]]+Sales[[#This Row],[Days Prior Total]])/Sales[[#This Row],[Price]]</f>
        <v>1.0191311739271736</v>
      </c>
    </row>
    <row r="169" spans="1:105">
      <c r="A169">
        <v>2025</v>
      </c>
      <c r="B169">
        <v>19133541466</v>
      </c>
      <c r="C169">
        <v>-1.7147984280919266</v>
      </c>
      <c r="D169">
        <v>0.18</v>
      </c>
      <c r="E169">
        <v>7684</v>
      </c>
      <c r="F169">
        <v>2</v>
      </c>
      <c r="G169" t="s">
        <v>155</v>
      </c>
      <c r="H169">
        <v>317</v>
      </c>
      <c r="I169" t="s">
        <v>5</v>
      </c>
      <c r="J169" t="s">
        <v>212</v>
      </c>
      <c r="K169">
        <v>11</v>
      </c>
      <c r="L169">
        <v>259</v>
      </c>
      <c r="M169" t="s">
        <v>157</v>
      </c>
      <c r="N169" t="s">
        <v>21</v>
      </c>
      <c r="O169" t="s">
        <v>24</v>
      </c>
      <c r="P169">
        <v>2021</v>
      </c>
      <c r="Q169">
        <v>2021</v>
      </c>
      <c r="R169">
        <v>10</v>
      </c>
      <c r="S169">
        <v>3</v>
      </c>
      <c r="T169">
        <v>3</v>
      </c>
      <c r="U169">
        <v>2</v>
      </c>
      <c r="V169">
        <v>1111</v>
      </c>
      <c r="W169">
        <v>1126</v>
      </c>
      <c r="X169">
        <v>0</v>
      </c>
      <c r="Y169">
        <v>0</v>
      </c>
      <c r="Z169">
        <v>0</v>
      </c>
      <c r="AA169">
        <v>0</v>
      </c>
      <c r="AB169">
        <v>2237</v>
      </c>
      <c r="AC169">
        <v>2500</v>
      </c>
      <c r="AD169">
        <v>2</v>
      </c>
      <c r="AE169" t="s">
        <v>56</v>
      </c>
      <c r="AF169" t="s">
        <v>158</v>
      </c>
      <c r="AG169" t="s">
        <v>27</v>
      </c>
      <c r="AI169">
        <v>0</v>
      </c>
      <c r="AJ169">
        <v>0</v>
      </c>
      <c r="AK169">
        <v>0</v>
      </c>
      <c r="AL169">
        <v>0</v>
      </c>
      <c r="AM169">
        <v>1</v>
      </c>
      <c r="AN169">
        <v>13</v>
      </c>
      <c r="AO169">
        <v>455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100</v>
      </c>
      <c r="AV169">
        <v>100</v>
      </c>
      <c r="AW169">
        <v>407747</v>
      </c>
      <c r="AX169">
        <v>403670</v>
      </c>
      <c r="AY169">
        <v>865</v>
      </c>
      <c r="AZ169">
        <v>365</v>
      </c>
      <c r="BA169">
        <v>365</v>
      </c>
      <c r="BB169">
        <v>135</v>
      </c>
      <c r="BC169" s="2">
        <v>44427</v>
      </c>
      <c r="BD169" t="s">
        <v>328</v>
      </c>
      <c r="BE169">
        <v>341265</v>
      </c>
      <c r="BF169">
        <v>341265</v>
      </c>
      <c r="BG169" t="s">
        <v>160</v>
      </c>
      <c r="BH169">
        <v>30</v>
      </c>
      <c r="BI169" t="s">
        <v>56</v>
      </c>
      <c r="BJ169" t="s">
        <v>161</v>
      </c>
      <c r="BK169">
        <v>434700</v>
      </c>
      <c r="BL169">
        <v>62500</v>
      </c>
      <c r="BM169">
        <v>372200</v>
      </c>
      <c r="BN169">
        <v>0</v>
      </c>
      <c r="BO169">
        <v>369359.28900500463</v>
      </c>
      <c r="BP169">
        <v>421424.53295566817</v>
      </c>
      <c r="BQ169">
        <f>(Sales[[#This Row],[DP1]]*Lookups!$B$61)+(Sales[[#This Row],[DP2]]*Lookups!$B$62)+(Sales[[#This Row],[DP3]]*Lookups!$B$63)</f>
        <v>-52065.241630999997</v>
      </c>
      <c r="BR169">
        <f>Lookups!$B$58*0.6</f>
        <v>132535.48800000001</v>
      </c>
      <c r="BS169">
        <f>Lookups!$B$58*0.4</f>
        <v>88356.992000000013</v>
      </c>
      <c r="BT169">
        <f>Lookups!$B$59*Sales[[#This Row],[LnAcres]]</f>
        <v>-22505.565020573864</v>
      </c>
      <c r="BU169">
        <f>VLOOKUP(Sales[[#This Row],[Qlty]],Lookups!$A$66:$E$79,2,FALSE)</f>
        <v>32917.849192000001</v>
      </c>
      <c r="BV169">
        <f>VLOOKUP(Sales[[#This Row],[Cnd]],Lookups!$A$80:$E$91,2,FALSE)</f>
        <v>47371.278778200001</v>
      </c>
      <c r="BW169">
        <f>Sales[[#This Row],[EffAge]]*Lookups!$B$65</f>
        <v>-326.22329999999999</v>
      </c>
      <c r="BX169">
        <f>Sales[[#This Row],[MainFn]]*Lookups!$B$90</f>
        <v>69337.932180000003</v>
      </c>
      <c r="BY169">
        <f>Sales[[#This Row],[UpprFn]]*Lookups!$B$91</f>
        <v>67087.511257999999</v>
      </c>
      <c r="BZ169">
        <f>Sales[[#This Row],[Bsmt]]*Lookups!$B$95</f>
        <v>0</v>
      </c>
      <c r="CA169">
        <f>VLOOKUP(Sales[[#This Row],[MsnryTrim]],Lookups!$A$90:$E$99,2,FALSE)</f>
        <v>-9412.7029999999995</v>
      </c>
      <c r="CB169">
        <f>Sales[[#This Row],[PrefabFP]]*Lookups!$B$92</f>
        <v>0</v>
      </c>
      <c r="CC169">
        <f>Sales[[#This Row],[AttGar]]*Lookups!$B$93</f>
        <v>16061.969105</v>
      </c>
      <c r="CD169">
        <f>Sales[[#This Row],[BltinGar]]*Lookups!$B$94</f>
        <v>0</v>
      </c>
      <c r="CE169">
        <f>SUM(Sales[[#This Row],[Days Prior Total]:[Mdl BltinGar]])</f>
        <v>369359.28756162623</v>
      </c>
      <c r="CF169">
        <f>ROUND(Sales[[#This Row],[25Det]],-2)</f>
        <v>0</v>
      </c>
      <c r="CG169">
        <f>ROUND(SUM(Sales[[#This Row],[Mdl Qlty]:[Mdl BltinGar]])+Sales[[#This Row],[Mdl Res Intercept]]+Sales[[#This Row],[Days Prior Total]],-2)</f>
        <v>303500</v>
      </c>
      <c r="CH169">
        <f>ROUND(Sales[[#This Row],[Mdl Land Intercept]]+Sales[[#This Row],[Mdl LnAcres]],-2)</f>
        <v>65900</v>
      </c>
      <c r="CI169">
        <f>Sales[[#This Row],[Unadj Res Value]]+Sales[[#This Row],[Unadj Det Value]]+Sales[[#This Row],[Unadj Land Value]]</f>
        <v>369400</v>
      </c>
      <c r="CJ169" s="10">
        <f>Sales[[#This Row],[Price]]/Sales[[#This Row],[Unadj Total Value]]</f>
        <v>0.92383595018949649</v>
      </c>
      <c r="CK169" s="10">
        <f>(Sales[[#This Row],[Unadj Total Value]]-Sales[[#This Row],[24Final]])/Sales[[#This Row],[24Final]]</f>
        <v>-0.15021854152288935</v>
      </c>
      <c r="CL169">
        <f>VLOOKUP(Sales[[#This Row],[TNbhd]],Lookups!$M$3:$P$5,4,FALSE)</f>
        <v>0.99970000000000003</v>
      </c>
      <c r="CM169">
        <f>VLOOKUP(Sales[[#This Row],[Qlty]],Lookups!$M$8:$P$22,4,FALSE)</f>
        <v>1.0019</v>
      </c>
      <c r="CN169">
        <f>VLOOKUP(Sales[[#This Row],[Cnd]],Lookups!$R$8:$U$17,4,FALSE)</f>
        <v>1.0012000000000001</v>
      </c>
      <c r="CO169">
        <f>VLOOKUP(Sales[[#This Row],[LivArea Range]],Lookups!$R$25:$U$43,4,FALSE)</f>
        <v>1.0008999999999999</v>
      </c>
      <c r="CP169">
        <f>VLOOKUP(Sales[[#This Row],[Decade]],Lookups!$M$24:$P$40,4,FALSE)</f>
        <v>1.0024</v>
      </c>
      <c r="CQ169">
        <f>Sales[[#This Row],[Nbhd Adj]]*0.95</f>
        <v>0.94971499999999998</v>
      </c>
      <c r="CR169">
        <f>Sales[[#This Row],[Nbhd Adj]]*Sales[[#This Row],[Quality Adj]]*Sales[[#This Row],[Condition Adj]]*Sales[[#This Row],[Living Area Adj]]*Sales[[#This Row],[Decade Adj]]*0.95</f>
        <v>0.95580712182867422</v>
      </c>
      <c r="CS169">
        <f>ROUND(SUM(Sales[[#This Row],[Mdl Qlty]:[Mdl BltinGar]])+Sales[[#This Row],[Mdl Res Intercept]]*Sales[[#This Row],[Res Adj ]],-2)</f>
        <v>349700</v>
      </c>
      <c r="CT169">
        <f>ROUND(Sales[[#This Row],[25Det]]*Sales[[#This Row],[Det/Nbhd Adj]],-2)</f>
        <v>0</v>
      </c>
      <c r="CU169">
        <f>Sales[[#This Row],[Adjusted Res]]+Sales[[#This Row],[Adj Det ]]</f>
        <v>349700</v>
      </c>
      <c r="CV169">
        <f>ROUND((Sales[[#This Row],[Mdl Land Intercept]]+Sales[[#This Row],[Mdl LnAcres]])*Sales[[#This Row],[Det/Nbhd Adj]],-2)</f>
        <v>62500</v>
      </c>
      <c r="CW169">
        <f>Sales[[#This Row],[Adjusted Impr Total]]+Sales[[#This Row],[Adjusted Land Total]]</f>
        <v>412200</v>
      </c>
      <c r="CX169" s="10">
        <f>IFERROR((Sales[[#This Row],[Adjusted Impr Total]]-Sales[[#This Row],[24Bldg]])/Sales[[#This Row],[24Bldg]],0)</f>
        <v>-6.0451370231058572E-2</v>
      </c>
      <c r="CY169" s="10">
        <f>(Sales[[#This Row],[Adjusted Land Total]]-Sales[[#This Row],[24Lnd]])/Sales[[#This Row],[24Lnd]]</f>
        <v>0</v>
      </c>
      <c r="CZ169">
        <f>(Sales[[#This Row],[Adjusted Total]]-Sales[[#This Row],[24Final]])/Sales[[#This Row],[24Final]]</f>
        <v>-5.1759834368530024E-2</v>
      </c>
      <c r="DA169" s="10">
        <f>(Sales[[#This Row],[Adjusted Total]]+Sales[[#This Row],[Days Prior Total]])/Sales[[#This Row],[Price]]</f>
        <v>1.0552935647341508</v>
      </c>
    </row>
    <row r="170" spans="1:105">
      <c r="A170">
        <v>2025</v>
      </c>
      <c r="B170">
        <v>19133541467</v>
      </c>
      <c r="C170">
        <v>-1.6094379124341003</v>
      </c>
      <c r="D170">
        <v>0.2</v>
      </c>
      <c r="E170">
        <v>8744</v>
      </c>
      <c r="F170">
        <v>2</v>
      </c>
      <c r="G170" t="s">
        <v>155</v>
      </c>
      <c r="H170">
        <v>317</v>
      </c>
      <c r="I170" t="s">
        <v>5</v>
      </c>
      <c r="J170" t="s">
        <v>212</v>
      </c>
      <c r="K170">
        <v>11</v>
      </c>
      <c r="L170">
        <v>259</v>
      </c>
      <c r="M170" t="s">
        <v>157</v>
      </c>
      <c r="N170" t="s">
        <v>23</v>
      </c>
      <c r="O170" t="s">
        <v>24</v>
      </c>
      <c r="P170">
        <v>2021</v>
      </c>
      <c r="Q170">
        <v>2021</v>
      </c>
      <c r="R170">
        <v>10</v>
      </c>
      <c r="S170">
        <v>3</v>
      </c>
      <c r="T170">
        <v>3</v>
      </c>
      <c r="U170">
        <v>1</v>
      </c>
      <c r="V170">
        <v>2010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2010</v>
      </c>
      <c r="AC170">
        <v>2500</v>
      </c>
      <c r="AD170">
        <v>3</v>
      </c>
      <c r="AE170" t="s">
        <v>56</v>
      </c>
      <c r="AF170" t="s">
        <v>158</v>
      </c>
      <c r="AG170" t="s">
        <v>27</v>
      </c>
      <c r="AI170">
        <v>0</v>
      </c>
      <c r="AJ170">
        <v>0</v>
      </c>
      <c r="AK170">
        <v>1</v>
      </c>
      <c r="AL170">
        <v>0</v>
      </c>
      <c r="AM170">
        <v>0</v>
      </c>
      <c r="AN170">
        <v>11</v>
      </c>
      <c r="AO170">
        <v>664</v>
      </c>
      <c r="AP170">
        <v>0</v>
      </c>
      <c r="AQ170">
        <v>0</v>
      </c>
      <c r="AR170">
        <v>0</v>
      </c>
      <c r="AS170">
        <v>120</v>
      </c>
      <c r="AT170">
        <v>0</v>
      </c>
      <c r="AU170">
        <v>100</v>
      </c>
      <c r="AV170">
        <v>100</v>
      </c>
      <c r="AW170">
        <v>425788</v>
      </c>
      <c r="AX170">
        <v>425788</v>
      </c>
      <c r="AY170">
        <v>640</v>
      </c>
      <c r="AZ170">
        <v>365</v>
      </c>
      <c r="BA170">
        <v>275</v>
      </c>
      <c r="BB170">
        <v>0</v>
      </c>
      <c r="BC170" s="2">
        <v>44652</v>
      </c>
      <c r="BD170" t="s">
        <v>329</v>
      </c>
      <c r="BE170">
        <v>420380</v>
      </c>
      <c r="BF170">
        <v>420380</v>
      </c>
      <c r="BG170" t="s">
        <v>160</v>
      </c>
      <c r="BH170">
        <v>30</v>
      </c>
      <c r="BI170" t="s">
        <v>56</v>
      </c>
      <c r="BJ170" t="s">
        <v>161</v>
      </c>
      <c r="BK170">
        <v>411700</v>
      </c>
      <c r="BL170">
        <v>64000</v>
      </c>
      <c r="BM170">
        <v>347700</v>
      </c>
      <c r="BN170">
        <v>0</v>
      </c>
      <c r="BO170">
        <v>420379.99999999994</v>
      </c>
      <c r="BP170">
        <v>435460.40400213964</v>
      </c>
      <c r="BQ170">
        <f>(Sales[[#This Row],[DP1]]*Lookups!$B$61)+(Sales[[#This Row],[DP2]]*Lookups!$B$62)+(Sales[[#This Row],[DP3]]*Lookups!$B$63)</f>
        <v>-15080.403130999999</v>
      </c>
      <c r="BR170">
        <f>Lookups!$B$58*0.6</f>
        <v>132535.48800000001</v>
      </c>
      <c r="BS170">
        <f>Lookups!$B$58*0.4</f>
        <v>88356.992000000013</v>
      </c>
      <c r="BT170">
        <f>Lookups!$B$59*Sales[[#This Row],[LnAcres]]</f>
        <v>-21122.779792355024</v>
      </c>
      <c r="BU170">
        <f>VLOOKUP(Sales[[#This Row],[Qlty]],Lookups!$A$66:$E$79,2,FALSE)</f>
        <v>39366.494398000003</v>
      </c>
      <c r="BV170">
        <f>VLOOKUP(Sales[[#This Row],[Cnd]],Lookups!$A$80:$E$91,2,FALSE)</f>
        <v>47371.278778200001</v>
      </c>
      <c r="BW170">
        <f>Sales[[#This Row],[EffAge]]*Lookups!$B$65</f>
        <v>-326.22329999999999</v>
      </c>
      <c r="BX170">
        <f>Sales[[#This Row],[MainFn]]*Lookups!$B$90</f>
        <v>125444.86380000001</v>
      </c>
      <c r="BY170">
        <f>Sales[[#This Row],[UpprFn]]*Lookups!$B$91</f>
        <v>0</v>
      </c>
      <c r="BZ170">
        <f>Sales[[#This Row],[Bsmt]]*Lookups!$B$95</f>
        <v>0</v>
      </c>
      <c r="CA170">
        <f>VLOOKUP(Sales[[#This Row],[MsnryTrim]],Lookups!$A$90:$E$99,2,FALSE)</f>
        <v>-9412.7029999999995</v>
      </c>
      <c r="CB170">
        <f>Sales[[#This Row],[PrefabFP]]*Lookups!$B$92</f>
        <v>9807.1044999999995</v>
      </c>
      <c r="CC170">
        <f>Sales[[#This Row],[AttGar]]*Lookups!$B$93</f>
        <v>23439.884583999999</v>
      </c>
      <c r="CD170">
        <f>Sales[[#This Row],[BltinGar]]*Lookups!$B$94</f>
        <v>0</v>
      </c>
      <c r="CE170">
        <f>SUM(Sales[[#This Row],[Days Prior Total]:[Mdl BltinGar]])</f>
        <v>420379.99683684501</v>
      </c>
      <c r="CF170">
        <f>ROUND(Sales[[#This Row],[25Det]],-2)</f>
        <v>0</v>
      </c>
      <c r="CG170">
        <f>ROUND(SUM(Sales[[#This Row],[Mdl Qlty]:[Mdl BltinGar]])+Sales[[#This Row],[Mdl Res Intercept]]+Sales[[#This Row],[Days Prior Total]],-2)</f>
        <v>353100</v>
      </c>
      <c r="CH170">
        <f>ROUND(Sales[[#This Row],[Mdl Land Intercept]]+Sales[[#This Row],[Mdl LnAcres]],-2)</f>
        <v>67200</v>
      </c>
      <c r="CI170">
        <f>Sales[[#This Row],[Unadj Res Value]]+Sales[[#This Row],[Unadj Det Value]]+Sales[[#This Row],[Unadj Land Value]]</f>
        <v>420300</v>
      </c>
      <c r="CJ170" s="10">
        <f>Sales[[#This Row],[Price]]/Sales[[#This Row],[Unadj Total Value]]</f>
        <v>1.0001903402331669</v>
      </c>
      <c r="CK170" s="10">
        <f>(Sales[[#This Row],[Unadj Total Value]]-Sales[[#This Row],[24Final]])/Sales[[#This Row],[24Final]]</f>
        <v>2.0888996842360941E-2</v>
      </c>
      <c r="CL170">
        <f>VLOOKUP(Sales[[#This Row],[TNbhd]],Lookups!$M$3:$P$5,4,FALSE)</f>
        <v>0.99970000000000003</v>
      </c>
      <c r="CM170">
        <f>VLOOKUP(Sales[[#This Row],[Qlty]],Lookups!$M$8:$P$22,4,FALSE)</f>
        <v>0.99980000000000002</v>
      </c>
      <c r="CN170">
        <f>VLOOKUP(Sales[[#This Row],[Cnd]],Lookups!$R$8:$U$17,4,FALSE)</f>
        <v>1.0012000000000001</v>
      </c>
      <c r="CO170">
        <f>VLOOKUP(Sales[[#This Row],[LivArea Range]],Lookups!$R$25:$U$43,4,FALSE)</f>
        <v>1.0008999999999999</v>
      </c>
      <c r="CP170">
        <f>VLOOKUP(Sales[[#This Row],[Decade]],Lookups!$M$24:$P$40,4,FALSE)</f>
        <v>1.0024</v>
      </c>
      <c r="CQ170">
        <f>Sales[[#This Row],[Nbhd Adj]]*0.95</f>
        <v>0.94971499999999998</v>
      </c>
      <c r="CR170">
        <f>Sales[[#This Row],[Nbhd Adj]]*Sales[[#This Row],[Quality Adj]]*Sales[[#This Row],[Condition Adj]]*Sales[[#This Row],[Living Area Adj]]*Sales[[#This Row],[Decade Adj]]*0.95</f>
        <v>0.95380373331101787</v>
      </c>
      <c r="CS170">
        <f>ROUND(SUM(Sales[[#This Row],[Mdl Qlty]:[Mdl BltinGar]])+Sales[[#This Row],[Mdl Res Intercept]]*Sales[[#This Row],[Res Adj ]],-2)</f>
        <v>362100</v>
      </c>
      <c r="CT170">
        <f>ROUND(Sales[[#This Row],[25Det]]*Sales[[#This Row],[Det/Nbhd Adj]],-2)</f>
        <v>0</v>
      </c>
      <c r="CU170">
        <f>Sales[[#This Row],[Adjusted Res]]+Sales[[#This Row],[Adj Det ]]</f>
        <v>362100</v>
      </c>
      <c r="CV170">
        <f>ROUND((Sales[[#This Row],[Mdl Land Intercept]]+Sales[[#This Row],[Mdl LnAcres]])*Sales[[#This Row],[Det/Nbhd Adj]],-2)</f>
        <v>63900</v>
      </c>
      <c r="CW170">
        <f>Sales[[#This Row],[Adjusted Impr Total]]+Sales[[#This Row],[Adjusted Land Total]]</f>
        <v>426000</v>
      </c>
      <c r="CX170" s="10">
        <f>IFERROR((Sales[[#This Row],[Adjusted Impr Total]]-Sales[[#This Row],[24Bldg]])/Sales[[#This Row],[24Bldg]],0)</f>
        <v>4.1415012942191541E-2</v>
      </c>
      <c r="CY170" s="10">
        <f>(Sales[[#This Row],[Adjusted Land Total]]-Sales[[#This Row],[24Lnd]])/Sales[[#This Row],[24Lnd]]</f>
        <v>-1.5625000000000001E-3</v>
      </c>
      <c r="CZ170">
        <f>(Sales[[#This Row],[Adjusted Total]]-Sales[[#This Row],[24Final]])/Sales[[#This Row],[24Final]]</f>
        <v>3.4734029633228081E-2</v>
      </c>
      <c r="DA170" s="10">
        <f>(Sales[[#This Row],[Adjusted Total]]+Sales[[#This Row],[Days Prior Total]])/Sales[[#This Row],[Price]]</f>
        <v>0.97749559177173029</v>
      </c>
    </row>
    <row r="171" spans="1:105">
      <c r="A171">
        <v>2025</v>
      </c>
      <c r="B171">
        <v>20120634510</v>
      </c>
      <c r="C171">
        <v>-1.8325814637483102</v>
      </c>
      <c r="D171">
        <v>0.16</v>
      </c>
      <c r="E171">
        <v>7100</v>
      </c>
      <c r="F171">
        <v>2</v>
      </c>
      <c r="G171" t="s">
        <v>155</v>
      </c>
      <c r="H171" t="s">
        <v>5</v>
      </c>
      <c r="I171" t="s">
        <v>5</v>
      </c>
      <c r="J171" t="s">
        <v>212</v>
      </c>
      <c r="K171">
        <v>11</v>
      </c>
      <c r="L171">
        <v>259</v>
      </c>
      <c r="M171" t="s">
        <v>330</v>
      </c>
      <c r="N171" t="s">
        <v>21</v>
      </c>
      <c r="O171" t="s">
        <v>24</v>
      </c>
      <c r="P171">
        <v>2020</v>
      </c>
      <c r="Q171">
        <v>2020</v>
      </c>
      <c r="R171">
        <v>10</v>
      </c>
      <c r="S171">
        <v>4</v>
      </c>
      <c r="T171">
        <v>4</v>
      </c>
      <c r="U171">
        <v>1</v>
      </c>
      <c r="V171">
        <v>1720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1720</v>
      </c>
      <c r="AC171">
        <v>2000</v>
      </c>
      <c r="AD171">
        <v>3</v>
      </c>
      <c r="AE171" t="s">
        <v>56</v>
      </c>
      <c r="AF171" t="s">
        <v>331</v>
      </c>
      <c r="AG171" t="s">
        <v>21</v>
      </c>
      <c r="AH171" t="s">
        <v>161</v>
      </c>
      <c r="AI171">
        <v>0</v>
      </c>
      <c r="AJ171">
        <v>0</v>
      </c>
      <c r="AK171">
        <v>1</v>
      </c>
      <c r="AL171">
        <v>0</v>
      </c>
      <c r="AM171">
        <v>0</v>
      </c>
      <c r="AN171">
        <v>10</v>
      </c>
      <c r="AO171">
        <v>723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100</v>
      </c>
      <c r="AV171">
        <v>100</v>
      </c>
      <c r="AW171">
        <v>355864</v>
      </c>
      <c r="AX171">
        <v>348747</v>
      </c>
      <c r="AY171">
        <v>75</v>
      </c>
      <c r="AZ171">
        <v>75</v>
      </c>
      <c r="BA171">
        <v>0</v>
      </c>
      <c r="BB171">
        <v>0</v>
      </c>
      <c r="BC171" s="2">
        <v>45217</v>
      </c>
      <c r="BD171" t="s">
        <v>332</v>
      </c>
      <c r="BE171">
        <v>427500</v>
      </c>
      <c r="BF171">
        <v>427500</v>
      </c>
      <c r="BG171" t="s">
        <v>160</v>
      </c>
      <c r="BH171">
        <v>30</v>
      </c>
      <c r="BI171" t="s">
        <v>56</v>
      </c>
      <c r="BJ171" t="s">
        <v>161</v>
      </c>
      <c r="BK171">
        <v>404700</v>
      </c>
      <c r="BL171">
        <v>60800</v>
      </c>
      <c r="BM171">
        <v>343900</v>
      </c>
      <c r="BN171">
        <v>0</v>
      </c>
      <c r="BO171">
        <v>410670.47024773282</v>
      </c>
      <c r="BP171">
        <v>409958.16070020595</v>
      </c>
      <c r="BQ171">
        <f>(Sales[[#This Row],[DP1]]*Lookups!$B$61)+(Sales[[#This Row],[DP2]]*Lookups!$B$62)+(Sales[[#This Row],[DP3]]*Lookups!$B$63)</f>
        <v>712.30954499999996</v>
      </c>
      <c r="BR171">
        <f>Lookups!$B$58*0.6</f>
        <v>132535.48800000001</v>
      </c>
      <c r="BS171">
        <f>Lookups!$B$58*0.4</f>
        <v>88356.992000000013</v>
      </c>
      <c r="BT171">
        <f>Lookups!$B$59*Sales[[#This Row],[LnAcres]]</f>
        <v>-24051.387388882686</v>
      </c>
      <c r="BU171">
        <f>VLOOKUP(Sales[[#This Row],[Qlty]],Lookups!$A$66:$E$79,2,FALSE)</f>
        <v>32917.849192000001</v>
      </c>
      <c r="BV171">
        <f>VLOOKUP(Sales[[#This Row],[Cnd]],Lookups!$A$80:$E$91,2,FALSE)</f>
        <v>47371.278778200001</v>
      </c>
      <c r="BW171">
        <f>Sales[[#This Row],[EffAge]]*Lookups!$B$65</f>
        <v>-434.96440000000001</v>
      </c>
      <c r="BX171">
        <f>Sales[[#This Row],[MainFn]]*Lookups!$B$90</f>
        <v>107345.8536</v>
      </c>
      <c r="BY171">
        <f>Sales[[#This Row],[UpprFn]]*Lookups!$B$91</f>
        <v>0</v>
      </c>
      <c r="BZ171">
        <f>Sales[[#This Row],[Bsmt]]*Lookups!$B$95</f>
        <v>0</v>
      </c>
      <c r="CA171">
        <f>VLOOKUP(Sales[[#This Row],[MsnryTrim]],Lookups!$A$90:$E$99,2,FALSE)</f>
        <v>-9412.7029999999995</v>
      </c>
      <c r="CB171">
        <f>Sales[[#This Row],[PrefabFP]]*Lookups!$B$92</f>
        <v>9807.1044999999995</v>
      </c>
      <c r="CC171">
        <f>Sales[[#This Row],[AttGar]]*Lookups!$B$93</f>
        <v>25522.645413000002</v>
      </c>
      <c r="CD171">
        <f>Sales[[#This Row],[BltinGar]]*Lookups!$B$94</f>
        <v>0</v>
      </c>
      <c r="CE171">
        <f>SUM(Sales[[#This Row],[Days Prior Total]:[Mdl BltinGar]])</f>
        <v>410670.46623931732</v>
      </c>
      <c r="CF171">
        <f>ROUND(Sales[[#This Row],[25Det]],-2)</f>
        <v>0</v>
      </c>
      <c r="CG171">
        <f>ROUND(SUM(Sales[[#This Row],[Mdl Qlty]:[Mdl BltinGar]])+Sales[[#This Row],[Mdl Res Intercept]]+Sales[[#This Row],[Days Prior Total]],-2)</f>
        <v>346400</v>
      </c>
      <c r="CH171">
        <f>ROUND(Sales[[#This Row],[Mdl Land Intercept]]+Sales[[#This Row],[Mdl LnAcres]],-2)</f>
        <v>64300</v>
      </c>
      <c r="CI171">
        <f>Sales[[#This Row],[Unadj Res Value]]+Sales[[#This Row],[Unadj Det Value]]+Sales[[#This Row],[Unadj Land Value]]</f>
        <v>410700</v>
      </c>
      <c r="CJ171" s="10">
        <f>Sales[[#This Row],[Price]]/Sales[[#This Row],[Unadj Total Value]]</f>
        <v>1.0409057706355003</v>
      </c>
      <c r="CK171" s="10">
        <f>(Sales[[#This Row],[Unadj Total Value]]-Sales[[#This Row],[24Final]])/Sales[[#This Row],[24Final]]</f>
        <v>1.4825796886582653E-2</v>
      </c>
      <c r="CL171">
        <f>VLOOKUP(Sales[[#This Row],[TNbhd]],Lookups!$M$3:$P$5,4,FALSE)</f>
        <v>0.99970000000000003</v>
      </c>
      <c r="CM171">
        <f>VLOOKUP(Sales[[#This Row],[Qlty]],Lookups!$M$8:$P$22,4,FALSE)</f>
        <v>1.0019</v>
      </c>
      <c r="CN171">
        <f>VLOOKUP(Sales[[#This Row],[Cnd]],Lookups!$R$8:$U$17,4,FALSE)</f>
        <v>1.0012000000000001</v>
      </c>
      <c r="CO171">
        <f>VLOOKUP(Sales[[#This Row],[LivArea Range]],Lookups!$R$25:$U$43,4,FALSE)</f>
        <v>1.0007999999999999</v>
      </c>
      <c r="CP171">
        <f>VLOOKUP(Sales[[#This Row],[Decade]],Lookups!$M$24:$P$40,4,FALSE)</f>
        <v>1.0024</v>
      </c>
      <c r="CQ171">
        <f>Sales[[#This Row],[Nbhd Adj]]*0.95</f>
        <v>0.94971499999999998</v>
      </c>
      <c r="CR171">
        <f>Sales[[#This Row],[Nbhd Adj]]*Sales[[#This Row],[Quality Adj]]*Sales[[#This Row],[Condition Adj]]*Sales[[#This Row],[Living Area Adj]]*Sales[[#This Row],[Decade Adj]]*0.95</f>
        <v>0.95571162706178159</v>
      </c>
      <c r="CS171">
        <f>ROUND(SUM(Sales[[#This Row],[Mdl Qlty]:[Mdl BltinGar]])+Sales[[#This Row],[Mdl Res Intercept]]*Sales[[#This Row],[Res Adj ]],-2)</f>
        <v>339800</v>
      </c>
      <c r="CT171">
        <f>ROUND(Sales[[#This Row],[25Det]]*Sales[[#This Row],[Det/Nbhd Adj]],-2)</f>
        <v>0</v>
      </c>
      <c r="CU171">
        <f>Sales[[#This Row],[Adjusted Res]]+Sales[[#This Row],[Adj Det ]]</f>
        <v>339800</v>
      </c>
      <c r="CV171">
        <f>ROUND((Sales[[#This Row],[Mdl Land Intercept]]+Sales[[#This Row],[Mdl LnAcres]])*Sales[[#This Row],[Det/Nbhd Adj]],-2)</f>
        <v>61100</v>
      </c>
      <c r="CW171">
        <f>Sales[[#This Row],[Adjusted Impr Total]]+Sales[[#This Row],[Adjusted Land Total]]</f>
        <v>400900</v>
      </c>
      <c r="CX171" s="10">
        <f>IFERROR((Sales[[#This Row],[Adjusted Impr Total]]-Sales[[#This Row],[24Bldg]])/Sales[[#This Row],[24Bldg]],0)</f>
        <v>-1.19220703692934E-2</v>
      </c>
      <c r="CY171" s="10">
        <f>(Sales[[#This Row],[Adjusted Land Total]]-Sales[[#This Row],[24Lnd]])/Sales[[#This Row],[24Lnd]]</f>
        <v>4.9342105263157892E-3</v>
      </c>
      <c r="CZ171">
        <f>(Sales[[#This Row],[Adjusted Total]]-Sales[[#This Row],[24Final]])/Sales[[#This Row],[24Final]]</f>
        <v>-9.3896713615023476E-3</v>
      </c>
      <c r="DA171" s="10">
        <f>(Sales[[#This Row],[Adjusted Total]]+Sales[[#This Row],[Days Prior Total]])/Sales[[#This Row],[Price]]</f>
        <v>0.93944399893567254</v>
      </c>
    </row>
    <row r="172" spans="1:105">
      <c r="A172">
        <v>2025</v>
      </c>
      <c r="B172">
        <v>20120634511</v>
      </c>
      <c r="C172">
        <v>-1.8325814637483102</v>
      </c>
      <c r="D172">
        <v>0.16</v>
      </c>
      <c r="E172">
        <v>7100</v>
      </c>
      <c r="F172">
        <v>2</v>
      </c>
      <c r="G172" t="s">
        <v>155</v>
      </c>
      <c r="H172">
        <v>317</v>
      </c>
      <c r="I172" t="s">
        <v>5</v>
      </c>
      <c r="J172" t="s">
        <v>212</v>
      </c>
      <c r="K172">
        <v>11</v>
      </c>
      <c r="L172">
        <v>259</v>
      </c>
      <c r="M172" t="s">
        <v>330</v>
      </c>
      <c r="N172" t="s">
        <v>21</v>
      </c>
      <c r="O172" t="s">
        <v>24</v>
      </c>
      <c r="P172">
        <v>2020</v>
      </c>
      <c r="Q172">
        <v>2020</v>
      </c>
      <c r="R172">
        <v>10</v>
      </c>
      <c r="S172">
        <v>4</v>
      </c>
      <c r="T172">
        <v>4</v>
      </c>
      <c r="U172">
        <v>1</v>
      </c>
      <c r="V172">
        <v>1708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1708</v>
      </c>
      <c r="AC172">
        <v>2000</v>
      </c>
      <c r="AD172">
        <v>2</v>
      </c>
      <c r="AE172" t="s">
        <v>56</v>
      </c>
      <c r="AF172" t="s">
        <v>331</v>
      </c>
      <c r="AG172" t="s">
        <v>21</v>
      </c>
      <c r="AH172" t="s">
        <v>161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11</v>
      </c>
      <c r="AO172">
        <v>420</v>
      </c>
      <c r="AP172">
        <v>0</v>
      </c>
      <c r="AQ172">
        <v>0</v>
      </c>
      <c r="AR172">
        <v>0</v>
      </c>
      <c r="AS172">
        <v>91</v>
      </c>
      <c r="AT172">
        <v>0</v>
      </c>
      <c r="AU172">
        <v>100</v>
      </c>
      <c r="AV172">
        <v>100</v>
      </c>
      <c r="AW172">
        <v>338154</v>
      </c>
      <c r="AX172">
        <v>331391</v>
      </c>
      <c r="AY172">
        <v>179</v>
      </c>
      <c r="AZ172">
        <v>179</v>
      </c>
      <c r="BA172">
        <v>0</v>
      </c>
      <c r="BB172">
        <v>0</v>
      </c>
      <c r="BC172" s="2">
        <v>45113</v>
      </c>
      <c r="BD172" t="s">
        <v>333</v>
      </c>
      <c r="BE172">
        <v>405000</v>
      </c>
      <c r="BF172">
        <v>405000</v>
      </c>
      <c r="BG172" t="s">
        <v>160</v>
      </c>
      <c r="BH172">
        <v>30</v>
      </c>
      <c r="BI172" t="s">
        <v>56</v>
      </c>
      <c r="BJ172" t="s">
        <v>161</v>
      </c>
      <c r="BK172">
        <v>385000</v>
      </c>
      <c r="BL172">
        <v>60800</v>
      </c>
      <c r="BM172">
        <v>324200</v>
      </c>
      <c r="BN172">
        <v>0</v>
      </c>
      <c r="BO172">
        <v>390405.96478951123</v>
      </c>
      <c r="BP172">
        <v>388705.91933608067</v>
      </c>
      <c r="BQ172">
        <f>(Sales[[#This Row],[DP1]]*Lookups!$B$61)+(Sales[[#This Row],[DP2]]*Lookups!$B$62)+(Sales[[#This Row],[DP3]]*Lookups!$B$63)</f>
        <v>1700.0454474000001</v>
      </c>
      <c r="BR172">
        <f>Lookups!$B$58*0.6</f>
        <v>132535.48800000001</v>
      </c>
      <c r="BS172">
        <f>Lookups!$B$58*0.4</f>
        <v>88356.992000000013</v>
      </c>
      <c r="BT172">
        <f>Lookups!$B$59*Sales[[#This Row],[LnAcres]]</f>
        <v>-24051.387388882686</v>
      </c>
      <c r="BU172">
        <f>VLOOKUP(Sales[[#This Row],[Qlty]],Lookups!$A$66:$E$79,2,FALSE)</f>
        <v>32917.849192000001</v>
      </c>
      <c r="BV172">
        <f>VLOOKUP(Sales[[#This Row],[Cnd]],Lookups!$A$80:$E$91,2,FALSE)</f>
        <v>47371.278778200001</v>
      </c>
      <c r="BW172">
        <f>Sales[[#This Row],[EffAge]]*Lookups!$B$65</f>
        <v>-434.96440000000001</v>
      </c>
      <c r="BX172">
        <f>Sales[[#This Row],[MainFn]]*Lookups!$B$90</f>
        <v>106596.92904</v>
      </c>
      <c r="BY172">
        <f>Sales[[#This Row],[UpprFn]]*Lookups!$B$91</f>
        <v>0</v>
      </c>
      <c r="BZ172">
        <f>Sales[[#This Row],[Bsmt]]*Lookups!$B$95</f>
        <v>0</v>
      </c>
      <c r="CA172">
        <f>VLOOKUP(Sales[[#This Row],[MsnryTrim]],Lookups!$A$90:$E$99,2,FALSE)</f>
        <v>-9412.7029999999995</v>
      </c>
      <c r="CB172">
        <f>Sales[[#This Row],[PrefabFP]]*Lookups!$B$92</f>
        <v>0</v>
      </c>
      <c r="CC172">
        <f>Sales[[#This Row],[AttGar]]*Lookups!$B$93</f>
        <v>14826.43302</v>
      </c>
      <c r="CD172">
        <f>Sales[[#This Row],[BltinGar]]*Lookups!$B$94</f>
        <v>0</v>
      </c>
      <c r="CE172">
        <f>SUM(Sales[[#This Row],[Days Prior Total]:[Mdl BltinGar]])</f>
        <v>390405.96068871737</v>
      </c>
      <c r="CF172">
        <f>ROUND(Sales[[#This Row],[25Det]],-2)</f>
        <v>0</v>
      </c>
      <c r="CG172">
        <f>ROUND(SUM(Sales[[#This Row],[Mdl Qlty]:[Mdl BltinGar]])+Sales[[#This Row],[Mdl Res Intercept]]+Sales[[#This Row],[Days Prior Total]],-2)</f>
        <v>326100</v>
      </c>
      <c r="CH172">
        <f>ROUND(Sales[[#This Row],[Mdl Land Intercept]]+Sales[[#This Row],[Mdl LnAcres]],-2)</f>
        <v>64300</v>
      </c>
      <c r="CI172">
        <f>Sales[[#This Row],[Unadj Res Value]]+Sales[[#This Row],[Unadj Det Value]]+Sales[[#This Row],[Unadj Land Value]]</f>
        <v>390400</v>
      </c>
      <c r="CJ172" s="10">
        <f>Sales[[#This Row],[Price]]/Sales[[#This Row],[Unadj Total Value]]</f>
        <v>1.0373975409836065</v>
      </c>
      <c r="CK172" s="10">
        <f>(Sales[[#This Row],[Unadj Total Value]]-Sales[[#This Row],[24Final]])/Sales[[#This Row],[24Final]]</f>
        <v>1.4025974025974027E-2</v>
      </c>
      <c r="CL172">
        <f>VLOOKUP(Sales[[#This Row],[TNbhd]],Lookups!$M$3:$P$5,4,FALSE)</f>
        <v>0.99970000000000003</v>
      </c>
      <c r="CM172">
        <f>VLOOKUP(Sales[[#This Row],[Qlty]],Lookups!$M$8:$P$22,4,FALSE)</f>
        <v>1.0019</v>
      </c>
      <c r="CN172">
        <f>VLOOKUP(Sales[[#This Row],[Cnd]],Lookups!$R$8:$U$17,4,FALSE)</f>
        <v>1.0012000000000001</v>
      </c>
      <c r="CO172">
        <f>VLOOKUP(Sales[[#This Row],[LivArea Range]],Lookups!$R$25:$U$43,4,FALSE)</f>
        <v>1.0007999999999999</v>
      </c>
      <c r="CP172">
        <f>VLOOKUP(Sales[[#This Row],[Decade]],Lookups!$M$24:$P$40,4,FALSE)</f>
        <v>1.0024</v>
      </c>
      <c r="CQ172">
        <f>Sales[[#This Row],[Nbhd Adj]]*0.95</f>
        <v>0.94971499999999998</v>
      </c>
      <c r="CR172">
        <f>Sales[[#This Row],[Nbhd Adj]]*Sales[[#This Row],[Quality Adj]]*Sales[[#This Row],[Condition Adj]]*Sales[[#This Row],[Living Area Adj]]*Sales[[#This Row],[Decade Adj]]*0.95</f>
        <v>0.95571162706178159</v>
      </c>
      <c r="CS172">
        <f>ROUND(SUM(Sales[[#This Row],[Mdl Qlty]:[Mdl BltinGar]])+Sales[[#This Row],[Mdl Res Intercept]]*Sales[[#This Row],[Res Adj ]],-2)</f>
        <v>318500</v>
      </c>
      <c r="CT172">
        <f>ROUND(Sales[[#This Row],[25Det]]*Sales[[#This Row],[Det/Nbhd Adj]],-2)</f>
        <v>0</v>
      </c>
      <c r="CU172">
        <f>Sales[[#This Row],[Adjusted Res]]+Sales[[#This Row],[Adj Det ]]</f>
        <v>318500</v>
      </c>
      <c r="CV172">
        <f>ROUND((Sales[[#This Row],[Mdl Land Intercept]]+Sales[[#This Row],[Mdl LnAcres]])*Sales[[#This Row],[Det/Nbhd Adj]],-2)</f>
        <v>61100</v>
      </c>
      <c r="CW172">
        <f>Sales[[#This Row],[Adjusted Impr Total]]+Sales[[#This Row],[Adjusted Land Total]]</f>
        <v>379600</v>
      </c>
      <c r="CX172" s="10">
        <f>IFERROR((Sales[[#This Row],[Adjusted Impr Total]]-Sales[[#This Row],[24Bldg]])/Sales[[#This Row],[24Bldg]],0)</f>
        <v>-1.7581739666872299E-2</v>
      </c>
      <c r="CY172" s="10">
        <f>(Sales[[#This Row],[Adjusted Land Total]]-Sales[[#This Row],[24Lnd]])/Sales[[#This Row],[24Lnd]]</f>
        <v>4.9342105263157892E-3</v>
      </c>
      <c r="CZ172">
        <f>(Sales[[#This Row],[Adjusted Total]]-Sales[[#This Row],[24Final]])/Sales[[#This Row],[24Final]]</f>
        <v>-1.4025974025974027E-2</v>
      </c>
      <c r="DA172" s="10">
        <f>(Sales[[#This Row],[Adjusted Total]]+Sales[[#This Row],[Days Prior Total]])/Sales[[#This Row],[Price]]</f>
        <v>0.94148159369728401</v>
      </c>
    </row>
    <row r="173" spans="1:105">
      <c r="A173">
        <v>2025</v>
      </c>
      <c r="B173">
        <v>20120632412</v>
      </c>
      <c r="C173">
        <v>-1.7719568419318752</v>
      </c>
      <c r="D173">
        <v>0.17</v>
      </c>
      <c r="E173">
        <v>7200</v>
      </c>
      <c r="F173">
        <v>2</v>
      </c>
      <c r="G173" t="s">
        <v>155</v>
      </c>
      <c r="H173">
        <v>317</v>
      </c>
      <c r="I173" t="s">
        <v>5</v>
      </c>
      <c r="J173" t="s">
        <v>212</v>
      </c>
      <c r="K173">
        <v>11</v>
      </c>
      <c r="L173">
        <v>259</v>
      </c>
      <c r="M173" t="s">
        <v>330</v>
      </c>
      <c r="N173" t="s">
        <v>21</v>
      </c>
      <c r="O173" t="s">
        <v>24</v>
      </c>
      <c r="P173">
        <v>2019</v>
      </c>
      <c r="Q173">
        <v>2019</v>
      </c>
      <c r="R173">
        <v>10</v>
      </c>
      <c r="S173">
        <v>5</v>
      </c>
      <c r="T173">
        <v>5</v>
      </c>
      <c r="U173">
        <v>1</v>
      </c>
      <c r="V173">
        <v>1756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1756</v>
      </c>
      <c r="AC173">
        <v>2000</v>
      </c>
      <c r="AD173">
        <v>2</v>
      </c>
      <c r="AE173" t="s">
        <v>56</v>
      </c>
      <c r="AF173" t="s">
        <v>331</v>
      </c>
      <c r="AG173" t="s">
        <v>21</v>
      </c>
      <c r="AH173" t="s">
        <v>161</v>
      </c>
      <c r="AI173">
        <v>0</v>
      </c>
      <c r="AJ173">
        <v>0</v>
      </c>
      <c r="AK173">
        <v>0</v>
      </c>
      <c r="AL173">
        <v>1</v>
      </c>
      <c r="AM173">
        <v>0</v>
      </c>
      <c r="AN173">
        <v>10</v>
      </c>
      <c r="AO173">
        <v>441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100</v>
      </c>
      <c r="AV173">
        <v>100</v>
      </c>
      <c r="AW173">
        <v>338096</v>
      </c>
      <c r="AX173">
        <v>331334</v>
      </c>
      <c r="AY173">
        <v>833</v>
      </c>
      <c r="AZ173">
        <v>365</v>
      </c>
      <c r="BA173">
        <v>365</v>
      </c>
      <c r="BB173">
        <v>103</v>
      </c>
      <c r="BC173" s="2">
        <v>44459</v>
      </c>
      <c r="BD173" t="s">
        <v>334</v>
      </c>
      <c r="BE173">
        <v>355000</v>
      </c>
      <c r="BF173">
        <v>355000</v>
      </c>
      <c r="BG173" t="s">
        <v>160</v>
      </c>
      <c r="BH173">
        <v>30</v>
      </c>
      <c r="BI173" t="s">
        <v>56</v>
      </c>
      <c r="BJ173" t="s">
        <v>161</v>
      </c>
      <c r="BK173">
        <v>389300</v>
      </c>
      <c r="BL173">
        <v>61700</v>
      </c>
      <c r="BM173">
        <v>327600</v>
      </c>
      <c r="BN173">
        <v>0</v>
      </c>
      <c r="BO173">
        <v>348392.59220166795</v>
      </c>
      <c r="BP173">
        <v>393129.85507751099</v>
      </c>
      <c r="BQ173">
        <f>(Sales[[#This Row],[DP1]]*Lookups!$B$61)+(Sales[[#This Row],[DP2]]*Lookups!$B$62)+(Sales[[#This Row],[DP3]]*Lookups!$B$63)</f>
        <v>-44737.260831</v>
      </c>
      <c r="BR173">
        <f>Lookups!$B$58*0.6</f>
        <v>132535.48800000001</v>
      </c>
      <c r="BS173">
        <f>Lookups!$B$58*0.4</f>
        <v>88356.992000000013</v>
      </c>
      <c r="BT173">
        <f>Lookups!$B$59*Sales[[#This Row],[LnAcres]]</f>
        <v>-23255.730391660189</v>
      </c>
      <c r="BU173">
        <f>VLOOKUP(Sales[[#This Row],[Qlty]],Lookups!$A$66:$E$79,2,FALSE)</f>
        <v>32917.849192000001</v>
      </c>
      <c r="BV173">
        <f>VLOOKUP(Sales[[#This Row],[Cnd]],Lookups!$A$80:$E$91,2,FALSE)</f>
        <v>47371.278778200001</v>
      </c>
      <c r="BW173">
        <f>Sales[[#This Row],[EffAge]]*Lookups!$B$65</f>
        <v>-543.70550000000003</v>
      </c>
      <c r="BX173">
        <f>Sales[[#This Row],[MainFn]]*Lookups!$B$90</f>
        <v>109592.62728</v>
      </c>
      <c r="BY173">
        <f>Sales[[#This Row],[UpprFn]]*Lookups!$B$91</f>
        <v>0</v>
      </c>
      <c r="BZ173">
        <f>Sales[[#This Row],[Bsmt]]*Lookups!$B$95</f>
        <v>0</v>
      </c>
      <c r="CA173">
        <f>VLOOKUP(Sales[[#This Row],[MsnryTrim]],Lookups!$A$90:$E$99,2,FALSE)</f>
        <v>-9412.7029999999995</v>
      </c>
      <c r="CB173">
        <f>Sales[[#This Row],[PrefabFP]]*Lookups!$B$92</f>
        <v>0</v>
      </c>
      <c r="CC173">
        <f>Sales[[#This Row],[AttGar]]*Lookups!$B$93</f>
        <v>15567.754671000001</v>
      </c>
      <c r="CD173">
        <f>Sales[[#This Row],[BltinGar]]*Lookups!$B$94</f>
        <v>0</v>
      </c>
      <c r="CE173">
        <f>SUM(Sales[[#This Row],[Days Prior Total]:[Mdl BltinGar]])</f>
        <v>348392.5901985399</v>
      </c>
      <c r="CF173">
        <f>ROUND(Sales[[#This Row],[25Det]],-2)</f>
        <v>0</v>
      </c>
      <c r="CG173">
        <f>ROUND(SUM(Sales[[#This Row],[Mdl Qlty]:[Mdl BltinGar]])+Sales[[#This Row],[Mdl Res Intercept]]+Sales[[#This Row],[Days Prior Total]],-2)</f>
        <v>283300</v>
      </c>
      <c r="CH173">
        <f>ROUND(Sales[[#This Row],[Mdl Land Intercept]]+Sales[[#This Row],[Mdl LnAcres]],-2)</f>
        <v>65100</v>
      </c>
      <c r="CI173">
        <f>Sales[[#This Row],[Unadj Res Value]]+Sales[[#This Row],[Unadj Det Value]]+Sales[[#This Row],[Unadj Land Value]]</f>
        <v>348400</v>
      </c>
      <c r="CJ173" s="10">
        <f>Sales[[#This Row],[Price]]/Sales[[#This Row],[Unadj Total Value]]</f>
        <v>1.0189437428243397</v>
      </c>
      <c r="CK173" s="10">
        <f>(Sales[[#This Row],[Unadj Total Value]]-Sales[[#This Row],[24Final]])/Sales[[#This Row],[24Final]]</f>
        <v>-0.10506036475725661</v>
      </c>
      <c r="CL173">
        <f>VLOOKUP(Sales[[#This Row],[TNbhd]],Lookups!$M$3:$P$5,4,FALSE)</f>
        <v>0.99970000000000003</v>
      </c>
      <c r="CM173">
        <f>VLOOKUP(Sales[[#This Row],[Qlty]],Lookups!$M$8:$P$22,4,FALSE)</f>
        <v>1.0019</v>
      </c>
      <c r="CN173">
        <f>VLOOKUP(Sales[[#This Row],[Cnd]],Lookups!$R$8:$U$17,4,FALSE)</f>
        <v>1.0012000000000001</v>
      </c>
      <c r="CO173">
        <f>VLOOKUP(Sales[[#This Row],[LivArea Range]],Lookups!$R$25:$U$43,4,FALSE)</f>
        <v>1.0007999999999999</v>
      </c>
      <c r="CP173">
        <f>VLOOKUP(Sales[[#This Row],[Decade]],Lookups!$M$24:$P$40,4,FALSE)</f>
        <v>1.0024</v>
      </c>
      <c r="CQ173">
        <f>Sales[[#This Row],[Nbhd Adj]]*0.95</f>
        <v>0.94971499999999998</v>
      </c>
      <c r="CR173">
        <f>Sales[[#This Row],[Nbhd Adj]]*Sales[[#This Row],[Quality Adj]]*Sales[[#This Row],[Condition Adj]]*Sales[[#This Row],[Living Area Adj]]*Sales[[#This Row],[Decade Adj]]*0.95</f>
        <v>0.95571162706178159</v>
      </c>
      <c r="CS173">
        <f>ROUND(SUM(Sales[[#This Row],[Mdl Qlty]:[Mdl BltinGar]])+Sales[[#This Row],[Mdl Res Intercept]]*Sales[[#This Row],[Res Adj ]],-2)</f>
        <v>322200</v>
      </c>
      <c r="CT173">
        <f>ROUND(Sales[[#This Row],[25Det]]*Sales[[#This Row],[Det/Nbhd Adj]],-2)</f>
        <v>0</v>
      </c>
      <c r="CU173">
        <f>Sales[[#This Row],[Adjusted Res]]+Sales[[#This Row],[Adj Det ]]</f>
        <v>322200</v>
      </c>
      <c r="CV173">
        <f>ROUND((Sales[[#This Row],[Mdl Land Intercept]]+Sales[[#This Row],[Mdl LnAcres]])*Sales[[#This Row],[Det/Nbhd Adj]],-2)</f>
        <v>61800</v>
      </c>
      <c r="CW173">
        <f>Sales[[#This Row],[Adjusted Impr Total]]+Sales[[#This Row],[Adjusted Land Total]]</f>
        <v>384000</v>
      </c>
      <c r="CX173" s="10">
        <f>IFERROR((Sales[[#This Row],[Adjusted Impr Total]]-Sales[[#This Row],[24Bldg]])/Sales[[#This Row],[24Bldg]],0)</f>
        <v>-1.6483516483516484E-2</v>
      </c>
      <c r="CY173" s="10">
        <f>(Sales[[#This Row],[Adjusted Land Total]]-Sales[[#This Row],[24Lnd]])/Sales[[#This Row],[24Lnd]]</f>
        <v>1.6207455429497568E-3</v>
      </c>
      <c r="CZ173">
        <f>(Sales[[#This Row],[Adjusted Total]]-Sales[[#This Row],[24Final]])/Sales[[#This Row],[24Final]]</f>
        <v>-1.3614179296172618E-2</v>
      </c>
      <c r="DA173" s="10">
        <f>(Sales[[#This Row],[Adjusted Total]]+Sales[[#This Row],[Days Prior Total]])/Sales[[#This Row],[Price]]</f>
        <v>0.95566968780000006</v>
      </c>
    </row>
    <row r="174" spans="1:105">
      <c r="A174">
        <v>2025</v>
      </c>
      <c r="B174">
        <v>20120633482</v>
      </c>
      <c r="C174">
        <v>-1.7719568419318752</v>
      </c>
      <c r="D174">
        <v>0.17</v>
      </c>
      <c r="E174">
        <v>7200</v>
      </c>
      <c r="F174">
        <v>2</v>
      </c>
      <c r="G174" t="s">
        <v>155</v>
      </c>
      <c r="H174">
        <v>317</v>
      </c>
      <c r="I174" t="s">
        <v>5</v>
      </c>
      <c r="J174" t="s">
        <v>212</v>
      </c>
      <c r="K174">
        <v>11</v>
      </c>
      <c r="L174">
        <v>259</v>
      </c>
      <c r="M174" t="s">
        <v>330</v>
      </c>
      <c r="N174" t="s">
        <v>19</v>
      </c>
      <c r="O174" t="s">
        <v>22</v>
      </c>
      <c r="P174">
        <v>2019</v>
      </c>
      <c r="Q174">
        <v>2019</v>
      </c>
      <c r="R174">
        <v>10</v>
      </c>
      <c r="S174">
        <v>5</v>
      </c>
      <c r="T174">
        <v>5</v>
      </c>
      <c r="U174">
        <v>1</v>
      </c>
      <c r="V174">
        <v>1529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1529</v>
      </c>
      <c r="AC174">
        <v>2000</v>
      </c>
      <c r="AD174">
        <v>2</v>
      </c>
      <c r="AE174" t="s">
        <v>56</v>
      </c>
      <c r="AF174" t="s">
        <v>331</v>
      </c>
      <c r="AG174" t="s">
        <v>21</v>
      </c>
      <c r="AH174" t="s">
        <v>161</v>
      </c>
      <c r="AI174">
        <v>0</v>
      </c>
      <c r="AJ174">
        <v>0</v>
      </c>
      <c r="AK174">
        <v>1</v>
      </c>
      <c r="AL174">
        <v>1</v>
      </c>
      <c r="AM174">
        <v>0</v>
      </c>
      <c r="AN174">
        <v>10</v>
      </c>
      <c r="AO174">
        <v>441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100</v>
      </c>
      <c r="AV174">
        <v>100</v>
      </c>
      <c r="AW174">
        <v>272557</v>
      </c>
      <c r="AX174">
        <v>267106</v>
      </c>
      <c r="AY174">
        <v>419</v>
      </c>
      <c r="AZ174">
        <v>365</v>
      </c>
      <c r="BA174">
        <v>54</v>
      </c>
      <c r="BB174">
        <v>0</v>
      </c>
      <c r="BC174" s="2">
        <v>44873</v>
      </c>
      <c r="BD174" t="s">
        <v>335</v>
      </c>
      <c r="BE174">
        <v>379000</v>
      </c>
      <c r="BF174">
        <v>379000</v>
      </c>
      <c r="BG174" t="s">
        <v>160</v>
      </c>
      <c r="BH174">
        <v>30</v>
      </c>
      <c r="BI174" t="s">
        <v>56</v>
      </c>
      <c r="BJ174" t="s">
        <v>161</v>
      </c>
      <c r="BK174">
        <v>382500</v>
      </c>
      <c r="BL174">
        <v>61700</v>
      </c>
      <c r="BM174">
        <v>320800</v>
      </c>
      <c r="BN174">
        <v>0</v>
      </c>
      <c r="BO174">
        <v>395897.92808267253</v>
      </c>
      <c r="BP174">
        <v>396073.30682485038</v>
      </c>
      <c r="BQ174">
        <f>(Sales[[#This Row],[DP1]]*Lookups!$B$61)+(Sales[[#This Row],[DP2]]*Lookups!$B$62)+(Sales[[#This Row],[DP3]]*Lookups!$B$63)</f>
        <v>-175.37858099999994</v>
      </c>
      <c r="BR174">
        <f>Lookups!$B$58*0.6</f>
        <v>132535.48800000001</v>
      </c>
      <c r="BS174">
        <f>Lookups!$B$58*0.4</f>
        <v>88356.992000000013</v>
      </c>
      <c r="BT174">
        <f>Lookups!$B$59*Sales[[#This Row],[LnAcres]]</f>
        <v>-23255.730391660189</v>
      </c>
      <c r="BU174">
        <f>VLOOKUP(Sales[[#This Row],[Qlty]],Lookups!$A$66:$E$79,2,FALSE)</f>
        <v>37154.252388000001</v>
      </c>
      <c r="BV174">
        <f>VLOOKUP(Sales[[#This Row],[Cnd]],Lookups!$A$80:$E$91,2,FALSE)</f>
        <v>50438.379078999998</v>
      </c>
      <c r="BW174">
        <f>Sales[[#This Row],[EffAge]]*Lookups!$B$65</f>
        <v>-543.70550000000003</v>
      </c>
      <c r="BX174">
        <f>Sales[[#This Row],[MainFn]]*Lookups!$B$90</f>
        <v>95425.471020000012</v>
      </c>
      <c r="BY174">
        <f>Sales[[#This Row],[UpprFn]]*Lookups!$B$91</f>
        <v>0</v>
      </c>
      <c r="BZ174">
        <f>Sales[[#This Row],[Bsmt]]*Lookups!$B$95</f>
        <v>0</v>
      </c>
      <c r="CA174">
        <f>VLOOKUP(Sales[[#This Row],[MsnryTrim]],Lookups!$A$90:$E$99,2,FALSE)</f>
        <v>-9412.7029999999995</v>
      </c>
      <c r="CB174">
        <f>Sales[[#This Row],[PrefabFP]]*Lookups!$B$92</f>
        <v>9807.1044999999995</v>
      </c>
      <c r="CC174">
        <f>Sales[[#This Row],[AttGar]]*Lookups!$B$93</f>
        <v>15567.754671000001</v>
      </c>
      <c r="CD174">
        <f>Sales[[#This Row],[BltinGar]]*Lookups!$B$94</f>
        <v>0</v>
      </c>
      <c r="CE174">
        <f>SUM(Sales[[#This Row],[Days Prior Total]:[Mdl BltinGar]])</f>
        <v>395897.92418533989</v>
      </c>
      <c r="CF174">
        <f>ROUND(Sales[[#This Row],[25Det]],-2)</f>
        <v>0</v>
      </c>
      <c r="CG174">
        <f>ROUND(SUM(Sales[[#This Row],[Mdl Qlty]:[Mdl BltinGar]])+Sales[[#This Row],[Mdl Res Intercept]]+Sales[[#This Row],[Days Prior Total]],-2)</f>
        <v>330800</v>
      </c>
      <c r="CH174">
        <f>ROUND(Sales[[#This Row],[Mdl Land Intercept]]+Sales[[#This Row],[Mdl LnAcres]],-2)</f>
        <v>65100</v>
      </c>
      <c r="CI174">
        <f>Sales[[#This Row],[Unadj Res Value]]+Sales[[#This Row],[Unadj Det Value]]+Sales[[#This Row],[Unadj Land Value]]</f>
        <v>395900</v>
      </c>
      <c r="CJ174" s="10">
        <f>Sales[[#This Row],[Price]]/Sales[[#This Row],[Unadj Total Value]]</f>
        <v>0.95731245263955544</v>
      </c>
      <c r="CK174" s="10">
        <f>(Sales[[#This Row],[Unadj Total Value]]-Sales[[#This Row],[24Final]])/Sales[[#This Row],[24Final]]</f>
        <v>3.5032679738562091E-2</v>
      </c>
      <c r="CL174">
        <f>VLOOKUP(Sales[[#This Row],[TNbhd]],Lookups!$M$3:$P$5,4,FALSE)</f>
        <v>0.99970000000000003</v>
      </c>
      <c r="CM174">
        <f>VLOOKUP(Sales[[#This Row],[Qlty]],Lookups!$M$8:$P$22,4,FALSE)</f>
        <v>0.99819999999999998</v>
      </c>
      <c r="CN174">
        <f>VLOOKUP(Sales[[#This Row],[Cnd]],Lookups!$R$8:$U$17,4,FALSE)</f>
        <v>1.0007999999999999</v>
      </c>
      <c r="CO174">
        <f>VLOOKUP(Sales[[#This Row],[LivArea Range]],Lookups!$R$25:$U$43,4,FALSE)</f>
        <v>1.0007999999999999</v>
      </c>
      <c r="CP174">
        <f>VLOOKUP(Sales[[#This Row],[Decade]],Lookups!$M$24:$P$40,4,FALSE)</f>
        <v>1.0024</v>
      </c>
      <c r="CQ174">
        <f>Sales[[#This Row],[Nbhd Adj]]*0.95</f>
        <v>0.94971499999999998</v>
      </c>
      <c r="CR174">
        <f>Sales[[#This Row],[Nbhd Adj]]*Sales[[#This Row],[Quality Adj]]*Sales[[#This Row],[Condition Adj]]*Sales[[#This Row],[Living Area Adj]]*Sales[[#This Row],[Decade Adj]]*0.95</f>
        <v>0.9518017835728344</v>
      </c>
      <c r="CS174">
        <f>ROUND(SUM(Sales[[#This Row],[Mdl Qlty]:[Mdl BltinGar]])+Sales[[#This Row],[Mdl Res Intercept]]*Sales[[#This Row],[Res Adj ]],-2)</f>
        <v>324600</v>
      </c>
      <c r="CT174">
        <f>ROUND(Sales[[#This Row],[25Det]]*Sales[[#This Row],[Det/Nbhd Adj]],-2)</f>
        <v>0</v>
      </c>
      <c r="CU174">
        <f>Sales[[#This Row],[Adjusted Res]]+Sales[[#This Row],[Adj Det ]]</f>
        <v>324600</v>
      </c>
      <c r="CV174">
        <f>ROUND((Sales[[#This Row],[Mdl Land Intercept]]+Sales[[#This Row],[Mdl LnAcres]])*Sales[[#This Row],[Det/Nbhd Adj]],-2)</f>
        <v>61800</v>
      </c>
      <c r="CW174">
        <f>Sales[[#This Row],[Adjusted Impr Total]]+Sales[[#This Row],[Adjusted Land Total]]</f>
        <v>386400</v>
      </c>
      <c r="CX174" s="10">
        <f>IFERROR((Sales[[#This Row],[Adjusted Impr Total]]-Sales[[#This Row],[24Bldg]])/Sales[[#This Row],[24Bldg]],0)</f>
        <v>1.1845386533665835E-2</v>
      </c>
      <c r="CY174" s="10">
        <f>(Sales[[#This Row],[Adjusted Land Total]]-Sales[[#This Row],[24Lnd]])/Sales[[#This Row],[24Lnd]]</f>
        <v>1.6207455429497568E-3</v>
      </c>
      <c r="CZ174">
        <f>(Sales[[#This Row],[Adjusted Total]]-Sales[[#This Row],[24Final]])/Sales[[#This Row],[24Final]]</f>
        <v>1.019607843137255E-2</v>
      </c>
      <c r="DA174" s="10">
        <f>(Sales[[#This Row],[Adjusted Total]]+Sales[[#This Row],[Days Prior Total]])/Sales[[#This Row],[Price]]</f>
        <v>1.0190623256437994</v>
      </c>
    </row>
    <row r="175" spans="1:105">
      <c r="A175">
        <v>2025</v>
      </c>
      <c r="B175">
        <v>20120634498</v>
      </c>
      <c r="C175">
        <v>-1.8971199848858813</v>
      </c>
      <c r="D175">
        <v>0.15</v>
      </c>
      <c r="E175">
        <v>6700</v>
      </c>
      <c r="F175">
        <v>2</v>
      </c>
      <c r="G175" t="s">
        <v>155</v>
      </c>
      <c r="H175" t="s">
        <v>5</v>
      </c>
      <c r="I175" t="s">
        <v>5</v>
      </c>
      <c r="J175" t="s">
        <v>212</v>
      </c>
      <c r="K175">
        <v>11</v>
      </c>
      <c r="L175">
        <v>259</v>
      </c>
      <c r="M175" t="s">
        <v>330</v>
      </c>
      <c r="N175" t="s">
        <v>19</v>
      </c>
      <c r="O175" t="s">
        <v>22</v>
      </c>
      <c r="P175">
        <v>2019</v>
      </c>
      <c r="Q175">
        <v>2019</v>
      </c>
      <c r="R175">
        <v>10</v>
      </c>
      <c r="S175">
        <v>5</v>
      </c>
      <c r="T175">
        <v>5</v>
      </c>
      <c r="U175">
        <v>1</v>
      </c>
      <c r="V175">
        <v>1529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1529</v>
      </c>
      <c r="AC175">
        <v>2000</v>
      </c>
      <c r="AD175">
        <v>2</v>
      </c>
      <c r="AE175" t="s">
        <v>56</v>
      </c>
      <c r="AF175" t="s">
        <v>331</v>
      </c>
      <c r="AG175" t="s">
        <v>21</v>
      </c>
      <c r="AH175" t="s">
        <v>161</v>
      </c>
      <c r="AI175">
        <v>0</v>
      </c>
      <c r="AJ175">
        <v>0</v>
      </c>
      <c r="AK175">
        <v>0</v>
      </c>
      <c r="AL175">
        <v>1</v>
      </c>
      <c r="AM175">
        <v>0</v>
      </c>
      <c r="AN175">
        <v>10</v>
      </c>
      <c r="AO175">
        <v>441</v>
      </c>
      <c r="AP175">
        <v>0</v>
      </c>
      <c r="AQ175">
        <v>0</v>
      </c>
      <c r="AR175">
        <v>0</v>
      </c>
      <c r="AS175">
        <v>130</v>
      </c>
      <c r="AT175">
        <v>130</v>
      </c>
      <c r="AU175">
        <v>100</v>
      </c>
      <c r="AV175">
        <v>100</v>
      </c>
      <c r="AW175">
        <v>274444</v>
      </c>
      <c r="AX175">
        <v>268955</v>
      </c>
      <c r="AY175">
        <v>95</v>
      </c>
      <c r="AZ175">
        <v>95</v>
      </c>
      <c r="BA175">
        <v>0</v>
      </c>
      <c r="BB175">
        <v>0</v>
      </c>
      <c r="BC175" s="2">
        <v>45197</v>
      </c>
      <c r="BD175" t="s">
        <v>336</v>
      </c>
      <c r="BE175">
        <v>348000</v>
      </c>
      <c r="BF175">
        <v>348000</v>
      </c>
      <c r="BG175" t="s">
        <v>160</v>
      </c>
      <c r="BH175">
        <v>30</v>
      </c>
      <c r="BI175" t="s">
        <v>56</v>
      </c>
      <c r="BJ175" t="s">
        <v>161</v>
      </c>
      <c r="BK175">
        <v>381500</v>
      </c>
      <c r="BL175">
        <v>59900</v>
      </c>
      <c r="BM175">
        <v>321600</v>
      </c>
      <c r="BN175">
        <v>0</v>
      </c>
      <c r="BO175">
        <v>385525.77981689846</v>
      </c>
      <c r="BP175">
        <v>384623.5210566977</v>
      </c>
      <c r="BQ175">
        <f>(Sales[[#This Row],[DP1]]*Lookups!$B$61)+(Sales[[#This Row],[DP2]]*Lookups!$B$62)+(Sales[[#This Row],[DP3]]*Lookups!$B$63)</f>
        <v>902.25875700000006</v>
      </c>
      <c r="BR175">
        <f>Lookups!$B$58*0.6</f>
        <v>132535.48800000001</v>
      </c>
      <c r="BS175">
        <f>Lookups!$B$58*0.4</f>
        <v>88356.992000000013</v>
      </c>
      <c r="BT175">
        <f>Lookups!$B$59*Sales[[#This Row],[LnAcres]]</f>
        <v>-24898.411657157456</v>
      </c>
      <c r="BU175">
        <f>VLOOKUP(Sales[[#This Row],[Qlty]],Lookups!$A$66:$E$79,2,FALSE)</f>
        <v>37154.252388000001</v>
      </c>
      <c r="BV175">
        <f>VLOOKUP(Sales[[#This Row],[Cnd]],Lookups!$A$80:$E$91,2,FALSE)</f>
        <v>50438.379078999998</v>
      </c>
      <c r="BW175">
        <f>Sales[[#This Row],[EffAge]]*Lookups!$B$65</f>
        <v>-543.70550000000003</v>
      </c>
      <c r="BX175">
        <f>Sales[[#This Row],[MainFn]]*Lookups!$B$90</f>
        <v>95425.471020000012</v>
      </c>
      <c r="BY175">
        <f>Sales[[#This Row],[UpprFn]]*Lookups!$B$91</f>
        <v>0</v>
      </c>
      <c r="BZ175">
        <f>Sales[[#This Row],[Bsmt]]*Lookups!$B$95</f>
        <v>0</v>
      </c>
      <c r="CA175">
        <f>VLOOKUP(Sales[[#This Row],[MsnryTrim]],Lookups!$A$90:$E$99,2,FALSE)</f>
        <v>-9412.7029999999995</v>
      </c>
      <c r="CB175">
        <f>Sales[[#This Row],[PrefabFP]]*Lookups!$B$92</f>
        <v>0</v>
      </c>
      <c r="CC175">
        <f>Sales[[#This Row],[AttGar]]*Lookups!$B$93</f>
        <v>15567.754671000001</v>
      </c>
      <c r="CD175">
        <f>Sales[[#This Row],[BltinGar]]*Lookups!$B$94</f>
        <v>0</v>
      </c>
      <c r="CE175">
        <f>SUM(Sales[[#This Row],[Days Prior Total]:[Mdl BltinGar]])</f>
        <v>385525.77575784258</v>
      </c>
      <c r="CF175">
        <f>ROUND(Sales[[#This Row],[25Det]],-2)</f>
        <v>0</v>
      </c>
      <c r="CG175">
        <f>ROUND(SUM(Sales[[#This Row],[Mdl Qlty]:[Mdl BltinGar]])+Sales[[#This Row],[Mdl Res Intercept]]+Sales[[#This Row],[Days Prior Total]],-2)</f>
        <v>322100</v>
      </c>
      <c r="CH175">
        <f>ROUND(Sales[[#This Row],[Mdl Land Intercept]]+Sales[[#This Row],[Mdl LnAcres]],-2)</f>
        <v>63500</v>
      </c>
      <c r="CI175">
        <f>Sales[[#This Row],[Unadj Res Value]]+Sales[[#This Row],[Unadj Det Value]]+Sales[[#This Row],[Unadj Land Value]]</f>
        <v>385600</v>
      </c>
      <c r="CJ175" s="10">
        <f>Sales[[#This Row],[Price]]/Sales[[#This Row],[Unadj Total Value]]</f>
        <v>0.90248962655601661</v>
      </c>
      <c r="CK175" s="10">
        <f>(Sales[[#This Row],[Unadj Total Value]]-Sales[[#This Row],[24Final]])/Sales[[#This Row],[24Final]]</f>
        <v>1.0747051114023591E-2</v>
      </c>
      <c r="CL175">
        <f>VLOOKUP(Sales[[#This Row],[TNbhd]],Lookups!$M$3:$P$5,4,FALSE)</f>
        <v>0.99970000000000003</v>
      </c>
      <c r="CM175">
        <f>VLOOKUP(Sales[[#This Row],[Qlty]],Lookups!$M$8:$P$22,4,FALSE)</f>
        <v>0.99819999999999998</v>
      </c>
      <c r="CN175">
        <f>VLOOKUP(Sales[[#This Row],[Cnd]],Lookups!$R$8:$U$17,4,FALSE)</f>
        <v>1.0007999999999999</v>
      </c>
      <c r="CO175">
        <f>VLOOKUP(Sales[[#This Row],[LivArea Range]],Lookups!$R$25:$U$43,4,FALSE)</f>
        <v>1.0007999999999999</v>
      </c>
      <c r="CP175">
        <f>VLOOKUP(Sales[[#This Row],[Decade]],Lookups!$M$24:$P$40,4,FALSE)</f>
        <v>1.0024</v>
      </c>
      <c r="CQ175">
        <f>Sales[[#This Row],[Nbhd Adj]]*0.95</f>
        <v>0.94971499999999998</v>
      </c>
      <c r="CR175">
        <f>Sales[[#This Row],[Nbhd Adj]]*Sales[[#This Row],[Quality Adj]]*Sales[[#This Row],[Condition Adj]]*Sales[[#This Row],[Living Area Adj]]*Sales[[#This Row],[Decade Adj]]*0.95</f>
        <v>0.9518017835728344</v>
      </c>
      <c r="CS175">
        <f>ROUND(SUM(Sales[[#This Row],[Mdl Qlty]:[Mdl BltinGar]])+Sales[[#This Row],[Mdl Res Intercept]]*Sales[[#This Row],[Res Adj ]],-2)</f>
        <v>314800</v>
      </c>
      <c r="CT175">
        <f>ROUND(Sales[[#This Row],[25Det]]*Sales[[#This Row],[Det/Nbhd Adj]],-2)</f>
        <v>0</v>
      </c>
      <c r="CU175">
        <f>Sales[[#This Row],[Adjusted Res]]+Sales[[#This Row],[Adj Det ]]</f>
        <v>314800</v>
      </c>
      <c r="CV175">
        <f>ROUND((Sales[[#This Row],[Mdl Land Intercept]]+Sales[[#This Row],[Mdl LnAcres]])*Sales[[#This Row],[Det/Nbhd Adj]],-2)</f>
        <v>60300</v>
      </c>
      <c r="CW175">
        <f>Sales[[#This Row],[Adjusted Impr Total]]+Sales[[#This Row],[Adjusted Land Total]]</f>
        <v>375100</v>
      </c>
      <c r="CX175" s="10">
        <f>IFERROR((Sales[[#This Row],[Adjusted Impr Total]]-Sales[[#This Row],[24Bldg]])/Sales[[#This Row],[24Bldg]],0)</f>
        <v>-2.1144278606965175E-2</v>
      </c>
      <c r="CY175" s="10">
        <f>(Sales[[#This Row],[Adjusted Land Total]]-Sales[[#This Row],[24Lnd]])/Sales[[#This Row],[24Lnd]]</f>
        <v>6.6777963272120202E-3</v>
      </c>
      <c r="CZ175">
        <f>(Sales[[#This Row],[Adjusted Total]]-Sales[[#This Row],[24Final]])/Sales[[#This Row],[24Final]]</f>
        <v>-1.6775884665792922E-2</v>
      </c>
      <c r="DA175" s="10">
        <f>(Sales[[#This Row],[Adjusted Total]]+Sales[[#This Row],[Days Prior Total]])/Sales[[#This Row],[Price]]</f>
        <v>1.080466260795977</v>
      </c>
    </row>
    <row r="176" spans="1:105">
      <c r="A176">
        <v>2025</v>
      </c>
      <c r="B176">
        <v>20120634500</v>
      </c>
      <c r="C176">
        <v>-1.8971199848858813</v>
      </c>
      <c r="D176">
        <v>0.15</v>
      </c>
      <c r="E176">
        <v>6700</v>
      </c>
      <c r="F176">
        <v>2</v>
      </c>
      <c r="G176" t="s">
        <v>155</v>
      </c>
      <c r="H176">
        <v>317</v>
      </c>
      <c r="I176" t="s">
        <v>5</v>
      </c>
      <c r="J176" t="s">
        <v>212</v>
      </c>
      <c r="K176">
        <v>11</v>
      </c>
      <c r="L176">
        <v>259</v>
      </c>
      <c r="M176" t="s">
        <v>330</v>
      </c>
      <c r="N176" t="s">
        <v>19</v>
      </c>
      <c r="O176" t="s">
        <v>22</v>
      </c>
      <c r="P176">
        <v>2019</v>
      </c>
      <c r="Q176">
        <v>2019</v>
      </c>
      <c r="R176">
        <v>10</v>
      </c>
      <c r="S176">
        <v>5</v>
      </c>
      <c r="T176">
        <v>5</v>
      </c>
      <c r="U176">
        <v>1</v>
      </c>
      <c r="V176">
        <v>1550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1550</v>
      </c>
      <c r="AC176">
        <v>2000</v>
      </c>
      <c r="AD176">
        <v>2</v>
      </c>
      <c r="AE176" t="s">
        <v>56</v>
      </c>
      <c r="AF176" t="s">
        <v>158</v>
      </c>
      <c r="AG176" t="s">
        <v>27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10</v>
      </c>
      <c r="AO176">
        <v>420</v>
      </c>
      <c r="AP176">
        <v>0</v>
      </c>
      <c r="AQ176">
        <v>0</v>
      </c>
      <c r="AR176">
        <v>0</v>
      </c>
      <c r="AS176">
        <v>135</v>
      </c>
      <c r="AT176">
        <v>0</v>
      </c>
      <c r="AU176">
        <v>100</v>
      </c>
      <c r="AV176">
        <v>100</v>
      </c>
      <c r="AW176">
        <v>273877</v>
      </c>
      <c r="AX176">
        <v>268399</v>
      </c>
      <c r="AY176">
        <v>389</v>
      </c>
      <c r="AZ176">
        <v>365</v>
      </c>
      <c r="BA176">
        <v>24</v>
      </c>
      <c r="BB176">
        <v>0</v>
      </c>
      <c r="BC176" s="2">
        <v>44903</v>
      </c>
      <c r="BD176" t="s">
        <v>337</v>
      </c>
      <c r="BE176">
        <v>369000</v>
      </c>
      <c r="BF176">
        <v>369000</v>
      </c>
      <c r="BG176" t="s">
        <v>160</v>
      </c>
      <c r="BH176">
        <v>30</v>
      </c>
      <c r="BI176" t="s">
        <v>56</v>
      </c>
      <c r="BJ176" t="s">
        <v>161</v>
      </c>
      <c r="BK176">
        <v>380500</v>
      </c>
      <c r="BL176">
        <v>59900</v>
      </c>
      <c r="BM176">
        <v>320600</v>
      </c>
      <c r="BN176">
        <v>0</v>
      </c>
      <c r="BO176">
        <v>387040.74524799018</v>
      </c>
      <c r="BP176">
        <v>385192.81739379314</v>
      </c>
      <c r="BQ176">
        <f>(Sales[[#This Row],[DP1]]*Lookups!$B$61)+(Sales[[#This Row],[DP2]]*Lookups!$B$62)+(Sales[[#This Row],[DP3]]*Lookups!$B$63)</f>
        <v>1847.9279190000002</v>
      </c>
      <c r="BR176">
        <f>Lookups!$B$58*0.6</f>
        <v>132535.48800000001</v>
      </c>
      <c r="BS176">
        <f>Lookups!$B$58*0.4</f>
        <v>88356.992000000013</v>
      </c>
      <c r="BT176">
        <f>Lookups!$B$59*Sales[[#This Row],[LnAcres]]</f>
        <v>-24898.411657157456</v>
      </c>
      <c r="BU176">
        <f>VLOOKUP(Sales[[#This Row],[Qlty]],Lookups!$A$66:$E$79,2,FALSE)</f>
        <v>37154.252388000001</v>
      </c>
      <c r="BV176">
        <f>VLOOKUP(Sales[[#This Row],[Cnd]],Lookups!$A$80:$E$91,2,FALSE)</f>
        <v>50438.379078999998</v>
      </c>
      <c r="BW176">
        <f>Sales[[#This Row],[EffAge]]*Lookups!$B$65</f>
        <v>-543.70550000000003</v>
      </c>
      <c r="BX176">
        <f>Sales[[#This Row],[MainFn]]*Lookups!$B$90</f>
        <v>96736.089000000007</v>
      </c>
      <c r="BY176">
        <f>Sales[[#This Row],[UpprFn]]*Lookups!$B$91</f>
        <v>0</v>
      </c>
      <c r="BZ176">
        <f>Sales[[#This Row],[Bsmt]]*Lookups!$B$95</f>
        <v>0</v>
      </c>
      <c r="CA176">
        <f>VLOOKUP(Sales[[#This Row],[MsnryTrim]],Lookups!$A$90:$E$99,2,FALSE)</f>
        <v>-9412.7029999999995</v>
      </c>
      <c r="CB176">
        <f>Sales[[#This Row],[PrefabFP]]*Lookups!$B$92</f>
        <v>0</v>
      </c>
      <c r="CC176">
        <f>Sales[[#This Row],[AttGar]]*Lookups!$B$93</f>
        <v>14826.43302</v>
      </c>
      <c r="CD176">
        <f>Sales[[#This Row],[BltinGar]]*Lookups!$B$94</f>
        <v>0</v>
      </c>
      <c r="CE176">
        <f>SUM(Sales[[#This Row],[Days Prior Total]:[Mdl BltinGar]])</f>
        <v>387040.74124884256</v>
      </c>
      <c r="CF176">
        <f>ROUND(Sales[[#This Row],[25Det]],-2)</f>
        <v>0</v>
      </c>
      <c r="CG176">
        <f>ROUND(SUM(Sales[[#This Row],[Mdl Qlty]:[Mdl BltinGar]])+Sales[[#This Row],[Mdl Res Intercept]]+Sales[[#This Row],[Days Prior Total]],-2)</f>
        <v>323600</v>
      </c>
      <c r="CH176">
        <f>ROUND(Sales[[#This Row],[Mdl Land Intercept]]+Sales[[#This Row],[Mdl LnAcres]],-2)</f>
        <v>63500</v>
      </c>
      <c r="CI176">
        <f>Sales[[#This Row],[Unadj Res Value]]+Sales[[#This Row],[Unadj Det Value]]+Sales[[#This Row],[Unadj Land Value]]</f>
        <v>387100</v>
      </c>
      <c r="CJ176" s="10">
        <f>Sales[[#This Row],[Price]]/Sales[[#This Row],[Unadj Total Value]]</f>
        <v>0.95324205631619741</v>
      </c>
      <c r="CK176" s="10">
        <f>(Sales[[#This Row],[Unadj Total Value]]-Sales[[#This Row],[24Final]])/Sales[[#This Row],[24Final]]</f>
        <v>1.7345597897503284E-2</v>
      </c>
      <c r="CL176">
        <f>VLOOKUP(Sales[[#This Row],[TNbhd]],Lookups!$M$3:$P$5,4,FALSE)</f>
        <v>0.99970000000000003</v>
      </c>
      <c r="CM176">
        <f>VLOOKUP(Sales[[#This Row],[Qlty]],Lookups!$M$8:$P$22,4,FALSE)</f>
        <v>0.99819999999999998</v>
      </c>
      <c r="CN176">
        <f>VLOOKUP(Sales[[#This Row],[Cnd]],Lookups!$R$8:$U$17,4,FALSE)</f>
        <v>1.0007999999999999</v>
      </c>
      <c r="CO176">
        <f>VLOOKUP(Sales[[#This Row],[LivArea Range]],Lookups!$R$25:$U$43,4,FALSE)</f>
        <v>1.0007999999999999</v>
      </c>
      <c r="CP176">
        <f>VLOOKUP(Sales[[#This Row],[Decade]],Lookups!$M$24:$P$40,4,FALSE)</f>
        <v>1.0024</v>
      </c>
      <c r="CQ176">
        <f>Sales[[#This Row],[Nbhd Adj]]*0.95</f>
        <v>0.94971499999999998</v>
      </c>
      <c r="CR176">
        <f>Sales[[#This Row],[Nbhd Adj]]*Sales[[#This Row],[Quality Adj]]*Sales[[#This Row],[Condition Adj]]*Sales[[#This Row],[Living Area Adj]]*Sales[[#This Row],[Decade Adj]]*0.95</f>
        <v>0.9518017835728344</v>
      </c>
      <c r="CS176">
        <f>ROUND(SUM(Sales[[#This Row],[Mdl Qlty]:[Mdl BltinGar]])+Sales[[#This Row],[Mdl Res Intercept]]*Sales[[#This Row],[Res Adj ]],-2)</f>
        <v>315300</v>
      </c>
      <c r="CT176">
        <f>ROUND(Sales[[#This Row],[25Det]]*Sales[[#This Row],[Det/Nbhd Adj]],-2)</f>
        <v>0</v>
      </c>
      <c r="CU176">
        <f>Sales[[#This Row],[Adjusted Res]]+Sales[[#This Row],[Adj Det ]]</f>
        <v>315300</v>
      </c>
      <c r="CV176">
        <f>ROUND((Sales[[#This Row],[Mdl Land Intercept]]+Sales[[#This Row],[Mdl LnAcres]])*Sales[[#This Row],[Det/Nbhd Adj]],-2)</f>
        <v>60300</v>
      </c>
      <c r="CW176">
        <f>Sales[[#This Row],[Adjusted Impr Total]]+Sales[[#This Row],[Adjusted Land Total]]</f>
        <v>375600</v>
      </c>
      <c r="CX176" s="10">
        <f>IFERROR((Sales[[#This Row],[Adjusted Impr Total]]-Sales[[#This Row],[24Bldg]])/Sales[[#This Row],[24Bldg]],0)</f>
        <v>-1.6531503431066751E-2</v>
      </c>
      <c r="CY176" s="10">
        <f>(Sales[[#This Row],[Adjusted Land Total]]-Sales[[#This Row],[24Lnd]])/Sales[[#This Row],[24Lnd]]</f>
        <v>6.6777963272120202E-3</v>
      </c>
      <c r="CZ176">
        <f>(Sales[[#This Row],[Adjusted Total]]-Sales[[#This Row],[24Final]])/Sales[[#This Row],[24Final]]</f>
        <v>-1.2877792378449408E-2</v>
      </c>
      <c r="DA176" s="10">
        <f>(Sales[[#This Row],[Adjusted Total]]+Sales[[#This Row],[Days Prior Total]])/Sales[[#This Row],[Price]]</f>
        <v>1.0228941136016259</v>
      </c>
    </row>
    <row r="177" spans="1:105">
      <c r="A177">
        <v>2025</v>
      </c>
      <c r="B177">
        <v>20120634500</v>
      </c>
      <c r="C177">
        <v>-1.8971199848858813</v>
      </c>
      <c r="D177">
        <v>0.15</v>
      </c>
      <c r="E177">
        <v>6700</v>
      </c>
      <c r="F177">
        <v>2</v>
      </c>
      <c r="G177" t="s">
        <v>155</v>
      </c>
      <c r="H177" t="s">
        <v>5</v>
      </c>
      <c r="I177" t="s">
        <v>5</v>
      </c>
      <c r="J177" t="s">
        <v>212</v>
      </c>
      <c r="K177">
        <v>11</v>
      </c>
      <c r="L177">
        <v>259</v>
      </c>
      <c r="M177" t="s">
        <v>330</v>
      </c>
      <c r="N177" t="s">
        <v>19</v>
      </c>
      <c r="O177" t="s">
        <v>22</v>
      </c>
      <c r="P177">
        <v>2019</v>
      </c>
      <c r="Q177">
        <v>2019</v>
      </c>
      <c r="R177">
        <v>10</v>
      </c>
      <c r="S177">
        <v>5</v>
      </c>
      <c r="T177">
        <v>5</v>
      </c>
      <c r="U177">
        <v>1</v>
      </c>
      <c r="V177">
        <v>1550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1550</v>
      </c>
      <c r="AC177">
        <v>2000</v>
      </c>
      <c r="AD177">
        <v>2</v>
      </c>
      <c r="AE177" t="s">
        <v>56</v>
      </c>
      <c r="AF177" t="s">
        <v>158</v>
      </c>
      <c r="AG177" t="s">
        <v>27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10</v>
      </c>
      <c r="AO177">
        <v>420</v>
      </c>
      <c r="AP177">
        <v>0</v>
      </c>
      <c r="AQ177">
        <v>0</v>
      </c>
      <c r="AR177">
        <v>0</v>
      </c>
      <c r="AS177">
        <v>135</v>
      </c>
      <c r="AT177">
        <v>0</v>
      </c>
      <c r="AU177">
        <v>100</v>
      </c>
      <c r="AV177">
        <v>100</v>
      </c>
      <c r="AW177">
        <v>273877</v>
      </c>
      <c r="AX177">
        <v>268399</v>
      </c>
      <c r="AY177">
        <v>66</v>
      </c>
      <c r="AZ177">
        <v>66</v>
      </c>
      <c r="BA177">
        <v>0</v>
      </c>
      <c r="BB177">
        <v>0</v>
      </c>
      <c r="BC177" s="2">
        <v>45226</v>
      </c>
      <c r="BD177" t="s">
        <v>338</v>
      </c>
      <c r="BE177">
        <v>365000</v>
      </c>
      <c r="BF177">
        <v>365000</v>
      </c>
      <c r="BG177" t="s">
        <v>160</v>
      </c>
      <c r="BH177">
        <v>30</v>
      </c>
      <c r="BI177" t="s">
        <v>56</v>
      </c>
      <c r="BJ177" t="s">
        <v>161</v>
      </c>
      <c r="BK177">
        <v>380500</v>
      </c>
      <c r="BL177">
        <v>59900</v>
      </c>
      <c r="BM177">
        <v>320600</v>
      </c>
      <c r="BN177">
        <v>0</v>
      </c>
      <c r="BO177">
        <v>385819.64979561686</v>
      </c>
      <c r="BP177">
        <v>385192.81739379314</v>
      </c>
      <c r="BQ177">
        <f>(Sales[[#This Row],[DP1]]*Lookups!$B$61)+(Sales[[#This Row],[DP2]]*Lookups!$B$62)+(Sales[[#This Row],[DP3]]*Lookups!$B$63)</f>
        <v>626.83239960000003</v>
      </c>
      <c r="BR177">
        <f>Lookups!$B$58*0.6</f>
        <v>132535.48800000001</v>
      </c>
      <c r="BS177">
        <f>Lookups!$B$58*0.4</f>
        <v>88356.992000000013</v>
      </c>
      <c r="BT177">
        <f>Lookups!$B$59*Sales[[#This Row],[LnAcres]]</f>
        <v>-24898.411657157456</v>
      </c>
      <c r="BU177">
        <f>VLOOKUP(Sales[[#This Row],[Qlty]],Lookups!$A$66:$E$79,2,FALSE)</f>
        <v>37154.252388000001</v>
      </c>
      <c r="BV177">
        <f>VLOOKUP(Sales[[#This Row],[Cnd]],Lookups!$A$80:$E$91,2,FALSE)</f>
        <v>50438.379078999998</v>
      </c>
      <c r="BW177">
        <f>Sales[[#This Row],[EffAge]]*Lookups!$B$65</f>
        <v>-543.70550000000003</v>
      </c>
      <c r="BX177">
        <f>Sales[[#This Row],[MainFn]]*Lookups!$B$90</f>
        <v>96736.089000000007</v>
      </c>
      <c r="BY177">
        <f>Sales[[#This Row],[UpprFn]]*Lookups!$B$91</f>
        <v>0</v>
      </c>
      <c r="BZ177">
        <f>Sales[[#This Row],[Bsmt]]*Lookups!$B$95</f>
        <v>0</v>
      </c>
      <c r="CA177">
        <f>VLOOKUP(Sales[[#This Row],[MsnryTrim]],Lookups!$A$90:$E$99,2,FALSE)</f>
        <v>-9412.7029999999995</v>
      </c>
      <c r="CB177">
        <f>Sales[[#This Row],[PrefabFP]]*Lookups!$B$92</f>
        <v>0</v>
      </c>
      <c r="CC177">
        <f>Sales[[#This Row],[AttGar]]*Lookups!$B$93</f>
        <v>14826.43302</v>
      </c>
      <c r="CD177">
        <f>Sales[[#This Row],[BltinGar]]*Lookups!$B$94</f>
        <v>0</v>
      </c>
      <c r="CE177">
        <f>SUM(Sales[[#This Row],[Days Prior Total]:[Mdl BltinGar]])</f>
        <v>385819.64572944259</v>
      </c>
      <c r="CF177">
        <f>ROUND(Sales[[#This Row],[25Det]],-2)</f>
        <v>0</v>
      </c>
      <c r="CG177">
        <f>ROUND(SUM(Sales[[#This Row],[Mdl Qlty]:[Mdl BltinGar]])+Sales[[#This Row],[Mdl Res Intercept]]+Sales[[#This Row],[Days Prior Total]],-2)</f>
        <v>322400</v>
      </c>
      <c r="CH177">
        <f>ROUND(Sales[[#This Row],[Mdl Land Intercept]]+Sales[[#This Row],[Mdl LnAcres]],-2)</f>
        <v>63500</v>
      </c>
      <c r="CI177">
        <f>Sales[[#This Row],[Unadj Res Value]]+Sales[[#This Row],[Unadj Det Value]]+Sales[[#This Row],[Unadj Land Value]]</f>
        <v>385900</v>
      </c>
      <c r="CJ177" s="10">
        <f>Sales[[#This Row],[Price]]/Sales[[#This Row],[Unadj Total Value]]</f>
        <v>0.94584089142264838</v>
      </c>
      <c r="CK177" s="10">
        <f>(Sales[[#This Row],[Unadj Total Value]]-Sales[[#This Row],[24Final]])/Sales[[#This Row],[24Final]]</f>
        <v>1.419185282522996E-2</v>
      </c>
      <c r="CL177">
        <f>VLOOKUP(Sales[[#This Row],[TNbhd]],Lookups!$M$3:$P$5,4,FALSE)</f>
        <v>0.99970000000000003</v>
      </c>
      <c r="CM177">
        <f>VLOOKUP(Sales[[#This Row],[Qlty]],Lookups!$M$8:$P$22,4,FALSE)</f>
        <v>0.99819999999999998</v>
      </c>
      <c r="CN177">
        <f>VLOOKUP(Sales[[#This Row],[Cnd]],Lookups!$R$8:$U$17,4,FALSE)</f>
        <v>1.0007999999999999</v>
      </c>
      <c r="CO177">
        <f>VLOOKUP(Sales[[#This Row],[LivArea Range]],Lookups!$R$25:$U$43,4,FALSE)</f>
        <v>1.0007999999999999</v>
      </c>
      <c r="CP177">
        <f>VLOOKUP(Sales[[#This Row],[Decade]],Lookups!$M$24:$P$40,4,FALSE)</f>
        <v>1.0024</v>
      </c>
      <c r="CQ177">
        <f>Sales[[#This Row],[Nbhd Adj]]*0.95</f>
        <v>0.94971499999999998</v>
      </c>
      <c r="CR177">
        <f>Sales[[#This Row],[Nbhd Adj]]*Sales[[#This Row],[Quality Adj]]*Sales[[#This Row],[Condition Adj]]*Sales[[#This Row],[Living Area Adj]]*Sales[[#This Row],[Decade Adj]]*0.95</f>
        <v>0.9518017835728344</v>
      </c>
      <c r="CS177">
        <f>ROUND(SUM(Sales[[#This Row],[Mdl Qlty]:[Mdl BltinGar]])+Sales[[#This Row],[Mdl Res Intercept]]*Sales[[#This Row],[Res Adj ]],-2)</f>
        <v>315300</v>
      </c>
      <c r="CT177">
        <f>ROUND(Sales[[#This Row],[25Det]]*Sales[[#This Row],[Det/Nbhd Adj]],-2)</f>
        <v>0</v>
      </c>
      <c r="CU177">
        <f>Sales[[#This Row],[Adjusted Res]]+Sales[[#This Row],[Adj Det ]]</f>
        <v>315300</v>
      </c>
      <c r="CV177">
        <f>ROUND((Sales[[#This Row],[Mdl Land Intercept]]+Sales[[#This Row],[Mdl LnAcres]])*Sales[[#This Row],[Det/Nbhd Adj]],-2)</f>
        <v>60300</v>
      </c>
      <c r="CW177">
        <f>Sales[[#This Row],[Adjusted Impr Total]]+Sales[[#This Row],[Adjusted Land Total]]</f>
        <v>375600</v>
      </c>
      <c r="CX177" s="10">
        <f>IFERROR((Sales[[#This Row],[Adjusted Impr Total]]-Sales[[#This Row],[24Bldg]])/Sales[[#This Row],[24Bldg]],0)</f>
        <v>-1.6531503431066751E-2</v>
      </c>
      <c r="CY177" s="10">
        <f>(Sales[[#This Row],[Adjusted Land Total]]-Sales[[#This Row],[24Lnd]])/Sales[[#This Row],[24Lnd]]</f>
        <v>6.6777963272120202E-3</v>
      </c>
      <c r="CZ177">
        <f>(Sales[[#This Row],[Adjusted Total]]-Sales[[#This Row],[24Final]])/Sales[[#This Row],[24Final]]</f>
        <v>-1.2877792378449408E-2</v>
      </c>
      <c r="DA177" s="10">
        <f>(Sales[[#This Row],[Adjusted Total]]+Sales[[#This Row],[Days Prior Total]])/Sales[[#This Row],[Price]]</f>
        <v>1.030758444930411</v>
      </c>
    </row>
    <row r="178" spans="1:105">
      <c r="A178">
        <v>2025</v>
      </c>
      <c r="B178">
        <v>20120634515</v>
      </c>
      <c r="C178">
        <v>-1.7719568419318752</v>
      </c>
      <c r="D178">
        <v>0.17</v>
      </c>
      <c r="E178">
        <v>7252</v>
      </c>
      <c r="F178">
        <v>2</v>
      </c>
      <c r="G178" t="s">
        <v>155</v>
      </c>
      <c r="H178" t="s">
        <v>5</v>
      </c>
      <c r="I178" t="s">
        <v>5</v>
      </c>
      <c r="J178" t="s">
        <v>212</v>
      </c>
      <c r="K178">
        <v>11</v>
      </c>
      <c r="L178">
        <v>259</v>
      </c>
      <c r="M178" t="s">
        <v>330</v>
      </c>
      <c r="N178" t="s">
        <v>21</v>
      </c>
      <c r="O178" t="s">
        <v>22</v>
      </c>
      <c r="P178">
        <v>2019</v>
      </c>
      <c r="Q178">
        <v>2019</v>
      </c>
      <c r="R178">
        <v>10</v>
      </c>
      <c r="S178">
        <v>5</v>
      </c>
      <c r="T178">
        <v>5</v>
      </c>
      <c r="U178">
        <v>1</v>
      </c>
      <c r="V178">
        <v>1770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1770</v>
      </c>
      <c r="AC178">
        <v>2000</v>
      </c>
      <c r="AD178">
        <v>2</v>
      </c>
      <c r="AE178" t="s">
        <v>56</v>
      </c>
      <c r="AF178" t="s">
        <v>331</v>
      </c>
      <c r="AG178" t="s">
        <v>21</v>
      </c>
      <c r="AH178" t="s">
        <v>161</v>
      </c>
      <c r="AI178">
        <v>0</v>
      </c>
      <c r="AJ178">
        <v>0</v>
      </c>
      <c r="AK178">
        <v>0</v>
      </c>
      <c r="AL178">
        <v>1</v>
      </c>
      <c r="AM178">
        <v>0</v>
      </c>
      <c r="AN178">
        <v>10</v>
      </c>
      <c r="AO178">
        <v>420</v>
      </c>
      <c r="AP178">
        <v>0</v>
      </c>
      <c r="AQ178">
        <v>0</v>
      </c>
      <c r="AR178">
        <v>0</v>
      </c>
      <c r="AS178">
        <v>468</v>
      </c>
      <c r="AT178">
        <v>0</v>
      </c>
      <c r="AU178">
        <v>100</v>
      </c>
      <c r="AV178">
        <v>100</v>
      </c>
      <c r="AW178">
        <v>344855</v>
      </c>
      <c r="AX178">
        <v>337958</v>
      </c>
      <c r="AY178">
        <v>-16</v>
      </c>
      <c r="AZ178">
        <v>-16</v>
      </c>
      <c r="BA178">
        <v>0</v>
      </c>
      <c r="BB178">
        <v>0</v>
      </c>
      <c r="BC178" s="2">
        <v>45308</v>
      </c>
      <c r="BD178" t="s">
        <v>339</v>
      </c>
      <c r="BE178">
        <v>381000</v>
      </c>
      <c r="BF178">
        <v>381000</v>
      </c>
      <c r="BG178" t="s">
        <v>160</v>
      </c>
      <c r="BH178">
        <v>30</v>
      </c>
      <c r="BI178" t="s">
        <v>56</v>
      </c>
      <c r="BJ178" t="s">
        <v>161</v>
      </c>
      <c r="BK178">
        <v>389300</v>
      </c>
      <c r="BL178">
        <v>61700</v>
      </c>
      <c r="BM178">
        <v>327600</v>
      </c>
      <c r="BN178">
        <v>0</v>
      </c>
      <c r="BO178">
        <v>396177.41968059709</v>
      </c>
      <c r="BP178">
        <v>396329.37905073597</v>
      </c>
      <c r="BQ178">
        <f>(Sales[[#This Row],[DP1]]*Lookups!$B$61)+(Sales[[#This Row],[DP2]]*Lookups!$B$62)+(Sales[[#This Row],[DP3]]*Lookups!$B$63)</f>
        <v>-151.9593696</v>
      </c>
      <c r="BR178">
        <f>Lookups!$B$58*0.6</f>
        <v>132535.48800000001</v>
      </c>
      <c r="BS178">
        <f>Lookups!$B$58*0.4</f>
        <v>88356.992000000013</v>
      </c>
      <c r="BT178">
        <f>Lookups!$B$59*Sales[[#This Row],[LnAcres]]</f>
        <v>-23255.730391660189</v>
      </c>
      <c r="BU178">
        <f>VLOOKUP(Sales[[#This Row],[Qlty]],Lookups!$A$66:$E$79,2,FALSE)</f>
        <v>32917.849192000001</v>
      </c>
      <c r="BV178">
        <f>VLOOKUP(Sales[[#This Row],[Cnd]],Lookups!$A$80:$E$91,2,FALSE)</f>
        <v>50438.379078999998</v>
      </c>
      <c r="BW178">
        <f>Sales[[#This Row],[EffAge]]*Lookups!$B$65</f>
        <v>-543.70550000000003</v>
      </c>
      <c r="BX178">
        <f>Sales[[#This Row],[MainFn]]*Lookups!$B$90</f>
        <v>110466.3726</v>
      </c>
      <c r="BY178">
        <f>Sales[[#This Row],[UpprFn]]*Lookups!$B$91</f>
        <v>0</v>
      </c>
      <c r="BZ178">
        <f>Sales[[#This Row],[Bsmt]]*Lookups!$B$95</f>
        <v>0</v>
      </c>
      <c r="CA178">
        <f>VLOOKUP(Sales[[#This Row],[MsnryTrim]],Lookups!$A$90:$E$99,2,FALSE)</f>
        <v>-9412.7029999999995</v>
      </c>
      <c r="CB178">
        <f>Sales[[#This Row],[PrefabFP]]*Lookups!$B$92</f>
        <v>0</v>
      </c>
      <c r="CC178">
        <f>Sales[[#This Row],[AttGar]]*Lookups!$B$93</f>
        <v>14826.43302</v>
      </c>
      <c r="CD178">
        <f>Sales[[#This Row],[BltinGar]]*Lookups!$B$94</f>
        <v>0</v>
      </c>
      <c r="CE178">
        <f>SUM(Sales[[#This Row],[Days Prior Total]:[Mdl BltinGar]])</f>
        <v>396177.41562973987</v>
      </c>
      <c r="CF178">
        <f>ROUND(Sales[[#This Row],[25Det]],-2)</f>
        <v>0</v>
      </c>
      <c r="CG178">
        <f>ROUND(SUM(Sales[[#This Row],[Mdl Qlty]:[Mdl BltinGar]])+Sales[[#This Row],[Mdl Res Intercept]]+Sales[[#This Row],[Days Prior Total]],-2)</f>
        <v>331100</v>
      </c>
      <c r="CH178">
        <f>ROUND(Sales[[#This Row],[Mdl Land Intercept]]+Sales[[#This Row],[Mdl LnAcres]],-2)</f>
        <v>65100</v>
      </c>
      <c r="CI178">
        <f>Sales[[#This Row],[Unadj Res Value]]+Sales[[#This Row],[Unadj Det Value]]+Sales[[#This Row],[Unadj Land Value]]</f>
        <v>396200</v>
      </c>
      <c r="CJ178" s="10">
        <f>Sales[[#This Row],[Price]]/Sales[[#This Row],[Unadj Total Value]]</f>
        <v>0.96163553760726905</v>
      </c>
      <c r="CK178" s="10">
        <f>(Sales[[#This Row],[Unadj Total Value]]-Sales[[#This Row],[24Final]])/Sales[[#This Row],[24Final]]</f>
        <v>1.77241202157719E-2</v>
      </c>
      <c r="CL178">
        <f>VLOOKUP(Sales[[#This Row],[TNbhd]],Lookups!$M$3:$P$5,4,FALSE)</f>
        <v>0.99970000000000003</v>
      </c>
      <c r="CM178">
        <f>VLOOKUP(Sales[[#This Row],[Qlty]],Lookups!$M$8:$P$22,4,FALSE)</f>
        <v>1.0019</v>
      </c>
      <c r="CN178">
        <f>VLOOKUP(Sales[[#This Row],[Cnd]],Lookups!$R$8:$U$17,4,FALSE)</f>
        <v>1.0007999999999999</v>
      </c>
      <c r="CO178">
        <f>VLOOKUP(Sales[[#This Row],[LivArea Range]],Lookups!$R$25:$U$43,4,FALSE)</f>
        <v>1.0007999999999999</v>
      </c>
      <c r="CP178">
        <f>VLOOKUP(Sales[[#This Row],[Decade]],Lookups!$M$24:$P$40,4,FALSE)</f>
        <v>1.0024</v>
      </c>
      <c r="CQ178">
        <f>Sales[[#This Row],[Nbhd Adj]]*0.95</f>
        <v>0.94971499999999998</v>
      </c>
      <c r="CR178">
        <f>Sales[[#This Row],[Nbhd Adj]]*Sales[[#This Row],[Quality Adj]]*Sales[[#This Row],[Condition Adj]]*Sales[[#This Row],[Living Area Adj]]*Sales[[#This Row],[Decade Adj]]*0.95</f>
        <v>0.95532980060270778</v>
      </c>
      <c r="CS178">
        <f>ROUND(SUM(Sales[[#This Row],[Mdl Qlty]:[Mdl BltinGar]])+Sales[[#This Row],[Mdl Res Intercept]]*Sales[[#This Row],[Res Adj ]],-2)</f>
        <v>325300</v>
      </c>
      <c r="CT178">
        <f>ROUND(Sales[[#This Row],[25Det]]*Sales[[#This Row],[Det/Nbhd Adj]],-2)</f>
        <v>0</v>
      </c>
      <c r="CU178">
        <f>Sales[[#This Row],[Adjusted Res]]+Sales[[#This Row],[Adj Det ]]</f>
        <v>325300</v>
      </c>
      <c r="CV178">
        <f>ROUND((Sales[[#This Row],[Mdl Land Intercept]]+Sales[[#This Row],[Mdl LnAcres]])*Sales[[#This Row],[Det/Nbhd Adj]],-2)</f>
        <v>61800</v>
      </c>
      <c r="CW178">
        <f>Sales[[#This Row],[Adjusted Impr Total]]+Sales[[#This Row],[Adjusted Land Total]]</f>
        <v>387100</v>
      </c>
      <c r="CX178" s="10">
        <f>IFERROR((Sales[[#This Row],[Adjusted Impr Total]]-Sales[[#This Row],[24Bldg]])/Sales[[#This Row],[24Bldg]],0)</f>
        <v>-7.020757020757021E-3</v>
      </c>
      <c r="CY178" s="10">
        <f>(Sales[[#This Row],[Adjusted Land Total]]-Sales[[#This Row],[24Lnd]])/Sales[[#This Row],[24Lnd]]</f>
        <v>1.6207455429497568E-3</v>
      </c>
      <c r="CZ178">
        <f>(Sales[[#This Row],[Adjusted Total]]-Sales[[#This Row],[24Final]])/Sales[[#This Row],[24Final]]</f>
        <v>-5.6511687644490109E-3</v>
      </c>
      <c r="DA178" s="10">
        <f>(Sales[[#This Row],[Adjusted Total]]+Sales[[#This Row],[Days Prior Total]])/Sales[[#This Row],[Price]]</f>
        <v>1.0156116551979002</v>
      </c>
    </row>
    <row r="179" spans="1:105">
      <c r="A179">
        <v>2025</v>
      </c>
      <c r="B179">
        <v>20120634525</v>
      </c>
      <c r="C179">
        <v>-1.8325814637483102</v>
      </c>
      <c r="D179">
        <v>0.16</v>
      </c>
      <c r="E179">
        <v>7100</v>
      </c>
      <c r="F179">
        <v>2</v>
      </c>
      <c r="G179" t="s">
        <v>155</v>
      </c>
      <c r="H179">
        <v>317</v>
      </c>
      <c r="I179" t="s">
        <v>5</v>
      </c>
      <c r="J179" t="s">
        <v>212</v>
      </c>
      <c r="K179">
        <v>11</v>
      </c>
      <c r="L179">
        <v>259</v>
      </c>
      <c r="M179" t="s">
        <v>330</v>
      </c>
      <c r="N179" t="s">
        <v>21</v>
      </c>
      <c r="O179" t="s">
        <v>24</v>
      </c>
      <c r="P179">
        <v>2019</v>
      </c>
      <c r="Q179">
        <v>2019</v>
      </c>
      <c r="R179">
        <v>10</v>
      </c>
      <c r="S179">
        <v>5</v>
      </c>
      <c r="T179">
        <v>5</v>
      </c>
      <c r="U179">
        <v>1</v>
      </c>
      <c r="V179">
        <v>1760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1760</v>
      </c>
      <c r="AC179">
        <v>2000</v>
      </c>
      <c r="AD179">
        <v>0</v>
      </c>
      <c r="AE179" t="s">
        <v>56</v>
      </c>
      <c r="AF179" t="s">
        <v>331</v>
      </c>
      <c r="AG179" t="s">
        <v>21</v>
      </c>
      <c r="AH179" t="s">
        <v>161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10</v>
      </c>
      <c r="AO179">
        <v>420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100</v>
      </c>
      <c r="AV179">
        <v>100</v>
      </c>
      <c r="AW179">
        <v>337777</v>
      </c>
      <c r="AX179">
        <v>331021</v>
      </c>
      <c r="AY179">
        <v>915</v>
      </c>
      <c r="AZ179">
        <v>365</v>
      </c>
      <c r="BA179">
        <v>365</v>
      </c>
      <c r="BB179">
        <v>185</v>
      </c>
      <c r="BC179" s="2">
        <v>44377</v>
      </c>
      <c r="BD179" t="s">
        <v>340</v>
      </c>
      <c r="BE179">
        <v>366000</v>
      </c>
      <c r="BF179">
        <v>366000</v>
      </c>
      <c r="BG179" t="s">
        <v>160</v>
      </c>
      <c r="BH179">
        <v>30</v>
      </c>
      <c r="BI179" t="s">
        <v>56</v>
      </c>
      <c r="BJ179" t="s">
        <v>161</v>
      </c>
      <c r="BK179">
        <v>392000</v>
      </c>
      <c r="BL179">
        <v>60800</v>
      </c>
      <c r="BM179">
        <v>331200</v>
      </c>
      <c r="BN179">
        <v>0</v>
      </c>
      <c r="BO179">
        <v>328327.30358548823</v>
      </c>
      <c r="BP179">
        <v>391842.51796555892</v>
      </c>
      <c r="BQ179">
        <f>(Sales[[#This Row],[DP1]]*Lookups!$B$61)+(Sales[[#This Row],[DP2]]*Lookups!$B$62)+(Sales[[#This Row],[DP3]]*Lookups!$B$63)</f>
        <v>-63515.211630999998</v>
      </c>
      <c r="BR179">
        <f>Lookups!$B$58*0.6</f>
        <v>132535.48800000001</v>
      </c>
      <c r="BS179">
        <f>Lookups!$B$58*0.4</f>
        <v>88356.992000000013</v>
      </c>
      <c r="BT179">
        <f>Lookups!$B$59*Sales[[#This Row],[LnAcres]]</f>
        <v>-24051.387388882686</v>
      </c>
      <c r="BU179">
        <f>VLOOKUP(Sales[[#This Row],[Qlty]],Lookups!$A$66:$E$79,2,FALSE)</f>
        <v>32917.849192000001</v>
      </c>
      <c r="BV179">
        <f>VLOOKUP(Sales[[#This Row],[Cnd]],Lookups!$A$80:$E$91,2,FALSE)</f>
        <v>47371.278778200001</v>
      </c>
      <c r="BW179">
        <f>Sales[[#This Row],[EffAge]]*Lookups!$B$65</f>
        <v>-543.70550000000003</v>
      </c>
      <c r="BX179">
        <f>Sales[[#This Row],[MainFn]]*Lookups!$B$90</f>
        <v>109842.26880000001</v>
      </c>
      <c r="BY179">
        <f>Sales[[#This Row],[UpprFn]]*Lookups!$B$91</f>
        <v>0</v>
      </c>
      <c r="BZ179">
        <f>Sales[[#This Row],[Bsmt]]*Lookups!$B$95</f>
        <v>0</v>
      </c>
      <c r="CA179">
        <f>VLOOKUP(Sales[[#This Row],[MsnryTrim]],Lookups!$A$90:$E$99,2,FALSE)</f>
        <v>-9412.7029999999995</v>
      </c>
      <c r="CB179">
        <f>Sales[[#This Row],[PrefabFP]]*Lookups!$B$92</f>
        <v>0</v>
      </c>
      <c r="CC179">
        <f>Sales[[#This Row],[AttGar]]*Lookups!$B$93</f>
        <v>14826.43302</v>
      </c>
      <c r="CD179">
        <f>Sales[[#This Row],[BltinGar]]*Lookups!$B$94</f>
        <v>0</v>
      </c>
      <c r="CE179">
        <f>SUM(Sales[[#This Row],[Days Prior Total]:[Mdl BltinGar]])</f>
        <v>328327.30227031733</v>
      </c>
      <c r="CF179">
        <f>ROUND(Sales[[#This Row],[25Det]],-2)</f>
        <v>0</v>
      </c>
      <c r="CG179">
        <f>ROUND(SUM(Sales[[#This Row],[Mdl Qlty]:[Mdl BltinGar]])+Sales[[#This Row],[Mdl Res Intercept]]+Sales[[#This Row],[Days Prior Total]],-2)</f>
        <v>264000</v>
      </c>
      <c r="CH179">
        <f>ROUND(Sales[[#This Row],[Mdl Land Intercept]]+Sales[[#This Row],[Mdl LnAcres]],-2)</f>
        <v>64300</v>
      </c>
      <c r="CI179">
        <f>Sales[[#This Row],[Unadj Res Value]]+Sales[[#This Row],[Unadj Det Value]]+Sales[[#This Row],[Unadj Land Value]]</f>
        <v>328300</v>
      </c>
      <c r="CJ179" s="10">
        <f>Sales[[#This Row],[Price]]/Sales[[#This Row],[Unadj Total Value]]</f>
        <v>1.1148339932988121</v>
      </c>
      <c r="CK179" s="10">
        <f>(Sales[[#This Row],[Unadj Total Value]]-Sales[[#This Row],[24Final]])/Sales[[#This Row],[24Final]]</f>
        <v>-0.16250000000000001</v>
      </c>
      <c r="CL179">
        <f>VLOOKUP(Sales[[#This Row],[TNbhd]],Lookups!$M$3:$P$5,4,FALSE)</f>
        <v>0.99970000000000003</v>
      </c>
      <c r="CM179">
        <f>VLOOKUP(Sales[[#This Row],[Qlty]],Lookups!$M$8:$P$22,4,FALSE)</f>
        <v>1.0019</v>
      </c>
      <c r="CN179">
        <f>VLOOKUP(Sales[[#This Row],[Cnd]],Lookups!$R$8:$U$17,4,FALSE)</f>
        <v>1.0012000000000001</v>
      </c>
      <c r="CO179">
        <f>VLOOKUP(Sales[[#This Row],[LivArea Range]],Lookups!$R$25:$U$43,4,FALSE)</f>
        <v>1.0007999999999999</v>
      </c>
      <c r="CP179">
        <f>VLOOKUP(Sales[[#This Row],[Decade]],Lookups!$M$24:$P$40,4,FALSE)</f>
        <v>1.0024</v>
      </c>
      <c r="CQ179">
        <f>Sales[[#This Row],[Nbhd Adj]]*0.95</f>
        <v>0.94971499999999998</v>
      </c>
      <c r="CR179">
        <f>Sales[[#This Row],[Nbhd Adj]]*Sales[[#This Row],[Quality Adj]]*Sales[[#This Row],[Condition Adj]]*Sales[[#This Row],[Living Area Adj]]*Sales[[#This Row],[Decade Adj]]*0.95</f>
        <v>0.95571162706178159</v>
      </c>
      <c r="CS179">
        <f>ROUND(SUM(Sales[[#This Row],[Mdl Qlty]:[Mdl BltinGar]])+Sales[[#This Row],[Mdl Res Intercept]]*Sales[[#This Row],[Res Adj ]],-2)</f>
        <v>321700</v>
      </c>
      <c r="CT179">
        <f>ROUND(Sales[[#This Row],[25Det]]*Sales[[#This Row],[Det/Nbhd Adj]],-2)</f>
        <v>0</v>
      </c>
      <c r="CU179">
        <f>Sales[[#This Row],[Adjusted Res]]+Sales[[#This Row],[Adj Det ]]</f>
        <v>321700</v>
      </c>
      <c r="CV179">
        <f>ROUND((Sales[[#This Row],[Mdl Land Intercept]]+Sales[[#This Row],[Mdl LnAcres]])*Sales[[#This Row],[Det/Nbhd Adj]],-2)</f>
        <v>61100</v>
      </c>
      <c r="CW179">
        <f>Sales[[#This Row],[Adjusted Impr Total]]+Sales[[#This Row],[Adjusted Land Total]]</f>
        <v>382800</v>
      </c>
      <c r="CX179" s="10">
        <f>IFERROR((Sales[[#This Row],[Adjusted Impr Total]]-Sales[[#This Row],[24Bldg]])/Sales[[#This Row],[24Bldg]],0)</f>
        <v>-2.8683574879227052E-2</v>
      </c>
      <c r="CY179" s="10">
        <f>(Sales[[#This Row],[Adjusted Land Total]]-Sales[[#This Row],[24Lnd]])/Sales[[#This Row],[24Lnd]]</f>
        <v>4.9342105263157892E-3</v>
      </c>
      <c r="CZ179">
        <f>(Sales[[#This Row],[Adjusted Total]]-Sales[[#This Row],[24Final]])/Sales[[#This Row],[24Final]]</f>
        <v>-2.3469387755102041E-2</v>
      </c>
      <c r="DA179" s="10">
        <f>(Sales[[#This Row],[Adjusted Total]]+Sales[[#This Row],[Days Prior Total]])/Sales[[#This Row],[Price]]</f>
        <v>0.87236280975136615</v>
      </c>
    </row>
    <row r="180" spans="1:105">
      <c r="A180">
        <v>2025</v>
      </c>
      <c r="B180">
        <v>20120632401</v>
      </c>
      <c r="C180">
        <v>-1.7719568419318752</v>
      </c>
      <c r="D180">
        <v>0.17</v>
      </c>
      <c r="E180">
        <v>7403</v>
      </c>
      <c r="F180">
        <v>2</v>
      </c>
      <c r="G180" t="s">
        <v>155</v>
      </c>
      <c r="H180">
        <v>317</v>
      </c>
      <c r="I180" t="s">
        <v>5</v>
      </c>
      <c r="J180" t="s">
        <v>212</v>
      </c>
      <c r="K180">
        <v>11</v>
      </c>
      <c r="L180">
        <v>259</v>
      </c>
      <c r="M180" t="s">
        <v>330</v>
      </c>
      <c r="N180" t="s">
        <v>21</v>
      </c>
      <c r="O180" t="s">
        <v>24</v>
      </c>
      <c r="P180">
        <v>2018</v>
      </c>
      <c r="Q180">
        <v>2018</v>
      </c>
      <c r="R180">
        <v>10</v>
      </c>
      <c r="S180">
        <v>6</v>
      </c>
      <c r="T180">
        <v>6</v>
      </c>
      <c r="U180">
        <v>1</v>
      </c>
      <c r="V180">
        <v>2025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2025</v>
      </c>
      <c r="AC180">
        <v>2500</v>
      </c>
      <c r="AD180">
        <v>3</v>
      </c>
      <c r="AE180" t="s">
        <v>57</v>
      </c>
      <c r="AF180" t="s">
        <v>331</v>
      </c>
      <c r="AG180" t="s">
        <v>21</v>
      </c>
      <c r="AH180" t="s">
        <v>161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11</v>
      </c>
      <c r="AO180">
        <v>670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100</v>
      </c>
      <c r="AV180">
        <v>100</v>
      </c>
      <c r="AW180">
        <v>401381</v>
      </c>
      <c r="AX180">
        <v>393353</v>
      </c>
      <c r="AY180">
        <v>615</v>
      </c>
      <c r="AZ180">
        <v>365</v>
      </c>
      <c r="BA180">
        <v>250</v>
      </c>
      <c r="BB180">
        <v>0</v>
      </c>
      <c r="BC180" s="2">
        <v>44677</v>
      </c>
      <c r="BD180" t="s">
        <v>341</v>
      </c>
      <c r="BE180">
        <v>437000</v>
      </c>
      <c r="BF180">
        <v>437000</v>
      </c>
      <c r="BG180" t="s">
        <v>160</v>
      </c>
      <c r="BH180">
        <v>30</v>
      </c>
      <c r="BI180" t="s">
        <v>56</v>
      </c>
      <c r="BJ180" t="s">
        <v>161</v>
      </c>
      <c r="BK180">
        <v>427500</v>
      </c>
      <c r="BL180">
        <v>61700</v>
      </c>
      <c r="BM180">
        <v>365800</v>
      </c>
      <c r="BN180">
        <v>0</v>
      </c>
      <c r="BO180">
        <v>418024.70808654034</v>
      </c>
      <c r="BP180">
        <v>431419.02325836767</v>
      </c>
      <c r="BQ180">
        <f>(Sales[[#This Row],[DP1]]*Lookups!$B$61)+(Sales[[#This Row],[DP2]]*Lookups!$B$62)+(Sales[[#This Row],[DP3]]*Lookups!$B$63)</f>
        <v>-13394.314381</v>
      </c>
      <c r="BR180">
        <f>Lookups!$B$58*0.6</f>
        <v>132535.48800000001</v>
      </c>
      <c r="BS180">
        <f>Lookups!$B$58*0.4</f>
        <v>88356.992000000013</v>
      </c>
      <c r="BT180">
        <f>Lookups!$B$59*Sales[[#This Row],[LnAcres]]</f>
        <v>-23255.730391660189</v>
      </c>
      <c r="BU180">
        <f>VLOOKUP(Sales[[#This Row],[Qlty]],Lookups!$A$66:$E$79,2,FALSE)</f>
        <v>32917.849192000001</v>
      </c>
      <c r="BV180">
        <f>VLOOKUP(Sales[[#This Row],[Cnd]],Lookups!$A$80:$E$91,2,FALSE)</f>
        <v>47371.278778200001</v>
      </c>
      <c r="BW180">
        <f>Sales[[#This Row],[EffAge]]*Lookups!$B$65</f>
        <v>-652.44659999999999</v>
      </c>
      <c r="BX180">
        <f>Sales[[#This Row],[MainFn]]*Lookups!$B$90</f>
        <v>126381.01950000001</v>
      </c>
      <c r="BY180">
        <f>Sales[[#This Row],[UpprFn]]*Lookups!$B$91</f>
        <v>0</v>
      </c>
      <c r="BZ180">
        <f>Sales[[#This Row],[Bsmt]]*Lookups!$B$95</f>
        <v>0</v>
      </c>
      <c r="CA180">
        <f>VLOOKUP(Sales[[#This Row],[MsnryTrim]],Lookups!$A$90:$E$99,2,FALSE)</f>
        <v>4112.8784489</v>
      </c>
      <c r="CB180">
        <f>Sales[[#This Row],[PrefabFP]]*Lookups!$B$92</f>
        <v>0</v>
      </c>
      <c r="CC180">
        <f>Sales[[#This Row],[AttGar]]*Lookups!$B$93</f>
        <v>23651.690770000001</v>
      </c>
      <c r="CD180">
        <f>Sales[[#This Row],[BltinGar]]*Lookups!$B$94</f>
        <v>0</v>
      </c>
      <c r="CE180">
        <f>SUM(Sales[[#This Row],[Days Prior Total]:[Mdl BltinGar]])</f>
        <v>418024.70531643979</v>
      </c>
      <c r="CF180">
        <f>ROUND(Sales[[#This Row],[25Det]],-2)</f>
        <v>0</v>
      </c>
      <c r="CG180">
        <f>ROUND(SUM(Sales[[#This Row],[Mdl Qlty]:[Mdl BltinGar]])+Sales[[#This Row],[Mdl Res Intercept]]+Sales[[#This Row],[Days Prior Total]],-2)</f>
        <v>352900</v>
      </c>
      <c r="CH180">
        <f>ROUND(Sales[[#This Row],[Mdl Land Intercept]]+Sales[[#This Row],[Mdl LnAcres]],-2)</f>
        <v>65100</v>
      </c>
      <c r="CI180">
        <f>Sales[[#This Row],[Unadj Res Value]]+Sales[[#This Row],[Unadj Det Value]]+Sales[[#This Row],[Unadj Land Value]]</f>
        <v>418000</v>
      </c>
      <c r="CJ180" s="10">
        <f>Sales[[#This Row],[Price]]/Sales[[#This Row],[Unadj Total Value]]</f>
        <v>1.0454545454545454</v>
      </c>
      <c r="CK180" s="10">
        <f>(Sales[[#This Row],[Unadj Total Value]]-Sales[[#This Row],[24Final]])/Sales[[#This Row],[24Final]]</f>
        <v>-2.2222222222222223E-2</v>
      </c>
      <c r="CL180">
        <f>VLOOKUP(Sales[[#This Row],[TNbhd]],Lookups!$M$3:$P$5,4,FALSE)</f>
        <v>0.99970000000000003</v>
      </c>
      <c r="CM180">
        <f>VLOOKUP(Sales[[#This Row],[Qlty]],Lookups!$M$8:$P$22,4,FALSE)</f>
        <v>1.0019</v>
      </c>
      <c r="CN180">
        <f>VLOOKUP(Sales[[#This Row],[Cnd]],Lookups!$R$8:$U$17,4,FALSE)</f>
        <v>1.0012000000000001</v>
      </c>
      <c r="CO180">
        <f>VLOOKUP(Sales[[#This Row],[LivArea Range]],Lookups!$R$25:$U$43,4,FALSE)</f>
        <v>1.0008999999999999</v>
      </c>
      <c r="CP180">
        <f>VLOOKUP(Sales[[#This Row],[Decade]],Lookups!$M$24:$P$40,4,FALSE)</f>
        <v>1.0024</v>
      </c>
      <c r="CQ180">
        <f>Sales[[#This Row],[Nbhd Adj]]*0.95</f>
        <v>0.94971499999999998</v>
      </c>
      <c r="CR180">
        <f>Sales[[#This Row],[Nbhd Adj]]*Sales[[#This Row],[Quality Adj]]*Sales[[#This Row],[Condition Adj]]*Sales[[#This Row],[Living Area Adj]]*Sales[[#This Row],[Decade Adj]]*0.95</f>
        <v>0.95580712182867422</v>
      </c>
      <c r="CS180">
        <f>ROUND(SUM(Sales[[#This Row],[Mdl Qlty]:[Mdl BltinGar]])+Sales[[#This Row],[Mdl Res Intercept]]*Sales[[#This Row],[Res Adj ]],-2)</f>
        <v>360500</v>
      </c>
      <c r="CT180">
        <f>ROUND(Sales[[#This Row],[25Det]]*Sales[[#This Row],[Det/Nbhd Adj]],-2)</f>
        <v>0</v>
      </c>
      <c r="CU180">
        <f>Sales[[#This Row],[Adjusted Res]]+Sales[[#This Row],[Adj Det ]]</f>
        <v>360500</v>
      </c>
      <c r="CV180">
        <f>ROUND((Sales[[#This Row],[Mdl Land Intercept]]+Sales[[#This Row],[Mdl LnAcres]])*Sales[[#This Row],[Det/Nbhd Adj]],-2)</f>
        <v>61800</v>
      </c>
      <c r="CW180">
        <f>Sales[[#This Row],[Adjusted Impr Total]]+Sales[[#This Row],[Adjusted Land Total]]</f>
        <v>422300</v>
      </c>
      <c r="CX180" s="10">
        <f>IFERROR((Sales[[#This Row],[Adjusted Impr Total]]-Sales[[#This Row],[24Bldg]])/Sales[[#This Row],[24Bldg]],0)</f>
        <v>-1.4488791689447786E-2</v>
      </c>
      <c r="CY180" s="10">
        <f>(Sales[[#This Row],[Adjusted Land Total]]-Sales[[#This Row],[24Lnd]])/Sales[[#This Row],[24Lnd]]</f>
        <v>1.6207455429497568E-3</v>
      </c>
      <c r="CZ180">
        <f>(Sales[[#This Row],[Adjusted Total]]-Sales[[#This Row],[24Final]])/Sales[[#This Row],[24Final]]</f>
        <v>-1.2163742690058479E-2</v>
      </c>
      <c r="DA180" s="10">
        <f>(Sales[[#This Row],[Adjusted Total]]+Sales[[#This Row],[Days Prior Total]])/Sales[[#This Row],[Price]]</f>
        <v>0.93571095107322655</v>
      </c>
    </row>
    <row r="181" spans="1:105">
      <c r="A181">
        <v>2025</v>
      </c>
      <c r="B181">
        <v>20120632420</v>
      </c>
      <c r="C181">
        <v>-1.7719568419318752</v>
      </c>
      <c r="D181">
        <v>0.17</v>
      </c>
      <c r="E181">
        <v>7200</v>
      </c>
      <c r="F181">
        <v>2</v>
      </c>
      <c r="G181" t="s">
        <v>155</v>
      </c>
      <c r="H181">
        <v>317</v>
      </c>
      <c r="I181" t="s">
        <v>5</v>
      </c>
      <c r="J181" t="s">
        <v>212</v>
      </c>
      <c r="K181">
        <v>11</v>
      </c>
      <c r="L181">
        <v>259</v>
      </c>
      <c r="M181" t="s">
        <v>330</v>
      </c>
      <c r="N181" t="s">
        <v>21</v>
      </c>
      <c r="O181" t="s">
        <v>24</v>
      </c>
      <c r="P181">
        <v>2018</v>
      </c>
      <c r="Q181">
        <v>2018</v>
      </c>
      <c r="R181">
        <v>10</v>
      </c>
      <c r="S181">
        <v>6</v>
      </c>
      <c r="T181">
        <v>6</v>
      </c>
      <c r="U181">
        <v>1</v>
      </c>
      <c r="V181">
        <v>1706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1706</v>
      </c>
      <c r="AC181">
        <v>2000</v>
      </c>
      <c r="AD181">
        <v>2</v>
      </c>
      <c r="AE181" t="s">
        <v>56</v>
      </c>
      <c r="AF181" t="s">
        <v>331</v>
      </c>
      <c r="AG181" t="s">
        <v>21</v>
      </c>
      <c r="AH181" t="s">
        <v>161</v>
      </c>
      <c r="AI181">
        <v>0</v>
      </c>
      <c r="AJ181">
        <v>0</v>
      </c>
      <c r="AK181">
        <v>0</v>
      </c>
      <c r="AL181">
        <v>1</v>
      </c>
      <c r="AM181">
        <v>0</v>
      </c>
      <c r="AN181">
        <v>10</v>
      </c>
      <c r="AO181">
        <v>441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100</v>
      </c>
      <c r="AV181">
        <v>100</v>
      </c>
      <c r="AW181">
        <v>337479</v>
      </c>
      <c r="AX181">
        <v>330729</v>
      </c>
      <c r="AY181">
        <v>823</v>
      </c>
      <c r="AZ181">
        <v>365</v>
      </c>
      <c r="BA181">
        <v>365</v>
      </c>
      <c r="BB181">
        <v>93</v>
      </c>
      <c r="BC181" s="2">
        <v>44469</v>
      </c>
      <c r="BD181" t="s">
        <v>342</v>
      </c>
      <c r="BE181">
        <v>365000</v>
      </c>
      <c r="BF181">
        <v>365000</v>
      </c>
      <c r="BG181" t="s">
        <v>160</v>
      </c>
      <c r="BH181">
        <v>30</v>
      </c>
      <c r="BI181" t="s">
        <v>56</v>
      </c>
      <c r="BJ181" t="s">
        <v>161</v>
      </c>
      <c r="BK181">
        <v>394900</v>
      </c>
      <c r="BL181">
        <v>61700</v>
      </c>
      <c r="BM181">
        <v>333200</v>
      </c>
      <c r="BN181">
        <v>0</v>
      </c>
      <c r="BO181">
        <v>347453.32615458104</v>
      </c>
      <c r="BP181">
        <v>389900.59494454262</v>
      </c>
      <c r="BQ181">
        <f>(Sales[[#This Row],[DP1]]*Lookups!$B$61)+(Sales[[#This Row],[DP2]]*Lookups!$B$62)+(Sales[[#This Row],[DP3]]*Lookups!$B$63)</f>
        <v>-42447.266831000001</v>
      </c>
      <c r="BR181">
        <f>Lookups!$B$58*0.6</f>
        <v>132535.48800000001</v>
      </c>
      <c r="BS181">
        <f>Lookups!$B$58*0.4</f>
        <v>88356.992000000013</v>
      </c>
      <c r="BT181">
        <f>Lookups!$B$59*Sales[[#This Row],[LnAcres]]</f>
        <v>-23255.730391660189</v>
      </c>
      <c r="BU181">
        <f>VLOOKUP(Sales[[#This Row],[Qlty]],Lookups!$A$66:$E$79,2,FALSE)</f>
        <v>32917.849192000001</v>
      </c>
      <c r="BV181">
        <f>VLOOKUP(Sales[[#This Row],[Cnd]],Lookups!$A$80:$E$91,2,FALSE)</f>
        <v>47371.278778200001</v>
      </c>
      <c r="BW181">
        <f>Sales[[#This Row],[EffAge]]*Lookups!$B$65</f>
        <v>-652.44659999999999</v>
      </c>
      <c r="BX181">
        <f>Sales[[#This Row],[MainFn]]*Lookups!$B$90</f>
        <v>106472.10828</v>
      </c>
      <c r="BY181">
        <f>Sales[[#This Row],[UpprFn]]*Lookups!$B$91</f>
        <v>0</v>
      </c>
      <c r="BZ181">
        <f>Sales[[#This Row],[Bsmt]]*Lookups!$B$95</f>
        <v>0</v>
      </c>
      <c r="CA181">
        <f>VLOOKUP(Sales[[#This Row],[MsnryTrim]],Lookups!$A$90:$E$99,2,FALSE)</f>
        <v>-9412.7029999999995</v>
      </c>
      <c r="CB181">
        <f>Sales[[#This Row],[PrefabFP]]*Lookups!$B$92</f>
        <v>0</v>
      </c>
      <c r="CC181">
        <f>Sales[[#This Row],[AttGar]]*Lookups!$B$93</f>
        <v>15567.754671000001</v>
      </c>
      <c r="CD181">
        <f>Sales[[#This Row],[BltinGar]]*Lookups!$B$94</f>
        <v>0</v>
      </c>
      <c r="CE181">
        <f>SUM(Sales[[#This Row],[Days Prior Total]:[Mdl BltinGar]])</f>
        <v>347453.32409853989</v>
      </c>
      <c r="CF181">
        <f>ROUND(Sales[[#This Row],[25Det]],-2)</f>
        <v>0</v>
      </c>
      <c r="CG181">
        <f>ROUND(SUM(Sales[[#This Row],[Mdl Qlty]:[Mdl BltinGar]])+Sales[[#This Row],[Mdl Res Intercept]]+Sales[[#This Row],[Days Prior Total]],-2)</f>
        <v>282400</v>
      </c>
      <c r="CH181">
        <f>ROUND(Sales[[#This Row],[Mdl Land Intercept]]+Sales[[#This Row],[Mdl LnAcres]],-2)</f>
        <v>65100</v>
      </c>
      <c r="CI181">
        <f>Sales[[#This Row],[Unadj Res Value]]+Sales[[#This Row],[Unadj Det Value]]+Sales[[#This Row],[Unadj Land Value]]</f>
        <v>347500</v>
      </c>
      <c r="CJ181" s="10">
        <f>Sales[[#This Row],[Price]]/Sales[[#This Row],[Unadj Total Value]]</f>
        <v>1.0503597122302157</v>
      </c>
      <c r="CK181" s="10">
        <f>(Sales[[#This Row],[Unadj Total Value]]-Sales[[#This Row],[24Final]])/Sales[[#This Row],[24Final]]</f>
        <v>-0.12003038743985819</v>
      </c>
      <c r="CL181">
        <f>VLOOKUP(Sales[[#This Row],[TNbhd]],Lookups!$M$3:$P$5,4,FALSE)</f>
        <v>0.99970000000000003</v>
      </c>
      <c r="CM181">
        <f>VLOOKUP(Sales[[#This Row],[Qlty]],Lookups!$M$8:$P$22,4,FALSE)</f>
        <v>1.0019</v>
      </c>
      <c r="CN181">
        <f>VLOOKUP(Sales[[#This Row],[Cnd]],Lookups!$R$8:$U$17,4,FALSE)</f>
        <v>1.0012000000000001</v>
      </c>
      <c r="CO181">
        <f>VLOOKUP(Sales[[#This Row],[LivArea Range]],Lookups!$R$25:$U$43,4,FALSE)</f>
        <v>1.0007999999999999</v>
      </c>
      <c r="CP181">
        <f>VLOOKUP(Sales[[#This Row],[Decade]],Lookups!$M$24:$P$40,4,FALSE)</f>
        <v>1.0024</v>
      </c>
      <c r="CQ181">
        <f>Sales[[#This Row],[Nbhd Adj]]*0.95</f>
        <v>0.94971499999999998</v>
      </c>
      <c r="CR181">
        <f>Sales[[#This Row],[Nbhd Adj]]*Sales[[#This Row],[Quality Adj]]*Sales[[#This Row],[Condition Adj]]*Sales[[#This Row],[Living Area Adj]]*Sales[[#This Row],[Decade Adj]]*0.95</f>
        <v>0.95571162706178159</v>
      </c>
      <c r="CS181">
        <f>ROUND(SUM(Sales[[#This Row],[Mdl Qlty]:[Mdl BltinGar]])+Sales[[#This Row],[Mdl Res Intercept]]*Sales[[#This Row],[Res Adj ]],-2)</f>
        <v>318900</v>
      </c>
      <c r="CT181">
        <f>ROUND(Sales[[#This Row],[25Det]]*Sales[[#This Row],[Det/Nbhd Adj]],-2)</f>
        <v>0</v>
      </c>
      <c r="CU181">
        <f>Sales[[#This Row],[Adjusted Res]]+Sales[[#This Row],[Adj Det ]]</f>
        <v>318900</v>
      </c>
      <c r="CV181">
        <f>ROUND((Sales[[#This Row],[Mdl Land Intercept]]+Sales[[#This Row],[Mdl LnAcres]])*Sales[[#This Row],[Det/Nbhd Adj]],-2)</f>
        <v>61800</v>
      </c>
      <c r="CW181">
        <f>Sales[[#This Row],[Adjusted Impr Total]]+Sales[[#This Row],[Adjusted Land Total]]</f>
        <v>380700</v>
      </c>
      <c r="CX181" s="10">
        <f>IFERROR((Sales[[#This Row],[Adjusted Impr Total]]-Sales[[#This Row],[24Bldg]])/Sales[[#This Row],[24Bldg]],0)</f>
        <v>-4.2917166866746702E-2</v>
      </c>
      <c r="CY181" s="10">
        <f>(Sales[[#This Row],[Adjusted Land Total]]-Sales[[#This Row],[24Lnd]])/Sales[[#This Row],[24Lnd]]</f>
        <v>1.6207455429497568E-3</v>
      </c>
      <c r="CZ181">
        <f>(Sales[[#This Row],[Adjusted Total]]-Sales[[#This Row],[24Final]])/Sales[[#This Row],[24Final]]</f>
        <v>-3.5958470498860473E-2</v>
      </c>
      <c r="DA181" s="10">
        <f>(Sales[[#This Row],[Adjusted Total]]+Sales[[#This Row],[Days Prior Total]])/Sales[[#This Row],[Price]]</f>
        <v>0.92671981690136995</v>
      </c>
    </row>
    <row r="182" spans="1:105">
      <c r="A182">
        <v>2025</v>
      </c>
      <c r="B182">
        <v>20120632423</v>
      </c>
      <c r="C182">
        <v>-1.7719568419318752</v>
      </c>
      <c r="D182">
        <v>0.17</v>
      </c>
      <c r="E182">
        <v>7300</v>
      </c>
      <c r="F182">
        <v>2</v>
      </c>
      <c r="G182" t="s">
        <v>155</v>
      </c>
      <c r="H182">
        <v>317</v>
      </c>
      <c r="I182" t="s">
        <v>5</v>
      </c>
      <c r="J182" t="s">
        <v>212</v>
      </c>
      <c r="K182">
        <v>11</v>
      </c>
      <c r="L182">
        <v>259</v>
      </c>
      <c r="M182" t="s">
        <v>157</v>
      </c>
      <c r="N182" t="s">
        <v>21</v>
      </c>
      <c r="O182" t="s">
        <v>22</v>
      </c>
      <c r="P182">
        <v>2018</v>
      </c>
      <c r="Q182">
        <v>2018</v>
      </c>
      <c r="R182">
        <v>10</v>
      </c>
      <c r="S182">
        <v>6</v>
      </c>
      <c r="T182">
        <v>6</v>
      </c>
      <c r="U182">
        <v>1</v>
      </c>
      <c r="V182">
        <v>2297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2297</v>
      </c>
      <c r="AC182">
        <v>2500</v>
      </c>
      <c r="AD182">
        <v>3</v>
      </c>
      <c r="AE182" t="s">
        <v>56</v>
      </c>
      <c r="AF182" t="s">
        <v>331</v>
      </c>
      <c r="AG182" t="s">
        <v>21</v>
      </c>
      <c r="AH182" t="s">
        <v>161</v>
      </c>
      <c r="AI182">
        <v>0</v>
      </c>
      <c r="AJ182">
        <v>0</v>
      </c>
      <c r="AK182">
        <v>1</v>
      </c>
      <c r="AL182">
        <v>0</v>
      </c>
      <c r="AM182">
        <v>0</v>
      </c>
      <c r="AN182">
        <v>12</v>
      </c>
      <c r="AO182">
        <v>690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100</v>
      </c>
      <c r="AV182">
        <v>100</v>
      </c>
      <c r="AW182">
        <v>446929</v>
      </c>
      <c r="AX182">
        <v>437990</v>
      </c>
      <c r="AY182">
        <v>159</v>
      </c>
      <c r="AZ182">
        <v>159</v>
      </c>
      <c r="BA182">
        <v>0</v>
      </c>
      <c r="BB182">
        <v>0</v>
      </c>
      <c r="BC182" s="2">
        <v>45133</v>
      </c>
      <c r="BD182" t="s">
        <v>343</v>
      </c>
      <c r="BE182">
        <v>489250</v>
      </c>
      <c r="BF182">
        <v>489250</v>
      </c>
      <c r="BG182" t="s">
        <v>160</v>
      </c>
      <c r="BH182">
        <v>30</v>
      </c>
      <c r="BI182" t="s">
        <v>56</v>
      </c>
      <c r="BJ182" t="s">
        <v>161</v>
      </c>
      <c r="BK182">
        <v>439100</v>
      </c>
      <c r="BL182">
        <v>61700</v>
      </c>
      <c r="BM182">
        <v>377400</v>
      </c>
      <c r="BN182">
        <v>0</v>
      </c>
      <c r="BO182">
        <v>449959.38722513156</v>
      </c>
      <c r="BP182">
        <v>448449.29098437476</v>
      </c>
      <c r="BQ182">
        <f>(Sales[[#This Row],[DP1]]*Lookups!$B$61)+(Sales[[#This Row],[DP2]]*Lookups!$B$62)+(Sales[[#This Row],[DP3]]*Lookups!$B$63)</f>
        <v>1510.0962354000001</v>
      </c>
      <c r="BR182">
        <f>Lookups!$B$58*0.6</f>
        <v>132535.48800000001</v>
      </c>
      <c r="BS182">
        <f>Lookups!$B$58*0.4</f>
        <v>88356.992000000013</v>
      </c>
      <c r="BT182">
        <f>Lookups!$B$59*Sales[[#This Row],[LnAcres]]</f>
        <v>-23255.730391660189</v>
      </c>
      <c r="BU182">
        <f>VLOOKUP(Sales[[#This Row],[Qlty]],Lookups!$A$66:$E$79,2,FALSE)</f>
        <v>32917.849192000001</v>
      </c>
      <c r="BV182">
        <f>VLOOKUP(Sales[[#This Row],[Cnd]],Lookups!$A$80:$E$91,2,FALSE)</f>
        <v>50438.379078999998</v>
      </c>
      <c r="BW182">
        <f>Sales[[#This Row],[EffAge]]*Lookups!$B$65</f>
        <v>-652.44659999999999</v>
      </c>
      <c r="BX182">
        <f>Sales[[#This Row],[MainFn]]*Lookups!$B$90</f>
        <v>143356.64286000002</v>
      </c>
      <c r="BY182">
        <f>Sales[[#This Row],[UpprFn]]*Lookups!$B$91</f>
        <v>0</v>
      </c>
      <c r="BZ182">
        <f>Sales[[#This Row],[Bsmt]]*Lookups!$B$95</f>
        <v>0</v>
      </c>
      <c r="CA182">
        <f>VLOOKUP(Sales[[#This Row],[MsnryTrim]],Lookups!$A$90:$E$99,2,FALSE)</f>
        <v>-9412.7029999999995</v>
      </c>
      <c r="CB182">
        <f>Sales[[#This Row],[PrefabFP]]*Lookups!$B$92</f>
        <v>9807.1044999999995</v>
      </c>
      <c r="CC182">
        <f>Sales[[#This Row],[AttGar]]*Lookups!$B$93</f>
        <v>24357.71139</v>
      </c>
      <c r="CD182">
        <f>Sales[[#This Row],[BltinGar]]*Lookups!$B$94</f>
        <v>0</v>
      </c>
      <c r="CE182">
        <f>SUM(Sales[[#This Row],[Days Prior Total]:[Mdl BltinGar]])</f>
        <v>449959.38326473988</v>
      </c>
      <c r="CF182">
        <f>ROUND(Sales[[#This Row],[25Det]],-2)</f>
        <v>0</v>
      </c>
      <c r="CG182">
        <f>ROUND(SUM(Sales[[#This Row],[Mdl Qlty]:[Mdl BltinGar]])+Sales[[#This Row],[Mdl Res Intercept]]+Sales[[#This Row],[Days Prior Total]],-2)</f>
        <v>384900</v>
      </c>
      <c r="CH182">
        <f>ROUND(Sales[[#This Row],[Mdl Land Intercept]]+Sales[[#This Row],[Mdl LnAcres]],-2)</f>
        <v>65100</v>
      </c>
      <c r="CI182">
        <f>Sales[[#This Row],[Unadj Res Value]]+Sales[[#This Row],[Unadj Det Value]]+Sales[[#This Row],[Unadj Land Value]]</f>
        <v>450000</v>
      </c>
      <c r="CJ182" s="10">
        <f>Sales[[#This Row],[Price]]/Sales[[#This Row],[Unadj Total Value]]</f>
        <v>1.0872222222222223</v>
      </c>
      <c r="CK182" s="10">
        <f>(Sales[[#This Row],[Unadj Total Value]]-Sales[[#This Row],[24Final]])/Sales[[#This Row],[24Final]]</f>
        <v>2.4823502618993395E-2</v>
      </c>
      <c r="CL182">
        <f>VLOOKUP(Sales[[#This Row],[TNbhd]],Lookups!$M$3:$P$5,4,FALSE)</f>
        <v>0.99970000000000003</v>
      </c>
      <c r="CM182">
        <f>VLOOKUP(Sales[[#This Row],[Qlty]],Lookups!$M$8:$P$22,4,FALSE)</f>
        <v>1.0019</v>
      </c>
      <c r="CN182">
        <f>VLOOKUP(Sales[[#This Row],[Cnd]],Lookups!$R$8:$U$17,4,FALSE)</f>
        <v>1.0007999999999999</v>
      </c>
      <c r="CO182">
        <f>VLOOKUP(Sales[[#This Row],[LivArea Range]],Lookups!$R$25:$U$43,4,FALSE)</f>
        <v>1.0008999999999999</v>
      </c>
      <c r="CP182">
        <f>VLOOKUP(Sales[[#This Row],[Decade]],Lookups!$M$24:$P$40,4,FALSE)</f>
        <v>1.0024</v>
      </c>
      <c r="CQ182">
        <f>Sales[[#This Row],[Nbhd Adj]]*0.95</f>
        <v>0.94971499999999998</v>
      </c>
      <c r="CR182">
        <f>Sales[[#This Row],[Nbhd Adj]]*Sales[[#This Row],[Quality Adj]]*Sales[[#This Row],[Condition Adj]]*Sales[[#This Row],[Living Area Adj]]*Sales[[#This Row],[Decade Adj]]*0.95</f>
        <v>0.95542525721747629</v>
      </c>
      <c r="CS182">
        <f>ROUND(SUM(Sales[[#This Row],[Mdl Qlty]:[Mdl BltinGar]])+Sales[[#This Row],[Mdl Res Intercept]]*Sales[[#This Row],[Res Adj ]],-2)</f>
        <v>377400</v>
      </c>
      <c r="CT182">
        <f>ROUND(Sales[[#This Row],[25Det]]*Sales[[#This Row],[Det/Nbhd Adj]],-2)</f>
        <v>0</v>
      </c>
      <c r="CU182">
        <f>Sales[[#This Row],[Adjusted Res]]+Sales[[#This Row],[Adj Det ]]</f>
        <v>377400</v>
      </c>
      <c r="CV182">
        <f>ROUND((Sales[[#This Row],[Mdl Land Intercept]]+Sales[[#This Row],[Mdl LnAcres]])*Sales[[#This Row],[Det/Nbhd Adj]],-2)</f>
        <v>61800</v>
      </c>
      <c r="CW182">
        <f>Sales[[#This Row],[Adjusted Impr Total]]+Sales[[#This Row],[Adjusted Land Total]]</f>
        <v>439200</v>
      </c>
      <c r="CX182" s="10">
        <f>IFERROR((Sales[[#This Row],[Adjusted Impr Total]]-Sales[[#This Row],[24Bldg]])/Sales[[#This Row],[24Bldg]],0)</f>
        <v>0</v>
      </c>
      <c r="CY182" s="10">
        <f>(Sales[[#This Row],[Adjusted Land Total]]-Sales[[#This Row],[24Lnd]])/Sales[[#This Row],[24Lnd]]</f>
        <v>1.6207455429497568E-3</v>
      </c>
      <c r="CZ182">
        <f>(Sales[[#This Row],[Adjusted Total]]-Sales[[#This Row],[24Final]])/Sales[[#This Row],[24Final]]</f>
        <v>2.2773855613755409E-4</v>
      </c>
      <c r="DA182" s="10">
        <f>(Sales[[#This Row],[Adjusted Total]]+Sales[[#This Row],[Days Prior Total]])/Sales[[#This Row],[Price]]</f>
        <v>0.90078711545304035</v>
      </c>
    </row>
    <row r="183" spans="1:105">
      <c r="A183">
        <v>2025</v>
      </c>
      <c r="B183">
        <v>20120632433</v>
      </c>
      <c r="C183">
        <v>-1.8971199848858813</v>
      </c>
      <c r="D183">
        <v>0.15</v>
      </c>
      <c r="E183">
        <v>6338</v>
      </c>
      <c r="F183">
        <v>2</v>
      </c>
      <c r="G183" t="s">
        <v>155</v>
      </c>
      <c r="H183">
        <v>317</v>
      </c>
      <c r="I183" t="s">
        <v>5</v>
      </c>
      <c r="J183" t="s">
        <v>212</v>
      </c>
      <c r="K183">
        <v>11</v>
      </c>
      <c r="L183">
        <v>259</v>
      </c>
      <c r="M183" t="s">
        <v>330</v>
      </c>
      <c r="N183" t="s">
        <v>21</v>
      </c>
      <c r="O183" t="s">
        <v>24</v>
      </c>
      <c r="P183">
        <v>2018</v>
      </c>
      <c r="Q183">
        <v>2018</v>
      </c>
      <c r="R183">
        <v>10</v>
      </c>
      <c r="S183">
        <v>6</v>
      </c>
      <c r="T183">
        <v>6</v>
      </c>
      <c r="U183">
        <v>1</v>
      </c>
      <c r="V183">
        <v>1749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1749</v>
      </c>
      <c r="AC183">
        <v>2000</v>
      </c>
      <c r="AD183">
        <v>2</v>
      </c>
      <c r="AE183" t="s">
        <v>56</v>
      </c>
      <c r="AF183" t="s">
        <v>331</v>
      </c>
      <c r="AG183" t="s">
        <v>21</v>
      </c>
      <c r="AH183" t="s">
        <v>161</v>
      </c>
      <c r="AI183">
        <v>0</v>
      </c>
      <c r="AJ183">
        <v>0</v>
      </c>
      <c r="AK183">
        <v>0</v>
      </c>
      <c r="AL183">
        <v>1</v>
      </c>
      <c r="AM183">
        <v>0</v>
      </c>
      <c r="AN183">
        <v>10</v>
      </c>
      <c r="AO183">
        <v>441</v>
      </c>
      <c r="AP183">
        <v>0</v>
      </c>
      <c r="AQ183">
        <v>0</v>
      </c>
      <c r="AR183">
        <v>0</v>
      </c>
      <c r="AS183">
        <v>100</v>
      </c>
      <c r="AT183">
        <v>0</v>
      </c>
      <c r="AU183">
        <v>100</v>
      </c>
      <c r="AV183">
        <v>100</v>
      </c>
      <c r="AW183">
        <v>345550</v>
      </c>
      <c r="AX183">
        <v>338639</v>
      </c>
      <c r="AY183">
        <v>955</v>
      </c>
      <c r="AZ183">
        <v>365</v>
      </c>
      <c r="BA183">
        <v>365</v>
      </c>
      <c r="BB183">
        <v>225</v>
      </c>
      <c r="BC183" s="2">
        <v>44337</v>
      </c>
      <c r="BD183" t="s">
        <v>344</v>
      </c>
      <c r="BE183">
        <v>355000</v>
      </c>
      <c r="BF183">
        <v>355000</v>
      </c>
      <c r="BG183" t="s">
        <v>160</v>
      </c>
      <c r="BH183">
        <v>30</v>
      </c>
      <c r="BI183" t="s">
        <v>56</v>
      </c>
      <c r="BJ183" t="s">
        <v>161</v>
      </c>
      <c r="BK183">
        <v>395700</v>
      </c>
      <c r="BL183">
        <v>59900</v>
      </c>
      <c r="BM183">
        <v>335800</v>
      </c>
      <c r="BN183">
        <v>0</v>
      </c>
      <c r="BO183">
        <v>318266.36931420001</v>
      </c>
      <c r="BP183">
        <v>390941.56003779639</v>
      </c>
      <c r="BQ183">
        <f>(Sales[[#This Row],[DP1]]*Lookups!$B$61)+(Sales[[#This Row],[DP2]]*Lookups!$B$62)+(Sales[[#This Row],[DP3]]*Lookups!$B$63)</f>
        <v>-72675.187631000008</v>
      </c>
      <c r="BR183">
        <f>Lookups!$B$58*0.6</f>
        <v>132535.48800000001</v>
      </c>
      <c r="BS183">
        <f>Lookups!$B$58*0.4</f>
        <v>88356.992000000013</v>
      </c>
      <c r="BT183">
        <f>Lookups!$B$59*Sales[[#This Row],[LnAcres]]</f>
        <v>-24898.411657157456</v>
      </c>
      <c r="BU183">
        <f>VLOOKUP(Sales[[#This Row],[Qlty]],Lookups!$A$66:$E$79,2,FALSE)</f>
        <v>32917.849192000001</v>
      </c>
      <c r="BV183">
        <f>VLOOKUP(Sales[[#This Row],[Cnd]],Lookups!$A$80:$E$91,2,FALSE)</f>
        <v>47371.278778200001</v>
      </c>
      <c r="BW183">
        <f>Sales[[#This Row],[EffAge]]*Lookups!$B$65</f>
        <v>-652.44659999999999</v>
      </c>
      <c r="BX183">
        <f>Sales[[#This Row],[MainFn]]*Lookups!$B$90</f>
        <v>109155.75462000001</v>
      </c>
      <c r="BY183">
        <f>Sales[[#This Row],[UpprFn]]*Lookups!$B$91</f>
        <v>0</v>
      </c>
      <c r="BZ183">
        <f>Sales[[#This Row],[Bsmt]]*Lookups!$B$95</f>
        <v>0</v>
      </c>
      <c r="CA183">
        <f>VLOOKUP(Sales[[#This Row],[MsnryTrim]],Lookups!$A$90:$E$99,2,FALSE)</f>
        <v>-9412.7029999999995</v>
      </c>
      <c r="CB183">
        <f>Sales[[#This Row],[PrefabFP]]*Lookups!$B$92</f>
        <v>0</v>
      </c>
      <c r="CC183">
        <f>Sales[[#This Row],[AttGar]]*Lookups!$B$93</f>
        <v>15567.754671000001</v>
      </c>
      <c r="CD183">
        <f>Sales[[#This Row],[BltinGar]]*Lookups!$B$94</f>
        <v>0</v>
      </c>
      <c r="CE183">
        <f>SUM(Sales[[#This Row],[Days Prior Total]:[Mdl BltinGar]])</f>
        <v>318266.36837304261</v>
      </c>
      <c r="CF183">
        <f>ROUND(Sales[[#This Row],[25Det]],-2)</f>
        <v>0</v>
      </c>
      <c r="CG183">
        <f>ROUND(SUM(Sales[[#This Row],[Mdl Qlty]:[Mdl BltinGar]])+Sales[[#This Row],[Mdl Res Intercept]]+Sales[[#This Row],[Days Prior Total]],-2)</f>
        <v>254800</v>
      </c>
      <c r="CH183">
        <f>ROUND(Sales[[#This Row],[Mdl Land Intercept]]+Sales[[#This Row],[Mdl LnAcres]],-2)</f>
        <v>63500</v>
      </c>
      <c r="CI183">
        <f>Sales[[#This Row],[Unadj Res Value]]+Sales[[#This Row],[Unadj Det Value]]+Sales[[#This Row],[Unadj Land Value]]</f>
        <v>318300</v>
      </c>
      <c r="CJ183" s="10">
        <f>Sales[[#This Row],[Price]]/Sales[[#This Row],[Unadj Total Value]]</f>
        <v>1.1153000314169024</v>
      </c>
      <c r="CK183" s="10">
        <f>(Sales[[#This Row],[Unadj Total Value]]-Sales[[#This Row],[24Final]])/Sales[[#This Row],[24Final]]</f>
        <v>-0.1956027293404094</v>
      </c>
      <c r="CL183">
        <f>VLOOKUP(Sales[[#This Row],[TNbhd]],Lookups!$M$3:$P$5,4,FALSE)</f>
        <v>0.99970000000000003</v>
      </c>
      <c r="CM183">
        <f>VLOOKUP(Sales[[#This Row],[Qlty]],Lookups!$M$8:$P$22,4,FALSE)</f>
        <v>1.0019</v>
      </c>
      <c r="CN183">
        <f>VLOOKUP(Sales[[#This Row],[Cnd]],Lookups!$R$8:$U$17,4,FALSE)</f>
        <v>1.0012000000000001</v>
      </c>
      <c r="CO183">
        <f>VLOOKUP(Sales[[#This Row],[LivArea Range]],Lookups!$R$25:$U$43,4,FALSE)</f>
        <v>1.0007999999999999</v>
      </c>
      <c r="CP183">
        <f>VLOOKUP(Sales[[#This Row],[Decade]],Lookups!$M$24:$P$40,4,FALSE)</f>
        <v>1.0024</v>
      </c>
      <c r="CQ183">
        <f>Sales[[#This Row],[Nbhd Adj]]*0.95</f>
        <v>0.94971499999999998</v>
      </c>
      <c r="CR183">
        <f>Sales[[#This Row],[Nbhd Adj]]*Sales[[#This Row],[Quality Adj]]*Sales[[#This Row],[Condition Adj]]*Sales[[#This Row],[Living Area Adj]]*Sales[[#This Row],[Decade Adj]]*0.95</f>
        <v>0.95571162706178159</v>
      </c>
      <c r="CS183">
        <f>ROUND(SUM(Sales[[#This Row],[Mdl Qlty]:[Mdl BltinGar]])+Sales[[#This Row],[Mdl Res Intercept]]*Sales[[#This Row],[Res Adj ]],-2)</f>
        <v>321600</v>
      </c>
      <c r="CT183">
        <f>ROUND(Sales[[#This Row],[25Det]]*Sales[[#This Row],[Det/Nbhd Adj]],-2)</f>
        <v>0</v>
      </c>
      <c r="CU183">
        <f>Sales[[#This Row],[Adjusted Res]]+Sales[[#This Row],[Adj Det ]]</f>
        <v>321600</v>
      </c>
      <c r="CV183">
        <f>ROUND((Sales[[#This Row],[Mdl Land Intercept]]+Sales[[#This Row],[Mdl LnAcres]])*Sales[[#This Row],[Det/Nbhd Adj]],-2)</f>
        <v>60300</v>
      </c>
      <c r="CW183">
        <f>Sales[[#This Row],[Adjusted Impr Total]]+Sales[[#This Row],[Adjusted Land Total]]</f>
        <v>381900</v>
      </c>
      <c r="CX183" s="10">
        <f>IFERROR((Sales[[#This Row],[Adjusted Impr Total]]-Sales[[#This Row],[24Bldg]])/Sales[[#This Row],[24Bldg]],0)</f>
        <v>-4.2287075640262059E-2</v>
      </c>
      <c r="CY183" s="10">
        <f>(Sales[[#This Row],[Adjusted Land Total]]-Sales[[#This Row],[24Lnd]])/Sales[[#This Row],[24Lnd]]</f>
        <v>6.6777963272120202E-3</v>
      </c>
      <c r="CZ183">
        <f>(Sales[[#This Row],[Adjusted Total]]-Sales[[#This Row],[24Final]])/Sales[[#This Row],[24Final]]</f>
        <v>-3.4874905231235785E-2</v>
      </c>
      <c r="DA183" s="10">
        <f>(Sales[[#This Row],[Adjusted Total]]+Sales[[#This Row],[Days Prior Total]])/Sales[[#This Row],[Price]]</f>
        <v>0.87105580949014083</v>
      </c>
    </row>
    <row r="184" spans="1:105">
      <c r="A184">
        <v>2025</v>
      </c>
      <c r="B184">
        <v>20120632434</v>
      </c>
      <c r="C184">
        <v>-1.8971199848858813</v>
      </c>
      <c r="D184">
        <v>0.15</v>
      </c>
      <c r="E184">
        <v>6434</v>
      </c>
      <c r="F184">
        <v>2</v>
      </c>
      <c r="G184" t="s">
        <v>155</v>
      </c>
      <c r="H184">
        <v>317</v>
      </c>
      <c r="I184" t="s">
        <v>5</v>
      </c>
      <c r="J184" t="s">
        <v>212</v>
      </c>
      <c r="K184">
        <v>11</v>
      </c>
      <c r="L184">
        <v>259</v>
      </c>
      <c r="M184" t="s">
        <v>330</v>
      </c>
      <c r="N184" t="s">
        <v>21</v>
      </c>
      <c r="O184" t="s">
        <v>24</v>
      </c>
      <c r="P184">
        <v>2018</v>
      </c>
      <c r="Q184">
        <v>2018</v>
      </c>
      <c r="R184">
        <v>10</v>
      </c>
      <c r="S184">
        <v>6</v>
      </c>
      <c r="T184">
        <v>6</v>
      </c>
      <c r="U184">
        <v>2</v>
      </c>
      <c r="V184">
        <v>861</v>
      </c>
      <c r="W184">
        <v>1323</v>
      </c>
      <c r="X184">
        <v>0</v>
      </c>
      <c r="Y184">
        <v>0</v>
      </c>
      <c r="Z184">
        <v>0</v>
      </c>
      <c r="AA184">
        <v>0</v>
      </c>
      <c r="AB184">
        <v>2184</v>
      </c>
      <c r="AC184">
        <v>2500</v>
      </c>
      <c r="AD184">
        <v>3</v>
      </c>
      <c r="AE184" t="s">
        <v>56</v>
      </c>
      <c r="AF184" t="s">
        <v>331</v>
      </c>
      <c r="AG184" t="s">
        <v>21</v>
      </c>
      <c r="AH184" t="s">
        <v>161</v>
      </c>
      <c r="AI184">
        <v>0</v>
      </c>
      <c r="AJ184">
        <v>0</v>
      </c>
      <c r="AK184">
        <v>1</v>
      </c>
      <c r="AL184">
        <v>0</v>
      </c>
      <c r="AM184">
        <v>1</v>
      </c>
      <c r="AN184">
        <v>13</v>
      </c>
      <c r="AO184">
        <v>735</v>
      </c>
      <c r="AP184">
        <v>0</v>
      </c>
      <c r="AQ184">
        <v>0</v>
      </c>
      <c r="AR184">
        <v>0</v>
      </c>
      <c r="AS184">
        <v>420</v>
      </c>
      <c r="AT184">
        <v>0</v>
      </c>
      <c r="AU184">
        <v>100</v>
      </c>
      <c r="AV184">
        <v>100</v>
      </c>
      <c r="AW184">
        <v>411571</v>
      </c>
      <c r="AX184">
        <v>403340</v>
      </c>
      <c r="AY184">
        <v>803</v>
      </c>
      <c r="AZ184">
        <v>365</v>
      </c>
      <c r="BA184">
        <v>365</v>
      </c>
      <c r="BB184">
        <v>73</v>
      </c>
      <c r="BC184" s="2">
        <v>44489</v>
      </c>
      <c r="BD184" t="s">
        <v>345</v>
      </c>
      <c r="BE184">
        <v>440000</v>
      </c>
      <c r="BF184">
        <v>440000</v>
      </c>
      <c r="BG184" t="s">
        <v>160</v>
      </c>
      <c r="BH184">
        <v>30</v>
      </c>
      <c r="BI184" t="s">
        <v>56</v>
      </c>
      <c r="BJ184" t="s">
        <v>161</v>
      </c>
      <c r="BK184">
        <v>429100</v>
      </c>
      <c r="BL184">
        <v>59900</v>
      </c>
      <c r="BM184">
        <v>369200</v>
      </c>
      <c r="BN184">
        <v>0</v>
      </c>
      <c r="BO184">
        <v>396664.31581958785</v>
      </c>
      <c r="BP184">
        <v>434531.59643778665</v>
      </c>
      <c r="BQ184">
        <f>(Sales[[#This Row],[DP1]]*Lookups!$B$61)+(Sales[[#This Row],[DP2]]*Lookups!$B$62)+(Sales[[#This Row],[DP3]]*Lookups!$B$63)</f>
        <v>-37867.278831000003</v>
      </c>
      <c r="BR184">
        <f>Lookups!$B$58*0.6</f>
        <v>132535.48800000001</v>
      </c>
      <c r="BS184">
        <f>Lookups!$B$58*0.4</f>
        <v>88356.992000000013</v>
      </c>
      <c r="BT184">
        <f>Lookups!$B$59*Sales[[#This Row],[LnAcres]]</f>
        <v>-24898.411657157456</v>
      </c>
      <c r="BU184">
        <f>VLOOKUP(Sales[[#This Row],[Qlty]],Lookups!$A$66:$E$79,2,FALSE)</f>
        <v>32917.849192000001</v>
      </c>
      <c r="BV184">
        <f>VLOOKUP(Sales[[#This Row],[Cnd]],Lookups!$A$80:$E$91,2,FALSE)</f>
        <v>47371.278778200001</v>
      </c>
      <c r="BW184">
        <f>Sales[[#This Row],[EffAge]]*Lookups!$B$65</f>
        <v>-652.44659999999999</v>
      </c>
      <c r="BX184">
        <f>Sales[[#This Row],[MainFn]]*Lookups!$B$90</f>
        <v>53735.337180000002</v>
      </c>
      <c r="BY184">
        <f>Sales[[#This Row],[UpprFn]]*Lookups!$B$91</f>
        <v>78824.84670899999</v>
      </c>
      <c r="BZ184">
        <f>Sales[[#This Row],[Bsmt]]*Lookups!$B$95</f>
        <v>0</v>
      </c>
      <c r="CA184">
        <f>VLOOKUP(Sales[[#This Row],[MsnryTrim]],Lookups!$A$90:$E$99,2,FALSE)</f>
        <v>-9412.7029999999995</v>
      </c>
      <c r="CB184">
        <f>Sales[[#This Row],[PrefabFP]]*Lookups!$B$92</f>
        <v>9807.1044999999995</v>
      </c>
      <c r="CC184">
        <f>Sales[[#This Row],[AttGar]]*Lookups!$B$93</f>
        <v>25946.257785000002</v>
      </c>
      <c r="CD184">
        <f>Sales[[#This Row],[BltinGar]]*Lookups!$B$94</f>
        <v>0</v>
      </c>
      <c r="CE184">
        <f>SUM(Sales[[#This Row],[Days Prior Total]:[Mdl BltinGar]])</f>
        <v>396664.31405604264</v>
      </c>
      <c r="CF184">
        <f>ROUND(Sales[[#This Row],[25Det]],-2)</f>
        <v>0</v>
      </c>
      <c r="CG184">
        <f>ROUND(SUM(Sales[[#This Row],[Mdl Qlty]:[Mdl BltinGar]])+Sales[[#This Row],[Mdl Res Intercept]]+Sales[[#This Row],[Days Prior Total]],-2)</f>
        <v>333200</v>
      </c>
      <c r="CH184">
        <f>ROUND(Sales[[#This Row],[Mdl Land Intercept]]+Sales[[#This Row],[Mdl LnAcres]],-2)</f>
        <v>63500</v>
      </c>
      <c r="CI184">
        <f>Sales[[#This Row],[Unadj Res Value]]+Sales[[#This Row],[Unadj Det Value]]+Sales[[#This Row],[Unadj Land Value]]</f>
        <v>396700</v>
      </c>
      <c r="CJ184" s="10">
        <f>Sales[[#This Row],[Price]]/Sales[[#This Row],[Unadj Total Value]]</f>
        <v>1.1091504915553314</v>
      </c>
      <c r="CK184" s="10">
        <f>(Sales[[#This Row],[Unadj Total Value]]-Sales[[#This Row],[24Final]])/Sales[[#This Row],[24Final]]</f>
        <v>-7.5506874854346304E-2</v>
      </c>
      <c r="CL184">
        <f>VLOOKUP(Sales[[#This Row],[TNbhd]],Lookups!$M$3:$P$5,4,FALSE)</f>
        <v>0.99970000000000003</v>
      </c>
      <c r="CM184">
        <f>VLOOKUP(Sales[[#This Row],[Qlty]],Lookups!$M$8:$P$22,4,FALSE)</f>
        <v>1.0019</v>
      </c>
      <c r="CN184">
        <f>VLOOKUP(Sales[[#This Row],[Cnd]],Lookups!$R$8:$U$17,4,FALSE)</f>
        <v>1.0012000000000001</v>
      </c>
      <c r="CO184">
        <f>VLOOKUP(Sales[[#This Row],[LivArea Range]],Lookups!$R$25:$U$43,4,FALSE)</f>
        <v>1.0008999999999999</v>
      </c>
      <c r="CP184">
        <f>VLOOKUP(Sales[[#This Row],[Decade]],Lookups!$M$24:$P$40,4,FALSE)</f>
        <v>1.0024</v>
      </c>
      <c r="CQ184">
        <f>Sales[[#This Row],[Nbhd Adj]]*0.95</f>
        <v>0.94971499999999998</v>
      </c>
      <c r="CR184">
        <f>Sales[[#This Row],[Nbhd Adj]]*Sales[[#This Row],[Quality Adj]]*Sales[[#This Row],[Condition Adj]]*Sales[[#This Row],[Living Area Adj]]*Sales[[#This Row],[Decade Adj]]*0.95</f>
        <v>0.95580712182867422</v>
      </c>
      <c r="CS184">
        <f>ROUND(SUM(Sales[[#This Row],[Mdl Qlty]:[Mdl BltinGar]])+Sales[[#This Row],[Mdl Res Intercept]]*Sales[[#This Row],[Res Adj ]],-2)</f>
        <v>365200</v>
      </c>
      <c r="CT184">
        <f>ROUND(Sales[[#This Row],[25Det]]*Sales[[#This Row],[Det/Nbhd Adj]],-2)</f>
        <v>0</v>
      </c>
      <c r="CU184">
        <f>Sales[[#This Row],[Adjusted Res]]+Sales[[#This Row],[Adj Det ]]</f>
        <v>365200</v>
      </c>
      <c r="CV184">
        <f>ROUND((Sales[[#This Row],[Mdl Land Intercept]]+Sales[[#This Row],[Mdl LnAcres]])*Sales[[#This Row],[Det/Nbhd Adj]],-2)</f>
        <v>60300</v>
      </c>
      <c r="CW184">
        <f>Sales[[#This Row],[Adjusted Impr Total]]+Sales[[#This Row],[Adjusted Land Total]]</f>
        <v>425500</v>
      </c>
      <c r="CX184" s="10">
        <f>IFERROR((Sales[[#This Row],[Adjusted Impr Total]]-Sales[[#This Row],[24Bldg]])/Sales[[#This Row],[24Bldg]],0)</f>
        <v>-1.0834236186348862E-2</v>
      </c>
      <c r="CY184" s="10">
        <f>(Sales[[#This Row],[Adjusted Land Total]]-Sales[[#This Row],[24Lnd]])/Sales[[#This Row],[24Lnd]]</f>
        <v>6.6777963272120202E-3</v>
      </c>
      <c r="CZ184">
        <f>(Sales[[#This Row],[Adjusted Total]]-Sales[[#This Row],[24Final]])/Sales[[#This Row],[24Final]]</f>
        <v>-8.3896527615940335E-3</v>
      </c>
      <c r="DA184" s="10">
        <f>(Sales[[#This Row],[Adjusted Total]]+Sales[[#This Row],[Days Prior Total]])/Sales[[#This Row],[Price]]</f>
        <v>0.88098345720227278</v>
      </c>
    </row>
    <row r="185" spans="1:105">
      <c r="A185">
        <v>2025</v>
      </c>
      <c r="B185">
        <v>20120634448</v>
      </c>
      <c r="C185">
        <v>-1.7719568419318752</v>
      </c>
      <c r="D185">
        <v>0.17</v>
      </c>
      <c r="E185">
        <v>7333</v>
      </c>
      <c r="F185">
        <v>2</v>
      </c>
      <c r="G185" t="s">
        <v>155</v>
      </c>
      <c r="H185">
        <v>317</v>
      </c>
      <c r="I185" t="s">
        <v>5</v>
      </c>
      <c r="J185" t="s">
        <v>212</v>
      </c>
      <c r="K185">
        <v>11</v>
      </c>
      <c r="L185">
        <v>259</v>
      </c>
      <c r="M185" t="s">
        <v>330</v>
      </c>
      <c r="N185" t="s">
        <v>21</v>
      </c>
      <c r="O185" t="s">
        <v>22</v>
      </c>
      <c r="P185">
        <v>2016</v>
      </c>
      <c r="Q185">
        <v>2016</v>
      </c>
      <c r="R185">
        <v>10</v>
      </c>
      <c r="S185">
        <v>8</v>
      </c>
      <c r="T185">
        <v>8</v>
      </c>
      <c r="U185">
        <v>2</v>
      </c>
      <c r="V185">
        <v>1555</v>
      </c>
      <c r="W185">
        <v>1251</v>
      </c>
      <c r="X185">
        <v>0</v>
      </c>
      <c r="Y185">
        <v>0</v>
      </c>
      <c r="Z185">
        <v>0</v>
      </c>
      <c r="AA185">
        <v>0</v>
      </c>
      <c r="AB185">
        <v>2806</v>
      </c>
      <c r="AC185">
        <v>3000</v>
      </c>
      <c r="AD185">
        <v>3</v>
      </c>
      <c r="AE185" t="s">
        <v>56</v>
      </c>
      <c r="AF185" t="s">
        <v>331</v>
      </c>
      <c r="AG185" t="s">
        <v>21</v>
      </c>
      <c r="AH185" t="s">
        <v>161</v>
      </c>
      <c r="AI185">
        <v>0</v>
      </c>
      <c r="AJ185">
        <v>0</v>
      </c>
      <c r="AK185">
        <v>0</v>
      </c>
      <c r="AL185">
        <v>0</v>
      </c>
      <c r="AM185">
        <v>1</v>
      </c>
      <c r="AN185">
        <v>17</v>
      </c>
      <c r="AO185">
        <v>713</v>
      </c>
      <c r="AP185">
        <v>0</v>
      </c>
      <c r="AQ185">
        <v>0</v>
      </c>
      <c r="AR185">
        <v>0</v>
      </c>
      <c r="AS185">
        <v>144</v>
      </c>
      <c r="AT185">
        <v>0</v>
      </c>
      <c r="AU185">
        <v>100</v>
      </c>
      <c r="AV185">
        <v>100</v>
      </c>
      <c r="AW185">
        <v>498891</v>
      </c>
      <c r="AX185">
        <v>483924</v>
      </c>
      <c r="AY185">
        <v>588</v>
      </c>
      <c r="AZ185">
        <v>365</v>
      </c>
      <c r="BA185">
        <v>223</v>
      </c>
      <c r="BB185">
        <v>0</v>
      </c>
      <c r="BC185" s="2">
        <v>44704</v>
      </c>
      <c r="BD185" t="s">
        <v>346</v>
      </c>
      <c r="BE185">
        <v>440000</v>
      </c>
      <c r="BF185">
        <v>440000</v>
      </c>
      <c r="BG185" t="s">
        <v>160</v>
      </c>
      <c r="BH185">
        <v>30</v>
      </c>
      <c r="BI185" t="s">
        <v>56</v>
      </c>
      <c r="BJ185" t="s">
        <v>161</v>
      </c>
      <c r="BK185">
        <v>464700</v>
      </c>
      <c r="BL185">
        <v>61700</v>
      </c>
      <c r="BM185">
        <v>403000</v>
      </c>
      <c r="BN185">
        <v>0</v>
      </c>
      <c r="BO185">
        <v>455889.84546991007</v>
      </c>
      <c r="BP185">
        <v>467463.18470499991</v>
      </c>
      <c r="BQ185">
        <f>(Sales[[#This Row],[DP1]]*Lookups!$B$61)+(Sales[[#This Row],[DP2]]*Lookups!$B$62)+(Sales[[#This Row],[DP3]]*Lookups!$B$63)</f>
        <v>-11573.338530999999</v>
      </c>
      <c r="BR185">
        <f>Lookups!$B$58*0.6</f>
        <v>132535.48800000001</v>
      </c>
      <c r="BS185">
        <f>Lookups!$B$58*0.4</f>
        <v>88356.992000000013</v>
      </c>
      <c r="BT185">
        <f>Lookups!$B$59*Sales[[#This Row],[LnAcres]]</f>
        <v>-23255.730391660189</v>
      </c>
      <c r="BU185">
        <f>VLOOKUP(Sales[[#This Row],[Qlty]],Lookups!$A$66:$E$79,2,FALSE)</f>
        <v>32917.849192000001</v>
      </c>
      <c r="BV185">
        <f>VLOOKUP(Sales[[#This Row],[Cnd]],Lookups!$A$80:$E$91,2,FALSE)</f>
        <v>50438.379078999998</v>
      </c>
      <c r="BW185">
        <f>Sales[[#This Row],[EffAge]]*Lookups!$B$65</f>
        <v>-869.92880000000002</v>
      </c>
      <c r="BX185">
        <f>Sales[[#This Row],[MainFn]]*Lookups!$B$90</f>
        <v>97048.140899999999</v>
      </c>
      <c r="BY185">
        <f>Sales[[#This Row],[UpprFn]]*Lookups!$B$91</f>
        <v>74535.059133000002</v>
      </c>
      <c r="BZ185">
        <f>Sales[[#This Row],[Bsmt]]*Lookups!$B$95</f>
        <v>0</v>
      </c>
      <c r="CA185">
        <f>VLOOKUP(Sales[[#This Row],[MsnryTrim]],Lookups!$A$90:$E$99,2,FALSE)</f>
        <v>-9412.7029999999995</v>
      </c>
      <c r="CB185">
        <f>Sales[[#This Row],[PrefabFP]]*Lookups!$B$92</f>
        <v>0</v>
      </c>
      <c r="CC185">
        <f>Sales[[#This Row],[AttGar]]*Lookups!$B$93</f>
        <v>25169.635103000001</v>
      </c>
      <c r="CD185">
        <f>Sales[[#This Row],[BltinGar]]*Lookups!$B$94</f>
        <v>0</v>
      </c>
      <c r="CE185">
        <f>SUM(Sales[[#This Row],[Days Prior Total]:[Mdl BltinGar]])</f>
        <v>455889.84268433985</v>
      </c>
      <c r="CF185">
        <f>ROUND(Sales[[#This Row],[25Det]],-2)</f>
        <v>0</v>
      </c>
      <c r="CG185">
        <f>ROUND(SUM(Sales[[#This Row],[Mdl Qlty]:[Mdl BltinGar]])+Sales[[#This Row],[Mdl Res Intercept]]+Sales[[#This Row],[Days Prior Total]],-2)</f>
        <v>390800</v>
      </c>
      <c r="CH185">
        <f>ROUND(Sales[[#This Row],[Mdl Land Intercept]]+Sales[[#This Row],[Mdl LnAcres]],-2)</f>
        <v>65100</v>
      </c>
      <c r="CI185">
        <f>Sales[[#This Row],[Unadj Res Value]]+Sales[[#This Row],[Unadj Det Value]]+Sales[[#This Row],[Unadj Land Value]]</f>
        <v>455900</v>
      </c>
      <c r="CJ185" s="10">
        <f>Sales[[#This Row],[Price]]/Sales[[#This Row],[Unadj Total Value]]</f>
        <v>0.96512393068655411</v>
      </c>
      <c r="CK185" s="10">
        <f>(Sales[[#This Row],[Unadj Total Value]]-Sales[[#This Row],[24Final]])/Sales[[#This Row],[24Final]]</f>
        <v>-1.8936948568969228E-2</v>
      </c>
      <c r="CL185">
        <f>VLOOKUP(Sales[[#This Row],[TNbhd]],Lookups!$M$3:$P$5,4,FALSE)</f>
        <v>0.99970000000000003</v>
      </c>
      <c r="CM185">
        <f>VLOOKUP(Sales[[#This Row],[Qlty]],Lookups!$M$8:$P$22,4,FALSE)</f>
        <v>1.0019</v>
      </c>
      <c r="CN185">
        <f>VLOOKUP(Sales[[#This Row],[Cnd]],Lookups!$R$8:$U$17,4,FALSE)</f>
        <v>1.0007999999999999</v>
      </c>
      <c r="CO185">
        <f>VLOOKUP(Sales[[#This Row],[LivArea Range]],Lookups!$R$25:$U$43,4,FALSE)</f>
        <v>1.0099</v>
      </c>
      <c r="CP185">
        <f>VLOOKUP(Sales[[#This Row],[Decade]],Lookups!$M$24:$P$40,4,FALSE)</f>
        <v>1.0024</v>
      </c>
      <c r="CQ185">
        <f>Sales[[#This Row],[Nbhd Adj]]*0.95</f>
        <v>0.94971499999999998</v>
      </c>
      <c r="CR185">
        <f>Sales[[#This Row],[Nbhd Adj]]*Sales[[#This Row],[Quality Adj]]*Sales[[#This Row],[Condition Adj]]*Sales[[#This Row],[Living Area Adj]]*Sales[[#This Row],[Decade Adj]]*0.95</f>
        <v>0.96401635254663731</v>
      </c>
      <c r="CS185">
        <f>ROUND(SUM(Sales[[#This Row],[Mdl Qlty]:[Mdl BltinGar]])+Sales[[#This Row],[Mdl Res Intercept]]*Sales[[#This Row],[Res Adj ]],-2)</f>
        <v>397600</v>
      </c>
      <c r="CT185">
        <f>ROUND(Sales[[#This Row],[25Det]]*Sales[[#This Row],[Det/Nbhd Adj]],-2)</f>
        <v>0</v>
      </c>
      <c r="CU185">
        <f>Sales[[#This Row],[Adjusted Res]]+Sales[[#This Row],[Adj Det ]]</f>
        <v>397600</v>
      </c>
      <c r="CV185">
        <f>ROUND((Sales[[#This Row],[Mdl Land Intercept]]+Sales[[#This Row],[Mdl LnAcres]])*Sales[[#This Row],[Det/Nbhd Adj]],-2)</f>
        <v>61800</v>
      </c>
      <c r="CW185">
        <f>Sales[[#This Row],[Adjusted Impr Total]]+Sales[[#This Row],[Adjusted Land Total]]</f>
        <v>459400</v>
      </c>
      <c r="CX185" s="10">
        <f>IFERROR((Sales[[#This Row],[Adjusted Impr Total]]-Sales[[#This Row],[24Bldg]])/Sales[[#This Row],[24Bldg]],0)</f>
        <v>-1.3399503722084368E-2</v>
      </c>
      <c r="CY185" s="10">
        <f>(Sales[[#This Row],[Adjusted Land Total]]-Sales[[#This Row],[24Lnd]])/Sales[[#This Row],[24Lnd]]</f>
        <v>1.6207455429497568E-3</v>
      </c>
      <c r="CZ185">
        <f>(Sales[[#This Row],[Adjusted Total]]-Sales[[#This Row],[24Final]])/Sales[[#This Row],[24Final]]</f>
        <v>-1.1405207660856467E-2</v>
      </c>
      <c r="DA185" s="10">
        <f>(Sales[[#This Row],[Adjusted Total]]+Sales[[#This Row],[Days Prior Total]])/Sales[[#This Row],[Price]]</f>
        <v>1.017787866975</v>
      </c>
    </row>
    <row r="186" spans="1:105">
      <c r="A186">
        <v>2025</v>
      </c>
      <c r="B186">
        <v>20120634465</v>
      </c>
      <c r="C186">
        <v>-1.7719568419318752</v>
      </c>
      <c r="D186">
        <v>0.17</v>
      </c>
      <c r="E186">
        <v>7310</v>
      </c>
      <c r="F186">
        <v>2</v>
      </c>
      <c r="G186" t="s">
        <v>155</v>
      </c>
      <c r="H186">
        <v>317</v>
      </c>
      <c r="I186" t="s">
        <v>5</v>
      </c>
      <c r="J186" t="s">
        <v>212</v>
      </c>
      <c r="K186">
        <v>11</v>
      </c>
      <c r="L186">
        <v>259</v>
      </c>
      <c r="M186" t="s">
        <v>330</v>
      </c>
      <c r="N186" t="s">
        <v>19</v>
      </c>
      <c r="O186" t="s">
        <v>22</v>
      </c>
      <c r="P186">
        <v>2016</v>
      </c>
      <c r="Q186">
        <v>2016</v>
      </c>
      <c r="R186">
        <v>10</v>
      </c>
      <c r="S186">
        <v>8</v>
      </c>
      <c r="T186">
        <v>8</v>
      </c>
      <c r="U186">
        <v>2</v>
      </c>
      <c r="V186">
        <v>787</v>
      </c>
      <c r="W186">
        <v>1224</v>
      </c>
      <c r="X186">
        <v>0</v>
      </c>
      <c r="Y186">
        <v>0</v>
      </c>
      <c r="Z186">
        <v>0</v>
      </c>
      <c r="AA186">
        <v>0</v>
      </c>
      <c r="AB186">
        <v>2011</v>
      </c>
      <c r="AC186">
        <v>2500</v>
      </c>
      <c r="AD186">
        <v>0</v>
      </c>
      <c r="AE186" t="s">
        <v>56</v>
      </c>
      <c r="AF186" t="s">
        <v>331</v>
      </c>
      <c r="AG186" t="s">
        <v>21</v>
      </c>
      <c r="AH186" t="s">
        <v>161</v>
      </c>
      <c r="AI186">
        <v>0</v>
      </c>
      <c r="AJ186">
        <v>0</v>
      </c>
      <c r="AK186">
        <v>0</v>
      </c>
      <c r="AL186">
        <v>0</v>
      </c>
      <c r="AM186">
        <v>1</v>
      </c>
      <c r="AN186">
        <v>13</v>
      </c>
      <c r="AO186">
        <v>0</v>
      </c>
      <c r="AP186">
        <v>399</v>
      </c>
      <c r="AQ186">
        <v>0</v>
      </c>
      <c r="AR186">
        <v>0</v>
      </c>
      <c r="AS186">
        <v>288</v>
      </c>
      <c r="AT186">
        <v>0</v>
      </c>
      <c r="AU186">
        <v>100</v>
      </c>
      <c r="AV186">
        <v>100</v>
      </c>
      <c r="AW186">
        <v>319808</v>
      </c>
      <c r="AX186">
        <v>310214</v>
      </c>
      <c r="AY186">
        <v>916</v>
      </c>
      <c r="AZ186">
        <v>365</v>
      </c>
      <c r="BA186">
        <v>365</v>
      </c>
      <c r="BB186">
        <v>186</v>
      </c>
      <c r="BC186" s="2">
        <v>44376</v>
      </c>
      <c r="BD186" t="s">
        <v>347</v>
      </c>
      <c r="BE186">
        <v>375000</v>
      </c>
      <c r="BF186">
        <v>375000</v>
      </c>
      <c r="BG186" t="s">
        <v>160</v>
      </c>
      <c r="BH186">
        <v>30</v>
      </c>
      <c r="BI186" t="s">
        <v>56</v>
      </c>
      <c r="BJ186" t="s">
        <v>161</v>
      </c>
      <c r="BK186">
        <v>435200</v>
      </c>
      <c r="BL186">
        <v>61700</v>
      </c>
      <c r="BM186">
        <v>373500</v>
      </c>
      <c r="BN186">
        <v>0</v>
      </c>
      <c r="BO186">
        <v>352955.22016285855</v>
      </c>
      <c r="BP186">
        <v>416699.43395151733</v>
      </c>
      <c r="BQ186">
        <f>(Sales[[#This Row],[DP1]]*Lookups!$B$61)+(Sales[[#This Row],[DP2]]*Lookups!$B$62)+(Sales[[#This Row],[DP3]]*Lookups!$B$63)</f>
        <v>-63744.211030999999</v>
      </c>
      <c r="BR186">
        <f>Lookups!$B$58*0.6</f>
        <v>132535.48800000001</v>
      </c>
      <c r="BS186">
        <f>Lookups!$B$58*0.4</f>
        <v>88356.992000000013</v>
      </c>
      <c r="BT186">
        <f>Lookups!$B$59*Sales[[#This Row],[LnAcres]]</f>
        <v>-23255.730391660189</v>
      </c>
      <c r="BU186">
        <f>VLOOKUP(Sales[[#This Row],[Qlty]],Lookups!$A$66:$E$79,2,FALSE)</f>
        <v>37154.252388000001</v>
      </c>
      <c r="BV186">
        <f>VLOOKUP(Sales[[#This Row],[Cnd]],Lookups!$A$80:$E$91,2,FALSE)</f>
        <v>50438.379078999998</v>
      </c>
      <c r="BW186">
        <f>Sales[[#This Row],[EffAge]]*Lookups!$B$65</f>
        <v>-869.92880000000002</v>
      </c>
      <c r="BX186">
        <f>Sales[[#This Row],[MainFn]]*Lookups!$B$90</f>
        <v>49116.969060000003</v>
      </c>
      <c r="BY186">
        <f>Sales[[#This Row],[UpprFn]]*Lookups!$B$91</f>
        <v>72926.388791999998</v>
      </c>
      <c r="BZ186">
        <f>Sales[[#This Row],[Bsmt]]*Lookups!$B$95</f>
        <v>0</v>
      </c>
      <c r="CA186">
        <f>VLOOKUP(Sales[[#This Row],[MsnryTrim]],Lookups!$A$90:$E$99,2,FALSE)</f>
        <v>-9412.7029999999995</v>
      </c>
      <c r="CB186">
        <f>Sales[[#This Row],[PrefabFP]]*Lookups!$B$92</f>
        <v>0</v>
      </c>
      <c r="CC186">
        <f>Sales[[#This Row],[AttGar]]*Lookups!$B$93</f>
        <v>0</v>
      </c>
      <c r="CD186">
        <f>Sales[[#This Row],[BltinGar]]*Lookups!$B$94</f>
        <v>19709.323199999999</v>
      </c>
      <c r="CE186">
        <f>SUM(Sales[[#This Row],[Days Prior Total]:[Mdl BltinGar]])</f>
        <v>352955.2192963399</v>
      </c>
      <c r="CF186">
        <f>ROUND(Sales[[#This Row],[25Det]],-2)</f>
        <v>0</v>
      </c>
      <c r="CG186">
        <f>ROUND(SUM(Sales[[#This Row],[Mdl Qlty]:[Mdl BltinGar]])+Sales[[#This Row],[Mdl Res Intercept]]+Sales[[#This Row],[Days Prior Total]],-2)</f>
        <v>287900</v>
      </c>
      <c r="CH186">
        <f>ROUND(Sales[[#This Row],[Mdl Land Intercept]]+Sales[[#This Row],[Mdl LnAcres]],-2)</f>
        <v>65100</v>
      </c>
      <c r="CI186">
        <f>Sales[[#This Row],[Unadj Res Value]]+Sales[[#This Row],[Unadj Det Value]]+Sales[[#This Row],[Unadj Land Value]]</f>
        <v>353000</v>
      </c>
      <c r="CJ186" s="10">
        <f>Sales[[#This Row],[Price]]/Sales[[#This Row],[Unadj Total Value]]</f>
        <v>1.0623229461756374</v>
      </c>
      <c r="CK186" s="10">
        <f>(Sales[[#This Row],[Unadj Total Value]]-Sales[[#This Row],[24Final]])/Sales[[#This Row],[24Final]]</f>
        <v>-0.18887867647058823</v>
      </c>
      <c r="CL186">
        <f>VLOOKUP(Sales[[#This Row],[TNbhd]],Lookups!$M$3:$P$5,4,FALSE)</f>
        <v>0.99970000000000003</v>
      </c>
      <c r="CM186">
        <f>VLOOKUP(Sales[[#This Row],[Qlty]],Lookups!$M$8:$P$22,4,FALSE)</f>
        <v>0.99819999999999998</v>
      </c>
      <c r="CN186">
        <f>VLOOKUP(Sales[[#This Row],[Cnd]],Lookups!$R$8:$U$17,4,FALSE)</f>
        <v>1.0007999999999999</v>
      </c>
      <c r="CO186">
        <f>VLOOKUP(Sales[[#This Row],[LivArea Range]],Lookups!$R$25:$U$43,4,FALSE)</f>
        <v>1.0008999999999999</v>
      </c>
      <c r="CP186">
        <f>VLOOKUP(Sales[[#This Row],[Decade]],Lookups!$M$24:$P$40,4,FALSE)</f>
        <v>1.0024</v>
      </c>
      <c r="CQ186">
        <f>Sales[[#This Row],[Nbhd Adj]]*0.95</f>
        <v>0.94971499999999998</v>
      </c>
      <c r="CR186">
        <f>Sales[[#This Row],[Nbhd Adj]]*Sales[[#This Row],[Quality Adj]]*Sales[[#This Row],[Condition Adj]]*Sales[[#This Row],[Living Area Adj]]*Sales[[#This Row],[Decade Adj]]*0.95</f>
        <v>0.95189688766791569</v>
      </c>
      <c r="CS186">
        <f>ROUND(SUM(Sales[[#This Row],[Mdl Qlty]:[Mdl BltinGar]])+Sales[[#This Row],[Mdl Res Intercept]]*Sales[[#This Row],[Res Adj ]],-2)</f>
        <v>345200</v>
      </c>
      <c r="CT186">
        <f>ROUND(Sales[[#This Row],[25Det]]*Sales[[#This Row],[Det/Nbhd Adj]],-2)</f>
        <v>0</v>
      </c>
      <c r="CU186">
        <f>Sales[[#This Row],[Adjusted Res]]+Sales[[#This Row],[Adj Det ]]</f>
        <v>345200</v>
      </c>
      <c r="CV186">
        <f>ROUND((Sales[[#This Row],[Mdl Land Intercept]]+Sales[[#This Row],[Mdl LnAcres]])*Sales[[#This Row],[Det/Nbhd Adj]],-2)</f>
        <v>61800</v>
      </c>
      <c r="CW186">
        <f>Sales[[#This Row],[Adjusted Impr Total]]+Sales[[#This Row],[Adjusted Land Total]]</f>
        <v>407000</v>
      </c>
      <c r="CX186" s="10">
        <f>IFERROR((Sales[[#This Row],[Adjusted Impr Total]]-Sales[[#This Row],[24Bldg]])/Sales[[#This Row],[24Bldg]],0)</f>
        <v>-7.5769745649263726E-2</v>
      </c>
      <c r="CY186" s="10">
        <f>(Sales[[#This Row],[Adjusted Land Total]]-Sales[[#This Row],[24Lnd]])/Sales[[#This Row],[24Lnd]]</f>
        <v>1.6207455429497568E-3</v>
      </c>
      <c r="CZ186">
        <f>(Sales[[#This Row],[Adjusted Total]]-Sales[[#This Row],[24Final]])/Sales[[#This Row],[24Final]]</f>
        <v>-6.4797794117647065E-2</v>
      </c>
      <c r="DA186" s="10">
        <f>(Sales[[#This Row],[Adjusted Total]]+Sales[[#This Row],[Days Prior Total]])/Sales[[#This Row],[Price]]</f>
        <v>0.91534877058399999</v>
      </c>
    </row>
    <row r="187" spans="1:105">
      <c r="A187">
        <v>2025</v>
      </c>
      <c r="B187">
        <v>20120634480</v>
      </c>
      <c r="C187">
        <v>-1.7719568419318752</v>
      </c>
      <c r="D187">
        <v>0.17</v>
      </c>
      <c r="E187">
        <v>7245</v>
      </c>
      <c r="F187">
        <v>2</v>
      </c>
      <c r="G187" t="s">
        <v>155</v>
      </c>
      <c r="H187">
        <v>317</v>
      </c>
      <c r="I187" t="s">
        <v>5</v>
      </c>
      <c r="J187" t="s">
        <v>212</v>
      </c>
      <c r="K187">
        <v>11</v>
      </c>
      <c r="L187">
        <v>259</v>
      </c>
      <c r="M187" t="s">
        <v>330</v>
      </c>
      <c r="N187" t="s">
        <v>21</v>
      </c>
      <c r="O187" t="s">
        <v>22</v>
      </c>
      <c r="P187">
        <v>2016</v>
      </c>
      <c r="Q187">
        <v>2016</v>
      </c>
      <c r="R187">
        <v>10</v>
      </c>
      <c r="S187">
        <v>8</v>
      </c>
      <c r="T187">
        <v>8</v>
      </c>
      <c r="U187">
        <v>1</v>
      </c>
      <c r="V187">
        <v>1849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1849</v>
      </c>
      <c r="AC187">
        <v>2000</v>
      </c>
      <c r="AD187">
        <v>2</v>
      </c>
      <c r="AE187" t="s">
        <v>56</v>
      </c>
      <c r="AF187" t="s">
        <v>331</v>
      </c>
      <c r="AG187" t="s">
        <v>21</v>
      </c>
      <c r="AH187" t="s">
        <v>161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10</v>
      </c>
      <c r="AO187">
        <v>431</v>
      </c>
      <c r="AP187">
        <v>0</v>
      </c>
      <c r="AQ187">
        <v>0</v>
      </c>
      <c r="AR187">
        <v>0</v>
      </c>
      <c r="AS187">
        <v>144</v>
      </c>
      <c r="AT187">
        <v>0</v>
      </c>
      <c r="AU187">
        <v>100</v>
      </c>
      <c r="AV187">
        <v>100</v>
      </c>
      <c r="AW187">
        <v>351514</v>
      </c>
      <c r="AX187">
        <v>340969</v>
      </c>
      <c r="AY187">
        <v>147</v>
      </c>
      <c r="AZ187">
        <v>147</v>
      </c>
      <c r="BA187">
        <v>0</v>
      </c>
      <c r="BB187">
        <v>0</v>
      </c>
      <c r="BC187" s="2">
        <v>45145</v>
      </c>
      <c r="BD187" t="s">
        <v>348</v>
      </c>
      <c r="BE187">
        <v>386000</v>
      </c>
      <c r="BF187">
        <v>386000</v>
      </c>
      <c r="BG187" t="s">
        <v>160</v>
      </c>
      <c r="BH187">
        <v>30</v>
      </c>
      <c r="BI187" t="s">
        <v>56</v>
      </c>
      <c r="BJ187" t="s">
        <v>161</v>
      </c>
      <c r="BK187">
        <v>389200</v>
      </c>
      <c r="BL187">
        <v>61700</v>
      </c>
      <c r="BM187">
        <v>327500</v>
      </c>
      <c r="BN187">
        <v>0</v>
      </c>
      <c r="BO187">
        <v>402718.01372749975</v>
      </c>
      <c r="BP187">
        <v>401321.88701434719</v>
      </c>
      <c r="BQ187">
        <f>(Sales[[#This Row],[DP1]]*Lookups!$B$61)+(Sales[[#This Row],[DP2]]*Lookups!$B$62)+(Sales[[#This Row],[DP3]]*Lookups!$B$63)</f>
        <v>1396.1267081999999</v>
      </c>
      <c r="BR187">
        <f>Lookups!$B$58*0.6</f>
        <v>132535.48800000001</v>
      </c>
      <c r="BS187">
        <f>Lookups!$B$58*0.4</f>
        <v>88356.992000000013</v>
      </c>
      <c r="BT187">
        <f>Lookups!$B$59*Sales[[#This Row],[LnAcres]]</f>
        <v>-23255.730391660189</v>
      </c>
      <c r="BU187">
        <f>VLOOKUP(Sales[[#This Row],[Qlty]],Lookups!$A$66:$E$79,2,FALSE)</f>
        <v>32917.849192000001</v>
      </c>
      <c r="BV187">
        <f>VLOOKUP(Sales[[#This Row],[Cnd]],Lookups!$A$80:$E$91,2,FALSE)</f>
        <v>50438.379078999998</v>
      </c>
      <c r="BW187">
        <f>Sales[[#This Row],[EffAge]]*Lookups!$B$65</f>
        <v>-869.92880000000002</v>
      </c>
      <c r="BX187">
        <f>Sales[[#This Row],[MainFn]]*Lookups!$B$90</f>
        <v>115396.79262000001</v>
      </c>
      <c r="BY187">
        <f>Sales[[#This Row],[UpprFn]]*Lookups!$B$91</f>
        <v>0</v>
      </c>
      <c r="BZ187">
        <f>Sales[[#This Row],[Bsmt]]*Lookups!$B$95</f>
        <v>0</v>
      </c>
      <c r="CA187">
        <f>VLOOKUP(Sales[[#This Row],[MsnryTrim]],Lookups!$A$90:$E$99,2,FALSE)</f>
        <v>-9412.7029999999995</v>
      </c>
      <c r="CB187">
        <f>Sales[[#This Row],[PrefabFP]]*Lookups!$B$92</f>
        <v>0</v>
      </c>
      <c r="CC187">
        <f>Sales[[#This Row],[AttGar]]*Lookups!$B$93</f>
        <v>15214.744361000001</v>
      </c>
      <c r="CD187">
        <f>Sales[[#This Row],[BltinGar]]*Lookups!$B$94</f>
        <v>0</v>
      </c>
      <c r="CE187">
        <f>SUM(Sales[[#This Row],[Days Prior Total]:[Mdl BltinGar]])</f>
        <v>402718.00976853987</v>
      </c>
      <c r="CF187">
        <f>ROUND(Sales[[#This Row],[25Det]],-2)</f>
        <v>0</v>
      </c>
      <c r="CG187">
        <f>ROUND(SUM(Sales[[#This Row],[Mdl Qlty]:[Mdl BltinGar]])+Sales[[#This Row],[Mdl Res Intercept]]+Sales[[#This Row],[Days Prior Total]],-2)</f>
        <v>337600</v>
      </c>
      <c r="CH187">
        <f>ROUND(Sales[[#This Row],[Mdl Land Intercept]]+Sales[[#This Row],[Mdl LnAcres]],-2)</f>
        <v>65100</v>
      </c>
      <c r="CI187">
        <f>Sales[[#This Row],[Unadj Res Value]]+Sales[[#This Row],[Unadj Det Value]]+Sales[[#This Row],[Unadj Land Value]]</f>
        <v>402700</v>
      </c>
      <c r="CJ187" s="10">
        <f>Sales[[#This Row],[Price]]/Sales[[#This Row],[Unadj Total Value]]</f>
        <v>0.95852992301961759</v>
      </c>
      <c r="CK187" s="10">
        <f>(Sales[[#This Row],[Unadj Total Value]]-Sales[[#This Row],[24Final]])/Sales[[#This Row],[24Final]]</f>
        <v>3.468653648509764E-2</v>
      </c>
      <c r="CL187">
        <f>VLOOKUP(Sales[[#This Row],[TNbhd]],Lookups!$M$3:$P$5,4,FALSE)</f>
        <v>0.99970000000000003</v>
      </c>
      <c r="CM187">
        <f>VLOOKUP(Sales[[#This Row],[Qlty]],Lookups!$M$8:$P$22,4,FALSE)</f>
        <v>1.0019</v>
      </c>
      <c r="CN187">
        <f>VLOOKUP(Sales[[#This Row],[Cnd]],Lookups!$R$8:$U$17,4,FALSE)</f>
        <v>1.0007999999999999</v>
      </c>
      <c r="CO187">
        <f>VLOOKUP(Sales[[#This Row],[LivArea Range]],Lookups!$R$25:$U$43,4,FALSE)</f>
        <v>1.0007999999999999</v>
      </c>
      <c r="CP187">
        <f>VLOOKUP(Sales[[#This Row],[Decade]],Lookups!$M$24:$P$40,4,FALSE)</f>
        <v>1.0024</v>
      </c>
      <c r="CQ187">
        <f>Sales[[#This Row],[Nbhd Adj]]*0.95</f>
        <v>0.94971499999999998</v>
      </c>
      <c r="CR187">
        <f>Sales[[#This Row],[Nbhd Adj]]*Sales[[#This Row],[Quality Adj]]*Sales[[#This Row],[Condition Adj]]*Sales[[#This Row],[Living Area Adj]]*Sales[[#This Row],[Decade Adj]]*0.95</f>
        <v>0.95532980060270778</v>
      </c>
      <c r="CS187">
        <f>ROUND(SUM(Sales[[#This Row],[Mdl Qlty]:[Mdl BltinGar]])+Sales[[#This Row],[Mdl Res Intercept]]*Sales[[#This Row],[Res Adj ]],-2)</f>
        <v>330300</v>
      </c>
      <c r="CT187">
        <f>ROUND(Sales[[#This Row],[25Det]]*Sales[[#This Row],[Det/Nbhd Adj]],-2)</f>
        <v>0</v>
      </c>
      <c r="CU187">
        <f>Sales[[#This Row],[Adjusted Res]]+Sales[[#This Row],[Adj Det ]]</f>
        <v>330300</v>
      </c>
      <c r="CV187">
        <f>ROUND((Sales[[#This Row],[Mdl Land Intercept]]+Sales[[#This Row],[Mdl LnAcres]])*Sales[[#This Row],[Det/Nbhd Adj]],-2)</f>
        <v>61800</v>
      </c>
      <c r="CW187">
        <f>Sales[[#This Row],[Adjusted Impr Total]]+Sales[[#This Row],[Adjusted Land Total]]</f>
        <v>392100</v>
      </c>
      <c r="CX187" s="10">
        <f>IFERROR((Sales[[#This Row],[Adjusted Impr Total]]-Sales[[#This Row],[24Bldg]])/Sales[[#This Row],[24Bldg]],0)</f>
        <v>8.5496183206106875E-3</v>
      </c>
      <c r="CY187" s="10">
        <f>(Sales[[#This Row],[Adjusted Land Total]]-Sales[[#This Row],[24Lnd]])/Sales[[#This Row],[24Lnd]]</f>
        <v>1.6207455429497568E-3</v>
      </c>
      <c r="CZ187">
        <f>(Sales[[#This Row],[Adjusted Total]]-Sales[[#This Row],[24Final]])/Sales[[#This Row],[24Final]]</f>
        <v>7.4511819116135662E-3</v>
      </c>
      <c r="DA187" s="10">
        <f>(Sales[[#This Row],[Adjusted Total]]+Sales[[#This Row],[Days Prior Total]])/Sales[[#This Row],[Price]]</f>
        <v>1.0194200173787566</v>
      </c>
    </row>
    <row r="188" spans="1:105">
      <c r="A188">
        <v>2025</v>
      </c>
      <c r="B188">
        <v>20120634478</v>
      </c>
      <c r="C188">
        <v>-1.8325814637483102</v>
      </c>
      <c r="D188">
        <v>0.16</v>
      </c>
      <c r="E188">
        <v>7058</v>
      </c>
      <c r="F188">
        <v>2</v>
      </c>
      <c r="G188" t="s">
        <v>155</v>
      </c>
      <c r="H188">
        <v>317</v>
      </c>
      <c r="I188" t="s">
        <v>5</v>
      </c>
      <c r="J188" t="s">
        <v>212</v>
      </c>
      <c r="K188">
        <v>11</v>
      </c>
      <c r="L188">
        <v>259</v>
      </c>
      <c r="M188" t="s">
        <v>330</v>
      </c>
      <c r="N188" t="s">
        <v>19</v>
      </c>
      <c r="O188" t="s">
        <v>22</v>
      </c>
      <c r="P188">
        <v>2015</v>
      </c>
      <c r="Q188">
        <v>2015</v>
      </c>
      <c r="R188">
        <v>10</v>
      </c>
      <c r="S188">
        <v>9</v>
      </c>
      <c r="T188">
        <v>9</v>
      </c>
      <c r="U188">
        <v>1</v>
      </c>
      <c r="V188">
        <v>1600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1600</v>
      </c>
      <c r="AC188">
        <v>2000</v>
      </c>
      <c r="AD188">
        <v>2</v>
      </c>
      <c r="AE188" t="s">
        <v>56</v>
      </c>
      <c r="AF188" t="s">
        <v>331</v>
      </c>
      <c r="AG188" t="s">
        <v>21</v>
      </c>
      <c r="AH188" t="s">
        <v>161</v>
      </c>
      <c r="AI188">
        <v>0</v>
      </c>
      <c r="AJ188">
        <v>0</v>
      </c>
      <c r="AK188">
        <v>0</v>
      </c>
      <c r="AL188">
        <v>1</v>
      </c>
      <c r="AM188">
        <v>0</v>
      </c>
      <c r="AN188">
        <v>9</v>
      </c>
      <c r="AO188">
        <v>440</v>
      </c>
      <c r="AP188">
        <v>0</v>
      </c>
      <c r="AQ188">
        <v>0</v>
      </c>
      <c r="AR188">
        <v>0</v>
      </c>
      <c r="AS188">
        <v>120</v>
      </c>
      <c r="AT188">
        <v>0</v>
      </c>
      <c r="AU188">
        <v>100</v>
      </c>
      <c r="AV188">
        <v>100</v>
      </c>
      <c r="AW188">
        <v>282691</v>
      </c>
      <c r="AX188">
        <v>274210</v>
      </c>
      <c r="AY188">
        <v>859</v>
      </c>
      <c r="AZ188">
        <v>365</v>
      </c>
      <c r="BA188">
        <v>365</v>
      </c>
      <c r="BB188">
        <v>129</v>
      </c>
      <c r="BC188" s="2">
        <v>44433</v>
      </c>
      <c r="BD188" t="s">
        <v>349</v>
      </c>
      <c r="BE188">
        <v>338300</v>
      </c>
      <c r="BF188">
        <v>338300</v>
      </c>
      <c r="BG188" t="s">
        <v>160</v>
      </c>
      <c r="BH188">
        <v>30</v>
      </c>
      <c r="BI188" t="s">
        <v>56</v>
      </c>
      <c r="BJ188" t="s">
        <v>161</v>
      </c>
      <c r="BK188">
        <v>389100</v>
      </c>
      <c r="BL188">
        <v>60800</v>
      </c>
      <c r="BM188">
        <v>328300</v>
      </c>
      <c r="BN188">
        <v>0</v>
      </c>
      <c r="BO188">
        <v>338740.16924068937</v>
      </c>
      <c r="BP188">
        <v>389431.41673982405</v>
      </c>
      <c r="BQ188">
        <f>(Sales[[#This Row],[DP1]]*Lookups!$B$61)+(Sales[[#This Row],[DP2]]*Lookups!$B$62)+(Sales[[#This Row],[DP3]]*Lookups!$B$63)</f>
        <v>-50691.245231000001</v>
      </c>
      <c r="BR188">
        <f>Lookups!$B$58*0.6</f>
        <v>132535.48800000001</v>
      </c>
      <c r="BS188">
        <f>Lookups!$B$58*0.4</f>
        <v>88356.992000000013</v>
      </c>
      <c r="BT188">
        <f>Lookups!$B$59*Sales[[#This Row],[LnAcres]]</f>
        <v>-24051.387388882686</v>
      </c>
      <c r="BU188">
        <f>VLOOKUP(Sales[[#This Row],[Qlty]],Lookups!$A$66:$E$79,2,FALSE)</f>
        <v>37154.252388000001</v>
      </c>
      <c r="BV188">
        <f>VLOOKUP(Sales[[#This Row],[Cnd]],Lookups!$A$80:$E$91,2,FALSE)</f>
        <v>50438.379078999998</v>
      </c>
      <c r="BW188">
        <f>Sales[[#This Row],[EffAge]]*Lookups!$B$65</f>
        <v>-978.66989999999998</v>
      </c>
      <c r="BX188">
        <f>Sales[[#This Row],[MainFn]]*Lookups!$B$90</f>
        <v>99856.608000000007</v>
      </c>
      <c r="BY188">
        <f>Sales[[#This Row],[UpprFn]]*Lookups!$B$91</f>
        <v>0</v>
      </c>
      <c r="BZ188">
        <f>Sales[[#This Row],[Bsmt]]*Lookups!$B$95</f>
        <v>0</v>
      </c>
      <c r="CA188">
        <f>VLOOKUP(Sales[[#This Row],[MsnryTrim]],Lookups!$A$90:$E$99,2,FALSE)</f>
        <v>-9412.7029999999995</v>
      </c>
      <c r="CB188">
        <f>Sales[[#This Row],[PrefabFP]]*Lookups!$B$92</f>
        <v>0</v>
      </c>
      <c r="CC188">
        <f>Sales[[#This Row],[AttGar]]*Lookups!$B$93</f>
        <v>15532.453640000002</v>
      </c>
      <c r="CD188">
        <f>Sales[[#This Row],[BltinGar]]*Lookups!$B$94</f>
        <v>0</v>
      </c>
      <c r="CE188">
        <f>SUM(Sales[[#This Row],[Days Prior Total]:[Mdl BltinGar]])</f>
        <v>338740.16758711735</v>
      </c>
      <c r="CF188">
        <f>ROUND(Sales[[#This Row],[25Det]],-2)</f>
        <v>0</v>
      </c>
      <c r="CG188">
        <f>ROUND(SUM(Sales[[#This Row],[Mdl Qlty]:[Mdl BltinGar]])+Sales[[#This Row],[Mdl Res Intercept]]+Sales[[#This Row],[Days Prior Total]],-2)</f>
        <v>274400</v>
      </c>
      <c r="CH188">
        <f>ROUND(Sales[[#This Row],[Mdl Land Intercept]]+Sales[[#This Row],[Mdl LnAcres]],-2)</f>
        <v>64300</v>
      </c>
      <c r="CI188">
        <f>Sales[[#This Row],[Unadj Res Value]]+Sales[[#This Row],[Unadj Det Value]]+Sales[[#This Row],[Unadj Land Value]]</f>
        <v>338700</v>
      </c>
      <c r="CJ188" s="10">
        <f>Sales[[#This Row],[Price]]/Sales[[#This Row],[Unadj Total Value]]</f>
        <v>0.998819013876587</v>
      </c>
      <c r="CK188" s="10">
        <f>(Sales[[#This Row],[Unadj Total Value]]-Sales[[#This Row],[24Final]])/Sales[[#This Row],[24Final]]</f>
        <v>-0.12952968388589051</v>
      </c>
      <c r="CL188">
        <f>VLOOKUP(Sales[[#This Row],[TNbhd]],Lookups!$M$3:$P$5,4,FALSE)</f>
        <v>0.99970000000000003</v>
      </c>
      <c r="CM188">
        <f>VLOOKUP(Sales[[#This Row],[Qlty]],Lookups!$M$8:$P$22,4,FALSE)</f>
        <v>0.99819999999999998</v>
      </c>
      <c r="CN188">
        <f>VLOOKUP(Sales[[#This Row],[Cnd]],Lookups!$R$8:$U$17,4,FALSE)</f>
        <v>1.0007999999999999</v>
      </c>
      <c r="CO188">
        <f>VLOOKUP(Sales[[#This Row],[LivArea Range]],Lookups!$R$25:$U$43,4,FALSE)</f>
        <v>1.0007999999999999</v>
      </c>
      <c r="CP188">
        <f>VLOOKUP(Sales[[#This Row],[Decade]],Lookups!$M$24:$P$40,4,FALSE)</f>
        <v>1.0024</v>
      </c>
      <c r="CQ188">
        <f>Sales[[#This Row],[Nbhd Adj]]*0.95</f>
        <v>0.94971499999999998</v>
      </c>
      <c r="CR188">
        <f>Sales[[#This Row],[Nbhd Adj]]*Sales[[#This Row],[Quality Adj]]*Sales[[#This Row],[Condition Adj]]*Sales[[#This Row],[Living Area Adj]]*Sales[[#This Row],[Decade Adj]]*0.95</f>
        <v>0.9518017835728344</v>
      </c>
      <c r="CS188">
        <f>ROUND(SUM(Sales[[#This Row],[Mdl Qlty]:[Mdl BltinGar]])+Sales[[#This Row],[Mdl Res Intercept]]*Sales[[#This Row],[Res Adj ]],-2)</f>
        <v>318700</v>
      </c>
      <c r="CT188">
        <f>ROUND(Sales[[#This Row],[25Det]]*Sales[[#This Row],[Det/Nbhd Adj]],-2)</f>
        <v>0</v>
      </c>
      <c r="CU188">
        <f>Sales[[#This Row],[Adjusted Res]]+Sales[[#This Row],[Adj Det ]]</f>
        <v>318700</v>
      </c>
      <c r="CV188">
        <f>ROUND((Sales[[#This Row],[Mdl Land Intercept]]+Sales[[#This Row],[Mdl LnAcres]])*Sales[[#This Row],[Det/Nbhd Adj]],-2)</f>
        <v>61100</v>
      </c>
      <c r="CW188">
        <f>Sales[[#This Row],[Adjusted Impr Total]]+Sales[[#This Row],[Adjusted Land Total]]</f>
        <v>379800</v>
      </c>
      <c r="CX188" s="10">
        <f>IFERROR((Sales[[#This Row],[Adjusted Impr Total]]-Sales[[#This Row],[24Bldg]])/Sales[[#This Row],[24Bldg]],0)</f>
        <v>-2.9241547365214744E-2</v>
      </c>
      <c r="CY188" s="10">
        <f>(Sales[[#This Row],[Adjusted Land Total]]-Sales[[#This Row],[24Lnd]])/Sales[[#This Row],[24Lnd]]</f>
        <v>4.9342105263157892E-3</v>
      </c>
      <c r="CZ188">
        <f>(Sales[[#This Row],[Adjusted Total]]-Sales[[#This Row],[24Final]])/Sales[[#This Row],[24Final]]</f>
        <v>-2.3901310717039322E-2</v>
      </c>
      <c r="DA188" s="10">
        <f>(Sales[[#This Row],[Adjusted Total]]+Sales[[#This Row],[Days Prior Total]])/Sales[[#This Row],[Price]]</f>
        <v>0.97283108119716222</v>
      </c>
    </row>
    <row r="189" spans="1:105">
      <c r="A189">
        <v>2025</v>
      </c>
      <c r="B189">
        <v>20120634485</v>
      </c>
      <c r="C189">
        <v>-1.7147984280919266</v>
      </c>
      <c r="D189">
        <v>0.18</v>
      </c>
      <c r="E189">
        <v>7907</v>
      </c>
      <c r="F189">
        <v>2</v>
      </c>
      <c r="G189" t="s">
        <v>155</v>
      </c>
      <c r="H189">
        <v>317</v>
      </c>
      <c r="I189" t="s">
        <v>5</v>
      </c>
      <c r="J189" t="s">
        <v>212</v>
      </c>
      <c r="K189">
        <v>11</v>
      </c>
      <c r="L189">
        <v>259</v>
      </c>
      <c r="M189" t="s">
        <v>330</v>
      </c>
      <c r="N189" t="s">
        <v>19</v>
      </c>
      <c r="O189" t="s">
        <v>22</v>
      </c>
      <c r="P189">
        <v>2015</v>
      </c>
      <c r="Q189">
        <v>2015</v>
      </c>
      <c r="R189">
        <v>10</v>
      </c>
      <c r="S189">
        <v>9</v>
      </c>
      <c r="T189">
        <v>9</v>
      </c>
      <c r="U189">
        <v>2</v>
      </c>
      <c r="V189">
        <v>1126</v>
      </c>
      <c r="W189">
        <v>1126</v>
      </c>
      <c r="X189">
        <v>0</v>
      </c>
      <c r="Y189">
        <v>0</v>
      </c>
      <c r="Z189">
        <v>0</v>
      </c>
      <c r="AA189">
        <v>0</v>
      </c>
      <c r="AB189">
        <v>2252</v>
      </c>
      <c r="AC189">
        <v>2500</v>
      </c>
      <c r="AD189">
        <v>0</v>
      </c>
      <c r="AE189" t="s">
        <v>56</v>
      </c>
      <c r="AF189" t="s">
        <v>331</v>
      </c>
      <c r="AG189" t="s">
        <v>21</v>
      </c>
      <c r="AH189" t="s">
        <v>161</v>
      </c>
      <c r="AI189">
        <v>0</v>
      </c>
      <c r="AJ189">
        <v>0</v>
      </c>
      <c r="AK189">
        <v>1</v>
      </c>
      <c r="AL189">
        <v>0</v>
      </c>
      <c r="AM189">
        <v>1</v>
      </c>
      <c r="AN189">
        <v>13</v>
      </c>
      <c r="AO189">
        <v>440</v>
      </c>
      <c r="AP189">
        <v>0</v>
      </c>
      <c r="AQ189">
        <v>0</v>
      </c>
      <c r="AR189">
        <v>0</v>
      </c>
      <c r="AS189">
        <v>120</v>
      </c>
      <c r="AT189">
        <v>0</v>
      </c>
      <c r="AU189">
        <v>100</v>
      </c>
      <c r="AV189">
        <v>100</v>
      </c>
      <c r="AW189">
        <v>355983</v>
      </c>
      <c r="AX189">
        <v>345304</v>
      </c>
      <c r="AY189">
        <v>1070</v>
      </c>
      <c r="AZ189">
        <v>365</v>
      </c>
      <c r="BA189">
        <v>365</v>
      </c>
      <c r="BB189">
        <v>340</v>
      </c>
      <c r="BC189" s="2">
        <v>44222</v>
      </c>
      <c r="BD189" t="s">
        <v>350</v>
      </c>
      <c r="BE189">
        <v>344500</v>
      </c>
      <c r="BF189">
        <v>344500</v>
      </c>
      <c r="BG189" t="s">
        <v>160</v>
      </c>
      <c r="BH189">
        <v>30</v>
      </c>
      <c r="BI189" t="s">
        <v>56</v>
      </c>
      <c r="BJ189" t="s">
        <v>161</v>
      </c>
      <c r="BK189">
        <v>429300</v>
      </c>
      <c r="BL189">
        <v>62500</v>
      </c>
      <c r="BM189">
        <v>366800</v>
      </c>
      <c r="BN189">
        <v>0</v>
      </c>
      <c r="BO189">
        <v>339279.21170738805</v>
      </c>
      <c r="BP189">
        <v>438289.33441862074</v>
      </c>
      <c r="BQ189">
        <f>(Sales[[#This Row],[DP1]]*Lookups!$B$61)+(Sales[[#This Row],[DP2]]*Lookups!$B$62)+(Sales[[#This Row],[DP3]]*Lookups!$B$63)</f>
        <v>-99010.118631000005</v>
      </c>
      <c r="BR189">
        <f>Lookups!$B$58*0.6</f>
        <v>132535.48800000001</v>
      </c>
      <c r="BS189">
        <f>Lookups!$B$58*0.4</f>
        <v>88356.992000000013</v>
      </c>
      <c r="BT189">
        <f>Lookups!$B$59*Sales[[#This Row],[LnAcres]]</f>
        <v>-22505.565020573864</v>
      </c>
      <c r="BU189">
        <f>VLOOKUP(Sales[[#This Row],[Qlty]],Lookups!$A$66:$E$79,2,FALSE)</f>
        <v>37154.252388000001</v>
      </c>
      <c r="BV189">
        <f>VLOOKUP(Sales[[#This Row],[Cnd]],Lookups!$A$80:$E$91,2,FALSE)</f>
        <v>50438.379078999998</v>
      </c>
      <c r="BW189">
        <f>Sales[[#This Row],[EffAge]]*Lookups!$B$65</f>
        <v>-978.66989999999998</v>
      </c>
      <c r="BX189">
        <f>Sales[[#This Row],[MainFn]]*Lookups!$B$90</f>
        <v>70274.087880000006</v>
      </c>
      <c r="BY189">
        <f>Sales[[#This Row],[UpprFn]]*Lookups!$B$91</f>
        <v>67087.511257999999</v>
      </c>
      <c r="BZ189">
        <f>Sales[[#This Row],[Bsmt]]*Lookups!$B$95</f>
        <v>0</v>
      </c>
      <c r="CA189">
        <f>VLOOKUP(Sales[[#This Row],[MsnryTrim]],Lookups!$A$90:$E$99,2,FALSE)</f>
        <v>-9412.7029999999995</v>
      </c>
      <c r="CB189">
        <f>Sales[[#This Row],[PrefabFP]]*Lookups!$B$92</f>
        <v>9807.1044999999995</v>
      </c>
      <c r="CC189">
        <f>Sales[[#This Row],[AttGar]]*Lookups!$B$93</f>
        <v>15532.453640000002</v>
      </c>
      <c r="CD189">
        <f>Sales[[#This Row],[BltinGar]]*Lookups!$B$94</f>
        <v>0</v>
      </c>
      <c r="CE189">
        <f>SUM(Sales[[#This Row],[Days Prior Total]:[Mdl BltinGar]])</f>
        <v>339279.21219342621</v>
      </c>
      <c r="CF189">
        <f>ROUND(Sales[[#This Row],[25Det]],-2)</f>
        <v>0</v>
      </c>
      <c r="CG189">
        <f>ROUND(SUM(Sales[[#This Row],[Mdl Qlty]:[Mdl BltinGar]])+Sales[[#This Row],[Mdl Res Intercept]]+Sales[[#This Row],[Days Prior Total]],-2)</f>
        <v>273400</v>
      </c>
      <c r="CH189">
        <f>ROUND(Sales[[#This Row],[Mdl Land Intercept]]+Sales[[#This Row],[Mdl LnAcres]],-2)</f>
        <v>65900</v>
      </c>
      <c r="CI189">
        <f>Sales[[#This Row],[Unadj Res Value]]+Sales[[#This Row],[Unadj Det Value]]+Sales[[#This Row],[Unadj Land Value]]</f>
        <v>339300</v>
      </c>
      <c r="CJ189" s="10">
        <f>Sales[[#This Row],[Price]]/Sales[[#This Row],[Unadj Total Value]]</f>
        <v>1.0153256704980842</v>
      </c>
      <c r="CK189" s="10">
        <f>(Sales[[#This Row],[Unadj Total Value]]-Sales[[#This Row],[24Final]])/Sales[[#This Row],[24Final]]</f>
        <v>-0.20964360587002095</v>
      </c>
      <c r="CL189">
        <f>VLOOKUP(Sales[[#This Row],[TNbhd]],Lookups!$M$3:$P$5,4,FALSE)</f>
        <v>0.99970000000000003</v>
      </c>
      <c r="CM189">
        <f>VLOOKUP(Sales[[#This Row],[Qlty]],Lookups!$M$8:$P$22,4,FALSE)</f>
        <v>0.99819999999999998</v>
      </c>
      <c r="CN189">
        <f>VLOOKUP(Sales[[#This Row],[Cnd]],Lookups!$R$8:$U$17,4,FALSE)</f>
        <v>1.0007999999999999</v>
      </c>
      <c r="CO189">
        <f>VLOOKUP(Sales[[#This Row],[LivArea Range]],Lookups!$R$25:$U$43,4,FALSE)</f>
        <v>1.0008999999999999</v>
      </c>
      <c r="CP189">
        <f>VLOOKUP(Sales[[#This Row],[Decade]],Lookups!$M$24:$P$40,4,FALSE)</f>
        <v>1.0024</v>
      </c>
      <c r="CQ189">
        <f>Sales[[#This Row],[Nbhd Adj]]*0.95</f>
        <v>0.94971499999999998</v>
      </c>
      <c r="CR189">
        <f>Sales[[#This Row],[Nbhd Adj]]*Sales[[#This Row],[Quality Adj]]*Sales[[#This Row],[Condition Adj]]*Sales[[#This Row],[Living Area Adj]]*Sales[[#This Row],[Decade Adj]]*0.95</f>
        <v>0.95189688766791569</v>
      </c>
      <c r="CS189">
        <f>ROUND(SUM(Sales[[#This Row],[Mdl Qlty]:[Mdl BltinGar]])+Sales[[#This Row],[Mdl Res Intercept]]*Sales[[#This Row],[Res Adj ]],-2)</f>
        <v>366100</v>
      </c>
      <c r="CT189">
        <f>ROUND(Sales[[#This Row],[25Det]]*Sales[[#This Row],[Det/Nbhd Adj]],-2)</f>
        <v>0</v>
      </c>
      <c r="CU189">
        <f>Sales[[#This Row],[Adjusted Res]]+Sales[[#This Row],[Adj Det ]]</f>
        <v>366100</v>
      </c>
      <c r="CV189">
        <f>ROUND((Sales[[#This Row],[Mdl Land Intercept]]+Sales[[#This Row],[Mdl LnAcres]])*Sales[[#This Row],[Det/Nbhd Adj]],-2)</f>
        <v>62500</v>
      </c>
      <c r="CW189">
        <f>Sales[[#This Row],[Adjusted Impr Total]]+Sales[[#This Row],[Adjusted Land Total]]</f>
        <v>428600</v>
      </c>
      <c r="CX189" s="10">
        <f>IFERROR((Sales[[#This Row],[Adjusted Impr Total]]-Sales[[#This Row],[24Bldg]])/Sales[[#This Row],[24Bldg]],0)</f>
        <v>-1.9083969465648854E-3</v>
      </c>
      <c r="CY189" s="10">
        <f>(Sales[[#This Row],[Adjusted Land Total]]-Sales[[#This Row],[24Lnd]])/Sales[[#This Row],[24Lnd]]</f>
        <v>0</v>
      </c>
      <c r="CZ189">
        <f>(Sales[[#This Row],[Adjusted Total]]-Sales[[#This Row],[24Final]])/Sales[[#This Row],[24Final]]</f>
        <v>-1.6305613789890519E-3</v>
      </c>
      <c r="DA189" s="10">
        <f>(Sales[[#This Row],[Adjusted Total]]+Sales[[#This Row],[Days Prior Total]])/Sales[[#This Row],[Price]]</f>
        <v>0.95671953953265609</v>
      </c>
    </row>
    <row r="190" spans="1:105">
      <c r="A190">
        <v>2025</v>
      </c>
      <c r="B190">
        <v>20120634433</v>
      </c>
      <c r="C190">
        <v>-1.7147984280919266</v>
      </c>
      <c r="D190">
        <v>0.18</v>
      </c>
      <c r="E190">
        <v>7909</v>
      </c>
      <c r="F190">
        <v>2</v>
      </c>
      <c r="G190" t="s">
        <v>155</v>
      </c>
      <c r="H190">
        <v>317</v>
      </c>
      <c r="I190" t="s">
        <v>5</v>
      </c>
      <c r="J190" t="s">
        <v>212</v>
      </c>
      <c r="K190">
        <v>11</v>
      </c>
      <c r="L190">
        <v>259</v>
      </c>
      <c r="M190" t="s">
        <v>330</v>
      </c>
      <c r="N190" t="s">
        <v>19</v>
      </c>
      <c r="O190" t="s">
        <v>22</v>
      </c>
      <c r="P190">
        <v>2014</v>
      </c>
      <c r="Q190">
        <v>2014</v>
      </c>
      <c r="R190">
        <v>10</v>
      </c>
      <c r="S190">
        <v>10</v>
      </c>
      <c r="T190">
        <v>10</v>
      </c>
      <c r="U190">
        <v>2</v>
      </c>
      <c r="V190">
        <v>1152</v>
      </c>
      <c r="W190">
        <v>1384</v>
      </c>
      <c r="X190">
        <v>0</v>
      </c>
      <c r="Y190">
        <v>0</v>
      </c>
      <c r="Z190">
        <v>0</v>
      </c>
      <c r="AA190">
        <v>0</v>
      </c>
      <c r="AB190">
        <v>2536</v>
      </c>
      <c r="AC190">
        <v>3000</v>
      </c>
      <c r="AD190">
        <v>0</v>
      </c>
      <c r="AE190" t="s">
        <v>56</v>
      </c>
      <c r="AF190" t="s">
        <v>331</v>
      </c>
      <c r="AG190" t="s">
        <v>21</v>
      </c>
      <c r="AH190" t="s">
        <v>161</v>
      </c>
      <c r="AI190">
        <v>0</v>
      </c>
      <c r="AJ190">
        <v>0</v>
      </c>
      <c r="AK190">
        <v>1</v>
      </c>
      <c r="AL190">
        <v>0</v>
      </c>
      <c r="AM190">
        <v>1</v>
      </c>
      <c r="AN190">
        <v>14</v>
      </c>
      <c r="AO190">
        <v>0</v>
      </c>
      <c r="AP190">
        <v>640</v>
      </c>
      <c r="AQ190">
        <v>0</v>
      </c>
      <c r="AR190">
        <v>0</v>
      </c>
      <c r="AS190">
        <v>0</v>
      </c>
      <c r="AT190">
        <v>0</v>
      </c>
      <c r="AU190">
        <v>100</v>
      </c>
      <c r="AV190">
        <v>100</v>
      </c>
      <c r="AW190">
        <v>389712</v>
      </c>
      <c r="AX190">
        <v>378021</v>
      </c>
      <c r="AY190">
        <v>908</v>
      </c>
      <c r="AZ190">
        <v>365</v>
      </c>
      <c r="BA190">
        <v>365</v>
      </c>
      <c r="BB190">
        <v>178</v>
      </c>
      <c r="BC190" s="2">
        <v>44384</v>
      </c>
      <c r="BD190" t="s">
        <v>351</v>
      </c>
      <c r="BE190">
        <v>390000</v>
      </c>
      <c r="BF190">
        <v>390000</v>
      </c>
      <c r="BG190" t="s">
        <v>160</v>
      </c>
      <c r="BH190">
        <v>30</v>
      </c>
      <c r="BI190" t="s">
        <v>56</v>
      </c>
      <c r="BJ190" t="s">
        <v>161</v>
      </c>
      <c r="BK190">
        <v>444000</v>
      </c>
      <c r="BL190">
        <v>62500</v>
      </c>
      <c r="BM190">
        <v>381500</v>
      </c>
      <c r="BN190">
        <v>0</v>
      </c>
      <c r="BO190">
        <v>409344.28172669036</v>
      </c>
      <c r="BP190">
        <v>471256.50024664396</v>
      </c>
      <c r="BQ190">
        <f>(Sales[[#This Row],[DP1]]*Lookups!$B$61)+(Sales[[#This Row],[DP2]]*Lookups!$B$62)+(Sales[[#This Row],[DP3]]*Lookups!$B$63)</f>
        <v>-61912.215830999994</v>
      </c>
      <c r="BR190">
        <f>Lookups!$B$58*0.6</f>
        <v>132535.48800000001</v>
      </c>
      <c r="BS190">
        <f>Lookups!$B$58*0.4</f>
        <v>88356.992000000013</v>
      </c>
      <c r="BT190">
        <f>Lookups!$B$59*Sales[[#This Row],[LnAcres]]</f>
        <v>-22505.565020573864</v>
      </c>
      <c r="BU190">
        <f>VLOOKUP(Sales[[#This Row],[Qlty]],Lookups!$A$66:$E$79,2,FALSE)</f>
        <v>37154.252388000001</v>
      </c>
      <c r="BV190">
        <f>VLOOKUP(Sales[[#This Row],[Cnd]],Lookups!$A$80:$E$91,2,FALSE)</f>
        <v>50438.379078999998</v>
      </c>
      <c r="BW190">
        <f>Sales[[#This Row],[EffAge]]*Lookups!$B$65</f>
        <v>-1087.4110000000001</v>
      </c>
      <c r="BX190">
        <f>Sales[[#This Row],[MainFn]]*Lookups!$B$90</f>
        <v>71896.757760000008</v>
      </c>
      <c r="BY190">
        <f>Sales[[#This Row],[UpprFn]]*Lookups!$B$91</f>
        <v>82459.250071999995</v>
      </c>
      <c r="BZ190">
        <f>Sales[[#This Row],[Bsmt]]*Lookups!$B$95</f>
        <v>0</v>
      </c>
      <c r="CA190">
        <f>VLOOKUP(Sales[[#This Row],[MsnryTrim]],Lookups!$A$90:$E$99,2,FALSE)</f>
        <v>-9412.7029999999995</v>
      </c>
      <c r="CB190">
        <f>Sales[[#This Row],[PrefabFP]]*Lookups!$B$92</f>
        <v>9807.1044999999995</v>
      </c>
      <c r="CC190">
        <f>Sales[[#This Row],[AttGar]]*Lookups!$B$93</f>
        <v>0</v>
      </c>
      <c r="CD190">
        <f>Sales[[#This Row],[BltinGar]]*Lookups!$B$94</f>
        <v>31613.951999999997</v>
      </c>
      <c r="CE190">
        <f>SUM(Sales[[#This Row],[Days Prior Total]:[Mdl BltinGar]])</f>
        <v>409344.28094742616</v>
      </c>
      <c r="CF190">
        <f>ROUND(Sales[[#This Row],[25Det]],-2)</f>
        <v>0</v>
      </c>
      <c r="CG190">
        <f>ROUND(SUM(Sales[[#This Row],[Mdl Qlty]:[Mdl BltinGar]])+Sales[[#This Row],[Mdl Res Intercept]]+Sales[[#This Row],[Days Prior Total]],-2)</f>
        <v>343500</v>
      </c>
      <c r="CH190">
        <f>ROUND(Sales[[#This Row],[Mdl Land Intercept]]+Sales[[#This Row],[Mdl LnAcres]],-2)</f>
        <v>65900</v>
      </c>
      <c r="CI190">
        <f>Sales[[#This Row],[Unadj Res Value]]+Sales[[#This Row],[Unadj Det Value]]+Sales[[#This Row],[Unadj Land Value]]</f>
        <v>409400</v>
      </c>
      <c r="CJ190" s="10">
        <f>Sales[[#This Row],[Price]]/Sales[[#This Row],[Unadj Total Value]]</f>
        <v>0.95261358085002446</v>
      </c>
      <c r="CK190" s="10">
        <f>(Sales[[#This Row],[Unadj Total Value]]-Sales[[#This Row],[24Final]])/Sales[[#This Row],[24Final]]</f>
        <v>-7.7927927927927923E-2</v>
      </c>
      <c r="CL190">
        <f>VLOOKUP(Sales[[#This Row],[TNbhd]],Lookups!$M$3:$P$5,4,FALSE)</f>
        <v>0.99970000000000003</v>
      </c>
      <c r="CM190">
        <f>VLOOKUP(Sales[[#This Row],[Qlty]],Lookups!$M$8:$P$22,4,FALSE)</f>
        <v>0.99819999999999998</v>
      </c>
      <c r="CN190">
        <f>VLOOKUP(Sales[[#This Row],[Cnd]],Lookups!$R$8:$U$17,4,FALSE)</f>
        <v>1.0007999999999999</v>
      </c>
      <c r="CO190">
        <f>VLOOKUP(Sales[[#This Row],[LivArea Range]],Lookups!$R$25:$U$43,4,FALSE)</f>
        <v>1.0099</v>
      </c>
      <c r="CP190">
        <f>VLOOKUP(Sales[[#This Row],[Decade]],Lookups!$M$24:$P$40,4,FALSE)</f>
        <v>1.0024</v>
      </c>
      <c r="CQ190">
        <f>Sales[[#This Row],[Nbhd Adj]]*0.95</f>
        <v>0.94971499999999998</v>
      </c>
      <c r="CR190">
        <f>Sales[[#This Row],[Nbhd Adj]]*Sales[[#This Row],[Quality Adj]]*Sales[[#This Row],[Condition Adj]]*Sales[[#This Row],[Living Area Adj]]*Sales[[#This Row],[Decade Adj]]*0.95</f>
        <v>0.96045625622522535</v>
      </c>
      <c r="CS190">
        <f>ROUND(SUM(Sales[[#This Row],[Mdl Qlty]:[Mdl BltinGar]])+Sales[[#This Row],[Mdl Res Intercept]]*Sales[[#This Row],[Res Adj ]],-2)</f>
        <v>400200</v>
      </c>
      <c r="CT190">
        <f>ROUND(Sales[[#This Row],[25Det]]*Sales[[#This Row],[Det/Nbhd Adj]],-2)</f>
        <v>0</v>
      </c>
      <c r="CU190">
        <f>Sales[[#This Row],[Adjusted Res]]+Sales[[#This Row],[Adj Det ]]</f>
        <v>400200</v>
      </c>
      <c r="CV190">
        <f>ROUND((Sales[[#This Row],[Mdl Land Intercept]]+Sales[[#This Row],[Mdl LnAcres]])*Sales[[#This Row],[Det/Nbhd Adj]],-2)</f>
        <v>62500</v>
      </c>
      <c r="CW190">
        <f>Sales[[#This Row],[Adjusted Impr Total]]+Sales[[#This Row],[Adjusted Land Total]]</f>
        <v>462700</v>
      </c>
      <c r="CX190" s="10">
        <f>IFERROR((Sales[[#This Row],[Adjusted Impr Total]]-Sales[[#This Row],[24Bldg]])/Sales[[#This Row],[24Bldg]],0)</f>
        <v>4.9017038007863695E-2</v>
      </c>
      <c r="CY190" s="10">
        <f>(Sales[[#This Row],[Adjusted Land Total]]-Sales[[#This Row],[24Lnd]])/Sales[[#This Row],[24Lnd]]</f>
        <v>0</v>
      </c>
      <c r="CZ190">
        <f>(Sales[[#This Row],[Adjusted Total]]-Sales[[#This Row],[24Final]])/Sales[[#This Row],[24Final]]</f>
        <v>4.2117117117117117E-2</v>
      </c>
      <c r="DA190" s="10">
        <f>(Sales[[#This Row],[Adjusted Total]]+Sales[[#This Row],[Days Prior Total]])/Sales[[#This Row],[Price]]</f>
        <v>1.0276609850487179</v>
      </c>
    </row>
    <row r="191" spans="1:105">
      <c r="A191">
        <v>2025</v>
      </c>
      <c r="B191">
        <v>20120634434</v>
      </c>
      <c r="C191">
        <v>-1.7147984280919266</v>
      </c>
      <c r="D191">
        <v>0.18</v>
      </c>
      <c r="E191">
        <v>7790</v>
      </c>
      <c r="F191">
        <v>2</v>
      </c>
      <c r="G191" t="s">
        <v>155</v>
      </c>
      <c r="H191">
        <v>317</v>
      </c>
      <c r="I191" t="s">
        <v>5</v>
      </c>
      <c r="J191" t="s">
        <v>212</v>
      </c>
      <c r="K191">
        <v>11</v>
      </c>
      <c r="L191">
        <v>259</v>
      </c>
      <c r="M191" t="s">
        <v>330</v>
      </c>
      <c r="N191" t="s">
        <v>21</v>
      </c>
      <c r="O191" t="s">
        <v>22</v>
      </c>
      <c r="P191">
        <v>2014</v>
      </c>
      <c r="Q191">
        <v>2014</v>
      </c>
      <c r="R191">
        <v>10</v>
      </c>
      <c r="S191">
        <v>10</v>
      </c>
      <c r="T191">
        <v>10</v>
      </c>
      <c r="U191">
        <v>1</v>
      </c>
      <c r="V191">
        <v>2156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2156</v>
      </c>
      <c r="AC191">
        <v>2500</v>
      </c>
      <c r="AD191">
        <v>3</v>
      </c>
      <c r="AE191" t="s">
        <v>56</v>
      </c>
      <c r="AF191" t="s">
        <v>331</v>
      </c>
      <c r="AG191" t="s">
        <v>21</v>
      </c>
      <c r="AH191" t="s">
        <v>161</v>
      </c>
      <c r="AI191">
        <v>0</v>
      </c>
      <c r="AJ191">
        <v>0</v>
      </c>
      <c r="AK191">
        <v>1</v>
      </c>
      <c r="AL191">
        <v>0</v>
      </c>
      <c r="AM191">
        <v>0</v>
      </c>
      <c r="AN191">
        <v>10</v>
      </c>
      <c r="AO191">
        <v>688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100</v>
      </c>
      <c r="AV191">
        <v>100</v>
      </c>
      <c r="AW191">
        <v>424294</v>
      </c>
      <c r="AX191">
        <v>411565</v>
      </c>
      <c r="AY191">
        <v>620</v>
      </c>
      <c r="AZ191">
        <v>365</v>
      </c>
      <c r="BA191">
        <v>255</v>
      </c>
      <c r="BB191">
        <v>0</v>
      </c>
      <c r="BC191" s="2">
        <v>44672</v>
      </c>
      <c r="BD191" t="s">
        <v>352</v>
      </c>
      <c r="BE191">
        <v>430000</v>
      </c>
      <c r="BF191">
        <v>430000</v>
      </c>
      <c r="BG191" t="s">
        <v>160</v>
      </c>
      <c r="BH191">
        <v>30</v>
      </c>
      <c r="BI191" t="s">
        <v>56</v>
      </c>
      <c r="BJ191" t="s">
        <v>161</v>
      </c>
      <c r="BK191">
        <v>435200</v>
      </c>
      <c r="BL191">
        <v>62500</v>
      </c>
      <c r="BM191">
        <v>372700</v>
      </c>
      <c r="BN191">
        <v>0</v>
      </c>
      <c r="BO191">
        <v>426162.49323774426</v>
      </c>
      <c r="BP191">
        <v>439894.02617563395</v>
      </c>
      <c r="BQ191">
        <f>(Sales[[#This Row],[DP1]]*Lookups!$B$61)+(Sales[[#This Row],[DP2]]*Lookups!$B$62)+(Sales[[#This Row],[DP3]]*Lookups!$B$63)</f>
        <v>-13731.532131</v>
      </c>
      <c r="BR191">
        <f>Lookups!$B$58*0.6</f>
        <v>132535.48800000001</v>
      </c>
      <c r="BS191">
        <f>Lookups!$B$58*0.4</f>
        <v>88356.992000000013</v>
      </c>
      <c r="BT191">
        <f>Lookups!$B$59*Sales[[#This Row],[LnAcres]]</f>
        <v>-22505.565020573864</v>
      </c>
      <c r="BU191">
        <f>VLOOKUP(Sales[[#This Row],[Qlty]],Lookups!$A$66:$E$79,2,FALSE)</f>
        <v>32917.849192000001</v>
      </c>
      <c r="BV191">
        <f>VLOOKUP(Sales[[#This Row],[Cnd]],Lookups!$A$80:$E$91,2,FALSE)</f>
        <v>50438.379078999998</v>
      </c>
      <c r="BW191">
        <f>Sales[[#This Row],[EffAge]]*Lookups!$B$65</f>
        <v>-1087.4110000000001</v>
      </c>
      <c r="BX191">
        <f>Sales[[#This Row],[MainFn]]*Lookups!$B$90</f>
        <v>134556.77928000002</v>
      </c>
      <c r="BY191">
        <f>Sales[[#This Row],[UpprFn]]*Lookups!$B$91</f>
        <v>0</v>
      </c>
      <c r="BZ191">
        <f>Sales[[#This Row],[Bsmt]]*Lookups!$B$95</f>
        <v>0</v>
      </c>
      <c r="CA191">
        <f>VLOOKUP(Sales[[#This Row],[MsnryTrim]],Lookups!$A$90:$E$99,2,FALSE)</f>
        <v>-9412.7029999999995</v>
      </c>
      <c r="CB191">
        <f>Sales[[#This Row],[PrefabFP]]*Lookups!$B$92</f>
        <v>9807.1044999999995</v>
      </c>
      <c r="CC191">
        <f>Sales[[#This Row],[AttGar]]*Lookups!$B$93</f>
        <v>24287.109328000002</v>
      </c>
      <c r="CD191">
        <f>Sales[[#This Row],[BltinGar]]*Lookups!$B$94</f>
        <v>0</v>
      </c>
      <c r="CE191">
        <f>SUM(Sales[[#This Row],[Days Prior Total]:[Mdl BltinGar]])</f>
        <v>426162.49022742617</v>
      </c>
      <c r="CF191">
        <f>ROUND(Sales[[#This Row],[25Det]],-2)</f>
        <v>0</v>
      </c>
      <c r="CG191">
        <f>ROUND(SUM(Sales[[#This Row],[Mdl Qlty]:[Mdl BltinGar]])+Sales[[#This Row],[Mdl Res Intercept]]+Sales[[#This Row],[Days Prior Total]],-2)</f>
        <v>360300</v>
      </c>
      <c r="CH191">
        <f>ROUND(Sales[[#This Row],[Mdl Land Intercept]]+Sales[[#This Row],[Mdl LnAcres]],-2)</f>
        <v>65900</v>
      </c>
      <c r="CI191">
        <f>Sales[[#This Row],[Unadj Res Value]]+Sales[[#This Row],[Unadj Det Value]]+Sales[[#This Row],[Unadj Land Value]]</f>
        <v>426200</v>
      </c>
      <c r="CJ191" s="10">
        <f>Sales[[#This Row],[Price]]/Sales[[#This Row],[Unadj Total Value]]</f>
        <v>1.0089160018770531</v>
      </c>
      <c r="CK191" s="10">
        <f>(Sales[[#This Row],[Unadj Total Value]]-Sales[[#This Row],[24Final]])/Sales[[#This Row],[24Final]]</f>
        <v>-2.0680147058823529E-2</v>
      </c>
      <c r="CL191">
        <f>VLOOKUP(Sales[[#This Row],[TNbhd]],Lookups!$M$3:$P$5,4,FALSE)</f>
        <v>0.99970000000000003</v>
      </c>
      <c r="CM191">
        <f>VLOOKUP(Sales[[#This Row],[Qlty]],Lookups!$M$8:$P$22,4,FALSE)</f>
        <v>1.0019</v>
      </c>
      <c r="CN191">
        <f>VLOOKUP(Sales[[#This Row],[Cnd]],Lookups!$R$8:$U$17,4,FALSE)</f>
        <v>1.0007999999999999</v>
      </c>
      <c r="CO191">
        <f>VLOOKUP(Sales[[#This Row],[LivArea Range]],Lookups!$R$25:$U$43,4,FALSE)</f>
        <v>1.0008999999999999</v>
      </c>
      <c r="CP191">
        <f>VLOOKUP(Sales[[#This Row],[Decade]],Lookups!$M$24:$P$40,4,FALSE)</f>
        <v>1.0024</v>
      </c>
      <c r="CQ191">
        <f>Sales[[#This Row],[Nbhd Adj]]*0.95</f>
        <v>0.94971499999999998</v>
      </c>
      <c r="CR191">
        <f>Sales[[#This Row],[Nbhd Adj]]*Sales[[#This Row],[Quality Adj]]*Sales[[#This Row],[Condition Adj]]*Sales[[#This Row],[Living Area Adj]]*Sales[[#This Row],[Decade Adj]]*0.95</f>
        <v>0.95542525721747629</v>
      </c>
      <c r="CS191">
        <f>ROUND(SUM(Sales[[#This Row],[Mdl Qlty]:[Mdl BltinGar]])+Sales[[#This Row],[Mdl Res Intercept]]*Sales[[#This Row],[Res Adj ]],-2)</f>
        <v>368100</v>
      </c>
      <c r="CT191">
        <f>ROUND(Sales[[#This Row],[25Det]]*Sales[[#This Row],[Det/Nbhd Adj]],-2)</f>
        <v>0</v>
      </c>
      <c r="CU191">
        <f>Sales[[#This Row],[Adjusted Res]]+Sales[[#This Row],[Adj Det ]]</f>
        <v>368100</v>
      </c>
      <c r="CV191">
        <f>ROUND((Sales[[#This Row],[Mdl Land Intercept]]+Sales[[#This Row],[Mdl LnAcres]])*Sales[[#This Row],[Det/Nbhd Adj]],-2)</f>
        <v>62500</v>
      </c>
      <c r="CW191">
        <f>Sales[[#This Row],[Adjusted Impr Total]]+Sales[[#This Row],[Adjusted Land Total]]</f>
        <v>430600</v>
      </c>
      <c r="CX191" s="10">
        <f>IFERROR((Sales[[#This Row],[Adjusted Impr Total]]-Sales[[#This Row],[24Bldg]])/Sales[[#This Row],[24Bldg]],0)</f>
        <v>-1.2342366514623022E-2</v>
      </c>
      <c r="CY191" s="10">
        <f>(Sales[[#This Row],[Adjusted Land Total]]-Sales[[#This Row],[24Lnd]])/Sales[[#This Row],[24Lnd]]</f>
        <v>0</v>
      </c>
      <c r="CZ191">
        <f>(Sales[[#This Row],[Adjusted Total]]-Sales[[#This Row],[24Final]])/Sales[[#This Row],[24Final]]</f>
        <v>-1.0569852941176471E-2</v>
      </c>
      <c r="DA191" s="10">
        <f>(Sales[[#This Row],[Adjusted Total]]+Sales[[#This Row],[Days Prior Total]])/Sales[[#This Row],[Price]]</f>
        <v>0.96946155318372085</v>
      </c>
    </row>
    <row r="192" spans="1:105">
      <c r="A192">
        <v>2025</v>
      </c>
      <c r="B192">
        <v>20120634410</v>
      </c>
      <c r="C192">
        <v>-1.7147984280919266</v>
      </c>
      <c r="D192">
        <v>0.18</v>
      </c>
      <c r="E192">
        <v>8015</v>
      </c>
      <c r="F192">
        <v>2</v>
      </c>
      <c r="G192" t="s">
        <v>155</v>
      </c>
      <c r="H192">
        <v>317</v>
      </c>
      <c r="I192" t="s">
        <v>5</v>
      </c>
      <c r="J192" t="s">
        <v>212</v>
      </c>
      <c r="K192">
        <v>11</v>
      </c>
      <c r="L192">
        <v>259</v>
      </c>
      <c r="M192" t="s">
        <v>330</v>
      </c>
      <c r="N192" t="s">
        <v>21</v>
      </c>
      <c r="O192" t="s">
        <v>22</v>
      </c>
      <c r="P192">
        <v>2013</v>
      </c>
      <c r="Q192">
        <v>2013</v>
      </c>
      <c r="R192">
        <v>20</v>
      </c>
      <c r="S192">
        <v>11</v>
      </c>
      <c r="T192">
        <v>11</v>
      </c>
      <c r="U192">
        <v>1</v>
      </c>
      <c r="V192">
        <v>1978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1978</v>
      </c>
      <c r="AC192">
        <v>2000</v>
      </c>
      <c r="AD192">
        <v>2</v>
      </c>
      <c r="AE192" t="s">
        <v>56</v>
      </c>
      <c r="AF192" t="s">
        <v>331</v>
      </c>
      <c r="AG192" t="s">
        <v>21</v>
      </c>
      <c r="AH192" t="s">
        <v>161</v>
      </c>
      <c r="AI192">
        <v>0</v>
      </c>
      <c r="AJ192">
        <v>0</v>
      </c>
      <c r="AK192">
        <v>1</v>
      </c>
      <c r="AL192">
        <v>0</v>
      </c>
      <c r="AM192">
        <v>0</v>
      </c>
      <c r="AN192">
        <v>11</v>
      </c>
      <c r="AO192">
        <v>429</v>
      </c>
      <c r="AP192">
        <v>0</v>
      </c>
      <c r="AQ192">
        <v>0</v>
      </c>
      <c r="AR192">
        <v>0</v>
      </c>
      <c r="AS192">
        <v>120</v>
      </c>
      <c r="AT192">
        <v>0</v>
      </c>
      <c r="AU192">
        <v>100</v>
      </c>
      <c r="AV192">
        <v>100</v>
      </c>
      <c r="AW192">
        <v>376924</v>
      </c>
      <c r="AX192">
        <v>361847</v>
      </c>
      <c r="AY192">
        <v>803</v>
      </c>
      <c r="AZ192">
        <v>365</v>
      </c>
      <c r="BA192">
        <v>365</v>
      </c>
      <c r="BB192">
        <v>73</v>
      </c>
      <c r="BC192" s="2">
        <v>44489</v>
      </c>
      <c r="BD192" t="s">
        <v>353</v>
      </c>
      <c r="BE192">
        <v>400000</v>
      </c>
      <c r="BF192">
        <v>400000</v>
      </c>
      <c r="BG192" t="s">
        <v>160</v>
      </c>
      <c r="BH192">
        <v>30</v>
      </c>
      <c r="BI192" t="s">
        <v>56</v>
      </c>
      <c r="BJ192" t="s">
        <v>161</v>
      </c>
      <c r="BK192">
        <v>397900</v>
      </c>
      <c r="BL192">
        <v>62500</v>
      </c>
      <c r="BM192">
        <v>335400</v>
      </c>
      <c r="BN192">
        <v>0</v>
      </c>
      <c r="BO192">
        <v>381665.98984602786</v>
      </c>
      <c r="BP192">
        <v>419533.27046422666</v>
      </c>
      <c r="BQ192">
        <f>(Sales[[#This Row],[DP1]]*Lookups!$B$61)+(Sales[[#This Row],[DP2]]*Lookups!$B$62)+(Sales[[#This Row],[DP3]]*Lookups!$B$63)</f>
        <v>-37867.278831000003</v>
      </c>
      <c r="BR192">
        <f>Lookups!$B$58*0.6</f>
        <v>132535.48800000001</v>
      </c>
      <c r="BS192">
        <f>Lookups!$B$58*0.4</f>
        <v>88356.992000000013</v>
      </c>
      <c r="BT192">
        <f>Lookups!$B$59*Sales[[#This Row],[LnAcres]]</f>
        <v>-22505.565020573864</v>
      </c>
      <c r="BU192">
        <f>VLOOKUP(Sales[[#This Row],[Qlty]],Lookups!$A$66:$E$79,2,FALSE)</f>
        <v>32917.849192000001</v>
      </c>
      <c r="BV192">
        <f>VLOOKUP(Sales[[#This Row],[Cnd]],Lookups!$A$80:$E$91,2,FALSE)</f>
        <v>50438.379078999998</v>
      </c>
      <c r="BW192">
        <f>Sales[[#This Row],[EffAge]]*Lookups!$B$65</f>
        <v>-1196.1521</v>
      </c>
      <c r="BX192">
        <f>Sales[[#This Row],[MainFn]]*Lookups!$B$90</f>
        <v>123447.73164000001</v>
      </c>
      <c r="BY192">
        <f>Sales[[#This Row],[UpprFn]]*Lookups!$B$91</f>
        <v>0</v>
      </c>
      <c r="BZ192">
        <f>Sales[[#This Row],[Bsmt]]*Lookups!$B$95</f>
        <v>0</v>
      </c>
      <c r="CA192">
        <f>VLOOKUP(Sales[[#This Row],[MsnryTrim]],Lookups!$A$90:$E$99,2,FALSE)</f>
        <v>-9412.7029999999995</v>
      </c>
      <c r="CB192">
        <f>Sales[[#This Row],[PrefabFP]]*Lookups!$B$92</f>
        <v>9807.1044999999995</v>
      </c>
      <c r="CC192">
        <f>Sales[[#This Row],[AttGar]]*Lookups!$B$93</f>
        <v>15144.142299000001</v>
      </c>
      <c r="CD192">
        <f>Sales[[#This Row],[BltinGar]]*Lookups!$B$94</f>
        <v>0</v>
      </c>
      <c r="CE192">
        <f>SUM(Sales[[#This Row],[Days Prior Total]:[Mdl BltinGar]])</f>
        <v>381665.98775842617</v>
      </c>
      <c r="CF192">
        <f>ROUND(Sales[[#This Row],[25Det]],-2)</f>
        <v>0</v>
      </c>
      <c r="CG192">
        <f>ROUND(SUM(Sales[[#This Row],[Mdl Qlty]:[Mdl BltinGar]])+Sales[[#This Row],[Mdl Res Intercept]]+Sales[[#This Row],[Days Prior Total]],-2)</f>
        <v>315800</v>
      </c>
      <c r="CH192">
        <f>ROUND(Sales[[#This Row],[Mdl Land Intercept]]+Sales[[#This Row],[Mdl LnAcres]],-2)</f>
        <v>65900</v>
      </c>
      <c r="CI192">
        <f>Sales[[#This Row],[Unadj Res Value]]+Sales[[#This Row],[Unadj Det Value]]+Sales[[#This Row],[Unadj Land Value]]</f>
        <v>381700</v>
      </c>
      <c r="CJ192" s="10">
        <f>Sales[[#This Row],[Price]]/Sales[[#This Row],[Unadj Total Value]]</f>
        <v>1.047943411055803</v>
      </c>
      <c r="CK192" s="10">
        <f>(Sales[[#This Row],[Unadj Total Value]]-Sales[[#This Row],[24Final]])/Sales[[#This Row],[24Final]]</f>
        <v>-4.0713747172656446E-2</v>
      </c>
      <c r="CL192">
        <f>VLOOKUP(Sales[[#This Row],[TNbhd]],Lookups!$M$3:$P$5,4,FALSE)</f>
        <v>0.99970000000000003</v>
      </c>
      <c r="CM192">
        <f>VLOOKUP(Sales[[#This Row],[Qlty]],Lookups!$M$8:$P$22,4,FALSE)</f>
        <v>1.0019</v>
      </c>
      <c r="CN192">
        <f>VLOOKUP(Sales[[#This Row],[Cnd]],Lookups!$R$8:$U$17,4,FALSE)</f>
        <v>1.0007999999999999</v>
      </c>
      <c r="CO192">
        <f>VLOOKUP(Sales[[#This Row],[LivArea Range]],Lookups!$R$25:$U$43,4,FALSE)</f>
        <v>1.0007999999999999</v>
      </c>
      <c r="CP192">
        <f>VLOOKUP(Sales[[#This Row],[Decade]],Lookups!$M$24:$P$40,4,FALSE)</f>
        <v>0.99560000000000004</v>
      </c>
      <c r="CQ192">
        <f>Sales[[#This Row],[Nbhd Adj]]*0.95</f>
        <v>0.94971499999999998</v>
      </c>
      <c r="CR192">
        <f>Sales[[#This Row],[Nbhd Adj]]*Sales[[#This Row],[Quality Adj]]*Sales[[#This Row],[Condition Adj]]*Sales[[#This Row],[Living Area Adj]]*Sales[[#This Row],[Decade Adj]]*0.95</f>
        <v>0.94884911161218666</v>
      </c>
      <c r="CS192">
        <f>ROUND(SUM(Sales[[#This Row],[Mdl Qlty]:[Mdl BltinGar]])+Sales[[#This Row],[Mdl Res Intercept]]*Sales[[#This Row],[Res Adj ]],-2)</f>
        <v>346900</v>
      </c>
      <c r="CT192">
        <f>ROUND(Sales[[#This Row],[25Det]]*Sales[[#This Row],[Det/Nbhd Adj]],-2)</f>
        <v>0</v>
      </c>
      <c r="CU192">
        <f>Sales[[#This Row],[Adjusted Res]]+Sales[[#This Row],[Adj Det ]]</f>
        <v>346900</v>
      </c>
      <c r="CV192">
        <f>ROUND((Sales[[#This Row],[Mdl Land Intercept]]+Sales[[#This Row],[Mdl LnAcres]])*Sales[[#This Row],[Det/Nbhd Adj]],-2)</f>
        <v>62500</v>
      </c>
      <c r="CW192">
        <f>Sales[[#This Row],[Adjusted Impr Total]]+Sales[[#This Row],[Adjusted Land Total]]</f>
        <v>409400</v>
      </c>
      <c r="CX192" s="10">
        <f>IFERROR((Sales[[#This Row],[Adjusted Impr Total]]-Sales[[#This Row],[24Bldg]])/Sales[[#This Row],[24Bldg]],0)</f>
        <v>3.4287418008348239E-2</v>
      </c>
      <c r="CY192" s="10">
        <f>(Sales[[#This Row],[Adjusted Land Total]]-Sales[[#This Row],[24Lnd]])/Sales[[#This Row],[24Lnd]]</f>
        <v>0</v>
      </c>
      <c r="CZ192">
        <f>(Sales[[#This Row],[Adjusted Total]]-Sales[[#This Row],[24Final]])/Sales[[#This Row],[24Final]]</f>
        <v>2.8901734104046242E-2</v>
      </c>
      <c r="DA192" s="10">
        <f>(Sales[[#This Row],[Adjusted Total]]+Sales[[#This Row],[Days Prior Total]])/Sales[[#This Row],[Price]]</f>
        <v>0.92883180292250012</v>
      </c>
    </row>
    <row r="193" spans="1:105">
      <c r="A193">
        <v>2025</v>
      </c>
      <c r="B193">
        <v>20120634412</v>
      </c>
      <c r="C193">
        <v>-1.7147984280919266</v>
      </c>
      <c r="D193">
        <v>0.18</v>
      </c>
      <c r="E193">
        <v>8015</v>
      </c>
      <c r="F193">
        <v>2</v>
      </c>
      <c r="G193" t="s">
        <v>155</v>
      </c>
      <c r="H193">
        <v>317</v>
      </c>
      <c r="I193" t="s">
        <v>5</v>
      </c>
      <c r="J193" t="s">
        <v>212</v>
      </c>
      <c r="K193">
        <v>11</v>
      </c>
      <c r="L193">
        <v>259</v>
      </c>
      <c r="M193" t="s">
        <v>330</v>
      </c>
      <c r="N193" t="s">
        <v>21</v>
      </c>
      <c r="O193" t="s">
        <v>22</v>
      </c>
      <c r="P193">
        <v>2013</v>
      </c>
      <c r="Q193">
        <v>2013</v>
      </c>
      <c r="R193">
        <v>20</v>
      </c>
      <c r="S193">
        <v>11</v>
      </c>
      <c r="T193">
        <v>11</v>
      </c>
      <c r="U193">
        <v>1</v>
      </c>
      <c r="V193">
        <v>1770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1770</v>
      </c>
      <c r="AC193">
        <v>2000</v>
      </c>
      <c r="AD193">
        <v>0</v>
      </c>
      <c r="AE193" t="s">
        <v>57</v>
      </c>
      <c r="AF193" t="s">
        <v>331</v>
      </c>
      <c r="AG193" t="s">
        <v>21</v>
      </c>
      <c r="AH193" t="s">
        <v>161</v>
      </c>
      <c r="AI193">
        <v>0</v>
      </c>
      <c r="AJ193">
        <v>0</v>
      </c>
      <c r="AK193">
        <v>0</v>
      </c>
      <c r="AL193">
        <v>1</v>
      </c>
      <c r="AM193">
        <v>0</v>
      </c>
      <c r="AN193">
        <v>10</v>
      </c>
      <c r="AO193">
        <v>420</v>
      </c>
      <c r="AP193">
        <v>0</v>
      </c>
      <c r="AQ193">
        <v>0</v>
      </c>
      <c r="AR193">
        <v>0</v>
      </c>
      <c r="AS193">
        <v>156</v>
      </c>
      <c r="AT193">
        <v>0</v>
      </c>
      <c r="AU193">
        <v>100</v>
      </c>
      <c r="AV193">
        <v>100</v>
      </c>
      <c r="AW193">
        <v>339512</v>
      </c>
      <c r="AX193">
        <v>325932</v>
      </c>
      <c r="AY193">
        <v>922</v>
      </c>
      <c r="AZ193">
        <v>365</v>
      </c>
      <c r="BA193">
        <v>365</v>
      </c>
      <c r="BB193">
        <v>192</v>
      </c>
      <c r="BC193" s="2">
        <v>44370</v>
      </c>
      <c r="BD193" t="s">
        <v>354</v>
      </c>
      <c r="BE193">
        <v>350000</v>
      </c>
      <c r="BF193">
        <v>350000</v>
      </c>
      <c r="BG193" t="s">
        <v>160</v>
      </c>
      <c r="BH193">
        <v>30</v>
      </c>
      <c r="BI193" t="s">
        <v>56</v>
      </c>
      <c r="BJ193" t="s">
        <v>161</v>
      </c>
      <c r="BK193">
        <v>369200</v>
      </c>
      <c r="BL193">
        <v>62500</v>
      </c>
      <c r="BM193">
        <v>306700</v>
      </c>
      <c r="BN193">
        <v>0</v>
      </c>
      <c r="BO193">
        <v>344834.46845288784</v>
      </c>
      <c r="BP193">
        <v>409952.67869307543</v>
      </c>
      <c r="BQ193">
        <f>(Sales[[#This Row],[DP1]]*Lookups!$B$61)+(Sales[[#This Row],[DP2]]*Lookups!$B$62)+(Sales[[#This Row],[DP3]]*Lookups!$B$63)</f>
        <v>-65118.207431000003</v>
      </c>
      <c r="BR193">
        <f>Lookups!$B$58*0.6</f>
        <v>132535.48800000001</v>
      </c>
      <c r="BS193">
        <f>Lookups!$B$58*0.4</f>
        <v>88356.992000000013</v>
      </c>
      <c r="BT193">
        <f>Lookups!$B$59*Sales[[#This Row],[LnAcres]]</f>
        <v>-22505.565020573864</v>
      </c>
      <c r="BU193">
        <f>VLOOKUP(Sales[[#This Row],[Qlty]],Lookups!$A$66:$E$79,2,FALSE)</f>
        <v>32917.849192000001</v>
      </c>
      <c r="BV193">
        <f>VLOOKUP(Sales[[#This Row],[Cnd]],Lookups!$A$80:$E$91,2,FALSE)</f>
        <v>50438.379078999998</v>
      </c>
      <c r="BW193">
        <f>Sales[[#This Row],[EffAge]]*Lookups!$B$65</f>
        <v>-1196.1521</v>
      </c>
      <c r="BX193">
        <f>Sales[[#This Row],[MainFn]]*Lookups!$B$90</f>
        <v>110466.3726</v>
      </c>
      <c r="BY193">
        <f>Sales[[#This Row],[UpprFn]]*Lookups!$B$91</f>
        <v>0</v>
      </c>
      <c r="BZ193">
        <f>Sales[[#This Row],[Bsmt]]*Lookups!$B$95</f>
        <v>0</v>
      </c>
      <c r="CA193">
        <f>VLOOKUP(Sales[[#This Row],[MsnryTrim]],Lookups!$A$90:$E$99,2,FALSE)</f>
        <v>4112.8784489</v>
      </c>
      <c r="CB193">
        <f>Sales[[#This Row],[PrefabFP]]*Lookups!$B$92</f>
        <v>0</v>
      </c>
      <c r="CC193">
        <f>Sales[[#This Row],[AttGar]]*Lookups!$B$93</f>
        <v>14826.43302</v>
      </c>
      <c r="CD193">
        <f>Sales[[#This Row],[BltinGar]]*Lookups!$B$94</f>
        <v>0</v>
      </c>
      <c r="CE193">
        <f>SUM(Sales[[#This Row],[Days Prior Total]:[Mdl BltinGar]])</f>
        <v>344834.46778832615</v>
      </c>
      <c r="CF193">
        <f>ROUND(Sales[[#This Row],[25Det]],-2)</f>
        <v>0</v>
      </c>
      <c r="CG193">
        <f>ROUND(SUM(Sales[[#This Row],[Mdl Qlty]:[Mdl BltinGar]])+Sales[[#This Row],[Mdl Res Intercept]]+Sales[[#This Row],[Days Prior Total]],-2)</f>
        <v>279000</v>
      </c>
      <c r="CH193">
        <f>ROUND(Sales[[#This Row],[Mdl Land Intercept]]+Sales[[#This Row],[Mdl LnAcres]],-2)</f>
        <v>65900</v>
      </c>
      <c r="CI193">
        <f>Sales[[#This Row],[Unadj Res Value]]+Sales[[#This Row],[Unadj Det Value]]+Sales[[#This Row],[Unadj Land Value]]</f>
        <v>344900</v>
      </c>
      <c r="CJ193" s="10">
        <f>Sales[[#This Row],[Price]]/Sales[[#This Row],[Unadj Total Value]]</f>
        <v>1.0147868947521022</v>
      </c>
      <c r="CK193" s="10">
        <f>(Sales[[#This Row],[Unadj Total Value]]-Sales[[#This Row],[24Final]])/Sales[[#This Row],[24Final]]</f>
        <v>-6.581798483206934E-2</v>
      </c>
      <c r="CL193">
        <f>VLOOKUP(Sales[[#This Row],[TNbhd]],Lookups!$M$3:$P$5,4,FALSE)</f>
        <v>0.99970000000000003</v>
      </c>
      <c r="CM193">
        <f>VLOOKUP(Sales[[#This Row],[Qlty]],Lookups!$M$8:$P$22,4,FALSE)</f>
        <v>1.0019</v>
      </c>
      <c r="CN193">
        <f>VLOOKUP(Sales[[#This Row],[Cnd]],Lookups!$R$8:$U$17,4,FALSE)</f>
        <v>1.0007999999999999</v>
      </c>
      <c r="CO193">
        <f>VLOOKUP(Sales[[#This Row],[LivArea Range]],Lookups!$R$25:$U$43,4,FALSE)</f>
        <v>1.0007999999999999</v>
      </c>
      <c r="CP193">
        <f>VLOOKUP(Sales[[#This Row],[Decade]],Lookups!$M$24:$P$40,4,FALSE)</f>
        <v>0.99560000000000004</v>
      </c>
      <c r="CQ193">
        <f>Sales[[#This Row],[Nbhd Adj]]*0.95</f>
        <v>0.94971499999999998</v>
      </c>
      <c r="CR193">
        <f>Sales[[#This Row],[Nbhd Adj]]*Sales[[#This Row],[Quality Adj]]*Sales[[#This Row],[Condition Adj]]*Sales[[#This Row],[Living Area Adj]]*Sales[[#This Row],[Decade Adj]]*0.95</f>
        <v>0.94884911161218666</v>
      </c>
      <c r="CS193">
        <f>ROUND(SUM(Sales[[#This Row],[Mdl Qlty]:[Mdl BltinGar]])+Sales[[#This Row],[Mdl Res Intercept]]*Sales[[#This Row],[Res Adj ]],-2)</f>
        <v>337300</v>
      </c>
      <c r="CT193">
        <f>ROUND(Sales[[#This Row],[25Det]]*Sales[[#This Row],[Det/Nbhd Adj]],-2)</f>
        <v>0</v>
      </c>
      <c r="CU193">
        <f>Sales[[#This Row],[Adjusted Res]]+Sales[[#This Row],[Adj Det ]]</f>
        <v>337300</v>
      </c>
      <c r="CV193">
        <f>ROUND((Sales[[#This Row],[Mdl Land Intercept]]+Sales[[#This Row],[Mdl LnAcres]])*Sales[[#This Row],[Det/Nbhd Adj]],-2)</f>
        <v>62500</v>
      </c>
      <c r="CW193">
        <f>Sales[[#This Row],[Adjusted Impr Total]]+Sales[[#This Row],[Adjusted Land Total]]</f>
        <v>399800</v>
      </c>
      <c r="CX193" s="10">
        <f>IFERROR((Sales[[#This Row],[Adjusted Impr Total]]-Sales[[#This Row],[24Bldg]])/Sales[[#This Row],[24Bldg]],0)</f>
        <v>9.977176393870231E-2</v>
      </c>
      <c r="CY193" s="10">
        <f>(Sales[[#This Row],[Adjusted Land Total]]-Sales[[#This Row],[24Lnd]])/Sales[[#This Row],[24Lnd]]</f>
        <v>0</v>
      </c>
      <c r="CZ193">
        <f>(Sales[[#This Row],[Adjusted Total]]-Sales[[#This Row],[24Final]])/Sales[[#This Row],[24Final]]</f>
        <v>8.2881906825568799E-2</v>
      </c>
      <c r="DA193" s="10">
        <f>(Sales[[#This Row],[Adjusted Total]]+Sales[[#This Row],[Days Prior Total]])/Sales[[#This Row],[Price]]</f>
        <v>0.95623369305428563</v>
      </c>
    </row>
    <row r="194" spans="1:105">
      <c r="A194">
        <v>2025</v>
      </c>
      <c r="B194">
        <v>20120634416</v>
      </c>
      <c r="C194">
        <v>-1.7719568419318752</v>
      </c>
      <c r="D194">
        <v>0.17</v>
      </c>
      <c r="E194">
        <v>7329</v>
      </c>
      <c r="F194">
        <v>2</v>
      </c>
      <c r="G194" t="s">
        <v>155</v>
      </c>
      <c r="H194">
        <v>317</v>
      </c>
      <c r="I194" t="s">
        <v>5</v>
      </c>
      <c r="J194" t="s">
        <v>212</v>
      </c>
      <c r="K194">
        <v>11</v>
      </c>
      <c r="L194">
        <v>259</v>
      </c>
      <c r="M194" t="s">
        <v>330</v>
      </c>
      <c r="N194" t="s">
        <v>19</v>
      </c>
      <c r="O194" t="s">
        <v>22</v>
      </c>
      <c r="P194">
        <v>2013</v>
      </c>
      <c r="Q194">
        <v>2013</v>
      </c>
      <c r="R194">
        <v>20</v>
      </c>
      <c r="S194">
        <v>11</v>
      </c>
      <c r="T194">
        <v>11</v>
      </c>
      <c r="U194">
        <v>1</v>
      </c>
      <c r="V194">
        <v>1976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1976</v>
      </c>
      <c r="AC194">
        <v>2000</v>
      </c>
      <c r="AD194">
        <v>0</v>
      </c>
      <c r="AE194" t="s">
        <v>56</v>
      </c>
      <c r="AF194" t="s">
        <v>331</v>
      </c>
      <c r="AG194" t="s">
        <v>21</v>
      </c>
      <c r="AH194" t="s">
        <v>161</v>
      </c>
      <c r="AI194">
        <v>0</v>
      </c>
      <c r="AJ194">
        <v>0</v>
      </c>
      <c r="AK194">
        <v>1</v>
      </c>
      <c r="AL194">
        <v>0</v>
      </c>
      <c r="AM194">
        <v>0</v>
      </c>
      <c r="AN194">
        <v>11</v>
      </c>
      <c r="AO194">
        <v>687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100</v>
      </c>
      <c r="AV194">
        <v>100</v>
      </c>
      <c r="AW194">
        <v>339511</v>
      </c>
      <c r="AX194">
        <v>325931</v>
      </c>
      <c r="AY194">
        <v>1069</v>
      </c>
      <c r="AZ194">
        <v>365</v>
      </c>
      <c r="BA194">
        <v>365</v>
      </c>
      <c r="BB194">
        <v>339</v>
      </c>
      <c r="BC194" s="2">
        <v>44223</v>
      </c>
      <c r="BD194" t="s">
        <v>355</v>
      </c>
      <c r="BE194">
        <v>331750</v>
      </c>
      <c r="BF194">
        <v>331750</v>
      </c>
      <c r="BG194" t="s">
        <v>160</v>
      </c>
      <c r="BH194">
        <v>30</v>
      </c>
      <c r="BI194" t="s">
        <v>56</v>
      </c>
      <c r="BJ194" t="s">
        <v>161</v>
      </c>
      <c r="BK194">
        <v>412700</v>
      </c>
      <c r="BL194">
        <v>61700</v>
      </c>
      <c r="BM194">
        <v>351000</v>
      </c>
      <c r="BN194">
        <v>0</v>
      </c>
      <c r="BO194">
        <v>333221.23013938195</v>
      </c>
      <c r="BP194">
        <v>432002.35344202642</v>
      </c>
      <c r="BQ194">
        <f>(Sales[[#This Row],[DP1]]*Lookups!$B$61)+(Sales[[#This Row],[DP2]]*Lookups!$B$62)+(Sales[[#This Row],[DP3]]*Lookups!$B$63)</f>
        <v>-98781.119231000004</v>
      </c>
      <c r="BR194">
        <f>Lookups!$B$58*0.6</f>
        <v>132535.48800000001</v>
      </c>
      <c r="BS194">
        <f>Lookups!$B$58*0.4</f>
        <v>88356.992000000013</v>
      </c>
      <c r="BT194">
        <f>Lookups!$B$59*Sales[[#This Row],[LnAcres]]</f>
        <v>-23255.730391660189</v>
      </c>
      <c r="BU194">
        <f>VLOOKUP(Sales[[#This Row],[Qlty]],Lookups!$A$66:$E$79,2,FALSE)</f>
        <v>37154.252388000001</v>
      </c>
      <c r="BV194">
        <f>VLOOKUP(Sales[[#This Row],[Cnd]],Lookups!$A$80:$E$91,2,FALSE)</f>
        <v>50438.379078999998</v>
      </c>
      <c r="BW194">
        <f>Sales[[#This Row],[EffAge]]*Lookups!$B$65</f>
        <v>-1196.1521</v>
      </c>
      <c r="BX194">
        <f>Sales[[#This Row],[MainFn]]*Lookups!$B$90</f>
        <v>123322.91088000001</v>
      </c>
      <c r="BY194">
        <f>Sales[[#This Row],[UpprFn]]*Lookups!$B$91</f>
        <v>0</v>
      </c>
      <c r="BZ194">
        <f>Sales[[#This Row],[Bsmt]]*Lookups!$B$95</f>
        <v>0</v>
      </c>
      <c r="CA194">
        <f>VLOOKUP(Sales[[#This Row],[MsnryTrim]],Lookups!$A$90:$E$99,2,FALSE)</f>
        <v>-9412.7029999999995</v>
      </c>
      <c r="CB194">
        <f>Sales[[#This Row],[PrefabFP]]*Lookups!$B$92</f>
        <v>9807.1044999999995</v>
      </c>
      <c r="CC194">
        <f>Sales[[#This Row],[AttGar]]*Lookups!$B$93</f>
        <v>24251.808297</v>
      </c>
      <c r="CD194">
        <f>Sales[[#This Row],[BltinGar]]*Lookups!$B$94</f>
        <v>0</v>
      </c>
      <c r="CE194">
        <f>SUM(Sales[[#This Row],[Days Prior Total]:[Mdl BltinGar]])</f>
        <v>333221.23042133986</v>
      </c>
      <c r="CF194">
        <f>ROUND(Sales[[#This Row],[25Det]],-2)</f>
        <v>0</v>
      </c>
      <c r="CG194">
        <f>ROUND(SUM(Sales[[#This Row],[Mdl Qlty]:[Mdl BltinGar]])+Sales[[#This Row],[Mdl Res Intercept]]+Sales[[#This Row],[Days Prior Total]],-2)</f>
        <v>268100</v>
      </c>
      <c r="CH194">
        <f>ROUND(Sales[[#This Row],[Mdl Land Intercept]]+Sales[[#This Row],[Mdl LnAcres]],-2)</f>
        <v>65100</v>
      </c>
      <c r="CI194">
        <f>Sales[[#This Row],[Unadj Res Value]]+Sales[[#This Row],[Unadj Det Value]]+Sales[[#This Row],[Unadj Land Value]]</f>
        <v>333200</v>
      </c>
      <c r="CJ194" s="10">
        <f>Sales[[#This Row],[Price]]/Sales[[#This Row],[Unadj Total Value]]</f>
        <v>0.99564825930372147</v>
      </c>
      <c r="CK194" s="10">
        <f>(Sales[[#This Row],[Unadj Total Value]]-Sales[[#This Row],[24Final]])/Sales[[#This Row],[24Final]]</f>
        <v>-0.19263387448509814</v>
      </c>
      <c r="CL194">
        <f>VLOOKUP(Sales[[#This Row],[TNbhd]],Lookups!$M$3:$P$5,4,FALSE)</f>
        <v>0.99970000000000003</v>
      </c>
      <c r="CM194">
        <f>VLOOKUP(Sales[[#This Row],[Qlty]],Lookups!$M$8:$P$22,4,FALSE)</f>
        <v>0.99819999999999998</v>
      </c>
      <c r="CN194">
        <f>VLOOKUP(Sales[[#This Row],[Cnd]],Lookups!$R$8:$U$17,4,FALSE)</f>
        <v>1.0007999999999999</v>
      </c>
      <c r="CO194">
        <f>VLOOKUP(Sales[[#This Row],[LivArea Range]],Lookups!$R$25:$U$43,4,FALSE)</f>
        <v>1.0007999999999999</v>
      </c>
      <c r="CP194">
        <f>VLOOKUP(Sales[[#This Row],[Decade]],Lookups!$M$24:$P$40,4,FALSE)</f>
        <v>0.99560000000000004</v>
      </c>
      <c r="CQ194">
        <f>Sales[[#This Row],[Nbhd Adj]]*0.95</f>
        <v>0.94971499999999998</v>
      </c>
      <c r="CR194">
        <f>Sales[[#This Row],[Nbhd Adj]]*Sales[[#This Row],[Quality Adj]]*Sales[[#This Row],[Condition Adj]]*Sales[[#This Row],[Living Area Adj]]*Sales[[#This Row],[Decade Adj]]*0.95</f>
        <v>0.94534502765873307</v>
      </c>
      <c r="CS194">
        <f>ROUND(SUM(Sales[[#This Row],[Mdl Qlty]:[Mdl BltinGar]])+Sales[[#This Row],[Mdl Res Intercept]]*Sales[[#This Row],[Res Adj ]],-2)</f>
        <v>359700</v>
      </c>
      <c r="CT194">
        <f>ROUND(Sales[[#This Row],[25Det]]*Sales[[#This Row],[Det/Nbhd Adj]],-2)</f>
        <v>0</v>
      </c>
      <c r="CU194">
        <f>Sales[[#This Row],[Adjusted Res]]+Sales[[#This Row],[Adj Det ]]</f>
        <v>359700</v>
      </c>
      <c r="CV194">
        <f>ROUND((Sales[[#This Row],[Mdl Land Intercept]]+Sales[[#This Row],[Mdl LnAcres]])*Sales[[#This Row],[Det/Nbhd Adj]],-2)</f>
        <v>61800</v>
      </c>
      <c r="CW194">
        <f>Sales[[#This Row],[Adjusted Impr Total]]+Sales[[#This Row],[Adjusted Land Total]]</f>
        <v>421500</v>
      </c>
      <c r="CX194" s="10">
        <f>IFERROR((Sales[[#This Row],[Adjusted Impr Total]]-Sales[[#This Row],[24Bldg]])/Sales[[#This Row],[24Bldg]],0)</f>
        <v>2.4786324786324785E-2</v>
      </c>
      <c r="CY194" s="10">
        <f>(Sales[[#This Row],[Adjusted Land Total]]-Sales[[#This Row],[24Lnd]])/Sales[[#This Row],[24Lnd]]</f>
        <v>1.6207455429497568E-3</v>
      </c>
      <c r="CZ194">
        <f>(Sales[[#This Row],[Adjusted Total]]-Sales[[#This Row],[24Final]])/Sales[[#This Row],[24Final]]</f>
        <v>2.1322994911558032E-2</v>
      </c>
      <c r="DA194" s="10">
        <f>(Sales[[#This Row],[Adjusted Total]]+Sales[[#This Row],[Days Prior Total]])/Sales[[#This Row],[Price]]</f>
        <v>0.97277733464657112</v>
      </c>
    </row>
    <row r="195" spans="1:105">
      <c r="A195">
        <v>2025</v>
      </c>
      <c r="B195">
        <v>20120634423</v>
      </c>
      <c r="C195">
        <v>-1.7147984280919266</v>
      </c>
      <c r="D195">
        <v>0.18</v>
      </c>
      <c r="E195">
        <v>8021</v>
      </c>
      <c r="F195">
        <v>2</v>
      </c>
      <c r="G195" t="s">
        <v>155</v>
      </c>
      <c r="H195">
        <v>317</v>
      </c>
      <c r="I195" t="s">
        <v>5</v>
      </c>
      <c r="J195" t="s">
        <v>212</v>
      </c>
      <c r="K195">
        <v>11</v>
      </c>
      <c r="L195">
        <v>259</v>
      </c>
      <c r="M195" t="s">
        <v>330</v>
      </c>
      <c r="N195" t="s">
        <v>19</v>
      </c>
      <c r="O195" t="s">
        <v>22</v>
      </c>
      <c r="P195">
        <v>2013</v>
      </c>
      <c r="Q195">
        <v>2013</v>
      </c>
      <c r="R195">
        <v>20</v>
      </c>
      <c r="S195">
        <v>11</v>
      </c>
      <c r="T195">
        <v>11</v>
      </c>
      <c r="U195">
        <v>2</v>
      </c>
      <c r="V195">
        <v>1126</v>
      </c>
      <c r="W195">
        <v>1126</v>
      </c>
      <c r="X195">
        <v>0</v>
      </c>
      <c r="Y195">
        <v>0</v>
      </c>
      <c r="Z195">
        <v>0</v>
      </c>
      <c r="AA195">
        <v>0</v>
      </c>
      <c r="AB195">
        <v>2252</v>
      </c>
      <c r="AC195">
        <v>2500</v>
      </c>
      <c r="AD195">
        <v>2</v>
      </c>
      <c r="AE195" t="s">
        <v>56</v>
      </c>
      <c r="AF195" t="s">
        <v>331</v>
      </c>
      <c r="AG195" t="s">
        <v>21</v>
      </c>
      <c r="AH195" t="s">
        <v>161</v>
      </c>
      <c r="AI195">
        <v>0</v>
      </c>
      <c r="AJ195">
        <v>0</v>
      </c>
      <c r="AK195">
        <v>0</v>
      </c>
      <c r="AL195">
        <v>0</v>
      </c>
      <c r="AM195">
        <v>1</v>
      </c>
      <c r="AN195">
        <v>12</v>
      </c>
      <c r="AO195">
        <v>440</v>
      </c>
      <c r="AP195">
        <v>0</v>
      </c>
      <c r="AQ195">
        <v>0</v>
      </c>
      <c r="AR195">
        <v>0</v>
      </c>
      <c r="AS195">
        <v>196</v>
      </c>
      <c r="AT195">
        <v>196</v>
      </c>
      <c r="AU195">
        <v>100</v>
      </c>
      <c r="AV195">
        <v>100</v>
      </c>
      <c r="AW195">
        <v>354127</v>
      </c>
      <c r="AX195">
        <v>339962</v>
      </c>
      <c r="AY195">
        <v>759</v>
      </c>
      <c r="AZ195">
        <v>365</v>
      </c>
      <c r="BA195">
        <v>365</v>
      </c>
      <c r="BB195">
        <v>29</v>
      </c>
      <c r="BC195" s="2">
        <v>44533</v>
      </c>
      <c r="BD195" t="s">
        <v>356</v>
      </c>
      <c r="BE195">
        <v>430000</v>
      </c>
      <c r="BF195">
        <v>430000</v>
      </c>
      <c r="BG195" t="s">
        <v>160</v>
      </c>
      <c r="BH195">
        <v>30</v>
      </c>
      <c r="BI195" t="s">
        <v>56</v>
      </c>
      <c r="BJ195" t="s">
        <v>161</v>
      </c>
      <c r="BK195">
        <v>427100</v>
      </c>
      <c r="BL195">
        <v>62500</v>
      </c>
      <c r="BM195">
        <v>364600</v>
      </c>
      <c r="BN195">
        <v>0</v>
      </c>
      <c r="BO195">
        <v>400473.44099438726</v>
      </c>
      <c r="BP195">
        <v>428264.74763470766</v>
      </c>
      <c r="BQ195">
        <f>(Sales[[#This Row],[DP1]]*Lookups!$B$61)+(Sales[[#This Row],[DP2]]*Lookups!$B$62)+(Sales[[#This Row],[DP3]]*Lookups!$B$63)</f>
        <v>-27791.305230999998</v>
      </c>
      <c r="BR195">
        <f>Lookups!$B$58*0.6</f>
        <v>132535.48800000001</v>
      </c>
      <c r="BS195">
        <f>Lookups!$B$58*0.4</f>
        <v>88356.992000000013</v>
      </c>
      <c r="BT195">
        <f>Lookups!$B$59*Sales[[#This Row],[LnAcres]]</f>
        <v>-22505.565020573864</v>
      </c>
      <c r="BU195">
        <f>VLOOKUP(Sales[[#This Row],[Qlty]],Lookups!$A$66:$E$79,2,FALSE)</f>
        <v>37154.252388000001</v>
      </c>
      <c r="BV195">
        <f>VLOOKUP(Sales[[#This Row],[Cnd]],Lookups!$A$80:$E$91,2,FALSE)</f>
        <v>50438.379078999998</v>
      </c>
      <c r="BW195">
        <f>Sales[[#This Row],[EffAge]]*Lookups!$B$65</f>
        <v>-1196.1521</v>
      </c>
      <c r="BX195">
        <f>Sales[[#This Row],[MainFn]]*Lookups!$B$90</f>
        <v>70274.087880000006</v>
      </c>
      <c r="BY195">
        <f>Sales[[#This Row],[UpprFn]]*Lookups!$B$91</f>
        <v>67087.511257999999</v>
      </c>
      <c r="BZ195">
        <f>Sales[[#This Row],[Bsmt]]*Lookups!$B$95</f>
        <v>0</v>
      </c>
      <c r="CA195">
        <f>VLOOKUP(Sales[[#This Row],[MsnryTrim]],Lookups!$A$90:$E$99,2,FALSE)</f>
        <v>-9412.7029999999995</v>
      </c>
      <c r="CB195">
        <f>Sales[[#This Row],[PrefabFP]]*Lookups!$B$92</f>
        <v>0</v>
      </c>
      <c r="CC195">
        <f>Sales[[#This Row],[AttGar]]*Lookups!$B$93</f>
        <v>15532.453640000002</v>
      </c>
      <c r="CD195">
        <f>Sales[[#This Row],[BltinGar]]*Lookups!$B$94</f>
        <v>0</v>
      </c>
      <c r="CE195">
        <f>SUM(Sales[[#This Row],[Days Prior Total]:[Mdl BltinGar]])</f>
        <v>400473.43889342621</v>
      </c>
      <c r="CF195">
        <f>ROUND(Sales[[#This Row],[25Det]],-2)</f>
        <v>0</v>
      </c>
      <c r="CG195">
        <f>ROUND(SUM(Sales[[#This Row],[Mdl Qlty]:[Mdl BltinGar]])+Sales[[#This Row],[Mdl Res Intercept]]+Sales[[#This Row],[Days Prior Total]],-2)</f>
        <v>334600</v>
      </c>
      <c r="CH195">
        <f>ROUND(Sales[[#This Row],[Mdl Land Intercept]]+Sales[[#This Row],[Mdl LnAcres]],-2)</f>
        <v>65900</v>
      </c>
      <c r="CI195">
        <f>Sales[[#This Row],[Unadj Res Value]]+Sales[[#This Row],[Unadj Det Value]]+Sales[[#This Row],[Unadj Land Value]]</f>
        <v>400500</v>
      </c>
      <c r="CJ195" s="10">
        <f>Sales[[#This Row],[Price]]/Sales[[#This Row],[Unadj Total Value]]</f>
        <v>1.0736579275905118</v>
      </c>
      <c r="CK195" s="10">
        <f>(Sales[[#This Row],[Unadj Total Value]]-Sales[[#This Row],[24Final]])/Sales[[#This Row],[24Final]]</f>
        <v>-6.228049637087333E-2</v>
      </c>
      <c r="CL195">
        <f>VLOOKUP(Sales[[#This Row],[TNbhd]],Lookups!$M$3:$P$5,4,FALSE)</f>
        <v>0.99970000000000003</v>
      </c>
      <c r="CM195">
        <f>VLOOKUP(Sales[[#This Row],[Qlty]],Lookups!$M$8:$P$22,4,FALSE)</f>
        <v>0.99819999999999998</v>
      </c>
      <c r="CN195">
        <f>VLOOKUP(Sales[[#This Row],[Cnd]],Lookups!$R$8:$U$17,4,FALSE)</f>
        <v>1.0007999999999999</v>
      </c>
      <c r="CO195">
        <f>VLOOKUP(Sales[[#This Row],[LivArea Range]],Lookups!$R$25:$U$43,4,FALSE)</f>
        <v>1.0008999999999999</v>
      </c>
      <c r="CP195">
        <f>VLOOKUP(Sales[[#This Row],[Decade]],Lookups!$M$24:$P$40,4,FALSE)</f>
        <v>0.99560000000000004</v>
      </c>
      <c r="CQ195">
        <f>Sales[[#This Row],[Nbhd Adj]]*0.95</f>
        <v>0.94971499999999998</v>
      </c>
      <c r="CR195">
        <f>Sales[[#This Row],[Nbhd Adj]]*Sales[[#This Row],[Quality Adj]]*Sales[[#This Row],[Condition Adj]]*Sales[[#This Row],[Living Area Adj]]*Sales[[#This Row],[Decade Adj]]*0.95</f>
        <v>0.94543948659435051</v>
      </c>
      <c r="CS195">
        <f>ROUND(SUM(Sales[[#This Row],[Mdl Qlty]:[Mdl BltinGar]])+Sales[[#This Row],[Mdl Res Intercept]]*Sales[[#This Row],[Res Adj ]],-2)</f>
        <v>355200</v>
      </c>
      <c r="CT195">
        <f>ROUND(Sales[[#This Row],[25Det]]*Sales[[#This Row],[Det/Nbhd Adj]],-2)</f>
        <v>0</v>
      </c>
      <c r="CU195">
        <f>Sales[[#This Row],[Adjusted Res]]+Sales[[#This Row],[Adj Det ]]</f>
        <v>355200</v>
      </c>
      <c r="CV195">
        <f>ROUND((Sales[[#This Row],[Mdl Land Intercept]]+Sales[[#This Row],[Mdl LnAcres]])*Sales[[#This Row],[Det/Nbhd Adj]],-2)</f>
        <v>62500</v>
      </c>
      <c r="CW195">
        <f>Sales[[#This Row],[Adjusted Impr Total]]+Sales[[#This Row],[Adjusted Land Total]]</f>
        <v>417700</v>
      </c>
      <c r="CX195" s="10">
        <f>IFERROR((Sales[[#This Row],[Adjusted Impr Total]]-Sales[[#This Row],[24Bldg]])/Sales[[#This Row],[24Bldg]],0)</f>
        <v>-2.578167855183763E-2</v>
      </c>
      <c r="CY195" s="10">
        <f>(Sales[[#This Row],[Adjusted Land Total]]-Sales[[#This Row],[24Lnd]])/Sales[[#This Row],[24Lnd]]</f>
        <v>0</v>
      </c>
      <c r="CZ195">
        <f>(Sales[[#This Row],[Adjusted Total]]-Sales[[#This Row],[24Final]])/Sales[[#This Row],[24Final]]</f>
        <v>-2.2008897213767267E-2</v>
      </c>
      <c r="DA195" s="10">
        <f>(Sales[[#This Row],[Adjusted Total]]+Sales[[#This Row],[Days Prior Total]])/Sales[[#This Row],[Price]]</f>
        <v>0.90676440643953482</v>
      </c>
    </row>
    <row r="196" spans="1:105">
      <c r="A196">
        <v>2025</v>
      </c>
      <c r="B196">
        <v>20120634431</v>
      </c>
      <c r="C196">
        <v>-1.7147984280919266</v>
      </c>
      <c r="D196">
        <v>0.18</v>
      </c>
      <c r="E196">
        <v>7787</v>
      </c>
      <c r="F196">
        <v>2</v>
      </c>
      <c r="G196" t="s">
        <v>155</v>
      </c>
      <c r="H196">
        <v>317</v>
      </c>
      <c r="I196" t="s">
        <v>5</v>
      </c>
      <c r="J196" t="s">
        <v>212</v>
      </c>
      <c r="K196">
        <v>11</v>
      </c>
      <c r="L196">
        <v>259</v>
      </c>
      <c r="M196" t="s">
        <v>330</v>
      </c>
      <c r="N196" t="s">
        <v>21</v>
      </c>
      <c r="O196" t="s">
        <v>22</v>
      </c>
      <c r="P196">
        <v>2013</v>
      </c>
      <c r="Q196">
        <v>2013</v>
      </c>
      <c r="R196">
        <v>20</v>
      </c>
      <c r="S196">
        <v>11</v>
      </c>
      <c r="T196">
        <v>11</v>
      </c>
      <c r="U196">
        <v>1</v>
      </c>
      <c r="V196">
        <v>1799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1799</v>
      </c>
      <c r="AC196">
        <v>2000</v>
      </c>
      <c r="AD196">
        <v>0</v>
      </c>
      <c r="AE196" t="s">
        <v>56</v>
      </c>
      <c r="AF196" t="s">
        <v>331</v>
      </c>
      <c r="AG196" t="s">
        <v>21</v>
      </c>
      <c r="AH196" t="s">
        <v>161</v>
      </c>
      <c r="AI196">
        <v>0</v>
      </c>
      <c r="AJ196">
        <v>0</v>
      </c>
      <c r="AK196">
        <v>1</v>
      </c>
      <c r="AL196">
        <v>0</v>
      </c>
      <c r="AM196">
        <v>0</v>
      </c>
      <c r="AN196">
        <v>10</v>
      </c>
      <c r="AO196">
        <v>681</v>
      </c>
      <c r="AP196">
        <v>0</v>
      </c>
      <c r="AQ196">
        <v>0</v>
      </c>
      <c r="AR196">
        <v>0</v>
      </c>
      <c r="AS196">
        <v>144</v>
      </c>
      <c r="AT196">
        <v>0</v>
      </c>
      <c r="AU196">
        <v>100</v>
      </c>
      <c r="AV196">
        <v>100</v>
      </c>
      <c r="AW196">
        <v>357958</v>
      </c>
      <c r="AX196">
        <v>343640</v>
      </c>
      <c r="AY196">
        <v>1069</v>
      </c>
      <c r="AZ196">
        <v>365</v>
      </c>
      <c r="BA196">
        <v>365</v>
      </c>
      <c r="BB196">
        <v>339</v>
      </c>
      <c r="BC196" s="2">
        <v>44223</v>
      </c>
      <c r="BD196" t="s">
        <v>357</v>
      </c>
      <c r="BE196">
        <v>335000</v>
      </c>
      <c r="BF196">
        <v>335000</v>
      </c>
      <c r="BG196" t="s">
        <v>160</v>
      </c>
      <c r="BH196">
        <v>30</v>
      </c>
      <c r="BI196" t="s">
        <v>56</v>
      </c>
      <c r="BJ196" t="s">
        <v>161</v>
      </c>
      <c r="BK196">
        <v>395600</v>
      </c>
      <c r="BL196">
        <v>62500</v>
      </c>
      <c r="BM196">
        <v>333100</v>
      </c>
      <c r="BN196">
        <v>0</v>
      </c>
      <c r="BO196">
        <v>318476.54885818798</v>
      </c>
      <c r="BP196">
        <v>417257.67216083256</v>
      </c>
      <c r="BQ196">
        <f>(Sales[[#This Row],[DP1]]*Lookups!$B$61)+(Sales[[#This Row],[DP2]]*Lookups!$B$62)+(Sales[[#This Row],[DP3]]*Lookups!$B$63)</f>
        <v>-98781.119231000004</v>
      </c>
      <c r="BR196">
        <f>Lookups!$B$58*0.6</f>
        <v>132535.48800000001</v>
      </c>
      <c r="BS196">
        <f>Lookups!$B$58*0.4</f>
        <v>88356.992000000013</v>
      </c>
      <c r="BT196">
        <f>Lookups!$B$59*Sales[[#This Row],[LnAcres]]</f>
        <v>-22505.565020573864</v>
      </c>
      <c r="BU196">
        <f>VLOOKUP(Sales[[#This Row],[Qlty]],Lookups!$A$66:$E$79,2,FALSE)</f>
        <v>32917.849192000001</v>
      </c>
      <c r="BV196">
        <f>VLOOKUP(Sales[[#This Row],[Cnd]],Lookups!$A$80:$E$91,2,FALSE)</f>
        <v>50438.379078999998</v>
      </c>
      <c r="BW196">
        <f>Sales[[#This Row],[EffAge]]*Lookups!$B$65</f>
        <v>-1196.1521</v>
      </c>
      <c r="BX196">
        <f>Sales[[#This Row],[MainFn]]*Lookups!$B$90</f>
        <v>112276.27362000001</v>
      </c>
      <c r="BY196">
        <f>Sales[[#This Row],[UpprFn]]*Lookups!$B$91</f>
        <v>0</v>
      </c>
      <c r="BZ196">
        <f>Sales[[#This Row],[Bsmt]]*Lookups!$B$95</f>
        <v>0</v>
      </c>
      <c r="CA196">
        <f>VLOOKUP(Sales[[#This Row],[MsnryTrim]],Lookups!$A$90:$E$99,2,FALSE)</f>
        <v>-9412.7029999999995</v>
      </c>
      <c r="CB196">
        <f>Sales[[#This Row],[PrefabFP]]*Lookups!$B$92</f>
        <v>9807.1044999999995</v>
      </c>
      <c r="CC196">
        <f>Sales[[#This Row],[AttGar]]*Lookups!$B$93</f>
        <v>24040.002111000002</v>
      </c>
      <c r="CD196">
        <f>Sales[[#This Row],[BltinGar]]*Lookups!$B$94</f>
        <v>0</v>
      </c>
      <c r="CE196">
        <f>SUM(Sales[[#This Row],[Days Prior Total]:[Mdl BltinGar]])</f>
        <v>318476.54915042623</v>
      </c>
      <c r="CF196">
        <f>ROUND(Sales[[#This Row],[25Det]],-2)</f>
        <v>0</v>
      </c>
      <c r="CG196">
        <f>ROUND(SUM(Sales[[#This Row],[Mdl Qlty]:[Mdl BltinGar]])+Sales[[#This Row],[Mdl Res Intercept]]+Sales[[#This Row],[Days Prior Total]],-2)</f>
        <v>252600</v>
      </c>
      <c r="CH196">
        <f>ROUND(Sales[[#This Row],[Mdl Land Intercept]]+Sales[[#This Row],[Mdl LnAcres]],-2)</f>
        <v>65900</v>
      </c>
      <c r="CI196">
        <f>Sales[[#This Row],[Unadj Res Value]]+Sales[[#This Row],[Unadj Det Value]]+Sales[[#This Row],[Unadj Land Value]]</f>
        <v>318500</v>
      </c>
      <c r="CJ196" s="10">
        <f>Sales[[#This Row],[Price]]/Sales[[#This Row],[Unadj Total Value]]</f>
        <v>1.0518053375196232</v>
      </c>
      <c r="CK196" s="10">
        <f>(Sales[[#This Row],[Unadj Total Value]]-Sales[[#This Row],[24Final]])/Sales[[#This Row],[24Final]]</f>
        <v>-0.1948938321536906</v>
      </c>
      <c r="CL196">
        <f>VLOOKUP(Sales[[#This Row],[TNbhd]],Lookups!$M$3:$P$5,4,FALSE)</f>
        <v>0.99970000000000003</v>
      </c>
      <c r="CM196">
        <f>VLOOKUP(Sales[[#This Row],[Qlty]],Lookups!$M$8:$P$22,4,FALSE)</f>
        <v>1.0019</v>
      </c>
      <c r="CN196">
        <f>VLOOKUP(Sales[[#This Row],[Cnd]],Lookups!$R$8:$U$17,4,FALSE)</f>
        <v>1.0007999999999999</v>
      </c>
      <c r="CO196">
        <f>VLOOKUP(Sales[[#This Row],[LivArea Range]],Lookups!$R$25:$U$43,4,FALSE)</f>
        <v>1.0007999999999999</v>
      </c>
      <c r="CP196">
        <f>VLOOKUP(Sales[[#This Row],[Decade]],Lookups!$M$24:$P$40,4,FALSE)</f>
        <v>0.99560000000000004</v>
      </c>
      <c r="CQ196">
        <f>Sales[[#This Row],[Nbhd Adj]]*0.95</f>
        <v>0.94971499999999998</v>
      </c>
      <c r="CR196">
        <f>Sales[[#This Row],[Nbhd Adj]]*Sales[[#This Row],[Quality Adj]]*Sales[[#This Row],[Condition Adj]]*Sales[[#This Row],[Living Area Adj]]*Sales[[#This Row],[Decade Adj]]*0.95</f>
        <v>0.94884911161218666</v>
      </c>
      <c r="CS196">
        <f>ROUND(SUM(Sales[[#This Row],[Mdl Qlty]:[Mdl BltinGar]])+Sales[[#This Row],[Mdl Res Intercept]]*Sales[[#This Row],[Res Adj ]],-2)</f>
        <v>344600</v>
      </c>
      <c r="CT196">
        <f>ROUND(Sales[[#This Row],[25Det]]*Sales[[#This Row],[Det/Nbhd Adj]],-2)</f>
        <v>0</v>
      </c>
      <c r="CU196">
        <f>Sales[[#This Row],[Adjusted Res]]+Sales[[#This Row],[Adj Det ]]</f>
        <v>344600</v>
      </c>
      <c r="CV196">
        <f>ROUND((Sales[[#This Row],[Mdl Land Intercept]]+Sales[[#This Row],[Mdl LnAcres]])*Sales[[#This Row],[Det/Nbhd Adj]],-2)</f>
        <v>62500</v>
      </c>
      <c r="CW196">
        <f>Sales[[#This Row],[Adjusted Impr Total]]+Sales[[#This Row],[Adjusted Land Total]]</f>
        <v>407100</v>
      </c>
      <c r="CX196" s="10">
        <f>IFERROR((Sales[[#This Row],[Adjusted Impr Total]]-Sales[[#This Row],[24Bldg]])/Sales[[#This Row],[24Bldg]],0)</f>
        <v>3.4524166916841792E-2</v>
      </c>
      <c r="CY196" s="10">
        <f>(Sales[[#This Row],[Adjusted Land Total]]-Sales[[#This Row],[24Lnd]])/Sales[[#This Row],[24Lnd]]</f>
        <v>0</v>
      </c>
      <c r="CZ196">
        <f>(Sales[[#This Row],[Adjusted Total]]-Sales[[#This Row],[24Final]])/Sales[[#This Row],[24Final]]</f>
        <v>2.9069767441860465E-2</v>
      </c>
      <c r="DA196" s="10">
        <f>(Sales[[#This Row],[Adjusted Total]]+Sales[[#This Row],[Days Prior Total]])/Sales[[#This Row],[Price]]</f>
        <v>0.92035486796716415</v>
      </c>
    </row>
    <row r="197" spans="1:105">
      <c r="A197">
        <v>2025</v>
      </c>
      <c r="B197">
        <v>19120143012</v>
      </c>
      <c r="C197">
        <v>-1.4271163556401458</v>
      </c>
      <c r="D197">
        <v>0.24</v>
      </c>
      <c r="E197">
        <v>10540</v>
      </c>
      <c r="F197">
        <v>2</v>
      </c>
      <c r="G197" t="s">
        <v>155</v>
      </c>
      <c r="H197" t="s">
        <v>5</v>
      </c>
      <c r="I197" t="s">
        <v>5</v>
      </c>
      <c r="J197" t="s">
        <v>156</v>
      </c>
      <c r="K197">
        <v>11</v>
      </c>
      <c r="L197">
        <v>259</v>
      </c>
      <c r="M197" t="s">
        <v>193</v>
      </c>
      <c r="N197" t="s">
        <v>19</v>
      </c>
      <c r="O197" t="s">
        <v>18</v>
      </c>
      <c r="P197">
        <v>2012</v>
      </c>
      <c r="Q197">
        <v>2012</v>
      </c>
      <c r="R197">
        <v>20</v>
      </c>
      <c r="S197">
        <v>12</v>
      </c>
      <c r="T197">
        <v>12</v>
      </c>
      <c r="U197">
        <v>1</v>
      </c>
      <c r="V197">
        <v>1948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1948</v>
      </c>
      <c r="AC197">
        <v>2000</v>
      </c>
      <c r="AD197">
        <v>0</v>
      </c>
      <c r="AE197" t="s">
        <v>56</v>
      </c>
      <c r="AF197" t="s">
        <v>158</v>
      </c>
      <c r="AG197" t="s">
        <v>27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10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100</v>
      </c>
      <c r="AV197">
        <v>100</v>
      </c>
      <c r="AW197">
        <v>319179</v>
      </c>
      <c r="AX197">
        <v>306412</v>
      </c>
      <c r="AY197">
        <v>76</v>
      </c>
      <c r="AZ197">
        <v>76</v>
      </c>
      <c r="BA197">
        <v>0</v>
      </c>
      <c r="BB197">
        <v>0</v>
      </c>
      <c r="BC197" s="2">
        <v>45216</v>
      </c>
      <c r="BD197" t="s">
        <v>358</v>
      </c>
      <c r="BE197">
        <v>420000</v>
      </c>
      <c r="BF197">
        <v>387802</v>
      </c>
      <c r="BG197" t="s">
        <v>160</v>
      </c>
      <c r="BH197">
        <v>30</v>
      </c>
      <c r="BI197" t="s">
        <v>56</v>
      </c>
      <c r="BJ197" t="s">
        <v>161</v>
      </c>
      <c r="BK197">
        <v>422300</v>
      </c>
      <c r="BL197">
        <v>66500</v>
      </c>
      <c r="BM197">
        <v>355800</v>
      </c>
      <c r="BN197">
        <v>32198</v>
      </c>
      <c r="BO197">
        <v>368657.55612551159</v>
      </c>
      <c r="BP197">
        <v>367935.74911735096</v>
      </c>
      <c r="BQ197">
        <f>(Sales[[#This Row],[DP1]]*Lookups!$B$61)+(Sales[[#This Row],[DP2]]*Lookups!$B$62)+(Sales[[#This Row],[DP3]]*Lookups!$B$63)</f>
        <v>721.80700560000002</v>
      </c>
      <c r="BR197">
        <f>Lookups!$B$58*0.6</f>
        <v>132535.48800000001</v>
      </c>
      <c r="BS197">
        <f>Lookups!$B$58*0.4</f>
        <v>88356.992000000013</v>
      </c>
      <c r="BT197">
        <f>Lookups!$B$59*Sales[[#This Row],[LnAcres]]</f>
        <v>-18729.933155771436</v>
      </c>
      <c r="BU197">
        <f>VLOOKUP(Sales[[#This Row],[Qlty]],Lookups!$A$66:$E$79,2,FALSE)</f>
        <v>37154.252388000001</v>
      </c>
      <c r="BV197">
        <f>VLOOKUP(Sales[[#This Row],[Cnd]],Lookups!$A$80:$E$91,2,FALSE)</f>
        <v>17761.121909000001</v>
      </c>
      <c r="BW197">
        <f>Sales[[#This Row],[EffAge]]*Lookups!$B$65</f>
        <v>-1304.8932</v>
      </c>
      <c r="BX197">
        <f>Sales[[#This Row],[MainFn]]*Lookups!$B$90</f>
        <v>121575.42024000001</v>
      </c>
      <c r="BY197">
        <f>Sales[[#This Row],[UpprFn]]*Lookups!$B$91</f>
        <v>0</v>
      </c>
      <c r="BZ197">
        <f>Sales[[#This Row],[Bsmt]]*Lookups!$B$95</f>
        <v>0</v>
      </c>
      <c r="CA197">
        <f>VLOOKUP(Sales[[#This Row],[MsnryTrim]],Lookups!$A$90:$E$99,2,FALSE)</f>
        <v>-9412.7029999999995</v>
      </c>
      <c r="CB197">
        <f>Sales[[#This Row],[PrefabFP]]*Lookups!$B$92</f>
        <v>0</v>
      </c>
      <c r="CC197">
        <f>Sales[[#This Row],[AttGar]]*Lookups!$B$93</f>
        <v>0</v>
      </c>
      <c r="CD197">
        <f>Sales[[#This Row],[BltinGar]]*Lookups!$B$94</f>
        <v>0</v>
      </c>
      <c r="CE197">
        <f>SUM(Sales[[#This Row],[Days Prior Total]:[Mdl BltinGar]])</f>
        <v>368657.55218682869</v>
      </c>
      <c r="CF197">
        <f>ROUND(Sales[[#This Row],[25Det]],-2)</f>
        <v>32200</v>
      </c>
      <c r="CG197">
        <f>ROUND(SUM(Sales[[#This Row],[Mdl Qlty]:[Mdl BltinGar]])+Sales[[#This Row],[Mdl Res Intercept]]+Sales[[#This Row],[Days Prior Total]],-2)</f>
        <v>299000</v>
      </c>
      <c r="CH197">
        <f>ROUND(Sales[[#This Row],[Mdl Land Intercept]]+Sales[[#This Row],[Mdl LnAcres]],-2)</f>
        <v>69600</v>
      </c>
      <c r="CI197">
        <f>Sales[[#This Row],[Unadj Res Value]]+Sales[[#This Row],[Unadj Det Value]]+Sales[[#This Row],[Unadj Land Value]]</f>
        <v>400800</v>
      </c>
      <c r="CJ197" s="10">
        <f>Sales[[#This Row],[Price]]/Sales[[#This Row],[Unadj Total Value]]</f>
        <v>1.0479041916167664</v>
      </c>
      <c r="CK197" s="10">
        <f>(Sales[[#This Row],[Unadj Total Value]]-Sales[[#This Row],[24Final]])/Sales[[#This Row],[24Final]]</f>
        <v>-5.0911674165285345E-2</v>
      </c>
      <c r="CL197">
        <f>VLOOKUP(Sales[[#This Row],[TNbhd]],Lookups!$M$3:$P$5,4,FALSE)</f>
        <v>0.99970000000000003</v>
      </c>
      <c r="CM197">
        <f>VLOOKUP(Sales[[#This Row],[Qlty]],Lookups!$M$8:$P$22,4,FALSE)</f>
        <v>0.99819999999999998</v>
      </c>
      <c r="CN197">
        <f>VLOOKUP(Sales[[#This Row],[Cnd]],Lookups!$R$8:$U$17,4,FALSE)</f>
        <v>0.99680000000000002</v>
      </c>
      <c r="CO197">
        <f>VLOOKUP(Sales[[#This Row],[LivArea Range]],Lookups!$R$25:$U$43,4,FALSE)</f>
        <v>1.0007999999999999</v>
      </c>
      <c r="CP197">
        <f>VLOOKUP(Sales[[#This Row],[Decade]],Lookups!$M$24:$P$40,4,FALSE)</f>
        <v>0.99560000000000004</v>
      </c>
      <c r="CQ197">
        <f>Sales[[#This Row],[Nbhd Adj]]*0.95</f>
        <v>0.94971499999999998</v>
      </c>
      <c r="CR197">
        <f>Sales[[#This Row],[Nbhd Adj]]*Sales[[#This Row],[Quality Adj]]*Sales[[#This Row],[Condition Adj]]*Sales[[#This Row],[Living Area Adj]]*Sales[[#This Row],[Decade Adj]]*0.95</f>
        <v>0.94156667023403817</v>
      </c>
      <c r="CS197">
        <f>ROUND(SUM(Sales[[#This Row],[Mdl Qlty]:[Mdl BltinGar]])+Sales[[#This Row],[Mdl Res Intercept]]*Sales[[#This Row],[Res Adj ]],-2)</f>
        <v>290600</v>
      </c>
      <c r="CT197">
        <f>ROUND(Sales[[#This Row],[25Det]]*Sales[[#This Row],[Det/Nbhd Adj]],-2)</f>
        <v>30600</v>
      </c>
      <c r="CU197">
        <f>Sales[[#This Row],[Adjusted Res]]+Sales[[#This Row],[Adj Det ]]</f>
        <v>321200</v>
      </c>
      <c r="CV197">
        <f>ROUND((Sales[[#This Row],[Mdl Land Intercept]]+Sales[[#This Row],[Mdl LnAcres]])*Sales[[#This Row],[Det/Nbhd Adj]],-2)</f>
        <v>66100</v>
      </c>
      <c r="CW197">
        <f>Sales[[#This Row],[Adjusted Impr Total]]+Sales[[#This Row],[Adjusted Land Total]]</f>
        <v>387300</v>
      </c>
      <c r="CX197" s="10">
        <f>IFERROR((Sales[[#This Row],[Adjusted Impr Total]]-Sales[[#This Row],[24Bldg]])/Sales[[#This Row],[24Bldg]],0)</f>
        <v>-9.7245643620011243E-2</v>
      </c>
      <c r="CY197" s="10">
        <f>(Sales[[#This Row],[Adjusted Land Total]]-Sales[[#This Row],[24Lnd]])/Sales[[#This Row],[24Lnd]]</f>
        <v>-6.0150375939849628E-3</v>
      </c>
      <c r="CZ197">
        <f>(Sales[[#This Row],[Adjusted Total]]-Sales[[#This Row],[24Final]])/Sales[[#This Row],[24Final]]</f>
        <v>-8.2879469571394748E-2</v>
      </c>
      <c r="DA197" s="10">
        <f>(Sales[[#This Row],[Adjusted Total]]+Sales[[#This Row],[Days Prior Total]])/Sales[[#This Row],[Price]]</f>
        <v>0.92386144525142866</v>
      </c>
    </row>
    <row r="198" spans="1:105">
      <c r="A198">
        <v>2025</v>
      </c>
      <c r="B198">
        <v>20120633491</v>
      </c>
      <c r="C198">
        <v>-1.7147984280919266</v>
      </c>
      <c r="D198">
        <v>0.18</v>
      </c>
      <c r="E198">
        <v>7867</v>
      </c>
      <c r="F198">
        <v>2</v>
      </c>
      <c r="G198" t="s">
        <v>155</v>
      </c>
      <c r="H198">
        <v>317</v>
      </c>
      <c r="I198" t="s">
        <v>5</v>
      </c>
      <c r="J198" t="s">
        <v>212</v>
      </c>
      <c r="K198">
        <v>11</v>
      </c>
      <c r="L198">
        <v>259</v>
      </c>
      <c r="M198" t="s">
        <v>193</v>
      </c>
      <c r="N198" t="s">
        <v>21</v>
      </c>
      <c r="O198" t="s">
        <v>20</v>
      </c>
      <c r="P198">
        <v>2012</v>
      </c>
      <c r="Q198">
        <v>2012</v>
      </c>
      <c r="R198">
        <v>20</v>
      </c>
      <c r="S198">
        <v>12</v>
      </c>
      <c r="T198">
        <v>12</v>
      </c>
      <c r="U198">
        <v>1</v>
      </c>
      <c r="V198">
        <v>2138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2138</v>
      </c>
      <c r="AC198">
        <v>2500</v>
      </c>
      <c r="AD198">
        <v>3</v>
      </c>
      <c r="AE198" t="s">
        <v>56</v>
      </c>
      <c r="AF198" t="s">
        <v>331</v>
      </c>
      <c r="AG198" t="s">
        <v>21</v>
      </c>
      <c r="AH198" t="s">
        <v>161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11</v>
      </c>
      <c r="AO198">
        <v>706</v>
      </c>
      <c r="AP198">
        <v>0</v>
      </c>
      <c r="AQ198">
        <v>0</v>
      </c>
      <c r="AR198">
        <v>0</v>
      </c>
      <c r="AS198">
        <v>189</v>
      </c>
      <c r="AT198">
        <v>0</v>
      </c>
      <c r="AU198">
        <v>100</v>
      </c>
      <c r="AV198">
        <v>100</v>
      </c>
      <c r="AW198">
        <v>417081</v>
      </c>
      <c r="AX198">
        <v>400398</v>
      </c>
      <c r="AY198">
        <v>291</v>
      </c>
      <c r="AZ198">
        <v>291</v>
      </c>
      <c r="BA198">
        <v>0</v>
      </c>
      <c r="BB198">
        <v>0</v>
      </c>
      <c r="BC198" s="2">
        <v>45001</v>
      </c>
      <c r="BD198" t="s">
        <v>359</v>
      </c>
      <c r="BE198">
        <v>440000</v>
      </c>
      <c r="BF198">
        <v>440000</v>
      </c>
      <c r="BG198" t="s">
        <v>160</v>
      </c>
      <c r="BH198">
        <v>30</v>
      </c>
      <c r="BI198" t="s">
        <v>56</v>
      </c>
      <c r="BJ198" t="s">
        <v>161</v>
      </c>
      <c r="BK198">
        <v>407100</v>
      </c>
      <c r="BL198">
        <v>62500</v>
      </c>
      <c r="BM198">
        <v>344600</v>
      </c>
      <c r="BN198">
        <v>0</v>
      </c>
      <c r="BO198">
        <v>412007.18234260462</v>
      </c>
      <c r="BP198">
        <v>409243.42129820079</v>
      </c>
      <c r="BQ198">
        <f>(Sales[[#This Row],[DP1]]*Lookups!$B$61)+(Sales[[#This Row],[DP2]]*Lookups!$B$62)+(Sales[[#This Row],[DP3]]*Lookups!$B$63)</f>
        <v>2763.7610346000001</v>
      </c>
      <c r="BR198">
        <f>Lookups!$B$58*0.6</f>
        <v>132535.48800000001</v>
      </c>
      <c r="BS198">
        <f>Lookups!$B$58*0.4</f>
        <v>88356.992000000013</v>
      </c>
      <c r="BT198">
        <f>Lookups!$B$59*Sales[[#This Row],[LnAcres]]</f>
        <v>-22505.565020573864</v>
      </c>
      <c r="BU198">
        <f>VLOOKUP(Sales[[#This Row],[Qlty]],Lookups!$A$66:$E$79,2,FALSE)</f>
        <v>32917.849192000001</v>
      </c>
      <c r="BV198">
        <f>VLOOKUP(Sales[[#This Row],[Cnd]],Lookups!$A$80:$E$91,2,FALSE)</f>
        <v>30300.329274</v>
      </c>
      <c r="BW198">
        <f>Sales[[#This Row],[EffAge]]*Lookups!$B$65</f>
        <v>-1304.8932</v>
      </c>
      <c r="BX198">
        <f>Sales[[#This Row],[MainFn]]*Lookups!$B$90</f>
        <v>133433.39244</v>
      </c>
      <c r="BY198">
        <f>Sales[[#This Row],[UpprFn]]*Lookups!$B$91</f>
        <v>0</v>
      </c>
      <c r="BZ198">
        <f>Sales[[#This Row],[Bsmt]]*Lookups!$B$95</f>
        <v>0</v>
      </c>
      <c r="CA198">
        <f>VLOOKUP(Sales[[#This Row],[MsnryTrim]],Lookups!$A$90:$E$99,2,FALSE)</f>
        <v>-9412.7029999999995</v>
      </c>
      <c r="CB198">
        <f>Sales[[#This Row],[PrefabFP]]*Lookups!$B$92</f>
        <v>0</v>
      </c>
      <c r="CC198">
        <f>Sales[[#This Row],[AttGar]]*Lookups!$B$93</f>
        <v>24922.527886</v>
      </c>
      <c r="CD198">
        <f>Sales[[#This Row],[BltinGar]]*Lookups!$B$94</f>
        <v>0</v>
      </c>
      <c r="CE198">
        <f>SUM(Sales[[#This Row],[Days Prior Total]:[Mdl BltinGar]])</f>
        <v>412007.17860602622</v>
      </c>
      <c r="CF198">
        <f>ROUND(Sales[[#This Row],[25Det]],-2)</f>
        <v>0</v>
      </c>
      <c r="CG198">
        <f>ROUND(SUM(Sales[[#This Row],[Mdl Qlty]:[Mdl BltinGar]])+Sales[[#This Row],[Mdl Res Intercept]]+Sales[[#This Row],[Days Prior Total]],-2)</f>
        <v>346200</v>
      </c>
      <c r="CH198">
        <f>ROUND(Sales[[#This Row],[Mdl Land Intercept]]+Sales[[#This Row],[Mdl LnAcres]],-2)</f>
        <v>65900</v>
      </c>
      <c r="CI198">
        <f>Sales[[#This Row],[Unadj Res Value]]+Sales[[#This Row],[Unadj Det Value]]+Sales[[#This Row],[Unadj Land Value]]</f>
        <v>412100</v>
      </c>
      <c r="CJ198" s="10">
        <f>Sales[[#This Row],[Price]]/Sales[[#This Row],[Unadj Total Value]]</f>
        <v>1.0677020140742539</v>
      </c>
      <c r="CK198" s="10">
        <f>(Sales[[#This Row],[Unadj Total Value]]-Sales[[#This Row],[24Final]])/Sales[[#This Row],[24Final]]</f>
        <v>1.2281994595922378E-2</v>
      </c>
      <c r="CL198">
        <f>VLOOKUP(Sales[[#This Row],[TNbhd]],Lookups!$M$3:$P$5,4,FALSE)</f>
        <v>0.99970000000000003</v>
      </c>
      <c r="CM198">
        <f>VLOOKUP(Sales[[#This Row],[Qlty]],Lookups!$M$8:$P$22,4,FALSE)</f>
        <v>1.0019</v>
      </c>
      <c r="CN198">
        <f>VLOOKUP(Sales[[#This Row],[Cnd]],Lookups!$R$8:$U$17,4,FALSE)</f>
        <v>0.997</v>
      </c>
      <c r="CO198">
        <f>VLOOKUP(Sales[[#This Row],[LivArea Range]],Lookups!$R$25:$U$43,4,FALSE)</f>
        <v>1.0008999999999999</v>
      </c>
      <c r="CP198">
        <f>VLOOKUP(Sales[[#This Row],[Decade]],Lookups!$M$24:$P$40,4,FALSE)</f>
        <v>0.99560000000000004</v>
      </c>
      <c r="CQ198">
        <f>Sales[[#This Row],[Nbhd Adj]]*0.95</f>
        <v>0.94971499999999998</v>
      </c>
      <c r="CR198">
        <f>Sales[[#This Row],[Nbhd Adj]]*Sales[[#This Row],[Quality Adj]]*Sales[[#This Row],[Condition Adj]]*Sales[[#This Row],[Living Area Adj]]*Sales[[#This Row],[Decade Adj]]*0.95</f>
        <v>0.94534081626105959</v>
      </c>
      <c r="CS198">
        <f>ROUND(SUM(Sales[[#This Row],[Mdl Qlty]:[Mdl BltinGar]])+Sales[[#This Row],[Mdl Res Intercept]]*Sales[[#This Row],[Res Adj ]],-2)</f>
        <v>336100</v>
      </c>
      <c r="CT198">
        <f>ROUND(Sales[[#This Row],[25Det]]*Sales[[#This Row],[Det/Nbhd Adj]],-2)</f>
        <v>0</v>
      </c>
      <c r="CU198">
        <f>Sales[[#This Row],[Adjusted Res]]+Sales[[#This Row],[Adj Det ]]</f>
        <v>336100</v>
      </c>
      <c r="CV198">
        <f>ROUND((Sales[[#This Row],[Mdl Land Intercept]]+Sales[[#This Row],[Mdl LnAcres]])*Sales[[#This Row],[Det/Nbhd Adj]],-2)</f>
        <v>62500</v>
      </c>
      <c r="CW198">
        <f>Sales[[#This Row],[Adjusted Impr Total]]+Sales[[#This Row],[Adjusted Land Total]]</f>
        <v>398600</v>
      </c>
      <c r="CX198" s="10">
        <f>IFERROR((Sales[[#This Row],[Adjusted Impr Total]]-Sales[[#This Row],[24Bldg]])/Sales[[#This Row],[24Bldg]],0)</f>
        <v>-2.4666279744631456E-2</v>
      </c>
      <c r="CY198" s="10">
        <f>(Sales[[#This Row],[Adjusted Land Total]]-Sales[[#This Row],[24Lnd]])/Sales[[#This Row],[24Lnd]]</f>
        <v>0</v>
      </c>
      <c r="CZ198">
        <f>(Sales[[#This Row],[Adjusted Total]]-Sales[[#This Row],[24Final]])/Sales[[#This Row],[24Final]]</f>
        <v>-2.0879390813068041E-2</v>
      </c>
      <c r="DA198" s="10">
        <f>(Sales[[#This Row],[Adjusted Total]]+Sales[[#This Row],[Days Prior Total]])/Sales[[#This Row],[Price]]</f>
        <v>0.91219036598772718</v>
      </c>
    </row>
    <row r="199" spans="1:105">
      <c r="A199">
        <v>2025</v>
      </c>
      <c r="B199">
        <v>20120633493</v>
      </c>
      <c r="C199">
        <v>-1.7147984280919266</v>
      </c>
      <c r="D199">
        <v>0.18</v>
      </c>
      <c r="E199">
        <v>7867</v>
      </c>
      <c r="F199">
        <v>2</v>
      </c>
      <c r="G199" t="s">
        <v>155</v>
      </c>
      <c r="H199">
        <v>317</v>
      </c>
      <c r="I199" t="s">
        <v>5</v>
      </c>
      <c r="J199" t="s">
        <v>212</v>
      </c>
      <c r="K199">
        <v>11</v>
      </c>
      <c r="L199">
        <v>259</v>
      </c>
      <c r="M199" t="s">
        <v>330</v>
      </c>
      <c r="N199" t="s">
        <v>21</v>
      </c>
      <c r="O199" t="s">
        <v>22</v>
      </c>
      <c r="P199">
        <v>2012</v>
      </c>
      <c r="Q199">
        <v>2012</v>
      </c>
      <c r="R199">
        <v>20</v>
      </c>
      <c r="S199">
        <v>12</v>
      </c>
      <c r="T199">
        <v>12</v>
      </c>
      <c r="U199">
        <v>1</v>
      </c>
      <c r="V199">
        <v>1521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1521</v>
      </c>
      <c r="AC199">
        <v>2000</v>
      </c>
      <c r="AD199">
        <v>2</v>
      </c>
      <c r="AE199" t="s">
        <v>56</v>
      </c>
      <c r="AF199" t="s">
        <v>331</v>
      </c>
      <c r="AG199" t="s">
        <v>21</v>
      </c>
      <c r="AH199" t="s">
        <v>161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11</v>
      </c>
      <c r="AO199">
        <v>435</v>
      </c>
      <c r="AP199">
        <v>0</v>
      </c>
      <c r="AQ199">
        <v>0</v>
      </c>
      <c r="AR199">
        <v>0</v>
      </c>
      <c r="AS199">
        <v>60</v>
      </c>
      <c r="AT199">
        <v>0</v>
      </c>
      <c r="AU199">
        <v>100</v>
      </c>
      <c r="AV199">
        <v>100</v>
      </c>
      <c r="AW199">
        <v>317120</v>
      </c>
      <c r="AX199">
        <v>304435</v>
      </c>
      <c r="AY199">
        <v>220</v>
      </c>
      <c r="AZ199">
        <v>220</v>
      </c>
      <c r="BA199">
        <v>0</v>
      </c>
      <c r="BB199">
        <v>0</v>
      </c>
      <c r="BC199" s="2">
        <v>45072</v>
      </c>
      <c r="BD199">
        <v>465555</v>
      </c>
      <c r="BE199">
        <v>370000</v>
      </c>
      <c r="BF199">
        <v>370000</v>
      </c>
      <c r="BG199" t="s">
        <v>160</v>
      </c>
      <c r="BH199">
        <v>30</v>
      </c>
      <c r="BI199" t="s">
        <v>56</v>
      </c>
      <c r="BJ199" t="s">
        <v>161</v>
      </c>
      <c r="BK199">
        <v>386600</v>
      </c>
      <c r="BL199">
        <v>62500</v>
      </c>
      <c r="BM199">
        <v>324100</v>
      </c>
      <c r="BN199">
        <v>0</v>
      </c>
      <c r="BO199">
        <v>383397.12866436387</v>
      </c>
      <c r="BP199">
        <v>381307.68732495198</v>
      </c>
      <c r="BQ199">
        <f>(Sales[[#This Row],[DP1]]*Lookups!$B$61)+(Sales[[#This Row],[DP2]]*Lookups!$B$62)+(Sales[[#This Row],[DP3]]*Lookups!$B$63)</f>
        <v>2089.4413319999999</v>
      </c>
      <c r="BR199">
        <f>Lookups!$B$58*0.6</f>
        <v>132535.48800000001</v>
      </c>
      <c r="BS199">
        <f>Lookups!$B$58*0.4</f>
        <v>88356.992000000013</v>
      </c>
      <c r="BT199">
        <f>Lookups!$B$59*Sales[[#This Row],[LnAcres]]</f>
        <v>-22505.565020573864</v>
      </c>
      <c r="BU199">
        <f>VLOOKUP(Sales[[#This Row],[Qlty]],Lookups!$A$66:$E$79,2,FALSE)</f>
        <v>32917.849192000001</v>
      </c>
      <c r="BV199">
        <f>VLOOKUP(Sales[[#This Row],[Cnd]],Lookups!$A$80:$E$91,2,FALSE)</f>
        <v>50438.379078999998</v>
      </c>
      <c r="BW199">
        <f>Sales[[#This Row],[EffAge]]*Lookups!$B$65</f>
        <v>-1304.8932</v>
      </c>
      <c r="BX199">
        <f>Sales[[#This Row],[MainFn]]*Lookups!$B$90</f>
        <v>94926.187980000002</v>
      </c>
      <c r="BY199">
        <f>Sales[[#This Row],[UpprFn]]*Lookups!$B$91</f>
        <v>0</v>
      </c>
      <c r="BZ199">
        <f>Sales[[#This Row],[Bsmt]]*Lookups!$B$95</f>
        <v>0</v>
      </c>
      <c r="CA199">
        <f>VLOOKUP(Sales[[#This Row],[MsnryTrim]],Lookups!$A$90:$E$99,2,FALSE)</f>
        <v>-9412.7029999999995</v>
      </c>
      <c r="CB199">
        <f>Sales[[#This Row],[PrefabFP]]*Lookups!$B$92</f>
        <v>0</v>
      </c>
      <c r="CC199">
        <f>Sales[[#This Row],[AttGar]]*Lookups!$B$93</f>
        <v>15355.948485000001</v>
      </c>
      <c r="CD199">
        <f>Sales[[#This Row],[BltinGar]]*Lookups!$B$94</f>
        <v>0</v>
      </c>
      <c r="CE199">
        <f>SUM(Sales[[#This Row],[Days Prior Total]:[Mdl BltinGar]])</f>
        <v>383397.12484742614</v>
      </c>
      <c r="CF199">
        <f>ROUND(Sales[[#This Row],[25Det]],-2)</f>
        <v>0</v>
      </c>
      <c r="CG199">
        <f>ROUND(SUM(Sales[[#This Row],[Mdl Qlty]:[Mdl BltinGar]])+Sales[[#This Row],[Mdl Res Intercept]]+Sales[[#This Row],[Days Prior Total]],-2)</f>
        <v>317500</v>
      </c>
      <c r="CH199">
        <f>ROUND(Sales[[#This Row],[Mdl Land Intercept]]+Sales[[#This Row],[Mdl LnAcres]],-2)</f>
        <v>65900</v>
      </c>
      <c r="CI199">
        <f>Sales[[#This Row],[Unadj Res Value]]+Sales[[#This Row],[Unadj Det Value]]+Sales[[#This Row],[Unadj Land Value]]</f>
        <v>383400</v>
      </c>
      <c r="CJ199" s="10">
        <f>Sales[[#This Row],[Price]]/Sales[[#This Row],[Unadj Total Value]]</f>
        <v>0.96504955659885239</v>
      </c>
      <c r="CK199" s="10">
        <f>(Sales[[#This Row],[Unadj Total Value]]-Sales[[#This Row],[24Final]])/Sales[[#This Row],[24Final]]</f>
        <v>-8.2772891877909982E-3</v>
      </c>
      <c r="CL199">
        <f>VLOOKUP(Sales[[#This Row],[TNbhd]],Lookups!$M$3:$P$5,4,FALSE)</f>
        <v>0.99970000000000003</v>
      </c>
      <c r="CM199">
        <f>VLOOKUP(Sales[[#This Row],[Qlty]],Lookups!$M$8:$P$22,4,FALSE)</f>
        <v>1.0019</v>
      </c>
      <c r="CN199">
        <f>VLOOKUP(Sales[[#This Row],[Cnd]],Lookups!$R$8:$U$17,4,FALSE)</f>
        <v>1.0007999999999999</v>
      </c>
      <c r="CO199">
        <f>VLOOKUP(Sales[[#This Row],[LivArea Range]],Lookups!$R$25:$U$43,4,FALSE)</f>
        <v>1.0007999999999999</v>
      </c>
      <c r="CP199">
        <f>VLOOKUP(Sales[[#This Row],[Decade]],Lookups!$M$24:$P$40,4,FALSE)</f>
        <v>0.99560000000000004</v>
      </c>
      <c r="CQ199">
        <f>Sales[[#This Row],[Nbhd Adj]]*0.95</f>
        <v>0.94971499999999998</v>
      </c>
      <c r="CR199">
        <f>Sales[[#This Row],[Nbhd Adj]]*Sales[[#This Row],[Quality Adj]]*Sales[[#This Row],[Condition Adj]]*Sales[[#This Row],[Living Area Adj]]*Sales[[#This Row],[Decade Adj]]*0.95</f>
        <v>0.94884911161218666</v>
      </c>
      <c r="CS199">
        <f>ROUND(SUM(Sales[[#This Row],[Mdl Qlty]:[Mdl BltinGar]])+Sales[[#This Row],[Mdl Res Intercept]]*Sales[[#This Row],[Res Adj ]],-2)</f>
        <v>308700</v>
      </c>
      <c r="CT199">
        <f>ROUND(Sales[[#This Row],[25Det]]*Sales[[#This Row],[Det/Nbhd Adj]],-2)</f>
        <v>0</v>
      </c>
      <c r="CU199">
        <f>Sales[[#This Row],[Adjusted Res]]+Sales[[#This Row],[Adj Det ]]</f>
        <v>308700</v>
      </c>
      <c r="CV199">
        <f>ROUND((Sales[[#This Row],[Mdl Land Intercept]]+Sales[[#This Row],[Mdl LnAcres]])*Sales[[#This Row],[Det/Nbhd Adj]],-2)</f>
        <v>62500</v>
      </c>
      <c r="CW199">
        <f>Sales[[#This Row],[Adjusted Impr Total]]+Sales[[#This Row],[Adjusted Land Total]]</f>
        <v>371200</v>
      </c>
      <c r="CX199" s="10">
        <f>IFERROR((Sales[[#This Row],[Adjusted Impr Total]]-Sales[[#This Row],[24Bldg]])/Sales[[#This Row],[24Bldg]],0)</f>
        <v>-4.7516198704103674E-2</v>
      </c>
      <c r="CY199" s="10">
        <f>(Sales[[#This Row],[Adjusted Land Total]]-Sales[[#This Row],[24Lnd]])/Sales[[#This Row],[24Lnd]]</f>
        <v>0</v>
      </c>
      <c r="CZ199">
        <f>(Sales[[#This Row],[Adjusted Total]]-Sales[[#This Row],[24Final]])/Sales[[#This Row],[24Final]]</f>
        <v>-3.9834454216244181E-2</v>
      </c>
      <c r="DA199" s="10">
        <f>(Sales[[#This Row],[Adjusted Total]]+Sales[[#This Row],[Days Prior Total]])/Sales[[#This Row],[Price]]</f>
        <v>1.0088903819783783</v>
      </c>
    </row>
    <row r="200" spans="1:105">
      <c r="A200">
        <v>2025</v>
      </c>
      <c r="B200">
        <v>20120633520</v>
      </c>
      <c r="C200">
        <v>-1.7147984280919266</v>
      </c>
      <c r="D200">
        <v>0.18</v>
      </c>
      <c r="E200">
        <v>7738</v>
      </c>
      <c r="F200">
        <v>2</v>
      </c>
      <c r="G200" t="s">
        <v>155</v>
      </c>
      <c r="H200">
        <v>317</v>
      </c>
      <c r="I200" t="s">
        <v>5</v>
      </c>
      <c r="J200" t="s">
        <v>212</v>
      </c>
      <c r="K200">
        <v>11</v>
      </c>
      <c r="L200">
        <v>259</v>
      </c>
      <c r="M200" t="s">
        <v>193</v>
      </c>
      <c r="N200" t="s">
        <v>21</v>
      </c>
      <c r="O200" t="s">
        <v>22</v>
      </c>
      <c r="P200">
        <v>2012</v>
      </c>
      <c r="Q200">
        <v>2012</v>
      </c>
      <c r="R200">
        <v>20</v>
      </c>
      <c r="S200">
        <v>12</v>
      </c>
      <c r="T200">
        <v>12</v>
      </c>
      <c r="U200">
        <v>1</v>
      </c>
      <c r="V200">
        <v>1518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1518</v>
      </c>
      <c r="AC200">
        <v>2000</v>
      </c>
      <c r="AD200">
        <v>0</v>
      </c>
      <c r="AE200" t="s">
        <v>56</v>
      </c>
      <c r="AF200" t="s">
        <v>331</v>
      </c>
      <c r="AG200" t="s">
        <v>21</v>
      </c>
      <c r="AH200" t="s">
        <v>161</v>
      </c>
      <c r="AI200">
        <v>0</v>
      </c>
      <c r="AJ200">
        <v>0</v>
      </c>
      <c r="AK200">
        <v>1</v>
      </c>
      <c r="AL200">
        <v>0</v>
      </c>
      <c r="AM200">
        <v>0</v>
      </c>
      <c r="AN200">
        <v>11</v>
      </c>
      <c r="AO200">
        <v>438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100</v>
      </c>
      <c r="AV200">
        <v>100</v>
      </c>
      <c r="AW200">
        <v>319625</v>
      </c>
      <c r="AX200">
        <v>306840</v>
      </c>
      <c r="AY200">
        <v>1071</v>
      </c>
      <c r="AZ200">
        <v>365</v>
      </c>
      <c r="BA200">
        <v>365</v>
      </c>
      <c r="BB200">
        <v>341</v>
      </c>
      <c r="BC200" s="2">
        <v>44221</v>
      </c>
      <c r="BD200" t="s">
        <v>360</v>
      </c>
      <c r="BE200">
        <v>265000</v>
      </c>
      <c r="BF200">
        <v>265000</v>
      </c>
      <c r="BG200" t="s">
        <v>160</v>
      </c>
      <c r="BH200">
        <v>30</v>
      </c>
      <c r="BI200" t="s">
        <v>56</v>
      </c>
      <c r="BJ200" t="s">
        <v>161</v>
      </c>
      <c r="BK200">
        <v>374900</v>
      </c>
      <c r="BL200">
        <v>62500</v>
      </c>
      <c r="BM200">
        <v>312400</v>
      </c>
      <c r="BN200">
        <v>0</v>
      </c>
      <c r="BO200">
        <v>291794.34167734964</v>
      </c>
      <c r="BP200">
        <v>391033.46379717049</v>
      </c>
      <c r="BQ200">
        <f>(Sales[[#This Row],[DP1]]*Lookups!$B$61)+(Sales[[#This Row],[DP2]]*Lookups!$B$62)+(Sales[[#This Row],[DP3]]*Lookups!$B$63)</f>
        <v>-99239.118031000005</v>
      </c>
      <c r="BR200">
        <f>Lookups!$B$58*0.6</f>
        <v>132535.48800000001</v>
      </c>
      <c r="BS200">
        <f>Lookups!$B$58*0.4</f>
        <v>88356.992000000013</v>
      </c>
      <c r="BT200">
        <f>Lookups!$B$59*Sales[[#This Row],[LnAcres]]</f>
        <v>-22505.565020573864</v>
      </c>
      <c r="BU200">
        <f>VLOOKUP(Sales[[#This Row],[Qlty]],Lookups!$A$66:$E$79,2,FALSE)</f>
        <v>32917.849192000001</v>
      </c>
      <c r="BV200">
        <f>VLOOKUP(Sales[[#This Row],[Cnd]],Lookups!$A$80:$E$91,2,FALSE)</f>
        <v>50438.379078999998</v>
      </c>
      <c r="BW200">
        <f>Sales[[#This Row],[EffAge]]*Lookups!$B$65</f>
        <v>-1304.8932</v>
      </c>
      <c r="BX200">
        <f>Sales[[#This Row],[MainFn]]*Lookups!$B$90</f>
        <v>94738.956839999999</v>
      </c>
      <c r="BY200">
        <f>Sales[[#This Row],[UpprFn]]*Lookups!$B$91</f>
        <v>0</v>
      </c>
      <c r="BZ200">
        <f>Sales[[#This Row],[Bsmt]]*Lookups!$B$95</f>
        <v>0</v>
      </c>
      <c r="CA200">
        <f>VLOOKUP(Sales[[#This Row],[MsnryTrim]],Lookups!$A$90:$E$99,2,FALSE)</f>
        <v>-9412.7029999999995</v>
      </c>
      <c r="CB200">
        <f>Sales[[#This Row],[PrefabFP]]*Lookups!$B$92</f>
        <v>9807.1044999999995</v>
      </c>
      <c r="CC200">
        <f>Sales[[#This Row],[AttGar]]*Lookups!$B$93</f>
        <v>15461.851578000002</v>
      </c>
      <c r="CD200">
        <f>Sales[[#This Row],[BltinGar]]*Lookups!$B$94</f>
        <v>0</v>
      </c>
      <c r="CE200">
        <f>SUM(Sales[[#This Row],[Days Prior Total]:[Mdl BltinGar]])</f>
        <v>291794.34193742624</v>
      </c>
      <c r="CF200">
        <f>ROUND(Sales[[#This Row],[25Det]],-2)</f>
        <v>0</v>
      </c>
      <c r="CG200">
        <f>ROUND(SUM(Sales[[#This Row],[Mdl Qlty]:[Mdl BltinGar]])+Sales[[#This Row],[Mdl Res Intercept]]+Sales[[#This Row],[Days Prior Total]],-2)</f>
        <v>225900</v>
      </c>
      <c r="CH200">
        <f>ROUND(Sales[[#This Row],[Mdl Land Intercept]]+Sales[[#This Row],[Mdl LnAcres]],-2)</f>
        <v>65900</v>
      </c>
      <c r="CI200">
        <f>Sales[[#This Row],[Unadj Res Value]]+Sales[[#This Row],[Unadj Det Value]]+Sales[[#This Row],[Unadj Land Value]]</f>
        <v>291800</v>
      </c>
      <c r="CJ200" s="10">
        <f>Sales[[#This Row],[Price]]/Sales[[#This Row],[Unadj Total Value]]</f>
        <v>0.90815627141877997</v>
      </c>
      <c r="CK200" s="10">
        <f>(Sales[[#This Row],[Unadj Total Value]]-Sales[[#This Row],[24Final]])/Sales[[#This Row],[24Final]]</f>
        <v>-0.22165910909575887</v>
      </c>
      <c r="CL200">
        <f>VLOOKUP(Sales[[#This Row],[TNbhd]],Lookups!$M$3:$P$5,4,FALSE)</f>
        <v>0.99970000000000003</v>
      </c>
      <c r="CM200">
        <f>VLOOKUP(Sales[[#This Row],[Qlty]],Lookups!$M$8:$P$22,4,FALSE)</f>
        <v>1.0019</v>
      </c>
      <c r="CN200">
        <f>VLOOKUP(Sales[[#This Row],[Cnd]],Lookups!$R$8:$U$17,4,FALSE)</f>
        <v>1.0007999999999999</v>
      </c>
      <c r="CO200">
        <f>VLOOKUP(Sales[[#This Row],[LivArea Range]],Lookups!$R$25:$U$43,4,FALSE)</f>
        <v>1.0007999999999999</v>
      </c>
      <c r="CP200">
        <f>VLOOKUP(Sales[[#This Row],[Decade]],Lookups!$M$24:$P$40,4,FALSE)</f>
        <v>0.99560000000000004</v>
      </c>
      <c r="CQ200">
        <f>Sales[[#This Row],[Nbhd Adj]]*0.95</f>
        <v>0.94971499999999998</v>
      </c>
      <c r="CR200">
        <f>Sales[[#This Row],[Nbhd Adj]]*Sales[[#This Row],[Quality Adj]]*Sales[[#This Row],[Condition Adj]]*Sales[[#This Row],[Living Area Adj]]*Sales[[#This Row],[Decade Adj]]*0.95</f>
        <v>0.94884911161218666</v>
      </c>
      <c r="CS200">
        <f>ROUND(SUM(Sales[[#This Row],[Mdl Qlty]:[Mdl BltinGar]])+Sales[[#This Row],[Mdl Res Intercept]]*Sales[[#This Row],[Res Adj ]],-2)</f>
        <v>318400</v>
      </c>
      <c r="CT200">
        <f>ROUND(Sales[[#This Row],[25Det]]*Sales[[#This Row],[Det/Nbhd Adj]],-2)</f>
        <v>0</v>
      </c>
      <c r="CU200">
        <f>Sales[[#This Row],[Adjusted Res]]+Sales[[#This Row],[Adj Det ]]</f>
        <v>318400</v>
      </c>
      <c r="CV200">
        <f>ROUND((Sales[[#This Row],[Mdl Land Intercept]]+Sales[[#This Row],[Mdl LnAcres]])*Sales[[#This Row],[Det/Nbhd Adj]],-2)</f>
        <v>62500</v>
      </c>
      <c r="CW200">
        <f>Sales[[#This Row],[Adjusted Impr Total]]+Sales[[#This Row],[Adjusted Land Total]]</f>
        <v>380900</v>
      </c>
      <c r="CX200" s="10">
        <f>IFERROR((Sales[[#This Row],[Adjusted Impr Total]]-Sales[[#This Row],[24Bldg]])/Sales[[#This Row],[24Bldg]],0)</f>
        <v>1.9206145966709345E-2</v>
      </c>
      <c r="CY200" s="10">
        <f>(Sales[[#This Row],[Adjusted Land Total]]-Sales[[#This Row],[24Lnd]])/Sales[[#This Row],[24Lnd]]</f>
        <v>0</v>
      </c>
      <c r="CZ200">
        <f>(Sales[[#This Row],[Adjusted Total]]-Sales[[#This Row],[24Final]])/Sales[[#This Row],[24Final]]</f>
        <v>1.6004267804747934E-2</v>
      </c>
      <c r="DA200" s="10">
        <f>(Sales[[#This Row],[Adjusted Total]]+Sales[[#This Row],[Days Prior Total]])/Sales[[#This Row],[Price]]</f>
        <v>1.0628712527132074</v>
      </c>
    </row>
    <row r="201" spans="1:105">
      <c r="A201">
        <v>2025</v>
      </c>
      <c r="B201">
        <v>20120633520</v>
      </c>
      <c r="C201">
        <v>-1.7147984280919266</v>
      </c>
      <c r="D201">
        <v>0.18</v>
      </c>
      <c r="E201">
        <v>7738</v>
      </c>
      <c r="F201">
        <v>2</v>
      </c>
      <c r="G201" t="s">
        <v>155</v>
      </c>
      <c r="H201">
        <v>317</v>
      </c>
      <c r="I201" t="s">
        <v>5</v>
      </c>
      <c r="J201" t="s">
        <v>212</v>
      </c>
      <c r="K201">
        <v>11</v>
      </c>
      <c r="L201">
        <v>259</v>
      </c>
      <c r="M201" t="s">
        <v>193</v>
      </c>
      <c r="N201" t="s">
        <v>21</v>
      </c>
      <c r="O201" t="s">
        <v>20</v>
      </c>
      <c r="P201">
        <v>2012</v>
      </c>
      <c r="Q201">
        <v>2012</v>
      </c>
      <c r="R201">
        <v>20</v>
      </c>
      <c r="S201">
        <v>12</v>
      </c>
      <c r="T201">
        <v>12</v>
      </c>
      <c r="U201">
        <v>1</v>
      </c>
      <c r="V201">
        <v>1518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1518</v>
      </c>
      <c r="AC201">
        <v>2000</v>
      </c>
      <c r="AD201">
        <v>2</v>
      </c>
      <c r="AE201" t="s">
        <v>56</v>
      </c>
      <c r="AF201" t="s">
        <v>331</v>
      </c>
      <c r="AG201" t="s">
        <v>21</v>
      </c>
      <c r="AH201" t="s">
        <v>161</v>
      </c>
      <c r="AI201">
        <v>0</v>
      </c>
      <c r="AJ201">
        <v>0</v>
      </c>
      <c r="AK201">
        <v>1</v>
      </c>
      <c r="AL201">
        <v>0</v>
      </c>
      <c r="AM201">
        <v>0</v>
      </c>
      <c r="AN201">
        <v>11</v>
      </c>
      <c r="AO201">
        <v>438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100</v>
      </c>
      <c r="AV201">
        <v>100</v>
      </c>
      <c r="AW201">
        <v>319625</v>
      </c>
      <c r="AX201">
        <v>306840</v>
      </c>
      <c r="AY201">
        <v>735</v>
      </c>
      <c r="AZ201">
        <v>365</v>
      </c>
      <c r="BA201">
        <v>365</v>
      </c>
      <c r="BB201">
        <v>5</v>
      </c>
      <c r="BC201" s="2">
        <v>44557</v>
      </c>
      <c r="BD201" t="s">
        <v>361</v>
      </c>
      <c r="BE201">
        <v>355000</v>
      </c>
      <c r="BF201">
        <v>355000</v>
      </c>
      <c r="BG201" t="s">
        <v>160</v>
      </c>
      <c r="BH201">
        <v>30</v>
      </c>
      <c r="BI201" t="s">
        <v>56</v>
      </c>
      <c r="BJ201" t="s">
        <v>161</v>
      </c>
      <c r="BK201">
        <v>374900</v>
      </c>
      <c r="BL201">
        <v>62500</v>
      </c>
      <c r="BM201">
        <v>312400</v>
      </c>
      <c r="BN201">
        <v>0</v>
      </c>
      <c r="BO201">
        <v>348600.0931583842</v>
      </c>
      <c r="BP201">
        <v>370895.41399258928</v>
      </c>
      <c r="BQ201">
        <f>(Sales[[#This Row],[DP1]]*Lookups!$B$61)+(Sales[[#This Row],[DP2]]*Lookups!$B$62)+(Sales[[#This Row],[DP3]]*Lookups!$B$63)</f>
        <v>-22295.319630999998</v>
      </c>
      <c r="BR201">
        <f>Lookups!$B$58*0.6</f>
        <v>132535.48800000001</v>
      </c>
      <c r="BS201">
        <f>Lookups!$B$58*0.4</f>
        <v>88356.992000000013</v>
      </c>
      <c r="BT201">
        <f>Lookups!$B$59*Sales[[#This Row],[LnAcres]]</f>
        <v>-22505.565020573864</v>
      </c>
      <c r="BU201">
        <f>VLOOKUP(Sales[[#This Row],[Qlty]],Lookups!$A$66:$E$79,2,FALSE)</f>
        <v>32917.849192000001</v>
      </c>
      <c r="BV201">
        <f>VLOOKUP(Sales[[#This Row],[Cnd]],Lookups!$A$80:$E$91,2,FALSE)</f>
        <v>30300.329274</v>
      </c>
      <c r="BW201">
        <f>Sales[[#This Row],[EffAge]]*Lookups!$B$65</f>
        <v>-1304.8932</v>
      </c>
      <c r="BX201">
        <f>Sales[[#This Row],[MainFn]]*Lookups!$B$90</f>
        <v>94738.956839999999</v>
      </c>
      <c r="BY201">
        <f>Sales[[#This Row],[UpprFn]]*Lookups!$B$91</f>
        <v>0</v>
      </c>
      <c r="BZ201">
        <f>Sales[[#This Row],[Bsmt]]*Lookups!$B$95</f>
        <v>0</v>
      </c>
      <c r="CA201">
        <f>VLOOKUP(Sales[[#This Row],[MsnryTrim]],Lookups!$A$90:$E$99,2,FALSE)</f>
        <v>-9412.7029999999995</v>
      </c>
      <c r="CB201">
        <f>Sales[[#This Row],[PrefabFP]]*Lookups!$B$92</f>
        <v>9807.1044999999995</v>
      </c>
      <c r="CC201">
        <f>Sales[[#This Row],[AttGar]]*Lookups!$B$93</f>
        <v>15461.851578000002</v>
      </c>
      <c r="CD201">
        <f>Sales[[#This Row],[BltinGar]]*Lookups!$B$94</f>
        <v>0</v>
      </c>
      <c r="CE201">
        <f>SUM(Sales[[#This Row],[Days Prior Total]:[Mdl BltinGar]])</f>
        <v>348600.09053242626</v>
      </c>
      <c r="CF201">
        <f>ROUND(Sales[[#This Row],[25Det]],-2)</f>
        <v>0</v>
      </c>
      <c r="CG201">
        <f>ROUND(SUM(Sales[[#This Row],[Mdl Qlty]:[Mdl BltinGar]])+Sales[[#This Row],[Mdl Res Intercept]]+Sales[[#This Row],[Days Prior Total]],-2)</f>
        <v>282700</v>
      </c>
      <c r="CH201">
        <f>ROUND(Sales[[#This Row],[Mdl Land Intercept]]+Sales[[#This Row],[Mdl LnAcres]],-2)</f>
        <v>65900</v>
      </c>
      <c r="CI201">
        <f>Sales[[#This Row],[Unadj Res Value]]+Sales[[#This Row],[Unadj Det Value]]+Sales[[#This Row],[Unadj Land Value]]</f>
        <v>348600</v>
      </c>
      <c r="CJ201" s="10">
        <f>Sales[[#This Row],[Price]]/Sales[[#This Row],[Unadj Total Value]]</f>
        <v>1.0183591508892713</v>
      </c>
      <c r="CK201" s="10">
        <f>(Sales[[#This Row],[Unadj Total Value]]-Sales[[#This Row],[24Final]])/Sales[[#This Row],[24Final]]</f>
        <v>-7.0152040544145103E-2</v>
      </c>
      <c r="CL201">
        <f>VLOOKUP(Sales[[#This Row],[TNbhd]],Lookups!$M$3:$P$5,4,FALSE)</f>
        <v>0.99970000000000003</v>
      </c>
      <c r="CM201">
        <f>VLOOKUP(Sales[[#This Row],[Qlty]],Lookups!$M$8:$P$22,4,FALSE)</f>
        <v>1.0019</v>
      </c>
      <c r="CN201">
        <f>VLOOKUP(Sales[[#This Row],[Cnd]],Lookups!$R$8:$U$17,4,FALSE)</f>
        <v>0.997</v>
      </c>
      <c r="CO201">
        <f>VLOOKUP(Sales[[#This Row],[LivArea Range]],Lookups!$R$25:$U$43,4,FALSE)</f>
        <v>1.0007999999999999</v>
      </c>
      <c r="CP201">
        <f>VLOOKUP(Sales[[#This Row],[Decade]],Lookups!$M$24:$P$40,4,FALSE)</f>
        <v>0.99560000000000004</v>
      </c>
      <c r="CQ201">
        <f>Sales[[#This Row],[Nbhd Adj]]*0.95</f>
        <v>0.94971499999999998</v>
      </c>
      <c r="CR201">
        <f>Sales[[#This Row],[Nbhd Adj]]*Sales[[#This Row],[Quality Adj]]*Sales[[#This Row],[Condition Adj]]*Sales[[#This Row],[Living Area Adj]]*Sales[[#This Row],[Decade Adj]]*0.95</f>
        <v>0.94524636718360333</v>
      </c>
      <c r="CS201">
        <f>ROUND(SUM(Sales[[#This Row],[Mdl Qlty]:[Mdl BltinGar]])+Sales[[#This Row],[Mdl Res Intercept]]*Sales[[#This Row],[Res Adj ]],-2)</f>
        <v>297800</v>
      </c>
      <c r="CT201">
        <f>ROUND(Sales[[#This Row],[25Det]]*Sales[[#This Row],[Det/Nbhd Adj]],-2)</f>
        <v>0</v>
      </c>
      <c r="CU201">
        <f>Sales[[#This Row],[Adjusted Res]]+Sales[[#This Row],[Adj Det ]]</f>
        <v>297800</v>
      </c>
      <c r="CV201">
        <f>ROUND((Sales[[#This Row],[Mdl Land Intercept]]+Sales[[#This Row],[Mdl LnAcres]])*Sales[[#This Row],[Det/Nbhd Adj]],-2)</f>
        <v>62500</v>
      </c>
      <c r="CW201">
        <f>Sales[[#This Row],[Adjusted Impr Total]]+Sales[[#This Row],[Adjusted Land Total]]</f>
        <v>360300</v>
      </c>
      <c r="CX201" s="10">
        <f>IFERROR((Sales[[#This Row],[Adjusted Impr Total]]-Sales[[#This Row],[24Bldg]])/Sales[[#This Row],[24Bldg]],0)</f>
        <v>-4.6734955185659413E-2</v>
      </c>
      <c r="CY201" s="10">
        <f>(Sales[[#This Row],[Adjusted Land Total]]-Sales[[#This Row],[24Lnd]])/Sales[[#This Row],[24Lnd]]</f>
        <v>0</v>
      </c>
      <c r="CZ201">
        <f>(Sales[[#This Row],[Adjusted Total]]-Sales[[#This Row],[24Final]])/Sales[[#This Row],[24Final]]</f>
        <v>-3.8943718324886634E-2</v>
      </c>
      <c r="DA201" s="10">
        <f>(Sales[[#This Row],[Adjusted Total]]+Sales[[#This Row],[Days Prior Total]])/Sales[[#This Row],[Price]]</f>
        <v>0.95212586019436618</v>
      </c>
    </row>
    <row r="202" spans="1:105">
      <c r="A202">
        <v>2025</v>
      </c>
      <c r="B202">
        <v>20120633526</v>
      </c>
      <c r="C202">
        <v>-1.7147984280919266</v>
      </c>
      <c r="D202">
        <v>0.18</v>
      </c>
      <c r="E202">
        <v>7738</v>
      </c>
      <c r="F202">
        <v>2</v>
      </c>
      <c r="G202" t="s">
        <v>155</v>
      </c>
      <c r="H202">
        <v>317</v>
      </c>
      <c r="I202" t="s">
        <v>5</v>
      </c>
      <c r="J202" t="s">
        <v>212</v>
      </c>
      <c r="K202">
        <v>11</v>
      </c>
      <c r="L202">
        <v>259</v>
      </c>
      <c r="M202" t="s">
        <v>330</v>
      </c>
      <c r="N202" t="s">
        <v>21</v>
      </c>
      <c r="O202" t="s">
        <v>20</v>
      </c>
      <c r="P202">
        <v>2012</v>
      </c>
      <c r="Q202">
        <v>2012</v>
      </c>
      <c r="R202">
        <v>20</v>
      </c>
      <c r="S202">
        <v>12</v>
      </c>
      <c r="T202">
        <v>12</v>
      </c>
      <c r="U202">
        <v>2</v>
      </c>
      <c r="V202">
        <v>1188</v>
      </c>
      <c r="W202">
        <v>1364</v>
      </c>
      <c r="X202">
        <v>0</v>
      </c>
      <c r="Y202">
        <v>0</v>
      </c>
      <c r="Z202">
        <v>0</v>
      </c>
      <c r="AA202">
        <v>0</v>
      </c>
      <c r="AB202">
        <v>2552</v>
      </c>
      <c r="AC202">
        <v>3000</v>
      </c>
      <c r="AD202">
        <v>3</v>
      </c>
      <c r="AE202" t="s">
        <v>57</v>
      </c>
      <c r="AF202" t="s">
        <v>331</v>
      </c>
      <c r="AG202" t="s">
        <v>21</v>
      </c>
      <c r="AH202" t="s">
        <v>161</v>
      </c>
      <c r="AI202">
        <v>0</v>
      </c>
      <c r="AJ202">
        <v>0</v>
      </c>
      <c r="AK202">
        <v>0</v>
      </c>
      <c r="AL202">
        <v>0</v>
      </c>
      <c r="AM202">
        <v>1</v>
      </c>
      <c r="AN202">
        <v>15</v>
      </c>
      <c r="AO202">
        <v>0</v>
      </c>
      <c r="AP202">
        <v>772</v>
      </c>
      <c r="AQ202">
        <v>0</v>
      </c>
      <c r="AR202">
        <v>0</v>
      </c>
      <c r="AS202">
        <v>132</v>
      </c>
      <c r="AT202">
        <v>0</v>
      </c>
      <c r="AU202">
        <v>100</v>
      </c>
      <c r="AV202">
        <v>100</v>
      </c>
      <c r="AW202">
        <v>465367</v>
      </c>
      <c r="AX202">
        <v>446752</v>
      </c>
      <c r="AY202">
        <v>616</v>
      </c>
      <c r="AZ202">
        <v>365</v>
      </c>
      <c r="BA202">
        <v>251</v>
      </c>
      <c r="BB202">
        <v>0</v>
      </c>
      <c r="BC202" s="2">
        <v>44676</v>
      </c>
      <c r="BD202" t="s">
        <v>362</v>
      </c>
      <c r="BE202">
        <v>455000</v>
      </c>
      <c r="BF202">
        <v>455000</v>
      </c>
      <c r="BG202" t="s">
        <v>160</v>
      </c>
      <c r="BH202">
        <v>30</v>
      </c>
      <c r="BI202" t="s">
        <v>56</v>
      </c>
      <c r="BJ202" t="s">
        <v>161</v>
      </c>
      <c r="BK202">
        <v>467200</v>
      </c>
      <c r="BL202">
        <v>62500</v>
      </c>
      <c r="BM202">
        <v>404700</v>
      </c>
      <c r="BN202">
        <v>0</v>
      </c>
      <c r="BO202">
        <v>444496.82639625127</v>
      </c>
      <c r="BP202">
        <v>457958.58512129099</v>
      </c>
      <c r="BQ202">
        <f>(Sales[[#This Row],[DP1]]*Lookups!$B$61)+(Sales[[#This Row],[DP2]]*Lookups!$B$62)+(Sales[[#This Row],[DP3]]*Lookups!$B$63)</f>
        <v>-13461.757931</v>
      </c>
      <c r="BR202">
        <f>Lookups!$B$58*0.6</f>
        <v>132535.48800000001</v>
      </c>
      <c r="BS202">
        <f>Lookups!$B$58*0.4</f>
        <v>88356.992000000013</v>
      </c>
      <c r="BT202">
        <f>Lookups!$B$59*Sales[[#This Row],[LnAcres]]</f>
        <v>-22505.565020573864</v>
      </c>
      <c r="BU202">
        <f>VLOOKUP(Sales[[#This Row],[Qlty]],Lookups!$A$66:$E$79,2,FALSE)</f>
        <v>32917.849192000001</v>
      </c>
      <c r="BV202">
        <f>VLOOKUP(Sales[[#This Row],[Cnd]],Lookups!$A$80:$E$91,2,FALSE)</f>
        <v>30300.329274</v>
      </c>
      <c r="BW202">
        <f>Sales[[#This Row],[EffAge]]*Lookups!$B$65</f>
        <v>-1304.8932</v>
      </c>
      <c r="BX202">
        <f>Sales[[#This Row],[MainFn]]*Lookups!$B$90</f>
        <v>74143.531440000006</v>
      </c>
      <c r="BY202">
        <f>Sales[[#This Row],[UpprFn]]*Lookups!$B$91</f>
        <v>81267.642412000001</v>
      </c>
      <c r="BZ202">
        <f>Sales[[#This Row],[Bsmt]]*Lookups!$B$95</f>
        <v>0</v>
      </c>
      <c r="CA202">
        <f>VLOOKUP(Sales[[#This Row],[MsnryTrim]],Lookups!$A$90:$E$99,2,FALSE)</f>
        <v>4112.8784489</v>
      </c>
      <c r="CB202">
        <f>Sales[[#This Row],[PrefabFP]]*Lookups!$B$92</f>
        <v>0</v>
      </c>
      <c r="CC202">
        <f>Sales[[#This Row],[AttGar]]*Lookups!$B$93</f>
        <v>0</v>
      </c>
      <c r="CD202">
        <f>Sales[[#This Row],[BltinGar]]*Lookups!$B$94</f>
        <v>38134.329599999997</v>
      </c>
      <c r="CE202">
        <f>SUM(Sales[[#This Row],[Days Prior Total]:[Mdl BltinGar]])</f>
        <v>444496.82421532617</v>
      </c>
      <c r="CF202">
        <f>ROUND(Sales[[#This Row],[25Det]],-2)</f>
        <v>0</v>
      </c>
      <c r="CG202">
        <f>ROUND(SUM(Sales[[#This Row],[Mdl Qlty]:[Mdl BltinGar]])+Sales[[#This Row],[Mdl Res Intercept]]+Sales[[#This Row],[Days Prior Total]],-2)</f>
        <v>378600</v>
      </c>
      <c r="CH202">
        <f>ROUND(Sales[[#This Row],[Mdl Land Intercept]]+Sales[[#This Row],[Mdl LnAcres]],-2)</f>
        <v>65900</v>
      </c>
      <c r="CI202">
        <f>Sales[[#This Row],[Unadj Res Value]]+Sales[[#This Row],[Unadj Det Value]]+Sales[[#This Row],[Unadj Land Value]]</f>
        <v>444500</v>
      </c>
      <c r="CJ202" s="10">
        <f>Sales[[#This Row],[Price]]/Sales[[#This Row],[Unadj Total Value]]</f>
        <v>1.0236220472440944</v>
      </c>
      <c r="CK202" s="10">
        <f>(Sales[[#This Row],[Unadj Total Value]]-Sales[[#This Row],[24Final]])/Sales[[#This Row],[24Final]]</f>
        <v>-4.8587328767123288E-2</v>
      </c>
      <c r="CL202">
        <f>VLOOKUP(Sales[[#This Row],[TNbhd]],Lookups!$M$3:$P$5,4,FALSE)</f>
        <v>0.99970000000000003</v>
      </c>
      <c r="CM202">
        <f>VLOOKUP(Sales[[#This Row],[Qlty]],Lookups!$M$8:$P$22,4,FALSE)</f>
        <v>1.0019</v>
      </c>
      <c r="CN202">
        <f>VLOOKUP(Sales[[#This Row],[Cnd]],Lookups!$R$8:$U$17,4,FALSE)</f>
        <v>0.997</v>
      </c>
      <c r="CO202">
        <f>VLOOKUP(Sales[[#This Row],[LivArea Range]],Lookups!$R$25:$U$43,4,FALSE)</f>
        <v>1.0099</v>
      </c>
      <c r="CP202">
        <f>VLOOKUP(Sales[[#This Row],[Decade]],Lookups!$M$24:$P$40,4,FALSE)</f>
        <v>0.99560000000000004</v>
      </c>
      <c r="CQ202">
        <f>Sales[[#This Row],[Nbhd Adj]]*0.95</f>
        <v>0.94971499999999998</v>
      </c>
      <c r="CR202">
        <f>Sales[[#This Row],[Nbhd Adj]]*Sales[[#This Row],[Quality Adj]]*Sales[[#This Row],[Condition Adj]]*Sales[[#This Row],[Living Area Adj]]*Sales[[#This Row],[Decade Adj]]*0.95</f>
        <v>0.95384123323213543</v>
      </c>
      <c r="CS202">
        <f>ROUND(SUM(Sales[[#This Row],[Mdl Qlty]:[Mdl BltinGar]])+Sales[[#This Row],[Mdl Res Intercept]]*Sales[[#This Row],[Res Adj ]],-2)</f>
        <v>386000</v>
      </c>
      <c r="CT202">
        <f>ROUND(Sales[[#This Row],[25Det]]*Sales[[#This Row],[Det/Nbhd Adj]],-2)</f>
        <v>0</v>
      </c>
      <c r="CU202">
        <f>Sales[[#This Row],[Adjusted Res]]+Sales[[#This Row],[Adj Det ]]</f>
        <v>386000</v>
      </c>
      <c r="CV202">
        <f>ROUND((Sales[[#This Row],[Mdl Land Intercept]]+Sales[[#This Row],[Mdl LnAcres]])*Sales[[#This Row],[Det/Nbhd Adj]],-2)</f>
        <v>62500</v>
      </c>
      <c r="CW202">
        <f>Sales[[#This Row],[Adjusted Impr Total]]+Sales[[#This Row],[Adjusted Land Total]]</f>
        <v>448500</v>
      </c>
      <c r="CX202" s="10">
        <f>IFERROR((Sales[[#This Row],[Adjusted Impr Total]]-Sales[[#This Row],[24Bldg]])/Sales[[#This Row],[24Bldg]],0)</f>
        <v>-4.6207066963182601E-2</v>
      </c>
      <c r="CY202" s="10">
        <f>(Sales[[#This Row],[Adjusted Land Total]]-Sales[[#This Row],[24Lnd]])/Sales[[#This Row],[24Lnd]]</f>
        <v>0</v>
      </c>
      <c r="CZ202">
        <f>(Sales[[#This Row],[Adjusted Total]]-Sales[[#This Row],[24Final]])/Sales[[#This Row],[24Final]]</f>
        <v>-4.002568493150685E-2</v>
      </c>
      <c r="DA202" s="10">
        <f>(Sales[[#This Row],[Adjusted Total]]+Sales[[#This Row],[Days Prior Total]])/Sales[[#This Row],[Price]]</f>
        <v>0.95612800454725277</v>
      </c>
    </row>
    <row r="203" spans="1:105">
      <c r="A203" s="4">
        <v>2025</v>
      </c>
      <c r="B203" s="4">
        <v>20120633438</v>
      </c>
      <c r="C203" s="4">
        <v>-1.8325814637483102</v>
      </c>
      <c r="D203" s="4">
        <v>0.16</v>
      </c>
      <c r="E203" s="4">
        <v>7187</v>
      </c>
      <c r="F203" s="4">
        <v>2</v>
      </c>
      <c r="G203" s="4" t="s">
        <v>155</v>
      </c>
      <c r="H203" s="4">
        <v>317</v>
      </c>
      <c r="I203" s="4" t="s">
        <v>5</v>
      </c>
      <c r="J203" s="4" t="s">
        <v>212</v>
      </c>
      <c r="K203" s="4">
        <v>11</v>
      </c>
      <c r="L203" s="4">
        <v>259</v>
      </c>
      <c r="M203" s="4" t="s">
        <v>330</v>
      </c>
      <c r="N203" s="4" t="s">
        <v>19</v>
      </c>
      <c r="O203" s="4" t="s">
        <v>363</v>
      </c>
      <c r="P203" s="4">
        <v>2011</v>
      </c>
      <c r="Q203" s="4">
        <v>2011</v>
      </c>
      <c r="R203">
        <v>20</v>
      </c>
      <c r="S203" s="4">
        <v>13</v>
      </c>
      <c r="T203" s="4">
        <v>13</v>
      </c>
      <c r="U203" s="4">
        <v>1</v>
      </c>
      <c r="V203" s="4">
        <v>1368</v>
      </c>
      <c r="W203" s="4">
        <v>0</v>
      </c>
      <c r="X203" s="4">
        <v>0</v>
      </c>
      <c r="Y203" s="4">
        <v>0</v>
      </c>
      <c r="Z203" s="4">
        <v>0</v>
      </c>
      <c r="AA203" s="4">
        <v>0</v>
      </c>
      <c r="AB203" s="4">
        <v>1368</v>
      </c>
      <c r="AC203" s="4">
        <v>1500</v>
      </c>
      <c r="AD203" s="4">
        <v>0</v>
      </c>
      <c r="AE203" s="4" t="s">
        <v>56</v>
      </c>
      <c r="AF203" s="4" t="s">
        <v>331</v>
      </c>
      <c r="AG203" s="4" t="s">
        <v>21</v>
      </c>
      <c r="AH203" s="4" t="s">
        <v>161</v>
      </c>
      <c r="AI203" s="4">
        <v>0</v>
      </c>
      <c r="AJ203" s="4">
        <v>0</v>
      </c>
      <c r="AK203" s="4">
        <v>0</v>
      </c>
      <c r="AL203" s="4">
        <v>1</v>
      </c>
      <c r="AM203" s="4">
        <v>0</v>
      </c>
      <c r="AN203" s="4">
        <v>8</v>
      </c>
      <c r="AO203" s="4">
        <v>424</v>
      </c>
      <c r="AP203" s="4">
        <v>0</v>
      </c>
      <c r="AQ203" s="4">
        <v>0</v>
      </c>
      <c r="AR203" s="4">
        <v>0</v>
      </c>
      <c r="AS203" s="4">
        <v>144</v>
      </c>
      <c r="AT203" s="4">
        <v>0</v>
      </c>
      <c r="AU203" s="4">
        <v>100</v>
      </c>
      <c r="AV203" s="4">
        <v>100</v>
      </c>
      <c r="AW203" s="4">
        <v>248272</v>
      </c>
      <c r="AX203" s="4">
        <v>238341</v>
      </c>
      <c r="AY203" s="4">
        <v>1035</v>
      </c>
      <c r="AZ203" s="4">
        <v>365</v>
      </c>
      <c r="BA203" s="4">
        <v>365</v>
      </c>
      <c r="BB203" s="4">
        <v>305</v>
      </c>
      <c r="BC203" s="21">
        <v>44257</v>
      </c>
      <c r="BD203" s="4" t="s">
        <v>364</v>
      </c>
      <c r="BE203" s="4">
        <v>285000</v>
      </c>
      <c r="BF203" s="4">
        <v>285000</v>
      </c>
      <c r="BG203" s="4" t="s">
        <v>160</v>
      </c>
      <c r="BH203" s="4">
        <v>30</v>
      </c>
      <c r="BI203" s="4" t="s">
        <v>56</v>
      </c>
      <c r="BJ203" s="4" t="s">
        <v>161</v>
      </c>
      <c r="BK203" s="4">
        <v>357400</v>
      </c>
      <c r="BL203" s="4">
        <v>60800</v>
      </c>
      <c r="BM203" s="4">
        <v>296600</v>
      </c>
      <c r="BN203" s="4">
        <v>0</v>
      </c>
      <c r="BO203" s="4">
        <v>262819.23434173851</v>
      </c>
      <c r="BP203" s="4">
        <v>353814.37775238621</v>
      </c>
      <c r="BQ203" s="4">
        <f>(Sales[[#This Row],[DP1]]*Lookups!$B$61)+(Sales[[#This Row],[DP2]]*Lookups!$B$62)+(Sales[[#This Row],[DP3]]*Lookups!$B$63)</f>
        <v>-90995.139630999998</v>
      </c>
      <c r="BR203" s="4">
        <f>Lookups!$B$58*0.6</f>
        <v>132535.48800000001</v>
      </c>
      <c r="BS203" s="4">
        <f>Lookups!$B$58*0.4</f>
        <v>88356.992000000013</v>
      </c>
      <c r="BT203" s="4">
        <f>Lookups!$B$59*Sales[[#This Row],[LnAcres]]</f>
        <v>-24051.387388882686</v>
      </c>
      <c r="BU203" s="4">
        <f>VLOOKUP(Sales[[#This Row],[Qlty]],Lookups!$A$66:$E$79,2,FALSE)</f>
        <v>37154.252388000001</v>
      </c>
      <c r="BV203" s="4">
        <f>VLOOKUP(Sales[[#This Row],[Cnd]],Lookups!$A$80:$E$91,2,FALSE)</f>
        <v>17761.121909000001</v>
      </c>
      <c r="BW203" s="4">
        <f>Sales[[#This Row],[EffAge]]*Lookups!$B$65</f>
        <v>-1413.6342999999999</v>
      </c>
      <c r="BX203" s="4">
        <f>Sales[[#This Row],[MainFn]]*Lookups!$B$90</f>
        <v>85377.399839999998</v>
      </c>
      <c r="BY203" s="4">
        <f>Sales[[#This Row],[UpprFn]]*Lookups!$B$91</f>
        <v>0</v>
      </c>
      <c r="BZ203" s="4">
        <f>Sales[[#This Row],[Bsmt]]*Lookups!$B$95</f>
        <v>0</v>
      </c>
      <c r="CA203" s="4">
        <f>VLOOKUP(Sales[[#This Row],[MsnryTrim]],Lookups!$A$90:$E$99,2,FALSE)</f>
        <v>-9412.7029999999995</v>
      </c>
      <c r="CB203" s="4">
        <f>Sales[[#This Row],[PrefabFP]]*Lookups!$B$92</f>
        <v>0</v>
      </c>
      <c r="CC203" s="4">
        <f>Sales[[#This Row],[AttGar]]*Lookups!$B$93</f>
        <v>14967.637144</v>
      </c>
      <c r="CD203" s="4">
        <f>Sales[[#This Row],[BltinGar]]*Lookups!$B$94</f>
        <v>0</v>
      </c>
      <c r="CE203" s="4">
        <f>SUM(Sales[[#This Row],[Days Prior Total]:[Mdl BltinGar]])</f>
        <v>250280.02696111734</v>
      </c>
      <c r="CF203" s="4">
        <f>ROUND(Sales[[#This Row],[25Det]],-2)</f>
        <v>0</v>
      </c>
      <c r="CG203" s="4">
        <f>ROUND(SUM(Sales[[#This Row],[Mdl Qlty]:[Mdl BltinGar]])+Sales[[#This Row],[Mdl Res Intercept]]+Sales[[#This Row],[Days Prior Total]],-2)</f>
        <v>186000</v>
      </c>
      <c r="CH203" s="4">
        <f>ROUND(Sales[[#This Row],[Mdl Land Intercept]]+Sales[[#This Row],[Mdl LnAcres]],-2)</f>
        <v>64300</v>
      </c>
      <c r="CI203" s="4">
        <f>Sales[[#This Row],[Unadj Res Value]]+Sales[[#This Row],[Unadj Det Value]]+Sales[[#This Row],[Unadj Land Value]]</f>
        <v>250300</v>
      </c>
      <c r="CJ203" s="22">
        <f>Sales[[#This Row],[Price]]/Sales[[#This Row],[Unadj Total Value]]</f>
        <v>1.138633639632441</v>
      </c>
      <c r="CK203" s="22">
        <f>(Sales[[#This Row],[Unadj Total Value]]-Sales[[#This Row],[24Final]])/Sales[[#This Row],[24Final]]</f>
        <v>-0.29966424174594292</v>
      </c>
      <c r="CL203" s="4">
        <f>VLOOKUP(Sales[[#This Row],[TNbhd]],Lookups!$M$3:$P$5,4,FALSE)</f>
        <v>0.99970000000000003</v>
      </c>
      <c r="CM203" s="4">
        <f>VLOOKUP(Sales[[#This Row],[Qlty]],Lookups!$M$8:$P$22,4,FALSE)</f>
        <v>0.99819999999999998</v>
      </c>
      <c r="CN203" s="4">
        <f>VLOOKUP(Sales[[#This Row],[Cnd]],Lookups!$R$8:$U$17,4,FALSE)</f>
        <v>0.99680000000000002</v>
      </c>
      <c r="CO203" s="4">
        <f>VLOOKUP(Sales[[#This Row],[LivArea Range]],Lookups!$R$25:$U$43,4,FALSE)</f>
        <v>0.99519999999999997</v>
      </c>
      <c r="CP203" s="4">
        <f>VLOOKUP(Sales[[#This Row],[Decade]],Lookups!$M$24:$P$40,4,FALSE)</f>
        <v>0.99560000000000004</v>
      </c>
      <c r="CQ203" s="4">
        <f>Sales[[#This Row],[Nbhd Adj]]*0.95</f>
        <v>0.94971499999999998</v>
      </c>
      <c r="CR203" s="4">
        <f>Sales[[#This Row],[Nbhd Adj]]*Sales[[#This Row],[Quality Adj]]*Sales[[#This Row],[Condition Adj]]*Sales[[#This Row],[Living Area Adj]]*Sales[[#This Row],[Decade Adj]]*0.95</f>
        <v>0.93629811172753274</v>
      </c>
      <c r="CS203" s="4">
        <f>ROUND(SUM(Sales[[#This Row],[Mdl Qlty]:[Mdl BltinGar]])+Sales[[#This Row],[Mdl Res Intercept]]*Sales[[#This Row],[Res Adj ]],-2)</f>
        <v>268500</v>
      </c>
      <c r="CT203" s="4">
        <f>ROUND(Sales[[#This Row],[25Det]]*Sales[[#This Row],[Det/Nbhd Adj]],-2)</f>
        <v>0</v>
      </c>
      <c r="CU203" s="4">
        <f>Sales[[#This Row],[Adjusted Res]]+Sales[[#This Row],[Adj Det ]]</f>
        <v>268500</v>
      </c>
      <c r="CV203" s="4">
        <f>ROUND((Sales[[#This Row],[Mdl Land Intercept]]+Sales[[#This Row],[Mdl LnAcres]])*Sales[[#This Row],[Det/Nbhd Adj]],-2)</f>
        <v>61100</v>
      </c>
      <c r="CW203" s="4">
        <f>Sales[[#This Row],[Adjusted Impr Total]]+Sales[[#This Row],[Adjusted Land Total]]</f>
        <v>329600</v>
      </c>
      <c r="CX203" s="22">
        <f>IFERROR((Sales[[#This Row],[Adjusted Impr Total]]-Sales[[#This Row],[24Bldg]])/Sales[[#This Row],[24Bldg]],0)</f>
        <v>-9.4740391099123397E-2</v>
      </c>
      <c r="CY203" s="22">
        <f>(Sales[[#This Row],[Adjusted Land Total]]-Sales[[#This Row],[24Lnd]])/Sales[[#This Row],[24Lnd]]</f>
        <v>4.9342105263157892E-3</v>
      </c>
      <c r="CZ203" s="4">
        <f>(Sales[[#This Row],[Adjusted Total]]-Sales[[#This Row],[24Final]])/Sales[[#This Row],[24Final]]</f>
        <v>-7.7783995523223279E-2</v>
      </c>
      <c r="DA203" s="22">
        <f>(Sales[[#This Row],[Adjusted Total]]+Sales[[#This Row],[Days Prior Total]])/Sales[[#This Row],[Price]]</f>
        <v>0.83721003638245617</v>
      </c>
    </row>
    <row r="204" spans="1:105">
      <c r="A204">
        <v>2025</v>
      </c>
      <c r="B204">
        <v>20120633496</v>
      </c>
      <c r="C204">
        <v>-1.7147984280919266</v>
      </c>
      <c r="D204">
        <v>0.18</v>
      </c>
      <c r="E204">
        <v>7870</v>
      </c>
      <c r="F204">
        <v>2</v>
      </c>
      <c r="G204" t="s">
        <v>155</v>
      </c>
      <c r="H204">
        <v>317</v>
      </c>
      <c r="I204" t="s">
        <v>5</v>
      </c>
      <c r="J204" t="s">
        <v>212</v>
      </c>
      <c r="K204">
        <v>11</v>
      </c>
      <c r="L204">
        <v>259</v>
      </c>
      <c r="M204" t="s">
        <v>330</v>
      </c>
      <c r="N204" t="s">
        <v>21</v>
      </c>
      <c r="O204" t="s">
        <v>20</v>
      </c>
      <c r="P204">
        <v>2011</v>
      </c>
      <c r="Q204">
        <v>2011</v>
      </c>
      <c r="R204">
        <v>20</v>
      </c>
      <c r="S204">
        <v>13</v>
      </c>
      <c r="T204">
        <v>13</v>
      </c>
      <c r="U204">
        <v>1</v>
      </c>
      <c r="V204">
        <v>1730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1730</v>
      </c>
      <c r="AC204">
        <v>2000</v>
      </c>
      <c r="AD204">
        <v>2</v>
      </c>
      <c r="AE204" t="s">
        <v>56</v>
      </c>
      <c r="AF204" t="s">
        <v>331</v>
      </c>
      <c r="AG204" t="s">
        <v>21</v>
      </c>
      <c r="AH204" t="s">
        <v>161</v>
      </c>
      <c r="AI204">
        <v>0</v>
      </c>
      <c r="AJ204">
        <v>0</v>
      </c>
      <c r="AK204">
        <v>1</v>
      </c>
      <c r="AL204">
        <v>0</v>
      </c>
      <c r="AM204">
        <v>0</v>
      </c>
      <c r="AN204">
        <v>12</v>
      </c>
      <c r="AO204">
        <v>400</v>
      </c>
      <c r="AP204">
        <v>0</v>
      </c>
      <c r="AQ204">
        <v>0</v>
      </c>
      <c r="AR204">
        <v>0</v>
      </c>
      <c r="AS204">
        <v>65</v>
      </c>
      <c r="AT204">
        <v>0</v>
      </c>
      <c r="AU204">
        <v>100</v>
      </c>
      <c r="AV204">
        <v>100</v>
      </c>
      <c r="AW204">
        <v>348429</v>
      </c>
      <c r="AX204">
        <v>334492</v>
      </c>
      <c r="AY204">
        <v>831</v>
      </c>
      <c r="AZ204">
        <v>365</v>
      </c>
      <c r="BA204">
        <v>365</v>
      </c>
      <c r="BB204">
        <v>101</v>
      </c>
      <c r="BC204" s="2">
        <v>44461</v>
      </c>
      <c r="BD204" t="s">
        <v>365</v>
      </c>
      <c r="BE204">
        <v>343150</v>
      </c>
      <c r="BF204">
        <v>343150</v>
      </c>
      <c r="BG204" t="s">
        <v>160</v>
      </c>
      <c r="BH204">
        <v>30</v>
      </c>
      <c r="BI204" t="s">
        <v>56</v>
      </c>
      <c r="BJ204" t="s">
        <v>161</v>
      </c>
      <c r="BK204">
        <v>370400</v>
      </c>
      <c r="BL204">
        <v>62500</v>
      </c>
      <c r="BM204">
        <v>307900</v>
      </c>
      <c r="BN204">
        <v>0</v>
      </c>
      <c r="BO204">
        <v>338396.97020297596</v>
      </c>
      <c r="BP204">
        <v>382676.23426164268</v>
      </c>
      <c r="BQ204">
        <f>(Sales[[#This Row],[DP1]]*Lookups!$B$61)+(Sales[[#This Row],[DP2]]*Lookups!$B$62)+(Sales[[#This Row],[DP3]]*Lookups!$B$63)</f>
        <v>-44279.262030999998</v>
      </c>
      <c r="BR204">
        <f>Lookups!$B$58*0.6</f>
        <v>132535.48800000001</v>
      </c>
      <c r="BS204">
        <f>Lookups!$B$58*0.4</f>
        <v>88356.992000000013</v>
      </c>
      <c r="BT204">
        <f>Lookups!$B$59*Sales[[#This Row],[LnAcres]]</f>
        <v>-22505.565020573864</v>
      </c>
      <c r="BU204">
        <f>VLOOKUP(Sales[[#This Row],[Qlty]],Lookups!$A$66:$E$79,2,FALSE)</f>
        <v>32917.849192000001</v>
      </c>
      <c r="BV204">
        <f>VLOOKUP(Sales[[#This Row],[Cnd]],Lookups!$A$80:$E$91,2,FALSE)</f>
        <v>30300.329274</v>
      </c>
      <c r="BW204">
        <f>Sales[[#This Row],[EffAge]]*Lookups!$B$65</f>
        <v>-1413.6342999999999</v>
      </c>
      <c r="BX204">
        <f>Sales[[#This Row],[MainFn]]*Lookups!$B$90</f>
        <v>107969.9574</v>
      </c>
      <c r="BY204">
        <f>Sales[[#This Row],[UpprFn]]*Lookups!$B$91</f>
        <v>0</v>
      </c>
      <c r="BZ204">
        <f>Sales[[#This Row],[Bsmt]]*Lookups!$B$95</f>
        <v>0</v>
      </c>
      <c r="CA204">
        <f>VLOOKUP(Sales[[#This Row],[MsnryTrim]],Lookups!$A$90:$E$99,2,FALSE)</f>
        <v>-9412.7029999999995</v>
      </c>
      <c r="CB204">
        <f>Sales[[#This Row],[PrefabFP]]*Lookups!$B$92</f>
        <v>9807.1044999999995</v>
      </c>
      <c r="CC204">
        <f>Sales[[#This Row],[AttGar]]*Lookups!$B$93</f>
        <v>14120.412400000001</v>
      </c>
      <c r="CD204">
        <f>Sales[[#This Row],[BltinGar]]*Lookups!$B$94</f>
        <v>0</v>
      </c>
      <c r="CE204">
        <f>SUM(Sales[[#This Row],[Days Prior Total]:[Mdl BltinGar]])</f>
        <v>338396.9684144262</v>
      </c>
      <c r="CF204">
        <f>ROUND(Sales[[#This Row],[25Det]],-2)</f>
        <v>0</v>
      </c>
      <c r="CG204">
        <f>ROUND(SUM(Sales[[#This Row],[Mdl Qlty]:[Mdl BltinGar]])+Sales[[#This Row],[Mdl Res Intercept]]+Sales[[#This Row],[Days Prior Total]],-2)</f>
        <v>272500</v>
      </c>
      <c r="CH204">
        <f>ROUND(Sales[[#This Row],[Mdl Land Intercept]]+Sales[[#This Row],[Mdl LnAcres]],-2)</f>
        <v>65900</v>
      </c>
      <c r="CI204">
        <f>Sales[[#This Row],[Unadj Res Value]]+Sales[[#This Row],[Unadj Det Value]]+Sales[[#This Row],[Unadj Land Value]]</f>
        <v>338400</v>
      </c>
      <c r="CJ204" s="10">
        <f>Sales[[#This Row],[Price]]/Sales[[#This Row],[Unadj Total Value]]</f>
        <v>1.0140366430260048</v>
      </c>
      <c r="CK204" s="10">
        <f>(Sales[[#This Row],[Unadj Total Value]]-Sales[[#This Row],[24Final]])/Sales[[#This Row],[24Final]]</f>
        <v>-8.6393088552915762E-2</v>
      </c>
      <c r="CL204">
        <f>VLOOKUP(Sales[[#This Row],[TNbhd]],Lookups!$M$3:$P$5,4,FALSE)</f>
        <v>0.99970000000000003</v>
      </c>
      <c r="CM204">
        <f>VLOOKUP(Sales[[#This Row],[Qlty]],Lookups!$M$8:$P$22,4,FALSE)</f>
        <v>1.0019</v>
      </c>
      <c r="CN204">
        <f>VLOOKUP(Sales[[#This Row],[Cnd]],Lookups!$R$8:$U$17,4,FALSE)</f>
        <v>0.997</v>
      </c>
      <c r="CO204">
        <f>VLOOKUP(Sales[[#This Row],[LivArea Range]],Lookups!$R$25:$U$43,4,FALSE)</f>
        <v>1.0007999999999999</v>
      </c>
      <c r="CP204">
        <f>VLOOKUP(Sales[[#This Row],[Decade]],Lookups!$M$24:$P$40,4,FALSE)</f>
        <v>0.99560000000000004</v>
      </c>
      <c r="CQ204">
        <f>Sales[[#This Row],[Nbhd Adj]]*0.95</f>
        <v>0.94971499999999998</v>
      </c>
      <c r="CR204">
        <f>Sales[[#This Row],[Nbhd Adj]]*Sales[[#This Row],[Quality Adj]]*Sales[[#This Row],[Condition Adj]]*Sales[[#This Row],[Living Area Adj]]*Sales[[#This Row],[Decade Adj]]*0.95</f>
        <v>0.94524636718360333</v>
      </c>
      <c r="CS204">
        <f>ROUND(SUM(Sales[[#This Row],[Mdl Qlty]:[Mdl BltinGar]])+Sales[[#This Row],[Mdl Res Intercept]]*Sales[[#This Row],[Res Adj ]],-2)</f>
        <v>309600</v>
      </c>
      <c r="CT204">
        <f>ROUND(Sales[[#This Row],[25Det]]*Sales[[#This Row],[Det/Nbhd Adj]],-2)</f>
        <v>0</v>
      </c>
      <c r="CU204">
        <f>Sales[[#This Row],[Adjusted Res]]+Sales[[#This Row],[Adj Det ]]</f>
        <v>309600</v>
      </c>
      <c r="CV204">
        <f>ROUND((Sales[[#This Row],[Mdl Land Intercept]]+Sales[[#This Row],[Mdl LnAcres]])*Sales[[#This Row],[Det/Nbhd Adj]],-2)</f>
        <v>62500</v>
      </c>
      <c r="CW204">
        <f>Sales[[#This Row],[Adjusted Impr Total]]+Sales[[#This Row],[Adjusted Land Total]]</f>
        <v>372100</v>
      </c>
      <c r="CX204" s="10">
        <f>IFERROR((Sales[[#This Row],[Adjusted Impr Total]]-Sales[[#This Row],[24Bldg]])/Sales[[#This Row],[24Bldg]],0)</f>
        <v>5.5212731406300746E-3</v>
      </c>
      <c r="CY204" s="10">
        <f>(Sales[[#This Row],[Adjusted Land Total]]-Sales[[#This Row],[24Lnd]])/Sales[[#This Row],[24Lnd]]</f>
        <v>0</v>
      </c>
      <c r="CZ204">
        <f>(Sales[[#This Row],[Adjusted Total]]-Sales[[#This Row],[24Final]])/Sales[[#This Row],[24Final]]</f>
        <v>4.5896328293736502E-3</v>
      </c>
      <c r="DA204" s="10">
        <f>(Sales[[#This Row],[Adjusted Total]]+Sales[[#This Row],[Days Prior Total]])/Sales[[#This Row],[Price]]</f>
        <v>0.9553278099052892</v>
      </c>
    </row>
    <row r="205" spans="1:105">
      <c r="A205">
        <v>2025</v>
      </c>
      <c r="B205">
        <v>20120633503</v>
      </c>
      <c r="C205">
        <v>-1.8325814637483102</v>
      </c>
      <c r="D205">
        <v>0.16</v>
      </c>
      <c r="E205">
        <v>7070</v>
      </c>
      <c r="F205">
        <v>2</v>
      </c>
      <c r="G205" t="s">
        <v>155</v>
      </c>
      <c r="H205" t="s">
        <v>5</v>
      </c>
      <c r="I205" t="s">
        <v>5</v>
      </c>
      <c r="J205" t="s">
        <v>212</v>
      </c>
      <c r="K205">
        <v>11</v>
      </c>
      <c r="L205">
        <v>259</v>
      </c>
      <c r="M205" t="s">
        <v>330</v>
      </c>
      <c r="N205" t="s">
        <v>19</v>
      </c>
      <c r="O205" t="s">
        <v>18</v>
      </c>
      <c r="P205">
        <v>2011</v>
      </c>
      <c r="Q205">
        <v>2011</v>
      </c>
      <c r="R205">
        <v>20</v>
      </c>
      <c r="S205">
        <v>13</v>
      </c>
      <c r="T205">
        <v>13</v>
      </c>
      <c r="U205">
        <v>1</v>
      </c>
      <c r="V205">
        <v>1176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1176</v>
      </c>
      <c r="AC205">
        <v>1500</v>
      </c>
      <c r="AD205">
        <v>2</v>
      </c>
      <c r="AE205" t="s">
        <v>56</v>
      </c>
      <c r="AF205" t="s">
        <v>331</v>
      </c>
      <c r="AG205" t="s">
        <v>21</v>
      </c>
      <c r="AH205" t="s">
        <v>161</v>
      </c>
      <c r="AI205">
        <v>0</v>
      </c>
      <c r="AJ205">
        <v>0</v>
      </c>
      <c r="AK205">
        <v>0</v>
      </c>
      <c r="AL205">
        <v>1</v>
      </c>
      <c r="AM205">
        <v>0</v>
      </c>
      <c r="AN205">
        <v>8</v>
      </c>
      <c r="AO205">
        <v>400</v>
      </c>
      <c r="AP205">
        <v>0</v>
      </c>
      <c r="AQ205">
        <v>0</v>
      </c>
      <c r="AR205">
        <v>0</v>
      </c>
      <c r="AS205">
        <v>396</v>
      </c>
      <c r="AT205">
        <v>396</v>
      </c>
      <c r="AU205">
        <v>100</v>
      </c>
      <c r="AV205">
        <v>100</v>
      </c>
      <c r="AW205">
        <v>233724</v>
      </c>
      <c r="AX205">
        <v>224375</v>
      </c>
      <c r="AY205">
        <v>49</v>
      </c>
      <c r="AZ205">
        <v>49</v>
      </c>
      <c r="BA205">
        <v>0</v>
      </c>
      <c r="BB205">
        <v>0</v>
      </c>
      <c r="BC205" s="2">
        <v>45243</v>
      </c>
      <c r="BD205" t="s">
        <v>366</v>
      </c>
      <c r="BE205">
        <v>310000</v>
      </c>
      <c r="BF205">
        <v>310000</v>
      </c>
      <c r="BG205" t="s">
        <v>160</v>
      </c>
      <c r="BH205">
        <v>30</v>
      </c>
      <c r="BI205" t="s">
        <v>56</v>
      </c>
      <c r="BJ205" t="s">
        <v>161</v>
      </c>
      <c r="BK205">
        <v>362200</v>
      </c>
      <c r="BL205">
        <v>60800</v>
      </c>
      <c r="BM205">
        <v>301400</v>
      </c>
      <c r="BN205">
        <v>0</v>
      </c>
      <c r="BO205">
        <v>328910.52825780318</v>
      </c>
      <c r="BP205">
        <v>328445.15268675215</v>
      </c>
      <c r="BQ205">
        <f>(Sales[[#This Row],[DP1]]*Lookups!$B$61)+(Sales[[#This Row],[DP2]]*Lookups!$B$62)+(Sales[[#This Row],[DP3]]*Lookups!$B$63)</f>
        <v>465.37556940000002</v>
      </c>
      <c r="BR205">
        <f>Lookups!$B$58*0.6</f>
        <v>132535.48800000001</v>
      </c>
      <c r="BS205">
        <f>Lookups!$B$58*0.4</f>
        <v>88356.992000000013</v>
      </c>
      <c r="BT205">
        <f>Lookups!$B$59*Sales[[#This Row],[LnAcres]]</f>
        <v>-24051.387388882686</v>
      </c>
      <c r="BU205">
        <f>VLOOKUP(Sales[[#This Row],[Qlty]],Lookups!$A$66:$E$79,2,FALSE)</f>
        <v>37154.252388000001</v>
      </c>
      <c r="BV205">
        <f>VLOOKUP(Sales[[#This Row],[Cnd]],Lookups!$A$80:$E$91,2,FALSE)</f>
        <v>17761.121909000001</v>
      </c>
      <c r="BW205">
        <f>Sales[[#This Row],[EffAge]]*Lookups!$B$65</f>
        <v>-1413.6342999999999</v>
      </c>
      <c r="BX205">
        <f>Sales[[#This Row],[MainFn]]*Lookups!$B$90</f>
        <v>73394.606880000007</v>
      </c>
      <c r="BY205">
        <f>Sales[[#This Row],[UpprFn]]*Lookups!$B$91</f>
        <v>0</v>
      </c>
      <c r="BZ205">
        <f>Sales[[#This Row],[Bsmt]]*Lookups!$B$95</f>
        <v>0</v>
      </c>
      <c r="CA205">
        <f>VLOOKUP(Sales[[#This Row],[MsnryTrim]],Lookups!$A$90:$E$99,2,FALSE)</f>
        <v>-9412.7029999999995</v>
      </c>
      <c r="CB205">
        <f>Sales[[#This Row],[PrefabFP]]*Lookups!$B$92</f>
        <v>0</v>
      </c>
      <c r="CC205">
        <f>Sales[[#This Row],[AttGar]]*Lookups!$B$93</f>
        <v>14120.412400000001</v>
      </c>
      <c r="CD205">
        <f>Sales[[#This Row],[BltinGar]]*Lookups!$B$94</f>
        <v>0</v>
      </c>
      <c r="CE205">
        <f>SUM(Sales[[#This Row],[Days Prior Total]:[Mdl BltinGar]])</f>
        <v>328910.52445751731</v>
      </c>
      <c r="CF205">
        <f>ROUND(Sales[[#This Row],[25Det]],-2)</f>
        <v>0</v>
      </c>
      <c r="CG205">
        <f>ROUND(SUM(Sales[[#This Row],[Mdl Qlty]:[Mdl BltinGar]])+Sales[[#This Row],[Mdl Res Intercept]]+Sales[[#This Row],[Days Prior Total]],-2)</f>
        <v>264600</v>
      </c>
      <c r="CH205">
        <f>ROUND(Sales[[#This Row],[Mdl Land Intercept]]+Sales[[#This Row],[Mdl LnAcres]],-2)</f>
        <v>64300</v>
      </c>
      <c r="CI205">
        <f>Sales[[#This Row],[Unadj Res Value]]+Sales[[#This Row],[Unadj Det Value]]+Sales[[#This Row],[Unadj Land Value]]</f>
        <v>328900</v>
      </c>
      <c r="CJ205" s="10">
        <f>Sales[[#This Row],[Price]]/Sales[[#This Row],[Unadj Total Value]]</f>
        <v>0.94253572514442074</v>
      </c>
      <c r="CK205" s="10">
        <f>(Sales[[#This Row],[Unadj Total Value]]-Sales[[#This Row],[24Final]])/Sales[[#This Row],[24Final]]</f>
        <v>-9.1938155715074549E-2</v>
      </c>
      <c r="CL205">
        <f>VLOOKUP(Sales[[#This Row],[TNbhd]],Lookups!$M$3:$P$5,4,FALSE)</f>
        <v>0.99970000000000003</v>
      </c>
      <c r="CM205">
        <f>VLOOKUP(Sales[[#This Row],[Qlty]],Lookups!$M$8:$P$22,4,FALSE)</f>
        <v>0.99819999999999998</v>
      </c>
      <c r="CN205">
        <f>VLOOKUP(Sales[[#This Row],[Cnd]],Lookups!$R$8:$U$17,4,FALSE)</f>
        <v>0.99680000000000002</v>
      </c>
      <c r="CO205">
        <f>VLOOKUP(Sales[[#This Row],[LivArea Range]],Lookups!$R$25:$U$43,4,FALSE)</f>
        <v>0.99519999999999997</v>
      </c>
      <c r="CP205">
        <f>VLOOKUP(Sales[[#This Row],[Decade]],Lookups!$M$24:$P$40,4,FALSE)</f>
        <v>0.99560000000000004</v>
      </c>
      <c r="CQ205">
        <f>Sales[[#This Row],[Nbhd Adj]]*0.95</f>
        <v>0.94971499999999998</v>
      </c>
      <c r="CR205">
        <f>Sales[[#This Row],[Nbhd Adj]]*Sales[[#This Row],[Quality Adj]]*Sales[[#This Row],[Condition Adj]]*Sales[[#This Row],[Living Area Adj]]*Sales[[#This Row],[Decade Adj]]*0.95</f>
        <v>0.93629811172753274</v>
      </c>
      <c r="CS205">
        <f>ROUND(SUM(Sales[[#This Row],[Mdl Qlty]:[Mdl BltinGar]])+Sales[[#This Row],[Mdl Res Intercept]]*Sales[[#This Row],[Res Adj ]],-2)</f>
        <v>255700</v>
      </c>
      <c r="CT205">
        <f>ROUND(Sales[[#This Row],[25Det]]*Sales[[#This Row],[Det/Nbhd Adj]],-2)</f>
        <v>0</v>
      </c>
      <c r="CU205">
        <f>Sales[[#This Row],[Adjusted Res]]+Sales[[#This Row],[Adj Det ]]</f>
        <v>255700</v>
      </c>
      <c r="CV205">
        <f>ROUND((Sales[[#This Row],[Mdl Land Intercept]]+Sales[[#This Row],[Mdl LnAcres]])*Sales[[#This Row],[Det/Nbhd Adj]],-2)</f>
        <v>61100</v>
      </c>
      <c r="CW205">
        <f>Sales[[#This Row],[Adjusted Impr Total]]+Sales[[#This Row],[Adjusted Land Total]]</f>
        <v>316800</v>
      </c>
      <c r="CX205" s="10">
        <f>IFERROR((Sales[[#This Row],[Adjusted Impr Total]]-Sales[[#This Row],[24Bldg]])/Sales[[#This Row],[24Bldg]],0)</f>
        <v>-0.15162574651625746</v>
      </c>
      <c r="CY205" s="10">
        <f>(Sales[[#This Row],[Adjusted Land Total]]-Sales[[#This Row],[24Lnd]])/Sales[[#This Row],[24Lnd]]</f>
        <v>4.9342105263157892E-3</v>
      </c>
      <c r="CZ205">
        <f>(Sales[[#This Row],[Adjusted Total]]-Sales[[#This Row],[24Final]])/Sales[[#This Row],[24Final]]</f>
        <v>-0.12534511319712865</v>
      </c>
      <c r="DA205" s="10">
        <f>(Sales[[#This Row],[Adjusted Total]]+Sales[[#This Row],[Days Prior Total]])/Sales[[#This Row],[Price]]</f>
        <v>1.0234366953851615</v>
      </c>
    </row>
    <row r="206" spans="1:105">
      <c r="A206">
        <v>2025</v>
      </c>
      <c r="B206">
        <v>20120633487</v>
      </c>
      <c r="C206">
        <v>-1.7719568419318752</v>
      </c>
      <c r="D206">
        <v>0.17</v>
      </c>
      <c r="E206">
        <v>7200</v>
      </c>
      <c r="F206">
        <v>2</v>
      </c>
      <c r="G206" t="s">
        <v>155</v>
      </c>
      <c r="H206">
        <v>317</v>
      </c>
      <c r="I206" t="s">
        <v>5</v>
      </c>
      <c r="J206" t="s">
        <v>212</v>
      </c>
      <c r="K206">
        <v>11</v>
      </c>
      <c r="L206">
        <v>259</v>
      </c>
      <c r="M206" t="s">
        <v>157</v>
      </c>
      <c r="N206" t="s">
        <v>19</v>
      </c>
      <c r="O206" t="s">
        <v>22</v>
      </c>
      <c r="P206">
        <v>2010</v>
      </c>
      <c r="Q206">
        <v>2010</v>
      </c>
      <c r="R206">
        <v>20</v>
      </c>
      <c r="S206">
        <v>14</v>
      </c>
      <c r="T206">
        <v>14</v>
      </c>
      <c r="U206">
        <v>2</v>
      </c>
      <c r="V206">
        <v>1116</v>
      </c>
      <c r="W206">
        <v>1116</v>
      </c>
      <c r="X206">
        <v>0</v>
      </c>
      <c r="Y206">
        <v>0</v>
      </c>
      <c r="Z206">
        <v>0</v>
      </c>
      <c r="AA206">
        <v>0</v>
      </c>
      <c r="AB206">
        <v>2232</v>
      </c>
      <c r="AC206">
        <v>2500</v>
      </c>
      <c r="AD206">
        <v>2</v>
      </c>
      <c r="AE206" t="s">
        <v>56</v>
      </c>
      <c r="AF206" t="s">
        <v>331</v>
      </c>
      <c r="AG206" t="s">
        <v>21</v>
      </c>
      <c r="AH206" t="s">
        <v>161</v>
      </c>
      <c r="AI206">
        <v>0</v>
      </c>
      <c r="AJ206">
        <v>0</v>
      </c>
      <c r="AK206">
        <v>0</v>
      </c>
      <c r="AL206">
        <v>0</v>
      </c>
      <c r="AM206">
        <v>1</v>
      </c>
      <c r="AN206">
        <v>13</v>
      </c>
      <c r="AO206">
        <v>440</v>
      </c>
      <c r="AP206">
        <v>0</v>
      </c>
      <c r="AQ206">
        <v>0</v>
      </c>
      <c r="AR206">
        <v>0</v>
      </c>
      <c r="AS206">
        <v>144</v>
      </c>
      <c r="AT206">
        <v>0</v>
      </c>
      <c r="AU206">
        <v>100</v>
      </c>
      <c r="AV206">
        <v>100</v>
      </c>
      <c r="AW206">
        <v>348280</v>
      </c>
      <c r="AX206">
        <v>334349</v>
      </c>
      <c r="AY206">
        <v>497</v>
      </c>
      <c r="AZ206">
        <v>365</v>
      </c>
      <c r="BA206">
        <v>132</v>
      </c>
      <c r="BB206">
        <v>0</v>
      </c>
      <c r="BC206" s="2">
        <v>44795</v>
      </c>
      <c r="BD206" t="s">
        <v>367</v>
      </c>
      <c r="BE206">
        <v>415000</v>
      </c>
      <c r="BF206">
        <v>415000</v>
      </c>
      <c r="BG206" t="s">
        <v>160</v>
      </c>
      <c r="BH206">
        <v>30</v>
      </c>
      <c r="BI206" t="s">
        <v>56</v>
      </c>
      <c r="BJ206" t="s">
        <v>161</v>
      </c>
      <c r="BK206">
        <v>454100</v>
      </c>
      <c r="BL206">
        <v>61700</v>
      </c>
      <c r="BM206">
        <v>392400</v>
      </c>
      <c r="BN206">
        <v>0</v>
      </c>
      <c r="BO206">
        <v>420532.47535625444</v>
      </c>
      <c r="BP206">
        <v>425968.45124900708</v>
      </c>
      <c r="BQ206">
        <f>(Sales[[#This Row],[DP1]]*Lookups!$B$61)+(Sales[[#This Row],[DP2]]*Lookups!$B$62)+(Sales[[#This Row],[DP3]]*Lookups!$B$63)</f>
        <v>-5435.9754809999995</v>
      </c>
      <c r="BR206">
        <f>Lookups!$B$58*0.6</f>
        <v>132535.48800000001</v>
      </c>
      <c r="BS206">
        <f>Lookups!$B$58*0.4</f>
        <v>88356.992000000013</v>
      </c>
      <c r="BT206">
        <f>Lookups!$B$59*Sales[[#This Row],[LnAcres]]</f>
        <v>-23255.730391660189</v>
      </c>
      <c r="BU206">
        <f>VLOOKUP(Sales[[#This Row],[Qlty]],Lookups!$A$66:$E$79,2,FALSE)</f>
        <v>37154.252388000001</v>
      </c>
      <c r="BV206">
        <f>VLOOKUP(Sales[[#This Row],[Cnd]],Lookups!$A$80:$E$91,2,FALSE)</f>
        <v>50438.379078999998</v>
      </c>
      <c r="BW206">
        <f>Sales[[#This Row],[EffAge]]*Lookups!$B$65</f>
        <v>-1522.3754000000001</v>
      </c>
      <c r="BX206">
        <f>Sales[[#This Row],[MainFn]]*Lookups!$B$90</f>
        <v>69649.984080000009</v>
      </c>
      <c r="BY206">
        <f>Sales[[#This Row],[UpprFn]]*Lookups!$B$91</f>
        <v>66491.707427999994</v>
      </c>
      <c r="BZ206">
        <f>Sales[[#This Row],[Bsmt]]*Lookups!$B$95</f>
        <v>0</v>
      </c>
      <c r="CA206">
        <f>VLOOKUP(Sales[[#This Row],[MsnryTrim]],Lookups!$A$90:$E$99,2,FALSE)</f>
        <v>-9412.7029999999995</v>
      </c>
      <c r="CB206">
        <f>Sales[[#This Row],[PrefabFP]]*Lookups!$B$92</f>
        <v>0</v>
      </c>
      <c r="CC206">
        <f>Sales[[#This Row],[AttGar]]*Lookups!$B$93</f>
        <v>15532.453640000002</v>
      </c>
      <c r="CD206">
        <f>Sales[[#This Row],[BltinGar]]*Lookups!$B$94</f>
        <v>0</v>
      </c>
      <c r="CE206">
        <f>SUM(Sales[[#This Row],[Days Prior Total]:[Mdl BltinGar]])</f>
        <v>420532.47234233987</v>
      </c>
      <c r="CF206">
        <f>ROUND(Sales[[#This Row],[25Det]],-2)</f>
        <v>0</v>
      </c>
      <c r="CG206">
        <f>ROUND(SUM(Sales[[#This Row],[Mdl Qlty]:[Mdl BltinGar]])+Sales[[#This Row],[Mdl Res Intercept]]+Sales[[#This Row],[Days Prior Total]],-2)</f>
        <v>355400</v>
      </c>
      <c r="CH206">
        <f>ROUND(Sales[[#This Row],[Mdl Land Intercept]]+Sales[[#This Row],[Mdl LnAcres]],-2)</f>
        <v>65100</v>
      </c>
      <c r="CI206">
        <f>Sales[[#This Row],[Unadj Res Value]]+Sales[[#This Row],[Unadj Det Value]]+Sales[[#This Row],[Unadj Land Value]]</f>
        <v>420500</v>
      </c>
      <c r="CJ206" s="10">
        <f>Sales[[#This Row],[Price]]/Sales[[#This Row],[Unadj Total Value]]</f>
        <v>0.98692033293697978</v>
      </c>
      <c r="CK206" s="10">
        <f>(Sales[[#This Row],[Unadj Total Value]]-Sales[[#This Row],[24Final]])/Sales[[#This Row],[24Final]]</f>
        <v>-7.3992512662409166E-2</v>
      </c>
      <c r="CL206">
        <f>VLOOKUP(Sales[[#This Row],[TNbhd]],Lookups!$M$3:$P$5,4,FALSE)</f>
        <v>0.99970000000000003</v>
      </c>
      <c r="CM206">
        <f>VLOOKUP(Sales[[#This Row],[Qlty]],Lookups!$M$8:$P$22,4,FALSE)</f>
        <v>0.99819999999999998</v>
      </c>
      <c r="CN206">
        <f>VLOOKUP(Sales[[#This Row],[Cnd]],Lookups!$R$8:$U$17,4,FALSE)</f>
        <v>1.0007999999999999</v>
      </c>
      <c r="CO206">
        <f>VLOOKUP(Sales[[#This Row],[LivArea Range]],Lookups!$R$25:$U$43,4,FALSE)</f>
        <v>1.0008999999999999</v>
      </c>
      <c r="CP206">
        <f>VLOOKUP(Sales[[#This Row],[Decade]],Lookups!$M$24:$P$40,4,FALSE)</f>
        <v>0.99560000000000004</v>
      </c>
      <c r="CQ206">
        <f>Sales[[#This Row],[Nbhd Adj]]*0.95</f>
        <v>0.94971499999999998</v>
      </c>
      <c r="CR206">
        <f>Sales[[#This Row],[Nbhd Adj]]*Sales[[#This Row],[Quality Adj]]*Sales[[#This Row],[Condition Adj]]*Sales[[#This Row],[Living Area Adj]]*Sales[[#This Row],[Decade Adj]]*0.95</f>
        <v>0.94543948659435051</v>
      </c>
      <c r="CS206">
        <f>ROUND(SUM(Sales[[#This Row],[Mdl Qlty]:[Mdl BltinGar]])+Sales[[#This Row],[Mdl Res Intercept]]*Sales[[#This Row],[Res Adj ]],-2)</f>
        <v>353600</v>
      </c>
      <c r="CT206">
        <f>ROUND(Sales[[#This Row],[25Det]]*Sales[[#This Row],[Det/Nbhd Adj]],-2)</f>
        <v>0</v>
      </c>
      <c r="CU206">
        <f>Sales[[#This Row],[Adjusted Res]]+Sales[[#This Row],[Adj Det ]]</f>
        <v>353600</v>
      </c>
      <c r="CV206">
        <f>ROUND((Sales[[#This Row],[Mdl Land Intercept]]+Sales[[#This Row],[Mdl LnAcres]])*Sales[[#This Row],[Det/Nbhd Adj]],-2)</f>
        <v>61800</v>
      </c>
      <c r="CW206">
        <f>Sales[[#This Row],[Adjusted Impr Total]]+Sales[[#This Row],[Adjusted Land Total]]</f>
        <v>415400</v>
      </c>
      <c r="CX206" s="10">
        <f>IFERROR((Sales[[#This Row],[Adjusted Impr Total]]-Sales[[#This Row],[24Bldg]])/Sales[[#This Row],[24Bldg]],0)</f>
        <v>-9.8878695208970441E-2</v>
      </c>
      <c r="CY206" s="10">
        <f>(Sales[[#This Row],[Adjusted Land Total]]-Sales[[#This Row],[24Lnd]])/Sales[[#This Row],[24Lnd]]</f>
        <v>1.6207455429497568E-3</v>
      </c>
      <c r="CZ206">
        <f>(Sales[[#This Row],[Adjusted Total]]-Sales[[#This Row],[24Final]])/Sales[[#This Row],[24Final]]</f>
        <v>-8.5223519048667692E-2</v>
      </c>
      <c r="DA206" s="10">
        <f>(Sales[[#This Row],[Adjusted Total]]+Sales[[#This Row],[Days Prior Total]])/Sales[[#This Row],[Price]]</f>
        <v>0.98786511932289167</v>
      </c>
    </row>
    <row r="207" spans="1:105">
      <c r="A207">
        <v>2025</v>
      </c>
      <c r="B207">
        <v>20120633508</v>
      </c>
      <c r="C207">
        <v>-1.7147984280919266</v>
      </c>
      <c r="D207">
        <v>0.18</v>
      </c>
      <c r="E207">
        <v>7722</v>
      </c>
      <c r="F207">
        <v>2</v>
      </c>
      <c r="G207" t="s">
        <v>155</v>
      </c>
      <c r="H207">
        <v>317</v>
      </c>
      <c r="I207" t="s">
        <v>5</v>
      </c>
      <c r="J207" t="s">
        <v>212</v>
      </c>
      <c r="K207">
        <v>11</v>
      </c>
      <c r="L207">
        <v>259</v>
      </c>
      <c r="M207" t="s">
        <v>157</v>
      </c>
      <c r="N207" t="s">
        <v>21</v>
      </c>
      <c r="O207" t="s">
        <v>20</v>
      </c>
      <c r="P207">
        <v>2010</v>
      </c>
      <c r="Q207">
        <v>2010</v>
      </c>
      <c r="R207">
        <v>20</v>
      </c>
      <c r="S207">
        <v>14</v>
      </c>
      <c r="T207">
        <v>14</v>
      </c>
      <c r="U207">
        <v>2</v>
      </c>
      <c r="V207">
        <v>1389</v>
      </c>
      <c r="W207">
        <v>1322</v>
      </c>
      <c r="X207">
        <v>0</v>
      </c>
      <c r="Y207">
        <v>0</v>
      </c>
      <c r="Z207">
        <v>0</v>
      </c>
      <c r="AA207">
        <v>0</v>
      </c>
      <c r="AB207">
        <v>2711</v>
      </c>
      <c r="AC207">
        <v>3000</v>
      </c>
      <c r="AD207">
        <v>3</v>
      </c>
      <c r="AE207" t="s">
        <v>56</v>
      </c>
      <c r="AF207" t="s">
        <v>331</v>
      </c>
      <c r="AG207" t="s">
        <v>21</v>
      </c>
      <c r="AH207" t="s">
        <v>161</v>
      </c>
      <c r="AI207">
        <v>0</v>
      </c>
      <c r="AJ207">
        <v>0</v>
      </c>
      <c r="AK207">
        <v>0</v>
      </c>
      <c r="AL207">
        <v>0</v>
      </c>
      <c r="AM207">
        <v>1</v>
      </c>
      <c r="AN207">
        <v>18</v>
      </c>
      <c r="AO207">
        <v>0</v>
      </c>
      <c r="AP207">
        <v>728</v>
      </c>
      <c r="AQ207">
        <v>0</v>
      </c>
      <c r="AR207">
        <v>0</v>
      </c>
      <c r="AS207">
        <v>870</v>
      </c>
      <c r="AT207">
        <v>870</v>
      </c>
      <c r="AU207">
        <v>100</v>
      </c>
      <c r="AV207">
        <v>100</v>
      </c>
      <c r="AW207">
        <v>512150</v>
      </c>
      <c r="AX207">
        <v>491664</v>
      </c>
      <c r="AY207">
        <v>885</v>
      </c>
      <c r="AZ207">
        <v>365</v>
      </c>
      <c r="BA207">
        <v>365</v>
      </c>
      <c r="BB207">
        <v>155</v>
      </c>
      <c r="BC207" s="2">
        <v>44407</v>
      </c>
      <c r="BD207">
        <v>460094</v>
      </c>
      <c r="BE207">
        <v>430000</v>
      </c>
      <c r="BF207">
        <v>430000</v>
      </c>
      <c r="BG207" t="s">
        <v>160</v>
      </c>
      <c r="BH207">
        <v>30</v>
      </c>
      <c r="BI207" t="s">
        <v>56</v>
      </c>
      <c r="BJ207" t="s">
        <v>161</v>
      </c>
      <c r="BK207">
        <v>482400</v>
      </c>
      <c r="BL207">
        <v>62500</v>
      </c>
      <c r="BM207">
        <v>419900</v>
      </c>
      <c r="BN207">
        <v>0</v>
      </c>
      <c r="BO207">
        <v>395438.94078853552</v>
      </c>
      <c r="BP207">
        <v>452084.17291096196</v>
      </c>
      <c r="BQ207">
        <f>(Sales[[#This Row],[DP1]]*Lookups!$B$61)+(Sales[[#This Row],[DP2]]*Lookups!$B$62)+(Sales[[#This Row],[DP3]]*Lookups!$B$63)</f>
        <v>-56645.229630999995</v>
      </c>
      <c r="BR207">
        <f>Lookups!$B$58*0.6</f>
        <v>132535.48800000001</v>
      </c>
      <c r="BS207">
        <f>Lookups!$B$58*0.4</f>
        <v>88356.992000000013</v>
      </c>
      <c r="BT207">
        <f>Lookups!$B$59*Sales[[#This Row],[LnAcres]]</f>
        <v>-22505.565020573864</v>
      </c>
      <c r="BU207">
        <f>VLOOKUP(Sales[[#This Row],[Qlty]],Lookups!$A$66:$E$79,2,FALSE)</f>
        <v>32917.849192000001</v>
      </c>
      <c r="BV207">
        <f>VLOOKUP(Sales[[#This Row],[Cnd]],Lookups!$A$80:$E$91,2,FALSE)</f>
        <v>30300.329274</v>
      </c>
      <c r="BW207">
        <f>Sales[[#This Row],[EffAge]]*Lookups!$B$65</f>
        <v>-1522.3754000000001</v>
      </c>
      <c r="BX207">
        <f>Sales[[#This Row],[MainFn]]*Lookups!$B$90</f>
        <v>86688.017820000008</v>
      </c>
      <c r="BY207">
        <f>Sales[[#This Row],[UpprFn]]*Lookups!$B$91</f>
        <v>78765.266325999997</v>
      </c>
      <c r="BZ207">
        <f>Sales[[#This Row],[Bsmt]]*Lookups!$B$95</f>
        <v>0</v>
      </c>
      <c r="CA207">
        <f>VLOOKUP(Sales[[#This Row],[MsnryTrim]],Lookups!$A$90:$E$99,2,FALSE)</f>
        <v>-9412.7029999999995</v>
      </c>
      <c r="CB207">
        <f>Sales[[#This Row],[PrefabFP]]*Lookups!$B$92</f>
        <v>0</v>
      </c>
      <c r="CC207">
        <f>Sales[[#This Row],[AttGar]]*Lookups!$B$93</f>
        <v>0</v>
      </c>
      <c r="CD207">
        <f>Sales[[#This Row],[BltinGar]]*Lookups!$B$94</f>
        <v>35960.8704</v>
      </c>
      <c r="CE207">
        <f>SUM(Sales[[#This Row],[Days Prior Total]:[Mdl BltinGar]])</f>
        <v>395438.93996042619</v>
      </c>
      <c r="CF207">
        <f>ROUND(Sales[[#This Row],[25Det]],-2)</f>
        <v>0</v>
      </c>
      <c r="CG207">
        <f>ROUND(SUM(Sales[[#This Row],[Mdl Qlty]:[Mdl BltinGar]])+Sales[[#This Row],[Mdl Res Intercept]]+Sales[[#This Row],[Days Prior Total]],-2)</f>
        <v>329600</v>
      </c>
      <c r="CH207">
        <f>ROUND(Sales[[#This Row],[Mdl Land Intercept]]+Sales[[#This Row],[Mdl LnAcres]],-2)</f>
        <v>65900</v>
      </c>
      <c r="CI207">
        <f>Sales[[#This Row],[Unadj Res Value]]+Sales[[#This Row],[Unadj Det Value]]+Sales[[#This Row],[Unadj Land Value]]</f>
        <v>395500</v>
      </c>
      <c r="CJ207" s="10">
        <f>Sales[[#This Row],[Price]]/Sales[[#This Row],[Unadj Total Value]]</f>
        <v>1.0872313527180784</v>
      </c>
      <c r="CK207" s="10">
        <f>(Sales[[#This Row],[Unadj Total Value]]-Sales[[#This Row],[24Final]])/Sales[[#This Row],[24Final]]</f>
        <v>-0.18014096185737977</v>
      </c>
      <c r="CL207">
        <f>VLOOKUP(Sales[[#This Row],[TNbhd]],Lookups!$M$3:$P$5,4,FALSE)</f>
        <v>0.99970000000000003</v>
      </c>
      <c r="CM207">
        <f>VLOOKUP(Sales[[#This Row],[Qlty]],Lookups!$M$8:$P$22,4,FALSE)</f>
        <v>1.0019</v>
      </c>
      <c r="CN207">
        <f>VLOOKUP(Sales[[#This Row],[Cnd]],Lookups!$R$8:$U$17,4,FALSE)</f>
        <v>0.997</v>
      </c>
      <c r="CO207">
        <f>VLOOKUP(Sales[[#This Row],[LivArea Range]],Lookups!$R$25:$U$43,4,FALSE)</f>
        <v>1.0099</v>
      </c>
      <c r="CP207">
        <f>VLOOKUP(Sales[[#This Row],[Decade]],Lookups!$M$24:$P$40,4,FALSE)</f>
        <v>0.99560000000000004</v>
      </c>
      <c r="CQ207">
        <f>Sales[[#This Row],[Nbhd Adj]]*0.95</f>
        <v>0.94971499999999998</v>
      </c>
      <c r="CR207">
        <f>Sales[[#This Row],[Nbhd Adj]]*Sales[[#This Row],[Quality Adj]]*Sales[[#This Row],[Condition Adj]]*Sales[[#This Row],[Living Area Adj]]*Sales[[#This Row],[Decade Adj]]*0.95</f>
        <v>0.95384123323213543</v>
      </c>
      <c r="CS207">
        <f>ROUND(SUM(Sales[[#This Row],[Mdl Qlty]:[Mdl BltinGar]])+Sales[[#This Row],[Mdl Res Intercept]]*Sales[[#This Row],[Res Adj ]],-2)</f>
        <v>380100</v>
      </c>
      <c r="CT207">
        <f>ROUND(Sales[[#This Row],[25Det]]*Sales[[#This Row],[Det/Nbhd Adj]],-2)</f>
        <v>0</v>
      </c>
      <c r="CU207">
        <f>Sales[[#This Row],[Adjusted Res]]+Sales[[#This Row],[Adj Det ]]</f>
        <v>380100</v>
      </c>
      <c r="CV207">
        <f>ROUND((Sales[[#This Row],[Mdl Land Intercept]]+Sales[[#This Row],[Mdl LnAcres]])*Sales[[#This Row],[Det/Nbhd Adj]],-2)</f>
        <v>62500</v>
      </c>
      <c r="CW207">
        <f>Sales[[#This Row],[Adjusted Impr Total]]+Sales[[#This Row],[Adjusted Land Total]]</f>
        <v>442600</v>
      </c>
      <c r="CX207" s="10">
        <f>IFERROR((Sales[[#This Row],[Adjusted Impr Total]]-Sales[[#This Row],[24Bldg]])/Sales[[#This Row],[24Bldg]],0)</f>
        <v>-9.4784472493450816E-2</v>
      </c>
      <c r="CY207" s="10">
        <f>(Sales[[#This Row],[Adjusted Land Total]]-Sales[[#This Row],[24Lnd]])/Sales[[#This Row],[24Lnd]]</f>
        <v>0</v>
      </c>
      <c r="CZ207">
        <f>(Sales[[#This Row],[Adjusted Total]]-Sales[[#This Row],[24Final]])/Sales[[#This Row],[24Final]]</f>
        <v>-8.2504145936981757E-2</v>
      </c>
      <c r="DA207" s="10">
        <f>(Sales[[#This Row],[Adjusted Total]]+Sales[[#This Row],[Days Prior Total]])/Sales[[#This Row],[Price]]</f>
        <v>0.89756923341627914</v>
      </c>
    </row>
    <row r="208" spans="1:105">
      <c r="A208">
        <v>2025</v>
      </c>
      <c r="B208">
        <v>20120633427</v>
      </c>
      <c r="C208">
        <v>-1.7719568419318752</v>
      </c>
      <c r="D208">
        <v>0.17</v>
      </c>
      <c r="E208">
        <v>7622</v>
      </c>
      <c r="F208">
        <v>2</v>
      </c>
      <c r="G208" t="s">
        <v>155</v>
      </c>
      <c r="H208">
        <v>317</v>
      </c>
      <c r="I208" t="s">
        <v>5</v>
      </c>
      <c r="J208" t="s">
        <v>212</v>
      </c>
      <c r="K208">
        <v>11</v>
      </c>
      <c r="L208">
        <v>259</v>
      </c>
      <c r="M208" t="s">
        <v>157</v>
      </c>
      <c r="N208" t="s">
        <v>19</v>
      </c>
      <c r="O208" t="s">
        <v>20</v>
      </c>
      <c r="P208">
        <v>2009</v>
      </c>
      <c r="Q208">
        <v>2009</v>
      </c>
      <c r="R208">
        <v>20</v>
      </c>
      <c r="S208">
        <v>15</v>
      </c>
      <c r="T208">
        <v>15</v>
      </c>
      <c r="U208">
        <v>2</v>
      </c>
      <c r="V208">
        <v>1116</v>
      </c>
      <c r="W208">
        <v>1116</v>
      </c>
      <c r="X208">
        <v>0</v>
      </c>
      <c r="Y208">
        <v>0</v>
      </c>
      <c r="Z208">
        <v>0</v>
      </c>
      <c r="AA208">
        <v>0</v>
      </c>
      <c r="AB208">
        <v>2232</v>
      </c>
      <c r="AC208">
        <v>2500</v>
      </c>
      <c r="AD208">
        <v>2</v>
      </c>
      <c r="AE208" t="s">
        <v>55</v>
      </c>
      <c r="AF208" t="s">
        <v>331</v>
      </c>
      <c r="AG208" t="s">
        <v>21</v>
      </c>
      <c r="AH208" t="s">
        <v>161</v>
      </c>
      <c r="AI208">
        <v>0</v>
      </c>
      <c r="AJ208">
        <v>0</v>
      </c>
      <c r="AK208">
        <v>1</v>
      </c>
      <c r="AL208">
        <v>0</v>
      </c>
      <c r="AM208">
        <v>1</v>
      </c>
      <c r="AN208">
        <v>13</v>
      </c>
      <c r="AO208">
        <v>440</v>
      </c>
      <c r="AP208">
        <v>0</v>
      </c>
      <c r="AQ208">
        <v>0</v>
      </c>
      <c r="AR208">
        <v>144</v>
      </c>
      <c r="AS208">
        <v>312</v>
      </c>
      <c r="AT208">
        <v>288</v>
      </c>
      <c r="AU208">
        <v>100</v>
      </c>
      <c r="AV208">
        <v>100</v>
      </c>
      <c r="AW208">
        <v>364798</v>
      </c>
      <c r="AX208">
        <v>346558</v>
      </c>
      <c r="AY208">
        <v>985</v>
      </c>
      <c r="AZ208">
        <v>365</v>
      </c>
      <c r="BA208">
        <v>365</v>
      </c>
      <c r="BB208">
        <v>255</v>
      </c>
      <c r="BC208" s="2">
        <v>44307</v>
      </c>
      <c r="BD208" t="s">
        <v>368</v>
      </c>
      <c r="BE208">
        <v>350000</v>
      </c>
      <c r="BF208">
        <v>350000</v>
      </c>
      <c r="BG208" t="s">
        <v>160</v>
      </c>
      <c r="BH208">
        <v>30</v>
      </c>
      <c r="BI208" t="s">
        <v>56</v>
      </c>
      <c r="BJ208" t="s">
        <v>161</v>
      </c>
      <c r="BK208">
        <v>438300</v>
      </c>
      <c r="BL208">
        <v>61700</v>
      </c>
      <c r="BM208">
        <v>376600</v>
      </c>
      <c r="BN208">
        <v>0</v>
      </c>
      <c r="BO208">
        <v>350696.11864507187</v>
      </c>
      <c r="BP208">
        <v>430241.29162631248</v>
      </c>
      <c r="BQ208">
        <f>(Sales[[#This Row],[DP1]]*Lookups!$B$61)+(Sales[[#This Row],[DP2]]*Lookups!$B$62)+(Sales[[#This Row],[DP3]]*Lookups!$B$63)</f>
        <v>-79545.169630999997</v>
      </c>
      <c r="BR208">
        <f>Lookups!$B$58*0.6</f>
        <v>132535.48800000001</v>
      </c>
      <c r="BS208">
        <f>Lookups!$B$58*0.4</f>
        <v>88356.992000000013</v>
      </c>
      <c r="BT208">
        <f>Lookups!$B$59*Sales[[#This Row],[LnAcres]]</f>
        <v>-23255.730391660189</v>
      </c>
      <c r="BU208">
        <f>VLOOKUP(Sales[[#This Row],[Qlty]],Lookups!$A$66:$E$79,2,FALSE)</f>
        <v>37154.252388000001</v>
      </c>
      <c r="BV208">
        <f>VLOOKUP(Sales[[#This Row],[Cnd]],Lookups!$A$80:$E$91,2,FALSE)</f>
        <v>30300.329274</v>
      </c>
      <c r="BW208">
        <f>Sales[[#This Row],[EffAge]]*Lookups!$B$65</f>
        <v>-1631.1165000000001</v>
      </c>
      <c r="BX208">
        <f>Sales[[#This Row],[MainFn]]*Lookups!$B$90</f>
        <v>69649.984080000009</v>
      </c>
      <c r="BY208">
        <f>Sales[[#This Row],[UpprFn]]*Lookups!$B$91</f>
        <v>66491.707427999994</v>
      </c>
      <c r="BZ208">
        <f>Sales[[#This Row],[Bsmt]]*Lookups!$B$95</f>
        <v>0</v>
      </c>
      <c r="CA208">
        <f>VLOOKUP(Sales[[#This Row],[MsnryTrim]],Lookups!$A$90:$E$99,2,FALSE)</f>
        <v>5299.8242</v>
      </c>
      <c r="CB208">
        <f>Sales[[#This Row],[PrefabFP]]*Lookups!$B$92</f>
        <v>9807.1044999999995</v>
      </c>
      <c r="CC208">
        <f>Sales[[#This Row],[AttGar]]*Lookups!$B$93</f>
        <v>15532.453640000002</v>
      </c>
      <c r="CD208">
        <f>Sales[[#This Row],[BltinGar]]*Lookups!$B$94</f>
        <v>0</v>
      </c>
      <c r="CE208">
        <f>SUM(Sales[[#This Row],[Days Prior Total]:[Mdl BltinGar]])</f>
        <v>350696.11898733984</v>
      </c>
      <c r="CF208">
        <f>ROUND(Sales[[#This Row],[25Det]],-2)</f>
        <v>0</v>
      </c>
      <c r="CG208">
        <f>ROUND(SUM(Sales[[#This Row],[Mdl Qlty]:[Mdl BltinGar]])+Sales[[#This Row],[Mdl Res Intercept]]+Sales[[#This Row],[Days Prior Total]],-2)</f>
        <v>285600</v>
      </c>
      <c r="CH208">
        <f>ROUND(Sales[[#This Row],[Mdl Land Intercept]]+Sales[[#This Row],[Mdl LnAcres]],-2)</f>
        <v>65100</v>
      </c>
      <c r="CI208">
        <f>Sales[[#This Row],[Unadj Res Value]]+Sales[[#This Row],[Unadj Det Value]]+Sales[[#This Row],[Unadj Land Value]]</f>
        <v>350700</v>
      </c>
      <c r="CJ208" s="10">
        <f>Sales[[#This Row],[Price]]/Sales[[#This Row],[Unadj Total Value]]</f>
        <v>0.99800399201596801</v>
      </c>
      <c r="CK208" s="10">
        <f>(Sales[[#This Row],[Unadj Total Value]]-Sales[[#This Row],[24Final]])/Sales[[#This Row],[24Final]]</f>
        <v>-0.1998631074606434</v>
      </c>
      <c r="CL208">
        <f>VLOOKUP(Sales[[#This Row],[TNbhd]],Lookups!$M$3:$P$5,4,FALSE)</f>
        <v>0.99970000000000003</v>
      </c>
      <c r="CM208">
        <f>VLOOKUP(Sales[[#This Row],[Qlty]],Lookups!$M$8:$P$22,4,FALSE)</f>
        <v>0.99819999999999998</v>
      </c>
      <c r="CN208">
        <f>VLOOKUP(Sales[[#This Row],[Cnd]],Lookups!$R$8:$U$17,4,FALSE)</f>
        <v>0.997</v>
      </c>
      <c r="CO208">
        <f>VLOOKUP(Sales[[#This Row],[LivArea Range]],Lookups!$R$25:$U$43,4,FALSE)</f>
        <v>1.0008999999999999</v>
      </c>
      <c r="CP208">
        <f>VLOOKUP(Sales[[#This Row],[Decade]],Lookups!$M$24:$P$40,4,FALSE)</f>
        <v>0.99560000000000004</v>
      </c>
      <c r="CQ208">
        <f>Sales[[#This Row],[Nbhd Adj]]*0.95</f>
        <v>0.94971499999999998</v>
      </c>
      <c r="CR208">
        <f>Sales[[#This Row],[Nbhd Adj]]*Sales[[#This Row],[Quality Adj]]*Sales[[#This Row],[Condition Adj]]*Sales[[#This Row],[Living Area Adj]]*Sales[[#This Row],[Decade Adj]]*0.95</f>
        <v>0.94184968838386041</v>
      </c>
      <c r="CS208">
        <f>ROUND(SUM(Sales[[#This Row],[Mdl Qlty]:[Mdl BltinGar]])+Sales[[#This Row],[Mdl Res Intercept]]*Sales[[#This Row],[Res Adj ]],-2)</f>
        <v>357400</v>
      </c>
      <c r="CT208">
        <f>ROUND(Sales[[#This Row],[25Det]]*Sales[[#This Row],[Det/Nbhd Adj]],-2)</f>
        <v>0</v>
      </c>
      <c r="CU208">
        <f>Sales[[#This Row],[Adjusted Res]]+Sales[[#This Row],[Adj Det ]]</f>
        <v>357400</v>
      </c>
      <c r="CV208">
        <f>ROUND((Sales[[#This Row],[Mdl Land Intercept]]+Sales[[#This Row],[Mdl LnAcres]])*Sales[[#This Row],[Det/Nbhd Adj]],-2)</f>
        <v>61800</v>
      </c>
      <c r="CW208">
        <f>Sales[[#This Row],[Adjusted Impr Total]]+Sales[[#This Row],[Adjusted Land Total]]</f>
        <v>419200</v>
      </c>
      <c r="CX208" s="10">
        <f>IFERROR((Sales[[#This Row],[Adjusted Impr Total]]-Sales[[#This Row],[24Bldg]])/Sales[[#This Row],[24Bldg]],0)</f>
        <v>-5.0982474774296335E-2</v>
      </c>
      <c r="CY208" s="10">
        <f>(Sales[[#This Row],[Adjusted Land Total]]-Sales[[#This Row],[24Lnd]])/Sales[[#This Row],[24Lnd]]</f>
        <v>1.6207455429497568E-3</v>
      </c>
      <c r="CZ208">
        <f>(Sales[[#This Row],[Adjusted Total]]-Sales[[#This Row],[24Final]])/Sales[[#This Row],[24Final]]</f>
        <v>-4.357745836185261E-2</v>
      </c>
      <c r="DA208" s="10">
        <f>(Sales[[#This Row],[Adjusted Total]]+Sales[[#This Row],[Days Prior Total]])/Sales[[#This Row],[Price]]</f>
        <v>0.97044237248285703</v>
      </c>
    </row>
    <row r="209" spans="1:105">
      <c r="A209">
        <v>2025</v>
      </c>
      <c r="B209">
        <v>20120633432</v>
      </c>
      <c r="C209">
        <v>-1.7147984280919266</v>
      </c>
      <c r="D209">
        <v>0.18</v>
      </c>
      <c r="E209">
        <v>7809</v>
      </c>
      <c r="F209">
        <v>2</v>
      </c>
      <c r="G209" t="s">
        <v>155</v>
      </c>
      <c r="H209">
        <v>317</v>
      </c>
      <c r="I209" t="s">
        <v>5</v>
      </c>
      <c r="J209" t="s">
        <v>212</v>
      </c>
      <c r="K209">
        <v>11</v>
      </c>
      <c r="L209">
        <v>259</v>
      </c>
      <c r="M209" t="s">
        <v>157</v>
      </c>
      <c r="N209" t="s">
        <v>19</v>
      </c>
      <c r="O209" t="s">
        <v>22</v>
      </c>
      <c r="P209">
        <v>2009</v>
      </c>
      <c r="Q209">
        <v>2009</v>
      </c>
      <c r="R209">
        <v>20</v>
      </c>
      <c r="S209">
        <v>15</v>
      </c>
      <c r="T209">
        <v>15</v>
      </c>
      <c r="U209">
        <v>1</v>
      </c>
      <c r="V209">
        <v>1132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1132</v>
      </c>
      <c r="AC209">
        <v>1500</v>
      </c>
      <c r="AD209">
        <v>2</v>
      </c>
      <c r="AE209" t="s">
        <v>56</v>
      </c>
      <c r="AF209" t="s">
        <v>331</v>
      </c>
      <c r="AG209" t="s">
        <v>21</v>
      </c>
      <c r="AH209" t="s">
        <v>161</v>
      </c>
      <c r="AI209">
        <v>0</v>
      </c>
      <c r="AJ209">
        <v>0</v>
      </c>
      <c r="AK209">
        <v>0</v>
      </c>
      <c r="AL209">
        <v>1</v>
      </c>
      <c r="AM209">
        <v>0</v>
      </c>
      <c r="AN209">
        <v>8</v>
      </c>
      <c r="AO209">
        <v>444</v>
      </c>
      <c r="AP209">
        <v>0</v>
      </c>
      <c r="AQ209">
        <v>0</v>
      </c>
      <c r="AR209">
        <v>0</v>
      </c>
      <c r="AS209">
        <v>144</v>
      </c>
      <c r="AT209">
        <v>0</v>
      </c>
      <c r="AU209">
        <v>100</v>
      </c>
      <c r="AV209">
        <v>100</v>
      </c>
      <c r="AW209">
        <v>215806</v>
      </c>
      <c r="AX209">
        <v>207174</v>
      </c>
      <c r="AY209">
        <v>1012</v>
      </c>
      <c r="AZ209">
        <v>365</v>
      </c>
      <c r="BA209">
        <v>365</v>
      </c>
      <c r="BB209">
        <v>282</v>
      </c>
      <c r="BC209" s="2">
        <v>44280</v>
      </c>
      <c r="BD209" t="s">
        <v>369</v>
      </c>
      <c r="BE209">
        <v>278500</v>
      </c>
      <c r="BF209">
        <v>278500</v>
      </c>
      <c r="BG209" t="s">
        <v>160</v>
      </c>
      <c r="BH209">
        <v>30</v>
      </c>
      <c r="BI209" t="s">
        <v>56</v>
      </c>
      <c r="BJ209" t="s">
        <v>161</v>
      </c>
      <c r="BK209">
        <v>361800</v>
      </c>
      <c r="BL209">
        <v>62500</v>
      </c>
      <c r="BM209">
        <v>299300</v>
      </c>
      <c r="BN209">
        <v>0</v>
      </c>
      <c r="BO209">
        <v>275529.78155905212</v>
      </c>
      <c r="BP209">
        <v>361257.93857217248</v>
      </c>
      <c r="BQ209">
        <f>(Sales[[#This Row],[DP1]]*Lookups!$B$61)+(Sales[[#This Row],[DP2]]*Lookups!$B$62)+(Sales[[#This Row],[DP3]]*Lookups!$B$63)</f>
        <v>-85728.153430999999</v>
      </c>
      <c r="BR209">
        <f>Lookups!$B$58*0.6</f>
        <v>132535.48800000001</v>
      </c>
      <c r="BS209">
        <f>Lookups!$B$58*0.4</f>
        <v>88356.992000000013</v>
      </c>
      <c r="BT209">
        <f>Lookups!$B$59*Sales[[#This Row],[LnAcres]]</f>
        <v>-22505.565020573864</v>
      </c>
      <c r="BU209">
        <f>VLOOKUP(Sales[[#This Row],[Qlty]],Lookups!$A$66:$E$79,2,FALSE)</f>
        <v>37154.252388000001</v>
      </c>
      <c r="BV209">
        <f>VLOOKUP(Sales[[#This Row],[Cnd]],Lookups!$A$80:$E$91,2,FALSE)</f>
        <v>50438.379078999998</v>
      </c>
      <c r="BW209">
        <f>Sales[[#This Row],[EffAge]]*Lookups!$B$65</f>
        <v>-1631.1165000000001</v>
      </c>
      <c r="BX209">
        <f>Sales[[#This Row],[MainFn]]*Lookups!$B$90</f>
        <v>70648.550159999999</v>
      </c>
      <c r="BY209">
        <f>Sales[[#This Row],[UpprFn]]*Lookups!$B$91</f>
        <v>0</v>
      </c>
      <c r="BZ209">
        <f>Sales[[#This Row],[Bsmt]]*Lookups!$B$95</f>
        <v>0</v>
      </c>
      <c r="CA209">
        <f>VLOOKUP(Sales[[#This Row],[MsnryTrim]],Lookups!$A$90:$E$99,2,FALSE)</f>
        <v>-9412.7029999999995</v>
      </c>
      <c r="CB209">
        <f>Sales[[#This Row],[PrefabFP]]*Lookups!$B$92</f>
        <v>0</v>
      </c>
      <c r="CC209">
        <f>Sales[[#This Row],[AttGar]]*Lookups!$B$93</f>
        <v>15673.657764000001</v>
      </c>
      <c r="CD209">
        <f>Sales[[#This Row],[BltinGar]]*Lookups!$B$94</f>
        <v>0</v>
      </c>
      <c r="CE209">
        <f>SUM(Sales[[#This Row],[Days Prior Total]:[Mdl BltinGar]])</f>
        <v>275529.78143942612</v>
      </c>
      <c r="CF209">
        <f>ROUND(Sales[[#This Row],[25Det]],-2)</f>
        <v>0</v>
      </c>
      <c r="CG209">
        <f>ROUND(SUM(Sales[[#This Row],[Mdl Qlty]:[Mdl BltinGar]])+Sales[[#This Row],[Mdl Res Intercept]]+Sales[[#This Row],[Days Prior Total]],-2)</f>
        <v>209700</v>
      </c>
      <c r="CH209">
        <f>ROUND(Sales[[#This Row],[Mdl Land Intercept]]+Sales[[#This Row],[Mdl LnAcres]],-2)</f>
        <v>65900</v>
      </c>
      <c r="CI209">
        <f>Sales[[#This Row],[Unadj Res Value]]+Sales[[#This Row],[Unadj Det Value]]+Sales[[#This Row],[Unadj Land Value]]</f>
        <v>275600</v>
      </c>
      <c r="CJ209" s="10">
        <f>Sales[[#This Row],[Price]]/Sales[[#This Row],[Unadj Total Value]]</f>
        <v>1.0105224963715529</v>
      </c>
      <c r="CK209" s="10">
        <f>(Sales[[#This Row],[Unadj Total Value]]-Sales[[#This Row],[24Final]])/Sales[[#This Row],[24Final]]</f>
        <v>-0.23825317855168601</v>
      </c>
      <c r="CL209">
        <f>VLOOKUP(Sales[[#This Row],[TNbhd]],Lookups!$M$3:$P$5,4,FALSE)</f>
        <v>0.99970000000000003</v>
      </c>
      <c r="CM209">
        <f>VLOOKUP(Sales[[#This Row],[Qlty]],Lookups!$M$8:$P$22,4,FALSE)</f>
        <v>0.99819999999999998</v>
      </c>
      <c r="CN209">
        <f>VLOOKUP(Sales[[#This Row],[Cnd]],Lookups!$R$8:$U$17,4,FALSE)</f>
        <v>1.0007999999999999</v>
      </c>
      <c r="CO209">
        <f>VLOOKUP(Sales[[#This Row],[LivArea Range]],Lookups!$R$25:$U$43,4,FALSE)</f>
        <v>0.99519999999999997</v>
      </c>
      <c r="CP209">
        <f>VLOOKUP(Sales[[#This Row],[Decade]],Lookups!$M$24:$P$40,4,FALSE)</f>
        <v>0.99560000000000004</v>
      </c>
      <c r="CQ209">
        <f>Sales[[#This Row],[Nbhd Adj]]*0.95</f>
        <v>0.94971499999999998</v>
      </c>
      <c r="CR209">
        <f>Sales[[#This Row],[Nbhd Adj]]*Sales[[#This Row],[Quality Adj]]*Sales[[#This Row],[Condition Adj]]*Sales[[#This Row],[Living Area Adj]]*Sales[[#This Row],[Decade Adj]]*0.95</f>
        <v>0.94005532726416008</v>
      </c>
      <c r="CS209">
        <f>ROUND(SUM(Sales[[#This Row],[Mdl Qlty]:[Mdl BltinGar]])+Sales[[#This Row],[Mdl Res Intercept]]*Sales[[#This Row],[Res Adj ]],-2)</f>
        <v>287500</v>
      </c>
      <c r="CT209">
        <f>ROUND(Sales[[#This Row],[25Det]]*Sales[[#This Row],[Det/Nbhd Adj]],-2)</f>
        <v>0</v>
      </c>
      <c r="CU209">
        <f>Sales[[#This Row],[Adjusted Res]]+Sales[[#This Row],[Adj Det ]]</f>
        <v>287500</v>
      </c>
      <c r="CV209">
        <f>ROUND((Sales[[#This Row],[Mdl Land Intercept]]+Sales[[#This Row],[Mdl LnAcres]])*Sales[[#This Row],[Det/Nbhd Adj]],-2)</f>
        <v>62500</v>
      </c>
      <c r="CW209">
        <f>Sales[[#This Row],[Adjusted Impr Total]]+Sales[[#This Row],[Adjusted Land Total]]</f>
        <v>350000</v>
      </c>
      <c r="CX209" s="10">
        <f>IFERROR((Sales[[#This Row],[Adjusted Impr Total]]-Sales[[#This Row],[24Bldg]])/Sales[[#This Row],[24Bldg]],0)</f>
        <v>-3.9425325760106919E-2</v>
      </c>
      <c r="CY209" s="10">
        <f>(Sales[[#This Row],[Adjusted Land Total]]-Sales[[#This Row],[24Lnd]])/Sales[[#This Row],[24Lnd]]</f>
        <v>0</v>
      </c>
      <c r="CZ209">
        <f>(Sales[[#This Row],[Adjusted Total]]-Sales[[#This Row],[24Final]])/Sales[[#This Row],[24Final]]</f>
        <v>-3.2614704256495299E-2</v>
      </c>
      <c r="DA209" s="10">
        <f>(Sales[[#This Row],[Adjusted Total]]+Sales[[#This Row],[Days Prior Total]])/Sales[[#This Row],[Price]]</f>
        <v>0.94891147780610408</v>
      </c>
    </row>
    <row r="210" spans="1:105">
      <c r="A210">
        <v>2025</v>
      </c>
      <c r="B210">
        <v>20120633447</v>
      </c>
      <c r="C210">
        <v>-1.8325814637483102</v>
      </c>
      <c r="D210">
        <v>0.16</v>
      </c>
      <c r="E210">
        <v>7100</v>
      </c>
      <c r="F210">
        <v>2</v>
      </c>
      <c r="G210" t="s">
        <v>155</v>
      </c>
      <c r="H210">
        <v>317</v>
      </c>
      <c r="I210" t="s">
        <v>5</v>
      </c>
      <c r="J210" t="s">
        <v>212</v>
      </c>
      <c r="K210">
        <v>11</v>
      </c>
      <c r="L210">
        <v>259</v>
      </c>
      <c r="M210" t="s">
        <v>193</v>
      </c>
      <c r="N210" t="s">
        <v>19</v>
      </c>
      <c r="O210" t="s">
        <v>20</v>
      </c>
      <c r="P210">
        <v>2009</v>
      </c>
      <c r="Q210">
        <v>2009</v>
      </c>
      <c r="R210">
        <v>20</v>
      </c>
      <c r="S210">
        <v>15</v>
      </c>
      <c r="T210">
        <v>15</v>
      </c>
      <c r="U210">
        <v>1</v>
      </c>
      <c r="V210">
        <v>1152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1152</v>
      </c>
      <c r="AC210">
        <v>1500</v>
      </c>
      <c r="AD210">
        <v>2</v>
      </c>
      <c r="AE210" t="s">
        <v>56</v>
      </c>
      <c r="AF210" t="s">
        <v>331</v>
      </c>
      <c r="AG210" t="s">
        <v>21</v>
      </c>
      <c r="AH210" t="s">
        <v>161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8</v>
      </c>
      <c r="AO210">
        <v>440</v>
      </c>
      <c r="AP210">
        <v>0</v>
      </c>
      <c r="AQ210">
        <v>0</v>
      </c>
      <c r="AR210">
        <v>0</v>
      </c>
      <c r="AS210">
        <v>128</v>
      </c>
      <c r="AT210">
        <v>0</v>
      </c>
      <c r="AU210">
        <v>100</v>
      </c>
      <c r="AV210">
        <v>100</v>
      </c>
      <c r="AW210">
        <v>218269</v>
      </c>
      <c r="AX210">
        <v>207356</v>
      </c>
      <c r="AY210">
        <v>796</v>
      </c>
      <c r="AZ210">
        <v>365</v>
      </c>
      <c r="BA210">
        <v>365</v>
      </c>
      <c r="BB210">
        <v>66</v>
      </c>
      <c r="BC210" s="2">
        <v>44496</v>
      </c>
      <c r="BD210" t="s">
        <v>370</v>
      </c>
      <c r="BE210">
        <v>301500</v>
      </c>
      <c r="BF210">
        <v>301500</v>
      </c>
      <c r="BG210" t="s">
        <v>160</v>
      </c>
      <c r="BH210">
        <v>30</v>
      </c>
      <c r="BI210" t="s">
        <v>56</v>
      </c>
      <c r="BJ210" t="s">
        <v>161</v>
      </c>
      <c r="BK210">
        <v>345300</v>
      </c>
      <c r="BL210">
        <v>60800</v>
      </c>
      <c r="BM210">
        <v>284500</v>
      </c>
      <c r="BN210">
        <v>0</v>
      </c>
      <c r="BO210">
        <v>304416.78513580136</v>
      </c>
      <c r="BP210">
        <v>340681.06989388308</v>
      </c>
      <c r="BQ210">
        <f>(Sales[[#This Row],[DP1]]*Lookups!$B$61)+(Sales[[#This Row],[DP2]]*Lookups!$B$62)+(Sales[[#This Row],[DP3]]*Lookups!$B$63)</f>
        <v>-36264.283030999999</v>
      </c>
      <c r="BR210">
        <f>Lookups!$B$58*0.6</f>
        <v>132535.48800000001</v>
      </c>
      <c r="BS210">
        <f>Lookups!$B$58*0.4</f>
        <v>88356.992000000013</v>
      </c>
      <c r="BT210">
        <f>Lookups!$B$59*Sales[[#This Row],[LnAcres]]</f>
        <v>-24051.387388882686</v>
      </c>
      <c r="BU210">
        <f>VLOOKUP(Sales[[#This Row],[Qlty]],Lookups!$A$66:$E$79,2,FALSE)</f>
        <v>37154.252388000001</v>
      </c>
      <c r="BV210">
        <f>VLOOKUP(Sales[[#This Row],[Cnd]],Lookups!$A$80:$E$91,2,FALSE)</f>
        <v>30300.329274</v>
      </c>
      <c r="BW210">
        <f>Sales[[#This Row],[EffAge]]*Lookups!$B$65</f>
        <v>-1631.1165000000001</v>
      </c>
      <c r="BX210">
        <f>Sales[[#This Row],[MainFn]]*Lookups!$B$90</f>
        <v>71896.757760000008</v>
      </c>
      <c r="BY210">
        <f>Sales[[#This Row],[UpprFn]]*Lookups!$B$91</f>
        <v>0</v>
      </c>
      <c r="BZ210">
        <f>Sales[[#This Row],[Bsmt]]*Lookups!$B$95</f>
        <v>0</v>
      </c>
      <c r="CA210">
        <f>VLOOKUP(Sales[[#This Row],[MsnryTrim]],Lookups!$A$90:$E$99,2,FALSE)</f>
        <v>-9412.7029999999995</v>
      </c>
      <c r="CB210">
        <f>Sales[[#This Row],[PrefabFP]]*Lookups!$B$92</f>
        <v>0</v>
      </c>
      <c r="CC210">
        <f>Sales[[#This Row],[AttGar]]*Lookups!$B$93</f>
        <v>15532.453640000002</v>
      </c>
      <c r="CD210">
        <f>Sales[[#This Row],[BltinGar]]*Lookups!$B$94</f>
        <v>0</v>
      </c>
      <c r="CE210">
        <f>SUM(Sales[[#This Row],[Days Prior Total]:[Mdl BltinGar]])</f>
        <v>304416.78314211738</v>
      </c>
      <c r="CF210">
        <f>ROUND(Sales[[#This Row],[25Det]],-2)</f>
        <v>0</v>
      </c>
      <c r="CG210">
        <f>ROUND(SUM(Sales[[#This Row],[Mdl Qlty]:[Mdl BltinGar]])+Sales[[#This Row],[Mdl Res Intercept]]+Sales[[#This Row],[Days Prior Total]],-2)</f>
        <v>240100</v>
      </c>
      <c r="CH210">
        <f>ROUND(Sales[[#This Row],[Mdl Land Intercept]]+Sales[[#This Row],[Mdl LnAcres]],-2)</f>
        <v>64300</v>
      </c>
      <c r="CI210">
        <f>Sales[[#This Row],[Unadj Res Value]]+Sales[[#This Row],[Unadj Det Value]]+Sales[[#This Row],[Unadj Land Value]]</f>
        <v>304400</v>
      </c>
      <c r="CJ210" s="10">
        <f>Sales[[#This Row],[Price]]/Sales[[#This Row],[Unadj Total Value]]</f>
        <v>0.99047306176084104</v>
      </c>
      <c r="CK210" s="10">
        <f>(Sales[[#This Row],[Unadj Total Value]]-Sales[[#This Row],[24Final]])/Sales[[#This Row],[24Final]]</f>
        <v>-0.11844772661453808</v>
      </c>
      <c r="CL210">
        <f>VLOOKUP(Sales[[#This Row],[TNbhd]],Lookups!$M$3:$P$5,4,FALSE)</f>
        <v>0.99970000000000003</v>
      </c>
      <c r="CM210">
        <f>VLOOKUP(Sales[[#This Row],[Qlty]],Lookups!$M$8:$P$22,4,FALSE)</f>
        <v>0.99819999999999998</v>
      </c>
      <c r="CN210">
        <f>VLOOKUP(Sales[[#This Row],[Cnd]],Lookups!$R$8:$U$17,4,FALSE)</f>
        <v>0.997</v>
      </c>
      <c r="CO210">
        <f>VLOOKUP(Sales[[#This Row],[LivArea Range]],Lookups!$R$25:$U$43,4,FALSE)</f>
        <v>0.99519999999999997</v>
      </c>
      <c r="CP210">
        <f>VLOOKUP(Sales[[#This Row],[Decade]],Lookups!$M$24:$P$40,4,FALSE)</f>
        <v>0.99560000000000004</v>
      </c>
      <c r="CQ210">
        <f>Sales[[#This Row],[Nbhd Adj]]*0.95</f>
        <v>0.94971499999999998</v>
      </c>
      <c r="CR210">
        <f>Sales[[#This Row],[Nbhd Adj]]*Sales[[#This Row],[Quality Adj]]*Sales[[#This Row],[Condition Adj]]*Sales[[#This Row],[Living Area Adj]]*Sales[[#This Row],[Decade Adj]]*0.95</f>
        <v>0.93648597250436405</v>
      </c>
      <c r="CS210">
        <f>ROUND(SUM(Sales[[#This Row],[Mdl Qlty]:[Mdl BltinGar]])+Sales[[#This Row],[Mdl Res Intercept]]*Sales[[#This Row],[Res Adj ]],-2)</f>
        <v>268000</v>
      </c>
      <c r="CT210">
        <f>ROUND(Sales[[#This Row],[25Det]]*Sales[[#This Row],[Det/Nbhd Adj]],-2)</f>
        <v>0</v>
      </c>
      <c r="CU210">
        <f>Sales[[#This Row],[Adjusted Res]]+Sales[[#This Row],[Adj Det ]]</f>
        <v>268000</v>
      </c>
      <c r="CV210">
        <f>ROUND((Sales[[#This Row],[Mdl Land Intercept]]+Sales[[#This Row],[Mdl LnAcres]])*Sales[[#This Row],[Det/Nbhd Adj]],-2)</f>
        <v>61100</v>
      </c>
      <c r="CW210">
        <f>Sales[[#This Row],[Adjusted Impr Total]]+Sales[[#This Row],[Adjusted Land Total]]</f>
        <v>329100</v>
      </c>
      <c r="CX210" s="10">
        <f>IFERROR((Sales[[#This Row],[Adjusted Impr Total]]-Sales[[#This Row],[24Bldg]])/Sales[[#This Row],[24Bldg]],0)</f>
        <v>-5.7996485061511421E-2</v>
      </c>
      <c r="CY210" s="10">
        <f>(Sales[[#This Row],[Adjusted Land Total]]-Sales[[#This Row],[24Lnd]])/Sales[[#This Row],[24Lnd]]</f>
        <v>4.9342105263157892E-3</v>
      </c>
      <c r="CZ210">
        <f>(Sales[[#This Row],[Adjusted Total]]-Sales[[#This Row],[24Final]])/Sales[[#This Row],[24Final]]</f>
        <v>-4.6915725456125108E-2</v>
      </c>
      <c r="DA210" s="10">
        <f>(Sales[[#This Row],[Adjusted Total]]+Sales[[#This Row],[Days Prior Total]])/Sales[[#This Row],[Price]]</f>
        <v>0.97126274284908787</v>
      </c>
    </row>
    <row r="211" spans="1:105">
      <c r="A211">
        <v>2025</v>
      </c>
      <c r="B211">
        <v>20120633449</v>
      </c>
      <c r="C211">
        <v>-1.7719568419318752</v>
      </c>
      <c r="D211">
        <v>0.17</v>
      </c>
      <c r="E211">
        <v>7347</v>
      </c>
      <c r="F211">
        <v>2</v>
      </c>
      <c r="G211" t="s">
        <v>155</v>
      </c>
      <c r="H211">
        <v>317</v>
      </c>
      <c r="I211" t="s">
        <v>5</v>
      </c>
      <c r="J211" t="s">
        <v>212</v>
      </c>
      <c r="K211">
        <v>11</v>
      </c>
      <c r="L211">
        <v>259</v>
      </c>
      <c r="M211" t="s">
        <v>330</v>
      </c>
      <c r="N211" t="s">
        <v>19</v>
      </c>
      <c r="O211" t="s">
        <v>18</v>
      </c>
      <c r="P211">
        <v>2009</v>
      </c>
      <c r="Q211">
        <v>2009</v>
      </c>
      <c r="R211">
        <v>20</v>
      </c>
      <c r="S211">
        <v>15</v>
      </c>
      <c r="T211">
        <v>15</v>
      </c>
      <c r="U211">
        <v>1</v>
      </c>
      <c r="V211">
        <v>1132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1132</v>
      </c>
      <c r="AC211">
        <v>1500</v>
      </c>
      <c r="AD211">
        <v>0</v>
      </c>
      <c r="AE211" t="s">
        <v>56</v>
      </c>
      <c r="AF211" t="s">
        <v>331</v>
      </c>
      <c r="AG211" t="s">
        <v>21</v>
      </c>
      <c r="AH211" t="s">
        <v>161</v>
      </c>
      <c r="AI211">
        <v>0</v>
      </c>
      <c r="AJ211">
        <v>0</v>
      </c>
      <c r="AK211">
        <v>1</v>
      </c>
      <c r="AL211">
        <v>1</v>
      </c>
      <c r="AM211">
        <v>0</v>
      </c>
      <c r="AN211">
        <v>8</v>
      </c>
      <c r="AO211">
        <v>444</v>
      </c>
      <c r="AP211">
        <v>0</v>
      </c>
      <c r="AQ211">
        <v>0</v>
      </c>
      <c r="AR211">
        <v>0</v>
      </c>
      <c r="AS211">
        <v>144</v>
      </c>
      <c r="AT211">
        <v>0</v>
      </c>
      <c r="AU211">
        <v>100</v>
      </c>
      <c r="AV211">
        <v>100</v>
      </c>
      <c r="AW211">
        <v>219103</v>
      </c>
      <c r="AX211">
        <v>203766</v>
      </c>
      <c r="AY211">
        <v>970</v>
      </c>
      <c r="AZ211">
        <v>365</v>
      </c>
      <c r="BA211">
        <v>365</v>
      </c>
      <c r="BB211">
        <v>240</v>
      </c>
      <c r="BC211" s="2">
        <v>44322</v>
      </c>
      <c r="BD211" t="s">
        <v>371</v>
      </c>
      <c r="BE211">
        <v>265000</v>
      </c>
      <c r="BF211">
        <v>265000</v>
      </c>
      <c r="BG211" t="s">
        <v>160</v>
      </c>
      <c r="BH211">
        <v>30</v>
      </c>
      <c r="BI211" t="s">
        <v>56</v>
      </c>
      <c r="BJ211" t="s">
        <v>161</v>
      </c>
      <c r="BK211">
        <v>345400</v>
      </c>
      <c r="BL211">
        <v>61700</v>
      </c>
      <c r="BM211">
        <v>283700</v>
      </c>
      <c r="BN211">
        <v>0</v>
      </c>
      <c r="BO211">
        <v>261527.4387068486</v>
      </c>
      <c r="BP211">
        <v>337637.62055926706</v>
      </c>
      <c r="BQ211">
        <f>(Sales[[#This Row],[DP1]]*Lookups!$B$61)+(Sales[[#This Row],[DP2]]*Lookups!$B$62)+(Sales[[#This Row],[DP3]]*Lookups!$B$63)</f>
        <v>-76110.178631000002</v>
      </c>
      <c r="BR211">
        <f>Lookups!$B$58*0.6</f>
        <v>132535.48800000001</v>
      </c>
      <c r="BS211">
        <f>Lookups!$B$58*0.4</f>
        <v>88356.992000000013</v>
      </c>
      <c r="BT211">
        <f>Lookups!$B$59*Sales[[#This Row],[LnAcres]]</f>
        <v>-23255.730391660189</v>
      </c>
      <c r="BU211">
        <f>VLOOKUP(Sales[[#This Row],[Qlty]],Lookups!$A$66:$E$79,2,FALSE)</f>
        <v>37154.252388000001</v>
      </c>
      <c r="BV211">
        <f>VLOOKUP(Sales[[#This Row],[Cnd]],Lookups!$A$80:$E$91,2,FALSE)</f>
        <v>17761.121909000001</v>
      </c>
      <c r="BW211">
        <f>Sales[[#This Row],[EffAge]]*Lookups!$B$65</f>
        <v>-1631.1165000000001</v>
      </c>
      <c r="BX211">
        <f>Sales[[#This Row],[MainFn]]*Lookups!$B$90</f>
        <v>70648.550159999999</v>
      </c>
      <c r="BY211">
        <f>Sales[[#This Row],[UpprFn]]*Lookups!$B$91</f>
        <v>0</v>
      </c>
      <c r="BZ211">
        <f>Sales[[#This Row],[Bsmt]]*Lookups!$B$95</f>
        <v>0</v>
      </c>
      <c r="CA211">
        <f>VLOOKUP(Sales[[#This Row],[MsnryTrim]],Lookups!$A$90:$E$99,2,FALSE)</f>
        <v>-9412.7029999999995</v>
      </c>
      <c r="CB211">
        <f>Sales[[#This Row],[PrefabFP]]*Lookups!$B$92</f>
        <v>9807.1044999999995</v>
      </c>
      <c r="CC211">
        <f>Sales[[#This Row],[AttGar]]*Lookups!$B$93</f>
        <v>15673.657764000001</v>
      </c>
      <c r="CD211">
        <f>Sales[[#This Row],[BltinGar]]*Lookups!$B$94</f>
        <v>0</v>
      </c>
      <c r="CE211">
        <f>SUM(Sales[[#This Row],[Days Prior Total]:[Mdl BltinGar]])</f>
        <v>261527.43819833983</v>
      </c>
      <c r="CF211">
        <f>ROUND(Sales[[#This Row],[25Det]],-2)</f>
        <v>0</v>
      </c>
      <c r="CG211">
        <f>ROUND(SUM(Sales[[#This Row],[Mdl Qlty]:[Mdl BltinGar]])+Sales[[#This Row],[Mdl Res Intercept]]+Sales[[#This Row],[Days Prior Total]],-2)</f>
        <v>196400</v>
      </c>
      <c r="CH211">
        <f>ROUND(Sales[[#This Row],[Mdl Land Intercept]]+Sales[[#This Row],[Mdl LnAcres]],-2)</f>
        <v>65100</v>
      </c>
      <c r="CI211">
        <f>Sales[[#This Row],[Unadj Res Value]]+Sales[[#This Row],[Unadj Det Value]]+Sales[[#This Row],[Unadj Land Value]]</f>
        <v>261500</v>
      </c>
      <c r="CJ211" s="10">
        <f>Sales[[#This Row],[Price]]/Sales[[#This Row],[Unadj Total Value]]</f>
        <v>1.0133843212237095</v>
      </c>
      <c r="CK211" s="10">
        <f>(Sales[[#This Row],[Unadj Total Value]]-Sales[[#This Row],[24Final]])/Sales[[#This Row],[24Final]]</f>
        <v>-0.24290677475390851</v>
      </c>
      <c r="CL211">
        <f>VLOOKUP(Sales[[#This Row],[TNbhd]],Lookups!$M$3:$P$5,4,FALSE)</f>
        <v>0.99970000000000003</v>
      </c>
      <c r="CM211">
        <f>VLOOKUP(Sales[[#This Row],[Qlty]],Lookups!$M$8:$P$22,4,FALSE)</f>
        <v>0.99819999999999998</v>
      </c>
      <c r="CN211">
        <f>VLOOKUP(Sales[[#This Row],[Cnd]],Lookups!$R$8:$U$17,4,FALSE)</f>
        <v>0.99680000000000002</v>
      </c>
      <c r="CO211">
        <f>VLOOKUP(Sales[[#This Row],[LivArea Range]],Lookups!$R$25:$U$43,4,FALSE)</f>
        <v>0.99519999999999997</v>
      </c>
      <c r="CP211">
        <f>VLOOKUP(Sales[[#This Row],[Decade]],Lookups!$M$24:$P$40,4,FALSE)</f>
        <v>0.99560000000000004</v>
      </c>
      <c r="CQ211">
        <f>Sales[[#This Row],[Nbhd Adj]]*0.95</f>
        <v>0.94971499999999998</v>
      </c>
      <c r="CR211">
        <f>Sales[[#This Row],[Nbhd Adj]]*Sales[[#This Row],[Quality Adj]]*Sales[[#This Row],[Condition Adj]]*Sales[[#This Row],[Living Area Adj]]*Sales[[#This Row],[Decade Adj]]*0.95</f>
        <v>0.93629811172753274</v>
      </c>
      <c r="CS211">
        <f>ROUND(SUM(Sales[[#This Row],[Mdl Qlty]:[Mdl BltinGar]])+Sales[[#This Row],[Mdl Res Intercept]]*Sales[[#This Row],[Res Adj ]],-2)</f>
        <v>264100</v>
      </c>
      <c r="CT211">
        <f>ROUND(Sales[[#This Row],[25Det]]*Sales[[#This Row],[Det/Nbhd Adj]],-2)</f>
        <v>0</v>
      </c>
      <c r="CU211">
        <f>Sales[[#This Row],[Adjusted Res]]+Sales[[#This Row],[Adj Det ]]</f>
        <v>264100</v>
      </c>
      <c r="CV211">
        <f>ROUND((Sales[[#This Row],[Mdl Land Intercept]]+Sales[[#This Row],[Mdl LnAcres]])*Sales[[#This Row],[Det/Nbhd Adj]],-2)</f>
        <v>61800</v>
      </c>
      <c r="CW211">
        <f>Sales[[#This Row],[Adjusted Impr Total]]+Sales[[#This Row],[Adjusted Land Total]]</f>
        <v>325900</v>
      </c>
      <c r="CX211" s="10">
        <f>IFERROR((Sales[[#This Row],[Adjusted Impr Total]]-Sales[[#This Row],[24Bldg]])/Sales[[#This Row],[24Bldg]],0)</f>
        <v>-6.9087063799788503E-2</v>
      </c>
      <c r="CY211" s="10">
        <f>(Sales[[#This Row],[Adjusted Land Total]]-Sales[[#This Row],[24Lnd]])/Sales[[#This Row],[24Lnd]]</f>
        <v>1.6207455429497568E-3</v>
      </c>
      <c r="CZ211">
        <f>(Sales[[#This Row],[Adjusted Total]]-Sales[[#This Row],[24Final]])/Sales[[#This Row],[24Final]]</f>
        <v>-5.6456282570932249E-2</v>
      </c>
      <c r="DA211" s="10">
        <f>(Sales[[#This Row],[Adjusted Total]]+Sales[[#This Row],[Days Prior Total]])/Sales[[#This Row],[Price]]</f>
        <v>0.94260309950566046</v>
      </c>
    </row>
    <row r="212" spans="1:105">
      <c r="A212">
        <v>2025</v>
      </c>
      <c r="B212">
        <v>20120633450</v>
      </c>
      <c r="C212">
        <v>-1.8325814637483102</v>
      </c>
      <c r="D212">
        <v>0.16</v>
      </c>
      <c r="E212">
        <v>7100</v>
      </c>
      <c r="F212">
        <v>2</v>
      </c>
      <c r="G212" t="s">
        <v>155</v>
      </c>
      <c r="H212">
        <v>317</v>
      </c>
      <c r="I212" t="s">
        <v>5</v>
      </c>
      <c r="J212" t="s">
        <v>212</v>
      </c>
      <c r="K212">
        <v>11</v>
      </c>
      <c r="L212">
        <v>259</v>
      </c>
      <c r="M212" t="s">
        <v>193</v>
      </c>
      <c r="N212" t="s">
        <v>19</v>
      </c>
      <c r="O212" t="s">
        <v>18</v>
      </c>
      <c r="P212">
        <v>2009</v>
      </c>
      <c r="Q212">
        <v>2009</v>
      </c>
      <c r="R212">
        <v>20</v>
      </c>
      <c r="S212">
        <v>15</v>
      </c>
      <c r="T212">
        <v>15</v>
      </c>
      <c r="U212">
        <v>1</v>
      </c>
      <c r="V212">
        <v>1132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1132</v>
      </c>
      <c r="AC212">
        <v>1500</v>
      </c>
      <c r="AD212">
        <v>0</v>
      </c>
      <c r="AE212" t="s">
        <v>56</v>
      </c>
      <c r="AF212" t="s">
        <v>331</v>
      </c>
      <c r="AG212" t="s">
        <v>21</v>
      </c>
      <c r="AH212" t="s">
        <v>161</v>
      </c>
      <c r="AI212">
        <v>0</v>
      </c>
      <c r="AJ212">
        <v>0</v>
      </c>
      <c r="AK212">
        <v>0</v>
      </c>
      <c r="AL212">
        <v>1</v>
      </c>
      <c r="AM212">
        <v>0</v>
      </c>
      <c r="AN212">
        <v>8</v>
      </c>
      <c r="AO212">
        <v>444</v>
      </c>
      <c r="AP212">
        <v>0</v>
      </c>
      <c r="AQ212">
        <v>0</v>
      </c>
      <c r="AR212">
        <v>0</v>
      </c>
      <c r="AS212">
        <v>0</v>
      </c>
      <c r="AT212">
        <v>144</v>
      </c>
      <c r="AU212">
        <v>100</v>
      </c>
      <c r="AV212">
        <v>100</v>
      </c>
      <c r="AW212">
        <v>217635</v>
      </c>
      <c r="AX212">
        <v>202401</v>
      </c>
      <c r="AY212">
        <v>924</v>
      </c>
      <c r="AZ212">
        <v>365</v>
      </c>
      <c r="BA212">
        <v>365</v>
      </c>
      <c r="BB212">
        <v>194</v>
      </c>
      <c r="BC212" s="2">
        <v>44368</v>
      </c>
      <c r="BD212" t="s">
        <v>372</v>
      </c>
      <c r="BE212">
        <v>295000</v>
      </c>
      <c r="BF212">
        <v>295000</v>
      </c>
      <c r="BG212" t="s">
        <v>160</v>
      </c>
      <c r="BH212">
        <v>30</v>
      </c>
      <c r="BI212" t="s">
        <v>56</v>
      </c>
      <c r="BJ212" t="s">
        <v>161</v>
      </c>
      <c r="BK212">
        <v>344500</v>
      </c>
      <c r="BL212">
        <v>60800</v>
      </c>
      <c r="BM212">
        <v>283700</v>
      </c>
      <c r="BN212">
        <v>0</v>
      </c>
      <c r="BO212">
        <v>261458.64999288839</v>
      </c>
      <c r="BP212">
        <v>327034.8590502523</v>
      </c>
      <c r="BQ212">
        <f>(Sales[[#This Row],[DP1]]*Lookups!$B$61)+(Sales[[#This Row],[DP2]]*Lookups!$B$62)+(Sales[[#This Row],[DP3]]*Lookups!$B$63)</f>
        <v>-65576.206231000004</v>
      </c>
      <c r="BR212">
        <f>Lookups!$B$58*0.6</f>
        <v>132535.48800000001</v>
      </c>
      <c r="BS212">
        <f>Lookups!$B$58*0.4</f>
        <v>88356.992000000013</v>
      </c>
      <c r="BT212">
        <f>Lookups!$B$59*Sales[[#This Row],[LnAcres]]</f>
        <v>-24051.387388882686</v>
      </c>
      <c r="BU212">
        <f>VLOOKUP(Sales[[#This Row],[Qlty]],Lookups!$A$66:$E$79,2,FALSE)</f>
        <v>37154.252388000001</v>
      </c>
      <c r="BV212">
        <f>VLOOKUP(Sales[[#This Row],[Cnd]],Lookups!$A$80:$E$91,2,FALSE)</f>
        <v>17761.121909000001</v>
      </c>
      <c r="BW212">
        <f>Sales[[#This Row],[EffAge]]*Lookups!$B$65</f>
        <v>-1631.1165000000001</v>
      </c>
      <c r="BX212">
        <f>Sales[[#This Row],[MainFn]]*Lookups!$B$90</f>
        <v>70648.550159999999</v>
      </c>
      <c r="BY212">
        <f>Sales[[#This Row],[UpprFn]]*Lookups!$B$91</f>
        <v>0</v>
      </c>
      <c r="BZ212">
        <f>Sales[[#This Row],[Bsmt]]*Lookups!$B$95</f>
        <v>0</v>
      </c>
      <c r="CA212">
        <f>VLOOKUP(Sales[[#This Row],[MsnryTrim]],Lookups!$A$90:$E$99,2,FALSE)</f>
        <v>-9412.7029999999995</v>
      </c>
      <c r="CB212">
        <f>Sales[[#This Row],[PrefabFP]]*Lookups!$B$92</f>
        <v>0</v>
      </c>
      <c r="CC212">
        <f>Sales[[#This Row],[AttGar]]*Lookups!$B$93</f>
        <v>15673.657764000001</v>
      </c>
      <c r="CD212">
        <f>Sales[[#This Row],[BltinGar]]*Lookups!$B$94</f>
        <v>0</v>
      </c>
      <c r="CE212">
        <f>SUM(Sales[[#This Row],[Days Prior Total]:[Mdl BltinGar]])</f>
        <v>261458.64910111731</v>
      </c>
      <c r="CF212">
        <f>ROUND(Sales[[#This Row],[25Det]],-2)</f>
        <v>0</v>
      </c>
      <c r="CG212">
        <f>ROUND(SUM(Sales[[#This Row],[Mdl Qlty]:[Mdl BltinGar]])+Sales[[#This Row],[Mdl Res Intercept]]+Sales[[#This Row],[Days Prior Total]],-2)</f>
        <v>197200</v>
      </c>
      <c r="CH212">
        <f>ROUND(Sales[[#This Row],[Mdl Land Intercept]]+Sales[[#This Row],[Mdl LnAcres]],-2)</f>
        <v>64300</v>
      </c>
      <c r="CI212">
        <f>Sales[[#This Row],[Unadj Res Value]]+Sales[[#This Row],[Unadj Det Value]]+Sales[[#This Row],[Unadj Land Value]]</f>
        <v>261500</v>
      </c>
      <c r="CJ212" s="10">
        <f>Sales[[#This Row],[Price]]/Sales[[#This Row],[Unadj Total Value]]</f>
        <v>1.1281070745697896</v>
      </c>
      <c r="CK212" s="10">
        <f>(Sales[[#This Row],[Unadj Total Value]]-Sales[[#This Row],[24Final]])/Sales[[#This Row],[24Final]]</f>
        <v>-0.24092888243831639</v>
      </c>
      <c r="CL212">
        <f>VLOOKUP(Sales[[#This Row],[TNbhd]],Lookups!$M$3:$P$5,4,FALSE)</f>
        <v>0.99970000000000003</v>
      </c>
      <c r="CM212">
        <f>VLOOKUP(Sales[[#This Row],[Qlty]],Lookups!$M$8:$P$22,4,FALSE)</f>
        <v>0.99819999999999998</v>
      </c>
      <c r="CN212">
        <f>VLOOKUP(Sales[[#This Row],[Cnd]],Lookups!$R$8:$U$17,4,FALSE)</f>
        <v>0.99680000000000002</v>
      </c>
      <c r="CO212">
        <f>VLOOKUP(Sales[[#This Row],[LivArea Range]],Lookups!$R$25:$U$43,4,FALSE)</f>
        <v>0.99519999999999997</v>
      </c>
      <c r="CP212">
        <f>VLOOKUP(Sales[[#This Row],[Decade]],Lookups!$M$24:$P$40,4,FALSE)</f>
        <v>0.99560000000000004</v>
      </c>
      <c r="CQ212">
        <f>Sales[[#This Row],[Nbhd Adj]]*0.95</f>
        <v>0.94971499999999998</v>
      </c>
      <c r="CR212">
        <f>Sales[[#This Row],[Nbhd Adj]]*Sales[[#This Row],[Quality Adj]]*Sales[[#This Row],[Condition Adj]]*Sales[[#This Row],[Living Area Adj]]*Sales[[#This Row],[Decade Adj]]*0.95</f>
        <v>0.93629811172753274</v>
      </c>
      <c r="CS212">
        <f>ROUND(SUM(Sales[[#This Row],[Mdl Qlty]:[Mdl BltinGar]])+Sales[[#This Row],[Mdl Res Intercept]]*Sales[[#This Row],[Res Adj ]],-2)</f>
        <v>254300</v>
      </c>
      <c r="CT212">
        <f>ROUND(Sales[[#This Row],[25Det]]*Sales[[#This Row],[Det/Nbhd Adj]],-2)</f>
        <v>0</v>
      </c>
      <c r="CU212">
        <f>Sales[[#This Row],[Adjusted Res]]+Sales[[#This Row],[Adj Det ]]</f>
        <v>254300</v>
      </c>
      <c r="CV212">
        <f>ROUND((Sales[[#This Row],[Mdl Land Intercept]]+Sales[[#This Row],[Mdl LnAcres]])*Sales[[#This Row],[Det/Nbhd Adj]],-2)</f>
        <v>61100</v>
      </c>
      <c r="CW212">
        <f>Sales[[#This Row],[Adjusted Impr Total]]+Sales[[#This Row],[Adjusted Land Total]]</f>
        <v>315400</v>
      </c>
      <c r="CX212" s="10">
        <f>IFERROR((Sales[[#This Row],[Adjusted Impr Total]]-Sales[[#This Row],[24Bldg]])/Sales[[#This Row],[24Bldg]],0)</f>
        <v>-0.10363059569968276</v>
      </c>
      <c r="CY212" s="10">
        <f>(Sales[[#This Row],[Adjusted Land Total]]-Sales[[#This Row],[24Lnd]])/Sales[[#This Row],[24Lnd]]</f>
        <v>4.9342105263157892E-3</v>
      </c>
      <c r="CZ212">
        <f>(Sales[[#This Row],[Adjusted Total]]-Sales[[#This Row],[24Final]])/Sales[[#This Row],[24Final]]</f>
        <v>-8.447024673439768E-2</v>
      </c>
      <c r="DA212" s="10">
        <f>(Sales[[#This Row],[Adjusted Total]]+Sales[[#This Row],[Days Prior Total]])/Sales[[#This Row],[Price]]</f>
        <v>0.8468603178610169</v>
      </c>
    </row>
    <row r="213" spans="1:105">
      <c r="A213">
        <v>2025</v>
      </c>
      <c r="B213">
        <v>20120633453</v>
      </c>
      <c r="C213">
        <v>-1.8325814637483102</v>
      </c>
      <c r="D213">
        <v>0.16</v>
      </c>
      <c r="E213">
        <v>7100</v>
      </c>
      <c r="F213">
        <v>2</v>
      </c>
      <c r="G213" t="s">
        <v>155</v>
      </c>
      <c r="H213">
        <v>317</v>
      </c>
      <c r="I213" t="s">
        <v>5</v>
      </c>
      <c r="J213" t="s">
        <v>212</v>
      </c>
      <c r="K213">
        <v>11</v>
      </c>
      <c r="L213">
        <v>259</v>
      </c>
      <c r="M213" t="s">
        <v>157</v>
      </c>
      <c r="N213" t="s">
        <v>19</v>
      </c>
      <c r="O213" t="s">
        <v>18</v>
      </c>
      <c r="P213">
        <v>2009</v>
      </c>
      <c r="Q213">
        <v>2009</v>
      </c>
      <c r="R213">
        <v>20</v>
      </c>
      <c r="S213">
        <v>15</v>
      </c>
      <c r="T213">
        <v>15</v>
      </c>
      <c r="U213">
        <v>2</v>
      </c>
      <c r="V213">
        <v>1116</v>
      </c>
      <c r="W213">
        <v>1116</v>
      </c>
      <c r="X213">
        <v>0</v>
      </c>
      <c r="Y213">
        <v>0</v>
      </c>
      <c r="Z213">
        <v>0</v>
      </c>
      <c r="AA213">
        <v>0</v>
      </c>
      <c r="AB213">
        <v>2232</v>
      </c>
      <c r="AC213">
        <v>2500</v>
      </c>
      <c r="AD213">
        <v>2</v>
      </c>
      <c r="AE213" t="s">
        <v>56</v>
      </c>
      <c r="AF213" t="s">
        <v>331</v>
      </c>
      <c r="AG213" t="s">
        <v>21</v>
      </c>
      <c r="AH213" t="s">
        <v>161</v>
      </c>
      <c r="AI213">
        <v>0</v>
      </c>
      <c r="AJ213">
        <v>0</v>
      </c>
      <c r="AK213">
        <v>1</v>
      </c>
      <c r="AL213">
        <v>1</v>
      </c>
      <c r="AM213">
        <v>0</v>
      </c>
      <c r="AN213">
        <v>12</v>
      </c>
      <c r="AO213">
        <v>440</v>
      </c>
      <c r="AP213">
        <v>0</v>
      </c>
      <c r="AQ213">
        <v>0</v>
      </c>
      <c r="AR213">
        <v>0</v>
      </c>
      <c r="AS213">
        <v>144</v>
      </c>
      <c r="AT213">
        <v>0</v>
      </c>
      <c r="AU213">
        <v>100</v>
      </c>
      <c r="AV213">
        <v>100</v>
      </c>
      <c r="AW213">
        <v>349706</v>
      </c>
      <c r="AX213">
        <v>325227</v>
      </c>
      <c r="AY213">
        <v>882</v>
      </c>
      <c r="AZ213">
        <v>365</v>
      </c>
      <c r="BA213">
        <v>365</v>
      </c>
      <c r="BB213">
        <v>152</v>
      </c>
      <c r="BC213" s="2">
        <v>44410</v>
      </c>
      <c r="BD213" t="s">
        <v>373</v>
      </c>
      <c r="BE213">
        <v>375000</v>
      </c>
      <c r="BF213">
        <v>375000</v>
      </c>
      <c r="BG213" t="s">
        <v>160</v>
      </c>
      <c r="BH213">
        <v>30</v>
      </c>
      <c r="BI213" t="s">
        <v>56</v>
      </c>
      <c r="BJ213" t="s">
        <v>161</v>
      </c>
      <c r="BK213">
        <v>398900</v>
      </c>
      <c r="BL213">
        <v>60800</v>
      </c>
      <c r="BM213">
        <v>338100</v>
      </c>
      <c r="BN213">
        <v>0</v>
      </c>
      <c r="BO213">
        <v>346235.66658202518</v>
      </c>
      <c r="BP213">
        <v>402193.90047868714</v>
      </c>
      <c r="BQ213">
        <f>(Sales[[#This Row],[DP1]]*Lookups!$B$61)+(Sales[[#This Row],[DP2]]*Lookups!$B$62)+(Sales[[#This Row],[DP3]]*Lookups!$B$63)</f>
        <v>-55958.231431000007</v>
      </c>
      <c r="BR213">
        <f>Lookups!$B$58*0.6</f>
        <v>132535.48800000001</v>
      </c>
      <c r="BS213">
        <f>Lookups!$B$58*0.4</f>
        <v>88356.992000000013</v>
      </c>
      <c r="BT213">
        <f>Lookups!$B$59*Sales[[#This Row],[LnAcres]]</f>
        <v>-24051.387388882686</v>
      </c>
      <c r="BU213">
        <f>VLOOKUP(Sales[[#This Row],[Qlty]],Lookups!$A$66:$E$79,2,FALSE)</f>
        <v>37154.252388000001</v>
      </c>
      <c r="BV213">
        <f>VLOOKUP(Sales[[#This Row],[Cnd]],Lookups!$A$80:$E$91,2,FALSE)</f>
        <v>17761.121909000001</v>
      </c>
      <c r="BW213">
        <f>Sales[[#This Row],[EffAge]]*Lookups!$B$65</f>
        <v>-1631.1165000000001</v>
      </c>
      <c r="BX213">
        <f>Sales[[#This Row],[MainFn]]*Lookups!$B$90</f>
        <v>69649.984080000009</v>
      </c>
      <c r="BY213">
        <f>Sales[[#This Row],[UpprFn]]*Lookups!$B$91</f>
        <v>66491.707427999994</v>
      </c>
      <c r="BZ213">
        <f>Sales[[#This Row],[Bsmt]]*Lookups!$B$95</f>
        <v>0</v>
      </c>
      <c r="CA213">
        <f>VLOOKUP(Sales[[#This Row],[MsnryTrim]],Lookups!$A$90:$E$99,2,FALSE)</f>
        <v>-9412.7029999999995</v>
      </c>
      <c r="CB213">
        <f>Sales[[#This Row],[PrefabFP]]*Lookups!$B$92</f>
        <v>9807.1044999999995</v>
      </c>
      <c r="CC213">
        <f>Sales[[#This Row],[AttGar]]*Lookups!$B$93</f>
        <v>15532.453640000002</v>
      </c>
      <c r="CD213">
        <f>Sales[[#This Row],[BltinGar]]*Lookups!$B$94</f>
        <v>0</v>
      </c>
      <c r="CE213">
        <f>SUM(Sales[[#This Row],[Days Prior Total]:[Mdl BltinGar]])</f>
        <v>346235.66562511737</v>
      </c>
      <c r="CF213">
        <f>ROUND(Sales[[#This Row],[25Det]],-2)</f>
        <v>0</v>
      </c>
      <c r="CG213">
        <f>ROUND(SUM(Sales[[#This Row],[Mdl Qlty]:[Mdl BltinGar]])+Sales[[#This Row],[Mdl Res Intercept]]+Sales[[#This Row],[Days Prior Total]],-2)</f>
        <v>281900</v>
      </c>
      <c r="CH213">
        <f>ROUND(Sales[[#This Row],[Mdl Land Intercept]]+Sales[[#This Row],[Mdl LnAcres]],-2)</f>
        <v>64300</v>
      </c>
      <c r="CI213">
        <f>Sales[[#This Row],[Unadj Res Value]]+Sales[[#This Row],[Unadj Det Value]]+Sales[[#This Row],[Unadj Land Value]]</f>
        <v>346200</v>
      </c>
      <c r="CJ213" s="10">
        <f>Sales[[#This Row],[Price]]/Sales[[#This Row],[Unadj Total Value]]</f>
        <v>1.0831889081455806</v>
      </c>
      <c r="CK213" s="10">
        <f>(Sales[[#This Row],[Unadj Total Value]]-Sales[[#This Row],[24Final]])/Sales[[#This Row],[24Final]]</f>
        <v>-0.13211331160691903</v>
      </c>
      <c r="CL213">
        <f>VLOOKUP(Sales[[#This Row],[TNbhd]],Lookups!$M$3:$P$5,4,FALSE)</f>
        <v>0.99970000000000003</v>
      </c>
      <c r="CM213">
        <f>VLOOKUP(Sales[[#This Row],[Qlty]],Lookups!$M$8:$P$22,4,FALSE)</f>
        <v>0.99819999999999998</v>
      </c>
      <c r="CN213">
        <f>VLOOKUP(Sales[[#This Row],[Cnd]],Lookups!$R$8:$U$17,4,FALSE)</f>
        <v>0.99680000000000002</v>
      </c>
      <c r="CO213">
        <f>VLOOKUP(Sales[[#This Row],[LivArea Range]],Lookups!$R$25:$U$43,4,FALSE)</f>
        <v>1.0008999999999999</v>
      </c>
      <c r="CP213">
        <f>VLOOKUP(Sales[[#This Row],[Decade]],Lookups!$M$24:$P$40,4,FALSE)</f>
        <v>0.99560000000000004</v>
      </c>
      <c r="CQ213">
        <f>Sales[[#This Row],[Nbhd Adj]]*0.95</f>
        <v>0.94971499999999998</v>
      </c>
      <c r="CR213">
        <f>Sales[[#This Row],[Nbhd Adj]]*Sales[[#This Row],[Quality Adj]]*Sales[[#This Row],[Condition Adj]]*Sales[[#This Row],[Living Area Adj]]*Sales[[#This Row],[Decade Adj]]*0.95</f>
        <v>0.9416607516359401</v>
      </c>
      <c r="CS213">
        <f>ROUND(SUM(Sales[[#This Row],[Mdl Qlty]:[Mdl BltinGar]])+Sales[[#This Row],[Mdl Res Intercept]]*Sales[[#This Row],[Res Adj ]],-2)</f>
        <v>330200</v>
      </c>
      <c r="CT213">
        <f>ROUND(Sales[[#This Row],[25Det]]*Sales[[#This Row],[Det/Nbhd Adj]],-2)</f>
        <v>0</v>
      </c>
      <c r="CU213">
        <f>Sales[[#This Row],[Adjusted Res]]+Sales[[#This Row],[Adj Det ]]</f>
        <v>330200</v>
      </c>
      <c r="CV213">
        <f>ROUND((Sales[[#This Row],[Mdl Land Intercept]]+Sales[[#This Row],[Mdl LnAcres]])*Sales[[#This Row],[Det/Nbhd Adj]],-2)</f>
        <v>61100</v>
      </c>
      <c r="CW213">
        <f>Sales[[#This Row],[Adjusted Impr Total]]+Sales[[#This Row],[Adjusted Land Total]]</f>
        <v>391300</v>
      </c>
      <c r="CX213" s="10">
        <f>IFERROR((Sales[[#This Row],[Adjusted Impr Total]]-Sales[[#This Row],[24Bldg]])/Sales[[#This Row],[24Bldg]],0)</f>
        <v>-2.3365868086364979E-2</v>
      </c>
      <c r="CY213" s="10">
        <f>(Sales[[#This Row],[Adjusted Land Total]]-Sales[[#This Row],[24Lnd]])/Sales[[#This Row],[24Lnd]]</f>
        <v>4.9342105263157892E-3</v>
      </c>
      <c r="CZ213">
        <f>(Sales[[#This Row],[Adjusted Total]]-Sales[[#This Row],[24Final]])/Sales[[#This Row],[24Final]]</f>
        <v>-1.9052394083730259E-2</v>
      </c>
      <c r="DA213" s="10">
        <f>(Sales[[#This Row],[Adjusted Total]]+Sales[[#This Row],[Days Prior Total]])/Sales[[#This Row],[Price]]</f>
        <v>0.89424471618400003</v>
      </c>
    </row>
    <row r="214" spans="1:105">
      <c r="A214">
        <v>2025</v>
      </c>
      <c r="B214">
        <v>20120633454</v>
      </c>
      <c r="C214">
        <v>-1.8325814637483102</v>
      </c>
      <c r="D214">
        <v>0.16</v>
      </c>
      <c r="E214">
        <v>7100</v>
      </c>
      <c r="F214">
        <v>2</v>
      </c>
      <c r="G214" t="s">
        <v>155</v>
      </c>
      <c r="H214">
        <v>317</v>
      </c>
      <c r="I214" t="s">
        <v>5</v>
      </c>
      <c r="J214" t="s">
        <v>212</v>
      </c>
      <c r="K214">
        <v>11</v>
      </c>
      <c r="L214">
        <v>259</v>
      </c>
      <c r="M214" t="s">
        <v>193</v>
      </c>
      <c r="N214" t="s">
        <v>19</v>
      </c>
      <c r="O214" t="s">
        <v>18</v>
      </c>
      <c r="P214">
        <v>2009</v>
      </c>
      <c r="Q214">
        <v>2009</v>
      </c>
      <c r="R214">
        <v>20</v>
      </c>
      <c r="S214">
        <v>15</v>
      </c>
      <c r="T214">
        <v>15</v>
      </c>
      <c r="U214">
        <v>1</v>
      </c>
      <c r="V214">
        <v>1380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1380</v>
      </c>
      <c r="AC214">
        <v>1500</v>
      </c>
      <c r="AD214">
        <v>2</v>
      </c>
      <c r="AE214" t="s">
        <v>57</v>
      </c>
      <c r="AF214" t="s">
        <v>331</v>
      </c>
      <c r="AG214" t="s">
        <v>21</v>
      </c>
      <c r="AH214" t="s">
        <v>161</v>
      </c>
      <c r="AI214">
        <v>0</v>
      </c>
      <c r="AJ214">
        <v>0</v>
      </c>
      <c r="AK214">
        <v>1</v>
      </c>
      <c r="AL214">
        <v>1</v>
      </c>
      <c r="AM214">
        <v>0</v>
      </c>
      <c r="AN214">
        <v>8</v>
      </c>
      <c r="AO214">
        <v>440</v>
      </c>
      <c r="AP214">
        <v>0</v>
      </c>
      <c r="AQ214">
        <v>0</v>
      </c>
      <c r="AR214">
        <v>0</v>
      </c>
      <c r="AS214">
        <v>144</v>
      </c>
      <c r="AT214">
        <v>0</v>
      </c>
      <c r="AU214">
        <v>100</v>
      </c>
      <c r="AV214">
        <v>100</v>
      </c>
      <c r="AW214">
        <v>252172</v>
      </c>
      <c r="AX214">
        <v>234520</v>
      </c>
      <c r="AY214">
        <v>579</v>
      </c>
      <c r="AZ214">
        <v>365</v>
      </c>
      <c r="BA214">
        <v>214</v>
      </c>
      <c r="BB214">
        <v>0</v>
      </c>
      <c r="BC214" s="2">
        <v>44713</v>
      </c>
      <c r="BD214" t="s">
        <v>374</v>
      </c>
      <c r="BE214">
        <v>345000</v>
      </c>
      <c r="BF214">
        <v>345000</v>
      </c>
      <c r="BG214" t="s">
        <v>160</v>
      </c>
      <c r="BH214">
        <v>30</v>
      </c>
      <c r="BI214" t="s">
        <v>56</v>
      </c>
      <c r="BJ214" t="s">
        <v>161</v>
      </c>
      <c r="BK214">
        <v>354300</v>
      </c>
      <c r="BL214">
        <v>60800</v>
      </c>
      <c r="BM214">
        <v>293500</v>
      </c>
      <c r="BN214">
        <v>0</v>
      </c>
      <c r="BO214">
        <v>354737.76750780386</v>
      </c>
      <c r="BP214">
        <v>365704.1147639812</v>
      </c>
      <c r="BQ214">
        <f>(Sales[[#This Row],[DP1]]*Lookups!$B$61)+(Sales[[#This Row],[DP2]]*Lookups!$B$62)+(Sales[[#This Row],[DP3]]*Lookups!$B$63)</f>
        <v>-10966.346581</v>
      </c>
      <c r="BR214">
        <f>Lookups!$B$58*0.6</f>
        <v>132535.48800000001</v>
      </c>
      <c r="BS214">
        <f>Lookups!$B$58*0.4</f>
        <v>88356.992000000013</v>
      </c>
      <c r="BT214">
        <f>Lookups!$B$59*Sales[[#This Row],[LnAcres]]</f>
        <v>-24051.387388882686</v>
      </c>
      <c r="BU214">
        <f>VLOOKUP(Sales[[#This Row],[Qlty]],Lookups!$A$66:$E$79,2,FALSE)</f>
        <v>37154.252388000001</v>
      </c>
      <c r="BV214">
        <f>VLOOKUP(Sales[[#This Row],[Cnd]],Lookups!$A$80:$E$91,2,FALSE)</f>
        <v>17761.121909000001</v>
      </c>
      <c r="BW214">
        <f>Sales[[#This Row],[EffAge]]*Lookups!$B$65</f>
        <v>-1631.1165000000001</v>
      </c>
      <c r="BX214">
        <f>Sales[[#This Row],[MainFn]]*Lookups!$B$90</f>
        <v>86126.324399999998</v>
      </c>
      <c r="BY214">
        <f>Sales[[#This Row],[UpprFn]]*Lookups!$B$91</f>
        <v>0</v>
      </c>
      <c r="BZ214">
        <f>Sales[[#This Row],[Bsmt]]*Lookups!$B$95</f>
        <v>0</v>
      </c>
      <c r="CA214">
        <f>VLOOKUP(Sales[[#This Row],[MsnryTrim]],Lookups!$A$90:$E$99,2,FALSE)</f>
        <v>4112.8784489</v>
      </c>
      <c r="CB214">
        <f>Sales[[#This Row],[PrefabFP]]*Lookups!$B$92</f>
        <v>9807.1044999999995</v>
      </c>
      <c r="CC214">
        <f>Sales[[#This Row],[AttGar]]*Lookups!$B$93</f>
        <v>15532.453640000002</v>
      </c>
      <c r="CD214">
        <f>Sales[[#This Row],[BltinGar]]*Lookups!$B$94</f>
        <v>0</v>
      </c>
      <c r="CE214">
        <f>SUM(Sales[[#This Row],[Days Prior Total]:[Mdl BltinGar]])</f>
        <v>354737.76481601736</v>
      </c>
      <c r="CF214">
        <f>ROUND(Sales[[#This Row],[25Det]],-2)</f>
        <v>0</v>
      </c>
      <c r="CG214">
        <f>ROUND(SUM(Sales[[#This Row],[Mdl Qlty]:[Mdl BltinGar]])+Sales[[#This Row],[Mdl Res Intercept]]+Sales[[#This Row],[Days Prior Total]],-2)</f>
        <v>290400</v>
      </c>
      <c r="CH214">
        <f>ROUND(Sales[[#This Row],[Mdl Land Intercept]]+Sales[[#This Row],[Mdl LnAcres]],-2)</f>
        <v>64300</v>
      </c>
      <c r="CI214">
        <f>Sales[[#This Row],[Unadj Res Value]]+Sales[[#This Row],[Unadj Det Value]]+Sales[[#This Row],[Unadj Land Value]]</f>
        <v>354700</v>
      </c>
      <c r="CJ214" s="10">
        <f>Sales[[#This Row],[Price]]/Sales[[#This Row],[Unadj Total Value]]</f>
        <v>0.97265294615167752</v>
      </c>
      <c r="CK214" s="10">
        <f>(Sales[[#This Row],[Unadj Total Value]]-Sales[[#This Row],[24Final]])/Sales[[#This Row],[24Final]]</f>
        <v>1.1289867344058708E-3</v>
      </c>
      <c r="CL214">
        <f>VLOOKUP(Sales[[#This Row],[TNbhd]],Lookups!$M$3:$P$5,4,FALSE)</f>
        <v>0.99970000000000003</v>
      </c>
      <c r="CM214">
        <f>VLOOKUP(Sales[[#This Row],[Qlty]],Lookups!$M$8:$P$22,4,FALSE)</f>
        <v>0.99819999999999998</v>
      </c>
      <c r="CN214">
        <f>VLOOKUP(Sales[[#This Row],[Cnd]],Lookups!$R$8:$U$17,4,FALSE)</f>
        <v>0.99680000000000002</v>
      </c>
      <c r="CO214">
        <f>VLOOKUP(Sales[[#This Row],[LivArea Range]],Lookups!$R$25:$U$43,4,FALSE)</f>
        <v>0.99519999999999997</v>
      </c>
      <c r="CP214">
        <f>VLOOKUP(Sales[[#This Row],[Decade]],Lookups!$M$24:$P$40,4,FALSE)</f>
        <v>0.99560000000000004</v>
      </c>
      <c r="CQ214">
        <f>Sales[[#This Row],[Nbhd Adj]]*0.95</f>
        <v>0.94971499999999998</v>
      </c>
      <c r="CR214">
        <f>Sales[[#This Row],[Nbhd Adj]]*Sales[[#This Row],[Quality Adj]]*Sales[[#This Row],[Condition Adj]]*Sales[[#This Row],[Living Area Adj]]*Sales[[#This Row],[Decade Adj]]*0.95</f>
        <v>0.93629811172753274</v>
      </c>
      <c r="CS214">
        <f>ROUND(SUM(Sales[[#This Row],[Mdl Qlty]:[Mdl BltinGar]])+Sales[[#This Row],[Mdl Res Intercept]]*Sales[[#This Row],[Res Adj ]],-2)</f>
        <v>293000</v>
      </c>
      <c r="CT214">
        <f>ROUND(Sales[[#This Row],[25Det]]*Sales[[#This Row],[Det/Nbhd Adj]],-2)</f>
        <v>0</v>
      </c>
      <c r="CU214">
        <f>Sales[[#This Row],[Adjusted Res]]+Sales[[#This Row],[Adj Det ]]</f>
        <v>293000</v>
      </c>
      <c r="CV214">
        <f>ROUND((Sales[[#This Row],[Mdl Land Intercept]]+Sales[[#This Row],[Mdl LnAcres]])*Sales[[#This Row],[Det/Nbhd Adj]],-2)</f>
        <v>61100</v>
      </c>
      <c r="CW214">
        <f>Sales[[#This Row],[Adjusted Impr Total]]+Sales[[#This Row],[Adjusted Land Total]]</f>
        <v>354100</v>
      </c>
      <c r="CX214" s="10">
        <f>IFERROR((Sales[[#This Row],[Adjusted Impr Total]]-Sales[[#This Row],[24Bldg]])/Sales[[#This Row],[24Bldg]],0)</f>
        <v>-1.7035775127768314E-3</v>
      </c>
      <c r="CY214" s="10">
        <f>(Sales[[#This Row],[Adjusted Land Total]]-Sales[[#This Row],[24Lnd]])/Sales[[#This Row],[24Lnd]]</f>
        <v>4.9342105263157892E-3</v>
      </c>
      <c r="CZ214">
        <f>(Sales[[#This Row],[Adjusted Total]]-Sales[[#This Row],[24Final]])/Sales[[#This Row],[24Final]]</f>
        <v>-5.6449336720293538E-4</v>
      </c>
      <c r="DA214" s="10">
        <f>(Sales[[#This Row],[Adjusted Total]]+Sales[[#This Row],[Days Prior Total]])/Sales[[#This Row],[Price]]</f>
        <v>0.99459029976521729</v>
      </c>
    </row>
    <row r="215" spans="1:105">
      <c r="A215">
        <v>2025</v>
      </c>
      <c r="B215">
        <v>19120113577</v>
      </c>
      <c r="C215">
        <v>-1.8325814637483102</v>
      </c>
      <c r="D215">
        <v>0.16</v>
      </c>
      <c r="E215">
        <v>7036</v>
      </c>
      <c r="F215">
        <v>2</v>
      </c>
      <c r="G215" t="s">
        <v>155</v>
      </c>
      <c r="H215">
        <v>317</v>
      </c>
      <c r="I215" t="s">
        <v>5</v>
      </c>
      <c r="J215" t="s">
        <v>212</v>
      </c>
      <c r="K215">
        <v>11</v>
      </c>
      <c r="L215">
        <v>259</v>
      </c>
      <c r="M215" t="s">
        <v>330</v>
      </c>
      <c r="N215" t="s">
        <v>19</v>
      </c>
      <c r="O215" t="s">
        <v>20</v>
      </c>
      <c r="P215">
        <v>2008</v>
      </c>
      <c r="Q215">
        <v>2008</v>
      </c>
      <c r="R215">
        <v>20</v>
      </c>
      <c r="S215">
        <v>16</v>
      </c>
      <c r="T215">
        <v>16</v>
      </c>
      <c r="U215">
        <v>1</v>
      </c>
      <c r="V215">
        <v>2058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2058</v>
      </c>
      <c r="AC215">
        <v>2500</v>
      </c>
      <c r="AD215">
        <v>3</v>
      </c>
      <c r="AE215" t="s">
        <v>56</v>
      </c>
      <c r="AF215" t="s">
        <v>331</v>
      </c>
      <c r="AG215" t="s">
        <v>21</v>
      </c>
      <c r="AH215" t="s">
        <v>161</v>
      </c>
      <c r="AI215">
        <v>0</v>
      </c>
      <c r="AJ215">
        <v>0</v>
      </c>
      <c r="AK215">
        <v>1</v>
      </c>
      <c r="AL215">
        <v>0</v>
      </c>
      <c r="AM215">
        <v>0</v>
      </c>
      <c r="AN215">
        <v>11</v>
      </c>
      <c r="AO215">
        <v>782</v>
      </c>
      <c r="AP215">
        <v>0</v>
      </c>
      <c r="AQ215">
        <v>0</v>
      </c>
      <c r="AR215">
        <v>0</v>
      </c>
      <c r="AS215">
        <v>144</v>
      </c>
      <c r="AT215">
        <v>0</v>
      </c>
      <c r="AU215">
        <v>100</v>
      </c>
      <c r="AV215">
        <v>100</v>
      </c>
      <c r="AW215">
        <v>356149</v>
      </c>
      <c r="AX215">
        <v>338342</v>
      </c>
      <c r="AY215">
        <v>446</v>
      </c>
      <c r="AZ215">
        <v>365</v>
      </c>
      <c r="BA215">
        <v>81</v>
      </c>
      <c r="BB215">
        <v>0</v>
      </c>
      <c r="BC215" s="2">
        <v>44846</v>
      </c>
      <c r="BD215" t="s">
        <v>375</v>
      </c>
      <c r="BE215">
        <v>430000</v>
      </c>
      <c r="BF215">
        <v>430000</v>
      </c>
      <c r="BG215" t="s">
        <v>160</v>
      </c>
      <c r="BH215">
        <v>30</v>
      </c>
      <c r="BI215" t="s">
        <v>56</v>
      </c>
      <c r="BJ215" t="s">
        <v>161</v>
      </c>
      <c r="BK215">
        <v>408000</v>
      </c>
      <c r="BL215">
        <v>60800</v>
      </c>
      <c r="BM215">
        <v>347200</v>
      </c>
      <c r="BN215">
        <v>0</v>
      </c>
      <c r="BO215">
        <v>416999.83538366854</v>
      </c>
      <c r="BP215">
        <v>418996.19006258377</v>
      </c>
      <c r="BQ215">
        <f>(Sales[[#This Row],[DP1]]*Lookups!$B$61)+(Sales[[#This Row],[DP2]]*Lookups!$B$62)+(Sales[[#This Row],[DP3]]*Lookups!$B$63)</f>
        <v>-1996.3544310000002</v>
      </c>
      <c r="BR215">
        <f>Lookups!$B$58*0.6</f>
        <v>132535.48800000001</v>
      </c>
      <c r="BS215">
        <f>Lookups!$B$58*0.4</f>
        <v>88356.992000000013</v>
      </c>
      <c r="BT215">
        <f>Lookups!$B$59*Sales[[#This Row],[LnAcres]]</f>
        <v>-24051.387388882686</v>
      </c>
      <c r="BU215">
        <f>VLOOKUP(Sales[[#This Row],[Qlty]],Lookups!$A$66:$E$79,2,FALSE)</f>
        <v>37154.252388000001</v>
      </c>
      <c r="BV215">
        <f>VLOOKUP(Sales[[#This Row],[Cnd]],Lookups!$A$80:$E$91,2,FALSE)</f>
        <v>30300.329274</v>
      </c>
      <c r="BW215">
        <f>Sales[[#This Row],[EffAge]]*Lookups!$B$65</f>
        <v>-1739.8576</v>
      </c>
      <c r="BX215">
        <f>Sales[[#This Row],[MainFn]]*Lookups!$B$90</f>
        <v>128440.56204</v>
      </c>
      <c r="BY215">
        <f>Sales[[#This Row],[UpprFn]]*Lookups!$B$91</f>
        <v>0</v>
      </c>
      <c r="BZ215">
        <f>Sales[[#This Row],[Bsmt]]*Lookups!$B$95</f>
        <v>0</v>
      </c>
      <c r="CA215">
        <f>VLOOKUP(Sales[[#This Row],[MsnryTrim]],Lookups!$A$90:$E$99,2,FALSE)</f>
        <v>-9412.7029999999995</v>
      </c>
      <c r="CB215">
        <f>Sales[[#This Row],[PrefabFP]]*Lookups!$B$92</f>
        <v>9807.1044999999995</v>
      </c>
      <c r="CC215">
        <f>Sales[[#This Row],[AttGar]]*Lookups!$B$93</f>
        <v>27605.406242000001</v>
      </c>
      <c r="CD215">
        <f>Sales[[#This Row],[BltinGar]]*Lookups!$B$94</f>
        <v>0</v>
      </c>
      <c r="CE215">
        <f>SUM(Sales[[#This Row],[Days Prior Total]:[Mdl BltinGar]])</f>
        <v>416999.83202411735</v>
      </c>
      <c r="CF215">
        <f>ROUND(Sales[[#This Row],[25Det]],-2)</f>
        <v>0</v>
      </c>
      <c r="CG215">
        <f>ROUND(SUM(Sales[[#This Row],[Mdl Qlty]:[Mdl BltinGar]])+Sales[[#This Row],[Mdl Res Intercept]]+Sales[[#This Row],[Days Prior Total]],-2)</f>
        <v>352700</v>
      </c>
      <c r="CH215">
        <f>ROUND(Sales[[#This Row],[Mdl Land Intercept]]+Sales[[#This Row],[Mdl LnAcres]],-2)</f>
        <v>64300</v>
      </c>
      <c r="CI215">
        <f>Sales[[#This Row],[Unadj Res Value]]+Sales[[#This Row],[Unadj Det Value]]+Sales[[#This Row],[Unadj Land Value]]</f>
        <v>417000</v>
      </c>
      <c r="CJ215" s="10">
        <f>Sales[[#This Row],[Price]]/Sales[[#This Row],[Unadj Total Value]]</f>
        <v>1.0311750599520384</v>
      </c>
      <c r="CK215" s="10">
        <f>(Sales[[#This Row],[Unadj Total Value]]-Sales[[#This Row],[24Final]])/Sales[[#This Row],[24Final]]</f>
        <v>2.2058823529411766E-2</v>
      </c>
      <c r="CL215">
        <f>VLOOKUP(Sales[[#This Row],[TNbhd]],Lookups!$M$3:$P$5,4,FALSE)</f>
        <v>0.99970000000000003</v>
      </c>
      <c r="CM215">
        <f>VLOOKUP(Sales[[#This Row],[Qlty]],Lookups!$M$8:$P$22,4,FALSE)</f>
        <v>0.99819999999999998</v>
      </c>
      <c r="CN215">
        <f>VLOOKUP(Sales[[#This Row],[Cnd]],Lookups!$R$8:$U$17,4,FALSE)</f>
        <v>0.997</v>
      </c>
      <c r="CO215">
        <f>VLOOKUP(Sales[[#This Row],[LivArea Range]],Lookups!$R$25:$U$43,4,FALSE)</f>
        <v>1.0008999999999999</v>
      </c>
      <c r="CP215">
        <f>VLOOKUP(Sales[[#This Row],[Decade]],Lookups!$M$24:$P$40,4,FALSE)</f>
        <v>0.99560000000000004</v>
      </c>
      <c r="CQ215">
        <f>Sales[[#This Row],[Nbhd Adj]]*0.95</f>
        <v>0.94971499999999998</v>
      </c>
      <c r="CR215">
        <f>Sales[[#This Row],[Nbhd Adj]]*Sales[[#This Row],[Quality Adj]]*Sales[[#This Row],[Condition Adj]]*Sales[[#This Row],[Living Area Adj]]*Sales[[#This Row],[Decade Adj]]*0.95</f>
        <v>0.94184968838386041</v>
      </c>
      <c r="CS215">
        <f>ROUND(SUM(Sales[[#This Row],[Mdl Qlty]:[Mdl BltinGar]])+Sales[[#This Row],[Mdl Res Intercept]]*Sales[[#This Row],[Res Adj ]],-2)</f>
        <v>347000</v>
      </c>
      <c r="CT215">
        <f>ROUND(Sales[[#This Row],[25Det]]*Sales[[#This Row],[Det/Nbhd Adj]],-2)</f>
        <v>0</v>
      </c>
      <c r="CU215">
        <f>Sales[[#This Row],[Adjusted Res]]+Sales[[#This Row],[Adj Det ]]</f>
        <v>347000</v>
      </c>
      <c r="CV215">
        <f>ROUND((Sales[[#This Row],[Mdl Land Intercept]]+Sales[[#This Row],[Mdl LnAcres]])*Sales[[#This Row],[Det/Nbhd Adj]],-2)</f>
        <v>61100</v>
      </c>
      <c r="CW215">
        <f>Sales[[#This Row],[Adjusted Impr Total]]+Sales[[#This Row],[Adjusted Land Total]]</f>
        <v>408100</v>
      </c>
      <c r="CX215" s="10">
        <f>IFERROR((Sales[[#This Row],[Adjusted Impr Total]]-Sales[[#This Row],[24Bldg]])/Sales[[#This Row],[24Bldg]],0)</f>
        <v>-5.76036866359447E-4</v>
      </c>
      <c r="CY215" s="10">
        <f>(Sales[[#This Row],[Adjusted Land Total]]-Sales[[#This Row],[24Lnd]])/Sales[[#This Row],[24Lnd]]</f>
        <v>4.9342105263157892E-3</v>
      </c>
      <c r="CZ215">
        <f>(Sales[[#This Row],[Adjusted Total]]-Sales[[#This Row],[24Final]])/Sales[[#This Row],[24Final]]</f>
        <v>2.4509803921568627E-4</v>
      </c>
      <c r="DA215" s="10">
        <f>(Sales[[#This Row],[Adjusted Total]]+Sales[[#This Row],[Days Prior Total]])/Sales[[#This Row],[Price]]</f>
        <v>0.94442708271860465</v>
      </c>
    </row>
    <row r="216" spans="1:105">
      <c r="A216">
        <v>2025</v>
      </c>
      <c r="B216">
        <v>19120113582</v>
      </c>
      <c r="C216">
        <v>-1.8325814637483102</v>
      </c>
      <c r="D216">
        <v>0.16</v>
      </c>
      <c r="E216">
        <v>7052</v>
      </c>
      <c r="F216">
        <v>2</v>
      </c>
      <c r="G216" t="s">
        <v>155</v>
      </c>
      <c r="H216">
        <v>317</v>
      </c>
      <c r="I216" t="s">
        <v>5</v>
      </c>
      <c r="J216" t="s">
        <v>212</v>
      </c>
      <c r="K216">
        <v>11</v>
      </c>
      <c r="L216">
        <v>259</v>
      </c>
      <c r="M216" t="s">
        <v>193</v>
      </c>
      <c r="N216" t="s">
        <v>19</v>
      </c>
      <c r="O216" t="s">
        <v>20</v>
      </c>
      <c r="P216">
        <v>2008</v>
      </c>
      <c r="Q216">
        <v>2008</v>
      </c>
      <c r="R216">
        <v>20</v>
      </c>
      <c r="S216">
        <v>16</v>
      </c>
      <c r="T216">
        <v>16</v>
      </c>
      <c r="U216">
        <v>1</v>
      </c>
      <c r="V216">
        <v>1132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1132</v>
      </c>
      <c r="AC216">
        <v>1500</v>
      </c>
      <c r="AD216">
        <v>2</v>
      </c>
      <c r="AE216" t="s">
        <v>57</v>
      </c>
      <c r="AF216" t="s">
        <v>331</v>
      </c>
      <c r="AG216" t="s">
        <v>21</v>
      </c>
      <c r="AH216" t="s">
        <v>161</v>
      </c>
      <c r="AI216">
        <v>0</v>
      </c>
      <c r="AJ216">
        <v>0</v>
      </c>
      <c r="AK216">
        <v>0</v>
      </c>
      <c r="AL216">
        <v>1</v>
      </c>
      <c r="AM216">
        <v>0</v>
      </c>
      <c r="AN216">
        <v>8</v>
      </c>
      <c r="AO216">
        <v>400</v>
      </c>
      <c r="AP216">
        <v>0</v>
      </c>
      <c r="AQ216">
        <v>0</v>
      </c>
      <c r="AR216">
        <v>0</v>
      </c>
      <c r="AS216">
        <v>144</v>
      </c>
      <c r="AT216">
        <v>0</v>
      </c>
      <c r="AU216">
        <v>100</v>
      </c>
      <c r="AV216">
        <v>100</v>
      </c>
      <c r="AW216">
        <v>213376</v>
      </c>
      <c r="AX216">
        <v>202707</v>
      </c>
      <c r="AY216">
        <v>991</v>
      </c>
      <c r="AZ216">
        <v>365</v>
      </c>
      <c r="BA216">
        <v>365</v>
      </c>
      <c r="BB216">
        <v>261</v>
      </c>
      <c r="BC216" s="2">
        <v>44301</v>
      </c>
      <c r="BD216" t="s">
        <v>376</v>
      </c>
      <c r="BE216">
        <v>280000</v>
      </c>
      <c r="BF216">
        <v>280000</v>
      </c>
      <c r="BG216" t="s">
        <v>160</v>
      </c>
      <c r="BH216">
        <v>30</v>
      </c>
      <c r="BI216" t="s">
        <v>56</v>
      </c>
      <c r="BJ216" t="s">
        <v>161</v>
      </c>
      <c r="BK216">
        <v>351800</v>
      </c>
      <c r="BL216">
        <v>60800</v>
      </c>
      <c r="BM216">
        <v>291000</v>
      </c>
      <c r="BN216">
        <v>0</v>
      </c>
      <c r="BO216">
        <v>270518.49157328467</v>
      </c>
      <c r="BP216">
        <v>351437.66100605403</v>
      </c>
      <c r="BQ216">
        <f>(Sales[[#This Row],[DP1]]*Lookups!$B$61)+(Sales[[#This Row],[DP2]]*Lookups!$B$62)+(Sales[[#This Row],[DP3]]*Lookups!$B$63)</f>
        <v>-80919.166031000001</v>
      </c>
      <c r="BR216">
        <f>Lookups!$B$58*0.6</f>
        <v>132535.48800000001</v>
      </c>
      <c r="BS216">
        <f>Lookups!$B$58*0.4</f>
        <v>88356.992000000013</v>
      </c>
      <c r="BT216">
        <f>Lookups!$B$59*Sales[[#This Row],[LnAcres]]</f>
        <v>-24051.387388882686</v>
      </c>
      <c r="BU216">
        <f>VLOOKUP(Sales[[#This Row],[Qlty]],Lookups!$A$66:$E$79,2,FALSE)</f>
        <v>37154.252388000001</v>
      </c>
      <c r="BV216">
        <f>VLOOKUP(Sales[[#This Row],[Cnd]],Lookups!$A$80:$E$91,2,FALSE)</f>
        <v>30300.329274</v>
      </c>
      <c r="BW216">
        <f>Sales[[#This Row],[EffAge]]*Lookups!$B$65</f>
        <v>-1739.8576</v>
      </c>
      <c r="BX216">
        <f>Sales[[#This Row],[MainFn]]*Lookups!$B$90</f>
        <v>70648.550159999999</v>
      </c>
      <c r="BY216">
        <f>Sales[[#This Row],[UpprFn]]*Lookups!$B$91</f>
        <v>0</v>
      </c>
      <c r="BZ216">
        <f>Sales[[#This Row],[Bsmt]]*Lookups!$B$95</f>
        <v>0</v>
      </c>
      <c r="CA216">
        <f>VLOOKUP(Sales[[#This Row],[MsnryTrim]],Lookups!$A$90:$E$99,2,FALSE)</f>
        <v>4112.8784489</v>
      </c>
      <c r="CB216">
        <f>Sales[[#This Row],[PrefabFP]]*Lookups!$B$92</f>
        <v>0</v>
      </c>
      <c r="CC216">
        <f>Sales[[#This Row],[AttGar]]*Lookups!$B$93</f>
        <v>14120.412400000001</v>
      </c>
      <c r="CD216">
        <f>Sales[[#This Row],[BltinGar]]*Lookups!$B$94</f>
        <v>0</v>
      </c>
      <c r="CE216">
        <f>SUM(Sales[[#This Row],[Days Prior Total]:[Mdl BltinGar]])</f>
        <v>270518.49165101734</v>
      </c>
      <c r="CF216">
        <f>ROUND(Sales[[#This Row],[25Det]],-2)</f>
        <v>0</v>
      </c>
      <c r="CG216">
        <f>ROUND(SUM(Sales[[#This Row],[Mdl Qlty]:[Mdl BltinGar]])+Sales[[#This Row],[Mdl Res Intercept]]+Sales[[#This Row],[Days Prior Total]],-2)</f>
        <v>206200</v>
      </c>
      <c r="CH216">
        <f>ROUND(Sales[[#This Row],[Mdl Land Intercept]]+Sales[[#This Row],[Mdl LnAcres]],-2)</f>
        <v>64300</v>
      </c>
      <c r="CI216">
        <f>Sales[[#This Row],[Unadj Res Value]]+Sales[[#This Row],[Unadj Det Value]]+Sales[[#This Row],[Unadj Land Value]]</f>
        <v>270500</v>
      </c>
      <c r="CJ216" s="10">
        <f>Sales[[#This Row],[Price]]/Sales[[#This Row],[Unadj Total Value]]</f>
        <v>1.0351201478743068</v>
      </c>
      <c r="CK216" s="10">
        <f>(Sales[[#This Row],[Unadj Total Value]]-Sales[[#This Row],[24Final]])/Sales[[#This Row],[24Final]]</f>
        <v>-0.23109721432632177</v>
      </c>
      <c r="CL216">
        <f>VLOOKUP(Sales[[#This Row],[TNbhd]],Lookups!$M$3:$P$5,4,FALSE)</f>
        <v>0.99970000000000003</v>
      </c>
      <c r="CM216">
        <f>VLOOKUP(Sales[[#This Row],[Qlty]],Lookups!$M$8:$P$22,4,FALSE)</f>
        <v>0.99819999999999998</v>
      </c>
      <c r="CN216">
        <f>VLOOKUP(Sales[[#This Row],[Cnd]],Lookups!$R$8:$U$17,4,FALSE)</f>
        <v>0.997</v>
      </c>
      <c r="CO216">
        <f>VLOOKUP(Sales[[#This Row],[LivArea Range]],Lookups!$R$25:$U$43,4,FALSE)</f>
        <v>0.99519999999999997</v>
      </c>
      <c r="CP216">
        <f>VLOOKUP(Sales[[#This Row],[Decade]],Lookups!$M$24:$P$40,4,FALSE)</f>
        <v>0.99560000000000004</v>
      </c>
      <c r="CQ216">
        <f>Sales[[#This Row],[Nbhd Adj]]*0.95</f>
        <v>0.94971499999999998</v>
      </c>
      <c r="CR216">
        <f>Sales[[#This Row],[Nbhd Adj]]*Sales[[#This Row],[Quality Adj]]*Sales[[#This Row],[Condition Adj]]*Sales[[#This Row],[Living Area Adj]]*Sales[[#This Row],[Decade Adj]]*0.95</f>
        <v>0.93648597250436405</v>
      </c>
      <c r="CS216">
        <f>ROUND(SUM(Sales[[#This Row],[Mdl Qlty]:[Mdl BltinGar]])+Sales[[#This Row],[Mdl Res Intercept]]*Sales[[#This Row],[Res Adj ]],-2)</f>
        <v>278700</v>
      </c>
      <c r="CT216">
        <f>ROUND(Sales[[#This Row],[25Det]]*Sales[[#This Row],[Det/Nbhd Adj]],-2)</f>
        <v>0</v>
      </c>
      <c r="CU216">
        <f>Sales[[#This Row],[Adjusted Res]]+Sales[[#This Row],[Adj Det ]]</f>
        <v>278700</v>
      </c>
      <c r="CV216">
        <f>ROUND((Sales[[#This Row],[Mdl Land Intercept]]+Sales[[#This Row],[Mdl LnAcres]])*Sales[[#This Row],[Det/Nbhd Adj]],-2)</f>
        <v>61100</v>
      </c>
      <c r="CW216">
        <f>Sales[[#This Row],[Adjusted Impr Total]]+Sales[[#This Row],[Adjusted Land Total]]</f>
        <v>339800</v>
      </c>
      <c r="CX216" s="10">
        <f>IFERROR((Sales[[#This Row],[Adjusted Impr Total]]-Sales[[#This Row],[24Bldg]])/Sales[[#This Row],[24Bldg]],0)</f>
        <v>-4.2268041237113405E-2</v>
      </c>
      <c r="CY216" s="10">
        <f>(Sales[[#This Row],[Adjusted Land Total]]-Sales[[#This Row],[24Lnd]])/Sales[[#This Row],[24Lnd]]</f>
        <v>4.9342105263157892E-3</v>
      </c>
      <c r="CZ216">
        <f>(Sales[[#This Row],[Adjusted Total]]-Sales[[#This Row],[24Final]])/Sales[[#This Row],[24Final]]</f>
        <v>-3.4110289937464469E-2</v>
      </c>
      <c r="DA216" s="10">
        <f>(Sales[[#This Row],[Adjusted Total]]+Sales[[#This Row],[Days Prior Total]])/Sales[[#This Row],[Price]]</f>
        <v>0.92457440703214289</v>
      </c>
    </row>
    <row r="217" spans="1:105">
      <c r="A217">
        <v>2025</v>
      </c>
      <c r="B217">
        <v>19120113585</v>
      </c>
      <c r="C217">
        <v>-1.8325814637483102</v>
      </c>
      <c r="D217">
        <v>0.16</v>
      </c>
      <c r="E217">
        <v>7077</v>
      </c>
      <c r="F217">
        <v>2</v>
      </c>
      <c r="G217" t="s">
        <v>155</v>
      </c>
      <c r="H217">
        <v>317</v>
      </c>
      <c r="I217" t="s">
        <v>5</v>
      </c>
      <c r="J217" t="s">
        <v>212</v>
      </c>
      <c r="K217">
        <v>11</v>
      </c>
      <c r="L217">
        <v>259</v>
      </c>
      <c r="M217" t="s">
        <v>193</v>
      </c>
      <c r="N217" t="s">
        <v>19</v>
      </c>
      <c r="O217" t="s">
        <v>18</v>
      </c>
      <c r="P217">
        <v>2008</v>
      </c>
      <c r="Q217">
        <v>2008</v>
      </c>
      <c r="R217">
        <v>20</v>
      </c>
      <c r="S217">
        <v>16</v>
      </c>
      <c r="T217">
        <v>16</v>
      </c>
      <c r="U217">
        <v>1</v>
      </c>
      <c r="V217">
        <v>1722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1722</v>
      </c>
      <c r="AC217">
        <v>2000</v>
      </c>
      <c r="AD217">
        <v>2</v>
      </c>
      <c r="AE217" t="s">
        <v>57</v>
      </c>
      <c r="AF217" t="s">
        <v>331</v>
      </c>
      <c r="AG217" t="s">
        <v>21</v>
      </c>
      <c r="AH217" t="s">
        <v>161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10</v>
      </c>
      <c r="AO217">
        <v>450</v>
      </c>
      <c r="AP217">
        <v>0</v>
      </c>
      <c r="AQ217">
        <v>0</v>
      </c>
      <c r="AR217">
        <v>0</v>
      </c>
      <c r="AS217">
        <v>144</v>
      </c>
      <c r="AT217">
        <v>0</v>
      </c>
      <c r="AU217">
        <v>100</v>
      </c>
      <c r="AV217">
        <v>100</v>
      </c>
      <c r="AW217">
        <v>300200</v>
      </c>
      <c r="AX217">
        <v>279186</v>
      </c>
      <c r="AY217">
        <v>713</v>
      </c>
      <c r="AZ217">
        <v>365</v>
      </c>
      <c r="BA217">
        <v>348</v>
      </c>
      <c r="BB217">
        <v>0</v>
      </c>
      <c r="BC217" s="2">
        <v>44579</v>
      </c>
      <c r="BD217" t="s">
        <v>377</v>
      </c>
      <c r="BE217">
        <v>370000</v>
      </c>
      <c r="BF217">
        <v>370000</v>
      </c>
      <c r="BG217" t="s">
        <v>160</v>
      </c>
      <c r="BH217">
        <v>30</v>
      </c>
      <c r="BI217" t="s">
        <v>56</v>
      </c>
      <c r="BJ217" t="s">
        <v>161</v>
      </c>
      <c r="BK217">
        <v>367300</v>
      </c>
      <c r="BL217">
        <v>60800</v>
      </c>
      <c r="BM217">
        <v>306500</v>
      </c>
      <c r="BN217">
        <v>0</v>
      </c>
      <c r="BO217">
        <v>357481.84599977336</v>
      </c>
      <c r="BP217">
        <v>377485.62938642525</v>
      </c>
      <c r="BQ217">
        <f>(Sales[[#This Row],[DP1]]*Lookups!$B$61)+(Sales[[#This Row],[DP2]]*Lookups!$B$62)+(Sales[[#This Row],[DP3]]*Lookups!$B$63)</f>
        <v>-20003.782281</v>
      </c>
      <c r="BR217">
        <f>Lookups!$B$58*0.6</f>
        <v>132535.48800000001</v>
      </c>
      <c r="BS217">
        <f>Lookups!$B$58*0.4</f>
        <v>88356.992000000013</v>
      </c>
      <c r="BT217">
        <f>Lookups!$B$59*Sales[[#This Row],[LnAcres]]</f>
        <v>-24051.387388882686</v>
      </c>
      <c r="BU217">
        <f>VLOOKUP(Sales[[#This Row],[Qlty]],Lookups!$A$66:$E$79,2,FALSE)</f>
        <v>37154.252388000001</v>
      </c>
      <c r="BV217">
        <f>VLOOKUP(Sales[[#This Row],[Cnd]],Lookups!$A$80:$E$91,2,FALSE)</f>
        <v>17761.121909000001</v>
      </c>
      <c r="BW217">
        <f>Sales[[#This Row],[EffAge]]*Lookups!$B$65</f>
        <v>-1739.8576</v>
      </c>
      <c r="BX217">
        <f>Sales[[#This Row],[MainFn]]*Lookups!$B$90</f>
        <v>107470.67436</v>
      </c>
      <c r="BY217">
        <f>Sales[[#This Row],[UpprFn]]*Lookups!$B$91</f>
        <v>0</v>
      </c>
      <c r="BZ217">
        <f>Sales[[#This Row],[Bsmt]]*Lookups!$B$95</f>
        <v>0</v>
      </c>
      <c r="CA217">
        <f>VLOOKUP(Sales[[#This Row],[MsnryTrim]],Lookups!$A$90:$E$99,2,FALSE)</f>
        <v>4112.8784489</v>
      </c>
      <c r="CB217">
        <f>Sales[[#This Row],[PrefabFP]]*Lookups!$B$92</f>
        <v>0</v>
      </c>
      <c r="CC217">
        <f>Sales[[#This Row],[AttGar]]*Lookups!$B$93</f>
        <v>15885.463950000001</v>
      </c>
      <c r="CD217">
        <f>Sales[[#This Row],[BltinGar]]*Lookups!$B$94</f>
        <v>0</v>
      </c>
      <c r="CE217">
        <f>SUM(Sales[[#This Row],[Days Prior Total]:[Mdl BltinGar]])</f>
        <v>357481.84378601739</v>
      </c>
      <c r="CF217">
        <f>ROUND(Sales[[#This Row],[25Det]],-2)</f>
        <v>0</v>
      </c>
      <c r="CG217">
        <f>ROUND(SUM(Sales[[#This Row],[Mdl Qlty]:[Mdl BltinGar]])+Sales[[#This Row],[Mdl Res Intercept]]+Sales[[#This Row],[Days Prior Total]],-2)</f>
        <v>293200</v>
      </c>
      <c r="CH217">
        <f>ROUND(Sales[[#This Row],[Mdl Land Intercept]]+Sales[[#This Row],[Mdl LnAcres]],-2)</f>
        <v>64300</v>
      </c>
      <c r="CI217">
        <f>Sales[[#This Row],[Unadj Res Value]]+Sales[[#This Row],[Unadj Det Value]]+Sales[[#This Row],[Unadj Land Value]]</f>
        <v>357500</v>
      </c>
      <c r="CJ217" s="10">
        <f>Sales[[#This Row],[Price]]/Sales[[#This Row],[Unadj Total Value]]</f>
        <v>1.034965034965035</v>
      </c>
      <c r="CK217" s="10">
        <f>(Sales[[#This Row],[Unadj Total Value]]-Sales[[#This Row],[24Final]])/Sales[[#This Row],[24Final]]</f>
        <v>-2.6681187040566295E-2</v>
      </c>
      <c r="CL217">
        <f>VLOOKUP(Sales[[#This Row],[TNbhd]],Lookups!$M$3:$P$5,4,FALSE)</f>
        <v>0.99970000000000003</v>
      </c>
      <c r="CM217">
        <f>VLOOKUP(Sales[[#This Row],[Qlty]],Lookups!$M$8:$P$22,4,FALSE)</f>
        <v>0.99819999999999998</v>
      </c>
      <c r="CN217">
        <f>VLOOKUP(Sales[[#This Row],[Cnd]],Lookups!$R$8:$U$17,4,FALSE)</f>
        <v>0.99680000000000002</v>
      </c>
      <c r="CO217">
        <f>VLOOKUP(Sales[[#This Row],[LivArea Range]],Lookups!$R$25:$U$43,4,FALSE)</f>
        <v>1.0007999999999999</v>
      </c>
      <c r="CP217">
        <f>VLOOKUP(Sales[[#This Row],[Decade]],Lookups!$M$24:$P$40,4,FALSE)</f>
        <v>0.99560000000000004</v>
      </c>
      <c r="CQ217">
        <f>Sales[[#This Row],[Nbhd Adj]]*0.95</f>
        <v>0.94971499999999998</v>
      </c>
      <c r="CR217">
        <f>Sales[[#This Row],[Nbhd Adj]]*Sales[[#This Row],[Quality Adj]]*Sales[[#This Row],[Condition Adj]]*Sales[[#This Row],[Living Area Adj]]*Sales[[#This Row],[Decade Adj]]*0.95</f>
        <v>0.94156667023403817</v>
      </c>
      <c r="CS217">
        <f>ROUND(SUM(Sales[[#This Row],[Mdl Qlty]:[Mdl BltinGar]])+Sales[[#This Row],[Mdl Res Intercept]]*Sales[[#This Row],[Res Adj ]],-2)</f>
        <v>305400</v>
      </c>
      <c r="CT217">
        <f>ROUND(Sales[[#This Row],[25Det]]*Sales[[#This Row],[Det/Nbhd Adj]],-2)</f>
        <v>0</v>
      </c>
      <c r="CU217">
        <f>Sales[[#This Row],[Adjusted Res]]+Sales[[#This Row],[Adj Det ]]</f>
        <v>305400</v>
      </c>
      <c r="CV217">
        <f>ROUND((Sales[[#This Row],[Mdl Land Intercept]]+Sales[[#This Row],[Mdl LnAcres]])*Sales[[#This Row],[Det/Nbhd Adj]],-2)</f>
        <v>61100</v>
      </c>
      <c r="CW217">
        <f>Sales[[#This Row],[Adjusted Impr Total]]+Sales[[#This Row],[Adjusted Land Total]]</f>
        <v>366500</v>
      </c>
      <c r="CX217" s="10">
        <f>IFERROR((Sales[[#This Row],[Adjusted Impr Total]]-Sales[[#This Row],[24Bldg]])/Sales[[#This Row],[24Bldg]],0)</f>
        <v>-3.5889070146818925E-3</v>
      </c>
      <c r="CY217" s="10">
        <f>(Sales[[#This Row],[Adjusted Land Total]]-Sales[[#This Row],[24Lnd]])/Sales[[#This Row],[24Lnd]]</f>
        <v>4.9342105263157892E-3</v>
      </c>
      <c r="CZ217">
        <f>(Sales[[#This Row],[Adjusted Total]]-Sales[[#This Row],[24Final]])/Sales[[#This Row],[24Final]]</f>
        <v>-2.1780560849441874E-3</v>
      </c>
      <c r="DA217" s="10">
        <f>(Sales[[#This Row],[Adjusted Total]]+Sales[[#This Row],[Days Prior Total]])/Sales[[#This Row],[Price]]</f>
        <v>0.93647626410540541</v>
      </c>
    </row>
    <row r="218" spans="1:105">
      <c r="A218">
        <v>2025</v>
      </c>
      <c r="B218">
        <v>19120113607</v>
      </c>
      <c r="C218">
        <v>-1.8325814637483102</v>
      </c>
      <c r="D218">
        <v>0.16</v>
      </c>
      <c r="E218">
        <v>7077</v>
      </c>
      <c r="F218">
        <v>2</v>
      </c>
      <c r="G218" t="s">
        <v>155</v>
      </c>
      <c r="H218">
        <v>317</v>
      </c>
      <c r="I218" t="s">
        <v>5</v>
      </c>
      <c r="J218" t="s">
        <v>212</v>
      </c>
      <c r="K218">
        <v>11</v>
      </c>
      <c r="L218">
        <v>259</v>
      </c>
      <c r="M218" t="s">
        <v>193</v>
      </c>
      <c r="N218" t="s">
        <v>19</v>
      </c>
      <c r="O218" t="s">
        <v>20</v>
      </c>
      <c r="P218">
        <v>2008</v>
      </c>
      <c r="Q218">
        <v>2008</v>
      </c>
      <c r="R218">
        <v>20</v>
      </c>
      <c r="S218">
        <v>16</v>
      </c>
      <c r="T218">
        <v>16</v>
      </c>
      <c r="U218">
        <v>1</v>
      </c>
      <c r="V218">
        <v>1732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1732</v>
      </c>
      <c r="AC218">
        <v>2000</v>
      </c>
      <c r="AD218">
        <v>0</v>
      </c>
      <c r="AE218" t="s">
        <v>56</v>
      </c>
      <c r="AF218" t="s">
        <v>331</v>
      </c>
      <c r="AG218" t="s">
        <v>21</v>
      </c>
      <c r="AH218" t="s">
        <v>161</v>
      </c>
      <c r="AI218">
        <v>0</v>
      </c>
      <c r="AJ218">
        <v>0</v>
      </c>
      <c r="AK218">
        <v>0</v>
      </c>
      <c r="AL218">
        <v>1</v>
      </c>
      <c r="AM218">
        <v>0</v>
      </c>
      <c r="AN218">
        <v>10</v>
      </c>
      <c r="AO218">
        <v>440</v>
      </c>
      <c r="AP218">
        <v>0</v>
      </c>
      <c r="AQ218">
        <v>0</v>
      </c>
      <c r="AR218">
        <v>0</v>
      </c>
      <c r="AS218">
        <v>144</v>
      </c>
      <c r="AT218">
        <v>0</v>
      </c>
      <c r="AU218">
        <v>100</v>
      </c>
      <c r="AV218">
        <v>100</v>
      </c>
      <c r="AW218">
        <v>301120</v>
      </c>
      <c r="AX218">
        <v>286064</v>
      </c>
      <c r="AY218">
        <v>468</v>
      </c>
      <c r="AZ218">
        <v>365</v>
      </c>
      <c r="BA218">
        <v>103</v>
      </c>
      <c r="BB218">
        <v>0</v>
      </c>
      <c r="BC218" s="2">
        <v>44824</v>
      </c>
      <c r="BD218" t="s">
        <v>378</v>
      </c>
      <c r="BE218">
        <v>350000</v>
      </c>
      <c r="BF218">
        <v>350000</v>
      </c>
      <c r="BG218" t="s">
        <v>160</v>
      </c>
      <c r="BH218">
        <v>30</v>
      </c>
      <c r="BI218" t="s">
        <v>56</v>
      </c>
      <c r="BJ218" t="s">
        <v>161</v>
      </c>
      <c r="BK218">
        <v>383000</v>
      </c>
      <c r="BL218">
        <v>60800</v>
      </c>
      <c r="BM218">
        <v>322200</v>
      </c>
      <c r="BN218">
        <v>0</v>
      </c>
      <c r="BO218">
        <v>373290.23632643564</v>
      </c>
      <c r="BP218">
        <v>376770.34917602583</v>
      </c>
      <c r="BQ218">
        <f>(Sales[[#This Row],[DP1]]*Lookups!$B$61)+(Sales[[#This Row],[DP2]]*Lookups!$B$62)+(Sales[[#This Row],[DP3]]*Lookups!$B$63)</f>
        <v>-3480.1125310000002</v>
      </c>
      <c r="BR218">
        <f>Lookups!$B$58*0.6</f>
        <v>132535.48800000001</v>
      </c>
      <c r="BS218">
        <f>Lookups!$B$58*0.4</f>
        <v>88356.992000000013</v>
      </c>
      <c r="BT218">
        <f>Lookups!$B$59*Sales[[#This Row],[LnAcres]]</f>
        <v>-24051.387388882686</v>
      </c>
      <c r="BU218">
        <f>VLOOKUP(Sales[[#This Row],[Qlty]],Lookups!$A$66:$E$79,2,FALSE)</f>
        <v>37154.252388000001</v>
      </c>
      <c r="BV218">
        <f>VLOOKUP(Sales[[#This Row],[Cnd]],Lookups!$A$80:$E$91,2,FALSE)</f>
        <v>30300.329274</v>
      </c>
      <c r="BW218">
        <f>Sales[[#This Row],[EffAge]]*Lookups!$B$65</f>
        <v>-1739.8576</v>
      </c>
      <c r="BX218">
        <f>Sales[[#This Row],[MainFn]]*Lookups!$B$90</f>
        <v>108094.77816</v>
      </c>
      <c r="BY218">
        <f>Sales[[#This Row],[UpprFn]]*Lookups!$B$91</f>
        <v>0</v>
      </c>
      <c r="BZ218">
        <f>Sales[[#This Row],[Bsmt]]*Lookups!$B$95</f>
        <v>0</v>
      </c>
      <c r="CA218">
        <f>VLOOKUP(Sales[[#This Row],[MsnryTrim]],Lookups!$A$90:$E$99,2,FALSE)</f>
        <v>-9412.7029999999995</v>
      </c>
      <c r="CB218">
        <f>Sales[[#This Row],[PrefabFP]]*Lookups!$B$92</f>
        <v>0</v>
      </c>
      <c r="CC218">
        <f>Sales[[#This Row],[AttGar]]*Lookups!$B$93</f>
        <v>15532.453640000002</v>
      </c>
      <c r="CD218">
        <f>Sales[[#This Row],[BltinGar]]*Lookups!$B$94</f>
        <v>0</v>
      </c>
      <c r="CE218">
        <f>SUM(Sales[[#This Row],[Days Prior Total]:[Mdl BltinGar]])</f>
        <v>373290.23294211738</v>
      </c>
      <c r="CF218">
        <f>ROUND(Sales[[#This Row],[25Det]],-2)</f>
        <v>0</v>
      </c>
      <c r="CG218">
        <f>ROUND(SUM(Sales[[#This Row],[Mdl Qlty]:[Mdl BltinGar]])+Sales[[#This Row],[Mdl Res Intercept]]+Sales[[#This Row],[Days Prior Total]],-2)</f>
        <v>309000</v>
      </c>
      <c r="CH218">
        <f>ROUND(Sales[[#This Row],[Mdl Land Intercept]]+Sales[[#This Row],[Mdl LnAcres]],-2)</f>
        <v>64300</v>
      </c>
      <c r="CI218">
        <f>Sales[[#This Row],[Unadj Res Value]]+Sales[[#This Row],[Unadj Det Value]]+Sales[[#This Row],[Unadj Land Value]]</f>
        <v>373300</v>
      </c>
      <c r="CJ218" s="10">
        <f>Sales[[#This Row],[Price]]/Sales[[#This Row],[Unadj Total Value]]</f>
        <v>0.93758371283150277</v>
      </c>
      <c r="CK218" s="10">
        <f>(Sales[[#This Row],[Unadj Total Value]]-Sales[[#This Row],[24Final]])/Sales[[#This Row],[24Final]]</f>
        <v>-2.5326370757180156E-2</v>
      </c>
      <c r="CL218">
        <f>VLOOKUP(Sales[[#This Row],[TNbhd]],Lookups!$M$3:$P$5,4,FALSE)</f>
        <v>0.99970000000000003</v>
      </c>
      <c r="CM218">
        <f>VLOOKUP(Sales[[#This Row],[Qlty]],Lookups!$M$8:$P$22,4,FALSE)</f>
        <v>0.99819999999999998</v>
      </c>
      <c r="CN218">
        <f>VLOOKUP(Sales[[#This Row],[Cnd]],Lookups!$R$8:$U$17,4,FALSE)</f>
        <v>0.997</v>
      </c>
      <c r="CO218">
        <f>VLOOKUP(Sales[[#This Row],[LivArea Range]],Lookups!$R$25:$U$43,4,FALSE)</f>
        <v>1.0007999999999999</v>
      </c>
      <c r="CP218">
        <f>VLOOKUP(Sales[[#This Row],[Decade]],Lookups!$M$24:$P$40,4,FALSE)</f>
        <v>0.99560000000000004</v>
      </c>
      <c r="CQ218">
        <f>Sales[[#This Row],[Nbhd Adj]]*0.95</f>
        <v>0.94971499999999998</v>
      </c>
      <c r="CR218">
        <f>Sales[[#This Row],[Nbhd Adj]]*Sales[[#This Row],[Quality Adj]]*Sales[[#This Row],[Condition Adj]]*Sales[[#This Row],[Living Area Adj]]*Sales[[#This Row],[Decade Adj]]*0.95</f>
        <v>0.94175558810527282</v>
      </c>
      <c r="CS218">
        <f>ROUND(SUM(Sales[[#This Row],[Mdl Qlty]:[Mdl BltinGar]])+Sales[[#This Row],[Mdl Res Intercept]]*Sales[[#This Row],[Res Adj ]],-2)</f>
        <v>304700</v>
      </c>
      <c r="CT218">
        <f>ROUND(Sales[[#This Row],[25Det]]*Sales[[#This Row],[Det/Nbhd Adj]],-2)</f>
        <v>0</v>
      </c>
      <c r="CU218">
        <f>Sales[[#This Row],[Adjusted Res]]+Sales[[#This Row],[Adj Det ]]</f>
        <v>304700</v>
      </c>
      <c r="CV218">
        <f>ROUND((Sales[[#This Row],[Mdl Land Intercept]]+Sales[[#This Row],[Mdl LnAcres]])*Sales[[#This Row],[Det/Nbhd Adj]],-2)</f>
        <v>61100</v>
      </c>
      <c r="CW218">
        <f>Sales[[#This Row],[Adjusted Impr Total]]+Sales[[#This Row],[Adjusted Land Total]]</f>
        <v>365800</v>
      </c>
      <c r="CX218" s="10">
        <f>IFERROR((Sales[[#This Row],[Adjusted Impr Total]]-Sales[[#This Row],[24Bldg]])/Sales[[#This Row],[24Bldg]],0)</f>
        <v>-5.4314090626939787E-2</v>
      </c>
      <c r="CY218" s="10">
        <f>(Sales[[#This Row],[Adjusted Land Total]]-Sales[[#This Row],[24Lnd]])/Sales[[#This Row],[24Lnd]]</f>
        <v>4.9342105263157892E-3</v>
      </c>
      <c r="CZ218">
        <f>(Sales[[#This Row],[Adjusted Total]]-Sales[[#This Row],[24Final]])/Sales[[#This Row],[24Final]]</f>
        <v>-4.4908616187989553E-2</v>
      </c>
      <c r="DA218" s="10">
        <f>(Sales[[#This Row],[Adjusted Total]]+Sales[[#This Row],[Days Prior Total]])/Sales[[#This Row],[Price]]</f>
        <v>1.0351996784828572</v>
      </c>
    </row>
    <row r="219" spans="1:105">
      <c r="A219">
        <v>2025</v>
      </c>
      <c r="B219">
        <v>19133614405</v>
      </c>
      <c r="C219">
        <v>0.85441532815606758</v>
      </c>
      <c r="D219">
        <v>2.35</v>
      </c>
      <c r="E219">
        <v>0</v>
      </c>
      <c r="F219">
        <v>2</v>
      </c>
      <c r="G219" t="s">
        <v>155</v>
      </c>
      <c r="H219">
        <v>317</v>
      </c>
      <c r="I219" t="s">
        <v>5</v>
      </c>
      <c r="J219" t="s">
        <v>212</v>
      </c>
      <c r="K219">
        <v>11</v>
      </c>
      <c r="L219">
        <v>259</v>
      </c>
      <c r="M219" t="s">
        <v>193</v>
      </c>
      <c r="N219" t="s">
        <v>19</v>
      </c>
      <c r="O219" t="s">
        <v>20</v>
      </c>
      <c r="P219">
        <v>2008</v>
      </c>
      <c r="Q219">
        <v>2008</v>
      </c>
      <c r="R219">
        <v>20</v>
      </c>
      <c r="S219">
        <v>16</v>
      </c>
      <c r="T219">
        <v>16</v>
      </c>
      <c r="U219">
        <v>1</v>
      </c>
      <c r="V219">
        <v>2112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2112</v>
      </c>
      <c r="AC219">
        <v>2500</v>
      </c>
      <c r="AD219">
        <v>2</v>
      </c>
      <c r="AE219" t="s">
        <v>56</v>
      </c>
      <c r="AF219" t="s">
        <v>158</v>
      </c>
      <c r="AG219" t="s">
        <v>27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9</v>
      </c>
      <c r="AO219">
        <v>528</v>
      </c>
      <c r="AP219">
        <v>0</v>
      </c>
      <c r="AQ219">
        <v>0</v>
      </c>
      <c r="AR219">
        <v>0</v>
      </c>
      <c r="AS219">
        <v>319</v>
      </c>
      <c r="AT219">
        <v>319</v>
      </c>
      <c r="AU219">
        <v>100</v>
      </c>
      <c r="AV219">
        <v>100</v>
      </c>
      <c r="AW219">
        <v>361931</v>
      </c>
      <c r="AX219">
        <v>343834</v>
      </c>
      <c r="AY219">
        <v>965</v>
      </c>
      <c r="AZ219">
        <v>365</v>
      </c>
      <c r="BA219">
        <v>365</v>
      </c>
      <c r="BB219">
        <v>235</v>
      </c>
      <c r="BC219" s="2">
        <v>44327</v>
      </c>
      <c r="BD219" t="s">
        <v>379</v>
      </c>
      <c r="BE219">
        <v>410000</v>
      </c>
      <c r="BF219">
        <v>355756</v>
      </c>
      <c r="BG219" t="s">
        <v>160</v>
      </c>
      <c r="BH219">
        <v>30</v>
      </c>
      <c r="BI219" t="s">
        <v>56</v>
      </c>
      <c r="BJ219" t="s">
        <v>161</v>
      </c>
      <c r="BK219">
        <v>485200</v>
      </c>
      <c r="BL219">
        <v>98500</v>
      </c>
      <c r="BM219">
        <v>386700</v>
      </c>
      <c r="BN219">
        <v>54244</v>
      </c>
      <c r="BO219">
        <v>363892.60751436866</v>
      </c>
      <c r="BP219">
        <v>438857.79232384625</v>
      </c>
      <c r="BQ219">
        <f>(Sales[[#This Row],[DP1]]*Lookups!$B$61)+(Sales[[#This Row],[DP2]]*Lookups!$B$62)+(Sales[[#This Row],[DP3]]*Lookups!$B$63)</f>
        <v>-74965.181630999999</v>
      </c>
      <c r="BR219">
        <f>Lookups!$B$58*0.6</f>
        <v>132535.48800000001</v>
      </c>
      <c r="BS219">
        <f>Lookups!$B$58*0.4</f>
        <v>88356.992000000013</v>
      </c>
      <c r="BT219">
        <f>Lookups!$B$59*Sales[[#This Row],[LnAcres]]</f>
        <v>11213.621034040569</v>
      </c>
      <c r="BU219">
        <f>VLOOKUP(Sales[[#This Row],[Qlty]],Lookups!$A$66:$E$79,2,FALSE)</f>
        <v>37154.252388000001</v>
      </c>
      <c r="BV219">
        <f>VLOOKUP(Sales[[#This Row],[Cnd]],Lookups!$A$80:$E$91,2,FALSE)</f>
        <v>30300.329274</v>
      </c>
      <c r="BW219">
        <f>Sales[[#This Row],[EffAge]]*Lookups!$B$65</f>
        <v>-1739.8576</v>
      </c>
      <c r="BX219">
        <f>Sales[[#This Row],[MainFn]]*Lookups!$B$90</f>
        <v>131810.72255999999</v>
      </c>
      <c r="BY219">
        <f>Sales[[#This Row],[UpprFn]]*Lookups!$B$91</f>
        <v>0</v>
      </c>
      <c r="BZ219">
        <f>Sales[[#This Row],[Bsmt]]*Lookups!$B$95</f>
        <v>0</v>
      </c>
      <c r="CA219">
        <f>VLOOKUP(Sales[[#This Row],[MsnryTrim]],Lookups!$A$90:$E$99,2,FALSE)</f>
        <v>-9412.7029999999995</v>
      </c>
      <c r="CB219">
        <f>Sales[[#This Row],[PrefabFP]]*Lookups!$B$92</f>
        <v>0</v>
      </c>
      <c r="CC219">
        <f>Sales[[#This Row],[AttGar]]*Lookups!$B$93</f>
        <v>18638.944368</v>
      </c>
      <c r="CD219">
        <f>Sales[[#This Row],[BltinGar]]*Lookups!$B$94</f>
        <v>0</v>
      </c>
      <c r="CE219">
        <f>SUM(Sales[[#This Row],[Days Prior Total]:[Mdl BltinGar]])</f>
        <v>363892.60739304067</v>
      </c>
      <c r="CF219">
        <f>ROUND(Sales[[#This Row],[25Det]],-2)</f>
        <v>54200</v>
      </c>
      <c r="CG219">
        <f>ROUND(SUM(Sales[[#This Row],[Mdl Qlty]:[Mdl BltinGar]])+Sales[[#This Row],[Mdl Res Intercept]]+Sales[[#This Row],[Days Prior Total]],-2)</f>
        <v>264300</v>
      </c>
      <c r="CH219">
        <f>ROUND(Sales[[#This Row],[Mdl Land Intercept]]+Sales[[#This Row],[Mdl LnAcres]],-2)</f>
        <v>99600</v>
      </c>
      <c r="CI219">
        <f>Sales[[#This Row],[Unadj Res Value]]+Sales[[#This Row],[Unadj Det Value]]+Sales[[#This Row],[Unadj Land Value]]</f>
        <v>418100</v>
      </c>
      <c r="CJ219" s="10">
        <f>Sales[[#This Row],[Price]]/Sales[[#This Row],[Unadj Total Value]]</f>
        <v>0.98062664434345848</v>
      </c>
      <c r="CK219" s="10">
        <f>(Sales[[#This Row],[Unadj Total Value]]-Sales[[#This Row],[24Final]])/Sales[[#This Row],[24Final]]</f>
        <v>-0.13829348722176421</v>
      </c>
      <c r="CL219">
        <f>VLOOKUP(Sales[[#This Row],[TNbhd]],Lookups!$M$3:$P$5,4,FALSE)</f>
        <v>0.99970000000000003</v>
      </c>
      <c r="CM219">
        <f>VLOOKUP(Sales[[#This Row],[Qlty]],Lookups!$M$8:$P$22,4,FALSE)</f>
        <v>0.99819999999999998</v>
      </c>
      <c r="CN219">
        <f>VLOOKUP(Sales[[#This Row],[Cnd]],Lookups!$R$8:$U$17,4,FALSE)</f>
        <v>0.997</v>
      </c>
      <c r="CO219">
        <f>VLOOKUP(Sales[[#This Row],[LivArea Range]],Lookups!$R$25:$U$43,4,FALSE)</f>
        <v>1.0008999999999999</v>
      </c>
      <c r="CP219">
        <f>VLOOKUP(Sales[[#This Row],[Decade]],Lookups!$M$24:$P$40,4,FALSE)</f>
        <v>0.99560000000000004</v>
      </c>
      <c r="CQ219">
        <f>Sales[[#This Row],[Nbhd Adj]]*0.95</f>
        <v>0.94971499999999998</v>
      </c>
      <c r="CR219">
        <f>Sales[[#This Row],[Nbhd Adj]]*Sales[[#This Row],[Quality Adj]]*Sales[[#This Row],[Condition Adj]]*Sales[[#This Row],[Living Area Adj]]*Sales[[#This Row],[Decade Adj]]*0.95</f>
        <v>0.94184968838386041</v>
      </c>
      <c r="CS219">
        <f>ROUND(SUM(Sales[[#This Row],[Mdl Qlty]:[Mdl BltinGar]])+Sales[[#This Row],[Mdl Res Intercept]]*Sales[[#This Row],[Res Adj ]],-2)</f>
        <v>331600</v>
      </c>
      <c r="CT219">
        <f>ROUND(Sales[[#This Row],[25Det]]*Sales[[#This Row],[Det/Nbhd Adj]],-2)</f>
        <v>51500</v>
      </c>
      <c r="CU219">
        <f>Sales[[#This Row],[Adjusted Res]]+Sales[[#This Row],[Adj Det ]]</f>
        <v>383100</v>
      </c>
      <c r="CV219">
        <f>ROUND((Sales[[#This Row],[Mdl Land Intercept]]+Sales[[#This Row],[Mdl LnAcres]])*Sales[[#This Row],[Det/Nbhd Adj]],-2)</f>
        <v>94600</v>
      </c>
      <c r="CW219">
        <f>Sales[[#This Row],[Adjusted Impr Total]]+Sales[[#This Row],[Adjusted Land Total]]</f>
        <v>477700</v>
      </c>
      <c r="CX219" s="10">
        <f>IFERROR((Sales[[#This Row],[Adjusted Impr Total]]-Sales[[#This Row],[24Bldg]])/Sales[[#This Row],[24Bldg]],0)</f>
        <v>-9.3095422808378587E-3</v>
      </c>
      <c r="CY219" s="10">
        <f>(Sales[[#This Row],[Adjusted Land Total]]-Sales[[#This Row],[24Lnd]])/Sales[[#This Row],[24Lnd]]</f>
        <v>-3.9593908629441621E-2</v>
      </c>
      <c r="CZ219">
        <f>(Sales[[#This Row],[Adjusted Total]]-Sales[[#This Row],[24Final]])/Sales[[#This Row],[24Final]]</f>
        <v>-1.5457543281121188E-2</v>
      </c>
      <c r="DA219" s="10">
        <f>(Sales[[#This Row],[Adjusted Total]]+Sales[[#This Row],[Days Prior Total]])/Sales[[#This Row],[Price]]</f>
        <v>0.98228004480243902</v>
      </c>
    </row>
    <row r="220" spans="1:105">
      <c r="A220">
        <v>2025</v>
      </c>
      <c r="B220">
        <v>20120633430</v>
      </c>
      <c r="C220">
        <v>-1.7147984280919266</v>
      </c>
      <c r="D220">
        <v>0.18</v>
      </c>
      <c r="E220">
        <v>7807</v>
      </c>
      <c r="F220">
        <v>2</v>
      </c>
      <c r="G220" t="s">
        <v>155</v>
      </c>
      <c r="H220">
        <v>317</v>
      </c>
      <c r="I220" t="s">
        <v>5</v>
      </c>
      <c r="J220" t="s">
        <v>212</v>
      </c>
      <c r="K220">
        <v>11</v>
      </c>
      <c r="L220">
        <v>259</v>
      </c>
      <c r="M220" t="s">
        <v>193</v>
      </c>
      <c r="N220" t="s">
        <v>19</v>
      </c>
      <c r="O220" t="s">
        <v>22</v>
      </c>
      <c r="P220">
        <v>2008</v>
      </c>
      <c r="Q220">
        <v>2008</v>
      </c>
      <c r="R220">
        <v>20</v>
      </c>
      <c r="S220">
        <v>16</v>
      </c>
      <c r="T220">
        <v>16</v>
      </c>
      <c r="U220">
        <v>1</v>
      </c>
      <c r="V220">
        <v>1212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1212</v>
      </c>
      <c r="AC220">
        <v>1500</v>
      </c>
      <c r="AD220">
        <v>3</v>
      </c>
      <c r="AE220" t="s">
        <v>56</v>
      </c>
      <c r="AF220" t="s">
        <v>331</v>
      </c>
      <c r="AG220" t="s">
        <v>21</v>
      </c>
      <c r="AH220" t="s">
        <v>161</v>
      </c>
      <c r="AI220">
        <v>0</v>
      </c>
      <c r="AJ220">
        <v>0</v>
      </c>
      <c r="AK220">
        <v>0</v>
      </c>
      <c r="AL220">
        <v>1</v>
      </c>
      <c r="AM220">
        <v>0</v>
      </c>
      <c r="AN220">
        <v>8</v>
      </c>
      <c r="AO220">
        <v>680</v>
      </c>
      <c r="AP220">
        <v>0</v>
      </c>
      <c r="AQ220">
        <v>0</v>
      </c>
      <c r="AR220">
        <v>0</v>
      </c>
      <c r="AS220">
        <v>144</v>
      </c>
      <c r="AT220">
        <v>0</v>
      </c>
      <c r="AU220">
        <v>100</v>
      </c>
      <c r="AV220">
        <v>100</v>
      </c>
      <c r="AW220">
        <v>233883</v>
      </c>
      <c r="AX220">
        <v>224528</v>
      </c>
      <c r="AY220">
        <v>545</v>
      </c>
      <c r="AZ220">
        <v>365</v>
      </c>
      <c r="BA220">
        <v>180</v>
      </c>
      <c r="BB220">
        <v>0</v>
      </c>
      <c r="BC220" s="2">
        <v>44747</v>
      </c>
      <c r="BD220" t="s">
        <v>380</v>
      </c>
      <c r="BE220">
        <v>385000</v>
      </c>
      <c r="BF220">
        <v>385000</v>
      </c>
      <c r="BG220" t="s">
        <v>160</v>
      </c>
      <c r="BH220">
        <v>30</v>
      </c>
      <c r="BI220" t="s">
        <v>56</v>
      </c>
      <c r="BJ220" t="s">
        <v>161</v>
      </c>
      <c r="BK220">
        <v>373600</v>
      </c>
      <c r="BL220">
        <v>62500</v>
      </c>
      <c r="BM220">
        <v>311100</v>
      </c>
      <c r="BN220">
        <v>0</v>
      </c>
      <c r="BO220">
        <v>365799.80462605349</v>
      </c>
      <c r="BP220">
        <v>374473.07107300591</v>
      </c>
      <c r="BQ220">
        <f>(Sales[[#This Row],[DP1]]*Lookups!$B$61)+(Sales[[#This Row],[DP2]]*Lookups!$B$62)+(Sales[[#This Row],[DP3]]*Lookups!$B$63)</f>
        <v>-8673.2658809999994</v>
      </c>
      <c r="BR220">
        <f>Lookups!$B$58*0.6</f>
        <v>132535.48800000001</v>
      </c>
      <c r="BS220">
        <f>Lookups!$B$58*0.4</f>
        <v>88356.992000000013</v>
      </c>
      <c r="BT220">
        <f>Lookups!$B$59*Sales[[#This Row],[LnAcres]]</f>
        <v>-22505.565020573864</v>
      </c>
      <c r="BU220">
        <f>VLOOKUP(Sales[[#This Row],[Qlty]],Lookups!$A$66:$E$79,2,FALSE)</f>
        <v>37154.252388000001</v>
      </c>
      <c r="BV220">
        <f>VLOOKUP(Sales[[#This Row],[Cnd]],Lookups!$A$80:$E$91,2,FALSE)</f>
        <v>50438.379078999998</v>
      </c>
      <c r="BW220">
        <f>Sales[[#This Row],[EffAge]]*Lookups!$B$65</f>
        <v>-1739.8576</v>
      </c>
      <c r="BX220">
        <f>Sales[[#This Row],[MainFn]]*Lookups!$B$90</f>
        <v>75641.380560000005</v>
      </c>
      <c r="BY220">
        <f>Sales[[#This Row],[UpprFn]]*Lookups!$B$91</f>
        <v>0</v>
      </c>
      <c r="BZ220">
        <f>Sales[[#This Row],[Bsmt]]*Lookups!$B$95</f>
        <v>0</v>
      </c>
      <c r="CA220">
        <f>VLOOKUP(Sales[[#This Row],[MsnryTrim]],Lookups!$A$90:$E$99,2,FALSE)</f>
        <v>-9412.7029999999995</v>
      </c>
      <c r="CB220">
        <f>Sales[[#This Row],[PrefabFP]]*Lookups!$B$92</f>
        <v>0</v>
      </c>
      <c r="CC220">
        <f>Sales[[#This Row],[AttGar]]*Lookups!$B$93</f>
        <v>24004.701080000003</v>
      </c>
      <c r="CD220">
        <f>Sales[[#This Row],[BltinGar]]*Lookups!$B$94</f>
        <v>0</v>
      </c>
      <c r="CE220">
        <f>SUM(Sales[[#This Row],[Days Prior Total]:[Mdl BltinGar]])</f>
        <v>365799.80160542624</v>
      </c>
      <c r="CF220">
        <f>ROUND(Sales[[#This Row],[25Det]],-2)</f>
        <v>0</v>
      </c>
      <c r="CG220">
        <f>ROUND(SUM(Sales[[#This Row],[Mdl Qlty]:[Mdl BltinGar]])+Sales[[#This Row],[Mdl Res Intercept]]+Sales[[#This Row],[Days Prior Total]],-2)</f>
        <v>299900</v>
      </c>
      <c r="CH220">
        <f>ROUND(Sales[[#This Row],[Mdl Land Intercept]]+Sales[[#This Row],[Mdl LnAcres]],-2)</f>
        <v>65900</v>
      </c>
      <c r="CI220">
        <f>Sales[[#This Row],[Unadj Res Value]]+Sales[[#This Row],[Unadj Det Value]]+Sales[[#This Row],[Unadj Land Value]]</f>
        <v>365800</v>
      </c>
      <c r="CJ220" s="10">
        <f>Sales[[#This Row],[Price]]/Sales[[#This Row],[Unadj Total Value]]</f>
        <v>1.0524876981957354</v>
      </c>
      <c r="CK220" s="10">
        <f>(Sales[[#This Row],[Unadj Total Value]]-Sales[[#This Row],[24Final]])/Sales[[#This Row],[24Final]]</f>
        <v>-2.08779443254818E-2</v>
      </c>
      <c r="CL220">
        <f>VLOOKUP(Sales[[#This Row],[TNbhd]],Lookups!$M$3:$P$5,4,FALSE)</f>
        <v>0.99970000000000003</v>
      </c>
      <c r="CM220">
        <f>VLOOKUP(Sales[[#This Row],[Qlty]],Lookups!$M$8:$P$22,4,FALSE)</f>
        <v>0.99819999999999998</v>
      </c>
      <c r="CN220">
        <f>VLOOKUP(Sales[[#This Row],[Cnd]],Lookups!$R$8:$U$17,4,FALSE)</f>
        <v>1.0007999999999999</v>
      </c>
      <c r="CO220">
        <f>VLOOKUP(Sales[[#This Row],[LivArea Range]],Lookups!$R$25:$U$43,4,FALSE)</f>
        <v>0.99519999999999997</v>
      </c>
      <c r="CP220">
        <f>VLOOKUP(Sales[[#This Row],[Decade]],Lookups!$M$24:$P$40,4,FALSE)</f>
        <v>0.99560000000000004</v>
      </c>
      <c r="CQ220">
        <f>Sales[[#This Row],[Nbhd Adj]]*0.95</f>
        <v>0.94971499999999998</v>
      </c>
      <c r="CR220">
        <f>Sales[[#This Row],[Nbhd Adj]]*Sales[[#This Row],[Quality Adj]]*Sales[[#This Row],[Condition Adj]]*Sales[[#This Row],[Living Area Adj]]*Sales[[#This Row],[Decade Adj]]*0.95</f>
        <v>0.94005532726416008</v>
      </c>
      <c r="CS220">
        <f>ROUND(SUM(Sales[[#This Row],[Mdl Qlty]:[Mdl BltinGar]])+Sales[[#This Row],[Mdl Res Intercept]]*Sales[[#This Row],[Res Adj ]],-2)</f>
        <v>300700</v>
      </c>
      <c r="CT220">
        <f>ROUND(Sales[[#This Row],[25Det]]*Sales[[#This Row],[Det/Nbhd Adj]],-2)</f>
        <v>0</v>
      </c>
      <c r="CU220">
        <f>Sales[[#This Row],[Adjusted Res]]+Sales[[#This Row],[Adj Det ]]</f>
        <v>300700</v>
      </c>
      <c r="CV220">
        <f>ROUND((Sales[[#This Row],[Mdl Land Intercept]]+Sales[[#This Row],[Mdl LnAcres]])*Sales[[#This Row],[Det/Nbhd Adj]],-2)</f>
        <v>62500</v>
      </c>
      <c r="CW220">
        <f>Sales[[#This Row],[Adjusted Impr Total]]+Sales[[#This Row],[Adjusted Land Total]]</f>
        <v>363200</v>
      </c>
      <c r="CX220" s="10">
        <f>IFERROR((Sales[[#This Row],[Adjusted Impr Total]]-Sales[[#This Row],[24Bldg]])/Sales[[#This Row],[24Bldg]],0)</f>
        <v>-3.3429765348762457E-2</v>
      </c>
      <c r="CY220" s="10">
        <f>(Sales[[#This Row],[Adjusted Land Total]]-Sales[[#This Row],[24Lnd]])/Sales[[#This Row],[24Lnd]]</f>
        <v>0</v>
      </c>
      <c r="CZ220">
        <f>(Sales[[#This Row],[Adjusted Total]]-Sales[[#This Row],[24Final]])/Sales[[#This Row],[24Final]]</f>
        <v>-2.7837259100642397E-2</v>
      </c>
      <c r="DA220" s="10">
        <f>(Sales[[#This Row],[Adjusted Total]]+Sales[[#This Row],[Days Prior Total]])/Sales[[#This Row],[Price]]</f>
        <v>0.92084866004935073</v>
      </c>
    </row>
    <row r="221" spans="1:105">
      <c r="A221">
        <v>2025</v>
      </c>
      <c r="B221">
        <v>19120112413</v>
      </c>
      <c r="C221">
        <v>-1.8325814637483102</v>
      </c>
      <c r="D221">
        <v>0.16</v>
      </c>
      <c r="E221">
        <v>7041</v>
      </c>
      <c r="F221">
        <v>2</v>
      </c>
      <c r="G221" t="s">
        <v>155</v>
      </c>
      <c r="H221">
        <v>317</v>
      </c>
      <c r="I221" t="s">
        <v>5</v>
      </c>
      <c r="J221" t="s">
        <v>212</v>
      </c>
      <c r="K221">
        <v>11</v>
      </c>
      <c r="L221">
        <v>259</v>
      </c>
      <c r="M221" t="s">
        <v>157</v>
      </c>
      <c r="N221" t="s">
        <v>21</v>
      </c>
      <c r="O221" t="s">
        <v>20</v>
      </c>
      <c r="P221">
        <v>2007</v>
      </c>
      <c r="Q221">
        <v>2007</v>
      </c>
      <c r="R221">
        <v>20</v>
      </c>
      <c r="S221">
        <v>17</v>
      </c>
      <c r="T221">
        <v>17</v>
      </c>
      <c r="U221">
        <v>2</v>
      </c>
      <c r="V221">
        <v>1116</v>
      </c>
      <c r="W221">
        <v>1116</v>
      </c>
      <c r="X221">
        <v>0</v>
      </c>
      <c r="Y221">
        <v>0</v>
      </c>
      <c r="Z221">
        <v>0</v>
      </c>
      <c r="AA221">
        <v>0</v>
      </c>
      <c r="AB221">
        <v>2232</v>
      </c>
      <c r="AC221">
        <v>2500</v>
      </c>
      <c r="AD221">
        <v>2</v>
      </c>
      <c r="AE221" t="s">
        <v>56</v>
      </c>
      <c r="AF221" t="s">
        <v>331</v>
      </c>
      <c r="AG221" t="s">
        <v>21</v>
      </c>
      <c r="AH221" t="s">
        <v>161</v>
      </c>
      <c r="AI221">
        <v>0</v>
      </c>
      <c r="AJ221">
        <v>0</v>
      </c>
      <c r="AK221">
        <v>0</v>
      </c>
      <c r="AL221">
        <v>0</v>
      </c>
      <c r="AM221">
        <v>1</v>
      </c>
      <c r="AN221">
        <v>13</v>
      </c>
      <c r="AO221">
        <v>440</v>
      </c>
      <c r="AP221">
        <v>0</v>
      </c>
      <c r="AQ221">
        <v>0</v>
      </c>
      <c r="AR221">
        <v>0</v>
      </c>
      <c r="AS221">
        <v>100</v>
      </c>
      <c r="AT221">
        <v>0</v>
      </c>
      <c r="AU221">
        <v>100</v>
      </c>
      <c r="AV221">
        <v>100</v>
      </c>
      <c r="AW221">
        <v>396621</v>
      </c>
      <c r="AX221">
        <v>372824</v>
      </c>
      <c r="AY221">
        <v>994</v>
      </c>
      <c r="AZ221">
        <v>365</v>
      </c>
      <c r="BA221">
        <v>365</v>
      </c>
      <c r="BB221">
        <v>264</v>
      </c>
      <c r="BC221" s="2">
        <v>44298</v>
      </c>
      <c r="BD221" t="s">
        <v>381</v>
      </c>
      <c r="BE221">
        <v>300000</v>
      </c>
      <c r="BF221">
        <v>300000</v>
      </c>
      <c r="BG221" t="s">
        <v>160</v>
      </c>
      <c r="BH221">
        <v>30</v>
      </c>
      <c r="BI221" t="s">
        <v>56</v>
      </c>
      <c r="BJ221" t="s">
        <v>161</v>
      </c>
      <c r="BK221">
        <v>397100</v>
      </c>
      <c r="BL221">
        <v>60800</v>
      </c>
      <c r="BM221">
        <v>336300</v>
      </c>
      <c r="BN221">
        <v>0</v>
      </c>
      <c r="BO221">
        <v>318865.95020583342</v>
      </c>
      <c r="BP221">
        <v>400472.11786436732</v>
      </c>
      <c r="BQ221">
        <f>(Sales[[#This Row],[DP1]]*Lookups!$B$61)+(Sales[[#This Row],[DP2]]*Lookups!$B$62)+(Sales[[#This Row],[DP3]]*Lookups!$B$63)</f>
        <v>-81606.164231000002</v>
      </c>
      <c r="BR221">
        <f>Lookups!$B$58*0.6</f>
        <v>132535.48800000001</v>
      </c>
      <c r="BS221">
        <f>Lookups!$B$58*0.4</f>
        <v>88356.992000000013</v>
      </c>
      <c r="BT221">
        <f>Lookups!$B$59*Sales[[#This Row],[LnAcres]]</f>
        <v>-24051.387388882686</v>
      </c>
      <c r="BU221">
        <f>VLOOKUP(Sales[[#This Row],[Qlty]],Lookups!$A$66:$E$79,2,FALSE)</f>
        <v>32917.849192000001</v>
      </c>
      <c r="BV221">
        <f>VLOOKUP(Sales[[#This Row],[Cnd]],Lookups!$A$80:$E$91,2,FALSE)</f>
        <v>30300.329274</v>
      </c>
      <c r="BW221">
        <f>Sales[[#This Row],[EffAge]]*Lookups!$B$65</f>
        <v>-1848.5987</v>
      </c>
      <c r="BX221">
        <f>Sales[[#This Row],[MainFn]]*Lookups!$B$90</f>
        <v>69649.984080000009</v>
      </c>
      <c r="BY221">
        <f>Sales[[#This Row],[UpprFn]]*Lookups!$B$91</f>
        <v>66491.707427999994</v>
      </c>
      <c r="BZ221">
        <f>Sales[[#This Row],[Bsmt]]*Lookups!$B$95</f>
        <v>0</v>
      </c>
      <c r="CA221">
        <f>VLOOKUP(Sales[[#This Row],[MsnryTrim]],Lookups!$A$90:$E$99,2,FALSE)</f>
        <v>-9412.7029999999995</v>
      </c>
      <c r="CB221">
        <f>Sales[[#This Row],[PrefabFP]]*Lookups!$B$92</f>
        <v>0</v>
      </c>
      <c r="CC221">
        <f>Sales[[#This Row],[AttGar]]*Lookups!$B$93</f>
        <v>15532.453640000002</v>
      </c>
      <c r="CD221">
        <f>Sales[[#This Row],[BltinGar]]*Lookups!$B$94</f>
        <v>0</v>
      </c>
      <c r="CE221">
        <f>SUM(Sales[[#This Row],[Days Prior Total]:[Mdl BltinGar]])</f>
        <v>318865.95029411739</v>
      </c>
      <c r="CF221">
        <f>ROUND(Sales[[#This Row],[25Det]],-2)</f>
        <v>0</v>
      </c>
      <c r="CG221">
        <f>ROUND(SUM(Sales[[#This Row],[Mdl Qlty]:[Mdl BltinGar]])+Sales[[#This Row],[Mdl Res Intercept]]+Sales[[#This Row],[Days Prior Total]],-2)</f>
        <v>254600</v>
      </c>
      <c r="CH221">
        <f>ROUND(Sales[[#This Row],[Mdl Land Intercept]]+Sales[[#This Row],[Mdl LnAcres]],-2)</f>
        <v>64300</v>
      </c>
      <c r="CI221">
        <f>Sales[[#This Row],[Unadj Res Value]]+Sales[[#This Row],[Unadj Det Value]]+Sales[[#This Row],[Unadj Land Value]]</f>
        <v>318900</v>
      </c>
      <c r="CJ221" s="10">
        <f>Sales[[#This Row],[Price]]/Sales[[#This Row],[Unadj Total Value]]</f>
        <v>0.94073377234242705</v>
      </c>
      <c r="CK221" s="10">
        <f>(Sales[[#This Row],[Unadj Total Value]]-Sales[[#This Row],[24Final]])/Sales[[#This Row],[24Final]]</f>
        <v>-0.19692772601359859</v>
      </c>
      <c r="CL221">
        <f>VLOOKUP(Sales[[#This Row],[TNbhd]],Lookups!$M$3:$P$5,4,FALSE)</f>
        <v>0.99970000000000003</v>
      </c>
      <c r="CM221">
        <f>VLOOKUP(Sales[[#This Row],[Qlty]],Lookups!$M$8:$P$22,4,FALSE)</f>
        <v>1.0019</v>
      </c>
      <c r="CN221">
        <f>VLOOKUP(Sales[[#This Row],[Cnd]],Lookups!$R$8:$U$17,4,FALSE)</f>
        <v>0.997</v>
      </c>
      <c r="CO221">
        <f>VLOOKUP(Sales[[#This Row],[LivArea Range]],Lookups!$R$25:$U$43,4,FALSE)</f>
        <v>1.0008999999999999</v>
      </c>
      <c r="CP221">
        <f>VLOOKUP(Sales[[#This Row],[Decade]],Lookups!$M$24:$P$40,4,FALSE)</f>
        <v>0.99560000000000004</v>
      </c>
      <c r="CQ221">
        <f>Sales[[#This Row],[Nbhd Adj]]*0.95</f>
        <v>0.94971499999999998</v>
      </c>
      <c r="CR221">
        <f>Sales[[#This Row],[Nbhd Adj]]*Sales[[#This Row],[Quality Adj]]*Sales[[#This Row],[Condition Adj]]*Sales[[#This Row],[Living Area Adj]]*Sales[[#This Row],[Decade Adj]]*0.95</f>
        <v>0.94534081626105959</v>
      </c>
      <c r="CS221">
        <f>ROUND(SUM(Sales[[#This Row],[Mdl Qlty]:[Mdl BltinGar]])+Sales[[#This Row],[Mdl Res Intercept]]*Sales[[#This Row],[Res Adj ]],-2)</f>
        <v>328900</v>
      </c>
      <c r="CT221">
        <f>ROUND(Sales[[#This Row],[25Det]]*Sales[[#This Row],[Det/Nbhd Adj]],-2)</f>
        <v>0</v>
      </c>
      <c r="CU221">
        <f>Sales[[#This Row],[Adjusted Res]]+Sales[[#This Row],[Adj Det ]]</f>
        <v>328900</v>
      </c>
      <c r="CV221">
        <f>ROUND((Sales[[#This Row],[Mdl Land Intercept]]+Sales[[#This Row],[Mdl LnAcres]])*Sales[[#This Row],[Det/Nbhd Adj]],-2)</f>
        <v>61100</v>
      </c>
      <c r="CW221">
        <f>Sales[[#This Row],[Adjusted Impr Total]]+Sales[[#This Row],[Adjusted Land Total]]</f>
        <v>390000</v>
      </c>
      <c r="CX221" s="10">
        <f>IFERROR((Sales[[#This Row],[Adjusted Impr Total]]-Sales[[#This Row],[24Bldg]])/Sales[[#This Row],[24Bldg]],0)</f>
        <v>-2.200416294974725E-2</v>
      </c>
      <c r="CY221" s="10">
        <f>(Sales[[#This Row],[Adjusted Land Total]]-Sales[[#This Row],[24Lnd]])/Sales[[#This Row],[24Lnd]]</f>
        <v>4.9342105263157892E-3</v>
      </c>
      <c r="CZ221">
        <f>(Sales[[#This Row],[Adjusted Total]]-Sales[[#This Row],[24Final]])/Sales[[#This Row],[24Final]]</f>
        <v>-1.7879627297909845E-2</v>
      </c>
      <c r="DA221" s="10">
        <f>(Sales[[#This Row],[Adjusted Total]]+Sales[[#This Row],[Days Prior Total]])/Sales[[#This Row],[Price]]</f>
        <v>1.0279794525633332</v>
      </c>
    </row>
    <row r="222" spans="1:105">
      <c r="A222">
        <v>2025</v>
      </c>
      <c r="B222">
        <v>19120112423</v>
      </c>
      <c r="C222">
        <v>-1.8325814637483102</v>
      </c>
      <c r="D222">
        <v>0.16</v>
      </c>
      <c r="E222">
        <v>6875</v>
      </c>
      <c r="F222">
        <v>2</v>
      </c>
      <c r="G222" t="s">
        <v>155</v>
      </c>
      <c r="H222">
        <v>317</v>
      </c>
      <c r="I222" t="s">
        <v>5</v>
      </c>
      <c r="J222" t="s">
        <v>212</v>
      </c>
      <c r="K222">
        <v>11</v>
      </c>
      <c r="L222">
        <v>259</v>
      </c>
      <c r="M222" t="s">
        <v>193</v>
      </c>
      <c r="N222" t="s">
        <v>19</v>
      </c>
      <c r="O222" t="s">
        <v>18</v>
      </c>
      <c r="P222">
        <v>2007</v>
      </c>
      <c r="Q222">
        <v>2007</v>
      </c>
      <c r="R222">
        <v>20</v>
      </c>
      <c r="S222">
        <v>17</v>
      </c>
      <c r="T222">
        <v>17</v>
      </c>
      <c r="U222">
        <v>1</v>
      </c>
      <c r="V222">
        <v>1536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1536</v>
      </c>
      <c r="AC222">
        <v>2000</v>
      </c>
      <c r="AD222">
        <v>2</v>
      </c>
      <c r="AE222" t="s">
        <v>57</v>
      </c>
      <c r="AF222" t="s">
        <v>331</v>
      </c>
      <c r="AG222" t="s">
        <v>21</v>
      </c>
      <c r="AH222" t="s">
        <v>161</v>
      </c>
      <c r="AI222">
        <v>0</v>
      </c>
      <c r="AJ222">
        <v>0</v>
      </c>
      <c r="AK222">
        <v>0</v>
      </c>
      <c r="AL222">
        <v>1</v>
      </c>
      <c r="AM222">
        <v>0</v>
      </c>
      <c r="AN222">
        <v>8</v>
      </c>
      <c r="AO222">
        <v>440</v>
      </c>
      <c r="AP222">
        <v>0</v>
      </c>
      <c r="AQ222">
        <v>0</v>
      </c>
      <c r="AR222">
        <v>0</v>
      </c>
      <c r="AS222">
        <v>144</v>
      </c>
      <c r="AT222">
        <v>0</v>
      </c>
      <c r="AU222">
        <v>100</v>
      </c>
      <c r="AV222">
        <v>100</v>
      </c>
      <c r="AW222">
        <v>269841</v>
      </c>
      <c r="AX222">
        <v>248254</v>
      </c>
      <c r="AY222">
        <v>976</v>
      </c>
      <c r="AZ222">
        <v>365</v>
      </c>
      <c r="BA222">
        <v>365</v>
      </c>
      <c r="BB222">
        <v>246</v>
      </c>
      <c r="BC222" s="2">
        <v>44316</v>
      </c>
      <c r="BD222" t="s">
        <v>382</v>
      </c>
      <c r="BE222">
        <v>300000</v>
      </c>
      <c r="BF222">
        <v>300000</v>
      </c>
      <c r="BG222" t="s">
        <v>160</v>
      </c>
      <c r="BH222">
        <v>30</v>
      </c>
      <c r="BI222" t="s">
        <v>56</v>
      </c>
      <c r="BJ222" t="s">
        <v>161</v>
      </c>
      <c r="BK222">
        <v>356100</v>
      </c>
      <c r="BL222">
        <v>60800</v>
      </c>
      <c r="BM222">
        <v>295300</v>
      </c>
      <c r="BN222">
        <v>0</v>
      </c>
      <c r="BO222">
        <v>287931.36895986256</v>
      </c>
      <c r="BP222">
        <v>365415.54726380995</v>
      </c>
      <c r="BQ222">
        <f>(Sales[[#This Row],[DP1]]*Lookups!$B$61)+(Sales[[#This Row],[DP2]]*Lookups!$B$62)+(Sales[[#This Row],[DP3]]*Lookups!$B$63)</f>
        <v>-77484.175031000006</v>
      </c>
      <c r="BR222">
        <f>Lookups!$B$58*0.6</f>
        <v>132535.48800000001</v>
      </c>
      <c r="BS222">
        <f>Lookups!$B$58*0.4</f>
        <v>88356.992000000013</v>
      </c>
      <c r="BT222">
        <f>Lookups!$B$59*Sales[[#This Row],[LnAcres]]</f>
        <v>-24051.387388882686</v>
      </c>
      <c r="BU222">
        <f>VLOOKUP(Sales[[#This Row],[Qlty]],Lookups!$A$66:$E$79,2,FALSE)</f>
        <v>37154.252388000001</v>
      </c>
      <c r="BV222">
        <f>VLOOKUP(Sales[[#This Row],[Cnd]],Lookups!$A$80:$E$91,2,FALSE)</f>
        <v>17761.121909000001</v>
      </c>
      <c r="BW222">
        <f>Sales[[#This Row],[EffAge]]*Lookups!$B$65</f>
        <v>-1848.5987</v>
      </c>
      <c r="BX222">
        <f>Sales[[#This Row],[MainFn]]*Lookups!$B$90</f>
        <v>95862.343680000005</v>
      </c>
      <c r="BY222">
        <f>Sales[[#This Row],[UpprFn]]*Lookups!$B$91</f>
        <v>0</v>
      </c>
      <c r="BZ222">
        <f>Sales[[#This Row],[Bsmt]]*Lookups!$B$95</f>
        <v>0</v>
      </c>
      <c r="CA222">
        <f>VLOOKUP(Sales[[#This Row],[MsnryTrim]],Lookups!$A$90:$E$99,2,FALSE)</f>
        <v>4112.8784489</v>
      </c>
      <c r="CB222">
        <f>Sales[[#This Row],[PrefabFP]]*Lookups!$B$92</f>
        <v>0</v>
      </c>
      <c r="CC222">
        <f>Sales[[#This Row],[AttGar]]*Lookups!$B$93</f>
        <v>15532.453640000002</v>
      </c>
      <c r="CD222">
        <f>Sales[[#This Row],[BltinGar]]*Lookups!$B$94</f>
        <v>0</v>
      </c>
      <c r="CE222">
        <f>SUM(Sales[[#This Row],[Days Prior Total]:[Mdl BltinGar]])</f>
        <v>287931.36894601735</v>
      </c>
      <c r="CF222">
        <f>ROUND(Sales[[#This Row],[25Det]],-2)</f>
        <v>0</v>
      </c>
      <c r="CG222">
        <f>ROUND(SUM(Sales[[#This Row],[Mdl Qlty]:[Mdl BltinGar]])+Sales[[#This Row],[Mdl Res Intercept]]+Sales[[#This Row],[Days Prior Total]],-2)</f>
        <v>223600</v>
      </c>
      <c r="CH222">
        <f>ROUND(Sales[[#This Row],[Mdl Land Intercept]]+Sales[[#This Row],[Mdl LnAcres]],-2)</f>
        <v>64300</v>
      </c>
      <c r="CI222">
        <f>Sales[[#This Row],[Unadj Res Value]]+Sales[[#This Row],[Unadj Det Value]]+Sales[[#This Row],[Unadj Land Value]]</f>
        <v>287900</v>
      </c>
      <c r="CJ222" s="10">
        <f>Sales[[#This Row],[Price]]/Sales[[#This Row],[Unadj Total Value]]</f>
        <v>1.0420284821118444</v>
      </c>
      <c r="CK222" s="10">
        <f>(Sales[[#This Row],[Unadj Total Value]]-Sales[[#This Row],[24Final]])/Sales[[#This Row],[24Final]]</f>
        <v>-0.19151923616961528</v>
      </c>
      <c r="CL222">
        <f>VLOOKUP(Sales[[#This Row],[TNbhd]],Lookups!$M$3:$P$5,4,FALSE)</f>
        <v>0.99970000000000003</v>
      </c>
      <c r="CM222">
        <f>VLOOKUP(Sales[[#This Row],[Qlty]],Lookups!$M$8:$P$22,4,FALSE)</f>
        <v>0.99819999999999998</v>
      </c>
      <c r="CN222">
        <f>VLOOKUP(Sales[[#This Row],[Cnd]],Lookups!$R$8:$U$17,4,FALSE)</f>
        <v>0.99680000000000002</v>
      </c>
      <c r="CO222">
        <f>VLOOKUP(Sales[[#This Row],[LivArea Range]],Lookups!$R$25:$U$43,4,FALSE)</f>
        <v>1.0007999999999999</v>
      </c>
      <c r="CP222">
        <f>VLOOKUP(Sales[[#This Row],[Decade]],Lookups!$M$24:$P$40,4,FALSE)</f>
        <v>0.99560000000000004</v>
      </c>
      <c r="CQ222">
        <f>Sales[[#This Row],[Nbhd Adj]]*0.95</f>
        <v>0.94971499999999998</v>
      </c>
      <c r="CR222">
        <f>Sales[[#This Row],[Nbhd Adj]]*Sales[[#This Row],[Quality Adj]]*Sales[[#This Row],[Condition Adj]]*Sales[[#This Row],[Living Area Adj]]*Sales[[#This Row],[Decade Adj]]*0.95</f>
        <v>0.94156667023403817</v>
      </c>
      <c r="CS222">
        <f>ROUND(SUM(Sales[[#This Row],[Mdl Qlty]:[Mdl BltinGar]])+Sales[[#This Row],[Mdl Res Intercept]]*Sales[[#This Row],[Res Adj ]],-2)</f>
        <v>293400</v>
      </c>
      <c r="CT222">
        <f>ROUND(Sales[[#This Row],[25Det]]*Sales[[#This Row],[Det/Nbhd Adj]],-2)</f>
        <v>0</v>
      </c>
      <c r="CU222">
        <f>Sales[[#This Row],[Adjusted Res]]+Sales[[#This Row],[Adj Det ]]</f>
        <v>293400</v>
      </c>
      <c r="CV222">
        <f>ROUND((Sales[[#This Row],[Mdl Land Intercept]]+Sales[[#This Row],[Mdl LnAcres]])*Sales[[#This Row],[Det/Nbhd Adj]],-2)</f>
        <v>61100</v>
      </c>
      <c r="CW222">
        <f>Sales[[#This Row],[Adjusted Impr Total]]+Sales[[#This Row],[Adjusted Land Total]]</f>
        <v>354500</v>
      </c>
      <c r="CX222" s="10">
        <f>IFERROR((Sales[[#This Row],[Adjusted Impr Total]]-Sales[[#This Row],[24Bldg]])/Sales[[#This Row],[24Bldg]],0)</f>
        <v>-6.4341347781916693E-3</v>
      </c>
      <c r="CY222" s="10">
        <f>(Sales[[#This Row],[Adjusted Land Total]]-Sales[[#This Row],[24Lnd]])/Sales[[#This Row],[24Lnd]]</f>
        <v>4.9342105263157892E-3</v>
      </c>
      <c r="CZ222">
        <f>(Sales[[#This Row],[Adjusted Total]]-Sales[[#This Row],[24Final]])/Sales[[#This Row],[24Final]]</f>
        <v>-4.4931199101376018E-3</v>
      </c>
      <c r="DA222" s="10">
        <f>(Sales[[#This Row],[Adjusted Total]]+Sales[[#This Row],[Days Prior Total]])/Sales[[#This Row],[Price]]</f>
        <v>0.92338608323000004</v>
      </c>
    </row>
    <row r="223" spans="1:105">
      <c r="A223">
        <v>2025</v>
      </c>
      <c r="B223">
        <v>19120112435</v>
      </c>
      <c r="C223">
        <v>-1.8325814637483102</v>
      </c>
      <c r="D223">
        <v>0.16</v>
      </c>
      <c r="E223">
        <v>6989</v>
      </c>
      <c r="F223">
        <v>2</v>
      </c>
      <c r="G223" t="s">
        <v>155</v>
      </c>
      <c r="H223">
        <v>317</v>
      </c>
      <c r="I223" t="s">
        <v>5</v>
      </c>
      <c r="J223" t="s">
        <v>212</v>
      </c>
      <c r="K223">
        <v>11</v>
      </c>
      <c r="L223">
        <v>259</v>
      </c>
      <c r="M223" t="s">
        <v>157</v>
      </c>
      <c r="N223" t="s">
        <v>19</v>
      </c>
      <c r="O223" t="s">
        <v>20</v>
      </c>
      <c r="P223">
        <v>2007</v>
      </c>
      <c r="Q223">
        <v>2007</v>
      </c>
      <c r="R223">
        <v>20</v>
      </c>
      <c r="S223">
        <v>17</v>
      </c>
      <c r="T223">
        <v>17</v>
      </c>
      <c r="U223">
        <v>2</v>
      </c>
      <c r="V223">
        <v>1374</v>
      </c>
      <c r="W223">
        <v>1344</v>
      </c>
      <c r="X223">
        <v>0</v>
      </c>
      <c r="Y223">
        <v>0</v>
      </c>
      <c r="Z223">
        <v>0</v>
      </c>
      <c r="AA223">
        <v>0</v>
      </c>
      <c r="AB223">
        <v>2718</v>
      </c>
      <c r="AC223">
        <v>3000</v>
      </c>
      <c r="AD223">
        <v>3</v>
      </c>
      <c r="AE223" t="s">
        <v>56</v>
      </c>
      <c r="AF223" t="s">
        <v>331</v>
      </c>
      <c r="AG223" t="s">
        <v>21</v>
      </c>
      <c r="AH223" t="s">
        <v>161</v>
      </c>
      <c r="AI223">
        <v>0</v>
      </c>
      <c r="AJ223">
        <v>0</v>
      </c>
      <c r="AK223">
        <v>0</v>
      </c>
      <c r="AL223">
        <v>0</v>
      </c>
      <c r="AM223">
        <v>1</v>
      </c>
      <c r="AN223">
        <v>18</v>
      </c>
      <c r="AO223">
        <v>240</v>
      </c>
      <c r="AP223">
        <v>502</v>
      </c>
      <c r="AQ223">
        <v>0</v>
      </c>
      <c r="AR223">
        <v>0</v>
      </c>
      <c r="AS223">
        <v>504</v>
      </c>
      <c r="AT223">
        <v>0</v>
      </c>
      <c r="AU223">
        <v>100</v>
      </c>
      <c r="AV223">
        <v>100</v>
      </c>
      <c r="AW223">
        <v>433920</v>
      </c>
      <c r="AX223">
        <v>407885</v>
      </c>
      <c r="AY223">
        <v>304</v>
      </c>
      <c r="AZ223">
        <v>304</v>
      </c>
      <c r="BA223">
        <v>0</v>
      </c>
      <c r="BB223">
        <v>0</v>
      </c>
      <c r="BC223" s="2">
        <v>44988</v>
      </c>
      <c r="BD223" t="s">
        <v>383</v>
      </c>
      <c r="BE223">
        <v>430000</v>
      </c>
      <c r="BF223">
        <v>430000</v>
      </c>
      <c r="BG223" t="s">
        <v>160</v>
      </c>
      <c r="BH223">
        <v>30</v>
      </c>
      <c r="BI223" t="s">
        <v>56</v>
      </c>
      <c r="BJ223" t="s">
        <v>161</v>
      </c>
      <c r="BK223">
        <v>436000</v>
      </c>
      <c r="BL223">
        <v>60800</v>
      </c>
      <c r="BM223">
        <v>375200</v>
      </c>
      <c r="BN223">
        <v>0</v>
      </c>
      <c r="BO223">
        <v>455018.94172918104</v>
      </c>
      <c r="BP223">
        <v>452131.71369653917</v>
      </c>
      <c r="BQ223">
        <f>(Sales[[#This Row],[DP1]]*Lookups!$B$61)+(Sales[[#This Row],[DP2]]*Lookups!$B$62)+(Sales[[#This Row],[DP3]]*Lookups!$B$63)</f>
        <v>2887.2280224000001</v>
      </c>
      <c r="BR223">
        <f>Lookups!$B$58*0.6</f>
        <v>132535.48800000001</v>
      </c>
      <c r="BS223">
        <f>Lookups!$B$58*0.4</f>
        <v>88356.992000000013</v>
      </c>
      <c r="BT223">
        <f>Lookups!$B$59*Sales[[#This Row],[LnAcres]]</f>
        <v>-24051.387388882686</v>
      </c>
      <c r="BU223">
        <f>VLOOKUP(Sales[[#This Row],[Qlty]],Lookups!$A$66:$E$79,2,FALSE)</f>
        <v>37154.252388000001</v>
      </c>
      <c r="BV223">
        <f>VLOOKUP(Sales[[#This Row],[Cnd]],Lookups!$A$80:$E$91,2,FALSE)</f>
        <v>30300.329274</v>
      </c>
      <c r="BW223">
        <f>Sales[[#This Row],[EffAge]]*Lookups!$B$65</f>
        <v>-1848.5987</v>
      </c>
      <c r="BX223">
        <f>Sales[[#This Row],[MainFn]]*Lookups!$B$90</f>
        <v>85751.862120000005</v>
      </c>
      <c r="BY223">
        <f>Sales[[#This Row],[UpprFn]]*Lookups!$B$91</f>
        <v>80076.034751999992</v>
      </c>
      <c r="BZ223">
        <f>Sales[[#This Row],[Bsmt]]*Lookups!$B$95</f>
        <v>0</v>
      </c>
      <c r="CA223">
        <f>VLOOKUP(Sales[[#This Row],[MsnryTrim]],Lookups!$A$90:$E$99,2,FALSE)</f>
        <v>-9412.7029999999995</v>
      </c>
      <c r="CB223">
        <f>Sales[[#This Row],[PrefabFP]]*Lookups!$B$92</f>
        <v>0</v>
      </c>
      <c r="CC223">
        <f>Sales[[#This Row],[AttGar]]*Lookups!$B$93</f>
        <v>8472.247440000001</v>
      </c>
      <c r="CD223">
        <f>Sales[[#This Row],[BltinGar]]*Lookups!$B$94</f>
        <v>24797.193599999999</v>
      </c>
      <c r="CE223">
        <f>SUM(Sales[[#This Row],[Days Prior Total]:[Mdl BltinGar]])</f>
        <v>455018.93850751739</v>
      </c>
      <c r="CF223">
        <f>ROUND(Sales[[#This Row],[25Det]],-2)</f>
        <v>0</v>
      </c>
      <c r="CG223">
        <f>ROUND(SUM(Sales[[#This Row],[Mdl Qlty]:[Mdl BltinGar]])+Sales[[#This Row],[Mdl Res Intercept]]+Sales[[#This Row],[Days Prior Total]],-2)</f>
        <v>390700</v>
      </c>
      <c r="CH223">
        <f>ROUND(Sales[[#This Row],[Mdl Land Intercept]]+Sales[[#This Row],[Mdl LnAcres]],-2)</f>
        <v>64300</v>
      </c>
      <c r="CI223">
        <f>Sales[[#This Row],[Unadj Res Value]]+Sales[[#This Row],[Unadj Det Value]]+Sales[[#This Row],[Unadj Land Value]]</f>
        <v>455000</v>
      </c>
      <c r="CJ223" s="10">
        <f>Sales[[#This Row],[Price]]/Sales[[#This Row],[Unadj Total Value]]</f>
        <v>0.94505494505494503</v>
      </c>
      <c r="CK223" s="10">
        <f>(Sales[[#This Row],[Unadj Total Value]]-Sales[[#This Row],[24Final]])/Sales[[#This Row],[24Final]]</f>
        <v>4.3577981651376149E-2</v>
      </c>
      <c r="CL223">
        <f>VLOOKUP(Sales[[#This Row],[TNbhd]],Lookups!$M$3:$P$5,4,FALSE)</f>
        <v>0.99970000000000003</v>
      </c>
      <c r="CM223">
        <f>VLOOKUP(Sales[[#This Row],[Qlty]],Lookups!$M$8:$P$22,4,FALSE)</f>
        <v>0.99819999999999998</v>
      </c>
      <c r="CN223">
        <f>VLOOKUP(Sales[[#This Row],[Cnd]],Lookups!$R$8:$U$17,4,FALSE)</f>
        <v>0.997</v>
      </c>
      <c r="CO223">
        <f>VLOOKUP(Sales[[#This Row],[LivArea Range]],Lookups!$R$25:$U$43,4,FALSE)</f>
        <v>1.0099</v>
      </c>
      <c r="CP223">
        <f>VLOOKUP(Sales[[#This Row],[Decade]],Lookups!$M$24:$P$40,4,FALSE)</f>
        <v>0.99560000000000004</v>
      </c>
      <c r="CQ223">
        <f>Sales[[#This Row],[Nbhd Adj]]*0.95</f>
        <v>0.94971499999999998</v>
      </c>
      <c r="CR223">
        <f>Sales[[#This Row],[Nbhd Adj]]*Sales[[#This Row],[Quality Adj]]*Sales[[#This Row],[Condition Adj]]*Sales[[#This Row],[Living Area Adj]]*Sales[[#This Row],[Decade Adj]]*0.95</f>
        <v>0.95031871345674979</v>
      </c>
      <c r="CS223">
        <f>ROUND(SUM(Sales[[#This Row],[Mdl Qlty]:[Mdl BltinGar]])+Sales[[#This Row],[Mdl Res Intercept]]*Sales[[#This Row],[Res Adj ]],-2)</f>
        <v>381200</v>
      </c>
      <c r="CT223">
        <f>ROUND(Sales[[#This Row],[25Det]]*Sales[[#This Row],[Det/Nbhd Adj]],-2)</f>
        <v>0</v>
      </c>
      <c r="CU223">
        <f>Sales[[#This Row],[Adjusted Res]]+Sales[[#This Row],[Adj Det ]]</f>
        <v>381200</v>
      </c>
      <c r="CV223">
        <f>ROUND((Sales[[#This Row],[Mdl Land Intercept]]+Sales[[#This Row],[Mdl LnAcres]])*Sales[[#This Row],[Det/Nbhd Adj]],-2)</f>
        <v>61100</v>
      </c>
      <c r="CW223">
        <f>Sales[[#This Row],[Adjusted Impr Total]]+Sales[[#This Row],[Adjusted Land Total]]</f>
        <v>442300</v>
      </c>
      <c r="CX223" s="10">
        <f>IFERROR((Sales[[#This Row],[Adjusted Impr Total]]-Sales[[#This Row],[24Bldg]])/Sales[[#This Row],[24Bldg]],0)</f>
        <v>1.5991471215351813E-2</v>
      </c>
      <c r="CY223" s="10">
        <f>(Sales[[#This Row],[Adjusted Land Total]]-Sales[[#This Row],[24Lnd]])/Sales[[#This Row],[24Lnd]]</f>
        <v>4.9342105263157892E-3</v>
      </c>
      <c r="CZ223">
        <f>(Sales[[#This Row],[Adjusted Total]]-Sales[[#This Row],[24Final]])/Sales[[#This Row],[24Final]]</f>
        <v>1.4449541284403671E-2</v>
      </c>
      <c r="DA223" s="10">
        <f>(Sales[[#This Row],[Adjusted Total]]+Sales[[#This Row],[Days Prior Total]])/Sales[[#This Row],[Price]]</f>
        <v>1.035319134935814</v>
      </c>
    </row>
    <row r="224" spans="1:105">
      <c r="A224">
        <v>2025</v>
      </c>
      <c r="B224">
        <v>19120112435</v>
      </c>
      <c r="C224">
        <v>-1.8325814637483102</v>
      </c>
      <c r="D224">
        <v>0.16</v>
      </c>
      <c r="E224">
        <v>6989</v>
      </c>
      <c r="F224">
        <v>2</v>
      </c>
      <c r="G224" t="s">
        <v>155</v>
      </c>
      <c r="H224">
        <v>317</v>
      </c>
      <c r="I224" t="s">
        <v>5</v>
      </c>
      <c r="J224" t="s">
        <v>212</v>
      </c>
      <c r="K224">
        <v>11</v>
      </c>
      <c r="L224">
        <v>259</v>
      </c>
      <c r="M224" t="s">
        <v>157</v>
      </c>
      <c r="N224" t="s">
        <v>21</v>
      </c>
      <c r="O224" t="s">
        <v>20</v>
      </c>
      <c r="P224">
        <v>2007</v>
      </c>
      <c r="Q224">
        <v>2007</v>
      </c>
      <c r="R224">
        <v>20</v>
      </c>
      <c r="S224">
        <v>17</v>
      </c>
      <c r="T224">
        <v>17</v>
      </c>
      <c r="U224">
        <v>2</v>
      </c>
      <c r="V224">
        <v>1374</v>
      </c>
      <c r="W224">
        <v>1344</v>
      </c>
      <c r="X224">
        <v>0</v>
      </c>
      <c r="Y224">
        <v>0</v>
      </c>
      <c r="Z224">
        <v>0</v>
      </c>
      <c r="AA224">
        <v>0</v>
      </c>
      <c r="AB224">
        <v>2718</v>
      </c>
      <c r="AC224">
        <v>3000</v>
      </c>
      <c r="AD224">
        <v>3</v>
      </c>
      <c r="AE224" t="s">
        <v>56</v>
      </c>
      <c r="AF224" t="s">
        <v>331</v>
      </c>
      <c r="AG224" t="s">
        <v>21</v>
      </c>
      <c r="AH224" t="s">
        <v>161</v>
      </c>
      <c r="AI224">
        <v>0</v>
      </c>
      <c r="AJ224">
        <v>0</v>
      </c>
      <c r="AK224">
        <v>0</v>
      </c>
      <c r="AL224">
        <v>0</v>
      </c>
      <c r="AM224">
        <v>1</v>
      </c>
      <c r="AN224">
        <v>18</v>
      </c>
      <c r="AO224">
        <v>0</v>
      </c>
      <c r="AP224">
        <v>742</v>
      </c>
      <c r="AQ224">
        <v>0</v>
      </c>
      <c r="AR224">
        <v>0</v>
      </c>
      <c r="AS224">
        <v>144</v>
      </c>
      <c r="AT224">
        <v>0</v>
      </c>
      <c r="AU224">
        <v>100</v>
      </c>
      <c r="AV224">
        <v>100</v>
      </c>
      <c r="AW224">
        <v>484002</v>
      </c>
      <c r="AX224">
        <v>454962</v>
      </c>
      <c r="AY224">
        <v>1012</v>
      </c>
      <c r="AZ224">
        <v>365</v>
      </c>
      <c r="BA224">
        <v>365</v>
      </c>
      <c r="BB224">
        <v>282</v>
      </c>
      <c r="BC224" s="2">
        <v>44280</v>
      </c>
      <c r="BD224" t="s">
        <v>384</v>
      </c>
      <c r="BE224">
        <v>393500</v>
      </c>
      <c r="BF224">
        <v>393500</v>
      </c>
      <c r="BG224" t="s">
        <v>160</v>
      </c>
      <c r="BH224">
        <v>30</v>
      </c>
      <c r="BI224" t="s">
        <v>56</v>
      </c>
      <c r="BJ224" t="s">
        <v>161</v>
      </c>
      <c r="BK224">
        <v>436000</v>
      </c>
      <c r="BL224">
        <v>60800</v>
      </c>
      <c r="BM224">
        <v>375200</v>
      </c>
      <c r="BN224">
        <v>0</v>
      </c>
      <c r="BO224">
        <v>365550.13806634065</v>
      </c>
      <c r="BP224">
        <v>451278.29507946107</v>
      </c>
      <c r="BQ224">
        <f>(Sales[[#This Row],[DP1]]*Lookups!$B$61)+(Sales[[#This Row],[DP2]]*Lookups!$B$62)+(Sales[[#This Row],[DP3]]*Lookups!$B$63)</f>
        <v>-85728.153430999999</v>
      </c>
      <c r="BR224">
        <f>Lookups!$B$58*0.6</f>
        <v>132535.48800000001</v>
      </c>
      <c r="BS224">
        <f>Lookups!$B$58*0.4</f>
        <v>88356.992000000013</v>
      </c>
      <c r="BT224">
        <f>Lookups!$B$59*Sales[[#This Row],[LnAcres]]</f>
        <v>-24051.387388882686</v>
      </c>
      <c r="BU224">
        <f>VLOOKUP(Sales[[#This Row],[Qlty]],Lookups!$A$66:$E$79,2,FALSE)</f>
        <v>32917.849192000001</v>
      </c>
      <c r="BV224">
        <f>VLOOKUP(Sales[[#This Row],[Cnd]],Lookups!$A$80:$E$91,2,FALSE)</f>
        <v>30300.329274</v>
      </c>
      <c r="BW224">
        <f>Sales[[#This Row],[EffAge]]*Lookups!$B$65</f>
        <v>-1848.5987</v>
      </c>
      <c r="BX224">
        <f>Sales[[#This Row],[MainFn]]*Lookups!$B$90</f>
        <v>85751.862120000005</v>
      </c>
      <c r="BY224">
        <f>Sales[[#This Row],[UpprFn]]*Lookups!$B$91</f>
        <v>80076.034751999992</v>
      </c>
      <c r="BZ224">
        <f>Sales[[#This Row],[Bsmt]]*Lookups!$B$95</f>
        <v>0</v>
      </c>
      <c r="CA224">
        <f>VLOOKUP(Sales[[#This Row],[MsnryTrim]],Lookups!$A$90:$E$99,2,FALSE)</f>
        <v>-9412.7029999999995</v>
      </c>
      <c r="CB224">
        <f>Sales[[#This Row],[PrefabFP]]*Lookups!$B$92</f>
        <v>0</v>
      </c>
      <c r="CC224">
        <f>Sales[[#This Row],[AttGar]]*Lookups!$B$93</f>
        <v>0</v>
      </c>
      <c r="CD224">
        <f>Sales[[#This Row],[BltinGar]]*Lookups!$B$94</f>
        <v>36652.425600000002</v>
      </c>
      <c r="CE224">
        <f>SUM(Sales[[#This Row],[Days Prior Total]:[Mdl BltinGar]])</f>
        <v>365550.13841811736</v>
      </c>
      <c r="CF224">
        <f>ROUND(Sales[[#This Row],[25Det]],-2)</f>
        <v>0</v>
      </c>
      <c r="CG224">
        <f>ROUND(SUM(Sales[[#This Row],[Mdl Qlty]:[Mdl BltinGar]])+Sales[[#This Row],[Mdl Res Intercept]]+Sales[[#This Row],[Days Prior Total]],-2)</f>
        <v>301200</v>
      </c>
      <c r="CH224">
        <f>ROUND(Sales[[#This Row],[Mdl Land Intercept]]+Sales[[#This Row],[Mdl LnAcres]],-2)</f>
        <v>64300</v>
      </c>
      <c r="CI224">
        <f>Sales[[#This Row],[Unadj Res Value]]+Sales[[#This Row],[Unadj Det Value]]+Sales[[#This Row],[Unadj Land Value]]</f>
        <v>365500</v>
      </c>
      <c r="CJ224" s="10">
        <f>Sales[[#This Row],[Price]]/Sales[[#This Row],[Unadj Total Value]]</f>
        <v>1.076607387140903</v>
      </c>
      <c r="CK224" s="10">
        <f>(Sales[[#This Row],[Unadj Total Value]]-Sales[[#This Row],[24Final]])/Sales[[#This Row],[24Final]]</f>
        <v>-0.16169724770642202</v>
      </c>
      <c r="CL224">
        <f>VLOOKUP(Sales[[#This Row],[TNbhd]],Lookups!$M$3:$P$5,4,FALSE)</f>
        <v>0.99970000000000003</v>
      </c>
      <c r="CM224">
        <f>VLOOKUP(Sales[[#This Row],[Qlty]],Lookups!$M$8:$P$22,4,FALSE)</f>
        <v>1.0019</v>
      </c>
      <c r="CN224">
        <f>VLOOKUP(Sales[[#This Row],[Cnd]],Lookups!$R$8:$U$17,4,FALSE)</f>
        <v>0.997</v>
      </c>
      <c r="CO224">
        <f>VLOOKUP(Sales[[#This Row],[LivArea Range]],Lookups!$R$25:$U$43,4,FALSE)</f>
        <v>1.0099</v>
      </c>
      <c r="CP224">
        <f>VLOOKUP(Sales[[#This Row],[Decade]],Lookups!$M$24:$P$40,4,FALSE)</f>
        <v>0.99560000000000004</v>
      </c>
      <c r="CQ224">
        <f>Sales[[#This Row],[Nbhd Adj]]*0.95</f>
        <v>0.94971499999999998</v>
      </c>
      <c r="CR224">
        <f>Sales[[#This Row],[Nbhd Adj]]*Sales[[#This Row],[Quality Adj]]*Sales[[#This Row],[Condition Adj]]*Sales[[#This Row],[Living Area Adj]]*Sales[[#This Row],[Decade Adj]]*0.95</f>
        <v>0.95384123323213543</v>
      </c>
      <c r="CS224">
        <f>ROUND(SUM(Sales[[#This Row],[Mdl Qlty]:[Mdl BltinGar]])+Sales[[#This Row],[Mdl Res Intercept]]*Sales[[#This Row],[Res Adj ]],-2)</f>
        <v>380900</v>
      </c>
      <c r="CT224">
        <f>ROUND(Sales[[#This Row],[25Det]]*Sales[[#This Row],[Det/Nbhd Adj]],-2)</f>
        <v>0</v>
      </c>
      <c r="CU224">
        <f>Sales[[#This Row],[Adjusted Res]]+Sales[[#This Row],[Adj Det ]]</f>
        <v>380900</v>
      </c>
      <c r="CV224">
        <f>ROUND((Sales[[#This Row],[Mdl Land Intercept]]+Sales[[#This Row],[Mdl LnAcres]])*Sales[[#This Row],[Det/Nbhd Adj]],-2)</f>
        <v>61100</v>
      </c>
      <c r="CW224">
        <f>Sales[[#This Row],[Adjusted Impr Total]]+Sales[[#This Row],[Adjusted Land Total]]</f>
        <v>442000</v>
      </c>
      <c r="CX224" s="10">
        <f>IFERROR((Sales[[#This Row],[Adjusted Impr Total]]-Sales[[#This Row],[24Bldg]])/Sales[[#This Row],[24Bldg]],0)</f>
        <v>1.5191897654584221E-2</v>
      </c>
      <c r="CY224" s="10">
        <f>(Sales[[#This Row],[Adjusted Land Total]]-Sales[[#This Row],[24Lnd]])/Sales[[#This Row],[24Lnd]]</f>
        <v>4.9342105263157892E-3</v>
      </c>
      <c r="CZ224">
        <f>(Sales[[#This Row],[Adjusted Total]]-Sales[[#This Row],[24Final]])/Sales[[#This Row],[24Final]]</f>
        <v>1.3761467889908258E-2</v>
      </c>
      <c r="DA224" s="10">
        <f>(Sales[[#This Row],[Adjusted Total]]+Sales[[#This Row],[Days Prior Total]])/Sales[[#This Row],[Price]]</f>
        <v>0.90539224032782717</v>
      </c>
    </row>
    <row r="225" spans="1:105">
      <c r="A225">
        <v>2025</v>
      </c>
      <c r="B225">
        <v>19120112439</v>
      </c>
      <c r="C225">
        <v>-1.8325814637483102</v>
      </c>
      <c r="D225">
        <v>0.16</v>
      </c>
      <c r="E225">
        <v>7032</v>
      </c>
      <c r="F225">
        <v>2</v>
      </c>
      <c r="G225" t="s">
        <v>155</v>
      </c>
      <c r="H225">
        <v>317</v>
      </c>
      <c r="I225" t="s">
        <v>5</v>
      </c>
      <c r="J225" t="s">
        <v>212</v>
      </c>
      <c r="K225">
        <v>11</v>
      </c>
      <c r="L225">
        <v>259</v>
      </c>
      <c r="M225" t="s">
        <v>157</v>
      </c>
      <c r="N225" t="s">
        <v>19</v>
      </c>
      <c r="O225" t="s">
        <v>20</v>
      </c>
      <c r="P225">
        <v>2007</v>
      </c>
      <c r="Q225">
        <v>2007</v>
      </c>
      <c r="R225">
        <v>20</v>
      </c>
      <c r="S225">
        <v>17</v>
      </c>
      <c r="T225">
        <v>17</v>
      </c>
      <c r="U225">
        <v>2</v>
      </c>
      <c r="V225">
        <v>1374</v>
      </c>
      <c r="W225">
        <v>1252</v>
      </c>
      <c r="X225">
        <v>0</v>
      </c>
      <c r="Y225">
        <v>0</v>
      </c>
      <c r="Z225">
        <v>0</v>
      </c>
      <c r="AA225">
        <v>0</v>
      </c>
      <c r="AB225">
        <v>2626</v>
      </c>
      <c r="AC225">
        <v>3000</v>
      </c>
      <c r="AD225">
        <v>3</v>
      </c>
      <c r="AE225" t="s">
        <v>57</v>
      </c>
      <c r="AF225" t="s">
        <v>331</v>
      </c>
      <c r="AG225" t="s">
        <v>21</v>
      </c>
      <c r="AH225" t="s">
        <v>161</v>
      </c>
      <c r="AI225">
        <v>0</v>
      </c>
      <c r="AJ225">
        <v>0</v>
      </c>
      <c r="AK225">
        <v>0</v>
      </c>
      <c r="AL225">
        <v>0</v>
      </c>
      <c r="AM225">
        <v>1</v>
      </c>
      <c r="AN225">
        <v>12</v>
      </c>
      <c r="AO225">
        <v>0</v>
      </c>
      <c r="AP225">
        <v>742</v>
      </c>
      <c r="AQ225">
        <v>0</v>
      </c>
      <c r="AR225">
        <v>0</v>
      </c>
      <c r="AS225">
        <v>550</v>
      </c>
      <c r="AT225">
        <v>320</v>
      </c>
      <c r="AU225">
        <v>100</v>
      </c>
      <c r="AV225">
        <v>100</v>
      </c>
      <c r="AW225">
        <v>408761</v>
      </c>
      <c r="AX225">
        <v>384235</v>
      </c>
      <c r="AY225">
        <v>508</v>
      </c>
      <c r="AZ225">
        <v>365</v>
      </c>
      <c r="BA225">
        <v>143</v>
      </c>
      <c r="BB225">
        <v>0</v>
      </c>
      <c r="BC225" s="2">
        <v>44784</v>
      </c>
      <c r="BD225" t="s">
        <v>385</v>
      </c>
      <c r="BE225">
        <v>447000</v>
      </c>
      <c r="BF225">
        <v>447000</v>
      </c>
      <c r="BG225" t="s">
        <v>160</v>
      </c>
      <c r="BH225">
        <v>30</v>
      </c>
      <c r="BI225" t="s">
        <v>56</v>
      </c>
      <c r="BJ225" t="s">
        <v>161</v>
      </c>
      <c r="BK225">
        <v>446400</v>
      </c>
      <c r="BL225">
        <v>60800</v>
      </c>
      <c r="BM225">
        <v>385600</v>
      </c>
      <c r="BN225">
        <v>0</v>
      </c>
      <c r="BO225">
        <v>457381.02915757493</v>
      </c>
      <c r="BP225">
        <v>463558.88413566491</v>
      </c>
      <c r="BQ225">
        <f>(Sales[[#This Row],[DP1]]*Lookups!$B$61)+(Sales[[#This Row],[DP2]]*Lookups!$B$62)+(Sales[[#This Row],[DP3]]*Lookups!$B$63)</f>
        <v>-6177.854530999999</v>
      </c>
      <c r="BR225">
        <f>Lookups!$B$58*0.6</f>
        <v>132535.48800000001</v>
      </c>
      <c r="BS225">
        <f>Lookups!$B$58*0.4</f>
        <v>88356.992000000013</v>
      </c>
      <c r="BT225">
        <f>Lookups!$B$59*Sales[[#This Row],[LnAcres]]</f>
        <v>-24051.387388882686</v>
      </c>
      <c r="BU225">
        <f>VLOOKUP(Sales[[#This Row],[Qlty]],Lookups!$A$66:$E$79,2,FALSE)</f>
        <v>37154.252388000001</v>
      </c>
      <c r="BV225">
        <f>VLOOKUP(Sales[[#This Row],[Cnd]],Lookups!$A$80:$E$91,2,FALSE)</f>
        <v>30300.329274</v>
      </c>
      <c r="BW225">
        <f>Sales[[#This Row],[EffAge]]*Lookups!$B$65</f>
        <v>-1848.5987</v>
      </c>
      <c r="BX225">
        <f>Sales[[#This Row],[MainFn]]*Lookups!$B$90</f>
        <v>85751.862120000005</v>
      </c>
      <c r="BY225">
        <f>Sales[[#This Row],[UpprFn]]*Lookups!$B$91</f>
        <v>74594.639515999996</v>
      </c>
      <c r="BZ225">
        <f>Sales[[#This Row],[Bsmt]]*Lookups!$B$95</f>
        <v>0</v>
      </c>
      <c r="CA225">
        <f>VLOOKUP(Sales[[#This Row],[MsnryTrim]],Lookups!$A$90:$E$99,2,FALSE)</f>
        <v>4112.8784489</v>
      </c>
      <c r="CB225">
        <f>Sales[[#This Row],[PrefabFP]]*Lookups!$B$92</f>
        <v>0</v>
      </c>
      <c r="CC225">
        <f>Sales[[#This Row],[AttGar]]*Lookups!$B$93</f>
        <v>0</v>
      </c>
      <c r="CD225">
        <f>Sales[[#This Row],[BltinGar]]*Lookups!$B$94</f>
        <v>36652.425600000002</v>
      </c>
      <c r="CE225">
        <f>SUM(Sales[[#This Row],[Days Prior Total]:[Mdl BltinGar]])</f>
        <v>457381.02672701731</v>
      </c>
      <c r="CF225">
        <f>ROUND(Sales[[#This Row],[25Det]],-2)</f>
        <v>0</v>
      </c>
      <c r="CG225">
        <f>ROUND(SUM(Sales[[#This Row],[Mdl Qlty]:[Mdl BltinGar]])+Sales[[#This Row],[Mdl Res Intercept]]+Sales[[#This Row],[Days Prior Total]],-2)</f>
        <v>393100</v>
      </c>
      <c r="CH225">
        <f>ROUND(Sales[[#This Row],[Mdl Land Intercept]]+Sales[[#This Row],[Mdl LnAcres]],-2)</f>
        <v>64300</v>
      </c>
      <c r="CI225">
        <f>Sales[[#This Row],[Unadj Res Value]]+Sales[[#This Row],[Unadj Det Value]]+Sales[[#This Row],[Unadj Land Value]]</f>
        <v>457400</v>
      </c>
      <c r="CJ225" s="10">
        <f>Sales[[#This Row],[Price]]/Sales[[#This Row],[Unadj Total Value]]</f>
        <v>0.9772627896808046</v>
      </c>
      <c r="CK225" s="10">
        <f>(Sales[[#This Row],[Unadj Total Value]]-Sales[[#This Row],[24Final]])/Sales[[#This Row],[24Final]]</f>
        <v>2.46415770609319E-2</v>
      </c>
      <c r="CL225">
        <f>VLOOKUP(Sales[[#This Row],[TNbhd]],Lookups!$M$3:$P$5,4,FALSE)</f>
        <v>0.99970000000000003</v>
      </c>
      <c r="CM225">
        <f>VLOOKUP(Sales[[#This Row],[Qlty]],Lookups!$M$8:$P$22,4,FALSE)</f>
        <v>0.99819999999999998</v>
      </c>
      <c r="CN225">
        <f>VLOOKUP(Sales[[#This Row],[Cnd]],Lookups!$R$8:$U$17,4,FALSE)</f>
        <v>0.997</v>
      </c>
      <c r="CO225">
        <f>VLOOKUP(Sales[[#This Row],[LivArea Range]],Lookups!$R$25:$U$43,4,FALSE)</f>
        <v>1.0099</v>
      </c>
      <c r="CP225">
        <f>VLOOKUP(Sales[[#This Row],[Decade]],Lookups!$M$24:$P$40,4,FALSE)</f>
        <v>0.99560000000000004</v>
      </c>
      <c r="CQ225">
        <f>Sales[[#This Row],[Nbhd Adj]]*0.95</f>
        <v>0.94971499999999998</v>
      </c>
      <c r="CR225">
        <f>Sales[[#This Row],[Nbhd Adj]]*Sales[[#This Row],[Quality Adj]]*Sales[[#This Row],[Condition Adj]]*Sales[[#This Row],[Living Area Adj]]*Sales[[#This Row],[Decade Adj]]*0.95</f>
        <v>0.95031871345674979</v>
      </c>
      <c r="CS225">
        <f>ROUND(SUM(Sales[[#This Row],[Mdl Qlty]:[Mdl BltinGar]])+Sales[[#This Row],[Mdl Res Intercept]]*Sales[[#This Row],[Res Adj ]],-2)</f>
        <v>392700</v>
      </c>
      <c r="CT225">
        <f>ROUND(Sales[[#This Row],[25Det]]*Sales[[#This Row],[Det/Nbhd Adj]],-2)</f>
        <v>0</v>
      </c>
      <c r="CU225">
        <f>Sales[[#This Row],[Adjusted Res]]+Sales[[#This Row],[Adj Det ]]</f>
        <v>392700</v>
      </c>
      <c r="CV225">
        <f>ROUND((Sales[[#This Row],[Mdl Land Intercept]]+Sales[[#This Row],[Mdl LnAcres]])*Sales[[#This Row],[Det/Nbhd Adj]],-2)</f>
        <v>61100</v>
      </c>
      <c r="CW225">
        <f>Sales[[#This Row],[Adjusted Impr Total]]+Sales[[#This Row],[Adjusted Land Total]]</f>
        <v>453800</v>
      </c>
      <c r="CX225" s="10">
        <f>IFERROR((Sales[[#This Row],[Adjusted Impr Total]]-Sales[[#This Row],[24Bldg]])/Sales[[#This Row],[24Bldg]],0)</f>
        <v>1.841286307053942E-2</v>
      </c>
      <c r="CY225" s="10">
        <f>(Sales[[#This Row],[Adjusted Land Total]]-Sales[[#This Row],[24Lnd]])/Sales[[#This Row],[24Lnd]]</f>
        <v>4.9342105263157892E-3</v>
      </c>
      <c r="CZ225">
        <f>(Sales[[#This Row],[Adjusted Total]]-Sales[[#This Row],[24Final]])/Sales[[#This Row],[24Final]]</f>
        <v>1.6577060931899642E-2</v>
      </c>
      <c r="DA225" s="10">
        <f>(Sales[[#This Row],[Adjusted Total]]+Sales[[#This Row],[Days Prior Total]])/Sales[[#This Row],[Price]]</f>
        <v>1.0013918243154363</v>
      </c>
    </row>
    <row r="226" spans="1:105">
      <c r="A226">
        <v>2025</v>
      </c>
      <c r="B226">
        <v>19120112444</v>
      </c>
      <c r="C226">
        <v>-1.8325814637483102</v>
      </c>
      <c r="D226">
        <v>0.16</v>
      </c>
      <c r="E226">
        <v>7023</v>
      </c>
      <c r="F226">
        <v>2</v>
      </c>
      <c r="G226" t="s">
        <v>155</v>
      </c>
      <c r="H226">
        <v>317</v>
      </c>
      <c r="I226" t="s">
        <v>5</v>
      </c>
      <c r="J226" t="s">
        <v>212</v>
      </c>
      <c r="K226">
        <v>11</v>
      </c>
      <c r="L226">
        <v>259</v>
      </c>
      <c r="M226" t="s">
        <v>193</v>
      </c>
      <c r="N226" t="s">
        <v>19</v>
      </c>
      <c r="O226" t="s">
        <v>20</v>
      </c>
      <c r="P226">
        <v>2007</v>
      </c>
      <c r="Q226">
        <v>2007</v>
      </c>
      <c r="R226">
        <v>20</v>
      </c>
      <c r="S226">
        <v>17</v>
      </c>
      <c r="T226">
        <v>17</v>
      </c>
      <c r="U226">
        <v>1</v>
      </c>
      <c r="V226">
        <v>1706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1706</v>
      </c>
      <c r="AC226">
        <v>2000</v>
      </c>
      <c r="AD226">
        <v>2</v>
      </c>
      <c r="AE226" t="s">
        <v>57</v>
      </c>
      <c r="AF226" t="s">
        <v>331</v>
      </c>
      <c r="AG226" t="s">
        <v>21</v>
      </c>
      <c r="AH226" t="s">
        <v>161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11</v>
      </c>
      <c r="AO226">
        <v>466</v>
      </c>
      <c r="AP226">
        <v>0</v>
      </c>
      <c r="AQ226">
        <v>0</v>
      </c>
      <c r="AR226">
        <v>0</v>
      </c>
      <c r="AS226">
        <v>140</v>
      </c>
      <c r="AT226">
        <v>0</v>
      </c>
      <c r="AU226">
        <v>100</v>
      </c>
      <c r="AV226">
        <v>100</v>
      </c>
      <c r="AW226">
        <v>302423</v>
      </c>
      <c r="AX226">
        <v>284278</v>
      </c>
      <c r="AY226">
        <v>613</v>
      </c>
      <c r="AZ226">
        <v>365</v>
      </c>
      <c r="BA226">
        <v>248</v>
      </c>
      <c r="BB226">
        <v>0</v>
      </c>
      <c r="BC226" s="2">
        <v>44679</v>
      </c>
      <c r="BD226" t="s">
        <v>386</v>
      </c>
      <c r="BE226">
        <v>375000</v>
      </c>
      <c r="BF226">
        <v>375000</v>
      </c>
      <c r="BG226" t="s">
        <v>160</v>
      </c>
      <c r="BH226">
        <v>30</v>
      </c>
      <c r="BI226" t="s">
        <v>56</v>
      </c>
      <c r="BJ226" t="s">
        <v>161</v>
      </c>
      <c r="BK226">
        <v>368000</v>
      </c>
      <c r="BL226">
        <v>60800</v>
      </c>
      <c r="BM226">
        <v>307200</v>
      </c>
      <c r="BN226">
        <v>0</v>
      </c>
      <c r="BO226">
        <v>376222.91796479106</v>
      </c>
      <c r="BP226">
        <v>389482.34603019326</v>
      </c>
      <c r="BQ226">
        <f>(Sales[[#This Row],[DP1]]*Lookups!$B$61)+(Sales[[#This Row],[DP2]]*Lookups!$B$62)+(Sales[[#This Row],[DP3]]*Lookups!$B$63)</f>
        <v>-13259.427281</v>
      </c>
      <c r="BR226">
        <f>Lookups!$B$58*0.6</f>
        <v>132535.48800000001</v>
      </c>
      <c r="BS226">
        <f>Lookups!$B$58*0.4</f>
        <v>88356.992000000013</v>
      </c>
      <c r="BT226">
        <f>Lookups!$B$59*Sales[[#This Row],[LnAcres]]</f>
        <v>-24051.387388882686</v>
      </c>
      <c r="BU226">
        <f>VLOOKUP(Sales[[#This Row],[Qlty]],Lookups!$A$66:$E$79,2,FALSE)</f>
        <v>37154.252388000001</v>
      </c>
      <c r="BV226">
        <f>VLOOKUP(Sales[[#This Row],[Cnd]],Lookups!$A$80:$E$91,2,FALSE)</f>
        <v>30300.329274</v>
      </c>
      <c r="BW226">
        <f>Sales[[#This Row],[EffAge]]*Lookups!$B$65</f>
        <v>-1848.5987</v>
      </c>
      <c r="BX226">
        <f>Sales[[#This Row],[MainFn]]*Lookups!$B$90</f>
        <v>106472.10828</v>
      </c>
      <c r="BY226">
        <f>Sales[[#This Row],[UpprFn]]*Lookups!$B$91</f>
        <v>0</v>
      </c>
      <c r="BZ226">
        <f>Sales[[#This Row],[Bsmt]]*Lookups!$B$95</f>
        <v>0</v>
      </c>
      <c r="CA226">
        <f>VLOOKUP(Sales[[#This Row],[MsnryTrim]],Lookups!$A$90:$E$99,2,FALSE)</f>
        <v>4112.8784489</v>
      </c>
      <c r="CB226">
        <f>Sales[[#This Row],[PrefabFP]]*Lookups!$B$92</f>
        <v>0</v>
      </c>
      <c r="CC226">
        <f>Sales[[#This Row],[AttGar]]*Lookups!$B$93</f>
        <v>16450.280446000001</v>
      </c>
      <c r="CD226">
        <f>Sales[[#This Row],[BltinGar]]*Lookups!$B$94</f>
        <v>0</v>
      </c>
      <c r="CE226">
        <f>SUM(Sales[[#This Row],[Days Prior Total]:[Mdl BltinGar]])</f>
        <v>376222.91546701733</v>
      </c>
      <c r="CF226">
        <f>ROUND(Sales[[#This Row],[25Det]],-2)</f>
        <v>0</v>
      </c>
      <c r="CG226">
        <f>ROUND(SUM(Sales[[#This Row],[Mdl Qlty]:[Mdl BltinGar]])+Sales[[#This Row],[Mdl Res Intercept]]+Sales[[#This Row],[Days Prior Total]],-2)</f>
        <v>311900</v>
      </c>
      <c r="CH226">
        <f>ROUND(Sales[[#This Row],[Mdl Land Intercept]]+Sales[[#This Row],[Mdl LnAcres]],-2)</f>
        <v>64300</v>
      </c>
      <c r="CI226">
        <f>Sales[[#This Row],[Unadj Res Value]]+Sales[[#This Row],[Unadj Det Value]]+Sales[[#This Row],[Unadj Land Value]]</f>
        <v>376200</v>
      </c>
      <c r="CJ226" s="10">
        <f>Sales[[#This Row],[Price]]/Sales[[#This Row],[Unadj Total Value]]</f>
        <v>0.99681020733652315</v>
      </c>
      <c r="CK226" s="10">
        <f>(Sales[[#This Row],[Unadj Total Value]]-Sales[[#This Row],[24Final]])/Sales[[#This Row],[24Final]]</f>
        <v>2.2282608695652174E-2</v>
      </c>
      <c r="CL226">
        <f>VLOOKUP(Sales[[#This Row],[TNbhd]],Lookups!$M$3:$P$5,4,FALSE)</f>
        <v>0.99970000000000003</v>
      </c>
      <c r="CM226">
        <f>VLOOKUP(Sales[[#This Row],[Qlty]],Lookups!$M$8:$P$22,4,FALSE)</f>
        <v>0.99819999999999998</v>
      </c>
      <c r="CN226">
        <f>VLOOKUP(Sales[[#This Row],[Cnd]],Lookups!$R$8:$U$17,4,FALSE)</f>
        <v>0.997</v>
      </c>
      <c r="CO226">
        <f>VLOOKUP(Sales[[#This Row],[LivArea Range]],Lookups!$R$25:$U$43,4,FALSE)</f>
        <v>1.0007999999999999</v>
      </c>
      <c r="CP226">
        <f>VLOOKUP(Sales[[#This Row],[Decade]],Lookups!$M$24:$P$40,4,FALSE)</f>
        <v>0.99560000000000004</v>
      </c>
      <c r="CQ226">
        <f>Sales[[#This Row],[Nbhd Adj]]*0.95</f>
        <v>0.94971499999999998</v>
      </c>
      <c r="CR226">
        <f>Sales[[#This Row],[Nbhd Adj]]*Sales[[#This Row],[Quality Adj]]*Sales[[#This Row],[Condition Adj]]*Sales[[#This Row],[Living Area Adj]]*Sales[[#This Row],[Decade Adj]]*0.95</f>
        <v>0.94175558810527282</v>
      </c>
      <c r="CS226">
        <f>ROUND(SUM(Sales[[#This Row],[Mdl Qlty]:[Mdl BltinGar]])+Sales[[#This Row],[Mdl Res Intercept]]*Sales[[#This Row],[Res Adj ]],-2)</f>
        <v>317500</v>
      </c>
      <c r="CT226">
        <f>ROUND(Sales[[#This Row],[25Det]]*Sales[[#This Row],[Det/Nbhd Adj]],-2)</f>
        <v>0</v>
      </c>
      <c r="CU226">
        <f>Sales[[#This Row],[Adjusted Res]]+Sales[[#This Row],[Adj Det ]]</f>
        <v>317500</v>
      </c>
      <c r="CV226">
        <f>ROUND((Sales[[#This Row],[Mdl Land Intercept]]+Sales[[#This Row],[Mdl LnAcres]])*Sales[[#This Row],[Det/Nbhd Adj]],-2)</f>
        <v>61100</v>
      </c>
      <c r="CW226">
        <f>Sales[[#This Row],[Adjusted Impr Total]]+Sales[[#This Row],[Adjusted Land Total]]</f>
        <v>378600</v>
      </c>
      <c r="CX226" s="10">
        <f>IFERROR((Sales[[#This Row],[Adjusted Impr Total]]-Sales[[#This Row],[24Bldg]])/Sales[[#This Row],[24Bldg]],0)</f>
        <v>3.3528645833333336E-2</v>
      </c>
      <c r="CY226" s="10">
        <f>(Sales[[#This Row],[Adjusted Land Total]]-Sales[[#This Row],[24Lnd]])/Sales[[#This Row],[24Lnd]]</f>
        <v>4.9342105263157892E-3</v>
      </c>
      <c r="CZ226">
        <f>(Sales[[#This Row],[Adjusted Total]]-Sales[[#This Row],[24Final]])/Sales[[#This Row],[24Final]]</f>
        <v>2.8804347826086957E-2</v>
      </c>
      <c r="DA226" s="10">
        <f>(Sales[[#This Row],[Adjusted Total]]+Sales[[#This Row],[Days Prior Total]])/Sales[[#This Row],[Price]]</f>
        <v>0.97424152725066659</v>
      </c>
    </row>
    <row r="227" spans="1:105">
      <c r="A227">
        <v>2025</v>
      </c>
      <c r="B227">
        <v>19120112462</v>
      </c>
      <c r="C227">
        <v>-1.8325814637483102</v>
      </c>
      <c r="D227">
        <v>0.16</v>
      </c>
      <c r="E227">
        <v>7000</v>
      </c>
      <c r="F227">
        <v>2</v>
      </c>
      <c r="G227" t="s">
        <v>155</v>
      </c>
      <c r="H227">
        <v>317</v>
      </c>
      <c r="I227" t="s">
        <v>5</v>
      </c>
      <c r="J227" t="s">
        <v>212</v>
      </c>
      <c r="K227">
        <v>11</v>
      </c>
      <c r="L227">
        <v>259</v>
      </c>
      <c r="M227" t="s">
        <v>193</v>
      </c>
      <c r="N227" t="s">
        <v>19</v>
      </c>
      <c r="O227" t="s">
        <v>18</v>
      </c>
      <c r="P227">
        <v>2007</v>
      </c>
      <c r="Q227">
        <v>2007</v>
      </c>
      <c r="R227">
        <v>20</v>
      </c>
      <c r="S227">
        <v>17</v>
      </c>
      <c r="T227">
        <v>17</v>
      </c>
      <c r="U227">
        <v>1</v>
      </c>
      <c r="V227">
        <v>1092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1092</v>
      </c>
      <c r="AC227">
        <v>1500</v>
      </c>
      <c r="AD227">
        <v>0</v>
      </c>
      <c r="AE227" t="s">
        <v>57</v>
      </c>
      <c r="AF227" t="s">
        <v>331</v>
      </c>
      <c r="AG227" t="s">
        <v>21</v>
      </c>
      <c r="AH227" t="s">
        <v>161</v>
      </c>
      <c r="AI227">
        <v>0</v>
      </c>
      <c r="AJ227">
        <v>0</v>
      </c>
      <c r="AK227">
        <v>0</v>
      </c>
      <c r="AL227">
        <v>1</v>
      </c>
      <c r="AM227">
        <v>0</v>
      </c>
      <c r="AN227">
        <v>8</v>
      </c>
      <c r="AO227">
        <v>440</v>
      </c>
      <c r="AP227">
        <v>0</v>
      </c>
      <c r="AQ227">
        <v>0</v>
      </c>
      <c r="AR227">
        <v>0</v>
      </c>
      <c r="AS227">
        <v>144</v>
      </c>
      <c r="AT227">
        <v>0</v>
      </c>
      <c r="AU227">
        <v>100</v>
      </c>
      <c r="AV227">
        <v>100</v>
      </c>
      <c r="AW227">
        <v>209325</v>
      </c>
      <c r="AX227">
        <v>192579</v>
      </c>
      <c r="AY227">
        <v>978</v>
      </c>
      <c r="AZ227">
        <v>365</v>
      </c>
      <c r="BA227">
        <v>365</v>
      </c>
      <c r="BB227">
        <v>248</v>
      </c>
      <c r="BC227" s="2">
        <v>44314</v>
      </c>
      <c r="BD227" t="s">
        <v>387</v>
      </c>
      <c r="BE227">
        <v>279000</v>
      </c>
      <c r="BF227">
        <v>279000</v>
      </c>
      <c r="BG227" t="s">
        <v>160</v>
      </c>
      <c r="BH227">
        <v>30</v>
      </c>
      <c r="BI227" t="s">
        <v>56</v>
      </c>
      <c r="BJ227" t="s">
        <v>161</v>
      </c>
      <c r="BK227">
        <v>350700</v>
      </c>
      <c r="BL227">
        <v>60800</v>
      </c>
      <c r="BM227">
        <v>289900</v>
      </c>
      <c r="BN227">
        <v>0</v>
      </c>
      <c r="BO227">
        <v>259763.16141203666</v>
      </c>
      <c r="BP227">
        <v>337705.33853316016</v>
      </c>
      <c r="BQ227">
        <f>(Sales[[#This Row],[DP1]]*Lookups!$B$61)+(Sales[[#This Row],[DP2]]*Lookups!$B$62)+(Sales[[#This Row],[DP3]]*Lookups!$B$63)</f>
        <v>-77942.173831000007</v>
      </c>
      <c r="BR227">
        <f>Lookups!$B$58*0.6</f>
        <v>132535.48800000001</v>
      </c>
      <c r="BS227">
        <f>Lookups!$B$58*0.4</f>
        <v>88356.992000000013</v>
      </c>
      <c r="BT227">
        <f>Lookups!$B$59*Sales[[#This Row],[LnAcres]]</f>
        <v>-24051.387388882686</v>
      </c>
      <c r="BU227">
        <f>VLOOKUP(Sales[[#This Row],[Qlty]],Lookups!$A$66:$E$79,2,FALSE)</f>
        <v>37154.252388000001</v>
      </c>
      <c r="BV227">
        <f>VLOOKUP(Sales[[#This Row],[Cnd]],Lookups!$A$80:$E$91,2,FALSE)</f>
        <v>17761.121909000001</v>
      </c>
      <c r="BW227">
        <f>Sales[[#This Row],[EffAge]]*Lookups!$B$65</f>
        <v>-1848.5987</v>
      </c>
      <c r="BX227">
        <f>Sales[[#This Row],[MainFn]]*Lookups!$B$90</f>
        <v>68152.13496000001</v>
      </c>
      <c r="BY227">
        <f>Sales[[#This Row],[UpprFn]]*Lookups!$B$91</f>
        <v>0</v>
      </c>
      <c r="BZ227">
        <f>Sales[[#This Row],[Bsmt]]*Lookups!$B$95</f>
        <v>0</v>
      </c>
      <c r="CA227">
        <f>VLOOKUP(Sales[[#This Row],[MsnryTrim]],Lookups!$A$90:$E$99,2,FALSE)</f>
        <v>4112.8784489</v>
      </c>
      <c r="CB227">
        <f>Sales[[#This Row],[PrefabFP]]*Lookups!$B$92</f>
        <v>0</v>
      </c>
      <c r="CC227">
        <f>Sales[[#This Row],[AttGar]]*Lookups!$B$93</f>
        <v>15532.453640000002</v>
      </c>
      <c r="CD227">
        <f>Sales[[#This Row],[BltinGar]]*Lookups!$B$94</f>
        <v>0</v>
      </c>
      <c r="CE227">
        <f>SUM(Sales[[#This Row],[Days Prior Total]:[Mdl BltinGar]])</f>
        <v>259763.16142601732</v>
      </c>
      <c r="CF227">
        <f>ROUND(Sales[[#This Row],[25Det]],-2)</f>
        <v>0</v>
      </c>
      <c r="CG227">
        <f>ROUND(SUM(Sales[[#This Row],[Mdl Qlty]:[Mdl BltinGar]])+Sales[[#This Row],[Mdl Res Intercept]]+Sales[[#This Row],[Days Prior Total]],-2)</f>
        <v>195500</v>
      </c>
      <c r="CH227">
        <f>ROUND(Sales[[#This Row],[Mdl Land Intercept]]+Sales[[#This Row],[Mdl LnAcres]],-2)</f>
        <v>64300</v>
      </c>
      <c r="CI227">
        <f>Sales[[#This Row],[Unadj Res Value]]+Sales[[#This Row],[Unadj Det Value]]+Sales[[#This Row],[Unadj Land Value]]</f>
        <v>259800</v>
      </c>
      <c r="CJ227" s="10">
        <f>Sales[[#This Row],[Price]]/Sales[[#This Row],[Unadj Total Value]]</f>
        <v>1.0739030023094689</v>
      </c>
      <c r="CK227" s="10">
        <f>(Sales[[#This Row],[Unadj Total Value]]-Sales[[#This Row],[24Final]])/Sales[[#This Row],[24Final]]</f>
        <v>-0.25919589392643283</v>
      </c>
      <c r="CL227">
        <f>VLOOKUP(Sales[[#This Row],[TNbhd]],Lookups!$M$3:$P$5,4,FALSE)</f>
        <v>0.99970000000000003</v>
      </c>
      <c r="CM227">
        <f>VLOOKUP(Sales[[#This Row],[Qlty]],Lookups!$M$8:$P$22,4,FALSE)</f>
        <v>0.99819999999999998</v>
      </c>
      <c r="CN227">
        <f>VLOOKUP(Sales[[#This Row],[Cnd]],Lookups!$R$8:$U$17,4,FALSE)</f>
        <v>0.99680000000000002</v>
      </c>
      <c r="CO227">
        <f>VLOOKUP(Sales[[#This Row],[LivArea Range]],Lookups!$R$25:$U$43,4,FALSE)</f>
        <v>0.99519999999999997</v>
      </c>
      <c r="CP227">
        <f>VLOOKUP(Sales[[#This Row],[Decade]],Lookups!$M$24:$P$40,4,FALSE)</f>
        <v>0.99560000000000004</v>
      </c>
      <c r="CQ227">
        <f>Sales[[#This Row],[Nbhd Adj]]*0.95</f>
        <v>0.94971499999999998</v>
      </c>
      <c r="CR227">
        <f>Sales[[#This Row],[Nbhd Adj]]*Sales[[#This Row],[Quality Adj]]*Sales[[#This Row],[Condition Adj]]*Sales[[#This Row],[Living Area Adj]]*Sales[[#This Row],[Decade Adj]]*0.95</f>
        <v>0.93629811172753274</v>
      </c>
      <c r="CS227">
        <f>ROUND(SUM(Sales[[#This Row],[Mdl Qlty]:[Mdl BltinGar]])+Sales[[#This Row],[Mdl Res Intercept]]*Sales[[#This Row],[Res Adj ]],-2)</f>
        <v>265000</v>
      </c>
      <c r="CT227">
        <f>ROUND(Sales[[#This Row],[25Det]]*Sales[[#This Row],[Det/Nbhd Adj]],-2)</f>
        <v>0</v>
      </c>
      <c r="CU227">
        <f>Sales[[#This Row],[Adjusted Res]]+Sales[[#This Row],[Adj Det ]]</f>
        <v>265000</v>
      </c>
      <c r="CV227">
        <f>ROUND((Sales[[#This Row],[Mdl Land Intercept]]+Sales[[#This Row],[Mdl LnAcres]])*Sales[[#This Row],[Det/Nbhd Adj]],-2)</f>
        <v>61100</v>
      </c>
      <c r="CW227">
        <f>Sales[[#This Row],[Adjusted Impr Total]]+Sales[[#This Row],[Adjusted Land Total]]</f>
        <v>326100</v>
      </c>
      <c r="CX227" s="10">
        <f>IFERROR((Sales[[#This Row],[Adjusted Impr Total]]-Sales[[#This Row],[24Bldg]])/Sales[[#This Row],[24Bldg]],0)</f>
        <v>-8.5891686788547777E-2</v>
      </c>
      <c r="CY227" s="10">
        <f>(Sales[[#This Row],[Adjusted Land Total]]-Sales[[#This Row],[24Lnd]])/Sales[[#This Row],[24Lnd]]</f>
        <v>4.9342105263157892E-3</v>
      </c>
      <c r="CZ227">
        <f>(Sales[[#This Row],[Adjusted Total]]-Sales[[#This Row],[24Final]])/Sales[[#This Row],[24Final]]</f>
        <v>-7.0145423438836618E-2</v>
      </c>
      <c r="DA227" s="10">
        <f>(Sales[[#This Row],[Adjusted Total]]+Sales[[#This Row],[Days Prior Total]])/Sales[[#This Row],[Price]]</f>
        <v>0.88945457408243733</v>
      </c>
    </row>
    <row r="228" spans="1:105">
      <c r="A228">
        <v>2025</v>
      </c>
      <c r="B228">
        <v>19120112463</v>
      </c>
      <c r="C228">
        <v>-1.8325814637483102</v>
      </c>
      <c r="D228">
        <v>0.16</v>
      </c>
      <c r="E228">
        <v>7000</v>
      </c>
      <c r="F228">
        <v>2</v>
      </c>
      <c r="G228" t="s">
        <v>155</v>
      </c>
      <c r="H228">
        <v>317</v>
      </c>
      <c r="I228" t="s">
        <v>5</v>
      </c>
      <c r="J228" t="s">
        <v>212</v>
      </c>
      <c r="K228">
        <v>11</v>
      </c>
      <c r="L228">
        <v>259</v>
      </c>
      <c r="M228" t="s">
        <v>193</v>
      </c>
      <c r="N228" t="s">
        <v>19</v>
      </c>
      <c r="O228" t="s">
        <v>20</v>
      </c>
      <c r="P228">
        <v>2007</v>
      </c>
      <c r="Q228">
        <v>2007</v>
      </c>
      <c r="R228">
        <v>20</v>
      </c>
      <c r="S228">
        <v>17</v>
      </c>
      <c r="T228">
        <v>17</v>
      </c>
      <c r="U228">
        <v>1</v>
      </c>
      <c r="V228">
        <v>1368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1368</v>
      </c>
      <c r="AC228">
        <v>1500</v>
      </c>
      <c r="AD228">
        <v>2</v>
      </c>
      <c r="AE228" t="s">
        <v>57</v>
      </c>
      <c r="AF228" t="s">
        <v>331</v>
      </c>
      <c r="AG228" t="s">
        <v>21</v>
      </c>
      <c r="AH228" t="s">
        <v>161</v>
      </c>
      <c r="AI228">
        <v>0</v>
      </c>
      <c r="AJ228">
        <v>0</v>
      </c>
      <c r="AK228">
        <v>1</v>
      </c>
      <c r="AL228">
        <v>1</v>
      </c>
      <c r="AM228">
        <v>0</v>
      </c>
      <c r="AN228">
        <v>8</v>
      </c>
      <c r="AO228">
        <v>440</v>
      </c>
      <c r="AP228">
        <v>0</v>
      </c>
      <c r="AQ228">
        <v>0</v>
      </c>
      <c r="AR228">
        <v>0</v>
      </c>
      <c r="AS228">
        <v>288</v>
      </c>
      <c r="AT228">
        <v>0</v>
      </c>
      <c r="AU228">
        <v>100</v>
      </c>
      <c r="AV228">
        <v>100</v>
      </c>
      <c r="AW228">
        <v>251616</v>
      </c>
      <c r="AX228">
        <v>236519</v>
      </c>
      <c r="AY228">
        <v>391</v>
      </c>
      <c r="AZ228">
        <v>365</v>
      </c>
      <c r="BA228">
        <v>26</v>
      </c>
      <c r="BB228">
        <v>0</v>
      </c>
      <c r="BC228" s="2">
        <v>44901</v>
      </c>
      <c r="BD228" t="s">
        <v>388</v>
      </c>
      <c r="BE228">
        <v>345000</v>
      </c>
      <c r="BF228">
        <v>345000</v>
      </c>
      <c r="BG228" t="s">
        <v>160</v>
      </c>
      <c r="BH228">
        <v>30</v>
      </c>
      <c r="BI228" t="s">
        <v>56</v>
      </c>
      <c r="BJ228" t="s">
        <v>161</v>
      </c>
      <c r="BK228">
        <v>362800</v>
      </c>
      <c r="BL228">
        <v>60800</v>
      </c>
      <c r="BM228">
        <v>302000</v>
      </c>
      <c r="BN228">
        <v>0</v>
      </c>
      <c r="BO228">
        <v>378989.95605363237</v>
      </c>
      <c r="BP228">
        <v>377276.91530586034</v>
      </c>
      <c r="BQ228">
        <f>(Sales[[#This Row],[DP1]]*Lookups!$B$61)+(Sales[[#This Row],[DP2]]*Lookups!$B$62)+(Sales[[#This Row],[DP3]]*Lookups!$B$63)</f>
        <v>1713.0408190000001</v>
      </c>
      <c r="BR228">
        <f>Lookups!$B$58*0.6</f>
        <v>132535.48800000001</v>
      </c>
      <c r="BS228">
        <f>Lookups!$B$58*0.4</f>
        <v>88356.992000000013</v>
      </c>
      <c r="BT228">
        <f>Lookups!$B$59*Sales[[#This Row],[LnAcres]]</f>
        <v>-24051.387388882686</v>
      </c>
      <c r="BU228">
        <f>VLOOKUP(Sales[[#This Row],[Qlty]],Lookups!$A$66:$E$79,2,FALSE)</f>
        <v>37154.252388000001</v>
      </c>
      <c r="BV228">
        <f>VLOOKUP(Sales[[#This Row],[Cnd]],Lookups!$A$80:$E$91,2,FALSE)</f>
        <v>30300.329274</v>
      </c>
      <c r="BW228">
        <f>Sales[[#This Row],[EffAge]]*Lookups!$B$65</f>
        <v>-1848.5987</v>
      </c>
      <c r="BX228">
        <f>Sales[[#This Row],[MainFn]]*Lookups!$B$90</f>
        <v>85377.399839999998</v>
      </c>
      <c r="BY228">
        <f>Sales[[#This Row],[UpprFn]]*Lookups!$B$91</f>
        <v>0</v>
      </c>
      <c r="BZ228">
        <f>Sales[[#This Row],[Bsmt]]*Lookups!$B$95</f>
        <v>0</v>
      </c>
      <c r="CA228">
        <f>VLOOKUP(Sales[[#This Row],[MsnryTrim]],Lookups!$A$90:$E$99,2,FALSE)</f>
        <v>4112.8784489</v>
      </c>
      <c r="CB228">
        <f>Sales[[#This Row],[PrefabFP]]*Lookups!$B$92</f>
        <v>9807.1044999999995</v>
      </c>
      <c r="CC228">
        <f>Sales[[#This Row],[AttGar]]*Lookups!$B$93</f>
        <v>15532.453640000002</v>
      </c>
      <c r="CD228">
        <f>Sales[[#This Row],[BltinGar]]*Lookups!$B$94</f>
        <v>0</v>
      </c>
      <c r="CE228">
        <f>SUM(Sales[[#This Row],[Days Prior Total]:[Mdl BltinGar]])</f>
        <v>378989.95282101736</v>
      </c>
      <c r="CF228">
        <f>ROUND(Sales[[#This Row],[25Det]],-2)</f>
        <v>0</v>
      </c>
      <c r="CG228">
        <f>ROUND(SUM(Sales[[#This Row],[Mdl Qlty]:[Mdl BltinGar]])+Sales[[#This Row],[Mdl Res Intercept]]+Sales[[#This Row],[Days Prior Total]],-2)</f>
        <v>314700</v>
      </c>
      <c r="CH228">
        <f>ROUND(Sales[[#This Row],[Mdl Land Intercept]]+Sales[[#This Row],[Mdl LnAcres]],-2)</f>
        <v>64300</v>
      </c>
      <c r="CI228">
        <f>Sales[[#This Row],[Unadj Res Value]]+Sales[[#This Row],[Unadj Det Value]]+Sales[[#This Row],[Unadj Land Value]]</f>
        <v>379000</v>
      </c>
      <c r="CJ228" s="10">
        <f>Sales[[#This Row],[Price]]/Sales[[#This Row],[Unadj Total Value]]</f>
        <v>0.91029023746701843</v>
      </c>
      <c r="CK228" s="10">
        <f>(Sales[[#This Row],[Unadj Total Value]]-Sales[[#This Row],[24Final]])/Sales[[#This Row],[24Final]]</f>
        <v>4.4652701212789414E-2</v>
      </c>
      <c r="CL228">
        <f>VLOOKUP(Sales[[#This Row],[TNbhd]],Lookups!$M$3:$P$5,4,FALSE)</f>
        <v>0.99970000000000003</v>
      </c>
      <c r="CM228">
        <f>VLOOKUP(Sales[[#This Row],[Qlty]],Lookups!$M$8:$P$22,4,FALSE)</f>
        <v>0.99819999999999998</v>
      </c>
      <c r="CN228">
        <f>VLOOKUP(Sales[[#This Row],[Cnd]],Lookups!$R$8:$U$17,4,FALSE)</f>
        <v>0.997</v>
      </c>
      <c r="CO228">
        <f>VLOOKUP(Sales[[#This Row],[LivArea Range]],Lookups!$R$25:$U$43,4,FALSE)</f>
        <v>0.99519999999999997</v>
      </c>
      <c r="CP228">
        <f>VLOOKUP(Sales[[#This Row],[Decade]],Lookups!$M$24:$P$40,4,FALSE)</f>
        <v>0.99560000000000004</v>
      </c>
      <c r="CQ228">
        <f>Sales[[#This Row],[Nbhd Adj]]*0.95</f>
        <v>0.94971499999999998</v>
      </c>
      <c r="CR228">
        <f>Sales[[#This Row],[Nbhd Adj]]*Sales[[#This Row],[Quality Adj]]*Sales[[#This Row],[Condition Adj]]*Sales[[#This Row],[Living Area Adj]]*Sales[[#This Row],[Decade Adj]]*0.95</f>
        <v>0.93648597250436405</v>
      </c>
      <c r="CS228">
        <f>ROUND(SUM(Sales[[#This Row],[Mdl Qlty]:[Mdl BltinGar]])+Sales[[#This Row],[Mdl Res Intercept]]*Sales[[#This Row],[Res Adj ]],-2)</f>
        <v>304600</v>
      </c>
      <c r="CT228">
        <f>ROUND(Sales[[#This Row],[25Det]]*Sales[[#This Row],[Det/Nbhd Adj]],-2)</f>
        <v>0</v>
      </c>
      <c r="CU228">
        <f>Sales[[#This Row],[Adjusted Res]]+Sales[[#This Row],[Adj Det ]]</f>
        <v>304600</v>
      </c>
      <c r="CV228">
        <f>ROUND((Sales[[#This Row],[Mdl Land Intercept]]+Sales[[#This Row],[Mdl LnAcres]])*Sales[[#This Row],[Det/Nbhd Adj]],-2)</f>
        <v>61100</v>
      </c>
      <c r="CW228">
        <f>Sales[[#This Row],[Adjusted Impr Total]]+Sales[[#This Row],[Adjusted Land Total]]</f>
        <v>365700</v>
      </c>
      <c r="CX228" s="10">
        <f>IFERROR((Sales[[#This Row],[Adjusted Impr Total]]-Sales[[#This Row],[24Bldg]])/Sales[[#This Row],[24Bldg]],0)</f>
        <v>8.6092715231788075E-3</v>
      </c>
      <c r="CY228" s="10">
        <f>(Sales[[#This Row],[Adjusted Land Total]]-Sales[[#This Row],[24Lnd]])/Sales[[#This Row],[24Lnd]]</f>
        <v>4.9342105263157892E-3</v>
      </c>
      <c r="CZ228">
        <f>(Sales[[#This Row],[Adjusted Total]]-Sales[[#This Row],[24Final]])/Sales[[#This Row],[24Final]]</f>
        <v>7.9933847850055129E-3</v>
      </c>
      <c r="DA228" s="10">
        <f>(Sales[[#This Row],[Adjusted Total]]+Sales[[#This Row],[Days Prior Total]])/Sales[[#This Row],[Price]]</f>
        <v>1.0649653357072464</v>
      </c>
    </row>
    <row r="229" spans="1:105">
      <c r="A229">
        <v>2025</v>
      </c>
      <c r="B229">
        <v>19120112467</v>
      </c>
      <c r="C229">
        <v>-1.8325814637483102</v>
      </c>
      <c r="D229">
        <v>0.16</v>
      </c>
      <c r="E229">
        <v>7085</v>
      </c>
      <c r="F229">
        <v>2</v>
      </c>
      <c r="G229" t="s">
        <v>155</v>
      </c>
      <c r="H229">
        <v>317</v>
      </c>
      <c r="I229" t="s">
        <v>5</v>
      </c>
      <c r="J229" t="s">
        <v>212</v>
      </c>
      <c r="K229">
        <v>11</v>
      </c>
      <c r="L229">
        <v>259</v>
      </c>
      <c r="M229" t="s">
        <v>193</v>
      </c>
      <c r="N229" t="s">
        <v>19</v>
      </c>
      <c r="O229" t="s">
        <v>20</v>
      </c>
      <c r="P229">
        <v>2007</v>
      </c>
      <c r="Q229">
        <v>2007</v>
      </c>
      <c r="R229">
        <v>20</v>
      </c>
      <c r="S229">
        <v>17</v>
      </c>
      <c r="T229">
        <v>17</v>
      </c>
      <c r="U229">
        <v>1</v>
      </c>
      <c r="V229">
        <v>1092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1092</v>
      </c>
      <c r="AC229">
        <v>1500</v>
      </c>
      <c r="AD229">
        <v>2</v>
      </c>
      <c r="AE229" t="s">
        <v>56</v>
      </c>
      <c r="AF229" t="s">
        <v>331</v>
      </c>
      <c r="AG229" t="s">
        <v>21</v>
      </c>
      <c r="AH229" t="s">
        <v>161</v>
      </c>
      <c r="AI229">
        <v>0</v>
      </c>
      <c r="AJ229">
        <v>0</v>
      </c>
      <c r="AK229">
        <v>0</v>
      </c>
      <c r="AL229">
        <v>1</v>
      </c>
      <c r="AM229">
        <v>0</v>
      </c>
      <c r="AN229">
        <v>8</v>
      </c>
      <c r="AO229">
        <v>440</v>
      </c>
      <c r="AP229">
        <v>0</v>
      </c>
      <c r="AQ229">
        <v>0</v>
      </c>
      <c r="AR229">
        <v>0</v>
      </c>
      <c r="AS229">
        <v>144</v>
      </c>
      <c r="AT229">
        <v>0</v>
      </c>
      <c r="AU229">
        <v>100</v>
      </c>
      <c r="AV229">
        <v>100</v>
      </c>
      <c r="AW229">
        <v>209325</v>
      </c>
      <c r="AX229">
        <v>196766</v>
      </c>
      <c r="AY229">
        <v>889</v>
      </c>
      <c r="AZ229">
        <v>365</v>
      </c>
      <c r="BA229">
        <v>365</v>
      </c>
      <c r="BB229">
        <v>159</v>
      </c>
      <c r="BC229" s="2">
        <v>44403</v>
      </c>
      <c r="BD229" t="s">
        <v>389</v>
      </c>
      <c r="BE229">
        <v>300000</v>
      </c>
      <c r="BF229">
        <v>300000</v>
      </c>
      <c r="BG229" t="s">
        <v>160</v>
      </c>
      <c r="BH229">
        <v>30</v>
      </c>
      <c r="BI229" t="s">
        <v>56</v>
      </c>
      <c r="BJ229" t="s">
        <v>161</v>
      </c>
      <c r="BK229">
        <v>355000</v>
      </c>
      <c r="BL229">
        <v>60800</v>
      </c>
      <c r="BM229">
        <v>294200</v>
      </c>
      <c r="BN229">
        <v>0</v>
      </c>
      <c r="BO229">
        <v>279157.7350721269</v>
      </c>
      <c r="BP229">
        <v>336718.96482890588</v>
      </c>
      <c r="BQ229">
        <f>(Sales[[#This Row],[DP1]]*Lookups!$B$61)+(Sales[[#This Row],[DP2]]*Lookups!$B$62)+(Sales[[#This Row],[DP3]]*Lookups!$B$63)</f>
        <v>-57561.227230999997</v>
      </c>
      <c r="BR229">
        <f>Lookups!$B$58*0.6</f>
        <v>132535.48800000001</v>
      </c>
      <c r="BS229">
        <f>Lookups!$B$58*0.4</f>
        <v>88356.992000000013</v>
      </c>
      <c r="BT229">
        <f>Lookups!$B$59*Sales[[#This Row],[LnAcres]]</f>
        <v>-24051.387388882686</v>
      </c>
      <c r="BU229">
        <f>VLOOKUP(Sales[[#This Row],[Qlty]],Lookups!$A$66:$E$79,2,FALSE)</f>
        <v>37154.252388000001</v>
      </c>
      <c r="BV229">
        <f>VLOOKUP(Sales[[#This Row],[Cnd]],Lookups!$A$80:$E$91,2,FALSE)</f>
        <v>30300.329274</v>
      </c>
      <c r="BW229">
        <f>Sales[[#This Row],[EffAge]]*Lookups!$B$65</f>
        <v>-1848.5987</v>
      </c>
      <c r="BX229">
        <f>Sales[[#This Row],[MainFn]]*Lookups!$B$90</f>
        <v>68152.13496000001</v>
      </c>
      <c r="BY229">
        <f>Sales[[#This Row],[UpprFn]]*Lookups!$B$91</f>
        <v>0</v>
      </c>
      <c r="BZ229">
        <f>Sales[[#This Row],[Bsmt]]*Lookups!$B$95</f>
        <v>0</v>
      </c>
      <c r="CA229">
        <f>VLOOKUP(Sales[[#This Row],[MsnryTrim]],Lookups!$A$90:$E$99,2,FALSE)</f>
        <v>-9412.7029999999995</v>
      </c>
      <c r="CB229">
        <f>Sales[[#This Row],[PrefabFP]]*Lookups!$B$92</f>
        <v>0</v>
      </c>
      <c r="CC229">
        <f>Sales[[#This Row],[AttGar]]*Lookups!$B$93</f>
        <v>15532.453640000002</v>
      </c>
      <c r="CD229">
        <f>Sales[[#This Row],[BltinGar]]*Lookups!$B$94</f>
        <v>0</v>
      </c>
      <c r="CE229">
        <f>SUM(Sales[[#This Row],[Days Prior Total]:[Mdl BltinGar]])</f>
        <v>279157.73394211737</v>
      </c>
      <c r="CF229">
        <f>ROUND(Sales[[#This Row],[25Det]],-2)</f>
        <v>0</v>
      </c>
      <c r="CG229">
        <f>ROUND(SUM(Sales[[#This Row],[Mdl Qlty]:[Mdl BltinGar]])+Sales[[#This Row],[Mdl Res Intercept]]+Sales[[#This Row],[Days Prior Total]],-2)</f>
        <v>214900</v>
      </c>
      <c r="CH229">
        <f>ROUND(Sales[[#This Row],[Mdl Land Intercept]]+Sales[[#This Row],[Mdl LnAcres]],-2)</f>
        <v>64300</v>
      </c>
      <c r="CI229">
        <f>Sales[[#This Row],[Unadj Res Value]]+Sales[[#This Row],[Unadj Det Value]]+Sales[[#This Row],[Unadj Land Value]]</f>
        <v>279200</v>
      </c>
      <c r="CJ229" s="10">
        <f>Sales[[#This Row],[Price]]/Sales[[#This Row],[Unadj Total Value]]</f>
        <v>1.0744985673352436</v>
      </c>
      <c r="CK229" s="10">
        <f>(Sales[[#This Row],[Unadj Total Value]]-Sales[[#This Row],[24Final]])/Sales[[#This Row],[24Final]]</f>
        <v>-0.21352112676056337</v>
      </c>
      <c r="CL229">
        <f>VLOOKUP(Sales[[#This Row],[TNbhd]],Lookups!$M$3:$P$5,4,FALSE)</f>
        <v>0.99970000000000003</v>
      </c>
      <c r="CM229">
        <f>VLOOKUP(Sales[[#This Row],[Qlty]],Lookups!$M$8:$P$22,4,FALSE)</f>
        <v>0.99819999999999998</v>
      </c>
      <c r="CN229">
        <f>VLOOKUP(Sales[[#This Row],[Cnd]],Lookups!$R$8:$U$17,4,FALSE)</f>
        <v>0.997</v>
      </c>
      <c r="CO229">
        <f>VLOOKUP(Sales[[#This Row],[LivArea Range]],Lookups!$R$25:$U$43,4,FALSE)</f>
        <v>0.99519999999999997</v>
      </c>
      <c r="CP229">
        <f>VLOOKUP(Sales[[#This Row],[Decade]],Lookups!$M$24:$P$40,4,FALSE)</f>
        <v>0.99560000000000004</v>
      </c>
      <c r="CQ229">
        <f>Sales[[#This Row],[Nbhd Adj]]*0.95</f>
        <v>0.94971499999999998</v>
      </c>
      <c r="CR229">
        <f>Sales[[#This Row],[Nbhd Adj]]*Sales[[#This Row],[Quality Adj]]*Sales[[#This Row],[Condition Adj]]*Sales[[#This Row],[Living Area Adj]]*Sales[[#This Row],[Decade Adj]]*0.95</f>
        <v>0.93648597250436405</v>
      </c>
      <c r="CS229">
        <f>ROUND(SUM(Sales[[#This Row],[Mdl Qlty]:[Mdl BltinGar]])+Sales[[#This Row],[Mdl Res Intercept]]*Sales[[#This Row],[Res Adj ]],-2)</f>
        <v>264000</v>
      </c>
      <c r="CT229">
        <f>ROUND(Sales[[#This Row],[25Det]]*Sales[[#This Row],[Det/Nbhd Adj]],-2)</f>
        <v>0</v>
      </c>
      <c r="CU229">
        <f>Sales[[#This Row],[Adjusted Res]]+Sales[[#This Row],[Adj Det ]]</f>
        <v>264000</v>
      </c>
      <c r="CV229">
        <f>ROUND((Sales[[#This Row],[Mdl Land Intercept]]+Sales[[#This Row],[Mdl LnAcres]])*Sales[[#This Row],[Det/Nbhd Adj]],-2)</f>
        <v>61100</v>
      </c>
      <c r="CW229">
        <f>Sales[[#This Row],[Adjusted Impr Total]]+Sales[[#This Row],[Adjusted Land Total]]</f>
        <v>325100</v>
      </c>
      <c r="CX229" s="10">
        <f>IFERROR((Sales[[#This Row],[Adjusted Impr Total]]-Sales[[#This Row],[24Bldg]])/Sales[[#This Row],[24Bldg]],0)</f>
        <v>-0.1026512576478586</v>
      </c>
      <c r="CY229" s="10">
        <f>(Sales[[#This Row],[Adjusted Land Total]]-Sales[[#This Row],[24Lnd]])/Sales[[#This Row],[24Lnd]]</f>
        <v>4.9342105263157892E-3</v>
      </c>
      <c r="CZ229">
        <f>(Sales[[#This Row],[Adjusted Total]]-Sales[[#This Row],[24Final]])/Sales[[#This Row],[24Final]]</f>
        <v>-8.4225352112676052E-2</v>
      </c>
      <c r="DA229" s="10">
        <f>(Sales[[#This Row],[Adjusted Total]]+Sales[[#This Row],[Days Prior Total]])/Sales[[#This Row],[Price]]</f>
        <v>0.89179590923000007</v>
      </c>
    </row>
    <row r="230" spans="1:105">
      <c r="A230">
        <v>2025</v>
      </c>
      <c r="B230">
        <v>19120112484</v>
      </c>
      <c r="C230">
        <v>-1.4696759700589417</v>
      </c>
      <c r="D230">
        <v>0.23</v>
      </c>
      <c r="E230">
        <v>9938</v>
      </c>
      <c r="F230">
        <v>2</v>
      </c>
      <c r="G230" t="s">
        <v>155</v>
      </c>
      <c r="H230">
        <v>317</v>
      </c>
      <c r="I230" t="s">
        <v>5</v>
      </c>
      <c r="J230" t="s">
        <v>212</v>
      </c>
      <c r="K230">
        <v>11</v>
      </c>
      <c r="L230">
        <v>259</v>
      </c>
      <c r="M230" t="s">
        <v>193</v>
      </c>
      <c r="N230" t="s">
        <v>19</v>
      </c>
      <c r="O230" t="s">
        <v>20</v>
      </c>
      <c r="P230">
        <v>2007</v>
      </c>
      <c r="Q230">
        <v>2007</v>
      </c>
      <c r="R230">
        <v>20</v>
      </c>
      <c r="S230">
        <v>17</v>
      </c>
      <c r="T230">
        <v>17</v>
      </c>
      <c r="U230">
        <v>1</v>
      </c>
      <c r="V230">
        <v>1076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1076</v>
      </c>
      <c r="AC230">
        <v>1500</v>
      </c>
      <c r="AD230">
        <v>2</v>
      </c>
      <c r="AE230" t="s">
        <v>56</v>
      </c>
      <c r="AF230" t="s">
        <v>331</v>
      </c>
      <c r="AG230" t="s">
        <v>21</v>
      </c>
      <c r="AH230" t="s">
        <v>161</v>
      </c>
      <c r="AI230">
        <v>0</v>
      </c>
      <c r="AJ230">
        <v>0</v>
      </c>
      <c r="AK230">
        <v>0</v>
      </c>
      <c r="AL230">
        <v>1</v>
      </c>
      <c r="AM230">
        <v>0</v>
      </c>
      <c r="AN230">
        <v>8</v>
      </c>
      <c r="AO230">
        <v>440</v>
      </c>
      <c r="AP230">
        <v>0</v>
      </c>
      <c r="AQ230">
        <v>0</v>
      </c>
      <c r="AR230">
        <v>0</v>
      </c>
      <c r="AS230">
        <v>144</v>
      </c>
      <c r="AT230">
        <v>0</v>
      </c>
      <c r="AU230">
        <v>100</v>
      </c>
      <c r="AV230">
        <v>100</v>
      </c>
      <c r="AW230">
        <v>205478</v>
      </c>
      <c r="AX230">
        <v>193149</v>
      </c>
      <c r="AY230">
        <v>802</v>
      </c>
      <c r="AZ230">
        <v>365</v>
      </c>
      <c r="BA230">
        <v>365</v>
      </c>
      <c r="BB230">
        <v>72</v>
      </c>
      <c r="BC230" s="2">
        <v>44490</v>
      </c>
      <c r="BD230" t="s">
        <v>390</v>
      </c>
      <c r="BE230">
        <v>306000</v>
      </c>
      <c r="BF230">
        <v>306000</v>
      </c>
      <c r="BG230" t="s">
        <v>160</v>
      </c>
      <c r="BH230">
        <v>30</v>
      </c>
      <c r="BI230" t="s">
        <v>56</v>
      </c>
      <c r="BJ230" t="s">
        <v>161</v>
      </c>
      <c r="BK230">
        <v>341200</v>
      </c>
      <c r="BL230">
        <v>65900</v>
      </c>
      <c r="BM230">
        <v>275300</v>
      </c>
      <c r="BN230">
        <v>0</v>
      </c>
      <c r="BO230">
        <v>302845.00567937689</v>
      </c>
      <c r="BP230">
        <v>340483.28688898747</v>
      </c>
      <c r="BQ230">
        <f>(Sales[[#This Row],[DP1]]*Lookups!$B$61)+(Sales[[#This Row],[DP2]]*Lookups!$B$62)+(Sales[[#This Row],[DP3]]*Lookups!$B$63)</f>
        <v>-37638.279431000003</v>
      </c>
      <c r="BR230">
        <f>Lookups!$B$58*0.6</f>
        <v>132535.48800000001</v>
      </c>
      <c r="BS230">
        <f>Lookups!$B$58*0.4</f>
        <v>88356.992000000013</v>
      </c>
      <c r="BT230">
        <f>Lookups!$B$59*Sales[[#This Row],[LnAcres]]</f>
        <v>-19288.499197039939</v>
      </c>
      <c r="BU230">
        <f>VLOOKUP(Sales[[#This Row],[Qlty]],Lookups!$A$66:$E$79,2,FALSE)</f>
        <v>37154.252388000001</v>
      </c>
      <c r="BV230">
        <f>VLOOKUP(Sales[[#This Row],[Cnd]],Lookups!$A$80:$E$91,2,FALSE)</f>
        <v>30300.329274</v>
      </c>
      <c r="BW230">
        <f>Sales[[#This Row],[EffAge]]*Lookups!$B$65</f>
        <v>-1848.5987</v>
      </c>
      <c r="BX230">
        <f>Sales[[#This Row],[MainFn]]*Lookups!$B$90</f>
        <v>67153.568880000006</v>
      </c>
      <c r="BY230">
        <f>Sales[[#This Row],[UpprFn]]*Lookups!$B$91</f>
        <v>0</v>
      </c>
      <c r="BZ230">
        <f>Sales[[#This Row],[Bsmt]]*Lookups!$B$95</f>
        <v>0</v>
      </c>
      <c r="CA230">
        <f>VLOOKUP(Sales[[#This Row],[MsnryTrim]],Lookups!$A$90:$E$99,2,FALSE)</f>
        <v>-9412.7029999999995</v>
      </c>
      <c r="CB230">
        <f>Sales[[#This Row],[PrefabFP]]*Lookups!$B$92</f>
        <v>0</v>
      </c>
      <c r="CC230">
        <f>Sales[[#This Row],[AttGar]]*Lookups!$B$93</f>
        <v>15532.453640000002</v>
      </c>
      <c r="CD230">
        <f>Sales[[#This Row],[BltinGar]]*Lookups!$B$94</f>
        <v>0</v>
      </c>
      <c r="CE230">
        <f>SUM(Sales[[#This Row],[Days Prior Total]:[Mdl BltinGar]])</f>
        <v>302845.00385396014</v>
      </c>
      <c r="CF230">
        <f>ROUND(Sales[[#This Row],[25Det]],-2)</f>
        <v>0</v>
      </c>
      <c r="CG230">
        <f>ROUND(SUM(Sales[[#This Row],[Mdl Qlty]:[Mdl BltinGar]])+Sales[[#This Row],[Mdl Res Intercept]]+Sales[[#This Row],[Days Prior Total]],-2)</f>
        <v>233800</v>
      </c>
      <c r="CH230">
        <f>ROUND(Sales[[#This Row],[Mdl Land Intercept]]+Sales[[#This Row],[Mdl LnAcres]],-2)</f>
        <v>69100</v>
      </c>
      <c r="CI230">
        <f>Sales[[#This Row],[Unadj Res Value]]+Sales[[#This Row],[Unadj Det Value]]+Sales[[#This Row],[Unadj Land Value]]</f>
        <v>302900</v>
      </c>
      <c r="CJ230" s="10">
        <f>Sales[[#This Row],[Price]]/Sales[[#This Row],[Unadj Total Value]]</f>
        <v>1.0102344007923407</v>
      </c>
      <c r="CK230" s="10">
        <f>(Sales[[#This Row],[Unadj Total Value]]-Sales[[#This Row],[24Final]])/Sales[[#This Row],[24Final]]</f>
        <v>-0.11225087924970692</v>
      </c>
      <c r="CL230">
        <f>VLOOKUP(Sales[[#This Row],[TNbhd]],Lookups!$M$3:$P$5,4,FALSE)</f>
        <v>0.99970000000000003</v>
      </c>
      <c r="CM230">
        <f>VLOOKUP(Sales[[#This Row],[Qlty]],Lookups!$M$8:$P$22,4,FALSE)</f>
        <v>0.99819999999999998</v>
      </c>
      <c r="CN230">
        <f>VLOOKUP(Sales[[#This Row],[Cnd]],Lookups!$R$8:$U$17,4,FALSE)</f>
        <v>0.997</v>
      </c>
      <c r="CO230">
        <f>VLOOKUP(Sales[[#This Row],[LivArea Range]],Lookups!$R$25:$U$43,4,FALSE)</f>
        <v>0.99519999999999997</v>
      </c>
      <c r="CP230">
        <f>VLOOKUP(Sales[[#This Row],[Decade]],Lookups!$M$24:$P$40,4,FALSE)</f>
        <v>0.99560000000000004</v>
      </c>
      <c r="CQ230">
        <f>Sales[[#This Row],[Nbhd Adj]]*0.95</f>
        <v>0.94971499999999998</v>
      </c>
      <c r="CR230">
        <f>Sales[[#This Row],[Nbhd Adj]]*Sales[[#This Row],[Quality Adj]]*Sales[[#This Row],[Condition Adj]]*Sales[[#This Row],[Living Area Adj]]*Sales[[#This Row],[Decade Adj]]*0.95</f>
        <v>0.93648597250436405</v>
      </c>
      <c r="CS230">
        <f>ROUND(SUM(Sales[[#This Row],[Mdl Qlty]:[Mdl BltinGar]])+Sales[[#This Row],[Mdl Res Intercept]]*Sales[[#This Row],[Res Adj ]],-2)</f>
        <v>263000</v>
      </c>
      <c r="CT230">
        <f>ROUND(Sales[[#This Row],[25Det]]*Sales[[#This Row],[Det/Nbhd Adj]],-2)</f>
        <v>0</v>
      </c>
      <c r="CU230">
        <f>Sales[[#This Row],[Adjusted Res]]+Sales[[#This Row],[Adj Det ]]</f>
        <v>263000</v>
      </c>
      <c r="CV230">
        <f>ROUND((Sales[[#This Row],[Mdl Land Intercept]]+Sales[[#This Row],[Mdl LnAcres]])*Sales[[#This Row],[Det/Nbhd Adj]],-2)</f>
        <v>65600</v>
      </c>
      <c r="CW230">
        <f>Sales[[#This Row],[Adjusted Impr Total]]+Sales[[#This Row],[Adjusted Land Total]]</f>
        <v>328600</v>
      </c>
      <c r="CX230" s="10">
        <f>IFERROR((Sales[[#This Row],[Adjusted Impr Total]]-Sales[[#This Row],[24Bldg]])/Sales[[#This Row],[24Bldg]],0)</f>
        <v>-4.46785325099891E-2</v>
      </c>
      <c r="CY230" s="10">
        <f>(Sales[[#This Row],[Adjusted Land Total]]-Sales[[#This Row],[24Lnd]])/Sales[[#This Row],[24Lnd]]</f>
        <v>-4.552352048558422E-3</v>
      </c>
      <c r="CZ230">
        <f>(Sales[[#This Row],[Adjusted Total]]-Sales[[#This Row],[24Final]])/Sales[[#This Row],[24Final]]</f>
        <v>-3.6928487690504101E-2</v>
      </c>
      <c r="DA230" s="10">
        <f>(Sales[[#This Row],[Adjusted Total]]+Sales[[#This Row],[Days Prior Total]])/Sales[[#This Row],[Price]]</f>
        <v>0.95085529597712415</v>
      </c>
    </row>
    <row r="231" spans="1:105">
      <c r="A231">
        <v>2025</v>
      </c>
      <c r="B231">
        <v>19120113561</v>
      </c>
      <c r="C231">
        <v>-1.8325814637483102</v>
      </c>
      <c r="D231">
        <v>0.16</v>
      </c>
      <c r="E231">
        <v>7020</v>
      </c>
      <c r="F231">
        <v>2</v>
      </c>
      <c r="G231" t="s">
        <v>155</v>
      </c>
      <c r="H231">
        <v>317</v>
      </c>
      <c r="I231" t="s">
        <v>5</v>
      </c>
      <c r="J231" t="s">
        <v>212</v>
      </c>
      <c r="K231">
        <v>11</v>
      </c>
      <c r="L231">
        <v>259</v>
      </c>
      <c r="M231" t="s">
        <v>193</v>
      </c>
      <c r="N231" t="s">
        <v>19</v>
      </c>
      <c r="O231" t="s">
        <v>18</v>
      </c>
      <c r="P231">
        <v>2007</v>
      </c>
      <c r="Q231">
        <v>2007</v>
      </c>
      <c r="R231">
        <v>20</v>
      </c>
      <c r="S231">
        <v>17</v>
      </c>
      <c r="T231">
        <v>17</v>
      </c>
      <c r="U231">
        <v>1</v>
      </c>
      <c r="V231">
        <v>1368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1368</v>
      </c>
      <c r="AC231">
        <v>1500</v>
      </c>
      <c r="AD231">
        <v>0</v>
      </c>
      <c r="AE231" t="s">
        <v>56</v>
      </c>
      <c r="AF231" t="s">
        <v>331</v>
      </c>
      <c r="AG231" t="s">
        <v>21</v>
      </c>
      <c r="AH231" t="s">
        <v>161</v>
      </c>
      <c r="AI231">
        <v>0</v>
      </c>
      <c r="AJ231">
        <v>0</v>
      </c>
      <c r="AK231">
        <v>0</v>
      </c>
      <c r="AL231">
        <v>1</v>
      </c>
      <c r="AM231">
        <v>0</v>
      </c>
      <c r="AN231">
        <v>8</v>
      </c>
      <c r="AO231">
        <v>440</v>
      </c>
      <c r="AP231">
        <v>0</v>
      </c>
      <c r="AQ231">
        <v>0</v>
      </c>
      <c r="AR231">
        <v>0</v>
      </c>
      <c r="AS231">
        <v>112</v>
      </c>
      <c r="AT231">
        <v>0</v>
      </c>
      <c r="AU231">
        <v>100</v>
      </c>
      <c r="AV231">
        <v>100</v>
      </c>
      <c r="AW231">
        <v>246568</v>
      </c>
      <c r="AX231">
        <v>226843</v>
      </c>
      <c r="AY231">
        <v>1049</v>
      </c>
      <c r="AZ231">
        <v>365</v>
      </c>
      <c r="BA231">
        <v>365</v>
      </c>
      <c r="BB231">
        <v>319</v>
      </c>
      <c r="BC231" s="2">
        <v>44243</v>
      </c>
      <c r="BD231" t="s">
        <v>391</v>
      </c>
      <c r="BE231">
        <v>285000</v>
      </c>
      <c r="BF231">
        <v>285000</v>
      </c>
      <c r="BG231" t="s">
        <v>160</v>
      </c>
      <c r="BH231">
        <v>30</v>
      </c>
      <c r="BI231" t="s">
        <v>56</v>
      </c>
      <c r="BJ231" t="s">
        <v>161</v>
      </c>
      <c r="BK231">
        <v>351500</v>
      </c>
      <c r="BL231">
        <v>60800</v>
      </c>
      <c r="BM231">
        <v>290700</v>
      </c>
      <c r="BN231">
        <v>0</v>
      </c>
      <c r="BO231">
        <v>247203.88721893932</v>
      </c>
      <c r="BP231">
        <v>341405.022349821</v>
      </c>
      <c r="BQ231">
        <f>(Sales[[#This Row],[DP1]]*Lookups!$B$61)+(Sales[[#This Row],[DP2]]*Lookups!$B$62)+(Sales[[#This Row],[DP3]]*Lookups!$B$63)</f>
        <v>-94201.131231000007</v>
      </c>
      <c r="BR231">
        <f>Lookups!$B$58*0.6</f>
        <v>132535.48800000001</v>
      </c>
      <c r="BS231">
        <f>Lookups!$B$58*0.4</f>
        <v>88356.992000000013</v>
      </c>
      <c r="BT231">
        <f>Lookups!$B$59*Sales[[#This Row],[LnAcres]]</f>
        <v>-24051.387388882686</v>
      </c>
      <c r="BU231">
        <f>VLOOKUP(Sales[[#This Row],[Qlty]],Lookups!$A$66:$E$79,2,FALSE)</f>
        <v>37154.252388000001</v>
      </c>
      <c r="BV231">
        <f>VLOOKUP(Sales[[#This Row],[Cnd]],Lookups!$A$80:$E$91,2,FALSE)</f>
        <v>17761.121909000001</v>
      </c>
      <c r="BW231">
        <f>Sales[[#This Row],[EffAge]]*Lookups!$B$65</f>
        <v>-1848.5987</v>
      </c>
      <c r="BX231">
        <f>Sales[[#This Row],[MainFn]]*Lookups!$B$90</f>
        <v>85377.399839999998</v>
      </c>
      <c r="BY231">
        <f>Sales[[#This Row],[UpprFn]]*Lookups!$B$91</f>
        <v>0</v>
      </c>
      <c r="BZ231">
        <f>Sales[[#This Row],[Bsmt]]*Lookups!$B$95</f>
        <v>0</v>
      </c>
      <c r="CA231">
        <f>VLOOKUP(Sales[[#This Row],[MsnryTrim]],Lookups!$A$90:$E$99,2,FALSE)</f>
        <v>-9412.7029999999995</v>
      </c>
      <c r="CB231">
        <f>Sales[[#This Row],[PrefabFP]]*Lookups!$B$92</f>
        <v>0</v>
      </c>
      <c r="CC231">
        <f>Sales[[#This Row],[AttGar]]*Lookups!$B$93</f>
        <v>15532.453640000002</v>
      </c>
      <c r="CD231">
        <f>Sales[[#This Row],[BltinGar]]*Lookups!$B$94</f>
        <v>0</v>
      </c>
      <c r="CE231">
        <f>SUM(Sales[[#This Row],[Days Prior Total]:[Mdl BltinGar]])</f>
        <v>247203.88745711732</v>
      </c>
      <c r="CF231">
        <f>ROUND(Sales[[#This Row],[25Det]],-2)</f>
        <v>0</v>
      </c>
      <c r="CG231">
        <f>ROUND(SUM(Sales[[#This Row],[Mdl Qlty]:[Mdl BltinGar]])+Sales[[#This Row],[Mdl Res Intercept]]+Sales[[#This Row],[Days Prior Total]],-2)</f>
        <v>182900</v>
      </c>
      <c r="CH231">
        <f>ROUND(Sales[[#This Row],[Mdl Land Intercept]]+Sales[[#This Row],[Mdl LnAcres]],-2)</f>
        <v>64300</v>
      </c>
      <c r="CI231">
        <f>Sales[[#This Row],[Unadj Res Value]]+Sales[[#This Row],[Unadj Det Value]]+Sales[[#This Row],[Unadj Land Value]]</f>
        <v>247200</v>
      </c>
      <c r="CJ231" s="10">
        <f>Sales[[#This Row],[Price]]/Sales[[#This Row],[Unadj Total Value]]</f>
        <v>1.1529126213592233</v>
      </c>
      <c r="CK231" s="10">
        <f>(Sales[[#This Row],[Unadj Total Value]]-Sales[[#This Row],[24Final]])/Sales[[#This Row],[24Final]]</f>
        <v>-0.29672830725462307</v>
      </c>
      <c r="CL231">
        <f>VLOOKUP(Sales[[#This Row],[TNbhd]],Lookups!$M$3:$P$5,4,FALSE)</f>
        <v>0.99970000000000003</v>
      </c>
      <c r="CM231">
        <f>VLOOKUP(Sales[[#This Row],[Qlty]],Lookups!$M$8:$P$22,4,FALSE)</f>
        <v>0.99819999999999998</v>
      </c>
      <c r="CN231">
        <f>VLOOKUP(Sales[[#This Row],[Cnd]],Lookups!$R$8:$U$17,4,FALSE)</f>
        <v>0.99680000000000002</v>
      </c>
      <c r="CO231">
        <f>VLOOKUP(Sales[[#This Row],[LivArea Range]],Lookups!$R$25:$U$43,4,FALSE)</f>
        <v>0.99519999999999997</v>
      </c>
      <c r="CP231">
        <f>VLOOKUP(Sales[[#This Row],[Decade]],Lookups!$M$24:$P$40,4,FALSE)</f>
        <v>0.99560000000000004</v>
      </c>
      <c r="CQ231">
        <f>Sales[[#This Row],[Nbhd Adj]]*0.95</f>
        <v>0.94971499999999998</v>
      </c>
      <c r="CR231">
        <f>Sales[[#This Row],[Nbhd Adj]]*Sales[[#This Row],[Quality Adj]]*Sales[[#This Row],[Condition Adj]]*Sales[[#This Row],[Living Area Adj]]*Sales[[#This Row],[Decade Adj]]*0.95</f>
        <v>0.93629811172753274</v>
      </c>
      <c r="CS231">
        <f>ROUND(SUM(Sales[[#This Row],[Mdl Qlty]:[Mdl BltinGar]])+Sales[[#This Row],[Mdl Res Intercept]]*Sales[[#This Row],[Res Adj ]],-2)</f>
        <v>268700</v>
      </c>
      <c r="CT231">
        <f>ROUND(Sales[[#This Row],[25Det]]*Sales[[#This Row],[Det/Nbhd Adj]],-2)</f>
        <v>0</v>
      </c>
      <c r="CU231">
        <f>Sales[[#This Row],[Adjusted Res]]+Sales[[#This Row],[Adj Det ]]</f>
        <v>268700</v>
      </c>
      <c r="CV231">
        <f>ROUND((Sales[[#This Row],[Mdl Land Intercept]]+Sales[[#This Row],[Mdl LnAcres]])*Sales[[#This Row],[Det/Nbhd Adj]],-2)</f>
        <v>61100</v>
      </c>
      <c r="CW231">
        <f>Sales[[#This Row],[Adjusted Impr Total]]+Sales[[#This Row],[Adjusted Land Total]]</f>
        <v>329800</v>
      </c>
      <c r="CX231" s="10">
        <f>IFERROR((Sales[[#This Row],[Adjusted Impr Total]]-Sales[[#This Row],[24Bldg]])/Sales[[#This Row],[24Bldg]],0)</f>
        <v>-7.5679394564843475E-2</v>
      </c>
      <c r="CY231" s="10">
        <f>(Sales[[#This Row],[Adjusted Land Total]]-Sales[[#This Row],[24Lnd]])/Sales[[#This Row],[24Lnd]]</f>
        <v>4.9342105263157892E-3</v>
      </c>
      <c r="CZ231">
        <f>(Sales[[#This Row],[Adjusted Total]]-Sales[[#This Row],[24Final]])/Sales[[#This Row],[24Final]]</f>
        <v>-6.1735419630156475E-2</v>
      </c>
      <c r="DA231" s="10">
        <f>(Sales[[#This Row],[Adjusted Total]]+Sales[[#This Row],[Days Prior Total]])/Sales[[#This Row],[Price]]</f>
        <v>0.82666269743508769</v>
      </c>
    </row>
    <row r="232" spans="1:105">
      <c r="A232">
        <v>2025</v>
      </c>
      <c r="B232">
        <v>19120113563</v>
      </c>
      <c r="C232">
        <v>-1.8325814637483102</v>
      </c>
      <c r="D232">
        <v>0.16</v>
      </c>
      <c r="E232">
        <v>7149</v>
      </c>
      <c r="F232">
        <v>2</v>
      </c>
      <c r="G232" t="s">
        <v>155</v>
      </c>
      <c r="H232">
        <v>317</v>
      </c>
      <c r="I232" t="s">
        <v>5</v>
      </c>
      <c r="J232" t="s">
        <v>212</v>
      </c>
      <c r="K232">
        <v>11</v>
      </c>
      <c r="L232">
        <v>259</v>
      </c>
      <c r="M232" t="s">
        <v>193</v>
      </c>
      <c r="N232" t="s">
        <v>19</v>
      </c>
      <c r="O232" t="s">
        <v>20</v>
      </c>
      <c r="P232">
        <v>2007</v>
      </c>
      <c r="Q232">
        <v>2007</v>
      </c>
      <c r="R232">
        <v>20</v>
      </c>
      <c r="S232">
        <v>17</v>
      </c>
      <c r="T232">
        <v>17</v>
      </c>
      <c r="U232">
        <v>1</v>
      </c>
      <c r="V232">
        <v>1672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1672</v>
      </c>
      <c r="AC232">
        <v>2000</v>
      </c>
      <c r="AD232">
        <v>2</v>
      </c>
      <c r="AE232" t="s">
        <v>57</v>
      </c>
      <c r="AF232" t="s">
        <v>331</v>
      </c>
      <c r="AG232" t="s">
        <v>21</v>
      </c>
      <c r="AH232" t="s">
        <v>161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11</v>
      </c>
      <c r="AO232">
        <v>484</v>
      </c>
      <c r="AP232">
        <v>0</v>
      </c>
      <c r="AQ232">
        <v>0</v>
      </c>
      <c r="AR232">
        <v>0</v>
      </c>
      <c r="AS232">
        <v>440</v>
      </c>
      <c r="AT232">
        <v>300</v>
      </c>
      <c r="AU232">
        <v>100</v>
      </c>
      <c r="AV232">
        <v>100</v>
      </c>
      <c r="AW232">
        <v>306587</v>
      </c>
      <c r="AX232">
        <v>288192</v>
      </c>
      <c r="AY232">
        <v>830</v>
      </c>
      <c r="AZ232">
        <v>365</v>
      </c>
      <c r="BA232">
        <v>365</v>
      </c>
      <c r="BB232">
        <v>100</v>
      </c>
      <c r="BC232" s="2">
        <v>44462</v>
      </c>
      <c r="BD232" t="s">
        <v>392</v>
      </c>
      <c r="BE232">
        <v>330000</v>
      </c>
      <c r="BF232">
        <v>330000</v>
      </c>
      <c r="BG232" t="s">
        <v>160</v>
      </c>
      <c r="BH232">
        <v>30</v>
      </c>
      <c r="BI232" t="s">
        <v>56</v>
      </c>
      <c r="BJ232" t="s">
        <v>161</v>
      </c>
      <c r="BK232">
        <v>380600</v>
      </c>
      <c r="BL232">
        <v>60800</v>
      </c>
      <c r="BM232">
        <v>319800</v>
      </c>
      <c r="BN232">
        <v>0</v>
      </c>
      <c r="BO232">
        <v>343945.54701079207</v>
      </c>
      <c r="BP232">
        <v>387995.8116608705</v>
      </c>
      <c r="BQ232">
        <f>(Sales[[#This Row],[DP1]]*Lookups!$B$61)+(Sales[[#This Row],[DP2]]*Lookups!$B$62)+(Sales[[#This Row],[DP3]]*Lookups!$B$63)</f>
        <v>-44050.262631000005</v>
      </c>
      <c r="BR232">
        <f>Lookups!$B$58*0.6</f>
        <v>132535.48800000001</v>
      </c>
      <c r="BS232">
        <f>Lookups!$B$58*0.4</f>
        <v>88356.992000000013</v>
      </c>
      <c r="BT232">
        <f>Lookups!$B$59*Sales[[#This Row],[LnAcres]]</f>
        <v>-24051.387388882686</v>
      </c>
      <c r="BU232">
        <f>VLOOKUP(Sales[[#This Row],[Qlty]],Lookups!$A$66:$E$79,2,FALSE)</f>
        <v>37154.252388000001</v>
      </c>
      <c r="BV232">
        <f>VLOOKUP(Sales[[#This Row],[Cnd]],Lookups!$A$80:$E$91,2,FALSE)</f>
        <v>30300.329274</v>
      </c>
      <c r="BW232">
        <f>Sales[[#This Row],[EffAge]]*Lookups!$B$65</f>
        <v>-1848.5987</v>
      </c>
      <c r="BX232">
        <f>Sales[[#This Row],[MainFn]]*Lookups!$B$90</f>
        <v>104350.15536</v>
      </c>
      <c r="BY232">
        <f>Sales[[#This Row],[UpprFn]]*Lookups!$B$91</f>
        <v>0</v>
      </c>
      <c r="BZ232">
        <f>Sales[[#This Row],[Bsmt]]*Lookups!$B$95</f>
        <v>0</v>
      </c>
      <c r="CA232">
        <f>VLOOKUP(Sales[[#This Row],[MsnryTrim]],Lookups!$A$90:$E$99,2,FALSE)</f>
        <v>4112.8784489</v>
      </c>
      <c r="CB232">
        <f>Sales[[#This Row],[PrefabFP]]*Lookups!$B$92</f>
        <v>0</v>
      </c>
      <c r="CC232">
        <f>Sales[[#This Row],[AttGar]]*Lookups!$B$93</f>
        <v>17085.699004000002</v>
      </c>
      <c r="CD232">
        <f>Sales[[#This Row],[BltinGar]]*Lookups!$B$94</f>
        <v>0</v>
      </c>
      <c r="CE232">
        <f>SUM(Sales[[#This Row],[Days Prior Total]:[Mdl BltinGar]])</f>
        <v>343945.54575501732</v>
      </c>
      <c r="CF232">
        <f>ROUND(Sales[[#This Row],[25Det]],-2)</f>
        <v>0</v>
      </c>
      <c r="CG232">
        <f>ROUND(SUM(Sales[[#This Row],[Mdl Qlty]:[Mdl BltinGar]])+Sales[[#This Row],[Mdl Res Intercept]]+Sales[[#This Row],[Days Prior Total]],-2)</f>
        <v>279600</v>
      </c>
      <c r="CH232">
        <f>ROUND(Sales[[#This Row],[Mdl Land Intercept]]+Sales[[#This Row],[Mdl LnAcres]],-2)</f>
        <v>64300</v>
      </c>
      <c r="CI232">
        <f>Sales[[#This Row],[Unadj Res Value]]+Sales[[#This Row],[Unadj Det Value]]+Sales[[#This Row],[Unadj Land Value]]</f>
        <v>343900</v>
      </c>
      <c r="CJ232" s="10">
        <f>Sales[[#This Row],[Price]]/Sales[[#This Row],[Unadj Total Value]]</f>
        <v>0.95958127362605405</v>
      </c>
      <c r="CK232" s="10">
        <f>(Sales[[#This Row],[Unadj Total Value]]-Sales[[#This Row],[24Final]])/Sales[[#This Row],[24Final]]</f>
        <v>-9.6426694692590645E-2</v>
      </c>
      <c r="CL232">
        <f>VLOOKUP(Sales[[#This Row],[TNbhd]],Lookups!$M$3:$P$5,4,FALSE)</f>
        <v>0.99970000000000003</v>
      </c>
      <c r="CM232">
        <f>VLOOKUP(Sales[[#This Row],[Qlty]],Lookups!$M$8:$P$22,4,FALSE)</f>
        <v>0.99819999999999998</v>
      </c>
      <c r="CN232">
        <f>VLOOKUP(Sales[[#This Row],[Cnd]],Lookups!$R$8:$U$17,4,FALSE)</f>
        <v>0.997</v>
      </c>
      <c r="CO232">
        <f>VLOOKUP(Sales[[#This Row],[LivArea Range]],Lookups!$R$25:$U$43,4,FALSE)</f>
        <v>1.0007999999999999</v>
      </c>
      <c r="CP232">
        <f>VLOOKUP(Sales[[#This Row],[Decade]],Lookups!$M$24:$P$40,4,FALSE)</f>
        <v>0.99560000000000004</v>
      </c>
      <c r="CQ232">
        <f>Sales[[#This Row],[Nbhd Adj]]*0.95</f>
        <v>0.94971499999999998</v>
      </c>
      <c r="CR232">
        <f>Sales[[#This Row],[Nbhd Adj]]*Sales[[#This Row],[Quality Adj]]*Sales[[#This Row],[Condition Adj]]*Sales[[#This Row],[Living Area Adj]]*Sales[[#This Row],[Decade Adj]]*0.95</f>
        <v>0.94175558810527282</v>
      </c>
      <c r="CS232">
        <f>ROUND(SUM(Sales[[#This Row],[Mdl Qlty]:[Mdl BltinGar]])+Sales[[#This Row],[Mdl Res Intercept]]*Sales[[#This Row],[Res Adj ]],-2)</f>
        <v>316000</v>
      </c>
      <c r="CT232">
        <f>ROUND(Sales[[#This Row],[25Det]]*Sales[[#This Row],[Det/Nbhd Adj]],-2)</f>
        <v>0</v>
      </c>
      <c r="CU232">
        <f>Sales[[#This Row],[Adjusted Res]]+Sales[[#This Row],[Adj Det ]]</f>
        <v>316000</v>
      </c>
      <c r="CV232">
        <f>ROUND((Sales[[#This Row],[Mdl Land Intercept]]+Sales[[#This Row],[Mdl LnAcres]])*Sales[[#This Row],[Det/Nbhd Adj]],-2)</f>
        <v>61100</v>
      </c>
      <c r="CW232">
        <f>Sales[[#This Row],[Adjusted Impr Total]]+Sales[[#This Row],[Adjusted Land Total]]</f>
        <v>377100</v>
      </c>
      <c r="CX232" s="10">
        <f>IFERROR((Sales[[#This Row],[Adjusted Impr Total]]-Sales[[#This Row],[24Bldg]])/Sales[[#This Row],[24Bldg]],0)</f>
        <v>-1.1882426516572859E-2</v>
      </c>
      <c r="CY232" s="10">
        <f>(Sales[[#This Row],[Adjusted Land Total]]-Sales[[#This Row],[24Lnd]])/Sales[[#This Row],[24Lnd]]</f>
        <v>4.9342105263157892E-3</v>
      </c>
      <c r="CZ232">
        <f>(Sales[[#This Row],[Adjusted Total]]-Sales[[#This Row],[24Final]])/Sales[[#This Row],[24Final]]</f>
        <v>-9.1960063058328951E-3</v>
      </c>
      <c r="DA232" s="10">
        <f>(Sales[[#This Row],[Adjusted Total]]+Sales[[#This Row],[Days Prior Total]])/Sales[[#This Row],[Price]]</f>
        <v>1.0092416283909091</v>
      </c>
    </row>
    <row r="233" spans="1:105">
      <c r="A233">
        <v>2025</v>
      </c>
      <c r="B233">
        <v>19120113596</v>
      </c>
      <c r="C233">
        <v>-1.8325814637483102</v>
      </c>
      <c r="D233">
        <v>0.16</v>
      </c>
      <c r="E233">
        <v>7078</v>
      </c>
      <c r="F233">
        <v>2</v>
      </c>
      <c r="G233" t="s">
        <v>155</v>
      </c>
      <c r="H233">
        <v>317</v>
      </c>
      <c r="I233" t="s">
        <v>5</v>
      </c>
      <c r="J233" t="s">
        <v>212</v>
      </c>
      <c r="K233">
        <v>11</v>
      </c>
      <c r="L233">
        <v>259</v>
      </c>
      <c r="M233" t="s">
        <v>193</v>
      </c>
      <c r="N233" t="s">
        <v>19</v>
      </c>
      <c r="O233" t="s">
        <v>20</v>
      </c>
      <c r="P233">
        <v>2007</v>
      </c>
      <c r="Q233">
        <v>2007</v>
      </c>
      <c r="R233">
        <v>20</v>
      </c>
      <c r="S233">
        <v>17</v>
      </c>
      <c r="T233">
        <v>17</v>
      </c>
      <c r="U233">
        <v>1</v>
      </c>
      <c r="V233">
        <v>1436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1436</v>
      </c>
      <c r="AC233">
        <v>1500</v>
      </c>
      <c r="AD233">
        <v>2</v>
      </c>
      <c r="AE233" t="s">
        <v>56</v>
      </c>
      <c r="AF233" t="s">
        <v>331</v>
      </c>
      <c r="AG233" t="s">
        <v>21</v>
      </c>
      <c r="AH233" t="s">
        <v>161</v>
      </c>
      <c r="AI233">
        <v>0</v>
      </c>
      <c r="AJ233">
        <v>0</v>
      </c>
      <c r="AK233">
        <v>0</v>
      </c>
      <c r="AL233">
        <v>1</v>
      </c>
      <c r="AM233">
        <v>0</v>
      </c>
      <c r="AN233">
        <v>8</v>
      </c>
      <c r="AO233">
        <v>400</v>
      </c>
      <c r="AP233">
        <v>0</v>
      </c>
      <c r="AQ233">
        <v>0</v>
      </c>
      <c r="AR233">
        <v>0</v>
      </c>
      <c r="AS233">
        <v>144</v>
      </c>
      <c r="AT233">
        <v>0</v>
      </c>
      <c r="AU233">
        <v>100</v>
      </c>
      <c r="AV233">
        <v>100</v>
      </c>
      <c r="AW233">
        <v>253914</v>
      </c>
      <c r="AX233">
        <v>238679</v>
      </c>
      <c r="AY233">
        <v>843</v>
      </c>
      <c r="AZ233">
        <v>365</v>
      </c>
      <c r="BA233">
        <v>365</v>
      </c>
      <c r="BB233">
        <v>113</v>
      </c>
      <c r="BC233" s="2">
        <v>44449</v>
      </c>
      <c r="BD233" t="s">
        <v>393</v>
      </c>
      <c r="BE233">
        <v>317000</v>
      </c>
      <c r="BF233">
        <v>317000</v>
      </c>
      <c r="BG233" t="s">
        <v>160</v>
      </c>
      <c r="BH233">
        <v>30</v>
      </c>
      <c r="BI233" t="s">
        <v>56</v>
      </c>
      <c r="BJ233" t="s">
        <v>161</v>
      </c>
      <c r="BK233">
        <v>367600</v>
      </c>
      <c r="BL233">
        <v>60800</v>
      </c>
      <c r="BM233">
        <v>306800</v>
      </c>
      <c r="BN233">
        <v>0</v>
      </c>
      <c r="BO233">
        <v>309748.83736989304</v>
      </c>
      <c r="BP233">
        <v>356776.09433161735</v>
      </c>
      <c r="BQ233">
        <f>(Sales[[#This Row],[DP1]]*Lookups!$B$61)+(Sales[[#This Row],[DP2]]*Lookups!$B$62)+(Sales[[#This Row],[DP3]]*Lookups!$B$63)</f>
        <v>-47027.254830999998</v>
      </c>
      <c r="BR233">
        <f>Lookups!$B$58*0.6</f>
        <v>132535.48800000001</v>
      </c>
      <c r="BS233">
        <f>Lookups!$B$58*0.4</f>
        <v>88356.992000000013</v>
      </c>
      <c r="BT233">
        <f>Lookups!$B$59*Sales[[#This Row],[LnAcres]]</f>
        <v>-24051.387388882686</v>
      </c>
      <c r="BU233">
        <f>VLOOKUP(Sales[[#This Row],[Qlty]],Lookups!$A$66:$E$79,2,FALSE)</f>
        <v>37154.252388000001</v>
      </c>
      <c r="BV233">
        <f>VLOOKUP(Sales[[#This Row],[Cnd]],Lookups!$A$80:$E$91,2,FALSE)</f>
        <v>30300.329274</v>
      </c>
      <c r="BW233">
        <f>Sales[[#This Row],[EffAge]]*Lookups!$B$65</f>
        <v>-1848.5987</v>
      </c>
      <c r="BX233">
        <f>Sales[[#This Row],[MainFn]]*Lookups!$B$90</f>
        <v>89621.305680000005</v>
      </c>
      <c r="BY233">
        <f>Sales[[#This Row],[UpprFn]]*Lookups!$B$91</f>
        <v>0</v>
      </c>
      <c r="BZ233">
        <f>Sales[[#This Row],[Bsmt]]*Lookups!$B$95</f>
        <v>0</v>
      </c>
      <c r="CA233">
        <f>VLOOKUP(Sales[[#This Row],[MsnryTrim]],Lookups!$A$90:$E$99,2,FALSE)</f>
        <v>-9412.7029999999995</v>
      </c>
      <c r="CB233">
        <f>Sales[[#This Row],[PrefabFP]]*Lookups!$B$92</f>
        <v>0</v>
      </c>
      <c r="CC233">
        <f>Sales[[#This Row],[AttGar]]*Lookups!$B$93</f>
        <v>14120.412400000001</v>
      </c>
      <c r="CD233">
        <f>Sales[[#This Row],[BltinGar]]*Lookups!$B$94</f>
        <v>0</v>
      </c>
      <c r="CE233">
        <f>SUM(Sales[[#This Row],[Days Prior Total]:[Mdl BltinGar]])</f>
        <v>309748.8358221174</v>
      </c>
      <c r="CF233">
        <f>ROUND(Sales[[#This Row],[25Det]],-2)</f>
        <v>0</v>
      </c>
      <c r="CG233">
        <f>ROUND(SUM(Sales[[#This Row],[Mdl Qlty]:[Mdl BltinGar]])+Sales[[#This Row],[Mdl Res Intercept]]+Sales[[#This Row],[Days Prior Total]],-2)</f>
        <v>245400</v>
      </c>
      <c r="CH233">
        <f>ROUND(Sales[[#This Row],[Mdl Land Intercept]]+Sales[[#This Row],[Mdl LnAcres]],-2)</f>
        <v>64300</v>
      </c>
      <c r="CI233">
        <f>Sales[[#This Row],[Unadj Res Value]]+Sales[[#This Row],[Unadj Det Value]]+Sales[[#This Row],[Unadj Land Value]]</f>
        <v>309700</v>
      </c>
      <c r="CJ233" s="10">
        <f>Sales[[#This Row],[Price]]/Sales[[#This Row],[Unadj Total Value]]</f>
        <v>1.0235711979334841</v>
      </c>
      <c r="CK233" s="10">
        <f>(Sales[[#This Row],[Unadj Total Value]]-Sales[[#This Row],[24Final]])/Sales[[#This Row],[24Final]]</f>
        <v>-0.15750816104461371</v>
      </c>
      <c r="CL233">
        <f>VLOOKUP(Sales[[#This Row],[TNbhd]],Lookups!$M$3:$P$5,4,FALSE)</f>
        <v>0.99970000000000003</v>
      </c>
      <c r="CM233">
        <f>VLOOKUP(Sales[[#This Row],[Qlty]],Lookups!$M$8:$P$22,4,FALSE)</f>
        <v>0.99819999999999998</v>
      </c>
      <c r="CN233">
        <f>VLOOKUP(Sales[[#This Row],[Cnd]],Lookups!$R$8:$U$17,4,FALSE)</f>
        <v>0.997</v>
      </c>
      <c r="CO233">
        <f>VLOOKUP(Sales[[#This Row],[LivArea Range]],Lookups!$R$25:$U$43,4,FALSE)</f>
        <v>0.99519999999999997</v>
      </c>
      <c r="CP233">
        <f>VLOOKUP(Sales[[#This Row],[Decade]],Lookups!$M$24:$P$40,4,FALSE)</f>
        <v>0.99560000000000004</v>
      </c>
      <c r="CQ233">
        <f>Sales[[#This Row],[Nbhd Adj]]*0.95</f>
        <v>0.94971499999999998</v>
      </c>
      <c r="CR233">
        <f>Sales[[#This Row],[Nbhd Adj]]*Sales[[#This Row],[Quality Adj]]*Sales[[#This Row],[Condition Adj]]*Sales[[#This Row],[Living Area Adj]]*Sales[[#This Row],[Decade Adj]]*0.95</f>
        <v>0.93648597250436405</v>
      </c>
      <c r="CS233">
        <f>ROUND(SUM(Sales[[#This Row],[Mdl Qlty]:[Mdl BltinGar]])+Sales[[#This Row],[Mdl Res Intercept]]*Sales[[#This Row],[Res Adj ]],-2)</f>
        <v>284100</v>
      </c>
      <c r="CT233">
        <f>ROUND(Sales[[#This Row],[25Det]]*Sales[[#This Row],[Det/Nbhd Adj]],-2)</f>
        <v>0</v>
      </c>
      <c r="CU233">
        <f>Sales[[#This Row],[Adjusted Res]]+Sales[[#This Row],[Adj Det ]]</f>
        <v>284100</v>
      </c>
      <c r="CV233">
        <f>ROUND((Sales[[#This Row],[Mdl Land Intercept]]+Sales[[#This Row],[Mdl LnAcres]])*Sales[[#This Row],[Det/Nbhd Adj]],-2)</f>
        <v>61100</v>
      </c>
      <c r="CW233">
        <f>Sales[[#This Row],[Adjusted Impr Total]]+Sales[[#This Row],[Adjusted Land Total]]</f>
        <v>345200</v>
      </c>
      <c r="CX233" s="10">
        <f>IFERROR((Sales[[#This Row],[Adjusted Impr Total]]-Sales[[#This Row],[24Bldg]])/Sales[[#This Row],[24Bldg]],0)</f>
        <v>-7.3989569752281617E-2</v>
      </c>
      <c r="CY233" s="10">
        <f>(Sales[[#This Row],[Adjusted Land Total]]-Sales[[#This Row],[24Lnd]])/Sales[[#This Row],[24Lnd]]</f>
        <v>4.9342105263157892E-3</v>
      </c>
      <c r="CZ233">
        <f>(Sales[[#This Row],[Adjusted Total]]-Sales[[#This Row],[24Final]])/Sales[[#This Row],[24Final]]</f>
        <v>-6.0935799782372145E-2</v>
      </c>
      <c r="DA233" s="10">
        <f>(Sales[[#This Row],[Adjusted Total]]+Sales[[#This Row],[Days Prior Total]])/Sales[[#This Row],[Price]]</f>
        <v>0.94060802892429018</v>
      </c>
    </row>
    <row r="234" spans="1:105">
      <c r="A234">
        <v>2025</v>
      </c>
      <c r="B234">
        <v>19120113597</v>
      </c>
      <c r="C234">
        <v>-1.8325814637483102</v>
      </c>
      <c r="D234">
        <v>0.16</v>
      </c>
      <c r="E234">
        <v>7078</v>
      </c>
      <c r="F234">
        <v>2</v>
      </c>
      <c r="G234" t="s">
        <v>155</v>
      </c>
      <c r="H234">
        <v>317</v>
      </c>
      <c r="I234" t="s">
        <v>5</v>
      </c>
      <c r="J234" t="s">
        <v>212</v>
      </c>
      <c r="K234">
        <v>11</v>
      </c>
      <c r="L234">
        <v>259</v>
      </c>
      <c r="M234" t="s">
        <v>157</v>
      </c>
      <c r="N234" t="s">
        <v>19</v>
      </c>
      <c r="O234" t="s">
        <v>22</v>
      </c>
      <c r="P234">
        <v>2007</v>
      </c>
      <c r="Q234">
        <v>2007</v>
      </c>
      <c r="R234">
        <v>20</v>
      </c>
      <c r="S234">
        <v>17</v>
      </c>
      <c r="T234">
        <v>17</v>
      </c>
      <c r="U234">
        <v>2</v>
      </c>
      <c r="V234">
        <v>1353</v>
      </c>
      <c r="W234">
        <v>1274</v>
      </c>
      <c r="X234">
        <v>0</v>
      </c>
      <c r="Y234">
        <v>0</v>
      </c>
      <c r="Z234">
        <v>0</v>
      </c>
      <c r="AA234">
        <v>0</v>
      </c>
      <c r="AB234">
        <v>2627</v>
      </c>
      <c r="AC234">
        <v>3000</v>
      </c>
      <c r="AD234">
        <v>0</v>
      </c>
      <c r="AE234" t="s">
        <v>56</v>
      </c>
      <c r="AF234" t="s">
        <v>331</v>
      </c>
      <c r="AG234" t="s">
        <v>21</v>
      </c>
      <c r="AH234" t="s">
        <v>161</v>
      </c>
      <c r="AI234">
        <v>0</v>
      </c>
      <c r="AJ234">
        <v>0</v>
      </c>
      <c r="AK234">
        <v>0</v>
      </c>
      <c r="AL234">
        <v>0</v>
      </c>
      <c r="AM234">
        <v>1</v>
      </c>
      <c r="AN234">
        <v>13</v>
      </c>
      <c r="AO234">
        <v>0</v>
      </c>
      <c r="AP234">
        <v>764</v>
      </c>
      <c r="AQ234">
        <v>0</v>
      </c>
      <c r="AR234">
        <v>0</v>
      </c>
      <c r="AS234">
        <v>630</v>
      </c>
      <c r="AT234">
        <v>630</v>
      </c>
      <c r="AU234">
        <v>100</v>
      </c>
      <c r="AV234">
        <v>100</v>
      </c>
      <c r="AW234">
        <v>419152</v>
      </c>
      <c r="AX234">
        <v>398194</v>
      </c>
      <c r="AY234">
        <v>987</v>
      </c>
      <c r="AZ234">
        <v>365</v>
      </c>
      <c r="BA234">
        <v>365</v>
      </c>
      <c r="BB234">
        <v>257</v>
      </c>
      <c r="BC234" s="2">
        <v>44305</v>
      </c>
      <c r="BD234" t="s">
        <v>394</v>
      </c>
      <c r="BE234">
        <v>410000</v>
      </c>
      <c r="BF234">
        <v>410000</v>
      </c>
      <c r="BG234" t="s">
        <v>160</v>
      </c>
      <c r="BH234">
        <v>30</v>
      </c>
      <c r="BI234" t="s">
        <v>56</v>
      </c>
      <c r="BJ234" t="s">
        <v>161</v>
      </c>
      <c r="BK234">
        <v>447400</v>
      </c>
      <c r="BL234">
        <v>60800</v>
      </c>
      <c r="BM234">
        <v>386600</v>
      </c>
      <c r="BN234">
        <v>0</v>
      </c>
      <c r="BO234">
        <v>391255.06110490864</v>
      </c>
      <c r="BP234">
        <v>471258.23290332541</v>
      </c>
      <c r="BQ234">
        <f>(Sales[[#This Row],[DP1]]*Lookups!$B$61)+(Sales[[#This Row],[DP2]]*Lookups!$B$62)+(Sales[[#This Row],[DP3]]*Lookups!$B$63)</f>
        <v>-80003.168430999998</v>
      </c>
      <c r="BR234">
        <f>Lookups!$B$58*0.6</f>
        <v>132535.48800000001</v>
      </c>
      <c r="BS234">
        <f>Lookups!$B$58*0.4</f>
        <v>88356.992000000013</v>
      </c>
      <c r="BT234">
        <f>Lookups!$B$59*Sales[[#This Row],[LnAcres]]</f>
        <v>-24051.387388882686</v>
      </c>
      <c r="BU234">
        <f>VLOOKUP(Sales[[#This Row],[Qlty]],Lookups!$A$66:$E$79,2,FALSE)</f>
        <v>37154.252388000001</v>
      </c>
      <c r="BV234">
        <f>VLOOKUP(Sales[[#This Row],[Cnd]],Lookups!$A$80:$E$91,2,FALSE)</f>
        <v>50438.379078999998</v>
      </c>
      <c r="BW234">
        <f>Sales[[#This Row],[EffAge]]*Lookups!$B$65</f>
        <v>-1848.5987</v>
      </c>
      <c r="BX234">
        <f>Sales[[#This Row],[MainFn]]*Lookups!$B$90</f>
        <v>84441.24414000001</v>
      </c>
      <c r="BY234">
        <f>Sales[[#This Row],[UpprFn]]*Lookups!$B$91</f>
        <v>75905.407941999991</v>
      </c>
      <c r="BZ234">
        <f>Sales[[#This Row],[Bsmt]]*Lookups!$B$95</f>
        <v>0</v>
      </c>
      <c r="CA234">
        <f>VLOOKUP(Sales[[#This Row],[MsnryTrim]],Lookups!$A$90:$E$99,2,FALSE)</f>
        <v>-9412.7029999999995</v>
      </c>
      <c r="CB234">
        <f>Sales[[#This Row],[PrefabFP]]*Lookups!$B$92</f>
        <v>0</v>
      </c>
      <c r="CC234">
        <f>Sales[[#This Row],[AttGar]]*Lookups!$B$93</f>
        <v>0</v>
      </c>
      <c r="CD234">
        <f>Sales[[#This Row],[BltinGar]]*Lookups!$B$94</f>
        <v>37739.155200000001</v>
      </c>
      <c r="CE234">
        <f>SUM(Sales[[#This Row],[Days Prior Total]:[Mdl BltinGar]])</f>
        <v>391255.06122911727</v>
      </c>
      <c r="CF234">
        <f>ROUND(Sales[[#This Row],[25Det]],-2)</f>
        <v>0</v>
      </c>
      <c r="CG234">
        <f>ROUND(SUM(Sales[[#This Row],[Mdl Qlty]:[Mdl BltinGar]])+Sales[[#This Row],[Mdl Res Intercept]]+Sales[[#This Row],[Days Prior Total]],-2)</f>
        <v>326900</v>
      </c>
      <c r="CH234">
        <f>ROUND(Sales[[#This Row],[Mdl Land Intercept]]+Sales[[#This Row],[Mdl LnAcres]],-2)</f>
        <v>64300</v>
      </c>
      <c r="CI234">
        <f>Sales[[#This Row],[Unadj Res Value]]+Sales[[#This Row],[Unadj Det Value]]+Sales[[#This Row],[Unadj Land Value]]</f>
        <v>391200</v>
      </c>
      <c r="CJ234" s="10">
        <f>Sales[[#This Row],[Price]]/Sales[[#This Row],[Unadj Total Value]]</f>
        <v>1.0480572597137015</v>
      </c>
      <c r="CK234" s="10">
        <f>(Sales[[#This Row],[Unadj Total Value]]-Sales[[#This Row],[24Final]])/Sales[[#This Row],[24Final]]</f>
        <v>-0.12561466249441217</v>
      </c>
      <c r="CL234">
        <f>VLOOKUP(Sales[[#This Row],[TNbhd]],Lookups!$M$3:$P$5,4,FALSE)</f>
        <v>0.99970000000000003</v>
      </c>
      <c r="CM234">
        <f>VLOOKUP(Sales[[#This Row],[Qlty]],Lookups!$M$8:$P$22,4,FALSE)</f>
        <v>0.99819999999999998</v>
      </c>
      <c r="CN234">
        <f>VLOOKUP(Sales[[#This Row],[Cnd]],Lookups!$R$8:$U$17,4,FALSE)</f>
        <v>1.0007999999999999</v>
      </c>
      <c r="CO234">
        <f>VLOOKUP(Sales[[#This Row],[LivArea Range]],Lookups!$R$25:$U$43,4,FALSE)</f>
        <v>1.0099</v>
      </c>
      <c r="CP234">
        <f>VLOOKUP(Sales[[#This Row],[Decade]],Lookups!$M$24:$P$40,4,FALSE)</f>
        <v>0.99560000000000004</v>
      </c>
      <c r="CQ234">
        <f>Sales[[#This Row],[Nbhd Adj]]*0.95</f>
        <v>0.94971499999999998</v>
      </c>
      <c r="CR234">
        <f>Sales[[#This Row],[Nbhd Adj]]*Sales[[#This Row],[Quality Adj]]*Sales[[#This Row],[Condition Adj]]*Sales[[#This Row],[Living Area Adj]]*Sales[[#This Row],[Decade Adj]]*0.95</f>
        <v>0.95394079079991467</v>
      </c>
      <c r="CS234">
        <f>ROUND(SUM(Sales[[#This Row],[Mdl Qlty]:[Mdl BltinGar]])+Sales[[#This Row],[Mdl Res Intercept]]*Sales[[#This Row],[Res Adj ]],-2)</f>
        <v>400800</v>
      </c>
      <c r="CT234">
        <f>ROUND(Sales[[#This Row],[25Det]]*Sales[[#This Row],[Det/Nbhd Adj]],-2)</f>
        <v>0</v>
      </c>
      <c r="CU234">
        <f>Sales[[#This Row],[Adjusted Res]]+Sales[[#This Row],[Adj Det ]]</f>
        <v>400800</v>
      </c>
      <c r="CV234">
        <f>ROUND((Sales[[#This Row],[Mdl Land Intercept]]+Sales[[#This Row],[Mdl LnAcres]])*Sales[[#This Row],[Det/Nbhd Adj]],-2)</f>
        <v>61100</v>
      </c>
      <c r="CW234">
        <f>Sales[[#This Row],[Adjusted Impr Total]]+Sales[[#This Row],[Adjusted Land Total]]</f>
        <v>461900</v>
      </c>
      <c r="CX234" s="10">
        <f>IFERROR((Sales[[#This Row],[Adjusted Impr Total]]-Sales[[#This Row],[24Bldg]])/Sales[[#This Row],[24Bldg]],0)</f>
        <v>3.6730470770822553E-2</v>
      </c>
      <c r="CY234" s="10">
        <f>(Sales[[#This Row],[Adjusted Land Total]]-Sales[[#This Row],[24Lnd]])/Sales[[#This Row],[24Lnd]]</f>
        <v>4.9342105263157892E-3</v>
      </c>
      <c r="CZ234">
        <f>(Sales[[#This Row],[Adjusted Total]]-Sales[[#This Row],[24Final]])/Sales[[#This Row],[24Final]]</f>
        <v>3.2409476978095667E-2</v>
      </c>
      <c r="DA234" s="10">
        <f>(Sales[[#This Row],[Adjusted Total]]+Sales[[#This Row],[Days Prior Total]])/Sales[[#This Row],[Price]]</f>
        <v>0.93145568675365864</v>
      </c>
    </row>
    <row r="235" spans="1:105">
      <c r="A235">
        <v>2025</v>
      </c>
      <c r="B235">
        <v>19120112410</v>
      </c>
      <c r="C235">
        <v>-1.8325814637483102</v>
      </c>
      <c r="D235">
        <v>0.16</v>
      </c>
      <c r="E235">
        <v>7089</v>
      </c>
      <c r="F235">
        <v>2</v>
      </c>
      <c r="G235" t="s">
        <v>155</v>
      </c>
      <c r="H235">
        <v>317</v>
      </c>
      <c r="I235" t="s">
        <v>5</v>
      </c>
      <c r="J235" t="s">
        <v>212</v>
      </c>
      <c r="K235">
        <v>11</v>
      </c>
      <c r="L235">
        <v>259</v>
      </c>
      <c r="M235" t="s">
        <v>193</v>
      </c>
      <c r="N235" t="s">
        <v>19</v>
      </c>
      <c r="O235" t="s">
        <v>20</v>
      </c>
      <c r="P235">
        <v>2006</v>
      </c>
      <c r="Q235">
        <v>2006</v>
      </c>
      <c r="R235">
        <v>20</v>
      </c>
      <c r="S235">
        <v>18</v>
      </c>
      <c r="T235">
        <v>18</v>
      </c>
      <c r="U235">
        <v>1</v>
      </c>
      <c r="V235">
        <v>2154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2154</v>
      </c>
      <c r="AC235">
        <v>2500</v>
      </c>
      <c r="AD235">
        <v>3</v>
      </c>
      <c r="AE235" t="s">
        <v>56</v>
      </c>
      <c r="AF235" t="s">
        <v>331</v>
      </c>
      <c r="AG235" t="s">
        <v>21</v>
      </c>
      <c r="AH235" t="s">
        <v>161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11</v>
      </c>
      <c r="AO235">
        <v>730</v>
      </c>
      <c r="AP235">
        <v>0</v>
      </c>
      <c r="AQ235">
        <v>0</v>
      </c>
      <c r="AR235">
        <v>0</v>
      </c>
      <c r="AS235">
        <v>100</v>
      </c>
      <c r="AT235">
        <v>0</v>
      </c>
      <c r="AU235">
        <v>100</v>
      </c>
      <c r="AV235">
        <v>100</v>
      </c>
      <c r="AW235">
        <v>369298</v>
      </c>
      <c r="AX235">
        <v>347140</v>
      </c>
      <c r="AY235">
        <v>602</v>
      </c>
      <c r="AZ235">
        <v>365</v>
      </c>
      <c r="BA235">
        <v>237</v>
      </c>
      <c r="BB235">
        <v>0</v>
      </c>
      <c r="BC235" s="2">
        <v>44690</v>
      </c>
      <c r="BD235" t="s">
        <v>395</v>
      </c>
      <c r="BE235">
        <v>420000</v>
      </c>
      <c r="BF235">
        <v>420000</v>
      </c>
      <c r="BG235" t="s">
        <v>160</v>
      </c>
      <c r="BH235">
        <v>30</v>
      </c>
      <c r="BI235" t="s">
        <v>56</v>
      </c>
      <c r="BJ235" t="s">
        <v>161</v>
      </c>
      <c r="BK235">
        <v>421500</v>
      </c>
      <c r="BL235">
        <v>60800</v>
      </c>
      <c r="BM235">
        <v>360700</v>
      </c>
      <c r="BN235">
        <v>0</v>
      </c>
      <c r="BO235">
        <v>400609.79718770715</v>
      </c>
      <c r="BP235">
        <v>413127.34616777184</v>
      </c>
      <c r="BQ235">
        <f>(Sales[[#This Row],[DP1]]*Lookups!$B$61)+(Sales[[#This Row],[DP2]]*Lookups!$B$62)+(Sales[[#This Row],[DP3]]*Lookups!$B$63)</f>
        <v>-12517.548231000001</v>
      </c>
      <c r="BR235">
        <f>Lookups!$B$58*0.6</f>
        <v>132535.48800000001</v>
      </c>
      <c r="BS235">
        <f>Lookups!$B$58*0.4</f>
        <v>88356.992000000013</v>
      </c>
      <c r="BT235">
        <f>Lookups!$B$59*Sales[[#This Row],[LnAcres]]</f>
        <v>-24051.387388882686</v>
      </c>
      <c r="BU235">
        <f>VLOOKUP(Sales[[#This Row],[Qlty]],Lookups!$A$66:$E$79,2,FALSE)</f>
        <v>37154.252388000001</v>
      </c>
      <c r="BV235">
        <f>VLOOKUP(Sales[[#This Row],[Cnd]],Lookups!$A$80:$E$91,2,FALSE)</f>
        <v>30300.329274</v>
      </c>
      <c r="BW235">
        <f>Sales[[#This Row],[EffAge]]*Lookups!$B$65</f>
        <v>-1957.3398</v>
      </c>
      <c r="BX235">
        <f>Sales[[#This Row],[MainFn]]*Lookups!$B$90</f>
        <v>134431.95852000001</v>
      </c>
      <c r="BY235">
        <f>Sales[[#This Row],[UpprFn]]*Lookups!$B$91</f>
        <v>0</v>
      </c>
      <c r="BZ235">
        <f>Sales[[#This Row],[Bsmt]]*Lookups!$B$95</f>
        <v>0</v>
      </c>
      <c r="CA235">
        <f>VLOOKUP(Sales[[#This Row],[MsnryTrim]],Lookups!$A$90:$E$99,2,FALSE)</f>
        <v>-9412.7029999999995</v>
      </c>
      <c r="CB235">
        <f>Sales[[#This Row],[PrefabFP]]*Lookups!$B$92</f>
        <v>0</v>
      </c>
      <c r="CC235">
        <f>Sales[[#This Row],[AttGar]]*Lookups!$B$93</f>
        <v>25769.752630000003</v>
      </c>
      <c r="CD235">
        <f>Sales[[#This Row],[BltinGar]]*Lookups!$B$94</f>
        <v>0</v>
      </c>
      <c r="CE235">
        <f>SUM(Sales[[#This Row],[Days Prior Total]:[Mdl BltinGar]])</f>
        <v>400609.79439211736</v>
      </c>
      <c r="CF235">
        <f>ROUND(Sales[[#This Row],[25Det]],-2)</f>
        <v>0</v>
      </c>
      <c r="CG235">
        <f>ROUND(SUM(Sales[[#This Row],[Mdl Qlty]:[Mdl BltinGar]])+Sales[[#This Row],[Mdl Res Intercept]]+Sales[[#This Row],[Days Prior Total]],-2)</f>
        <v>336300</v>
      </c>
      <c r="CH235">
        <f>ROUND(Sales[[#This Row],[Mdl Land Intercept]]+Sales[[#This Row],[Mdl LnAcres]],-2)</f>
        <v>64300</v>
      </c>
      <c r="CI235">
        <f>Sales[[#This Row],[Unadj Res Value]]+Sales[[#This Row],[Unadj Det Value]]+Sales[[#This Row],[Unadj Land Value]]</f>
        <v>400600</v>
      </c>
      <c r="CJ235" s="10">
        <f>Sales[[#This Row],[Price]]/Sales[[#This Row],[Unadj Total Value]]</f>
        <v>1.0484273589615576</v>
      </c>
      <c r="CK235" s="10">
        <f>(Sales[[#This Row],[Unadj Total Value]]-Sales[[#This Row],[24Final]])/Sales[[#This Row],[24Final]]</f>
        <v>-4.9584816132858839E-2</v>
      </c>
      <c r="CL235">
        <f>VLOOKUP(Sales[[#This Row],[TNbhd]],Lookups!$M$3:$P$5,4,FALSE)</f>
        <v>0.99970000000000003</v>
      </c>
      <c r="CM235">
        <f>VLOOKUP(Sales[[#This Row],[Qlty]],Lookups!$M$8:$P$22,4,FALSE)</f>
        <v>0.99819999999999998</v>
      </c>
      <c r="CN235">
        <f>VLOOKUP(Sales[[#This Row],[Cnd]],Lookups!$R$8:$U$17,4,FALSE)</f>
        <v>0.997</v>
      </c>
      <c r="CO235">
        <f>VLOOKUP(Sales[[#This Row],[LivArea Range]],Lookups!$R$25:$U$43,4,FALSE)</f>
        <v>1.0008999999999999</v>
      </c>
      <c r="CP235">
        <f>VLOOKUP(Sales[[#This Row],[Decade]],Lookups!$M$24:$P$40,4,FALSE)</f>
        <v>0.99560000000000004</v>
      </c>
      <c r="CQ235">
        <f>Sales[[#This Row],[Nbhd Adj]]*0.95</f>
        <v>0.94971499999999998</v>
      </c>
      <c r="CR235">
        <f>Sales[[#This Row],[Nbhd Adj]]*Sales[[#This Row],[Quality Adj]]*Sales[[#This Row],[Condition Adj]]*Sales[[#This Row],[Living Area Adj]]*Sales[[#This Row],[Decade Adj]]*0.95</f>
        <v>0.94184968838386041</v>
      </c>
      <c r="CS235">
        <f>ROUND(SUM(Sales[[#This Row],[Mdl Qlty]:[Mdl BltinGar]])+Sales[[#This Row],[Mdl Res Intercept]]*Sales[[#This Row],[Res Adj ]],-2)</f>
        <v>341100</v>
      </c>
      <c r="CT235">
        <f>ROUND(Sales[[#This Row],[25Det]]*Sales[[#This Row],[Det/Nbhd Adj]],-2)</f>
        <v>0</v>
      </c>
      <c r="CU235">
        <f>Sales[[#This Row],[Adjusted Res]]+Sales[[#This Row],[Adj Det ]]</f>
        <v>341100</v>
      </c>
      <c r="CV235">
        <f>ROUND((Sales[[#This Row],[Mdl Land Intercept]]+Sales[[#This Row],[Mdl LnAcres]])*Sales[[#This Row],[Det/Nbhd Adj]],-2)</f>
        <v>61100</v>
      </c>
      <c r="CW235">
        <f>Sales[[#This Row],[Adjusted Impr Total]]+Sales[[#This Row],[Adjusted Land Total]]</f>
        <v>402200</v>
      </c>
      <c r="CX235" s="10">
        <f>IFERROR((Sales[[#This Row],[Adjusted Impr Total]]-Sales[[#This Row],[24Bldg]])/Sales[[#This Row],[24Bldg]],0)</f>
        <v>-5.4338785694482951E-2</v>
      </c>
      <c r="CY235" s="10">
        <f>(Sales[[#This Row],[Adjusted Land Total]]-Sales[[#This Row],[24Lnd]])/Sales[[#This Row],[24Lnd]]</f>
        <v>4.9342105263157892E-3</v>
      </c>
      <c r="CZ235">
        <f>(Sales[[#This Row],[Adjusted Total]]-Sales[[#This Row],[24Final]])/Sales[[#This Row],[24Final]]</f>
        <v>-4.578884934756821E-2</v>
      </c>
      <c r="DA235" s="10">
        <f>(Sales[[#This Row],[Adjusted Total]]+Sales[[#This Row],[Days Prior Total]])/Sales[[#This Row],[Price]]</f>
        <v>0.92781536135476184</v>
      </c>
    </row>
    <row r="236" spans="1:105">
      <c r="A236">
        <v>2025</v>
      </c>
      <c r="B236">
        <v>19120113452</v>
      </c>
      <c r="C236">
        <v>-1.8325814637483102</v>
      </c>
      <c r="D236">
        <v>0.16</v>
      </c>
      <c r="E236">
        <v>6805</v>
      </c>
      <c r="F236">
        <v>2</v>
      </c>
      <c r="G236" t="s">
        <v>155</v>
      </c>
      <c r="H236">
        <v>317</v>
      </c>
      <c r="I236" t="s">
        <v>5</v>
      </c>
      <c r="J236" t="s">
        <v>212</v>
      </c>
      <c r="K236">
        <v>11</v>
      </c>
      <c r="L236">
        <v>259</v>
      </c>
      <c r="M236" t="s">
        <v>193</v>
      </c>
      <c r="N236" t="s">
        <v>19</v>
      </c>
      <c r="O236" t="s">
        <v>18</v>
      </c>
      <c r="P236">
        <v>2006</v>
      </c>
      <c r="Q236">
        <v>2006</v>
      </c>
      <c r="R236">
        <v>20</v>
      </c>
      <c r="S236">
        <v>18</v>
      </c>
      <c r="T236">
        <v>18</v>
      </c>
      <c r="U236">
        <v>1</v>
      </c>
      <c r="V236">
        <v>1092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1092</v>
      </c>
      <c r="AC236">
        <v>1500</v>
      </c>
      <c r="AD236">
        <v>0</v>
      </c>
      <c r="AE236" t="s">
        <v>56</v>
      </c>
      <c r="AF236" t="s">
        <v>331</v>
      </c>
      <c r="AG236" t="s">
        <v>21</v>
      </c>
      <c r="AH236" t="s">
        <v>161</v>
      </c>
      <c r="AI236">
        <v>0</v>
      </c>
      <c r="AJ236">
        <v>0</v>
      </c>
      <c r="AK236">
        <v>0</v>
      </c>
      <c r="AL236">
        <v>1</v>
      </c>
      <c r="AM236">
        <v>0</v>
      </c>
      <c r="AN236">
        <v>8</v>
      </c>
      <c r="AO236">
        <v>440</v>
      </c>
      <c r="AP236">
        <v>0</v>
      </c>
      <c r="AQ236">
        <v>0</v>
      </c>
      <c r="AR236">
        <v>0</v>
      </c>
      <c r="AS236">
        <v>100</v>
      </c>
      <c r="AT236">
        <v>0</v>
      </c>
      <c r="AU236">
        <v>100</v>
      </c>
      <c r="AV236">
        <v>100</v>
      </c>
      <c r="AW236">
        <v>208864</v>
      </c>
      <c r="AX236">
        <v>192155</v>
      </c>
      <c r="AY236">
        <v>902</v>
      </c>
      <c r="AZ236">
        <v>365</v>
      </c>
      <c r="BA236">
        <v>365</v>
      </c>
      <c r="BB236">
        <v>172</v>
      </c>
      <c r="BC236" s="2">
        <v>44390</v>
      </c>
      <c r="BD236" t="s">
        <v>396</v>
      </c>
      <c r="BE236">
        <v>292500</v>
      </c>
      <c r="BF236">
        <v>292500</v>
      </c>
      <c r="BG236" t="s">
        <v>160</v>
      </c>
      <c r="BH236">
        <v>30</v>
      </c>
      <c r="BI236" t="s">
        <v>56</v>
      </c>
      <c r="BJ236" t="s">
        <v>161</v>
      </c>
      <c r="BK236">
        <v>338400</v>
      </c>
      <c r="BL236">
        <v>60800</v>
      </c>
      <c r="BM236">
        <v>277600</v>
      </c>
      <c r="BN236">
        <v>0</v>
      </c>
      <c r="BO236">
        <v>263532.79426300706</v>
      </c>
      <c r="BP236">
        <v>324071.01633143181</v>
      </c>
      <c r="BQ236">
        <f>(Sales[[#This Row],[DP1]]*Lookups!$B$61)+(Sales[[#This Row],[DP2]]*Lookups!$B$62)+(Sales[[#This Row],[DP3]]*Lookups!$B$63)</f>
        <v>-60538.219431000005</v>
      </c>
      <c r="BR236">
        <f>Lookups!$B$58*0.6</f>
        <v>132535.48800000001</v>
      </c>
      <c r="BS236">
        <f>Lookups!$B$58*0.4</f>
        <v>88356.992000000013</v>
      </c>
      <c r="BT236">
        <f>Lookups!$B$59*Sales[[#This Row],[LnAcres]]</f>
        <v>-24051.387388882686</v>
      </c>
      <c r="BU236">
        <f>VLOOKUP(Sales[[#This Row],[Qlty]],Lookups!$A$66:$E$79,2,FALSE)</f>
        <v>37154.252388000001</v>
      </c>
      <c r="BV236">
        <f>VLOOKUP(Sales[[#This Row],[Cnd]],Lookups!$A$80:$E$91,2,FALSE)</f>
        <v>17761.121909000001</v>
      </c>
      <c r="BW236">
        <f>Sales[[#This Row],[EffAge]]*Lookups!$B$65</f>
        <v>-1957.3398</v>
      </c>
      <c r="BX236">
        <f>Sales[[#This Row],[MainFn]]*Lookups!$B$90</f>
        <v>68152.13496000001</v>
      </c>
      <c r="BY236">
        <f>Sales[[#This Row],[UpprFn]]*Lookups!$B$91</f>
        <v>0</v>
      </c>
      <c r="BZ236">
        <f>Sales[[#This Row],[Bsmt]]*Lookups!$B$95</f>
        <v>0</v>
      </c>
      <c r="CA236">
        <f>VLOOKUP(Sales[[#This Row],[MsnryTrim]],Lookups!$A$90:$E$99,2,FALSE)</f>
        <v>-9412.7029999999995</v>
      </c>
      <c r="CB236">
        <f>Sales[[#This Row],[PrefabFP]]*Lookups!$B$92</f>
        <v>0</v>
      </c>
      <c r="CC236">
        <f>Sales[[#This Row],[AttGar]]*Lookups!$B$93</f>
        <v>15532.453640000002</v>
      </c>
      <c r="CD236">
        <f>Sales[[#This Row],[BltinGar]]*Lookups!$B$94</f>
        <v>0</v>
      </c>
      <c r="CE236">
        <f>SUM(Sales[[#This Row],[Days Prior Total]:[Mdl BltinGar]])</f>
        <v>263532.79327711737</v>
      </c>
      <c r="CF236">
        <f>ROUND(Sales[[#This Row],[25Det]],-2)</f>
        <v>0</v>
      </c>
      <c r="CG236">
        <f>ROUND(SUM(Sales[[#This Row],[Mdl Qlty]:[Mdl BltinGar]])+Sales[[#This Row],[Mdl Res Intercept]]+Sales[[#This Row],[Days Prior Total]],-2)</f>
        <v>199200</v>
      </c>
      <c r="CH236">
        <f>ROUND(Sales[[#This Row],[Mdl Land Intercept]]+Sales[[#This Row],[Mdl LnAcres]],-2)</f>
        <v>64300</v>
      </c>
      <c r="CI236">
        <f>Sales[[#This Row],[Unadj Res Value]]+Sales[[#This Row],[Unadj Det Value]]+Sales[[#This Row],[Unadj Land Value]]</f>
        <v>263500</v>
      </c>
      <c r="CJ236" s="10">
        <f>Sales[[#This Row],[Price]]/Sales[[#This Row],[Unadj Total Value]]</f>
        <v>1.110056925996205</v>
      </c>
      <c r="CK236" s="10">
        <f>(Sales[[#This Row],[Unadj Total Value]]-Sales[[#This Row],[24Final]])/Sales[[#This Row],[24Final]]</f>
        <v>-0.22133569739952719</v>
      </c>
      <c r="CL236">
        <f>VLOOKUP(Sales[[#This Row],[TNbhd]],Lookups!$M$3:$P$5,4,FALSE)</f>
        <v>0.99970000000000003</v>
      </c>
      <c r="CM236">
        <f>VLOOKUP(Sales[[#This Row],[Qlty]],Lookups!$M$8:$P$22,4,FALSE)</f>
        <v>0.99819999999999998</v>
      </c>
      <c r="CN236">
        <f>VLOOKUP(Sales[[#This Row],[Cnd]],Lookups!$R$8:$U$17,4,FALSE)</f>
        <v>0.99680000000000002</v>
      </c>
      <c r="CO236">
        <f>VLOOKUP(Sales[[#This Row],[LivArea Range]],Lookups!$R$25:$U$43,4,FALSE)</f>
        <v>0.99519999999999997</v>
      </c>
      <c r="CP236">
        <f>VLOOKUP(Sales[[#This Row],[Decade]],Lookups!$M$24:$P$40,4,FALSE)</f>
        <v>0.99560000000000004</v>
      </c>
      <c r="CQ236">
        <f>Sales[[#This Row],[Nbhd Adj]]*0.95</f>
        <v>0.94971499999999998</v>
      </c>
      <c r="CR236">
        <f>Sales[[#This Row],[Nbhd Adj]]*Sales[[#This Row],[Quality Adj]]*Sales[[#This Row],[Condition Adj]]*Sales[[#This Row],[Living Area Adj]]*Sales[[#This Row],[Decade Adj]]*0.95</f>
        <v>0.93629811172753274</v>
      </c>
      <c r="CS236">
        <f>ROUND(SUM(Sales[[#This Row],[Mdl Qlty]:[Mdl BltinGar]])+Sales[[#This Row],[Mdl Res Intercept]]*Sales[[#This Row],[Res Adj ]],-2)</f>
        <v>251300</v>
      </c>
      <c r="CT236">
        <f>ROUND(Sales[[#This Row],[25Det]]*Sales[[#This Row],[Det/Nbhd Adj]],-2)</f>
        <v>0</v>
      </c>
      <c r="CU236">
        <f>Sales[[#This Row],[Adjusted Res]]+Sales[[#This Row],[Adj Det ]]</f>
        <v>251300</v>
      </c>
      <c r="CV236">
        <f>ROUND((Sales[[#This Row],[Mdl Land Intercept]]+Sales[[#This Row],[Mdl LnAcres]])*Sales[[#This Row],[Det/Nbhd Adj]],-2)</f>
        <v>61100</v>
      </c>
      <c r="CW236">
        <f>Sales[[#This Row],[Adjusted Impr Total]]+Sales[[#This Row],[Adjusted Land Total]]</f>
        <v>312400</v>
      </c>
      <c r="CX236" s="10">
        <f>IFERROR((Sales[[#This Row],[Adjusted Impr Total]]-Sales[[#This Row],[24Bldg]])/Sales[[#This Row],[24Bldg]],0)</f>
        <v>-9.4740634005763685E-2</v>
      </c>
      <c r="CY236" s="10">
        <f>(Sales[[#This Row],[Adjusted Land Total]]-Sales[[#This Row],[24Lnd]])/Sales[[#This Row],[24Lnd]]</f>
        <v>4.9342105263157892E-3</v>
      </c>
      <c r="CZ236">
        <f>(Sales[[#This Row],[Adjusted Total]]-Sales[[#This Row],[24Final]])/Sales[[#This Row],[24Final]]</f>
        <v>-7.6832151300236406E-2</v>
      </c>
      <c r="DA236" s="10">
        <f>(Sales[[#This Row],[Adjusted Total]]+Sales[[#This Row],[Days Prior Total]])/Sales[[#This Row],[Price]]</f>
        <v>0.86106591647521369</v>
      </c>
    </row>
    <row r="237" spans="1:105">
      <c r="A237">
        <v>2025</v>
      </c>
      <c r="B237">
        <v>19120113483</v>
      </c>
      <c r="C237">
        <v>-1.8325814637483102</v>
      </c>
      <c r="D237">
        <v>0.16</v>
      </c>
      <c r="E237">
        <v>7000</v>
      </c>
      <c r="F237">
        <v>2</v>
      </c>
      <c r="G237" t="s">
        <v>155</v>
      </c>
      <c r="H237">
        <v>317</v>
      </c>
      <c r="I237" t="s">
        <v>5</v>
      </c>
      <c r="J237" t="s">
        <v>212</v>
      </c>
      <c r="K237">
        <v>11</v>
      </c>
      <c r="L237">
        <v>259</v>
      </c>
      <c r="M237" t="s">
        <v>193</v>
      </c>
      <c r="N237" t="s">
        <v>19</v>
      </c>
      <c r="O237" t="s">
        <v>18</v>
      </c>
      <c r="P237">
        <v>2006</v>
      </c>
      <c r="Q237">
        <v>2006</v>
      </c>
      <c r="R237">
        <v>20</v>
      </c>
      <c r="S237">
        <v>18</v>
      </c>
      <c r="T237">
        <v>18</v>
      </c>
      <c r="U237">
        <v>1</v>
      </c>
      <c r="V237">
        <v>1380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1380</v>
      </c>
      <c r="AC237">
        <v>1500</v>
      </c>
      <c r="AD237">
        <v>2</v>
      </c>
      <c r="AE237" t="s">
        <v>56</v>
      </c>
      <c r="AF237" t="s">
        <v>331</v>
      </c>
      <c r="AG237" t="s">
        <v>21</v>
      </c>
      <c r="AH237" t="s">
        <v>161</v>
      </c>
      <c r="AI237">
        <v>0</v>
      </c>
      <c r="AJ237">
        <v>0</v>
      </c>
      <c r="AK237">
        <v>0</v>
      </c>
      <c r="AL237">
        <v>1</v>
      </c>
      <c r="AM237">
        <v>0</v>
      </c>
      <c r="AN237">
        <v>8</v>
      </c>
      <c r="AO237">
        <v>428</v>
      </c>
      <c r="AP237">
        <v>0</v>
      </c>
      <c r="AQ237">
        <v>0</v>
      </c>
      <c r="AR237">
        <v>0</v>
      </c>
      <c r="AS237">
        <v>100</v>
      </c>
      <c r="AT237">
        <v>0</v>
      </c>
      <c r="AU237">
        <v>100</v>
      </c>
      <c r="AV237">
        <v>100</v>
      </c>
      <c r="AW237">
        <v>248548</v>
      </c>
      <c r="AX237">
        <v>228664</v>
      </c>
      <c r="AY237">
        <v>473</v>
      </c>
      <c r="AZ237">
        <v>365</v>
      </c>
      <c r="BA237">
        <v>108</v>
      </c>
      <c r="BB237">
        <v>0</v>
      </c>
      <c r="BC237" s="2">
        <v>44819</v>
      </c>
      <c r="BD237" t="s">
        <v>397</v>
      </c>
      <c r="BE237">
        <v>315000</v>
      </c>
      <c r="BF237">
        <v>315000</v>
      </c>
      <c r="BG237" t="s">
        <v>160</v>
      </c>
      <c r="BH237">
        <v>30</v>
      </c>
      <c r="BI237" t="s">
        <v>56</v>
      </c>
      <c r="BJ237" t="s">
        <v>161</v>
      </c>
      <c r="BK237">
        <v>367700</v>
      </c>
      <c r="BL237">
        <v>60800</v>
      </c>
      <c r="BM237">
        <v>306900</v>
      </c>
      <c r="BN237">
        <v>0</v>
      </c>
      <c r="BO237">
        <v>337804.26279502519</v>
      </c>
      <c r="BP237">
        <v>341621.59341067786</v>
      </c>
      <c r="BQ237">
        <f>(Sales[[#This Row],[DP1]]*Lookups!$B$61)+(Sales[[#This Row],[DP2]]*Lookups!$B$62)+(Sales[[#This Row],[DP3]]*Lookups!$B$63)</f>
        <v>-3817.330281</v>
      </c>
      <c r="BR237">
        <f>Lookups!$B$58*0.6</f>
        <v>132535.48800000001</v>
      </c>
      <c r="BS237">
        <f>Lookups!$B$58*0.4</f>
        <v>88356.992000000013</v>
      </c>
      <c r="BT237">
        <f>Lookups!$B$59*Sales[[#This Row],[LnAcres]]</f>
        <v>-24051.387388882686</v>
      </c>
      <c r="BU237">
        <f>VLOOKUP(Sales[[#This Row],[Qlty]],Lookups!$A$66:$E$79,2,FALSE)</f>
        <v>37154.252388000001</v>
      </c>
      <c r="BV237">
        <f>VLOOKUP(Sales[[#This Row],[Cnd]],Lookups!$A$80:$E$91,2,FALSE)</f>
        <v>17761.121909000001</v>
      </c>
      <c r="BW237">
        <f>Sales[[#This Row],[EffAge]]*Lookups!$B$65</f>
        <v>-1957.3398</v>
      </c>
      <c r="BX237">
        <f>Sales[[#This Row],[MainFn]]*Lookups!$B$90</f>
        <v>86126.324399999998</v>
      </c>
      <c r="BY237">
        <f>Sales[[#This Row],[UpprFn]]*Lookups!$B$91</f>
        <v>0</v>
      </c>
      <c r="BZ237">
        <f>Sales[[#This Row],[Bsmt]]*Lookups!$B$95</f>
        <v>0</v>
      </c>
      <c r="CA237">
        <f>VLOOKUP(Sales[[#This Row],[MsnryTrim]],Lookups!$A$90:$E$99,2,FALSE)</f>
        <v>-9412.7029999999995</v>
      </c>
      <c r="CB237">
        <f>Sales[[#This Row],[PrefabFP]]*Lookups!$B$92</f>
        <v>0</v>
      </c>
      <c r="CC237">
        <f>Sales[[#This Row],[AttGar]]*Lookups!$B$93</f>
        <v>15108.841268</v>
      </c>
      <c r="CD237">
        <f>Sales[[#This Row],[BltinGar]]*Lookups!$B$94</f>
        <v>0</v>
      </c>
      <c r="CE237">
        <f>SUM(Sales[[#This Row],[Days Prior Total]:[Mdl BltinGar]])</f>
        <v>337804.25949511741</v>
      </c>
      <c r="CF237">
        <f>ROUND(Sales[[#This Row],[25Det]],-2)</f>
        <v>0</v>
      </c>
      <c r="CG237">
        <f>ROUND(SUM(Sales[[#This Row],[Mdl Qlty]:[Mdl BltinGar]])+Sales[[#This Row],[Mdl Res Intercept]]+Sales[[#This Row],[Days Prior Total]],-2)</f>
        <v>273500</v>
      </c>
      <c r="CH237">
        <f>ROUND(Sales[[#This Row],[Mdl Land Intercept]]+Sales[[#This Row],[Mdl LnAcres]],-2)</f>
        <v>64300</v>
      </c>
      <c r="CI237">
        <f>Sales[[#This Row],[Unadj Res Value]]+Sales[[#This Row],[Unadj Det Value]]+Sales[[#This Row],[Unadj Land Value]]</f>
        <v>337800</v>
      </c>
      <c r="CJ237" s="10">
        <f>Sales[[#This Row],[Price]]/Sales[[#This Row],[Unadj Total Value]]</f>
        <v>0.93250444049733572</v>
      </c>
      <c r="CK237" s="10">
        <f>(Sales[[#This Row],[Unadj Total Value]]-Sales[[#This Row],[24Final]])/Sales[[#This Row],[24Final]]</f>
        <v>-8.13162904541746E-2</v>
      </c>
      <c r="CL237">
        <f>VLOOKUP(Sales[[#This Row],[TNbhd]],Lookups!$M$3:$P$5,4,FALSE)</f>
        <v>0.99970000000000003</v>
      </c>
      <c r="CM237">
        <f>VLOOKUP(Sales[[#This Row],[Qlty]],Lookups!$M$8:$P$22,4,FALSE)</f>
        <v>0.99819999999999998</v>
      </c>
      <c r="CN237">
        <f>VLOOKUP(Sales[[#This Row],[Cnd]],Lookups!$R$8:$U$17,4,FALSE)</f>
        <v>0.99680000000000002</v>
      </c>
      <c r="CO237">
        <f>VLOOKUP(Sales[[#This Row],[LivArea Range]],Lookups!$R$25:$U$43,4,FALSE)</f>
        <v>0.99519999999999997</v>
      </c>
      <c r="CP237">
        <f>VLOOKUP(Sales[[#This Row],[Decade]],Lookups!$M$24:$P$40,4,FALSE)</f>
        <v>0.99560000000000004</v>
      </c>
      <c r="CQ237">
        <f>Sales[[#This Row],[Nbhd Adj]]*0.95</f>
        <v>0.94971499999999998</v>
      </c>
      <c r="CR237">
        <f>Sales[[#This Row],[Nbhd Adj]]*Sales[[#This Row],[Quality Adj]]*Sales[[#This Row],[Condition Adj]]*Sales[[#This Row],[Living Area Adj]]*Sales[[#This Row],[Decade Adj]]*0.95</f>
        <v>0.93629811172753274</v>
      </c>
      <c r="CS237">
        <f>ROUND(SUM(Sales[[#This Row],[Mdl Qlty]:[Mdl BltinGar]])+Sales[[#This Row],[Mdl Res Intercept]]*Sales[[#This Row],[Res Adj ]],-2)</f>
        <v>268900</v>
      </c>
      <c r="CT237">
        <f>ROUND(Sales[[#This Row],[25Det]]*Sales[[#This Row],[Det/Nbhd Adj]],-2)</f>
        <v>0</v>
      </c>
      <c r="CU237">
        <f>Sales[[#This Row],[Adjusted Res]]+Sales[[#This Row],[Adj Det ]]</f>
        <v>268900</v>
      </c>
      <c r="CV237">
        <f>ROUND((Sales[[#This Row],[Mdl Land Intercept]]+Sales[[#This Row],[Mdl LnAcres]])*Sales[[#This Row],[Det/Nbhd Adj]],-2)</f>
        <v>61100</v>
      </c>
      <c r="CW237">
        <f>Sales[[#This Row],[Adjusted Impr Total]]+Sales[[#This Row],[Adjusted Land Total]]</f>
        <v>330000</v>
      </c>
      <c r="CX237" s="10">
        <f>IFERROR((Sales[[#This Row],[Adjusted Impr Total]]-Sales[[#This Row],[24Bldg]])/Sales[[#This Row],[24Bldg]],0)</f>
        <v>-0.12381883349625285</v>
      </c>
      <c r="CY237" s="10">
        <f>(Sales[[#This Row],[Adjusted Land Total]]-Sales[[#This Row],[24Lnd]])/Sales[[#This Row],[24Lnd]]</f>
        <v>4.9342105263157892E-3</v>
      </c>
      <c r="CZ237">
        <f>(Sales[[#This Row],[Adjusted Total]]-Sales[[#This Row],[24Final]])/Sales[[#This Row],[24Final]]</f>
        <v>-0.10252923579004623</v>
      </c>
      <c r="DA237" s="10">
        <f>(Sales[[#This Row],[Adjusted Total]]+Sales[[#This Row],[Days Prior Total]])/Sales[[#This Row],[Price]]</f>
        <v>1.0355005387904761</v>
      </c>
    </row>
    <row r="238" spans="1:105">
      <c r="A238">
        <v>2025</v>
      </c>
      <c r="B238">
        <v>19120113499</v>
      </c>
      <c r="C238">
        <v>-1.5141277326297755</v>
      </c>
      <c r="D238">
        <v>0.22</v>
      </c>
      <c r="E238">
        <v>9726</v>
      </c>
      <c r="F238">
        <v>2</v>
      </c>
      <c r="G238" t="s">
        <v>155</v>
      </c>
      <c r="H238">
        <v>317</v>
      </c>
      <c r="I238" t="s">
        <v>5</v>
      </c>
      <c r="J238" t="s">
        <v>212</v>
      </c>
      <c r="K238">
        <v>11</v>
      </c>
      <c r="L238">
        <v>259</v>
      </c>
      <c r="M238" t="s">
        <v>157</v>
      </c>
      <c r="N238" t="s">
        <v>19</v>
      </c>
      <c r="O238" t="s">
        <v>20</v>
      </c>
      <c r="P238">
        <v>2006</v>
      </c>
      <c r="Q238">
        <v>2006</v>
      </c>
      <c r="R238">
        <v>20</v>
      </c>
      <c r="S238">
        <v>18</v>
      </c>
      <c r="T238">
        <v>18</v>
      </c>
      <c r="U238">
        <v>1</v>
      </c>
      <c r="V238">
        <v>1092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1092</v>
      </c>
      <c r="AC238">
        <v>1500</v>
      </c>
      <c r="AD238">
        <v>2</v>
      </c>
      <c r="AE238" t="s">
        <v>56</v>
      </c>
      <c r="AF238" t="s">
        <v>331</v>
      </c>
      <c r="AG238" t="s">
        <v>21</v>
      </c>
      <c r="AH238" t="s">
        <v>161</v>
      </c>
      <c r="AI238">
        <v>0</v>
      </c>
      <c r="AJ238">
        <v>0</v>
      </c>
      <c r="AK238">
        <v>0</v>
      </c>
      <c r="AL238">
        <v>1</v>
      </c>
      <c r="AM238">
        <v>0</v>
      </c>
      <c r="AN238">
        <v>8</v>
      </c>
      <c r="AO238">
        <v>440</v>
      </c>
      <c r="AP238">
        <v>0</v>
      </c>
      <c r="AQ238">
        <v>0</v>
      </c>
      <c r="AR238">
        <v>0</v>
      </c>
      <c r="AS238">
        <v>100</v>
      </c>
      <c r="AT238">
        <v>0</v>
      </c>
      <c r="AU238">
        <v>100</v>
      </c>
      <c r="AV238">
        <v>100</v>
      </c>
      <c r="AW238">
        <v>208864</v>
      </c>
      <c r="AX238">
        <v>196332</v>
      </c>
      <c r="AY238">
        <v>816</v>
      </c>
      <c r="AZ238">
        <v>365</v>
      </c>
      <c r="BA238">
        <v>365</v>
      </c>
      <c r="BB238">
        <v>86</v>
      </c>
      <c r="BC238" s="2">
        <v>44476</v>
      </c>
      <c r="BD238" t="s">
        <v>398</v>
      </c>
      <c r="BE238">
        <v>309000</v>
      </c>
      <c r="BF238">
        <v>309000</v>
      </c>
      <c r="BG238" t="s">
        <v>160</v>
      </c>
      <c r="BH238">
        <v>30</v>
      </c>
      <c r="BI238" t="s">
        <v>56</v>
      </c>
      <c r="BJ238" t="s">
        <v>161</v>
      </c>
      <c r="BK238">
        <v>342900</v>
      </c>
      <c r="BL238">
        <v>65300</v>
      </c>
      <c r="BM238">
        <v>277600</v>
      </c>
      <c r="BN238">
        <v>0</v>
      </c>
      <c r="BO238">
        <v>299945.43971305538</v>
      </c>
      <c r="BP238">
        <v>340789.71264289995</v>
      </c>
      <c r="BQ238">
        <f>(Sales[[#This Row],[DP1]]*Lookups!$B$61)+(Sales[[#This Row],[DP2]]*Lookups!$B$62)+(Sales[[#This Row],[DP3]]*Lookups!$B$63)</f>
        <v>-40844.271030999997</v>
      </c>
      <c r="BR238">
        <f>Lookups!$B$58*0.6</f>
        <v>132535.48800000001</v>
      </c>
      <c r="BS238">
        <f>Lookups!$B$58*0.4</f>
        <v>88356.992000000013</v>
      </c>
      <c r="BT238">
        <f>Lookups!$B$59*Sales[[#This Row],[LnAcres]]</f>
        <v>-19871.898398035348</v>
      </c>
      <c r="BU238">
        <f>VLOOKUP(Sales[[#This Row],[Qlty]],Lookups!$A$66:$E$79,2,FALSE)</f>
        <v>37154.252388000001</v>
      </c>
      <c r="BV238">
        <f>VLOOKUP(Sales[[#This Row],[Cnd]],Lookups!$A$80:$E$91,2,FALSE)</f>
        <v>30300.329274</v>
      </c>
      <c r="BW238">
        <f>Sales[[#This Row],[EffAge]]*Lookups!$B$65</f>
        <v>-1957.3398</v>
      </c>
      <c r="BX238">
        <f>Sales[[#This Row],[MainFn]]*Lookups!$B$90</f>
        <v>68152.13496000001</v>
      </c>
      <c r="BY238">
        <f>Sales[[#This Row],[UpprFn]]*Lookups!$B$91</f>
        <v>0</v>
      </c>
      <c r="BZ238">
        <f>Sales[[#This Row],[Bsmt]]*Lookups!$B$95</f>
        <v>0</v>
      </c>
      <c r="CA238">
        <f>VLOOKUP(Sales[[#This Row],[MsnryTrim]],Lookups!$A$90:$E$99,2,FALSE)</f>
        <v>-9412.7029999999995</v>
      </c>
      <c r="CB238">
        <f>Sales[[#This Row],[PrefabFP]]*Lookups!$B$92</f>
        <v>0</v>
      </c>
      <c r="CC238">
        <f>Sales[[#This Row],[AttGar]]*Lookups!$B$93</f>
        <v>15532.453640000002</v>
      </c>
      <c r="CD238">
        <f>Sales[[#This Row],[BltinGar]]*Lookups!$B$94</f>
        <v>0</v>
      </c>
      <c r="CE238">
        <f>SUM(Sales[[#This Row],[Days Prior Total]:[Mdl BltinGar]])</f>
        <v>299945.43803296471</v>
      </c>
      <c r="CF238">
        <f>ROUND(Sales[[#This Row],[25Det]],-2)</f>
        <v>0</v>
      </c>
      <c r="CG238">
        <f>ROUND(SUM(Sales[[#This Row],[Mdl Qlty]:[Mdl BltinGar]])+Sales[[#This Row],[Mdl Res Intercept]]+Sales[[#This Row],[Days Prior Total]],-2)</f>
        <v>231500</v>
      </c>
      <c r="CH238">
        <f>ROUND(Sales[[#This Row],[Mdl Land Intercept]]+Sales[[#This Row],[Mdl LnAcres]],-2)</f>
        <v>68500</v>
      </c>
      <c r="CI238">
        <f>Sales[[#This Row],[Unadj Res Value]]+Sales[[#This Row],[Unadj Det Value]]+Sales[[#This Row],[Unadj Land Value]]</f>
        <v>300000</v>
      </c>
      <c r="CJ238" s="10">
        <f>Sales[[#This Row],[Price]]/Sales[[#This Row],[Unadj Total Value]]</f>
        <v>1.03</v>
      </c>
      <c r="CK238" s="10">
        <f>(Sales[[#This Row],[Unadj Total Value]]-Sales[[#This Row],[24Final]])/Sales[[#This Row],[24Final]]</f>
        <v>-0.12510936132983377</v>
      </c>
      <c r="CL238">
        <f>VLOOKUP(Sales[[#This Row],[TNbhd]],Lookups!$M$3:$P$5,4,FALSE)</f>
        <v>0.99970000000000003</v>
      </c>
      <c r="CM238">
        <f>VLOOKUP(Sales[[#This Row],[Qlty]],Lookups!$M$8:$P$22,4,FALSE)</f>
        <v>0.99819999999999998</v>
      </c>
      <c r="CN238">
        <f>VLOOKUP(Sales[[#This Row],[Cnd]],Lookups!$R$8:$U$17,4,FALSE)</f>
        <v>0.997</v>
      </c>
      <c r="CO238">
        <f>VLOOKUP(Sales[[#This Row],[LivArea Range]],Lookups!$R$25:$U$43,4,FALSE)</f>
        <v>0.99519999999999997</v>
      </c>
      <c r="CP238">
        <f>VLOOKUP(Sales[[#This Row],[Decade]],Lookups!$M$24:$P$40,4,FALSE)</f>
        <v>0.99560000000000004</v>
      </c>
      <c r="CQ238">
        <f>Sales[[#This Row],[Nbhd Adj]]*0.95</f>
        <v>0.94971499999999998</v>
      </c>
      <c r="CR238">
        <f>Sales[[#This Row],[Nbhd Adj]]*Sales[[#This Row],[Quality Adj]]*Sales[[#This Row],[Condition Adj]]*Sales[[#This Row],[Living Area Adj]]*Sales[[#This Row],[Decade Adj]]*0.95</f>
        <v>0.93648597250436405</v>
      </c>
      <c r="CS238">
        <f>ROUND(SUM(Sales[[#This Row],[Mdl Qlty]:[Mdl BltinGar]])+Sales[[#This Row],[Mdl Res Intercept]]*Sales[[#This Row],[Res Adj ]],-2)</f>
        <v>263900</v>
      </c>
      <c r="CT238">
        <f>ROUND(Sales[[#This Row],[25Det]]*Sales[[#This Row],[Det/Nbhd Adj]],-2)</f>
        <v>0</v>
      </c>
      <c r="CU238">
        <f>Sales[[#This Row],[Adjusted Res]]+Sales[[#This Row],[Adj Det ]]</f>
        <v>263900</v>
      </c>
      <c r="CV238">
        <f>ROUND((Sales[[#This Row],[Mdl Land Intercept]]+Sales[[#This Row],[Mdl LnAcres]])*Sales[[#This Row],[Det/Nbhd Adj]],-2)</f>
        <v>65000</v>
      </c>
      <c r="CW238">
        <f>Sales[[#This Row],[Adjusted Impr Total]]+Sales[[#This Row],[Adjusted Land Total]]</f>
        <v>328900</v>
      </c>
      <c r="CX238" s="10">
        <f>IFERROR((Sales[[#This Row],[Adjusted Impr Total]]-Sales[[#This Row],[24Bldg]])/Sales[[#This Row],[24Bldg]],0)</f>
        <v>-4.935158501440922E-2</v>
      </c>
      <c r="CY238" s="10">
        <f>(Sales[[#This Row],[Adjusted Land Total]]-Sales[[#This Row],[24Lnd]])/Sales[[#This Row],[24Lnd]]</f>
        <v>-4.5941807044410417E-3</v>
      </c>
      <c r="CZ238">
        <f>(Sales[[#This Row],[Adjusted Total]]-Sales[[#This Row],[24Final]])/Sales[[#This Row],[24Final]]</f>
        <v>-4.0828229804607756E-2</v>
      </c>
      <c r="DA238" s="10">
        <f>(Sales[[#This Row],[Adjusted Total]]+Sales[[#This Row],[Days Prior Total]])/Sales[[#This Row],[Price]]</f>
        <v>0.93221918760194167</v>
      </c>
    </row>
    <row r="239" spans="1:105">
      <c r="A239">
        <v>2025</v>
      </c>
      <c r="B239">
        <v>19120113514</v>
      </c>
      <c r="C239">
        <v>-1.8325814637483102</v>
      </c>
      <c r="D239">
        <v>0.16</v>
      </c>
      <c r="E239">
        <v>7085</v>
      </c>
      <c r="F239">
        <v>2</v>
      </c>
      <c r="G239" t="s">
        <v>155</v>
      </c>
      <c r="H239">
        <v>317</v>
      </c>
      <c r="I239" t="s">
        <v>5</v>
      </c>
      <c r="J239" t="s">
        <v>212</v>
      </c>
      <c r="K239">
        <v>11</v>
      </c>
      <c r="L239">
        <v>259</v>
      </c>
      <c r="M239" t="s">
        <v>193</v>
      </c>
      <c r="N239" t="s">
        <v>21</v>
      </c>
      <c r="O239" t="s">
        <v>20</v>
      </c>
      <c r="P239">
        <v>2006</v>
      </c>
      <c r="Q239">
        <v>2006</v>
      </c>
      <c r="R239">
        <v>20</v>
      </c>
      <c r="S239">
        <v>18</v>
      </c>
      <c r="T239">
        <v>18</v>
      </c>
      <c r="U239">
        <v>1</v>
      </c>
      <c r="V239">
        <v>2154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2154</v>
      </c>
      <c r="AC239">
        <v>2500</v>
      </c>
      <c r="AD239">
        <v>3</v>
      </c>
      <c r="AE239" t="s">
        <v>56</v>
      </c>
      <c r="AF239" t="s">
        <v>331</v>
      </c>
      <c r="AG239" t="s">
        <v>21</v>
      </c>
      <c r="AH239" t="s">
        <v>161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11</v>
      </c>
      <c r="AO239">
        <v>730</v>
      </c>
      <c r="AP239">
        <v>0</v>
      </c>
      <c r="AQ239">
        <v>0</v>
      </c>
      <c r="AR239">
        <v>0</v>
      </c>
      <c r="AS239">
        <v>761</v>
      </c>
      <c r="AT239">
        <v>0</v>
      </c>
      <c r="AU239">
        <v>100</v>
      </c>
      <c r="AV239">
        <v>100</v>
      </c>
      <c r="AW239">
        <v>420259</v>
      </c>
      <c r="AX239">
        <v>399246</v>
      </c>
      <c r="AY239">
        <v>165</v>
      </c>
      <c r="AZ239">
        <v>165</v>
      </c>
      <c r="BA239">
        <v>0</v>
      </c>
      <c r="BB239">
        <v>0</v>
      </c>
      <c r="BC239" s="2">
        <v>45127</v>
      </c>
      <c r="BD239" t="s">
        <v>399</v>
      </c>
      <c r="BE239">
        <v>435000</v>
      </c>
      <c r="BF239">
        <v>435000</v>
      </c>
      <c r="BG239" t="s">
        <v>160</v>
      </c>
      <c r="BH239">
        <v>30</v>
      </c>
      <c r="BI239" t="s">
        <v>56</v>
      </c>
      <c r="BJ239" t="s">
        <v>161</v>
      </c>
      <c r="BK239">
        <v>393400</v>
      </c>
      <c r="BL239">
        <v>60800</v>
      </c>
      <c r="BM239">
        <v>332600</v>
      </c>
      <c r="BN239">
        <v>0</v>
      </c>
      <c r="BO239">
        <v>410458.02397621912</v>
      </c>
      <c r="BP239">
        <v>408890.94297166017</v>
      </c>
      <c r="BQ239">
        <f>(Sales[[#This Row],[DP1]]*Lookups!$B$61)+(Sales[[#This Row],[DP2]]*Lookups!$B$62)+(Sales[[#This Row],[DP3]]*Lookups!$B$63)</f>
        <v>1567.080999</v>
      </c>
      <c r="BR239">
        <f>Lookups!$B$58*0.6</f>
        <v>132535.48800000001</v>
      </c>
      <c r="BS239">
        <f>Lookups!$B$58*0.4</f>
        <v>88356.992000000013</v>
      </c>
      <c r="BT239">
        <f>Lookups!$B$59*Sales[[#This Row],[LnAcres]]</f>
        <v>-24051.387388882686</v>
      </c>
      <c r="BU239">
        <f>VLOOKUP(Sales[[#This Row],[Qlty]],Lookups!$A$66:$E$79,2,FALSE)</f>
        <v>32917.849192000001</v>
      </c>
      <c r="BV239">
        <f>VLOOKUP(Sales[[#This Row],[Cnd]],Lookups!$A$80:$E$91,2,FALSE)</f>
        <v>30300.329274</v>
      </c>
      <c r="BW239">
        <f>Sales[[#This Row],[EffAge]]*Lookups!$B$65</f>
        <v>-1957.3398</v>
      </c>
      <c r="BX239">
        <f>Sales[[#This Row],[MainFn]]*Lookups!$B$90</f>
        <v>134431.95852000001</v>
      </c>
      <c r="BY239">
        <f>Sales[[#This Row],[UpprFn]]*Lookups!$B$91</f>
        <v>0</v>
      </c>
      <c r="BZ239">
        <f>Sales[[#This Row],[Bsmt]]*Lookups!$B$95</f>
        <v>0</v>
      </c>
      <c r="CA239">
        <f>VLOOKUP(Sales[[#This Row],[MsnryTrim]],Lookups!$A$90:$E$99,2,FALSE)</f>
        <v>-9412.7029999999995</v>
      </c>
      <c r="CB239">
        <f>Sales[[#This Row],[PrefabFP]]*Lookups!$B$92</f>
        <v>0</v>
      </c>
      <c r="CC239">
        <f>Sales[[#This Row],[AttGar]]*Lookups!$B$93</f>
        <v>25769.752630000003</v>
      </c>
      <c r="CD239">
        <f>Sales[[#This Row],[BltinGar]]*Lookups!$B$94</f>
        <v>0</v>
      </c>
      <c r="CE239">
        <f>SUM(Sales[[#This Row],[Days Prior Total]:[Mdl BltinGar]])</f>
        <v>410458.02042611735</v>
      </c>
      <c r="CF239">
        <f>ROUND(Sales[[#This Row],[25Det]],-2)</f>
        <v>0</v>
      </c>
      <c r="CG239">
        <f>ROUND(SUM(Sales[[#This Row],[Mdl Qlty]:[Mdl BltinGar]])+Sales[[#This Row],[Mdl Res Intercept]]+Sales[[#This Row],[Days Prior Total]],-2)</f>
        <v>346200</v>
      </c>
      <c r="CH239">
        <f>ROUND(Sales[[#This Row],[Mdl Land Intercept]]+Sales[[#This Row],[Mdl LnAcres]],-2)</f>
        <v>64300</v>
      </c>
      <c r="CI239">
        <f>Sales[[#This Row],[Unadj Res Value]]+Sales[[#This Row],[Unadj Det Value]]+Sales[[#This Row],[Unadj Land Value]]</f>
        <v>410500</v>
      </c>
      <c r="CJ239" s="10">
        <f>Sales[[#This Row],[Price]]/Sales[[#This Row],[Unadj Total Value]]</f>
        <v>1.0596833130328867</v>
      </c>
      <c r="CK239" s="10">
        <f>(Sales[[#This Row],[Unadj Total Value]]-Sales[[#This Row],[24Final]])/Sales[[#This Row],[24Final]]</f>
        <v>4.3467208947635991E-2</v>
      </c>
      <c r="CL239">
        <f>VLOOKUP(Sales[[#This Row],[TNbhd]],Lookups!$M$3:$P$5,4,FALSE)</f>
        <v>0.99970000000000003</v>
      </c>
      <c r="CM239">
        <f>VLOOKUP(Sales[[#This Row],[Qlty]],Lookups!$M$8:$P$22,4,FALSE)</f>
        <v>1.0019</v>
      </c>
      <c r="CN239">
        <f>VLOOKUP(Sales[[#This Row],[Cnd]],Lookups!$R$8:$U$17,4,FALSE)</f>
        <v>0.997</v>
      </c>
      <c r="CO239">
        <f>VLOOKUP(Sales[[#This Row],[LivArea Range]],Lookups!$R$25:$U$43,4,FALSE)</f>
        <v>1.0008999999999999</v>
      </c>
      <c r="CP239">
        <f>VLOOKUP(Sales[[#This Row],[Decade]],Lookups!$M$24:$P$40,4,FALSE)</f>
        <v>0.99560000000000004</v>
      </c>
      <c r="CQ239">
        <f>Sales[[#This Row],[Nbhd Adj]]*0.95</f>
        <v>0.94971499999999998</v>
      </c>
      <c r="CR239">
        <f>Sales[[#This Row],[Nbhd Adj]]*Sales[[#This Row],[Quality Adj]]*Sales[[#This Row],[Condition Adj]]*Sales[[#This Row],[Living Area Adj]]*Sales[[#This Row],[Decade Adj]]*0.95</f>
        <v>0.94534081626105959</v>
      </c>
      <c r="CS239">
        <f>ROUND(SUM(Sales[[#This Row],[Mdl Qlty]:[Mdl BltinGar]])+Sales[[#This Row],[Mdl Res Intercept]]*Sales[[#This Row],[Res Adj ]],-2)</f>
        <v>337300</v>
      </c>
      <c r="CT239">
        <f>ROUND(Sales[[#This Row],[25Det]]*Sales[[#This Row],[Det/Nbhd Adj]],-2)</f>
        <v>0</v>
      </c>
      <c r="CU239">
        <f>Sales[[#This Row],[Adjusted Res]]+Sales[[#This Row],[Adj Det ]]</f>
        <v>337300</v>
      </c>
      <c r="CV239">
        <f>ROUND((Sales[[#This Row],[Mdl Land Intercept]]+Sales[[#This Row],[Mdl LnAcres]])*Sales[[#This Row],[Det/Nbhd Adj]],-2)</f>
        <v>61100</v>
      </c>
      <c r="CW239">
        <f>Sales[[#This Row],[Adjusted Impr Total]]+Sales[[#This Row],[Adjusted Land Total]]</f>
        <v>398400</v>
      </c>
      <c r="CX239" s="10">
        <f>IFERROR((Sales[[#This Row],[Adjusted Impr Total]]-Sales[[#This Row],[24Bldg]])/Sales[[#This Row],[24Bldg]],0)</f>
        <v>1.413108839446783E-2</v>
      </c>
      <c r="CY239" s="10">
        <f>(Sales[[#This Row],[Adjusted Land Total]]-Sales[[#This Row],[24Lnd]])/Sales[[#This Row],[24Lnd]]</f>
        <v>4.9342105263157892E-3</v>
      </c>
      <c r="CZ239">
        <f>(Sales[[#This Row],[Adjusted Total]]-Sales[[#This Row],[24Final]])/Sales[[#This Row],[24Final]]</f>
        <v>1.2709710218607015E-2</v>
      </c>
      <c r="DA239" s="10">
        <f>(Sales[[#This Row],[Adjusted Total]]+Sales[[#This Row],[Days Prior Total]])/Sales[[#This Row],[Price]]</f>
        <v>0.91946455402068961</v>
      </c>
    </row>
    <row r="240" spans="1:105">
      <c r="A240">
        <v>2025</v>
      </c>
      <c r="B240">
        <v>19120113515</v>
      </c>
      <c r="C240">
        <v>-1.8325814637483102</v>
      </c>
      <c r="D240">
        <v>0.16</v>
      </c>
      <c r="E240">
        <v>7085</v>
      </c>
      <c r="F240">
        <v>2</v>
      </c>
      <c r="G240" t="s">
        <v>155</v>
      </c>
      <c r="H240">
        <v>317</v>
      </c>
      <c r="I240" t="s">
        <v>5</v>
      </c>
      <c r="J240" t="s">
        <v>212</v>
      </c>
      <c r="K240">
        <v>11</v>
      </c>
      <c r="L240">
        <v>259</v>
      </c>
      <c r="M240" t="s">
        <v>193</v>
      </c>
      <c r="N240" t="s">
        <v>19</v>
      </c>
      <c r="O240" t="s">
        <v>20</v>
      </c>
      <c r="P240">
        <v>2006</v>
      </c>
      <c r="Q240">
        <v>2006</v>
      </c>
      <c r="R240">
        <v>20</v>
      </c>
      <c r="S240">
        <v>18</v>
      </c>
      <c r="T240">
        <v>18</v>
      </c>
      <c r="U240">
        <v>1</v>
      </c>
      <c r="V240">
        <v>1380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1380</v>
      </c>
      <c r="AC240">
        <v>1500</v>
      </c>
      <c r="AD240">
        <v>2</v>
      </c>
      <c r="AE240" t="s">
        <v>56</v>
      </c>
      <c r="AF240" t="s">
        <v>331</v>
      </c>
      <c r="AG240" t="s">
        <v>21</v>
      </c>
      <c r="AH240" t="s">
        <v>161</v>
      </c>
      <c r="AI240">
        <v>0</v>
      </c>
      <c r="AJ240">
        <v>0</v>
      </c>
      <c r="AK240">
        <v>0</v>
      </c>
      <c r="AL240">
        <v>1</v>
      </c>
      <c r="AM240">
        <v>0</v>
      </c>
      <c r="AN240">
        <v>8</v>
      </c>
      <c r="AO240">
        <v>428</v>
      </c>
      <c r="AP240">
        <v>0</v>
      </c>
      <c r="AQ240">
        <v>0</v>
      </c>
      <c r="AR240">
        <v>0</v>
      </c>
      <c r="AS240">
        <v>100</v>
      </c>
      <c r="AT240">
        <v>0</v>
      </c>
      <c r="AU240">
        <v>100</v>
      </c>
      <c r="AV240">
        <v>100</v>
      </c>
      <c r="AW240">
        <v>247670</v>
      </c>
      <c r="AX240">
        <v>232810</v>
      </c>
      <c r="AY240">
        <v>663</v>
      </c>
      <c r="AZ240">
        <v>365</v>
      </c>
      <c r="BA240">
        <v>298</v>
      </c>
      <c r="BB240">
        <v>0</v>
      </c>
      <c r="BC240" s="2">
        <v>44629</v>
      </c>
      <c r="BD240" t="s">
        <v>400</v>
      </c>
      <c r="BE240">
        <v>337000</v>
      </c>
      <c r="BF240">
        <v>337000</v>
      </c>
      <c r="BG240" t="s">
        <v>160</v>
      </c>
      <c r="BH240">
        <v>30</v>
      </c>
      <c r="BI240" t="s">
        <v>56</v>
      </c>
      <c r="BJ240" t="s">
        <v>161</v>
      </c>
      <c r="BK240">
        <v>350600</v>
      </c>
      <c r="BL240">
        <v>60800</v>
      </c>
      <c r="BM240">
        <v>289800</v>
      </c>
      <c r="BN240">
        <v>0</v>
      </c>
      <c r="BO240">
        <v>337529.19505035592</v>
      </c>
      <c r="BP240">
        <v>354160.80077638285</v>
      </c>
      <c r="BQ240">
        <f>(Sales[[#This Row],[DP1]]*Lookups!$B$61)+(Sales[[#This Row],[DP2]]*Lookups!$B$62)+(Sales[[#This Row],[DP3]]*Lookups!$B$63)</f>
        <v>-16631.604780999998</v>
      </c>
      <c r="BR240">
        <f>Lookups!$B$58*0.6</f>
        <v>132535.48800000001</v>
      </c>
      <c r="BS240">
        <f>Lookups!$B$58*0.4</f>
        <v>88356.992000000013</v>
      </c>
      <c r="BT240">
        <f>Lookups!$B$59*Sales[[#This Row],[LnAcres]]</f>
        <v>-24051.387388882686</v>
      </c>
      <c r="BU240">
        <f>VLOOKUP(Sales[[#This Row],[Qlty]],Lookups!$A$66:$E$79,2,FALSE)</f>
        <v>37154.252388000001</v>
      </c>
      <c r="BV240">
        <f>VLOOKUP(Sales[[#This Row],[Cnd]],Lookups!$A$80:$E$91,2,FALSE)</f>
        <v>30300.329274</v>
      </c>
      <c r="BW240">
        <f>Sales[[#This Row],[EffAge]]*Lookups!$B$65</f>
        <v>-1957.3398</v>
      </c>
      <c r="BX240">
        <f>Sales[[#This Row],[MainFn]]*Lookups!$B$90</f>
        <v>86126.324399999998</v>
      </c>
      <c r="BY240">
        <f>Sales[[#This Row],[UpprFn]]*Lookups!$B$91</f>
        <v>0</v>
      </c>
      <c r="BZ240">
        <f>Sales[[#This Row],[Bsmt]]*Lookups!$B$95</f>
        <v>0</v>
      </c>
      <c r="CA240">
        <f>VLOOKUP(Sales[[#This Row],[MsnryTrim]],Lookups!$A$90:$E$99,2,FALSE)</f>
        <v>-9412.7029999999995</v>
      </c>
      <c r="CB240">
        <f>Sales[[#This Row],[PrefabFP]]*Lookups!$B$92</f>
        <v>0</v>
      </c>
      <c r="CC240">
        <f>Sales[[#This Row],[AttGar]]*Lookups!$B$93</f>
        <v>15108.841268</v>
      </c>
      <c r="CD240">
        <f>Sales[[#This Row],[BltinGar]]*Lookups!$B$94</f>
        <v>0</v>
      </c>
      <c r="CE240">
        <f>SUM(Sales[[#This Row],[Days Prior Total]:[Mdl BltinGar]])</f>
        <v>337529.19236011739</v>
      </c>
      <c r="CF240">
        <f>ROUND(Sales[[#This Row],[25Det]],-2)</f>
        <v>0</v>
      </c>
      <c r="CG240">
        <f>ROUND(SUM(Sales[[#This Row],[Mdl Qlty]:[Mdl BltinGar]])+Sales[[#This Row],[Mdl Res Intercept]]+Sales[[#This Row],[Days Prior Total]],-2)</f>
        <v>273200</v>
      </c>
      <c r="CH240">
        <f>ROUND(Sales[[#This Row],[Mdl Land Intercept]]+Sales[[#This Row],[Mdl LnAcres]],-2)</f>
        <v>64300</v>
      </c>
      <c r="CI240">
        <f>Sales[[#This Row],[Unadj Res Value]]+Sales[[#This Row],[Unadj Det Value]]+Sales[[#This Row],[Unadj Land Value]]</f>
        <v>337500</v>
      </c>
      <c r="CJ240" s="10">
        <f>Sales[[#This Row],[Price]]/Sales[[#This Row],[Unadj Total Value]]</f>
        <v>0.99851851851851847</v>
      </c>
      <c r="CK240" s="10">
        <f>(Sales[[#This Row],[Unadj Total Value]]-Sales[[#This Row],[24Final]])/Sales[[#This Row],[24Final]]</f>
        <v>-3.7364517969195668E-2</v>
      </c>
      <c r="CL240">
        <f>VLOOKUP(Sales[[#This Row],[TNbhd]],Lookups!$M$3:$P$5,4,FALSE)</f>
        <v>0.99970000000000003</v>
      </c>
      <c r="CM240">
        <f>VLOOKUP(Sales[[#This Row],[Qlty]],Lookups!$M$8:$P$22,4,FALSE)</f>
        <v>0.99819999999999998</v>
      </c>
      <c r="CN240">
        <f>VLOOKUP(Sales[[#This Row],[Cnd]],Lookups!$R$8:$U$17,4,FALSE)</f>
        <v>0.997</v>
      </c>
      <c r="CO240">
        <f>VLOOKUP(Sales[[#This Row],[LivArea Range]],Lookups!$R$25:$U$43,4,FALSE)</f>
        <v>0.99519999999999997</v>
      </c>
      <c r="CP240">
        <f>VLOOKUP(Sales[[#This Row],[Decade]],Lookups!$M$24:$P$40,4,FALSE)</f>
        <v>0.99560000000000004</v>
      </c>
      <c r="CQ240">
        <f>Sales[[#This Row],[Nbhd Adj]]*0.95</f>
        <v>0.94971499999999998</v>
      </c>
      <c r="CR240">
        <f>Sales[[#This Row],[Nbhd Adj]]*Sales[[#This Row],[Quality Adj]]*Sales[[#This Row],[Condition Adj]]*Sales[[#This Row],[Living Area Adj]]*Sales[[#This Row],[Decade Adj]]*0.95</f>
        <v>0.93648597250436405</v>
      </c>
      <c r="CS240">
        <f>ROUND(SUM(Sales[[#This Row],[Mdl Qlty]:[Mdl BltinGar]])+Sales[[#This Row],[Mdl Res Intercept]]*Sales[[#This Row],[Res Adj ]],-2)</f>
        <v>281400</v>
      </c>
      <c r="CT240">
        <f>ROUND(Sales[[#This Row],[25Det]]*Sales[[#This Row],[Det/Nbhd Adj]],-2)</f>
        <v>0</v>
      </c>
      <c r="CU240">
        <f>Sales[[#This Row],[Adjusted Res]]+Sales[[#This Row],[Adj Det ]]</f>
        <v>281400</v>
      </c>
      <c r="CV240">
        <f>ROUND((Sales[[#This Row],[Mdl Land Intercept]]+Sales[[#This Row],[Mdl LnAcres]])*Sales[[#This Row],[Det/Nbhd Adj]],-2)</f>
        <v>61100</v>
      </c>
      <c r="CW240">
        <f>Sales[[#This Row],[Adjusted Impr Total]]+Sales[[#This Row],[Adjusted Land Total]]</f>
        <v>342500</v>
      </c>
      <c r="CX240" s="10">
        <f>IFERROR((Sales[[#This Row],[Adjusted Impr Total]]-Sales[[#This Row],[24Bldg]])/Sales[[#This Row],[24Bldg]],0)</f>
        <v>-2.8985507246376812E-2</v>
      </c>
      <c r="CY240" s="10">
        <f>(Sales[[#This Row],[Adjusted Land Total]]-Sales[[#This Row],[24Lnd]])/Sales[[#This Row],[24Lnd]]</f>
        <v>4.9342105263157892E-3</v>
      </c>
      <c r="CZ240">
        <f>(Sales[[#This Row],[Adjusted Total]]-Sales[[#This Row],[24Final]])/Sales[[#This Row],[24Final]]</f>
        <v>-2.3103251568739304E-2</v>
      </c>
      <c r="DA240" s="10">
        <f>(Sales[[#This Row],[Adjusted Total]]+Sales[[#This Row],[Days Prior Total]])/Sales[[#This Row],[Price]]</f>
        <v>0.96696853180712161</v>
      </c>
    </row>
    <row r="241" spans="1:105">
      <c r="A241">
        <v>2025</v>
      </c>
      <c r="B241">
        <v>19120113538</v>
      </c>
      <c r="C241">
        <v>-1.8325814637483102</v>
      </c>
      <c r="D241">
        <v>0.16</v>
      </c>
      <c r="E241">
        <v>7078</v>
      </c>
      <c r="F241">
        <v>2</v>
      </c>
      <c r="G241" t="s">
        <v>155</v>
      </c>
      <c r="H241">
        <v>317</v>
      </c>
      <c r="I241" t="s">
        <v>5</v>
      </c>
      <c r="J241" t="s">
        <v>212</v>
      </c>
      <c r="K241">
        <v>11</v>
      </c>
      <c r="L241">
        <v>259</v>
      </c>
      <c r="M241" t="s">
        <v>193</v>
      </c>
      <c r="N241" t="s">
        <v>19</v>
      </c>
      <c r="O241" t="s">
        <v>18</v>
      </c>
      <c r="P241">
        <v>2006</v>
      </c>
      <c r="Q241">
        <v>2006</v>
      </c>
      <c r="R241">
        <v>20</v>
      </c>
      <c r="S241">
        <v>18</v>
      </c>
      <c r="T241">
        <v>18</v>
      </c>
      <c r="U241">
        <v>1</v>
      </c>
      <c r="V241">
        <v>1092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1092</v>
      </c>
      <c r="AC241">
        <v>1500</v>
      </c>
      <c r="AD241">
        <v>2</v>
      </c>
      <c r="AE241" t="s">
        <v>56</v>
      </c>
      <c r="AF241" t="s">
        <v>331</v>
      </c>
      <c r="AG241" t="s">
        <v>21</v>
      </c>
      <c r="AH241" t="s">
        <v>161</v>
      </c>
      <c r="AI241">
        <v>0</v>
      </c>
      <c r="AJ241">
        <v>0</v>
      </c>
      <c r="AK241">
        <v>0</v>
      </c>
      <c r="AL241">
        <v>1</v>
      </c>
      <c r="AM241">
        <v>0</v>
      </c>
      <c r="AN241">
        <v>8</v>
      </c>
      <c r="AO241">
        <v>440</v>
      </c>
      <c r="AP241">
        <v>0</v>
      </c>
      <c r="AQ241">
        <v>0</v>
      </c>
      <c r="AR241">
        <v>0</v>
      </c>
      <c r="AS241">
        <v>200</v>
      </c>
      <c r="AT241">
        <v>0</v>
      </c>
      <c r="AU241">
        <v>100</v>
      </c>
      <c r="AV241">
        <v>100</v>
      </c>
      <c r="AW241">
        <v>209893</v>
      </c>
      <c r="AX241">
        <v>193102</v>
      </c>
      <c r="AY241">
        <v>682</v>
      </c>
      <c r="AZ241">
        <v>365</v>
      </c>
      <c r="BA241">
        <v>317</v>
      </c>
      <c r="BB241">
        <v>0</v>
      </c>
      <c r="BC241" s="2">
        <v>44610</v>
      </c>
      <c r="BD241" t="s">
        <v>401</v>
      </c>
      <c r="BE241">
        <v>306000</v>
      </c>
      <c r="BF241">
        <v>306000</v>
      </c>
      <c r="BG241" t="s">
        <v>160</v>
      </c>
      <c r="BH241">
        <v>30</v>
      </c>
      <c r="BI241" t="s">
        <v>56</v>
      </c>
      <c r="BJ241" t="s">
        <v>161</v>
      </c>
      <c r="BK241">
        <v>354100</v>
      </c>
      <c r="BL241">
        <v>60800</v>
      </c>
      <c r="BM241">
        <v>293300</v>
      </c>
      <c r="BN241">
        <v>0</v>
      </c>
      <c r="BO241">
        <v>306157.98309436737</v>
      </c>
      <c r="BP241">
        <v>324071.01633143181</v>
      </c>
      <c r="BQ241">
        <f>(Sales[[#This Row],[DP1]]*Lookups!$B$61)+(Sales[[#This Row],[DP2]]*Lookups!$B$62)+(Sales[[#This Row],[DP3]]*Lookups!$B$63)</f>
        <v>-17913.032231000001</v>
      </c>
      <c r="BR241">
        <f>Lookups!$B$58*0.6</f>
        <v>132535.48800000001</v>
      </c>
      <c r="BS241">
        <f>Lookups!$B$58*0.4</f>
        <v>88356.992000000013</v>
      </c>
      <c r="BT241">
        <f>Lookups!$B$59*Sales[[#This Row],[LnAcres]]</f>
        <v>-24051.387388882686</v>
      </c>
      <c r="BU241">
        <f>VLOOKUP(Sales[[#This Row],[Qlty]],Lookups!$A$66:$E$79,2,FALSE)</f>
        <v>37154.252388000001</v>
      </c>
      <c r="BV241">
        <f>VLOOKUP(Sales[[#This Row],[Cnd]],Lookups!$A$80:$E$91,2,FALSE)</f>
        <v>17761.121909000001</v>
      </c>
      <c r="BW241">
        <f>Sales[[#This Row],[EffAge]]*Lookups!$B$65</f>
        <v>-1957.3398</v>
      </c>
      <c r="BX241">
        <f>Sales[[#This Row],[MainFn]]*Lookups!$B$90</f>
        <v>68152.13496000001</v>
      </c>
      <c r="BY241">
        <f>Sales[[#This Row],[UpprFn]]*Lookups!$B$91</f>
        <v>0</v>
      </c>
      <c r="BZ241">
        <f>Sales[[#This Row],[Bsmt]]*Lookups!$B$95</f>
        <v>0</v>
      </c>
      <c r="CA241">
        <f>VLOOKUP(Sales[[#This Row],[MsnryTrim]],Lookups!$A$90:$E$99,2,FALSE)</f>
        <v>-9412.7029999999995</v>
      </c>
      <c r="CB241">
        <f>Sales[[#This Row],[PrefabFP]]*Lookups!$B$92</f>
        <v>0</v>
      </c>
      <c r="CC241">
        <f>Sales[[#This Row],[AttGar]]*Lookups!$B$93</f>
        <v>15532.453640000002</v>
      </c>
      <c r="CD241">
        <f>Sales[[#This Row],[BltinGar]]*Lookups!$B$94</f>
        <v>0</v>
      </c>
      <c r="CE241">
        <f>SUM(Sales[[#This Row],[Days Prior Total]:[Mdl BltinGar]])</f>
        <v>306157.98047711741</v>
      </c>
      <c r="CF241">
        <f>ROUND(Sales[[#This Row],[25Det]],-2)</f>
        <v>0</v>
      </c>
      <c r="CG241">
        <f>ROUND(SUM(Sales[[#This Row],[Mdl Qlty]:[Mdl BltinGar]])+Sales[[#This Row],[Mdl Res Intercept]]+Sales[[#This Row],[Days Prior Total]],-2)</f>
        <v>241900</v>
      </c>
      <c r="CH241">
        <f>ROUND(Sales[[#This Row],[Mdl Land Intercept]]+Sales[[#This Row],[Mdl LnAcres]],-2)</f>
        <v>64300</v>
      </c>
      <c r="CI241">
        <f>Sales[[#This Row],[Unadj Res Value]]+Sales[[#This Row],[Unadj Det Value]]+Sales[[#This Row],[Unadj Land Value]]</f>
        <v>306200</v>
      </c>
      <c r="CJ241" s="10">
        <f>Sales[[#This Row],[Price]]/Sales[[#This Row],[Unadj Total Value]]</f>
        <v>0.99934683213585895</v>
      </c>
      <c r="CK241" s="10">
        <f>(Sales[[#This Row],[Unadj Total Value]]-Sales[[#This Row],[24Final]])/Sales[[#This Row],[24Final]]</f>
        <v>-0.13527252188647274</v>
      </c>
      <c r="CL241">
        <f>VLOOKUP(Sales[[#This Row],[TNbhd]],Lookups!$M$3:$P$5,4,FALSE)</f>
        <v>0.99970000000000003</v>
      </c>
      <c r="CM241">
        <f>VLOOKUP(Sales[[#This Row],[Qlty]],Lookups!$M$8:$P$22,4,FALSE)</f>
        <v>0.99819999999999998</v>
      </c>
      <c r="CN241">
        <f>VLOOKUP(Sales[[#This Row],[Cnd]],Lookups!$R$8:$U$17,4,FALSE)</f>
        <v>0.99680000000000002</v>
      </c>
      <c r="CO241">
        <f>VLOOKUP(Sales[[#This Row],[LivArea Range]],Lookups!$R$25:$U$43,4,FALSE)</f>
        <v>0.99519999999999997</v>
      </c>
      <c r="CP241">
        <f>VLOOKUP(Sales[[#This Row],[Decade]],Lookups!$M$24:$P$40,4,FALSE)</f>
        <v>0.99560000000000004</v>
      </c>
      <c r="CQ241">
        <f>Sales[[#This Row],[Nbhd Adj]]*0.95</f>
        <v>0.94971499999999998</v>
      </c>
      <c r="CR241">
        <f>Sales[[#This Row],[Nbhd Adj]]*Sales[[#This Row],[Quality Adj]]*Sales[[#This Row],[Condition Adj]]*Sales[[#This Row],[Living Area Adj]]*Sales[[#This Row],[Decade Adj]]*0.95</f>
        <v>0.93629811172753274</v>
      </c>
      <c r="CS241">
        <f>ROUND(SUM(Sales[[#This Row],[Mdl Qlty]:[Mdl BltinGar]])+Sales[[#This Row],[Mdl Res Intercept]]*Sales[[#This Row],[Res Adj ]],-2)</f>
        <v>251300</v>
      </c>
      <c r="CT241">
        <f>ROUND(Sales[[#This Row],[25Det]]*Sales[[#This Row],[Det/Nbhd Adj]],-2)</f>
        <v>0</v>
      </c>
      <c r="CU241">
        <f>Sales[[#This Row],[Adjusted Res]]+Sales[[#This Row],[Adj Det ]]</f>
        <v>251300</v>
      </c>
      <c r="CV241">
        <f>ROUND((Sales[[#This Row],[Mdl Land Intercept]]+Sales[[#This Row],[Mdl LnAcres]])*Sales[[#This Row],[Det/Nbhd Adj]],-2)</f>
        <v>61100</v>
      </c>
      <c r="CW241">
        <f>Sales[[#This Row],[Adjusted Impr Total]]+Sales[[#This Row],[Adjusted Land Total]]</f>
        <v>312400</v>
      </c>
      <c r="CX241" s="10">
        <f>IFERROR((Sales[[#This Row],[Adjusted Impr Total]]-Sales[[#This Row],[24Bldg]])/Sales[[#This Row],[24Bldg]],0)</f>
        <v>-0.14319809069212411</v>
      </c>
      <c r="CY241" s="10">
        <f>(Sales[[#This Row],[Adjusted Land Total]]-Sales[[#This Row],[24Lnd]])/Sales[[#This Row],[24Lnd]]</f>
        <v>4.9342105263157892E-3</v>
      </c>
      <c r="CZ241">
        <f>(Sales[[#This Row],[Adjusted Total]]-Sales[[#This Row],[24Final]])/Sales[[#This Row],[24Final]]</f>
        <v>-0.11776334368822367</v>
      </c>
      <c r="DA241" s="10">
        <f>(Sales[[#This Row],[Adjusted Total]]+Sales[[#This Row],[Days Prior Total]])/Sales[[#This Row],[Price]]</f>
        <v>0.96237571166339864</v>
      </c>
    </row>
    <row r="242" spans="1:105">
      <c r="A242">
        <v>2025</v>
      </c>
      <c r="B242">
        <v>19120141402</v>
      </c>
      <c r="C242">
        <v>-1.7719568419318752</v>
      </c>
      <c r="D242">
        <v>0.17</v>
      </c>
      <c r="E242">
        <v>7231</v>
      </c>
      <c r="F242">
        <v>2</v>
      </c>
      <c r="G242" t="s">
        <v>155</v>
      </c>
      <c r="H242">
        <v>317</v>
      </c>
      <c r="I242" t="s">
        <v>5</v>
      </c>
      <c r="J242" t="s">
        <v>212</v>
      </c>
      <c r="K242">
        <v>11</v>
      </c>
      <c r="L242">
        <v>259</v>
      </c>
      <c r="M242" t="s">
        <v>330</v>
      </c>
      <c r="N242" t="s">
        <v>19</v>
      </c>
      <c r="O242" t="s">
        <v>18</v>
      </c>
      <c r="P242">
        <v>2005</v>
      </c>
      <c r="Q242">
        <v>2005</v>
      </c>
      <c r="R242">
        <v>20</v>
      </c>
      <c r="S242">
        <v>19</v>
      </c>
      <c r="T242">
        <v>19</v>
      </c>
      <c r="U242">
        <v>1</v>
      </c>
      <c r="V242">
        <v>2154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2154</v>
      </c>
      <c r="AC242">
        <v>2500</v>
      </c>
      <c r="AD242">
        <v>3</v>
      </c>
      <c r="AE242" t="s">
        <v>57</v>
      </c>
      <c r="AF242" t="s">
        <v>331</v>
      </c>
      <c r="AG242" t="s">
        <v>21</v>
      </c>
      <c r="AH242" t="s">
        <v>161</v>
      </c>
      <c r="AI242">
        <v>0</v>
      </c>
      <c r="AJ242">
        <v>0</v>
      </c>
      <c r="AK242">
        <v>1</v>
      </c>
      <c r="AL242">
        <v>0</v>
      </c>
      <c r="AM242">
        <v>0</v>
      </c>
      <c r="AN242">
        <v>11</v>
      </c>
      <c r="AO242">
        <v>730</v>
      </c>
      <c r="AP242">
        <v>0</v>
      </c>
      <c r="AQ242">
        <v>0</v>
      </c>
      <c r="AR242">
        <v>0</v>
      </c>
      <c r="AS242">
        <v>240</v>
      </c>
      <c r="AT242">
        <v>240</v>
      </c>
      <c r="AU242">
        <v>100</v>
      </c>
      <c r="AV242">
        <v>100</v>
      </c>
      <c r="AW242">
        <v>373332</v>
      </c>
      <c r="AX242">
        <v>339732</v>
      </c>
      <c r="AY242">
        <v>598</v>
      </c>
      <c r="AZ242">
        <v>365</v>
      </c>
      <c r="BA242">
        <v>233</v>
      </c>
      <c r="BB242">
        <v>0</v>
      </c>
      <c r="BC242" s="2">
        <v>44694</v>
      </c>
      <c r="BD242" t="s">
        <v>402</v>
      </c>
      <c r="BE242">
        <v>385000</v>
      </c>
      <c r="BF242">
        <v>385000</v>
      </c>
      <c r="BG242" t="s">
        <v>160</v>
      </c>
      <c r="BH242">
        <v>30</v>
      </c>
      <c r="BI242" t="s">
        <v>56</v>
      </c>
      <c r="BJ242" t="s">
        <v>161</v>
      </c>
      <c r="BK242">
        <v>411800</v>
      </c>
      <c r="BL242">
        <v>61700</v>
      </c>
      <c r="BM242">
        <v>350100</v>
      </c>
      <c r="BN242">
        <v>0</v>
      </c>
      <c r="BO242">
        <v>412359.96548205725</v>
      </c>
      <c r="BP242">
        <v>424607.74024927191</v>
      </c>
      <c r="BQ242">
        <f>(Sales[[#This Row],[DP1]]*Lookups!$B$61)+(Sales[[#This Row],[DP2]]*Lookups!$B$62)+(Sales[[#This Row],[DP3]]*Lookups!$B$63)</f>
        <v>-12247.774030999999</v>
      </c>
      <c r="BR242">
        <f>Lookups!$B$58*0.6</f>
        <v>132535.48800000001</v>
      </c>
      <c r="BS242">
        <f>Lookups!$B$58*0.4</f>
        <v>88356.992000000013</v>
      </c>
      <c r="BT242">
        <f>Lookups!$B$59*Sales[[#This Row],[LnAcres]]</f>
        <v>-23255.730391660189</v>
      </c>
      <c r="BU242">
        <f>VLOOKUP(Sales[[#This Row],[Qlty]],Lookups!$A$66:$E$79,2,FALSE)</f>
        <v>37154.252388000001</v>
      </c>
      <c r="BV242">
        <f>VLOOKUP(Sales[[#This Row],[Cnd]],Lookups!$A$80:$E$91,2,FALSE)</f>
        <v>17761.121909000001</v>
      </c>
      <c r="BW242">
        <f>Sales[[#This Row],[EffAge]]*Lookups!$B$65</f>
        <v>-2066.0808999999999</v>
      </c>
      <c r="BX242">
        <f>Sales[[#This Row],[MainFn]]*Lookups!$B$90</f>
        <v>134431.95852000001</v>
      </c>
      <c r="BY242">
        <f>Sales[[#This Row],[UpprFn]]*Lookups!$B$91</f>
        <v>0</v>
      </c>
      <c r="BZ242">
        <f>Sales[[#This Row],[Bsmt]]*Lookups!$B$95</f>
        <v>0</v>
      </c>
      <c r="CA242">
        <f>VLOOKUP(Sales[[#This Row],[MsnryTrim]],Lookups!$A$90:$E$99,2,FALSE)</f>
        <v>4112.8784489</v>
      </c>
      <c r="CB242">
        <f>Sales[[#This Row],[PrefabFP]]*Lookups!$B$92</f>
        <v>9807.1044999999995</v>
      </c>
      <c r="CC242">
        <f>Sales[[#This Row],[AttGar]]*Lookups!$B$93</f>
        <v>25769.752630000003</v>
      </c>
      <c r="CD242">
        <f>Sales[[#This Row],[BltinGar]]*Lookups!$B$94</f>
        <v>0</v>
      </c>
      <c r="CE242">
        <f>SUM(Sales[[#This Row],[Days Prior Total]:[Mdl BltinGar]])</f>
        <v>412359.96307323989</v>
      </c>
      <c r="CF242">
        <f>ROUND(Sales[[#This Row],[25Det]],-2)</f>
        <v>0</v>
      </c>
      <c r="CG242">
        <f>ROUND(SUM(Sales[[#This Row],[Mdl Qlty]:[Mdl BltinGar]])+Sales[[#This Row],[Mdl Res Intercept]]+Sales[[#This Row],[Days Prior Total]],-2)</f>
        <v>347300</v>
      </c>
      <c r="CH242">
        <f>ROUND(Sales[[#This Row],[Mdl Land Intercept]]+Sales[[#This Row],[Mdl LnAcres]],-2)</f>
        <v>65100</v>
      </c>
      <c r="CI242">
        <f>Sales[[#This Row],[Unadj Res Value]]+Sales[[#This Row],[Unadj Det Value]]+Sales[[#This Row],[Unadj Land Value]]</f>
        <v>412400</v>
      </c>
      <c r="CJ242" s="10">
        <f>Sales[[#This Row],[Price]]/Sales[[#This Row],[Unadj Total Value]]</f>
        <v>0.93355965082444226</v>
      </c>
      <c r="CK242" s="10">
        <f>(Sales[[#This Row],[Unadj Total Value]]-Sales[[#This Row],[24Final]])/Sales[[#This Row],[24Final]]</f>
        <v>1.4570179698882952E-3</v>
      </c>
      <c r="CL242">
        <f>VLOOKUP(Sales[[#This Row],[TNbhd]],Lookups!$M$3:$P$5,4,FALSE)</f>
        <v>0.99970000000000003</v>
      </c>
      <c r="CM242">
        <f>VLOOKUP(Sales[[#This Row],[Qlty]],Lookups!$M$8:$P$22,4,FALSE)</f>
        <v>0.99819999999999998</v>
      </c>
      <c r="CN242">
        <f>VLOOKUP(Sales[[#This Row],[Cnd]],Lookups!$R$8:$U$17,4,FALSE)</f>
        <v>0.99680000000000002</v>
      </c>
      <c r="CO242">
        <f>VLOOKUP(Sales[[#This Row],[LivArea Range]],Lookups!$R$25:$U$43,4,FALSE)</f>
        <v>1.0008999999999999</v>
      </c>
      <c r="CP242">
        <f>VLOOKUP(Sales[[#This Row],[Decade]],Lookups!$M$24:$P$40,4,FALSE)</f>
        <v>0.99560000000000004</v>
      </c>
      <c r="CQ242">
        <f>Sales[[#This Row],[Nbhd Adj]]*0.95</f>
        <v>0.94971499999999998</v>
      </c>
      <c r="CR242">
        <f>Sales[[#This Row],[Nbhd Adj]]*Sales[[#This Row],[Quality Adj]]*Sales[[#This Row],[Condition Adj]]*Sales[[#This Row],[Living Area Adj]]*Sales[[#This Row],[Decade Adj]]*0.95</f>
        <v>0.9416607516359401</v>
      </c>
      <c r="CS242">
        <f>ROUND(SUM(Sales[[#This Row],[Mdl Qlty]:[Mdl BltinGar]])+Sales[[#This Row],[Mdl Res Intercept]]*Sales[[#This Row],[Res Adj ]],-2)</f>
        <v>351800</v>
      </c>
      <c r="CT242">
        <f>ROUND(Sales[[#This Row],[25Det]]*Sales[[#This Row],[Det/Nbhd Adj]],-2)</f>
        <v>0</v>
      </c>
      <c r="CU242">
        <f>Sales[[#This Row],[Adjusted Res]]+Sales[[#This Row],[Adj Det ]]</f>
        <v>351800</v>
      </c>
      <c r="CV242">
        <f>ROUND((Sales[[#This Row],[Mdl Land Intercept]]+Sales[[#This Row],[Mdl LnAcres]])*Sales[[#This Row],[Det/Nbhd Adj]],-2)</f>
        <v>61800</v>
      </c>
      <c r="CW242">
        <f>Sales[[#This Row],[Adjusted Impr Total]]+Sales[[#This Row],[Adjusted Land Total]]</f>
        <v>413600</v>
      </c>
      <c r="CX242" s="10">
        <f>IFERROR((Sales[[#This Row],[Adjusted Impr Total]]-Sales[[#This Row],[24Bldg]])/Sales[[#This Row],[24Bldg]],0)</f>
        <v>4.8557554984290201E-3</v>
      </c>
      <c r="CY242" s="10">
        <f>(Sales[[#This Row],[Adjusted Land Total]]-Sales[[#This Row],[24Lnd]])/Sales[[#This Row],[24Lnd]]</f>
        <v>1.6207455429497568E-3</v>
      </c>
      <c r="CZ242">
        <f>(Sales[[#This Row],[Adjusted Total]]-Sales[[#This Row],[24Final]])/Sales[[#This Row],[24Final]]</f>
        <v>4.3710539096648857E-3</v>
      </c>
      <c r="DA242" s="10">
        <f>(Sales[[#This Row],[Adjusted Total]]+Sales[[#This Row],[Days Prior Total]])/Sales[[#This Row],[Price]]</f>
        <v>1.042473314205195</v>
      </c>
    </row>
    <row r="243" spans="1:105">
      <c r="A243">
        <v>2025</v>
      </c>
      <c r="B243">
        <v>19120141410</v>
      </c>
      <c r="C243">
        <v>-1.7719568419318752</v>
      </c>
      <c r="D243">
        <v>0.17</v>
      </c>
      <c r="E243">
        <v>7610</v>
      </c>
      <c r="F243">
        <v>2</v>
      </c>
      <c r="G243" t="s">
        <v>155</v>
      </c>
      <c r="H243">
        <v>317</v>
      </c>
      <c r="I243" t="s">
        <v>5</v>
      </c>
      <c r="J243" t="s">
        <v>212</v>
      </c>
      <c r="K243">
        <v>11</v>
      </c>
      <c r="L243">
        <v>259</v>
      </c>
      <c r="M243" t="s">
        <v>193</v>
      </c>
      <c r="N243" t="s">
        <v>19</v>
      </c>
      <c r="O243" t="s">
        <v>20</v>
      </c>
      <c r="P243">
        <v>2005</v>
      </c>
      <c r="Q243">
        <v>2005</v>
      </c>
      <c r="R243">
        <v>20</v>
      </c>
      <c r="S243">
        <v>19</v>
      </c>
      <c r="T243">
        <v>19</v>
      </c>
      <c r="U243">
        <v>1</v>
      </c>
      <c r="V243">
        <v>1076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1076</v>
      </c>
      <c r="AC243">
        <v>1500</v>
      </c>
      <c r="AD243">
        <v>2</v>
      </c>
      <c r="AE243" t="s">
        <v>56</v>
      </c>
      <c r="AF243" t="s">
        <v>331</v>
      </c>
      <c r="AG243" t="s">
        <v>21</v>
      </c>
      <c r="AH243" t="s">
        <v>161</v>
      </c>
      <c r="AI243">
        <v>0</v>
      </c>
      <c r="AJ243">
        <v>0</v>
      </c>
      <c r="AK243">
        <v>0</v>
      </c>
      <c r="AL243">
        <v>1</v>
      </c>
      <c r="AM243">
        <v>0</v>
      </c>
      <c r="AN243">
        <v>8</v>
      </c>
      <c r="AO243">
        <v>440</v>
      </c>
      <c r="AP243">
        <v>0</v>
      </c>
      <c r="AQ243">
        <v>0</v>
      </c>
      <c r="AR243">
        <v>0</v>
      </c>
      <c r="AS243">
        <v>100</v>
      </c>
      <c r="AT243">
        <v>0</v>
      </c>
      <c r="AU243">
        <v>100</v>
      </c>
      <c r="AV243">
        <v>100</v>
      </c>
      <c r="AW243">
        <v>206534</v>
      </c>
      <c r="AX243">
        <v>192077</v>
      </c>
      <c r="AY243">
        <v>920</v>
      </c>
      <c r="AZ243">
        <v>365</v>
      </c>
      <c r="BA243">
        <v>365</v>
      </c>
      <c r="BB243">
        <v>190</v>
      </c>
      <c r="BC243" s="2">
        <v>44372</v>
      </c>
      <c r="BD243" t="s">
        <v>403</v>
      </c>
      <c r="BE243">
        <v>305000</v>
      </c>
      <c r="BF243">
        <v>305000</v>
      </c>
      <c r="BG243" t="s">
        <v>160</v>
      </c>
      <c r="BH243">
        <v>30</v>
      </c>
      <c r="BI243" t="s">
        <v>56</v>
      </c>
      <c r="BJ243" t="s">
        <v>161</v>
      </c>
      <c r="BK243">
        <v>353200</v>
      </c>
      <c r="BL243">
        <v>61700</v>
      </c>
      <c r="BM243">
        <v>291500</v>
      </c>
      <c r="BN243">
        <v>0</v>
      </c>
      <c r="BO243">
        <v>271638.36205061246</v>
      </c>
      <c r="BP243">
        <v>336298.57347362378</v>
      </c>
      <c r="BQ243">
        <f>(Sales[[#This Row],[DP1]]*Lookups!$B$61)+(Sales[[#This Row],[DP2]]*Lookups!$B$62)+(Sales[[#This Row],[DP3]]*Lookups!$B$63)</f>
        <v>-64660.208631000001</v>
      </c>
      <c r="BR243">
        <f>Lookups!$B$58*0.6</f>
        <v>132535.48800000001</v>
      </c>
      <c r="BS243">
        <f>Lookups!$B$58*0.4</f>
        <v>88356.992000000013</v>
      </c>
      <c r="BT243">
        <f>Lookups!$B$59*Sales[[#This Row],[LnAcres]]</f>
        <v>-23255.730391660189</v>
      </c>
      <c r="BU243">
        <f>VLOOKUP(Sales[[#This Row],[Qlty]],Lookups!$A$66:$E$79,2,FALSE)</f>
        <v>37154.252388000001</v>
      </c>
      <c r="BV243">
        <f>VLOOKUP(Sales[[#This Row],[Cnd]],Lookups!$A$80:$E$91,2,FALSE)</f>
        <v>30300.329274</v>
      </c>
      <c r="BW243">
        <f>Sales[[#This Row],[EffAge]]*Lookups!$B$65</f>
        <v>-2066.0808999999999</v>
      </c>
      <c r="BX243">
        <f>Sales[[#This Row],[MainFn]]*Lookups!$B$90</f>
        <v>67153.568880000006</v>
      </c>
      <c r="BY243">
        <f>Sales[[#This Row],[UpprFn]]*Lookups!$B$91</f>
        <v>0</v>
      </c>
      <c r="BZ243">
        <f>Sales[[#This Row],[Bsmt]]*Lookups!$B$95</f>
        <v>0</v>
      </c>
      <c r="CA243">
        <f>VLOOKUP(Sales[[#This Row],[MsnryTrim]],Lookups!$A$90:$E$99,2,FALSE)</f>
        <v>-9412.7029999999995</v>
      </c>
      <c r="CB243">
        <f>Sales[[#This Row],[PrefabFP]]*Lookups!$B$92</f>
        <v>0</v>
      </c>
      <c r="CC243">
        <f>Sales[[#This Row],[AttGar]]*Lookups!$B$93</f>
        <v>15532.453640000002</v>
      </c>
      <c r="CD243">
        <f>Sales[[#This Row],[BltinGar]]*Lookups!$B$94</f>
        <v>0</v>
      </c>
      <c r="CE243">
        <f>SUM(Sales[[#This Row],[Days Prior Total]:[Mdl BltinGar]])</f>
        <v>271638.36125933984</v>
      </c>
      <c r="CF243">
        <f>ROUND(Sales[[#This Row],[25Det]],-2)</f>
        <v>0</v>
      </c>
      <c r="CG243">
        <f>ROUND(SUM(Sales[[#This Row],[Mdl Qlty]:[Mdl BltinGar]])+Sales[[#This Row],[Mdl Res Intercept]]+Sales[[#This Row],[Days Prior Total]],-2)</f>
        <v>206500</v>
      </c>
      <c r="CH243">
        <f>ROUND(Sales[[#This Row],[Mdl Land Intercept]]+Sales[[#This Row],[Mdl LnAcres]],-2)</f>
        <v>65100</v>
      </c>
      <c r="CI243">
        <f>Sales[[#This Row],[Unadj Res Value]]+Sales[[#This Row],[Unadj Det Value]]+Sales[[#This Row],[Unadj Land Value]]</f>
        <v>271600</v>
      </c>
      <c r="CJ243" s="10">
        <f>Sales[[#This Row],[Price]]/Sales[[#This Row],[Unadj Total Value]]</f>
        <v>1.1229749631811488</v>
      </c>
      <c r="CK243" s="10">
        <f>(Sales[[#This Row],[Unadj Total Value]]-Sales[[#This Row],[24Final]])/Sales[[#This Row],[24Final]]</f>
        <v>-0.23103057757644394</v>
      </c>
      <c r="CL243">
        <f>VLOOKUP(Sales[[#This Row],[TNbhd]],Lookups!$M$3:$P$5,4,FALSE)</f>
        <v>0.99970000000000003</v>
      </c>
      <c r="CM243">
        <f>VLOOKUP(Sales[[#This Row],[Qlty]],Lookups!$M$8:$P$22,4,FALSE)</f>
        <v>0.99819999999999998</v>
      </c>
      <c r="CN243">
        <f>VLOOKUP(Sales[[#This Row],[Cnd]],Lookups!$R$8:$U$17,4,FALSE)</f>
        <v>0.997</v>
      </c>
      <c r="CO243">
        <f>VLOOKUP(Sales[[#This Row],[LivArea Range]],Lookups!$R$25:$U$43,4,FALSE)</f>
        <v>0.99519999999999997</v>
      </c>
      <c r="CP243">
        <f>VLOOKUP(Sales[[#This Row],[Decade]],Lookups!$M$24:$P$40,4,FALSE)</f>
        <v>0.99560000000000004</v>
      </c>
      <c r="CQ243">
        <f>Sales[[#This Row],[Nbhd Adj]]*0.95</f>
        <v>0.94971499999999998</v>
      </c>
      <c r="CR243">
        <f>Sales[[#This Row],[Nbhd Adj]]*Sales[[#This Row],[Quality Adj]]*Sales[[#This Row],[Condition Adj]]*Sales[[#This Row],[Living Area Adj]]*Sales[[#This Row],[Decade Adj]]*0.95</f>
        <v>0.93648597250436405</v>
      </c>
      <c r="CS243">
        <f>ROUND(SUM(Sales[[#This Row],[Mdl Qlty]:[Mdl BltinGar]])+Sales[[#This Row],[Mdl Res Intercept]]*Sales[[#This Row],[Res Adj ]],-2)</f>
        <v>262800</v>
      </c>
      <c r="CT243">
        <f>ROUND(Sales[[#This Row],[25Det]]*Sales[[#This Row],[Det/Nbhd Adj]],-2)</f>
        <v>0</v>
      </c>
      <c r="CU243">
        <f>Sales[[#This Row],[Adjusted Res]]+Sales[[#This Row],[Adj Det ]]</f>
        <v>262800</v>
      </c>
      <c r="CV243">
        <f>ROUND((Sales[[#This Row],[Mdl Land Intercept]]+Sales[[#This Row],[Mdl LnAcres]])*Sales[[#This Row],[Det/Nbhd Adj]],-2)</f>
        <v>61800</v>
      </c>
      <c r="CW243">
        <f>Sales[[#This Row],[Adjusted Impr Total]]+Sales[[#This Row],[Adjusted Land Total]]</f>
        <v>324600</v>
      </c>
      <c r="CX243" s="10">
        <f>IFERROR((Sales[[#This Row],[Adjusted Impr Total]]-Sales[[#This Row],[24Bldg]])/Sales[[#This Row],[24Bldg]],0)</f>
        <v>-9.8456260720411665E-2</v>
      </c>
      <c r="CY243" s="10">
        <f>(Sales[[#This Row],[Adjusted Land Total]]-Sales[[#This Row],[24Lnd]])/Sales[[#This Row],[24Lnd]]</f>
        <v>1.6207455429497568E-3</v>
      </c>
      <c r="CZ243">
        <f>(Sales[[#This Row],[Adjusted Total]]-Sales[[#This Row],[24Final]])/Sales[[#This Row],[24Final]]</f>
        <v>-8.0973952434881091E-2</v>
      </c>
      <c r="DA243" s="10">
        <f>(Sales[[#This Row],[Adjusted Total]]+Sales[[#This Row],[Days Prior Total]])/Sales[[#This Row],[Price]]</f>
        <v>0.85226161104590159</v>
      </c>
    </row>
    <row r="244" spans="1:105">
      <c r="A244">
        <v>2025</v>
      </c>
      <c r="B244">
        <v>19120141412</v>
      </c>
      <c r="C244">
        <v>-1.8325814637483102</v>
      </c>
      <c r="D244">
        <v>0.16</v>
      </c>
      <c r="E244">
        <v>6951</v>
      </c>
      <c r="F244">
        <v>2</v>
      </c>
      <c r="G244" t="s">
        <v>155</v>
      </c>
      <c r="H244">
        <v>317</v>
      </c>
      <c r="I244" t="s">
        <v>5</v>
      </c>
      <c r="J244" t="s">
        <v>212</v>
      </c>
      <c r="K244">
        <v>11</v>
      </c>
      <c r="L244">
        <v>259</v>
      </c>
      <c r="M244" t="s">
        <v>193</v>
      </c>
      <c r="N244" t="s">
        <v>19</v>
      </c>
      <c r="O244" t="s">
        <v>18</v>
      </c>
      <c r="P244">
        <v>2005</v>
      </c>
      <c r="Q244">
        <v>2005</v>
      </c>
      <c r="R244">
        <v>20</v>
      </c>
      <c r="S244">
        <v>19</v>
      </c>
      <c r="T244">
        <v>19</v>
      </c>
      <c r="U244">
        <v>1</v>
      </c>
      <c r="V244">
        <v>1706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1706</v>
      </c>
      <c r="AC244">
        <v>2000</v>
      </c>
      <c r="AD244">
        <v>3</v>
      </c>
      <c r="AE244" t="s">
        <v>56</v>
      </c>
      <c r="AF244" t="s">
        <v>331</v>
      </c>
      <c r="AG244" t="s">
        <v>21</v>
      </c>
      <c r="AH244" t="s">
        <v>161</v>
      </c>
      <c r="AI244">
        <v>0</v>
      </c>
      <c r="AJ244">
        <v>0</v>
      </c>
      <c r="AK244">
        <v>1</v>
      </c>
      <c r="AL244">
        <v>0</v>
      </c>
      <c r="AM244">
        <v>0</v>
      </c>
      <c r="AN244">
        <v>11</v>
      </c>
      <c r="AO244">
        <v>706</v>
      </c>
      <c r="AP244">
        <v>0</v>
      </c>
      <c r="AQ244">
        <v>0</v>
      </c>
      <c r="AR244">
        <v>0</v>
      </c>
      <c r="AS244">
        <v>100</v>
      </c>
      <c r="AT244">
        <v>0</v>
      </c>
      <c r="AU244">
        <v>100</v>
      </c>
      <c r="AV244">
        <v>100</v>
      </c>
      <c r="AW244">
        <v>313242</v>
      </c>
      <c r="AX244">
        <v>285050</v>
      </c>
      <c r="AY244">
        <v>837</v>
      </c>
      <c r="AZ244">
        <v>365</v>
      </c>
      <c r="BA244">
        <v>365</v>
      </c>
      <c r="BB244">
        <v>107</v>
      </c>
      <c r="BC244" s="2">
        <v>44455</v>
      </c>
      <c r="BD244" t="s">
        <v>404</v>
      </c>
      <c r="BE244">
        <v>345000</v>
      </c>
      <c r="BF244">
        <v>345000</v>
      </c>
      <c r="BG244" t="s">
        <v>160</v>
      </c>
      <c r="BH244">
        <v>30</v>
      </c>
      <c r="BI244" t="s">
        <v>56</v>
      </c>
      <c r="BJ244" t="s">
        <v>161</v>
      </c>
      <c r="BK244">
        <v>376600</v>
      </c>
      <c r="BL244">
        <v>60800</v>
      </c>
      <c r="BM244">
        <v>315800</v>
      </c>
      <c r="BN244">
        <v>0</v>
      </c>
      <c r="BO244">
        <v>335826.16669440799</v>
      </c>
      <c r="BP244">
        <v>381479.42720460339</v>
      </c>
      <c r="BQ244">
        <f>(Sales[[#This Row],[DP1]]*Lookups!$B$61)+(Sales[[#This Row],[DP2]]*Lookups!$B$62)+(Sales[[#This Row],[DP3]]*Lookups!$B$63)</f>
        <v>-45653.258430999995</v>
      </c>
      <c r="BR244">
        <f>Lookups!$B$58*0.6</f>
        <v>132535.48800000001</v>
      </c>
      <c r="BS244">
        <f>Lookups!$B$58*0.4</f>
        <v>88356.992000000013</v>
      </c>
      <c r="BT244">
        <f>Lookups!$B$59*Sales[[#This Row],[LnAcres]]</f>
        <v>-24051.387388882686</v>
      </c>
      <c r="BU244">
        <f>VLOOKUP(Sales[[#This Row],[Qlty]],Lookups!$A$66:$E$79,2,FALSE)</f>
        <v>37154.252388000001</v>
      </c>
      <c r="BV244">
        <f>VLOOKUP(Sales[[#This Row],[Cnd]],Lookups!$A$80:$E$91,2,FALSE)</f>
        <v>17761.121909000001</v>
      </c>
      <c r="BW244">
        <f>Sales[[#This Row],[EffAge]]*Lookups!$B$65</f>
        <v>-2066.0808999999999</v>
      </c>
      <c r="BX244">
        <f>Sales[[#This Row],[MainFn]]*Lookups!$B$90</f>
        <v>106472.10828</v>
      </c>
      <c r="BY244">
        <f>Sales[[#This Row],[UpprFn]]*Lookups!$B$91</f>
        <v>0</v>
      </c>
      <c r="BZ244">
        <f>Sales[[#This Row],[Bsmt]]*Lookups!$B$95</f>
        <v>0</v>
      </c>
      <c r="CA244">
        <f>VLOOKUP(Sales[[#This Row],[MsnryTrim]],Lookups!$A$90:$E$99,2,FALSE)</f>
        <v>-9412.7029999999995</v>
      </c>
      <c r="CB244">
        <f>Sales[[#This Row],[PrefabFP]]*Lookups!$B$92</f>
        <v>9807.1044999999995</v>
      </c>
      <c r="CC244">
        <f>Sales[[#This Row],[AttGar]]*Lookups!$B$93</f>
        <v>24922.527886</v>
      </c>
      <c r="CD244">
        <f>Sales[[#This Row],[BltinGar]]*Lookups!$B$94</f>
        <v>0</v>
      </c>
      <c r="CE244">
        <f>SUM(Sales[[#This Row],[Days Prior Total]:[Mdl BltinGar]])</f>
        <v>335826.16524311737</v>
      </c>
      <c r="CF244">
        <f>ROUND(Sales[[#This Row],[25Det]],-2)</f>
        <v>0</v>
      </c>
      <c r="CG244">
        <f>ROUND(SUM(Sales[[#This Row],[Mdl Qlty]:[Mdl BltinGar]])+Sales[[#This Row],[Mdl Res Intercept]]+Sales[[#This Row],[Days Prior Total]],-2)</f>
        <v>271500</v>
      </c>
      <c r="CH244">
        <f>ROUND(Sales[[#This Row],[Mdl Land Intercept]]+Sales[[#This Row],[Mdl LnAcres]],-2)</f>
        <v>64300</v>
      </c>
      <c r="CI244">
        <f>Sales[[#This Row],[Unadj Res Value]]+Sales[[#This Row],[Unadj Det Value]]+Sales[[#This Row],[Unadj Land Value]]</f>
        <v>335800</v>
      </c>
      <c r="CJ244" s="10">
        <f>Sales[[#This Row],[Price]]/Sales[[#This Row],[Unadj Total Value]]</f>
        <v>1.0273972602739727</v>
      </c>
      <c r="CK244" s="10">
        <f>(Sales[[#This Row],[Unadj Total Value]]-Sales[[#This Row],[24Final]])/Sales[[#This Row],[24Final]]</f>
        <v>-0.10833775889537971</v>
      </c>
      <c r="CL244">
        <f>VLOOKUP(Sales[[#This Row],[TNbhd]],Lookups!$M$3:$P$5,4,FALSE)</f>
        <v>0.99970000000000003</v>
      </c>
      <c r="CM244">
        <f>VLOOKUP(Sales[[#This Row],[Qlty]],Lookups!$M$8:$P$22,4,FALSE)</f>
        <v>0.99819999999999998</v>
      </c>
      <c r="CN244">
        <f>VLOOKUP(Sales[[#This Row],[Cnd]],Lookups!$R$8:$U$17,4,FALSE)</f>
        <v>0.99680000000000002</v>
      </c>
      <c r="CO244">
        <f>VLOOKUP(Sales[[#This Row],[LivArea Range]],Lookups!$R$25:$U$43,4,FALSE)</f>
        <v>1.0007999999999999</v>
      </c>
      <c r="CP244">
        <f>VLOOKUP(Sales[[#This Row],[Decade]],Lookups!$M$24:$P$40,4,FALSE)</f>
        <v>0.99560000000000004</v>
      </c>
      <c r="CQ244">
        <f>Sales[[#This Row],[Nbhd Adj]]*0.95</f>
        <v>0.94971499999999998</v>
      </c>
      <c r="CR244">
        <f>Sales[[#This Row],[Nbhd Adj]]*Sales[[#This Row],[Quality Adj]]*Sales[[#This Row],[Condition Adj]]*Sales[[#This Row],[Living Area Adj]]*Sales[[#This Row],[Decade Adj]]*0.95</f>
        <v>0.94156667023403817</v>
      </c>
      <c r="CS244">
        <f>ROUND(SUM(Sales[[#This Row],[Mdl Qlty]:[Mdl BltinGar]])+Sales[[#This Row],[Mdl Res Intercept]]*Sales[[#This Row],[Res Adj ]],-2)</f>
        <v>309400</v>
      </c>
      <c r="CT244">
        <f>ROUND(Sales[[#This Row],[25Det]]*Sales[[#This Row],[Det/Nbhd Adj]],-2)</f>
        <v>0</v>
      </c>
      <c r="CU244">
        <f>Sales[[#This Row],[Adjusted Res]]+Sales[[#This Row],[Adj Det ]]</f>
        <v>309400</v>
      </c>
      <c r="CV244">
        <f>ROUND((Sales[[#This Row],[Mdl Land Intercept]]+Sales[[#This Row],[Mdl LnAcres]])*Sales[[#This Row],[Det/Nbhd Adj]],-2)</f>
        <v>61100</v>
      </c>
      <c r="CW244">
        <f>Sales[[#This Row],[Adjusted Impr Total]]+Sales[[#This Row],[Adjusted Land Total]]</f>
        <v>370500</v>
      </c>
      <c r="CX244" s="10">
        <f>IFERROR((Sales[[#This Row],[Adjusted Impr Total]]-Sales[[#This Row],[24Bldg]])/Sales[[#This Row],[24Bldg]],0)</f>
        <v>-2.0265991133628879E-2</v>
      </c>
      <c r="CY244" s="10">
        <f>(Sales[[#This Row],[Adjusted Land Total]]-Sales[[#This Row],[24Lnd]])/Sales[[#This Row],[24Lnd]]</f>
        <v>4.9342105263157892E-3</v>
      </c>
      <c r="CZ244">
        <f>(Sales[[#This Row],[Adjusted Total]]-Sales[[#This Row],[24Final]])/Sales[[#This Row],[24Final]]</f>
        <v>-1.6197557089750399E-2</v>
      </c>
      <c r="DA244" s="10">
        <f>(Sales[[#This Row],[Adjusted Total]]+Sales[[#This Row],[Days Prior Total]])/Sales[[#This Row],[Price]]</f>
        <v>0.9415847581710145</v>
      </c>
    </row>
    <row r="245" spans="1:105">
      <c r="A245">
        <v>2025</v>
      </c>
      <c r="B245">
        <v>19120141421</v>
      </c>
      <c r="C245">
        <v>-1.8325814637483102</v>
      </c>
      <c r="D245">
        <v>0.16</v>
      </c>
      <c r="E245">
        <v>6960</v>
      </c>
      <c r="F245">
        <v>2</v>
      </c>
      <c r="G245" t="s">
        <v>155</v>
      </c>
      <c r="H245">
        <v>317</v>
      </c>
      <c r="I245" t="s">
        <v>5</v>
      </c>
      <c r="J245" t="s">
        <v>212</v>
      </c>
      <c r="K245">
        <v>11</v>
      </c>
      <c r="L245">
        <v>259</v>
      </c>
      <c r="M245" t="s">
        <v>157</v>
      </c>
      <c r="N245" t="s">
        <v>19</v>
      </c>
      <c r="O245" t="s">
        <v>22</v>
      </c>
      <c r="P245">
        <v>2005</v>
      </c>
      <c r="Q245">
        <v>2005</v>
      </c>
      <c r="R245">
        <v>20</v>
      </c>
      <c r="S245">
        <v>19</v>
      </c>
      <c r="T245">
        <v>19</v>
      </c>
      <c r="U245">
        <v>2</v>
      </c>
      <c r="V245">
        <v>1116</v>
      </c>
      <c r="W245">
        <v>1116</v>
      </c>
      <c r="X245">
        <v>0</v>
      </c>
      <c r="Y245">
        <v>0</v>
      </c>
      <c r="Z245">
        <v>0</v>
      </c>
      <c r="AA245">
        <v>0</v>
      </c>
      <c r="AB245">
        <v>2232</v>
      </c>
      <c r="AC245">
        <v>2500</v>
      </c>
      <c r="AD245">
        <v>2</v>
      </c>
      <c r="AE245" t="s">
        <v>56</v>
      </c>
      <c r="AF245" t="s">
        <v>331</v>
      </c>
      <c r="AG245" t="s">
        <v>21</v>
      </c>
      <c r="AH245" t="s">
        <v>161</v>
      </c>
      <c r="AI245">
        <v>0</v>
      </c>
      <c r="AJ245">
        <v>0</v>
      </c>
      <c r="AK245">
        <v>0</v>
      </c>
      <c r="AL245">
        <v>0</v>
      </c>
      <c r="AM245">
        <v>1</v>
      </c>
      <c r="AN245">
        <v>13</v>
      </c>
      <c r="AO245">
        <v>440</v>
      </c>
      <c r="AP245">
        <v>0</v>
      </c>
      <c r="AQ245">
        <v>0</v>
      </c>
      <c r="AR245">
        <v>0</v>
      </c>
      <c r="AS245">
        <v>100</v>
      </c>
      <c r="AT245">
        <v>0</v>
      </c>
      <c r="AU245">
        <v>100</v>
      </c>
      <c r="AV245">
        <v>100</v>
      </c>
      <c r="AW245">
        <v>347819</v>
      </c>
      <c r="AX245">
        <v>330428</v>
      </c>
      <c r="AY245">
        <v>759</v>
      </c>
      <c r="AZ245">
        <v>365</v>
      </c>
      <c r="BA245">
        <v>365</v>
      </c>
      <c r="BB245">
        <v>29</v>
      </c>
      <c r="BC245" s="2">
        <v>44533</v>
      </c>
      <c r="BD245" t="s">
        <v>405</v>
      </c>
      <c r="BE245">
        <v>400000</v>
      </c>
      <c r="BF245">
        <v>400000</v>
      </c>
      <c r="BG245" t="s">
        <v>160</v>
      </c>
      <c r="BH245">
        <v>30</v>
      </c>
      <c r="BI245" t="s">
        <v>56</v>
      </c>
      <c r="BJ245" t="s">
        <v>161</v>
      </c>
      <c r="BK245">
        <v>410800</v>
      </c>
      <c r="BL245">
        <v>60800</v>
      </c>
      <c r="BM245">
        <v>350000</v>
      </c>
      <c r="BN245">
        <v>0</v>
      </c>
      <c r="BO245">
        <v>396837.78196120181</v>
      </c>
      <c r="BP245">
        <v>424629.08860152221</v>
      </c>
      <c r="BQ245">
        <f>(Sales[[#This Row],[DP1]]*Lookups!$B$61)+(Sales[[#This Row],[DP2]]*Lookups!$B$62)+(Sales[[#This Row],[DP3]]*Lookups!$B$63)</f>
        <v>-27791.305230999998</v>
      </c>
      <c r="BR245">
        <f>Lookups!$B$58*0.6</f>
        <v>132535.48800000001</v>
      </c>
      <c r="BS245">
        <f>Lookups!$B$58*0.4</f>
        <v>88356.992000000013</v>
      </c>
      <c r="BT245">
        <f>Lookups!$B$59*Sales[[#This Row],[LnAcres]]</f>
        <v>-24051.387388882686</v>
      </c>
      <c r="BU245">
        <f>VLOOKUP(Sales[[#This Row],[Qlty]],Lookups!$A$66:$E$79,2,FALSE)</f>
        <v>37154.252388000001</v>
      </c>
      <c r="BV245">
        <f>VLOOKUP(Sales[[#This Row],[Cnd]],Lookups!$A$80:$E$91,2,FALSE)</f>
        <v>50438.379078999998</v>
      </c>
      <c r="BW245">
        <f>Sales[[#This Row],[EffAge]]*Lookups!$B$65</f>
        <v>-2066.0808999999999</v>
      </c>
      <c r="BX245">
        <f>Sales[[#This Row],[MainFn]]*Lookups!$B$90</f>
        <v>69649.984080000009</v>
      </c>
      <c r="BY245">
        <f>Sales[[#This Row],[UpprFn]]*Lookups!$B$91</f>
        <v>66491.707427999994</v>
      </c>
      <c r="BZ245">
        <f>Sales[[#This Row],[Bsmt]]*Lookups!$B$95</f>
        <v>0</v>
      </c>
      <c r="CA245">
        <f>VLOOKUP(Sales[[#This Row],[MsnryTrim]],Lookups!$A$90:$E$99,2,FALSE)</f>
        <v>-9412.7029999999995</v>
      </c>
      <c r="CB245">
        <f>Sales[[#This Row],[PrefabFP]]*Lookups!$B$92</f>
        <v>0</v>
      </c>
      <c r="CC245">
        <f>Sales[[#This Row],[AttGar]]*Lookups!$B$93</f>
        <v>15532.453640000002</v>
      </c>
      <c r="CD245">
        <f>Sales[[#This Row],[BltinGar]]*Lookups!$B$94</f>
        <v>0</v>
      </c>
      <c r="CE245">
        <f>SUM(Sales[[#This Row],[Days Prior Total]:[Mdl BltinGar]])</f>
        <v>396837.7800951174</v>
      </c>
      <c r="CF245">
        <f>ROUND(Sales[[#This Row],[25Det]],-2)</f>
        <v>0</v>
      </c>
      <c r="CG245">
        <f>ROUND(SUM(Sales[[#This Row],[Mdl Qlty]:[Mdl BltinGar]])+Sales[[#This Row],[Mdl Res Intercept]]+Sales[[#This Row],[Days Prior Total]],-2)</f>
        <v>332500</v>
      </c>
      <c r="CH245">
        <f>ROUND(Sales[[#This Row],[Mdl Land Intercept]]+Sales[[#This Row],[Mdl LnAcres]],-2)</f>
        <v>64300</v>
      </c>
      <c r="CI245">
        <f>Sales[[#This Row],[Unadj Res Value]]+Sales[[#This Row],[Unadj Det Value]]+Sales[[#This Row],[Unadj Land Value]]</f>
        <v>396800</v>
      </c>
      <c r="CJ245" s="10">
        <f>Sales[[#This Row],[Price]]/Sales[[#This Row],[Unadj Total Value]]</f>
        <v>1.0080645161290323</v>
      </c>
      <c r="CK245" s="10">
        <f>(Sales[[#This Row],[Unadj Total Value]]-Sales[[#This Row],[24Final]])/Sales[[#This Row],[24Final]]</f>
        <v>-3.4079844206426485E-2</v>
      </c>
      <c r="CL245">
        <f>VLOOKUP(Sales[[#This Row],[TNbhd]],Lookups!$M$3:$P$5,4,FALSE)</f>
        <v>0.99970000000000003</v>
      </c>
      <c r="CM245">
        <f>VLOOKUP(Sales[[#This Row],[Qlty]],Lookups!$M$8:$P$22,4,FALSE)</f>
        <v>0.99819999999999998</v>
      </c>
      <c r="CN245">
        <f>VLOOKUP(Sales[[#This Row],[Cnd]],Lookups!$R$8:$U$17,4,FALSE)</f>
        <v>1.0007999999999999</v>
      </c>
      <c r="CO245">
        <f>VLOOKUP(Sales[[#This Row],[LivArea Range]],Lookups!$R$25:$U$43,4,FALSE)</f>
        <v>1.0008999999999999</v>
      </c>
      <c r="CP245">
        <f>VLOOKUP(Sales[[#This Row],[Decade]],Lookups!$M$24:$P$40,4,FALSE)</f>
        <v>0.99560000000000004</v>
      </c>
      <c r="CQ245">
        <f>Sales[[#This Row],[Nbhd Adj]]*0.95</f>
        <v>0.94971499999999998</v>
      </c>
      <c r="CR245">
        <f>Sales[[#This Row],[Nbhd Adj]]*Sales[[#This Row],[Quality Adj]]*Sales[[#This Row],[Condition Adj]]*Sales[[#This Row],[Living Area Adj]]*Sales[[#This Row],[Decade Adj]]*0.95</f>
        <v>0.94543948659435051</v>
      </c>
      <c r="CS245">
        <f>ROUND(SUM(Sales[[#This Row],[Mdl Qlty]:[Mdl BltinGar]])+Sales[[#This Row],[Mdl Res Intercept]]*Sales[[#This Row],[Res Adj ]],-2)</f>
        <v>353100</v>
      </c>
      <c r="CT245">
        <f>ROUND(Sales[[#This Row],[25Det]]*Sales[[#This Row],[Det/Nbhd Adj]],-2)</f>
        <v>0</v>
      </c>
      <c r="CU245">
        <f>Sales[[#This Row],[Adjusted Res]]+Sales[[#This Row],[Adj Det ]]</f>
        <v>353100</v>
      </c>
      <c r="CV245">
        <f>ROUND((Sales[[#This Row],[Mdl Land Intercept]]+Sales[[#This Row],[Mdl LnAcres]])*Sales[[#This Row],[Det/Nbhd Adj]],-2)</f>
        <v>61100</v>
      </c>
      <c r="CW245">
        <f>Sales[[#This Row],[Adjusted Impr Total]]+Sales[[#This Row],[Adjusted Land Total]]</f>
        <v>414200</v>
      </c>
      <c r="CX245" s="10">
        <f>IFERROR((Sales[[#This Row],[Adjusted Impr Total]]-Sales[[#This Row],[24Bldg]])/Sales[[#This Row],[24Bldg]],0)</f>
        <v>8.8571428571428568E-3</v>
      </c>
      <c r="CY245" s="10">
        <f>(Sales[[#This Row],[Adjusted Land Total]]-Sales[[#This Row],[24Lnd]])/Sales[[#This Row],[24Lnd]]</f>
        <v>4.9342105263157892E-3</v>
      </c>
      <c r="CZ245">
        <f>(Sales[[#This Row],[Adjusted Total]]-Sales[[#This Row],[24Final]])/Sales[[#This Row],[24Final]]</f>
        <v>8.2765335929892887E-3</v>
      </c>
      <c r="DA245" s="10">
        <f>(Sales[[#This Row],[Adjusted Total]]+Sales[[#This Row],[Days Prior Total]])/Sales[[#This Row],[Price]]</f>
        <v>0.96602173692250004</v>
      </c>
    </row>
    <row r="246" spans="1:105">
      <c r="A246">
        <v>2025</v>
      </c>
      <c r="B246">
        <v>19120141427</v>
      </c>
      <c r="C246">
        <v>-1.7719568419318752</v>
      </c>
      <c r="D246">
        <v>0.17</v>
      </c>
      <c r="E246">
        <v>7310</v>
      </c>
      <c r="F246">
        <v>2</v>
      </c>
      <c r="G246" t="s">
        <v>155</v>
      </c>
      <c r="H246">
        <v>317</v>
      </c>
      <c r="I246" t="s">
        <v>5</v>
      </c>
      <c r="J246" t="s">
        <v>212</v>
      </c>
      <c r="K246">
        <v>11</v>
      </c>
      <c r="L246">
        <v>259</v>
      </c>
      <c r="M246" t="s">
        <v>193</v>
      </c>
      <c r="N246" t="s">
        <v>19</v>
      </c>
      <c r="O246" t="s">
        <v>18</v>
      </c>
      <c r="P246">
        <v>2005</v>
      </c>
      <c r="Q246">
        <v>2005</v>
      </c>
      <c r="R246">
        <v>20</v>
      </c>
      <c r="S246">
        <v>19</v>
      </c>
      <c r="T246">
        <v>19</v>
      </c>
      <c r="U246">
        <v>1</v>
      </c>
      <c r="V246">
        <v>1092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1092</v>
      </c>
      <c r="AC246">
        <v>1500</v>
      </c>
      <c r="AD246">
        <v>2</v>
      </c>
      <c r="AE246" t="s">
        <v>56</v>
      </c>
      <c r="AF246" t="s">
        <v>331</v>
      </c>
      <c r="AG246" t="s">
        <v>21</v>
      </c>
      <c r="AH246" t="s">
        <v>161</v>
      </c>
      <c r="AI246">
        <v>0</v>
      </c>
      <c r="AJ246">
        <v>0</v>
      </c>
      <c r="AK246">
        <v>0</v>
      </c>
      <c r="AL246">
        <v>1</v>
      </c>
      <c r="AM246">
        <v>0</v>
      </c>
      <c r="AN246">
        <v>8</v>
      </c>
      <c r="AO246">
        <v>440</v>
      </c>
      <c r="AP246">
        <v>0</v>
      </c>
      <c r="AQ246">
        <v>0</v>
      </c>
      <c r="AR246">
        <v>0</v>
      </c>
      <c r="AS246">
        <v>250</v>
      </c>
      <c r="AT246">
        <v>0</v>
      </c>
      <c r="AU246">
        <v>100</v>
      </c>
      <c r="AV246">
        <v>100</v>
      </c>
      <c r="AW246">
        <v>210382</v>
      </c>
      <c r="AX246">
        <v>191448</v>
      </c>
      <c r="AY246">
        <v>711</v>
      </c>
      <c r="AZ246">
        <v>365</v>
      </c>
      <c r="BA246">
        <v>346</v>
      </c>
      <c r="BB246">
        <v>0</v>
      </c>
      <c r="BC246" s="2">
        <v>44581</v>
      </c>
      <c r="BD246" t="s">
        <v>406</v>
      </c>
      <c r="BE246">
        <v>280000</v>
      </c>
      <c r="BF246">
        <v>280000</v>
      </c>
      <c r="BG246" t="s">
        <v>160</v>
      </c>
      <c r="BH246">
        <v>30</v>
      </c>
      <c r="BI246" t="s">
        <v>56</v>
      </c>
      <c r="BJ246" t="s">
        <v>161</v>
      </c>
      <c r="BK246">
        <v>338400</v>
      </c>
      <c r="BL246">
        <v>61700</v>
      </c>
      <c r="BM246">
        <v>276700</v>
      </c>
      <c r="BN246">
        <v>0</v>
      </c>
      <c r="BO246">
        <v>304889.03590807569</v>
      </c>
      <c r="BP246">
        <v>324757.93218830251</v>
      </c>
      <c r="BQ246">
        <f>(Sales[[#This Row],[DP1]]*Lookups!$B$61)+(Sales[[#This Row],[DP2]]*Lookups!$B$62)+(Sales[[#This Row],[DP3]]*Lookups!$B$63)</f>
        <v>-19868.895181</v>
      </c>
      <c r="BR246">
        <f>Lookups!$B$58*0.6</f>
        <v>132535.48800000001</v>
      </c>
      <c r="BS246">
        <f>Lookups!$B$58*0.4</f>
        <v>88356.992000000013</v>
      </c>
      <c r="BT246">
        <f>Lookups!$B$59*Sales[[#This Row],[LnAcres]]</f>
        <v>-23255.730391660189</v>
      </c>
      <c r="BU246">
        <f>VLOOKUP(Sales[[#This Row],[Qlty]],Lookups!$A$66:$E$79,2,FALSE)</f>
        <v>37154.252388000001</v>
      </c>
      <c r="BV246">
        <f>VLOOKUP(Sales[[#This Row],[Cnd]],Lookups!$A$80:$E$91,2,FALSE)</f>
        <v>17761.121909000001</v>
      </c>
      <c r="BW246">
        <f>Sales[[#This Row],[EffAge]]*Lookups!$B$65</f>
        <v>-2066.0808999999999</v>
      </c>
      <c r="BX246">
        <f>Sales[[#This Row],[MainFn]]*Lookups!$B$90</f>
        <v>68152.13496000001</v>
      </c>
      <c r="BY246">
        <f>Sales[[#This Row],[UpprFn]]*Lookups!$B$91</f>
        <v>0</v>
      </c>
      <c r="BZ246">
        <f>Sales[[#This Row],[Bsmt]]*Lookups!$B$95</f>
        <v>0</v>
      </c>
      <c r="CA246">
        <f>VLOOKUP(Sales[[#This Row],[MsnryTrim]],Lookups!$A$90:$E$99,2,FALSE)</f>
        <v>-9412.7029999999995</v>
      </c>
      <c r="CB246">
        <f>Sales[[#This Row],[PrefabFP]]*Lookups!$B$92</f>
        <v>0</v>
      </c>
      <c r="CC246">
        <f>Sales[[#This Row],[AttGar]]*Lookups!$B$93</f>
        <v>15532.453640000002</v>
      </c>
      <c r="CD246">
        <f>Sales[[#This Row],[BltinGar]]*Lookups!$B$94</f>
        <v>0</v>
      </c>
      <c r="CE246">
        <f>SUM(Sales[[#This Row],[Days Prior Total]:[Mdl BltinGar]])</f>
        <v>304889.0334243399</v>
      </c>
      <c r="CF246">
        <f>ROUND(Sales[[#This Row],[25Det]],-2)</f>
        <v>0</v>
      </c>
      <c r="CG246">
        <f>ROUND(SUM(Sales[[#This Row],[Mdl Qlty]:[Mdl BltinGar]])+Sales[[#This Row],[Mdl Res Intercept]]+Sales[[#This Row],[Days Prior Total]],-2)</f>
        <v>239800</v>
      </c>
      <c r="CH246">
        <f>ROUND(Sales[[#This Row],[Mdl Land Intercept]]+Sales[[#This Row],[Mdl LnAcres]],-2)</f>
        <v>65100</v>
      </c>
      <c r="CI246">
        <f>Sales[[#This Row],[Unadj Res Value]]+Sales[[#This Row],[Unadj Det Value]]+Sales[[#This Row],[Unadj Land Value]]</f>
        <v>304900</v>
      </c>
      <c r="CJ246" s="10">
        <f>Sales[[#This Row],[Price]]/Sales[[#This Row],[Unadj Total Value]]</f>
        <v>0.91833387996064286</v>
      </c>
      <c r="CK246" s="10">
        <f>(Sales[[#This Row],[Unadj Total Value]]-Sales[[#This Row],[24Final]])/Sales[[#This Row],[24Final]]</f>
        <v>-9.8995271867612297E-2</v>
      </c>
      <c r="CL246">
        <f>VLOOKUP(Sales[[#This Row],[TNbhd]],Lookups!$M$3:$P$5,4,FALSE)</f>
        <v>0.99970000000000003</v>
      </c>
      <c r="CM246">
        <f>VLOOKUP(Sales[[#This Row],[Qlty]],Lookups!$M$8:$P$22,4,FALSE)</f>
        <v>0.99819999999999998</v>
      </c>
      <c r="CN246">
        <f>VLOOKUP(Sales[[#This Row],[Cnd]],Lookups!$R$8:$U$17,4,FALSE)</f>
        <v>0.99680000000000002</v>
      </c>
      <c r="CO246">
        <f>VLOOKUP(Sales[[#This Row],[LivArea Range]],Lookups!$R$25:$U$43,4,FALSE)</f>
        <v>0.99519999999999997</v>
      </c>
      <c r="CP246">
        <f>VLOOKUP(Sales[[#This Row],[Decade]],Lookups!$M$24:$P$40,4,FALSE)</f>
        <v>0.99560000000000004</v>
      </c>
      <c r="CQ246">
        <f>Sales[[#This Row],[Nbhd Adj]]*0.95</f>
        <v>0.94971499999999998</v>
      </c>
      <c r="CR246">
        <f>Sales[[#This Row],[Nbhd Adj]]*Sales[[#This Row],[Quality Adj]]*Sales[[#This Row],[Condition Adj]]*Sales[[#This Row],[Living Area Adj]]*Sales[[#This Row],[Decade Adj]]*0.95</f>
        <v>0.93629811172753274</v>
      </c>
      <c r="CS246">
        <f>ROUND(SUM(Sales[[#This Row],[Mdl Qlty]:[Mdl BltinGar]])+Sales[[#This Row],[Mdl Res Intercept]]*Sales[[#This Row],[Res Adj ]],-2)</f>
        <v>251200</v>
      </c>
      <c r="CT246">
        <f>ROUND(Sales[[#This Row],[25Det]]*Sales[[#This Row],[Det/Nbhd Adj]],-2)</f>
        <v>0</v>
      </c>
      <c r="CU246">
        <f>Sales[[#This Row],[Adjusted Res]]+Sales[[#This Row],[Adj Det ]]</f>
        <v>251200</v>
      </c>
      <c r="CV246">
        <f>ROUND((Sales[[#This Row],[Mdl Land Intercept]]+Sales[[#This Row],[Mdl LnAcres]])*Sales[[#This Row],[Det/Nbhd Adj]],-2)</f>
        <v>61800</v>
      </c>
      <c r="CW246">
        <f>Sales[[#This Row],[Adjusted Impr Total]]+Sales[[#This Row],[Adjusted Land Total]]</f>
        <v>313000</v>
      </c>
      <c r="CX246" s="10">
        <f>IFERROR((Sales[[#This Row],[Adjusted Impr Total]]-Sales[[#This Row],[24Bldg]])/Sales[[#This Row],[24Bldg]],0)</f>
        <v>-9.215757137694254E-2</v>
      </c>
      <c r="CY246" s="10">
        <f>(Sales[[#This Row],[Adjusted Land Total]]-Sales[[#This Row],[24Lnd]])/Sales[[#This Row],[24Lnd]]</f>
        <v>1.6207455429497568E-3</v>
      </c>
      <c r="CZ246">
        <f>(Sales[[#This Row],[Adjusted Total]]-Sales[[#This Row],[24Final]])/Sales[[#This Row],[24Final]]</f>
        <v>-7.5059101654846333E-2</v>
      </c>
      <c r="DA246" s="10">
        <f>(Sales[[#This Row],[Adjusted Total]]+Sales[[#This Row],[Days Prior Total]])/Sales[[#This Row],[Price]]</f>
        <v>1.0468968029250001</v>
      </c>
    </row>
    <row r="247" spans="1:105">
      <c r="A247">
        <v>2025</v>
      </c>
      <c r="B247">
        <v>19120141447</v>
      </c>
      <c r="C247">
        <v>-1.7719568419318752</v>
      </c>
      <c r="D247">
        <v>0.17</v>
      </c>
      <c r="E247">
        <v>7193</v>
      </c>
      <c r="F247">
        <v>2</v>
      </c>
      <c r="G247" t="s">
        <v>155</v>
      </c>
      <c r="H247">
        <v>317</v>
      </c>
      <c r="I247" t="s">
        <v>5</v>
      </c>
      <c r="J247" t="s">
        <v>212</v>
      </c>
      <c r="K247">
        <v>11</v>
      </c>
      <c r="L247">
        <v>259</v>
      </c>
      <c r="M247" t="s">
        <v>193</v>
      </c>
      <c r="N247" t="s">
        <v>19</v>
      </c>
      <c r="O247" t="s">
        <v>20</v>
      </c>
      <c r="P247">
        <v>2005</v>
      </c>
      <c r="Q247">
        <v>2005</v>
      </c>
      <c r="R247">
        <v>20</v>
      </c>
      <c r="S247">
        <v>19</v>
      </c>
      <c r="T247">
        <v>19</v>
      </c>
      <c r="U247">
        <v>1</v>
      </c>
      <c r="V247">
        <v>1436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1436</v>
      </c>
      <c r="AC247">
        <v>1500</v>
      </c>
      <c r="AD247">
        <v>3</v>
      </c>
      <c r="AE247" t="s">
        <v>56</v>
      </c>
      <c r="AF247" t="s">
        <v>331</v>
      </c>
      <c r="AG247" t="s">
        <v>21</v>
      </c>
      <c r="AH247" t="s">
        <v>161</v>
      </c>
      <c r="AI247">
        <v>1</v>
      </c>
      <c r="AJ247">
        <v>0</v>
      </c>
      <c r="AK247">
        <v>0</v>
      </c>
      <c r="AL247">
        <v>1</v>
      </c>
      <c r="AM247">
        <v>0</v>
      </c>
      <c r="AN247">
        <v>8</v>
      </c>
      <c r="AO247">
        <v>640</v>
      </c>
      <c r="AP247">
        <v>0</v>
      </c>
      <c r="AQ247">
        <v>0</v>
      </c>
      <c r="AR247">
        <v>0</v>
      </c>
      <c r="AS247">
        <v>300</v>
      </c>
      <c r="AT247">
        <v>300</v>
      </c>
      <c r="AU247">
        <v>100</v>
      </c>
      <c r="AV247">
        <v>100</v>
      </c>
      <c r="AW247">
        <v>280145</v>
      </c>
      <c r="AX247">
        <v>260535</v>
      </c>
      <c r="AY247">
        <v>1015</v>
      </c>
      <c r="AZ247">
        <v>365</v>
      </c>
      <c r="BA247">
        <v>365</v>
      </c>
      <c r="BB247">
        <v>285</v>
      </c>
      <c r="BC247" s="2">
        <v>44277</v>
      </c>
      <c r="BD247" t="s">
        <v>407</v>
      </c>
      <c r="BE247">
        <v>290000</v>
      </c>
      <c r="BF247">
        <v>290000</v>
      </c>
      <c r="BG247" t="s">
        <v>160</v>
      </c>
      <c r="BH247">
        <v>30</v>
      </c>
      <c r="BI247" t="s">
        <v>56</v>
      </c>
      <c r="BJ247" t="s">
        <v>161</v>
      </c>
      <c r="BK247">
        <v>361500</v>
      </c>
      <c r="BL247">
        <v>61700</v>
      </c>
      <c r="BM247">
        <v>299800</v>
      </c>
      <c r="BN247">
        <v>0</v>
      </c>
      <c r="BO247">
        <v>279411.36117107183</v>
      </c>
      <c r="BP247">
        <v>365826.51640995662</v>
      </c>
      <c r="BQ247">
        <f>(Sales[[#This Row],[DP1]]*Lookups!$B$61)+(Sales[[#This Row],[DP2]]*Lookups!$B$62)+(Sales[[#This Row],[DP3]]*Lookups!$B$63)</f>
        <v>-86415.151631000001</v>
      </c>
      <c r="BR247">
        <f>Lookups!$B$58*0.6</f>
        <v>132535.48800000001</v>
      </c>
      <c r="BS247">
        <f>Lookups!$B$58*0.4</f>
        <v>88356.992000000013</v>
      </c>
      <c r="BT247">
        <f>Lookups!$B$59*Sales[[#This Row],[LnAcres]]</f>
        <v>-23255.730391660189</v>
      </c>
      <c r="BU247">
        <f>VLOOKUP(Sales[[#This Row],[Qlty]],Lookups!$A$66:$E$79,2,FALSE)</f>
        <v>37154.252388000001</v>
      </c>
      <c r="BV247">
        <f>VLOOKUP(Sales[[#This Row],[Cnd]],Lookups!$A$80:$E$91,2,FALSE)</f>
        <v>30300.329274</v>
      </c>
      <c r="BW247">
        <f>Sales[[#This Row],[EffAge]]*Lookups!$B$65</f>
        <v>-2066.0808999999999</v>
      </c>
      <c r="BX247">
        <f>Sales[[#This Row],[MainFn]]*Lookups!$B$90</f>
        <v>89621.305680000005</v>
      </c>
      <c r="BY247">
        <f>Sales[[#This Row],[UpprFn]]*Lookups!$B$91</f>
        <v>0</v>
      </c>
      <c r="BZ247">
        <f>Sales[[#This Row],[Bsmt]]*Lookups!$B$95</f>
        <v>0</v>
      </c>
      <c r="CA247">
        <f>VLOOKUP(Sales[[#This Row],[MsnryTrim]],Lookups!$A$90:$E$99,2,FALSE)</f>
        <v>-9412.7029999999995</v>
      </c>
      <c r="CB247">
        <f>Sales[[#This Row],[PrefabFP]]*Lookups!$B$92</f>
        <v>0</v>
      </c>
      <c r="CC247">
        <f>Sales[[#This Row],[AttGar]]*Lookups!$B$93</f>
        <v>22592.65984</v>
      </c>
      <c r="CD247">
        <f>Sales[[#This Row],[BltinGar]]*Lookups!$B$94</f>
        <v>0</v>
      </c>
      <c r="CE247">
        <f>SUM(Sales[[#This Row],[Days Prior Total]:[Mdl BltinGar]])</f>
        <v>279411.36125933984</v>
      </c>
      <c r="CF247">
        <f>ROUND(Sales[[#This Row],[25Det]],-2)</f>
        <v>0</v>
      </c>
      <c r="CG247">
        <f>ROUND(SUM(Sales[[#This Row],[Mdl Qlty]:[Mdl BltinGar]])+Sales[[#This Row],[Mdl Res Intercept]]+Sales[[#This Row],[Days Prior Total]],-2)</f>
        <v>214300</v>
      </c>
      <c r="CH247">
        <f>ROUND(Sales[[#This Row],[Mdl Land Intercept]]+Sales[[#This Row],[Mdl LnAcres]],-2)</f>
        <v>65100</v>
      </c>
      <c r="CI247">
        <f>Sales[[#This Row],[Unadj Res Value]]+Sales[[#This Row],[Unadj Det Value]]+Sales[[#This Row],[Unadj Land Value]]</f>
        <v>279400</v>
      </c>
      <c r="CJ247" s="10">
        <f>Sales[[#This Row],[Price]]/Sales[[#This Row],[Unadj Total Value]]</f>
        <v>1.0379384395132427</v>
      </c>
      <c r="CK247" s="10">
        <f>(Sales[[#This Row],[Unadj Total Value]]-Sales[[#This Row],[24Final]])/Sales[[#This Row],[24Final]]</f>
        <v>-0.22710926694329184</v>
      </c>
      <c r="CL247">
        <f>VLOOKUP(Sales[[#This Row],[TNbhd]],Lookups!$M$3:$P$5,4,FALSE)</f>
        <v>0.99970000000000003</v>
      </c>
      <c r="CM247">
        <f>VLOOKUP(Sales[[#This Row],[Qlty]],Lookups!$M$8:$P$22,4,FALSE)</f>
        <v>0.99819999999999998</v>
      </c>
      <c r="CN247">
        <f>VLOOKUP(Sales[[#This Row],[Cnd]],Lookups!$R$8:$U$17,4,FALSE)</f>
        <v>0.997</v>
      </c>
      <c r="CO247">
        <f>VLOOKUP(Sales[[#This Row],[LivArea Range]],Lookups!$R$25:$U$43,4,FALSE)</f>
        <v>0.99519999999999997</v>
      </c>
      <c r="CP247">
        <f>VLOOKUP(Sales[[#This Row],[Decade]],Lookups!$M$24:$P$40,4,FALSE)</f>
        <v>0.99560000000000004</v>
      </c>
      <c r="CQ247">
        <f>Sales[[#This Row],[Nbhd Adj]]*0.95</f>
        <v>0.94971499999999998</v>
      </c>
      <c r="CR247">
        <f>Sales[[#This Row],[Nbhd Adj]]*Sales[[#This Row],[Quality Adj]]*Sales[[#This Row],[Condition Adj]]*Sales[[#This Row],[Living Area Adj]]*Sales[[#This Row],[Decade Adj]]*0.95</f>
        <v>0.93648597250436405</v>
      </c>
      <c r="CS247">
        <f>ROUND(SUM(Sales[[#This Row],[Mdl Qlty]:[Mdl BltinGar]])+Sales[[#This Row],[Mdl Res Intercept]]*Sales[[#This Row],[Res Adj ]],-2)</f>
        <v>292300</v>
      </c>
      <c r="CT247">
        <f>ROUND(Sales[[#This Row],[25Det]]*Sales[[#This Row],[Det/Nbhd Adj]],-2)</f>
        <v>0</v>
      </c>
      <c r="CU247">
        <f>Sales[[#This Row],[Adjusted Res]]+Sales[[#This Row],[Adj Det ]]</f>
        <v>292300</v>
      </c>
      <c r="CV247">
        <f>ROUND((Sales[[#This Row],[Mdl Land Intercept]]+Sales[[#This Row],[Mdl LnAcres]])*Sales[[#This Row],[Det/Nbhd Adj]],-2)</f>
        <v>61800</v>
      </c>
      <c r="CW247">
        <f>Sales[[#This Row],[Adjusted Impr Total]]+Sales[[#This Row],[Adjusted Land Total]]</f>
        <v>354100</v>
      </c>
      <c r="CX247" s="10">
        <f>IFERROR((Sales[[#This Row],[Adjusted Impr Total]]-Sales[[#This Row],[24Bldg]])/Sales[[#This Row],[24Bldg]],0)</f>
        <v>-2.5016677785190126E-2</v>
      </c>
      <c r="CY247" s="10">
        <f>(Sales[[#This Row],[Adjusted Land Total]]-Sales[[#This Row],[24Lnd]])/Sales[[#This Row],[24Lnd]]</f>
        <v>1.6207455429497568E-3</v>
      </c>
      <c r="CZ247">
        <f>(Sales[[#This Row],[Adjusted Total]]-Sales[[#This Row],[24Final]])/Sales[[#This Row],[24Final]]</f>
        <v>-2.0470262793914246E-2</v>
      </c>
      <c r="DA247" s="10">
        <f>(Sales[[#This Row],[Adjusted Total]]+Sales[[#This Row],[Days Prior Total]])/Sales[[#This Row],[Price]]</f>
        <v>0.9230512012724138</v>
      </c>
    </row>
    <row r="248" spans="1:105">
      <c r="A248">
        <v>2025</v>
      </c>
      <c r="B248">
        <v>19120141449</v>
      </c>
      <c r="C248">
        <v>-1.8325814637483102</v>
      </c>
      <c r="D248">
        <v>0.16</v>
      </c>
      <c r="E248">
        <v>7154</v>
      </c>
      <c r="F248">
        <v>2</v>
      </c>
      <c r="G248" t="s">
        <v>155</v>
      </c>
      <c r="H248">
        <v>317</v>
      </c>
      <c r="I248" t="s">
        <v>5</v>
      </c>
      <c r="J248" t="s">
        <v>212</v>
      </c>
      <c r="K248">
        <v>11</v>
      </c>
      <c r="L248">
        <v>259</v>
      </c>
      <c r="M248" t="s">
        <v>157</v>
      </c>
      <c r="N248" t="s">
        <v>19</v>
      </c>
      <c r="O248" t="s">
        <v>20</v>
      </c>
      <c r="P248">
        <v>2005</v>
      </c>
      <c r="Q248">
        <v>2005</v>
      </c>
      <c r="R248">
        <v>20</v>
      </c>
      <c r="S248">
        <v>19</v>
      </c>
      <c r="T248">
        <v>19</v>
      </c>
      <c r="U248">
        <v>2</v>
      </c>
      <c r="V248">
        <v>1040</v>
      </c>
      <c r="W248">
        <v>1040</v>
      </c>
      <c r="X248">
        <v>0</v>
      </c>
      <c r="Y248">
        <v>0</v>
      </c>
      <c r="Z248">
        <v>0</v>
      </c>
      <c r="AA248">
        <v>0</v>
      </c>
      <c r="AB248">
        <v>2080</v>
      </c>
      <c r="AC248">
        <v>2500</v>
      </c>
      <c r="AD248">
        <v>2</v>
      </c>
      <c r="AE248" t="s">
        <v>56</v>
      </c>
      <c r="AF248" t="s">
        <v>331</v>
      </c>
      <c r="AG248" t="s">
        <v>21</v>
      </c>
      <c r="AH248" t="s">
        <v>161</v>
      </c>
      <c r="AI248">
        <v>0</v>
      </c>
      <c r="AJ248">
        <v>0</v>
      </c>
      <c r="AK248">
        <v>0</v>
      </c>
      <c r="AL248">
        <v>0</v>
      </c>
      <c r="AM248">
        <v>1</v>
      </c>
      <c r="AN248">
        <v>13</v>
      </c>
      <c r="AO248">
        <v>440</v>
      </c>
      <c r="AP248">
        <v>0</v>
      </c>
      <c r="AQ248">
        <v>0</v>
      </c>
      <c r="AR248">
        <v>0</v>
      </c>
      <c r="AS248">
        <v>240</v>
      </c>
      <c r="AT248">
        <v>0</v>
      </c>
      <c r="AU248">
        <v>100</v>
      </c>
      <c r="AV248">
        <v>100</v>
      </c>
      <c r="AW248">
        <v>287281</v>
      </c>
      <c r="AX248">
        <v>272917</v>
      </c>
      <c r="AY248">
        <v>242</v>
      </c>
      <c r="AZ248">
        <v>242</v>
      </c>
      <c r="BA248">
        <v>0</v>
      </c>
      <c r="BB248">
        <v>0</v>
      </c>
      <c r="BC248" s="2">
        <v>45050</v>
      </c>
      <c r="BD248" t="s">
        <v>408</v>
      </c>
      <c r="BE248">
        <v>407000</v>
      </c>
      <c r="BF248">
        <v>407000</v>
      </c>
      <c r="BG248" t="s">
        <v>160</v>
      </c>
      <c r="BH248">
        <v>30</v>
      </c>
      <c r="BI248" t="s">
        <v>56</v>
      </c>
      <c r="BJ248" t="s">
        <v>161</v>
      </c>
      <c r="BK248">
        <v>396400</v>
      </c>
      <c r="BL248">
        <v>60800</v>
      </c>
      <c r="BM248">
        <v>335600</v>
      </c>
      <c r="BN248">
        <v>0</v>
      </c>
      <c r="BO248">
        <v>397518.12630205922</v>
      </c>
      <c r="BP248">
        <v>395219.74082870607</v>
      </c>
      <c r="BQ248">
        <f>(Sales[[#This Row],[DP1]]*Lookups!$B$61)+(Sales[[#This Row],[DP2]]*Lookups!$B$62)+(Sales[[#This Row],[DP3]]*Lookups!$B$63)</f>
        <v>2298.3854652</v>
      </c>
      <c r="BR248">
        <f>Lookups!$B$58*0.6</f>
        <v>132535.48800000001</v>
      </c>
      <c r="BS248">
        <f>Lookups!$B$58*0.4</f>
        <v>88356.992000000013</v>
      </c>
      <c r="BT248">
        <f>Lookups!$B$59*Sales[[#This Row],[LnAcres]]</f>
        <v>-24051.387388882686</v>
      </c>
      <c r="BU248">
        <f>VLOOKUP(Sales[[#This Row],[Qlty]],Lookups!$A$66:$E$79,2,FALSE)</f>
        <v>37154.252388000001</v>
      </c>
      <c r="BV248">
        <f>VLOOKUP(Sales[[#This Row],[Cnd]],Lookups!$A$80:$E$91,2,FALSE)</f>
        <v>30300.329274</v>
      </c>
      <c r="BW248">
        <f>Sales[[#This Row],[EffAge]]*Lookups!$B$65</f>
        <v>-2066.0808999999999</v>
      </c>
      <c r="BX248">
        <f>Sales[[#This Row],[MainFn]]*Lookups!$B$90</f>
        <v>64906.7952</v>
      </c>
      <c r="BY248">
        <f>Sales[[#This Row],[UpprFn]]*Lookups!$B$91</f>
        <v>61963.598319999997</v>
      </c>
      <c r="BZ248">
        <f>Sales[[#This Row],[Bsmt]]*Lookups!$B$95</f>
        <v>0</v>
      </c>
      <c r="CA248">
        <f>VLOOKUP(Sales[[#This Row],[MsnryTrim]],Lookups!$A$90:$E$99,2,FALSE)</f>
        <v>-9412.7029999999995</v>
      </c>
      <c r="CB248">
        <f>Sales[[#This Row],[PrefabFP]]*Lookups!$B$92</f>
        <v>0</v>
      </c>
      <c r="CC248">
        <f>Sales[[#This Row],[AttGar]]*Lookups!$B$93</f>
        <v>15532.453640000002</v>
      </c>
      <c r="CD248">
        <f>Sales[[#This Row],[BltinGar]]*Lookups!$B$94</f>
        <v>0</v>
      </c>
      <c r="CE248">
        <f>SUM(Sales[[#This Row],[Days Prior Total]:[Mdl BltinGar]])</f>
        <v>397518.12299831735</v>
      </c>
      <c r="CF248">
        <f>ROUND(Sales[[#This Row],[25Det]],-2)</f>
        <v>0</v>
      </c>
      <c r="CG248">
        <f>ROUND(SUM(Sales[[#This Row],[Mdl Qlty]:[Mdl BltinGar]])+Sales[[#This Row],[Mdl Res Intercept]]+Sales[[#This Row],[Days Prior Total]],-2)</f>
        <v>333200</v>
      </c>
      <c r="CH248">
        <f>ROUND(Sales[[#This Row],[Mdl Land Intercept]]+Sales[[#This Row],[Mdl LnAcres]],-2)</f>
        <v>64300</v>
      </c>
      <c r="CI248">
        <f>Sales[[#This Row],[Unadj Res Value]]+Sales[[#This Row],[Unadj Det Value]]+Sales[[#This Row],[Unadj Land Value]]</f>
        <v>397500</v>
      </c>
      <c r="CJ248" s="10">
        <f>Sales[[#This Row],[Price]]/Sales[[#This Row],[Unadj Total Value]]</f>
        <v>1.0238993710691824</v>
      </c>
      <c r="CK248" s="10">
        <f>(Sales[[#This Row],[Unadj Total Value]]-Sales[[#This Row],[24Final]])/Sales[[#This Row],[24Final]]</f>
        <v>2.7749747729566097E-3</v>
      </c>
      <c r="CL248">
        <f>VLOOKUP(Sales[[#This Row],[TNbhd]],Lookups!$M$3:$P$5,4,FALSE)</f>
        <v>0.99970000000000003</v>
      </c>
      <c r="CM248">
        <f>VLOOKUP(Sales[[#This Row],[Qlty]],Lookups!$M$8:$P$22,4,FALSE)</f>
        <v>0.99819999999999998</v>
      </c>
      <c r="CN248">
        <f>VLOOKUP(Sales[[#This Row],[Cnd]],Lookups!$R$8:$U$17,4,FALSE)</f>
        <v>0.997</v>
      </c>
      <c r="CO248">
        <f>VLOOKUP(Sales[[#This Row],[LivArea Range]],Lookups!$R$25:$U$43,4,FALSE)</f>
        <v>1.0008999999999999</v>
      </c>
      <c r="CP248">
        <f>VLOOKUP(Sales[[#This Row],[Decade]],Lookups!$M$24:$P$40,4,FALSE)</f>
        <v>0.99560000000000004</v>
      </c>
      <c r="CQ248">
        <f>Sales[[#This Row],[Nbhd Adj]]*0.95</f>
        <v>0.94971499999999998</v>
      </c>
      <c r="CR248">
        <f>Sales[[#This Row],[Nbhd Adj]]*Sales[[#This Row],[Quality Adj]]*Sales[[#This Row],[Condition Adj]]*Sales[[#This Row],[Living Area Adj]]*Sales[[#This Row],[Decade Adj]]*0.95</f>
        <v>0.94184968838386041</v>
      </c>
      <c r="CS248">
        <f>ROUND(SUM(Sales[[#This Row],[Mdl Qlty]:[Mdl BltinGar]])+Sales[[#This Row],[Mdl Res Intercept]]*Sales[[#This Row],[Res Adj ]],-2)</f>
        <v>323200</v>
      </c>
      <c r="CT248">
        <f>ROUND(Sales[[#This Row],[25Det]]*Sales[[#This Row],[Det/Nbhd Adj]],-2)</f>
        <v>0</v>
      </c>
      <c r="CU248">
        <f>Sales[[#This Row],[Adjusted Res]]+Sales[[#This Row],[Adj Det ]]</f>
        <v>323200</v>
      </c>
      <c r="CV248">
        <f>ROUND((Sales[[#This Row],[Mdl Land Intercept]]+Sales[[#This Row],[Mdl LnAcres]])*Sales[[#This Row],[Det/Nbhd Adj]],-2)</f>
        <v>61100</v>
      </c>
      <c r="CW248">
        <f>Sales[[#This Row],[Adjusted Impr Total]]+Sales[[#This Row],[Adjusted Land Total]]</f>
        <v>384300</v>
      </c>
      <c r="CX248" s="10">
        <f>IFERROR((Sales[[#This Row],[Adjusted Impr Total]]-Sales[[#This Row],[24Bldg]])/Sales[[#This Row],[24Bldg]],0)</f>
        <v>-3.6948748510131108E-2</v>
      </c>
      <c r="CY248" s="10">
        <f>(Sales[[#This Row],[Adjusted Land Total]]-Sales[[#This Row],[24Lnd]])/Sales[[#This Row],[24Lnd]]</f>
        <v>4.9342105263157892E-3</v>
      </c>
      <c r="CZ248">
        <f>(Sales[[#This Row],[Adjusted Total]]-Sales[[#This Row],[24Final]])/Sales[[#This Row],[24Final]]</f>
        <v>-3.0524722502522705E-2</v>
      </c>
      <c r="DA248" s="10">
        <f>(Sales[[#This Row],[Adjusted Total]]+Sales[[#This Row],[Days Prior Total]])/Sales[[#This Row],[Price]]</f>
        <v>0.9498731829611794</v>
      </c>
    </row>
    <row r="249" spans="1:105">
      <c r="A249">
        <v>2025</v>
      </c>
      <c r="B249">
        <v>19120141468</v>
      </c>
      <c r="C249">
        <v>-1.8325814637483102</v>
      </c>
      <c r="D249">
        <v>0.16</v>
      </c>
      <c r="E249">
        <v>7009</v>
      </c>
      <c r="F249">
        <v>2</v>
      </c>
      <c r="G249" t="s">
        <v>155</v>
      </c>
      <c r="H249">
        <v>317</v>
      </c>
      <c r="I249" t="s">
        <v>5</v>
      </c>
      <c r="J249" t="s">
        <v>212</v>
      </c>
      <c r="K249">
        <v>11</v>
      </c>
      <c r="L249">
        <v>259</v>
      </c>
      <c r="M249" t="s">
        <v>157</v>
      </c>
      <c r="N249" t="s">
        <v>21</v>
      </c>
      <c r="O249" t="s">
        <v>20</v>
      </c>
      <c r="P249">
        <v>2005</v>
      </c>
      <c r="Q249">
        <v>2005</v>
      </c>
      <c r="R249">
        <v>20</v>
      </c>
      <c r="S249">
        <v>19</v>
      </c>
      <c r="T249">
        <v>19</v>
      </c>
      <c r="U249">
        <v>2</v>
      </c>
      <c r="V249">
        <v>1116</v>
      </c>
      <c r="W249">
        <v>1116</v>
      </c>
      <c r="X249">
        <v>0</v>
      </c>
      <c r="Y249">
        <v>0</v>
      </c>
      <c r="Z249">
        <v>0</v>
      </c>
      <c r="AA249">
        <v>0</v>
      </c>
      <c r="AB249">
        <v>2232</v>
      </c>
      <c r="AC249">
        <v>2500</v>
      </c>
      <c r="AD249">
        <v>0</v>
      </c>
      <c r="AE249" t="s">
        <v>57</v>
      </c>
      <c r="AF249" t="s">
        <v>331</v>
      </c>
      <c r="AG249" t="s">
        <v>21</v>
      </c>
      <c r="AH249" t="s">
        <v>161</v>
      </c>
      <c r="AI249">
        <v>0</v>
      </c>
      <c r="AJ249">
        <v>0</v>
      </c>
      <c r="AK249">
        <v>1</v>
      </c>
      <c r="AL249">
        <v>0</v>
      </c>
      <c r="AM249">
        <v>1</v>
      </c>
      <c r="AN249">
        <v>13</v>
      </c>
      <c r="AO249">
        <v>440</v>
      </c>
      <c r="AP249">
        <v>0</v>
      </c>
      <c r="AQ249">
        <v>0</v>
      </c>
      <c r="AR249">
        <v>0</v>
      </c>
      <c r="AS249">
        <v>100</v>
      </c>
      <c r="AT249">
        <v>0</v>
      </c>
      <c r="AU249">
        <v>100</v>
      </c>
      <c r="AV249">
        <v>100</v>
      </c>
      <c r="AW249">
        <v>401443</v>
      </c>
      <c r="AX249">
        <v>373342</v>
      </c>
      <c r="AY249">
        <v>1091</v>
      </c>
      <c r="AZ249">
        <v>365</v>
      </c>
      <c r="BA249">
        <v>365</v>
      </c>
      <c r="BB249">
        <v>361</v>
      </c>
      <c r="BC249" s="2">
        <v>44201</v>
      </c>
      <c r="BD249" t="s">
        <v>409</v>
      </c>
      <c r="BE249">
        <v>315000</v>
      </c>
      <c r="BF249">
        <v>315000</v>
      </c>
      <c r="BG249" t="s">
        <v>160</v>
      </c>
      <c r="BH249">
        <v>30</v>
      </c>
      <c r="BI249" t="s">
        <v>56</v>
      </c>
      <c r="BJ249" t="s">
        <v>161</v>
      </c>
      <c r="BK249">
        <v>395300</v>
      </c>
      <c r="BL249">
        <v>60800</v>
      </c>
      <c r="BM249">
        <v>334500</v>
      </c>
      <c r="BN249">
        <v>0</v>
      </c>
      <c r="BO249">
        <v>319768.21089957992</v>
      </c>
      <c r="BP249">
        <v>423587.32119116362</v>
      </c>
      <c r="BQ249">
        <f>(Sales[[#This Row],[DP1]]*Lookups!$B$61)+(Sales[[#This Row],[DP2]]*Lookups!$B$62)+(Sales[[#This Row],[DP3]]*Lookups!$B$63)</f>
        <v>-103819.106031</v>
      </c>
      <c r="BR249">
        <f>Lookups!$B$58*0.6</f>
        <v>132535.48800000001</v>
      </c>
      <c r="BS249">
        <f>Lookups!$B$58*0.4</f>
        <v>88356.992000000013</v>
      </c>
      <c r="BT249">
        <f>Lookups!$B$59*Sales[[#This Row],[LnAcres]]</f>
        <v>-24051.387388882686</v>
      </c>
      <c r="BU249">
        <f>VLOOKUP(Sales[[#This Row],[Qlty]],Lookups!$A$66:$E$79,2,FALSE)</f>
        <v>32917.849192000001</v>
      </c>
      <c r="BV249">
        <f>VLOOKUP(Sales[[#This Row],[Cnd]],Lookups!$A$80:$E$91,2,FALSE)</f>
        <v>30300.329274</v>
      </c>
      <c r="BW249">
        <f>Sales[[#This Row],[EffAge]]*Lookups!$B$65</f>
        <v>-2066.0808999999999</v>
      </c>
      <c r="BX249">
        <f>Sales[[#This Row],[MainFn]]*Lookups!$B$90</f>
        <v>69649.984080000009</v>
      </c>
      <c r="BY249">
        <f>Sales[[#This Row],[UpprFn]]*Lookups!$B$91</f>
        <v>66491.707427999994</v>
      </c>
      <c r="BZ249">
        <f>Sales[[#This Row],[Bsmt]]*Lookups!$B$95</f>
        <v>0</v>
      </c>
      <c r="CA249">
        <f>VLOOKUP(Sales[[#This Row],[MsnryTrim]],Lookups!$A$90:$E$99,2,FALSE)</f>
        <v>4112.8784489</v>
      </c>
      <c r="CB249">
        <f>Sales[[#This Row],[PrefabFP]]*Lookups!$B$92</f>
        <v>9807.1044999999995</v>
      </c>
      <c r="CC249">
        <f>Sales[[#This Row],[AttGar]]*Lookups!$B$93</f>
        <v>15532.453640000002</v>
      </c>
      <c r="CD249">
        <f>Sales[[#This Row],[BltinGar]]*Lookups!$B$94</f>
        <v>0</v>
      </c>
      <c r="CE249">
        <f>SUM(Sales[[#This Row],[Days Prior Total]:[Mdl BltinGar]])</f>
        <v>319768.21224301739</v>
      </c>
      <c r="CF249">
        <f>ROUND(Sales[[#This Row],[25Det]],-2)</f>
        <v>0</v>
      </c>
      <c r="CG249">
        <f>ROUND(SUM(Sales[[#This Row],[Mdl Qlty]:[Mdl BltinGar]])+Sales[[#This Row],[Mdl Res Intercept]]+Sales[[#This Row],[Days Prior Total]],-2)</f>
        <v>255500</v>
      </c>
      <c r="CH249">
        <f>ROUND(Sales[[#This Row],[Mdl Land Intercept]]+Sales[[#This Row],[Mdl LnAcres]],-2)</f>
        <v>64300</v>
      </c>
      <c r="CI249">
        <f>Sales[[#This Row],[Unadj Res Value]]+Sales[[#This Row],[Unadj Det Value]]+Sales[[#This Row],[Unadj Land Value]]</f>
        <v>319800</v>
      </c>
      <c r="CJ249" s="10">
        <f>Sales[[#This Row],[Price]]/Sales[[#This Row],[Unadj Total Value]]</f>
        <v>0.98499061913696062</v>
      </c>
      <c r="CK249" s="10">
        <f>(Sales[[#This Row],[Unadj Total Value]]-Sales[[#This Row],[24Final]])/Sales[[#This Row],[24Final]]</f>
        <v>-0.19099418163420187</v>
      </c>
      <c r="CL249">
        <f>VLOOKUP(Sales[[#This Row],[TNbhd]],Lookups!$M$3:$P$5,4,FALSE)</f>
        <v>0.99970000000000003</v>
      </c>
      <c r="CM249">
        <f>VLOOKUP(Sales[[#This Row],[Qlty]],Lookups!$M$8:$P$22,4,FALSE)</f>
        <v>1.0019</v>
      </c>
      <c r="CN249">
        <f>VLOOKUP(Sales[[#This Row],[Cnd]],Lookups!$R$8:$U$17,4,FALSE)</f>
        <v>0.997</v>
      </c>
      <c r="CO249">
        <f>VLOOKUP(Sales[[#This Row],[LivArea Range]],Lookups!$R$25:$U$43,4,FALSE)</f>
        <v>1.0008999999999999</v>
      </c>
      <c r="CP249">
        <f>VLOOKUP(Sales[[#This Row],[Decade]],Lookups!$M$24:$P$40,4,FALSE)</f>
        <v>0.99560000000000004</v>
      </c>
      <c r="CQ249">
        <f>Sales[[#This Row],[Nbhd Adj]]*0.95</f>
        <v>0.94971499999999998</v>
      </c>
      <c r="CR249">
        <f>Sales[[#This Row],[Nbhd Adj]]*Sales[[#This Row],[Quality Adj]]*Sales[[#This Row],[Condition Adj]]*Sales[[#This Row],[Living Area Adj]]*Sales[[#This Row],[Decade Adj]]*0.95</f>
        <v>0.94534081626105959</v>
      </c>
      <c r="CS249">
        <f>ROUND(SUM(Sales[[#This Row],[Mdl Qlty]:[Mdl BltinGar]])+Sales[[#This Row],[Mdl Res Intercept]]*Sales[[#This Row],[Res Adj ]],-2)</f>
        <v>352000</v>
      </c>
      <c r="CT249">
        <f>ROUND(Sales[[#This Row],[25Det]]*Sales[[#This Row],[Det/Nbhd Adj]],-2)</f>
        <v>0</v>
      </c>
      <c r="CU249">
        <f>Sales[[#This Row],[Adjusted Res]]+Sales[[#This Row],[Adj Det ]]</f>
        <v>352000</v>
      </c>
      <c r="CV249">
        <f>ROUND((Sales[[#This Row],[Mdl Land Intercept]]+Sales[[#This Row],[Mdl LnAcres]])*Sales[[#This Row],[Det/Nbhd Adj]],-2)</f>
        <v>61100</v>
      </c>
      <c r="CW249">
        <f>Sales[[#This Row],[Adjusted Impr Total]]+Sales[[#This Row],[Adjusted Land Total]]</f>
        <v>413100</v>
      </c>
      <c r="CX249" s="10">
        <f>IFERROR((Sales[[#This Row],[Adjusted Impr Total]]-Sales[[#This Row],[24Bldg]])/Sales[[#This Row],[24Bldg]],0)</f>
        <v>5.2316890881913304E-2</v>
      </c>
      <c r="CY249" s="10">
        <f>(Sales[[#This Row],[Adjusted Land Total]]-Sales[[#This Row],[24Lnd]])/Sales[[#This Row],[24Lnd]]</f>
        <v>4.9342105263157892E-3</v>
      </c>
      <c r="CZ249">
        <f>(Sales[[#This Row],[Adjusted Total]]-Sales[[#This Row],[24Final]])/Sales[[#This Row],[24Final]]</f>
        <v>4.502909182899064E-2</v>
      </c>
      <c r="DA249" s="10">
        <f>(Sales[[#This Row],[Adjusted Total]]+Sales[[#This Row],[Days Prior Total]])/Sales[[#This Row],[Price]]</f>
        <v>0.98184410783809517</v>
      </c>
    </row>
    <row r="250" spans="1:105">
      <c r="A250">
        <v>2025</v>
      </c>
      <c r="B250">
        <v>19120141478</v>
      </c>
      <c r="C250">
        <v>-1.8325814637483102</v>
      </c>
      <c r="D250">
        <v>0.16</v>
      </c>
      <c r="E250">
        <v>6955</v>
      </c>
      <c r="F250">
        <v>2</v>
      </c>
      <c r="G250" t="s">
        <v>155</v>
      </c>
      <c r="H250" t="s">
        <v>5</v>
      </c>
      <c r="I250" t="s">
        <v>5</v>
      </c>
      <c r="J250" t="s">
        <v>212</v>
      </c>
      <c r="K250">
        <v>11</v>
      </c>
      <c r="L250">
        <v>259</v>
      </c>
      <c r="M250" t="s">
        <v>157</v>
      </c>
      <c r="N250" t="s">
        <v>19</v>
      </c>
      <c r="O250" t="s">
        <v>22</v>
      </c>
      <c r="P250">
        <v>2005</v>
      </c>
      <c r="Q250">
        <v>2005</v>
      </c>
      <c r="R250">
        <v>20</v>
      </c>
      <c r="S250">
        <v>19</v>
      </c>
      <c r="T250">
        <v>19</v>
      </c>
      <c r="U250">
        <v>2</v>
      </c>
      <c r="V250">
        <v>1040</v>
      </c>
      <c r="W250">
        <v>1040</v>
      </c>
      <c r="X250">
        <v>0</v>
      </c>
      <c r="Y250">
        <v>0</v>
      </c>
      <c r="Z250">
        <v>0</v>
      </c>
      <c r="AA250">
        <v>0</v>
      </c>
      <c r="AB250">
        <v>2080</v>
      </c>
      <c r="AC250">
        <v>2500</v>
      </c>
      <c r="AD250">
        <v>2</v>
      </c>
      <c r="AE250" t="s">
        <v>56</v>
      </c>
      <c r="AF250" t="s">
        <v>331</v>
      </c>
      <c r="AG250" t="s">
        <v>21</v>
      </c>
      <c r="AH250" t="s">
        <v>161</v>
      </c>
      <c r="AI250">
        <v>0</v>
      </c>
      <c r="AJ250">
        <v>0</v>
      </c>
      <c r="AK250">
        <v>0</v>
      </c>
      <c r="AL250">
        <v>0</v>
      </c>
      <c r="AM250">
        <v>1</v>
      </c>
      <c r="AN250">
        <v>13</v>
      </c>
      <c r="AO250">
        <v>440</v>
      </c>
      <c r="AP250">
        <v>0</v>
      </c>
      <c r="AQ250">
        <v>0</v>
      </c>
      <c r="AR250">
        <v>0</v>
      </c>
      <c r="AS250">
        <v>286</v>
      </c>
      <c r="AT250">
        <v>0</v>
      </c>
      <c r="AU250">
        <v>100</v>
      </c>
      <c r="AV250">
        <v>100</v>
      </c>
      <c r="AW250">
        <v>335612</v>
      </c>
      <c r="AX250">
        <v>318831</v>
      </c>
      <c r="AY250">
        <v>126</v>
      </c>
      <c r="AZ250">
        <v>126</v>
      </c>
      <c r="BA250">
        <v>0</v>
      </c>
      <c r="BB250">
        <v>0</v>
      </c>
      <c r="BC250" s="2">
        <v>45166</v>
      </c>
      <c r="BD250" t="s">
        <v>410</v>
      </c>
      <c r="BE250">
        <v>399900</v>
      </c>
      <c r="BF250">
        <v>399900</v>
      </c>
      <c r="BG250" t="s">
        <v>160</v>
      </c>
      <c r="BH250">
        <v>30</v>
      </c>
      <c r="BI250" t="s">
        <v>56</v>
      </c>
      <c r="BJ250" t="s">
        <v>161</v>
      </c>
      <c r="BK250">
        <v>413000</v>
      </c>
      <c r="BL250">
        <v>60800</v>
      </c>
      <c r="BM250">
        <v>352200</v>
      </c>
      <c r="BN250">
        <v>0</v>
      </c>
      <c r="BO250">
        <v>416554.4706731324</v>
      </c>
      <c r="BP250">
        <v>415357.79063328728</v>
      </c>
      <c r="BQ250">
        <f>(Sales[[#This Row],[DP1]]*Lookups!$B$61)+(Sales[[#This Row],[DP2]]*Lookups!$B$62)+(Sales[[#This Row],[DP3]]*Lookups!$B$63)</f>
        <v>1196.6800356000001</v>
      </c>
      <c r="BR250">
        <f>Lookups!$B$58*0.6</f>
        <v>132535.48800000001</v>
      </c>
      <c r="BS250">
        <f>Lookups!$B$58*0.4</f>
        <v>88356.992000000013</v>
      </c>
      <c r="BT250">
        <f>Lookups!$B$59*Sales[[#This Row],[LnAcres]]</f>
        <v>-24051.387388882686</v>
      </c>
      <c r="BU250">
        <f>VLOOKUP(Sales[[#This Row],[Qlty]],Lookups!$A$66:$E$79,2,FALSE)</f>
        <v>37154.252388000001</v>
      </c>
      <c r="BV250">
        <f>VLOOKUP(Sales[[#This Row],[Cnd]],Lookups!$A$80:$E$91,2,FALSE)</f>
        <v>50438.379078999998</v>
      </c>
      <c r="BW250">
        <f>Sales[[#This Row],[EffAge]]*Lookups!$B$65</f>
        <v>-2066.0808999999999</v>
      </c>
      <c r="BX250">
        <f>Sales[[#This Row],[MainFn]]*Lookups!$B$90</f>
        <v>64906.7952</v>
      </c>
      <c r="BY250">
        <f>Sales[[#This Row],[UpprFn]]*Lookups!$B$91</f>
        <v>61963.598319999997</v>
      </c>
      <c r="BZ250">
        <f>Sales[[#This Row],[Bsmt]]*Lookups!$B$95</f>
        <v>0</v>
      </c>
      <c r="CA250">
        <f>VLOOKUP(Sales[[#This Row],[MsnryTrim]],Lookups!$A$90:$E$99,2,FALSE)</f>
        <v>-9412.7029999999995</v>
      </c>
      <c r="CB250">
        <f>Sales[[#This Row],[PrefabFP]]*Lookups!$B$92</f>
        <v>0</v>
      </c>
      <c r="CC250">
        <f>Sales[[#This Row],[AttGar]]*Lookups!$B$93</f>
        <v>15532.453640000002</v>
      </c>
      <c r="CD250">
        <f>Sales[[#This Row],[BltinGar]]*Lookups!$B$94</f>
        <v>0</v>
      </c>
      <c r="CE250">
        <f>SUM(Sales[[#This Row],[Days Prior Total]:[Mdl BltinGar]])</f>
        <v>416554.46737371734</v>
      </c>
      <c r="CF250">
        <f>ROUND(Sales[[#This Row],[25Det]],-2)</f>
        <v>0</v>
      </c>
      <c r="CG250">
        <f>ROUND(SUM(Sales[[#This Row],[Mdl Qlty]:[Mdl BltinGar]])+Sales[[#This Row],[Mdl Res Intercept]]+Sales[[#This Row],[Days Prior Total]],-2)</f>
        <v>352200</v>
      </c>
      <c r="CH250">
        <f>ROUND(Sales[[#This Row],[Mdl Land Intercept]]+Sales[[#This Row],[Mdl LnAcres]],-2)</f>
        <v>64300</v>
      </c>
      <c r="CI250">
        <f>Sales[[#This Row],[Unadj Res Value]]+Sales[[#This Row],[Unadj Det Value]]+Sales[[#This Row],[Unadj Land Value]]</f>
        <v>416500</v>
      </c>
      <c r="CJ250" s="10">
        <f>Sales[[#This Row],[Price]]/Sales[[#This Row],[Unadj Total Value]]</f>
        <v>0.96014405762304922</v>
      </c>
      <c r="CK250" s="10">
        <f>(Sales[[#This Row],[Unadj Total Value]]-Sales[[#This Row],[24Final]])/Sales[[#This Row],[24Final]]</f>
        <v>8.4745762711864406E-3</v>
      </c>
      <c r="CL250">
        <f>VLOOKUP(Sales[[#This Row],[TNbhd]],Lookups!$M$3:$P$5,4,FALSE)</f>
        <v>0.99970000000000003</v>
      </c>
      <c r="CM250">
        <f>VLOOKUP(Sales[[#This Row],[Qlty]],Lookups!$M$8:$P$22,4,FALSE)</f>
        <v>0.99819999999999998</v>
      </c>
      <c r="CN250">
        <f>VLOOKUP(Sales[[#This Row],[Cnd]],Lookups!$R$8:$U$17,4,FALSE)</f>
        <v>1.0007999999999999</v>
      </c>
      <c r="CO250">
        <f>VLOOKUP(Sales[[#This Row],[LivArea Range]],Lookups!$R$25:$U$43,4,FALSE)</f>
        <v>1.0008999999999999</v>
      </c>
      <c r="CP250">
        <f>VLOOKUP(Sales[[#This Row],[Decade]],Lookups!$M$24:$P$40,4,FALSE)</f>
        <v>0.99560000000000004</v>
      </c>
      <c r="CQ250">
        <f>Sales[[#This Row],[Nbhd Adj]]*0.95</f>
        <v>0.94971499999999998</v>
      </c>
      <c r="CR250">
        <f>Sales[[#This Row],[Nbhd Adj]]*Sales[[#This Row],[Quality Adj]]*Sales[[#This Row],[Condition Adj]]*Sales[[#This Row],[Living Area Adj]]*Sales[[#This Row],[Decade Adj]]*0.95</f>
        <v>0.94543948659435051</v>
      </c>
      <c r="CS250">
        <f>ROUND(SUM(Sales[[#This Row],[Mdl Qlty]:[Mdl BltinGar]])+Sales[[#This Row],[Mdl Res Intercept]]*Sales[[#This Row],[Res Adj ]],-2)</f>
        <v>343800</v>
      </c>
      <c r="CT250">
        <f>ROUND(Sales[[#This Row],[25Det]]*Sales[[#This Row],[Det/Nbhd Adj]],-2)</f>
        <v>0</v>
      </c>
      <c r="CU250">
        <f>Sales[[#This Row],[Adjusted Res]]+Sales[[#This Row],[Adj Det ]]</f>
        <v>343800</v>
      </c>
      <c r="CV250">
        <f>ROUND((Sales[[#This Row],[Mdl Land Intercept]]+Sales[[#This Row],[Mdl LnAcres]])*Sales[[#This Row],[Det/Nbhd Adj]],-2)</f>
        <v>61100</v>
      </c>
      <c r="CW250">
        <f>Sales[[#This Row],[Adjusted Impr Total]]+Sales[[#This Row],[Adjusted Land Total]]</f>
        <v>404900</v>
      </c>
      <c r="CX250" s="10">
        <f>IFERROR((Sales[[#This Row],[Adjusted Impr Total]]-Sales[[#This Row],[24Bldg]])/Sales[[#This Row],[24Bldg]],0)</f>
        <v>-2.385008517887564E-2</v>
      </c>
      <c r="CY250" s="10">
        <f>(Sales[[#This Row],[Adjusted Land Total]]-Sales[[#This Row],[24Lnd]])/Sales[[#This Row],[24Lnd]]</f>
        <v>4.9342105263157892E-3</v>
      </c>
      <c r="CZ250">
        <f>(Sales[[#This Row],[Adjusted Total]]-Sales[[#This Row],[24Final]])/Sales[[#This Row],[24Final]]</f>
        <v>-1.9612590799031476E-2</v>
      </c>
      <c r="DA250" s="10">
        <f>(Sales[[#This Row],[Adjusted Total]]+Sales[[#This Row],[Days Prior Total]])/Sales[[#This Row],[Price]]</f>
        <v>1.0154955739824956</v>
      </c>
    </row>
    <row r="251" spans="1:105">
      <c r="A251">
        <v>2025</v>
      </c>
      <c r="B251">
        <v>19120141480</v>
      </c>
      <c r="C251">
        <v>-1.5606477482646683</v>
      </c>
      <c r="D251">
        <v>0.21</v>
      </c>
      <c r="E251">
        <v>9331</v>
      </c>
      <c r="F251">
        <v>2</v>
      </c>
      <c r="G251" t="s">
        <v>155</v>
      </c>
      <c r="H251">
        <v>317</v>
      </c>
      <c r="I251" t="s">
        <v>5</v>
      </c>
      <c r="J251" t="s">
        <v>212</v>
      </c>
      <c r="K251">
        <v>11</v>
      </c>
      <c r="L251">
        <v>259</v>
      </c>
      <c r="M251" t="s">
        <v>157</v>
      </c>
      <c r="N251" t="s">
        <v>19</v>
      </c>
      <c r="O251" t="s">
        <v>20</v>
      </c>
      <c r="P251">
        <v>2005</v>
      </c>
      <c r="Q251">
        <v>2005</v>
      </c>
      <c r="R251">
        <v>20</v>
      </c>
      <c r="S251">
        <v>19</v>
      </c>
      <c r="T251">
        <v>19</v>
      </c>
      <c r="U251">
        <v>2</v>
      </c>
      <c r="V251">
        <v>1116</v>
      </c>
      <c r="W251">
        <v>1116</v>
      </c>
      <c r="X251">
        <v>0</v>
      </c>
      <c r="Y251">
        <v>0</v>
      </c>
      <c r="Z251">
        <v>0</v>
      </c>
      <c r="AA251">
        <v>0</v>
      </c>
      <c r="AB251">
        <v>2232</v>
      </c>
      <c r="AC251">
        <v>2500</v>
      </c>
      <c r="AD251">
        <v>2</v>
      </c>
      <c r="AE251" t="s">
        <v>57</v>
      </c>
      <c r="AF251" t="s">
        <v>331</v>
      </c>
      <c r="AG251" t="s">
        <v>21</v>
      </c>
      <c r="AH251" t="s">
        <v>161</v>
      </c>
      <c r="AI251">
        <v>0</v>
      </c>
      <c r="AJ251">
        <v>0</v>
      </c>
      <c r="AK251">
        <v>1</v>
      </c>
      <c r="AL251">
        <v>0</v>
      </c>
      <c r="AM251">
        <v>1</v>
      </c>
      <c r="AN251">
        <v>13</v>
      </c>
      <c r="AO251">
        <v>440</v>
      </c>
      <c r="AP251">
        <v>0</v>
      </c>
      <c r="AQ251">
        <v>0</v>
      </c>
      <c r="AR251">
        <v>0</v>
      </c>
      <c r="AS251">
        <v>450</v>
      </c>
      <c r="AT251">
        <v>0</v>
      </c>
      <c r="AU251">
        <v>100</v>
      </c>
      <c r="AV251">
        <v>100</v>
      </c>
      <c r="AW251">
        <v>355453</v>
      </c>
      <c r="AX251">
        <v>330571</v>
      </c>
      <c r="AY251">
        <v>259</v>
      </c>
      <c r="AZ251">
        <v>259</v>
      </c>
      <c r="BA251">
        <v>0</v>
      </c>
      <c r="BB251">
        <v>0</v>
      </c>
      <c r="BC251" s="2">
        <v>45033</v>
      </c>
      <c r="BD251" t="s">
        <v>411</v>
      </c>
      <c r="BE251">
        <v>421000</v>
      </c>
      <c r="BF251">
        <v>421000</v>
      </c>
      <c r="BG251" t="s">
        <v>160</v>
      </c>
      <c r="BH251">
        <v>30</v>
      </c>
      <c r="BI251" t="s">
        <v>56</v>
      </c>
      <c r="BJ251" t="s">
        <v>161</v>
      </c>
      <c r="BK251">
        <v>414600</v>
      </c>
      <c r="BL251">
        <v>64600</v>
      </c>
      <c r="BM251">
        <v>350000</v>
      </c>
      <c r="BN251">
        <v>0</v>
      </c>
      <c r="BO251">
        <v>433852.5120256329</v>
      </c>
      <c r="BP251">
        <v>431392.669721507</v>
      </c>
      <c r="BQ251">
        <f>(Sales[[#This Row],[DP1]]*Lookups!$B$61)+(Sales[[#This Row],[DP2]]*Lookups!$B$62)+(Sales[[#This Row],[DP3]]*Lookups!$B$63)</f>
        <v>2459.8422954000002</v>
      </c>
      <c r="BR251">
        <f>Lookups!$B$58*0.6</f>
        <v>132535.48800000001</v>
      </c>
      <c r="BS251">
        <f>Lookups!$B$58*0.4</f>
        <v>88356.992000000013</v>
      </c>
      <c r="BT251">
        <f>Lookups!$B$59*Sales[[#This Row],[LnAcres]]</f>
        <v>-20482.442016152701</v>
      </c>
      <c r="BU251">
        <f>VLOOKUP(Sales[[#This Row],[Qlty]],Lookups!$A$66:$E$79,2,FALSE)</f>
        <v>37154.252388000001</v>
      </c>
      <c r="BV251">
        <f>VLOOKUP(Sales[[#This Row],[Cnd]],Lookups!$A$80:$E$91,2,FALSE)</f>
        <v>30300.329274</v>
      </c>
      <c r="BW251">
        <f>Sales[[#This Row],[EffAge]]*Lookups!$B$65</f>
        <v>-2066.0808999999999</v>
      </c>
      <c r="BX251">
        <f>Sales[[#This Row],[MainFn]]*Lookups!$B$90</f>
        <v>69649.984080000009</v>
      </c>
      <c r="BY251">
        <f>Sales[[#This Row],[UpprFn]]*Lookups!$B$91</f>
        <v>66491.707427999994</v>
      </c>
      <c r="BZ251">
        <f>Sales[[#This Row],[Bsmt]]*Lookups!$B$95</f>
        <v>0</v>
      </c>
      <c r="CA251">
        <f>VLOOKUP(Sales[[#This Row],[MsnryTrim]],Lookups!$A$90:$E$99,2,FALSE)</f>
        <v>4112.8784489</v>
      </c>
      <c r="CB251">
        <f>Sales[[#This Row],[PrefabFP]]*Lookups!$B$92</f>
        <v>9807.1044999999995</v>
      </c>
      <c r="CC251">
        <f>Sales[[#This Row],[AttGar]]*Lookups!$B$93</f>
        <v>15532.453640000002</v>
      </c>
      <c r="CD251">
        <f>Sales[[#This Row],[BltinGar]]*Lookups!$B$94</f>
        <v>0</v>
      </c>
      <c r="CE251">
        <f>SUM(Sales[[#This Row],[Days Prior Total]:[Mdl BltinGar]])</f>
        <v>433852.5091381474</v>
      </c>
      <c r="CF251">
        <f>ROUND(Sales[[#This Row],[25Det]],-2)</f>
        <v>0</v>
      </c>
      <c r="CG251">
        <f>ROUND(SUM(Sales[[#This Row],[Mdl Qlty]:[Mdl BltinGar]])+Sales[[#This Row],[Mdl Res Intercept]]+Sales[[#This Row],[Days Prior Total]],-2)</f>
        <v>366000</v>
      </c>
      <c r="CH251">
        <f>ROUND(Sales[[#This Row],[Mdl Land Intercept]]+Sales[[#This Row],[Mdl LnAcres]],-2)</f>
        <v>67900</v>
      </c>
      <c r="CI251">
        <f>Sales[[#This Row],[Unadj Res Value]]+Sales[[#This Row],[Unadj Det Value]]+Sales[[#This Row],[Unadj Land Value]]</f>
        <v>433900</v>
      </c>
      <c r="CJ251" s="10">
        <f>Sales[[#This Row],[Price]]/Sales[[#This Row],[Unadj Total Value]]</f>
        <v>0.97026964738418986</v>
      </c>
      <c r="CK251" s="10">
        <f>(Sales[[#This Row],[Unadj Total Value]]-Sales[[#This Row],[24Final]])/Sales[[#This Row],[24Final]]</f>
        <v>4.655089242643512E-2</v>
      </c>
      <c r="CL251">
        <f>VLOOKUP(Sales[[#This Row],[TNbhd]],Lookups!$M$3:$P$5,4,FALSE)</f>
        <v>0.99970000000000003</v>
      </c>
      <c r="CM251">
        <f>VLOOKUP(Sales[[#This Row],[Qlty]],Lookups!$M$8:$P$22,4,FALSE)</f>
        <v>0.99819999999999998</v>
      </c>
      <c r="CN251">
        <f>VLOOKUP(Sales[[#This Row],[Cnd]],Lookups!$R$8:$U$17,4,FALSE)</f>
        <v>0.997</v>
      </c>
      <c r="CO251">
        <f>VLOOKUP(Sales[[#This Row],[LivArea Range]],Lookups!$R$25:$U$43,4,FALSE)</f>
        <v>1.0008999999999999</v>
      </c>
      <c r="CP251">
        <f>VLOOKUP(Sales[[#This Row],[Decade]],Lookups!$M$24:$P$40,4,FALSE)</f>
        <v>0.99560000000000004</v>
      </c>
      <c r="CQ251">
        <f>Sales[[#This Row],[Nbhd Adj]]*0.95</f>
        <v>0.94971499999999998</v>
      </c>
      <c r="CR251">
        <f>Sales[[#This Row],[Nbhd Adj]]*Sales[[#This Row],[Quality Adj]]*Sales[[#This Row],[Condition Adj]]*Sales[[#This Row],[Living Area Adj]]*Sales[[#This Row],[Decade Adj]]*0.95</f>
        <v>0.94184968838386041</v>
      </c>
      <c r="CS251">
        <f>ROUND(SUM(Sales[[#This Row],[Mdl Qlty]:[Mdl BltinGar]])+Sales[[#This Row],[Mdl Res Intercept]]*Sales[[#This Row],[Res Adj ]],-2)</f>
        <v>355800</v>
      </c>
      <c r="CT251">
        <f>ROUND(Sales[[#This Row],[25Det]]*Sales[[#This Row],[Det/Nbhd Adj]],-2)</f>
        <v>0</v>
      </c>
      <c r="CU251">
        <f>Sales[[#This Row],[Adjusted Res]]+Sales[[#This Row],[Adj Det ]]</f>
        <v>355800</v>
      </c>
      <c r="CV251">
        <f>ROUND((Sales[[#This Row],[Mdl Land Intercept]]+Sales[[#This Row],[Mdl LnAcres]])*Sales[[#This Row],[Det/Nbhd Adj]],-2)</f>
        <v>64500</v>
      </c>
      <c r="CW251">
        <f>Sales[[#This Row],[Adjusted Impr Total]]+Sales[[#This Row],[Adjusted Land Total]]</f>
        <v>420300</v>
      </c>
      <c r="CX251" s="10">
        <f>IFERROR((Sales[[#This Row],[Adjusted Impr Total]]-Sales[[#This Row],[24Bldg]])/Sales[[#This Row],[24Bldg]],0)</f>
        <v>1.657142857142857E-2</v>
      </c>
      <c r="CY251" s="10">
        <f>(Sales[[#This Row],[Adjusted Land Total]]-Sales[[#This Row],[24Lnd]])/Sales[[#This Row],[24Lnd]]</f>
        <v>-1.5479876160990713E-3</v>
      </c>
      <c r="CZ251">
        <f>(Sales[[#This Row],[Adjusted Total]]-Sales[[#This Row],[24Final]])/Sales[[#This Row],[24Final]]</f>
        <v>1.3748191027496382E-2</v>
      </c>
      <c r="DA251" s="10">
        <f>(Sales[[#This Row],[Adjusted Total]]+Sales[[#This Row],[Days Prior Total]])/Sales[[#This Row],[Price]]</f>
        <v>1.0041801479700712</v>
      </c>
    </row>
    <row r="252" spans="1:105">
      <c r="A252">
        <v>2025</v>
      </c>
      <c r="B252">
        <v>19120141480</v>
      </c>
      <c r="C252">
        <v>-1.5606477482646683</v>
      </c>
      <c r="D252">
        <v>0.21</v>
      </c>
      <c r="E252">
        <v>9331</v>
      </c>
      <c r="F252">
        <v>2</v>
      </c>
      <c r="G252" t="s">
        <v>155</v>
      </c>
      <c r="H252">
        <v>317</v>
      </c>
      <c r="I252" t="s">
        <v>5</v>
      </c>
      <c r="J252" t="s">
        <v>212</v>
      </c>
      <c r="K252">
        <v>11</v>
      </c>
      <c r="L252">
        <v>259</v>
      </c>
      <c r="M252" t="s">
        <v>157</v>
      </c>
      <c r="N252" t="s">
        <v>21</v>
      </c>
      <c r="O252" t="s">
        <v>20</v>
      </c>
      <c r="P252">
        <v>2005</v>
      </c>
      <c r="Q252">
        <v>2005</v>
      </c>
      <c r="R252">
        <v>20</v>
      </c>
      <c r="S252">
        <v>19</v>
      </c>
      <c r="T252">
        <v>19</v>
      </c>
      <c r="U252">
        <v>2</v>
      </c>
      <c r="V252">
        <v>1116</v>
      </c>
      <c r="W252">
        <v>1116</v>
      </c>
      <c r="X252">
        <v>0</v>
      </c>
      <c r="Y252">
        <v>0</v>
      </c>
      <c r="Z252">
        <v>0</v>
      </c>
      <c r="AA252">
        <v>0</v>
      </c>
      <c r="AB252">
        <v>2232</v>
      </c>
      <c r="AC252">
        <v>2500</v>
      </c>
      <c r="AD252">
        <v>2</v>
      </c>
      <c r="AE252" t="s">
        <v>57</v>
      </c>
      <c r="AF252" t="s">
        <v>331</v>
      </c>
      <c r="AG252" t="s">
        <v>21</v>
      </c>
      <c r="AH252" t="s">
        <v>161</v>
      </c>
      <c r="AI252">
        <v>0</v>
      </c>
      <c r="AJ252">
        <v>0</v>
      </c>
      <c r="AK252">
        <v>1</v>
      </c>
      <c r="AL252">
        <v>0</v>
      </c>
      <c r="AM252">
        <v>1</v>
      </c>
      <c r="AN252">
        <v>13</v>
      </c>
      <c r="AO252">
        <v>440</v>
      </c>
      <c r="AP252">
        <v>0</v>
      </c>
      <c r="AQ252">
        <v>0</v>
      </c>
      <c r="AR252">
        <v>0</v>
      </c>
      <c r="AS252">
        <v>100</v>
      </c>
      <c r="AT252">
        <v>0</v>
      </c>
      <c r="AU252">
        <v>100</v>
      </c>
      <c r="AV252">
        <v>100</v>
      </c>
      <c r="AW252">
        <v>401443</v>
      </c>
      <c r="AX252">
        <v>373342</v>
      </c>
      <c r="AY252">
        <v>536</v>
      </c>
      <c r="AZ252">
        <v>365</v>
      </c>
      <c r="BA252">
        <v>171</v>
      </c>
      <c r="BB252">
        <v>0</v>
      </c>
      <c r="BC252" s="2">
        <v>44756</v>
      </c>
      <c r="BD252" t="s">
        <v>412</v>
      </c>
      <c r="BE252">
        <v>418500</v>
      </c>
      <c r="BF252">
        <v>418500</v>
      </c>
      <c r="BG252" t="s">
        <v>160</v>
      </c>
      <c r="BH252">
        <v>30</v>
      </c>
      <c r="BI252" t="s">
        <v>56</v>
      </c>
      <c r="BJ252" t="s">
        <v>161</v>
      </c>
      <c r="BK252">
        <v>414600</v>
      </c>
      <c r="BL252">
        <v>64600</v>
      </c>
      <c r="BM252">
        <v>350000</v>
      </c>
      <c r="BN252">
        <v>0</v>
      </c>
      <c r="BO252">
        <v>419089.99205735535</v>
      </c>
      <c r="BP252">
        <v>427156.26652539533</v>
      </c>
      <c r="BQ252">
        <f>(Sales[[#This Row],[DP1]]*Lookups!$B$61)+(Sales[[#This Row],[DP2]]*Lookups!$B$62)+(Sales[[#This Row],[DP3]]*Lookups!$B$63)</f>
        <v>-8066.2739309999997</v>
      </c>
      <c r="BR252">
        <f>Lookups!$B$58*0.6</f>
        <v>132535.48800000001</v>
      </c>
      <c r="BS252">
        <f>Lookups!$B$58*0.4</f>
        <v>88356.992000000013</v>
      </c>
      <c r="BT252">
        <f>Lookups!$B$59*Sales[[#This Row],[LnAcres]]</f>
        <v>-20482.442016152701</v>
      </c>
      <c r="BU252">
        <f>VLOOKUP(Sales[[#This Row],[Qlty]],Lookups!$A$66:$E$79,2,FALSE)</f>
        <v>32917.849192000001</v>
      </c>
      <c r="BV252">
        <f>VLOOKUP(Sales[[#This Row],[Cnd]],Lookups!$A$80:$E$91,2,FALSE)</f>
        <v>30300.329274</v>
      </c>
      <c r="BW252">
        <f>Sales[[#This Row],[EffAge]]*Lookups!$B$65</f>
        <v>-2066.0808999999999</v>
      </c>
      <c r="BX252">
        <f>Sales[[#This Row],[MainFn]]*Lookups!$B$90</f>
        <v>69649.984080000009</v>
      </c>
      <c r="BY252">
        <f>Sales[[#This Row],[UpprFn]]*Lookups!$B$91</f>
        <v>66491.707427999994</v>
      </c>
      <c r="BZ252">
        <f>Sales[[#This Row],[Bsmt]]*Lookups!$B$95</f>
        <v>0</v>
      </c>
      <c r="CA252">
        <f>VLOOKUP(Sales[[#This Row],[MsnryTrim]],Lookups!$A$90:$E$99,2,FALSE)</f>
        <v>4112.8784489</v>
      </c>
      <c r="CB252">
        <f>Sales[[#This Row],[PrefabFP]]*Lookups!$B$92</f>
        <v>9807.1044999999995</v>
      </c>
      <c r="CC252">
        <f>Sales[[#This Row],[AttGar]]*Lookups!$B$93</f>
        <v>15532.453640000002</v>
      </c>
      <c r="CD252">
        <f>Sales[[#This Row],[BltinGar]]*Lookups!$B$94</f>
        <v>0</v>
      </c>
      <c r="CE252">
        <f>SUM(Sales[[#This Row],[Days Prior Total]:[Mdl BltinGar]])</f>
        <v>419089.98971574736</v>
      </c>
      <c r="CF252">
        <f>ROUND(Sales[[#This Row],[25Det]],-2)</f>
        <v>0</v>
      </c>
      <c r="CG252">
        <f>ROUND(SUM(Sales[[#This Row],[Mdl Qlty]:[Mdl BltinGar]])+Sales[[#This Row],[Mdl Res Intercept]]+Sales[[#This Row],[Days Prior Total]],-2)</f>
        <v>351200</v>
      </c>
      <c r="CH252">
        <f>ROUND(Sales[[#This Row],[Mdl Land Intercept]]+Sales[[#This Row],[Mdl LnAcres]],-2)</f>
        <v>67900</v>
      </c>
      <c r="CI252">
        <f>Sales[[#This Row],[Unadj Res Value]]+Sales[[#This Row],[Unadj Det Value]]+Sales[[#This Row],[Unadj Land Value]]</f>
        <v>419100</v>
      </c>
      <c r="CJ252" s="10">
        <f>Sales[[#This Row],[Price]]/Sales[[#This Row],[Unadj Total Value]]</f>
        <v>0.9985683607730852</v>
      </c>
      <c r="CK252" s="10">
        <f>(Sales[[#This Row],[Unadj Total Value]]-Sales[[#This Row],[24Final]])/Sales[[#This Row],[24Final]]</f>
        <v>1.085383502170767E-2</v>
      </c>
      <c r="CL252">
        <f>VLOOKUP(Sales[[#This Row],[TNbhd]],Lookups!$M$3:$P$5,4,FALSE)</f>
        <v>0.99970000000000003</v>
      </c>
      <c r="CM252">
        <f>VLOOKUP(Sales[[#This Row],[Qlty]],Lookups!$M$8:$P$22,4,FALSE)</f>
        <v>1.0019</v>
      </c>
      <c r="CN252">
        <f>VLOOKUP(Sales[[#This Row],[Cnd]],Lookups!$R$8:$U$17,4,FALSE)</f>
        <v>0.997</v>
      </c>
      <c r="CO252">
        <f>VLOOKUP(Sales[[#This Row],[LivArea Range]],Lookups!$R$25:$U$43,4,FALSE)</f>
        <v>1.0008999999999999</v>
      </c>
      <c r="CP252">
        <f>VLOOKUP(Sales[[#This Row],[Decade]],Lookups!$M$24:$P$40,4,FALSE)</f>
        <v>0.99560000000000004</v>
      </c>
      <c r="CQ252">
        <f>Sales[[#This Row],[Nbhd Adj]]*0.95</f>
        <v>0.94971499999999998</v>
      </c>
      <c r="CR252">
        <f>Sales[[#This Row],[Nbhd Adj]]*Sales[[#This Row],[Quality Adj]]*Sales[[#This Row],[Condition Adj]]*Sales[[#This Row],[Living Area Adj]]*Sales[[#This Row],[Decade Adj]]*0.95</f>
        <v>0.94534081626105959</v>
      </c>
      <c r="CS252">
        <f>ROUND(SUM(Sales[[#This Row],[Mdl Qlty]:[Mdl BltinGar]])+Sales[[#This Row],[Mdl Res Intercept]]*Sales[[#This Row],[Res Adj ]],-2)</f>
        <v>352000</v>
      </c>
      <c r="CT252">
        <f>ROUND(Sales[[#This Row],[25Det]]*Sales[[#This Row],[Det/Nbhd Adj]],-2)</f>
        <v>0</v>
      </c>
      <c r="CU252">
        <f>Sales[[#This Row],[Adjusted Res]]+Sales[[#This Row],[Adj Det ]]</f>
        <v>352000</v>
      </c>
      <c r="CV252">
        <f>ROUND((Sales[[#This Row],[Mdl Land Intercept]]+Sales[[#This Row],[Mdl LnAcres]])*Sales[[#This Row],[Det/Nbhd Adj]],-2)</f>
        <v>64500</v>
      </c>
      <c r="CW252">
        <f>Sales[[#This Row],[Adjusted Impr Total]]+Sales[[#This Row],[Adjusted Land Total]]</f>
        <v>416500</v>
      </c>
      <c r="CX252" s="10">
        <f>IFERROR((Sales[[#This Row],[Adjusted Impr Total]]-Sales[[#This Row],[24Bldg]])/Sales[[#This Row],[24Bldg]],0)</f>
        <v>5.7142857142857143E-3</v>
      </c>
      <c r="CY252" s="10">
        <f>(Sales[[#This Row],[Adjusted Land Total]]-Sales[[#This Row],[24Lnd]])/Sales[[#This Row],[24Lnd]]</f>
        <v>-1.5479876160990713E-3</v>
      </c>
      <c r="CZ252">
        <f>(Sales[[#This Row],[Adjusted Total]]-Sales[[#This Row],[24Final]])/Sales[[#This Row],[24Final]]</f>
        <v>4.5827303424987942E-3</v>
      </c>
      <c r="DA252" s="10">
        <f>(Sales[[#This Row],[Adjusted Total]]+Sales[[#This Row],[Days Prior Total]])/Sales[[#This Row],[Price]]</f>
        <v>0.97594677674790931</v>
      </c>
    </row>
    <row r="253" spans="1:105">
      <c r="A253">
        <v>2025</v>
      </c>
      <c r="B253">
        <v>19120141488</v>
      </c>
      <c r="C253">
        <v>-1.7147984280919266</v>
      </c>
      <c r="D253">
        <v>0.18</v>
      </c>
      <c r="E253">
        <v>7951</v>
      </c>
      <c r="F253">
        <v>2</v>
      </c>
      <c r="G253" t="s">
        <v>155</v>
      </c>
      <c r="H253">
        <v>317</v>
      </c>
      <c r="I253" t="s">
        <v>5</v>
      </c>
      <c r="J253" t="s">
        <v>212</v>
      </c>
      <c r="K253">
        <v>11</v>
      </c>
      <c r="L253">
        <v>259</v>
      </c>
      <c r="M253" t="s">
        <v>193</v>
      </c>
      <c r="N253" t="s">
        <v>19</v>
      </c>
      <c r="O253" t="s">
        <v>18</v>
      </c>
      <c r="P253">
        <v>2005</v>
      </c>
      <c r="Q253">
        <v>2005</v>
      </c>
      <c r="R253">
        <v>20</v>
      </c>
      <c r="S253">
        <v>19</v>
      </c>
      <c r="T253">
        <v>19</v>
      </c>
      <c r="U253">
        <v>1</v>
      </c>
      <c r="V253">
        <v>1420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1420</v>
      </c>
      <c r="AC253">
        <v>1500</v>
      </c>
      <c r="AD253">
        <v>2</v>
      </c>
      <c r="AE253" t="s">
        <v>56</v>
      </c>
      <c r="AF253" t="s">
        <v>331</v>
      </c>
      <c r="AG253" t="s">
        <v>21</v>
      </c>
      <c r="AH253" t="s">
        <v>161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8</v>
      </c>
      <c r="AO253">
        <v>400</v>
      </c>
      <c r="AP253">
        <v>0</v>
      </c>
      <c r="AQ253">
        <v>0</v>
      </c>
      <c r="AR253">
        <v>0</v>
      </c>
      <c r="AS253">
        <v>100</v>
      </c>
      <c r="AT253">
        <v>0</v>
      </c>
      <c r="AU253">
        <v>100</v>
      </c>
      <c r="AV253">
        <v>100</v>
      </c>
      <c r="AW253">
        <v>254326</v>
      </c>
      <c r="AX253">
        <v>231437</v>
      </c>
      <c r="AY253">
        <v>992</v>
      </c>
      <c r="AZ253">
        <v>365</v>
      </c>
      <c r="BA253">
        <v>365</v>
      </c>
      <c r="BB253">
        <v>262</v>
      </c>
      <c r="BC253" s="2">
        <v>44300</v>
      </c>
      <c r="BD253" t="s">
        <v>413</v>
      </c>
      <c r="BE253">
        <v>260000</v>
      </c>
      <c r="BF253">
        <v>260000</v>
      </c>
      <c r="BG253" t="s">
        <v>160</v>
      </c>
      <c r="BH253">
        <v>30</v>
      </c>
      <c r="BI253" t="s">
        <v>56</v>
      </c>
      <c r="BJ253" t="s">
        <v>161</v>
      </c>
      <c r="BK253">
        <v>339600</v>
      </c>
      <c r="BL253">
        <v>62500</v>
      </c>
      <c r="BM253">
        <v>277100</v>
      </c>
      <c r="BN253">
        <v>0</v>
      </c>
      <c r="BO253">
        <v>263418.49213226704</v>
      </c>
      <c r="BP253">
        <v>344566.66097362456</v>
      </c>
      <c r="BQ253">
        <f>(Sales[[#This Row],[DP1]]*Lookups!$B$61)+(Sales[[#This Row],[DP2]]*Lookups!$B$62)+(Sales[[#This Row],[DP3]]*Lookups!$B$63)</f>
        <v>-81148.165431000001</v>
      </c>
      <c r="BR253">
        <f>Lookups!$B$58*0.6</f>
        <v>132535.48800000001</v>
      </c>
      <c r="BS253">
        <f>Lookups!$B$58*0.4</f>
        <v>88356.992000000013</v>
      </c>
      <c r="BT253">
        <f>Lookups!$B$59*Sales[[#This Row],[LnAcres]]</f>
        <v>-22505.565020573864</v>
      </c>
      <c r="BU253">
        <f>VLOOKUP(Sales[[#This Row],[Qlty]],Lookups!$A$66:$E$79,2,FALSE)</f>
        <v>37154.252388000001</v>
      </c>
      <c r="BV253">
        <f>VLOOKUP(Sales[[#This Row],[Cnd]],Lookups!$A$80:$E$91,2,FALSE)</f>
        <v>17761.121909000001</v>
      </c>
      <c r="BW253">
        <f>Sales[[#This Row],[EffAge]]*Lookups!$B$65</f>
        <v>-2066.0808999999999</v>
      </c>
      <c r="BX253">
        <f>Sales[[#This Row],[MainFn]]*Lookups!$B$90</f>
        <v>88622.739600000001</v>
      </c>
      <c r="BY253">
        <f>Sales[[#This Row],[UpprFn]]*Lookups!$B$91</f>
        <v>0</v>
      </c>
      <c r="BZ253">
        <f>Sales[[#This Row],[Bsmt]]*Lookups!$B$95</f>
        <v>0</v>
      </c>
      <c r="CA253">
        <f>VLOOKUP(Sales[[#This Row],[MsnryTrim]],Lookups!$A$90:$E$99,2,FALSE)</f>
        <v>-9412.7029999999995</v>
      </c>
      <c r="CB253">
        <f>Sales[[#This Row],[PrefabFP]]*Lookups!$B$92</f>
        <v>0</v>
      </c>
      <c r="CC253">
        <f>Sales[[#This Row],[AttGar]]*Lookups!$B$93</f>
        <v>14120.412400000001</v>
      </c>
      <c r="CD253">
        <f>Sales[[#This Row],[BltinGar]]*Lookups!$B$94</f>
        <v>0</v>
      </c>
      <c r="CE253">
        <f>SUM(Sales[[#This Row],[Days Prior Total]:[Mdl BltinGar]])</f>
        <v>263418.49194542621</v>
      </c>
      <c r="CF253">
        <f>ROUND(Sales[[#This Row],[25Det]],-2)</f>
        <v>0</v>
      </c>
      <c r="CG253">
        <f>ROUND(SUM(Sales[[#This Row],[Mdl Qlty]:[Mdl BltinGar]])+Sales[[#This Row],[Mdl Res Intercept]]+Sales[[#This Row],[Days Prior Total]],-2)</f>
        <v>197600</v>
      </c>
      <c r="CH253">
        <f>ROUND(Sales[[#This Row],[Mdl Land Intercept]]+Sales[[#This Row],[Mdl LnAcres]],-2)</f>
        <v>65900</v>
      </c>
      <c r="CI253">
        <f>Sales[[#This Row],[Unadj Res Value]]+Sales[[#This Row],[Unadj Det Value]]+Sales[[#This Row],[Unadj Land Value]]</f>
        <v>263500</v>
      </c>
      <c r="CJ253" s="10">
        <f>Sales[[#This Row],[Price]]/Sales[[#This Row],[Unadj Total Value]]</f>
        <v>0.98671726755218214</v>
      </c>
      <c r="CK253" s="10">
        <f>(Sales[[#This Row],[Unadj Total Value]]-Sales[[#This Row],[24Final]])/Sales[[#This Row],[24Final]]</f>
        <v>-0.22408716136631332</v>
      </c>
      <c r="CL253">
        <f>VLOOKUP(Sales[[#This Row],[TNbhd]],Lookups!$M$3:$P$5,4,FALSE)</f>
        <v>0.99970000000000003</v>
      </c>
      <c r="CM253">
        <f>VLOOKUP(Sales[[#This Row],[Qlty]],Lookups!$M$8:$P$22,4,FALSE)</f>
        <v>0.99819999999999998</v>
      </c>
      <c r="CN253">
        <f>VLOOKUP(Sales[[#This Row],[Cnd]],Lookups!$R$8:$U$17,4,FALSE)</f>
        <v>0.99680000000000002</v>
      </c>
      <c r="CO253">
        <f>VLOOKUP(Sales[[#This Row],[LivArea Range]],Lookups!$R$25:$U$43,4,FALSE)</f>
        <v>0.99519999999999997</v>
      </c>
      <c r="CP253">
        <f>VLOOKUP(Sales[[#This Row],[Decade]],Lookups!$M$24:$P$40,4,FALSE)</f>
        <v>0.99560000000000004</v>
      </c>
      <c r="CQ253">
        <f>Sales[[#This Row],[Nbhd Adj]]*0.95</f>
        <v>0.94971499999999998</v>
      </c>
      <c r="CR253">
        <f>Sales[[#This Row],[Nbhd Adj]]*Sales[[#This Row],[Quality Adj]]*Sales[[#This Row],[Condition Adj]]*Sales[[#This Row],[Living Area Adj]]*Sales[[#This Row],[Decade Adj]]*0.95</f>
        <v>0.93629811172753274</v>
      </c>
      <c r="CS253">
        <f>ROUND(SUM(Sales[[#This Row],[Mdl Qlty]:[Mdl BltinGar]])+Sales[[#This Row],[Mdl Res Intercept]]*Sales[[#This Row],[Res Adj ]],-2)</f>
        <v>270300</v>
      </c>
      <c r="CT253">
        <f>ROUND(Sales[[#This Row],[25Det]]*Sales[[#This Row],[Det/Nbhd Adj]],-2)</f>
        <v>0</v>
      </c>
      <c r="CU253">
        <f>Sales[[#This Row],[Adjusted Res]]+Sales[[#This Row],[Adj Det ]]</f>
        <v>270300</v>
      </c>
      <c r="CV253">
        <f>ROUND((Sales[[#This Row],[Mdl Land Intercept]]+Sales[[#This Row],[Mdl LnAcres]])*Sales[[#This Row],[Det/Nbhd Adj]],-2)</f>
        <v>62500</v>
      </c>
      <c r="CW253">
        <f>Sales[[#This Row],[Adjusted Impr Total]]+Sales[[#This Row],[Adjusted Land Total]]</f>
        <v>332800</v>
      </c>
      <c r="CX253" s="10">
        <f>IFERROR((Sales[[#This Row],[Adjusted Impr Total]]-Sales[[#This Row],[24Bldg]])/Sales[[#This Row],[24Bldg]],0)</f>
        <v>-2.4539877300613498E-2</v>
      </c>
      <c r="CY253" s="10">
        <f>(Sales[[#This Row],[Adjusted Land Total]]-Sales[[#This Row],[24Lnd]])/Sales[[#This Row],[24Lnd]]</f>
        <v>0</v>
      </c>
      <c r="CZ253">
        <f>(Sales[[#This Row],[Adjusted Total]]-Sales[[#This Row],[24Final]])/Sales[[#This Row],[24Final]]</f>
        <v>-2.0023557126030624E-2</v>
      </c>
      <c r="DA253" s="10">
        <f>(Sales[[#This Row],[Adjusted Total]]+Sales[[#This Row],[Days Prior Total]])/Sales[[#This Row],[Price]]</f>
        <v>0.96789167141923071</v>
      </c>
    </row>
    <row r="254" spans="1:105">
      <c r="A254">
        <v>2025</v>
      </c>
      <c r="B254">
        <v>19120141490</v>
      </c>
      <c r="C254">
        <v>-1.7147984280919266</v>
      </c>
      <c r="D254">
        <v>0.18</v>
      </c>
      <c r="E254">
        <v>7973</v>
      </c>
      <c r="F254">
        <v>2</v>
      </c>
      <c r="G254" t="s">
        <v>155</v>
      </c>
      <c r="H254">
        <v>317</v>
      </c>
      <c r="I254" t="s">
        <v>5</v>
      </c>
      <c r="J254" t="s">
        <v>212</v>
      </c>
      <c r="K254">
        <v>11</v>
      </c>
      <c r="L254">
        <v>259</v>
      </c>
      <c r="M254" t="s">
        <v>157</v>
      </c>
      <c r="N254" t="s">
        <v>19</v>
      </c>
      <c r="O254" t="s">
        <v>22</v>
      </c>
      <c r="P254">
        <v>2005</v>
      </c>
      <c r="Q254">
        <v>2005</v>
      </c>
      <c r="R254">
        <v>20</v>
      </c>
      <c r="S254">
        <v>19</v>
      </c>
      <c r="T254">
        <v>19</v>
      </c>
      <c r="U254">
        <v>2</v>
      </c>
      <c r="V254">
        <v>1116</v>
      </c>
      <c r="W254">
        <v>1116</v>
      </c>
      <c r="X254">
        <v>0</v>
      </c>
      <c r="Y254">
        <v>0</v>
      </c>
      <c r="Z254">
        <v>0</v>
      </c>
      <c r="AA254">
        <v>0</v>
      </c>
      <c r="AB254">
        <v>2232</v>
      </c>
      <c r="AC254">
        <v>2500</v>
      </c>
      <c r="AD254">
        <v>2</v>
      </c>
      <c r="AE254" t="s">
        <v>56</v>
      </c>
      <c r="AF254" t="s">
        <v>331</v>
      </c>
      <c r="AG254" t="s">
        <v>21</v>
      </c>
      <c r="AH254" t="s">
        <v>161</v>
      </c>
      <c r="AI254">
        <v>0</v>
      </c>
      <c r="AJ254">
        <v>0</v>
      </c>
      <c r="AK254">
        <v>0</v>
      </c>
      <c r="AL254">
        <v>0</v>
      </c>
      <c r="AM254">
        <v>1</v>
      </c>
      <c r="AN254">
        <v>13</v>
      </c>
      <c r="AO254">
        <v>440</v>
      </c>
      <c r="AP254">
        <v>0</v>
      </c>
      <c r="AQ254">
        <v>0</v>
      </c>
      <c r="AR254">
        <v>0</v>
      </c>
      <c r="AS254">
        <v>100</v>
      </c>
      <c r="AT254">
        <v>0</v>
      </c>
      <c r="AU254">
        <v>100</v>
      </c>
      <c r="AV254">
        <v>100</v>
      </c>
      <c r="AW254">
        <v>347819</v>
      </c>
      <c r="AX254">
        <v>330428</v>
      </c>
      <c r="AY254">
        <v>501</v>
      </c>
      <c r="AZ254">
        <v>365</v>
      </c>
      <c r="BA254">
        <v>136</v>
      </c>
      <c r="BB254">
        <v>0</v>
      </c>
      <c r="BC254" s="2">
        <v>44791</v>
      </c>
      <c r="BD254" t="s">
        <v>414</v>
      </c>
      <c r="BE254">
        <v>415000</v>
      </c>
      <c r="BF254">
        <v>415000</v>
      </c>
      <c r="BG254" t="s">
        <v>160</v>
      </c>
      <c r="BH254">
        <v>30</v>
      </c>
      <c r="BI254" t="s">
        <v>56</v>
      </c>
      <c r="BJ254" t="s">
        <v>161</v>
      </c>
      <c r="BK254">
        <v>412500</v>
      </c>
      <c r="BL254">
        <v>62500</v>
      </c>
      <c r="BM254">
        <v>350000</v>
      </c>
      <c r="BN254">
        <v>0</v>
      </c>
      <c r="BO254">
        <v>420469.16084755363</v>
      </c>
      <c r="BP254">
        <v>426174.91095315618</v>
      </c>
      <c r="BQ254">
        <f>(Sales[[#This Row],[DP1]]*Lookups!$B$61)+(Sales[[#This Row],[DP2]]*Lookups!$B$62)+(Sales[[#This Row],[DP3]]*Lookups!$B$63)</f>
        <v>-5705.7496809999993</v>
      </c>
      <c r="BR254">
        <f>Lookups!$B$58*0.6</f>
        <v>132535.48800000001</v>
      </c>
      <c r="BS254">
        <f>Lookups!$B$58*0.4</f>
        <v>88356.992000000013</v>
      </c>
      <c r="BT254">
        <f>Lookups!$B$59*Sales[[#This Row],[LnAcres]]</f>
        <v>-22505.565020573864</v>
      </c>
      <c r="BU254">
        <f>VLOOKUP(Sales[[#This Row],[Qlty]],Lookups!$A$66:$E$79,2,FALSE)</f>
        <v>37154.252388000001</v>
      </c>
      <c r="BV254">
        <f>VLOOKUP(Sales[[#This Row],[Cnd]],Lookups!$A$80:$E$91,2,FALSE)</f>
        <v>50438.379078999998</v>
      </c>
      <c r="BW254">
        <f>Sales[[#This Row],[EffAge]]*Lookups!$B$65</f>
        <v>-2066.0808999999999</v>
      </c>
      <c r="BX254">
        <f>Sales[[#This Row],[MainFn]]*Lookups!$B$90</f>
        <v>69649.984080000009</v>
      </c>
      <c r="BY254">
        <f>Sales[[#This Row],[UpprFn]]*Lookups!$B$91</f>
        <v>66491.707427999994</v>
      </c>
      <c r="BZ254">
        <f>Sales[[#This Row],[Bsmt]]*Lookups!$B$95</f>
        <v>0</v>
      </c>
      <c r="CA254">
        <f>VLOOKUP(Sales[[#This Row],[MsnryTrim]],Lookups!$A$90:$E$99,2,FALSE)</f>
        <v>-9412.7029999999995</v>
      </c>
      <c r="CB254">
        <f>Sales[[#This Row],[PrefabFP]]*Lookups!$B$92</f>
        <v>0</v>
      </c>
      <c r="CC254">
        <f>Sales[[#This Row],[AttGar]]*Lookups!$B$93</f>
        <v>15532.453640000002</v>
      </c>
      <c r="CD254">
        <f>Sales[[#This Row],[BltinGar]]*Lookups!$B$94</f>
        <v>0</v>
      </c>
      <c r="CE254">
        <f>SUM(Sales[[#This Row],[Days Prior Total]:[Mdl BltinGar]])</f>
        <v>420469.15801342623</v>
      </c>
      <c r="CF254">
        <f>ROUND(Sales[[#This Row],[25Det]],-2)</f>
        <v>0</v>
      </c>
      <c r="CG254">
        <f>ROUND(SUM(Sales[[#This Row],[Mdl Qlty]:[Mdl BltinGar]])+Sales[[#This Row],[Mdl Res Intercept]]+Sales[[#This Row],[Days Prior Total]],-2)</f>
        <v>354600</v>
      </c>
      <c r="CH254">
        <f>ROUND(Sales[[#This Row],[Mdl Land Intercept]]+Sales[[#This Row],[Mdl LnAcres]],-2)</f>
        <v>65900</v>
      </c>
      <c r="CI254">
        <f>Sales[[#This Row],[Unadj Res Value]]+Sales[[#This Row],[Unadj Det Value]]+Sales[[#This Row],[Unadj Land Value]]</f>
        <v>420500</v>
      </c>
      <c r="CJ254" s="10">
        <f>Sales[[#This Row],[Price]]/Sales[[#This Row],[Unadj Total Value]]</f>
        <v>0.98692033293697978</v>
      </c>
      <c r="CK254" s="10">
        <f>(Sales[[#This Row],[Unadj Total Value]]-Sales[[#This Row],[24Final]])/Sales[[#This Row],[24Final]]</f>
        <v>1.9393939393939394E-2</v>
      </c>
      <c r="CL254">
        <f>VLOOKUP(Sales[[#This Row],[TNbhd]],Lookups!$M$3:$P$5,4,FALSE)</f>
        <v>0.99970000000000003</v>
      </c>
      <c r="CM254">
        <f>VLOOKUP(Sales[[#This Row],[Qlty]],Lookups!$M$8:$P$22,4,FALSE)</f>
        <v>0.99819999999999998</v>
      </c>
      <c r="CN254">
        <f>VLOOKUP(Sales[[#This Row],[Cnd]],Lookups!$R$8:$U$17,4,FALSE)</f>
        <v>1.0007999999999999</v>
      </c>
      <c r="CO254">
        <f>VLOOKUP(Sales[[#This Row],[LivArea Range]],Lookups!$R$25:$U$43,4,FALSE)</f>
        <v>1.0008999999999999</v>
      </c>
      <c r="CP254">
        <f>VLOOKUP(Sales[[#This Row],[Decade]],Lookups!$M$24:$P$40,4,FALSE)</f>
        <v>0.99560000000000004</v>
      </c>
      <c r="CQ254">
        <f>Sales[[#This Row],[Nbhd Adj]]*0.95</f>
        <v>0.94971499999999998</v>
      </c>
      <c r="CR254">
        <f>Sales[[#This Row],[Nbhd Adj]]*Sales[[#This Row],[Quality Adj]]*Sales[[#This Row],[Condition Adj]]*Sales[[#This Row],[Living Area Adj]]*Sales[[#This Row],[Decade Adj]]*0.95</f>
        <v>0.94543948659435051</v>
      </c>
      <c r="CS254">
        <f>ROUND(SUM(Sales[[#This Row],[Mdl Qlty]:[Mdl BltinGar]])+Sales[[#This Row],[Mdl Res Intercept]]*Sales[[#This Row],[Res Adj ]],-2)</f>
        <v>353100</v>
      </c>
      <c r="CT254">
        <f>ROUND(Sales[[#This Row],[25Det]]*Sales[[#This Row],[Det/Nbhd Adj]],-2)</f>
        <v>0</v>
      </c>
      <c r="CU254">
        <f>Sales[[#This Row],[Adjusted Res]]+Sales[[#This Row],[Adj Det ]]</f>
        <v>353100</v>
      </c>
      <c r="CV254">
        <f>ROUND((Sales[[#This Row],[Mdl Land Intercept]]+Sales[[#This Row],[Mdl LnAcres]])*Sales[[#This Row],[Det/Nbhd Adj]],-2)</f>
        <v>62500</v>
      </c>
      <c r="CW254">
        <f>Sales[[#This Row],[Adjusted Impr Total]]+Sales[[#This Row],[Adjusted Land Total]]</f>
        <v>415600</v>
      </c>
      <c r="CX254" s="10">
        <f>IFERROR((Sales[[#This Row],[Adjusted Impr Total]]-Sales[[#This Row],[24Bldg]])/Sales[[#This Row],[24Bldg]],0)</f>
        <v>8.8571428571428568E-3</v>
      </c>
      <c r="CY254" s="10">
        <f>(Sales[[#This Row],[Adjusted Land Total]]-Sales[[#This Row],[24Lnd]])/Sales[[#This Row],[24Lnd]]</f>
        <v>0</v>
      </c>
      <c r="CZ254">
        <f>(Sales[[#This Row],[Adjusted Total]]-Sales[[#This Row],[24Final]])/Sales[[#This Row],[24Final]]</f>
        <v>7.5151515151515155E-3</v>
      </c>
      <c r="DA254" s="10">
        <f>(Sales[[#This Row],[Adjusted Total]]+Sales[[#This Row],[Days Prior Total]])/Sales[[#This Row],[Price]]</f>
        <v>0.98769698872048184</v>
      </c>
    </row>
    <row r="255" spans="1:105">
      <c r="A255">
        <v>2025</v>
      </c>
      <c r="B255">
        <v>19120141520</v>
      </c>
      <c r="C255">
        <v>-1.8325814637483102</v>
      </c>
      <c r="D255">
        <v>0.16</v>
      </c>
      <c r="E255">
        <v>6998</v>
      </c>
      <c r="F255">
        <v>2</v>
      </c>
      <c r="G255" t="s">
        <v>155</v>
      </c>
      <c r="H255">
        <v>317</v>
      </c>
      <c r="I255" t="s">
        <v>5</v>
      </c>
      <c r="J255" t="s">
        <v>212</v>
      </c>
      <c r="K255">
        <v>11</v>
      </c>
      <c r="L255">
        <v>259</v>
      </c>
      <c r="M255" t="s">
        <v>157</v>
      </c>
      <c r="N255" t="s">
        <v>19</v>
      </c>
      <c r="O255" t="s">
        <v>20</v>
      </c>
      <c r="P255">
        <v>2005</v>
      </c>
      <c r="Q255">
        <v>2005</v>
      </c>
      <c r="R255">
        <v>20</v>
      </c>
      <c r="S255">
        <v>19</v>
      </c>
      <c r="T255">
        <v>19</v>
      </c>
      <c r="U255">
        <v>2</v>
      </c>
      <c r="V255">
        <v>1116</v>
      </c>
      <c r="W255">
        <v>1116</v>
      </c>
      <c r="X255">
        <v>0</v>
      </c>
      <c r="Y255">
        <v>0</v>
      </c>
      <c r="Z255">
        <v>0</v>
      </c>
      <c r="AA255">
        <v>0</v>
      </c>
      <c r="AB255">
        <v>2232</v>
      </c>
      <c r="AC255">
        <v>2500</v>
      </c>
      <c r="AD255">
        <v>2</v>
      </c>
      <c r="AE255" t="s">
        <v>56</v>
      </c>
      <c r="AF255" t="s">
        <v>331</v>
      </c>
      <c r="AG255" t="s">
        <v>21</v>
      </c>
      <c r="AH255" t="s">
        <v>161</v>
      </c>
      <c r="AI255">
        <v>0</v>
      </c>
      <c r="AJ255">
        <v>0</v>
      </c>
      <c r="AK255">
        <v>0</v>
      </c>
      <c r="AL255">
        <v>0</v>
      </c>
      <c r="AM255">
        <v>1</v>
      </c>
      <c r="AN255">
        <v>13</v>
      </c>
      <c r="AO255">
        <v>440</v>
      </c>
      <c r="AP255">
        <v>0</v>
      </c>
      <c r="AQ255">
        <v>0</v>
      </c>
      <c r="AR255">
        <v>0</v>
      </c>
      <c r="AS255">
        <v>100</v>
      </c>
      <c r="AT255">
        <v>0</v>
      </c>
      <c r="AU255">
        <v>100</v>
      </c>
      <c r="AV255">
        <v>100</v>
      </c>
      <c r="AW255">
        <v>347819</v>
      </c>
      <c r="AX255">
        <v>323472</v>
      </c>
      <c r="AY255">
        <v>774</v>
      </c>
      <c r="AZ255">
        <v>365</v>
      </c>
      <c r="BA255">
        <v>365</v>
      </c>
      <c r="BB255">
        <v>44</v>
      </c>
      <c r="BC255" s="2">
        <v>44518</v>
      </c>
      <c r="BD255" t="s">
        <v>415</v>
      </c>
      <c r="BE255">
        <v>364900</v>
      </c>
      <c r="BF255">
        <v>364900</v>
      </c>
      <c r="BG255" t="s">
        <v>160</v>
      </c>
      <c r="BH255">
        <v>30</v>
      </c>
      <c r="BI255" t="s">
        <v>56</v>
      </c>
      <c r="BJ255" t="s">
        <v>161</v>
      </c>
      <c r="BK255">
        <v>395300</v>
      </c>
      <c r="BL255">
        <v>60800</v>
      </c>
      <c r="BM255">
        <v>334500</v>
      </c>
      <c r="BN255">
        <v>0</v>
      </c>
      <c r="BO255">
        <v>373264.7410277985</v>
      </c>
      <c r="BP255">
        <v>404491.03879694099</v>
      </c>
      <c r="BQ255">
        <f>(Sales[[#This Row],[DP1]]*Lookups!$B$61)+(Sales[[#This Row],[DP2]]*Lookups!$B$62)+(Sales[[#This Row],[DP3]]*Lookups!$B$63)</f>
        <v>-31226.296231</v>
      </c>
      <c r="BR255">
        <f>Lookups!$B$58*0.6</f>
        <v>132535.48800000001</v>
      </c>
      <c r="BS255">
        <f>Lookups!$B$58*0.4</f>
        <v>88356.992000000013</v>
      </c>
      <c r="BT255">
        <f>Lookups!$B$59*Sales[[#This Row],[LnAcres]]</f>
        <v>-24051.387388882686</v>
      </c>
      <c r="BU255">
        <f>VLOOKUP(Sales[[#This Row],[Qlty]],Lookups!$A$66:$E$79,2,FALSE)</f>
        <v>37154.252388000001</v>
      </c>
      <c r="BV255">
        <f>VLOOKUP(Sales[[#This Row],[Cnd]],Lookups!$A$80:$E$91,2,FALSE)</f>
        <v>30300.329274</v>
      </c>
      <c r="BW255">
        <f>Sales[[#This Row],[EffAge]]*Lookups!$B$65</f>
        <v>-2066.0808999999999</v>
      </c>
      <c r="BX255">
        <f>Sales[[#This Row],[MainFn]]*Lookups!$B$90</f>
        <v>69649.984080000009</v>
      </c>
      <c r="BY255">
        <f>Sales[[#This Row],[UpprFn]]*Lookups!$B$91</f>
        <v>66491.707427999994</v>
      </c>
      <c r="BZ255">
        <f>Sales[[#This Row],[Bsmt]]*Lookups!$B$95</f>
        <v>0</v>
      </c>
      <c r="CA255">
        <f>VLOOKUP(Sales[[#This Row],[MsnryTrim]],Lookups!$A$90:$E$99,2,FALSE)</f>
        <v>-9412.7029999999995</v>
      </c>
      <c r="CB255">
        <f>Sales[[#This Row],[PrefabFP]]*Lookups!$B$92</f>
        <v>0</v>
      </c>
      <c r="CC255">
        <f>Sales[[#This Row],[AttGar]]*Lookups!$B$93</f>
        <v>15532.453640000002</v>
      </c>
      <c r="CD255">
        <f>Sales[[#This Row],[BltinGar]]*Lookups!$B$94</f>
        <v>0</v>
      </c>
      <c r="CE255">
        <f>SUM(Sales[[#This Row],[Days Prior Total]:[Mdl BltinGar]])</f>
        <v>373264.73929011734</v>
      </c>
      <c r="CF255">
        <f>ROUND(Sales[[#This Row],[25Det]],-2)</f>
        <v>0</v>
      </c>
      <c r="CG255">
        <f>ROUND(SUM(Sales[[#This Row],[Mdl Qlty]:[Mdl BltinGar]])+Sales[[#This Row],[Mdl Res Intercept]]+Sales[[#This Row],[Days Prior Total]],-2)</f>
        <v>309000</v>
      </c>
      <c r="CH255">
        <f>ROUND(Sales[[#This Row],[Mdl Land Intercept]]+Sales[[#This Row],[Mdl LnAcres]],-2)</f>
        <v>64300</v>
      </c>
      <c r="CI255">
        <f>Sales[[#This Row],[Unadj Res Value]]+Sales[[#This Row],[Unadj Det Value]]+Sales[[#This Row],[Unadj Land Value]]</f>
        <v>373300</v>
      </c>
      <c r="CJ255" s="10">
        <f>Sales[[#This Row],[Price]]/Sales[[#This Row],[Unadj Total Value]]</f>
        <v>0.97749799089204392</v>
      </c>
      <c r="CK255" s="10">
        <f>(Sales[[#This Row],[Unadj Total Value]]-Sales[[#This Row],[24Final]])/Sales[[#This Row],[24Final]]</f>
        <v>-5.5653933721224388E-2</v>
      </c>
      <c r="CL255">
        <f>VLOOKUP(Sales[[#This Row],[TNbhd]],Lookups!$M$3:$P$5,4,FALSE)</f>
        <v>0.99970000000000003</v>
      </c>
      <c r="CM255">
        <f>VLOOKUP(Sales[[#This Row],[Qlty]],Lookups!$M$8:$P$22,4,FALSE)</f>
        <v>0.99819999999999998</v>
      </c>
      <c r="CN255">
        <f>VLOOKUP(Sales[[#This Row],[Cnd]],Lookups!$R$8:$U$17,4,FALSE)</f>
        <v>0.997</v>
      </c>
      <c r="CO255">
        <f>VLOOKUP(Sales[[#This Row],[LivArea Range]],Lookups!$R$25:$U$43,4,FALSE)</f>
        <v>1.0008999999999999</v>
      </c>
      <c r="CP255">
        <f>VLOOKUP(Sales[[#This Row],[Decade]],Lookups!$M$24:$P$40,4,FALSE)</f>
        <v>0.99560000000000004</v>
      </c>
      <c r="CQ255">
        <f>Sales[[#This Row],[Nbhd Adj]]*0.95</f>
        <v>0.94971499999999998</v>
      </c>
      <c r="CR255">
        <f>Sales[[#This Row],[Nbhd Adj]]*Sales[[#This Row],[Quality Adj]]*Sales[[#This Row],[Condition Adj]]*Sales[[#This Row],[Living Area Adj]]*Sales[[#This Row],[Decade Adj]]*0.95</f>
        <v>0.94184968838386041</v>
      </c>
      <c r="CS255">
        <f>ROUND(SUM(Sales[[#This Row],[Mdl Qlty]:[Mdl BltinGar]])+Sales[[#This Row],[Mdl Res Intercept]]*Sales[[#This Row],[Res Adj ]],-2)</f>
        <v>332500</v>
      </c>
      <c r="CT255">
        <f>ROUND(Sales[[#This Row],[25Det]]*Sales[[#This Row],[Det/Nbhd Adj]],-2)</f>
        <v>0</v>
      </c>
      <c r="CU255">
        <f>Sales[[#This Row],[Adjusted Res]]+Sales[[#This Row],[Adj Det ]]</f>
        <v>332500</v>
      </c>
      <c r="CV255">
        <f>ROUND((Sales[[#This Row],[Mdl Land Intercept]]+Sales[[#This Row],[Mdl LnAcres]])*Sales[[#This Row],[Det/Nbhd Adj]],-2)</f>
        <v>61100</v>
      </c>
      <c r="CW255">
        <f>Sales[[#This Row],[Adjusted Impr Total]]+Sales[[#This Row],[Adjusted Land Total]]</f>
        <v>393600</v>
      </c>
      <c r="CX255" s="10">
        <f>IFERROR((Sales[[#This Row],[Adjusted Impr Total]]-Sales[[#This Row],[24Bldg]])/Sales[[#This Row],[24Bldg]],0)</f>
        <v>-5.9790732436472349E-3</v>
      </c>
      <c r="CY255" s="10">
        <f>(Sales[[#This Row],[Adjusted Land Total]]-Sales[[#This Row],[24Lnd]])/Sales[[#This Row],[24Lnd]]</f>
        <v>4.9342105263157892E-3</v>
      </c>
      <c r="CZ255">
        <f>(Sales[[#This Row],[Adjusted Total]]-Sales[[#This Row],[24Final]])/Sales[[#This Row],[24Final]]</f>
        <v>-4.3005312420946115E-3</v>
      </c>
      <c r="DA255" s="10">
        <f>(Sales[[#This Row],[Adjusted Total]]+Sales[[#This Row],[Days Prior Total]])/Sales[[#This Row],[Price]]</f>
        <v>0.99307674368046039</v>
      </c>
    </row>
    <row r="256" spans="1:105">
      <c r="A256">
        <v>2025</v>
      </c>
      <c r="B256">
        <v>19120141529</v>
      </c>
      <c r="C256">
        <v>-1.7719568419318752</v>
      </c>
      <c r="D256">
        <v>0.17</v>
      </c>
      <c r="E256">
        <v>7227</v>
      </c>
      <c r="F256">
        <v>2</v>
      </c>
      <c r="G256" t="s">
        <v>155</v>
      </c>
      <c r="H256">
        <v>317</v>
      </c>
      <c r="I256" t="s">
        <v>5</v>
      </c>
      <c r="J256" t="s">
        <v>212</v>
      </c>
      <c r="K256">
        <v>11</v>
      </c>
      <c r="L256">
        <v>259</v>
      </c>
      <c r="M256" t="s">
        <v>157</v>
      </c>
      <c r="N256" t="s">
        <v>19</v>
      </c>
      <c r="O256" t="s">
        <v>20</v>
      </c>
      <c r="P256">
        <v>2005</v>
      </c>
      <c r="Q256">
        <v>2005</v>
      </c>
      <c r="R256">
        <v>20</v>
      </c>
      <c r="S256">
        <v>19</v>
      </c>
      <c r="T256">
        <v>19</v>
      </c>
      <c r="U256">
        <v>2</v>
      </c>
      <c r="V256">
        <v>1158</v>
      </c>
      <c r="W256">
        <v>1322</v>
      </c>
      <c r="X256">
        <v>0</v>
      </c>
      <c r="Y256">
        <v>0</v>
      </c>
      <c r="Z256">
        <v>0</v>
      </c>
      <c r="AA256">
        <v>0</v>
      </c>
      <c r="AB256">
        <v>2480</v>
      </c>
      <c r="AC256">
        <v>2500</v>
      </c>
      <c r="AD256">
        <v>3</v>
      </c>
      <c r="AE256" t="s">
        <v>56</v>
      </c>
      <c r="AF256" t="s">
        <v>331</v>
      </c>
      <c r="AG256" t="s">
        <v>21</v>
      </c>
      <c r="AH256" t="s">
        <v>161</v>
      </c>
      <c r="AI256">
        <v>0</v>
      </c>
      <c r="AJ256">
        <v>0</v>
      </c>
      <c r="AK256">
        <v>0</v>
      </c>
      <c r="AL256">
        <v>0</v>
      </c>
      <c r="AM256">
        <v>1</v>
      </c>
      <c r="AN256">
        <v>13</v>
      </c>
      <c r="AO256">
        <v>300</v>
      </c>
      <c r="AP256">
        <v>502</v>
      </c>
      <c r="AQ256">
        <v>0</v>
      </c>
      <c r="AR256">
        <v>0</v>
      </c>
      <c r="AS256">
        <v>460</v>
      </c>
      <c r="AT256">
        <v>460</v>
      </c>
      <c r="AU256">
        <v>100</v>
      </c>
      <c r="AV256">
        <v>100</v>
      </c>
      <c r="AW256">
        <v>406806</v>
      </c>
      <c r="AX256">
        <v>378330</v>
      </c>
      <c r="AY256">
        <v>458</v>
      </c>
      <c r="AZ256">
        <v>365</v>
      </c>
      <c r="BA256">
        <v>93</v>
      </c>
      <c r="BB256">
        <v>0</v>
      </c>
      <c r="BC256" s="2">
        <v>44834</v>
      </c>
      <c r="BD256" t="s">
        <v>416</v>
      </c>
      <c r="BE256">
        <v>425000</v>
      </c>
      <c r="BF256">
        <v>425000</v>
      </c>
      <c r="BG256" t="s">
        <v>160</v>
      </c>
      <c r="BH256">
        <v>30</v>
      </c>
      <c r="BI256" t="s">
        <v>56</v>
      </c>
      <c r="BJ256" t="s">
        <v>161</v>
      </c>
      <c r="BK256">
        <v>425900</v>
      </c>
      <c r="BL256">
        <v>61700</v>
      </c>
      <c r="BM256">
        <v>364200</v>
      </c>
      <c r="BN256">
        <v>0</v>
      </c>
      <c r="BO256">
        <v>437230.86243755324</v>
      </c>
      <c r="BP256">
        <v>440036.53975501849</v>
      </c>
      <c r="BQ256">
        <f>(Sales[[#This Row],[DP1]]*Lookups!$B$61)+(Sales[[#This Row],[DP2]]*Lookups!$B$62)+(Sales[[#This Row],[DP3]]*Lookups!$B$63)</f>
        <v>-2805.6770309999997</v>
      </c>
      <c r="BR256">
        <f>Lookups!$B$58*0.6</f>
        <v>132535.48800000001</v>
      </c>
      <c r="BS256">
        <f>Lookups!$B$58*0.4</f>
        <v>88356.992000000013</v>
      </c>
      <c r="BT256">
        <f>Lookups!$B$59*Sales[[#This Row],[LnAcres]]</f>
        <v>-23255.730391660189</v>
      </c>
      <c r="BU256">
        <f>VLOOKUP(Sales[[#This Row],[Qlty]],Lookups!$A$66:$E$79,2,FALSE)</f>
        <v>37154.252388000001</v>
      </c>
      <c r="BV256">
        <f>VLOOKUP(Sales[[#This Row],[Cnd]],Lookups!$A$80:$E$91,2,FALSE)</f>
        <v>30300.329274</v>
      </c>
      <c r="BW256">
        <f>Sales[[#This Row],[EffAge]]*Lookups!$B$65</f>
        <v>-2066.0808999999999</v>
      </c>
      <c r="BX256">
        <f>Sales[[#This Row],[MainFn]]*Lookups!$B$90</f>
        <v>72271.22004</v>
      </c>
      <c r="BY256">
        <f>Sales[[#This Row],[UpprFn]]*Lookups!$B$91</f>
        <v>78765.266325999997</v>
      </c>
      <c r="BZ256">
        <f>Sales[[#This Row],[Bsmt]]*Lookups!$B$95</f>
        <v>0</v>
      </c>
      <c r="CA256">
        <f>VLOOKUP(Sales[[#This Row],[MsnryTrim]],Lookups!$A$90:$E$99,2,FALSE)</f>
        <v>-9412.7029999999995</v>
      </c>
      <c r="CB256">
        <f>Sales[[#This Row],[PrefabFP]]*Lookups!$B$92</f>
        <v>0</v>
      </c>
      <c r="CC256">
        <f>Sales[[#This Row],[AttGar]]*Lookups!$B$93</f>
        <v>10590.309300000001</v>
      </c>
      <c r="CD256">
        <f>Sales[[#This Row],[BltinGar]]*Lookups!$B$94</f>
        <v>24797.193599999999</v>
      </c>
      <c r="CE256">
        <f>SUM(Sales[[#This Row],[Days Prior Total]:[Mdl BltinGar]])</f>
        <v>437230.85960533982</v>
      </c>
      <c r="CF256">
        <f>ROUND(Sales[[#This Row],[25Det]],-2)</f>
        <v>0</v>
      </c>
      <c r="CG256">
        <f>ROUND(SUM(Sales[[#This Row],[Mdl Qlty]:[Mdl BltinGar]])+Sales[[#This Row],[Mdl Res Intercept]]+Sales[[#This Row],[Days Prior Total]],-2)</f>
        <v>372100</v>
      </c>
      <c r="CH256">
        <f>ROUND(Sales[[#This Row],[Mdl Land Intercept]]+Sales[[#This Row],[Mdl LnAcres]],-2)</f>
        <v>65100</v>
      </c>
      <c r="CI256">
        <f>Sales[[#This Row],[Unadj Res Value]]+Sales[[#This Row],[Unadj Det Value]]+Sales[[#This Row],[Unadj Land Value]]</f>
        <v>437200</v>
      </c>
      <c r="CJ256" s="10">
        <f>Sales[[#This Row],[Price]]/Sales[[#This Row],[Unadj Total Value]]</f>
        <v>0.97209515096065868</v>
      </c>
      <c r="CK256" s="10">
        <f>(Sales[[#This Row],[Unadj Total Value]]-Sales[[#This Row],[24Final]])/Sales[[#This Row],[24Final]]</f>
        <v>2.6532049776942946E-2</v>
      </c>
      <c r="CL256">
        <f>VLOOKUP(Sales[[#This Row],[TNbhd]],Lookups!$M$3:$P$5,4,FALSE)</f>
        <v>0.99970000000000003</v>
      </c>
      <c r="CM256">
        <f>VLOOKUP(Sales[[#This Row],[Qlty]],Lookups!$M$8:$P$22,4,FALSE)</f>
        <v>0.99819999999999998</v>
      </c>
      <c r="CN256">
        <f>VLOOKUP(Sales[[#This Row],[Cnd]],Lookups!$R$8:$U$17,4,FALSE)</f>
        <v>0.997</v>
      </c>
      <c r="CO256">
        <f>VLOOKUP(Sales[[#This Row],[LivArea Range]],Lookups!$R$25:$U$43,4,FALSE)</f>
        <v>1.0008999999999999</v>
      </c>
      <c r="CP256">
        <f>VLOOKUP(Sales[[#This Row],[Decade]],Lookups!$M$24:$P$40,4,FALSE)</f>
        <v>0.99560000000000004</v>
      </c>
      <c r="CQ256">
        <f>Sales[[#This Row],[Nbhd Adj]]*0.95</f>
        <v>0.94971499999999998</v>
      </c>
      <c r="CR256">
        <f>Sales[[#This Row],[Nbhd Adj]]*Sales[[#This Row],[Quality Adj]]*Sales[[#This Row],[Condition Adj]]*Sales[[#This Row],[Living Area Adj]]*Sales[[#This Row],[Decade Adj]]*0.95</f>
        <v>0.94184968838386041</v>
      </c>
      <c r="CS256">
        <f>ROUND(SUM(Sales[[#This Row],[Mdl Qlty]:[Mdl BltinGar]])+Sales[[#This Row],[Mdl Res Intercept]]*Sales[[#This Row],[Res Adj ]],-2)</f>
        <v>367200</v>
      </c>
      <c r="CT256">
        <f>ROUND(Sales[[#This Row],[25Det]]*Sales[[#This Row],[Det/Nbhd Adj]],-2)</f>
        <v>0</v>
      </c>
      <c r="CU256">
        <f>Sales[[#This Row],[Adjusted Res]]+Sales[[#This Row],[Adj Det ]]</f>
        <v>367200</v>
      </c>
      <c r="CV256">
        <f>ROUND((Sales[[#This Row],[Mdl Land Intercept]]+Sales[[#This Row],[Mdl LnAcres]])*Sales[[#This Row],[Det/Nbhd Adj]],-2)</f>
        <v>61800</v>
      </c>
      <c r="CW256">
        <f>Sales[[#This Row],[Adjusted Impr Total]]+Sales[[#This Row],[Adjusted Land Total]]</f>
        <v>429000</v>
      </c>
      <c r="CX256" s="10">
        <f>IFERROR((Sales[[#This Row],[Adjusted Impr Total]]-Sales[[#This Row],[24Bldg]])/Sales[[#This Row],[24Bldg]],0)</f>
        <v>8.2372322899505763E-3</v>
      </c>
      <c r="CY256" s="10">
        <f>(Sales[[#This Row],[Adjusted Land Total]]-Sales[[#This Row],[24Lnd]])/Sales[[#This Row],[24Lnd]]</f>
        <v>1.6207455429497568E-3</v>
      </c>
      <c r="CZ256">
        <f>(Sales[[#This Row],[Adjusted Total]]-Sales[[#This Row],[24Final]])/Sales[[#This Row],[24Final]]</f>
        <v>7.278703921108241E-3</v>
      </c>
      <c r="DA256" s="10">
        <f>(Sales[[#This Row],[Adjusted Total]]+Sales[[#This Row],[Days Prior Total]])/Sales[[#This Row],[Price]]</f>
        <v>1.0028101716917646</v>
      </c>
    </row>
    <row r="257" spans="1:105">
      <c r="A257">
        <v>2025</v>
      </c>
      <c r="B257">
        <v>19120141530</v>
      </c>
      <c r="C257">
        <v>-1.7719568419318752</v>
      </c>
      <c r="D257">
        <v>0.17</v>
      </c>
      <c r="E257">
        <v>7286</v>
      </c>
      <c r="F257">
        <v>2</v>
      </c>
      <c r="G257" t="s">
        <v>155</v>
      </c>
      <c r="H257">
        <v>317</v>
      </c>
      <c r="I257" t="s">
        <v>5</v>
      </c>
      <c r="J257" t="s">
        <v>212</v>
      </c>
      <c r="K257">
        <v>11</v>
      </c>
      <c r="L257">
        <v>259</v>
      </c>
      <c r="M257" t="s">
        <v>193</v>
      </c>
      <c r="N257" t="s">
        <v>19</v>
      </c>
      <c r="O257" t="s">
        <v>20</v>
      </c>
      <c r="P257">
        <v>2005</v>
      </c>
      <c r="Q257">
        <v>2005</v>
      </c>
      <c r="R257">
        <v>20</v>
      </c>
      <c r="S257">
        <v>19</v>
      </c>
      <c r="T257">
        <v>19</v>
      </c>
      <c r="U257">
        <v>1</v>
      </c>
      <c r="V257">
        <v>1380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1380</v>
      </c>
      <c r="AC257">
        <v>1500</v>
      </c>
      <c r="AD257">
        <v>2</v>
      </c>
      <c r="AE257" t="s">
        <v>56</v>
      </c>
      <c r="AF257" t="s">
        <v>331</v>
      </c>
      <c r="AG257" t="s">
        <v>21</v>
      </c>
      <c r="AH257" t="s">
        <v>161</v>
      </c>
      <c r="AI257">
        <v>0</v>
      </c>
      <c r="AJ257">
        <v>0</v>
      </c>
      <c r="AK257">
        <v>0</v>
      </c>
      <c r="AL257">
        <v>1</v>
      </c>
      <c r="AM257">
        <v>0</v>
      </c>
      <c r="AN257">
        <v>8</v>
      </c>
      <c r="AO257">
        <v>428</v>
      </c>
      <c r="AP257">
        <v>0</v>
      </c>
      <c r="AQ257">
        <v>0</v>
      </c>
      <c r="AR257">
        <v>0</v>
      </c>
      <c r="AS257">
        <v>408</v>
      </c>
      <c r="AT257">
        <v>408</v>
      </c>
      <c r="AU257">
        <v>100</v>
      </c>
      <c r="AV257">
        <v>100</v>
      </c>
      <c r="AW257">
        <v>260180</v>
      </c>
      <c r="AX257">
        <v>241967</v>
      </c>
      <c r="AY257">
        <v>922</v>
      </c>
      <c r="AZ257">
        <v>365</v>
      </c>
      <c r="BA257">
        <v>365</v>
      </c>
      <c r="BB257">
        <v>192</v>
      </c>
      <c r="BC257" s="2">
        <v>44370</v>
      </c>
      <c r="BD257" t="s">
        <v>417</v>
      </c>
      <c r="BE257">
        <v>300000</v>
      </c>
      <c r="BF257">
        <v>300000</v>
      </c>
      <c r="BG257" t="s">
        <v>160</v>
      </c>
      <c r="BH257">
        <v>30</v>
      </c>
      <c r="BI257" t="s">
        <v>56</v>
      </c>
      <c r="BJ257" t="s">
        <v>161</v>
      </c>
      <c r="BK257">
        <v>347700</v>
      </c>
      <c r="BL257">
        <v>61700</v>
      </c>
      <c r="BM257">
        <v>286000</v>
      </c>
      <c r="BN257">
        <v>0</v>
      </c>
      <c r="BO257">
        <v>289729.50639306603</v>
      </c>
      <c r="BP257">
        <v>354847.71663325356</v>
      </c>
      <c r="BQ257">
        <f>(Sales[[#This Row],[DP1]]*Lookups!$B$61)+(Sales[[#This Row],[DP2]]*Lookups!$B$62)+(Sales[[#This Row],[DP3]]*Lookups!$B$63)</f>
        <v>-65118.207431000003</v>
      </c>
      <c r="BR257">
        <f>Lookups!$B$58*0.6</f>
        <v>132535.48800000001</v>
      </c>
      <c r="BS257">
        <f>Lookups!$B$58*0.4</f>
        <v>88356.992000000013</v>
      </c>
      <c r="BT257">
        <f>Lookups!$B$59*Sales[[#This Row],[LnAcres]]</f>
        <v>-23255.730391660189</v>
      </c>
      <c r="BU257">
        <f>VLOOKUP(Sales[[#This Row],[Qlty]],Lookups!$A$66:$E$79,2,FALSE)</f>
        <v>37154.252388000001</v>
      </c>
      <c r="BV257">
        <f>VLOOKUP(Sales[[#This Row],[Cnd]],Lookups!$A$80:$E$91,2,FALSE)</f>
        <v>30300.329274</v>
      </c>
      <c r="BW257">
        <f>Sales[[#This Row],[EffAge]]*Lookups!$B$65</f>
        <v>-2066.0808999999999</v>
      </c>
      <c r="BX257">
        <f>Sales[[#This Row],[MainFn]]*Lookups!$B$90</f>
        <v>86126.324399999998</v>
      </c>
      <c r="BY257">
        <f>Sales[[#This Row],[UpprFn]]*Lookups!$B$91</f>
        <v>0</v>
      </c>
      <c r="BZ257">
        <f>Sales[[#This Row],[Bsmt]]*Lookups!$B$95</f>
        <v>0</v>
      </c>
      <c r="CA257">
        <f>VLOOKUP(Sales[[#This Row],[MsnryTrim]],Lookups!$A$90:$E$99,2,FALSE)</f>
        <v>-9412.7029999999995</v>
      </c>
      <c r="CB257">
        <f>Sales[[#This Row],[PrefabFP]]*Lookups!$B$92</f>
        <v>0</v>
      </c>
      <c r="CC257">
        <f>Sales[[#This Row],[AttGar]]*Lookups!$B$93</f>
        <v>15108.841268</v>
      </c>
      <c r="CD257">
        <f>Sales[[#This Row],[BltinGar]]*Lookups!$B$94</f>
        <v>0</v>
      </c>
      <c r="CE257">
        <f>SUM(Sales[[#This Row],[Days Prior Total]:[Mdl BltinGar]])</f>
        <v>289729.50560733984</v>
      </c>
      <c r="CF257">
        <f>ROUND(Sales[[#This Row],[25Det]],-2)</f>
        <v>0</v>
      </c>
      <c r="CG257">
        <f>ROUND(SUM(Sales[[#This Row],[Mdl Qlty]:[Mdl BltinGar]])+Sales[[#This Row],[Mdl Res Intercept]]+Sales[[#This Row],[Days Prior Total]],-2)</f>
        <v>224600</v>
      </c>
      <c r="CH257">
        <f>ROUND(Sales[[#This Row],[Mdl Land Intercept]]+Sales[[#This Row],[Mdl LnAcres]],-2)</f>
        <v>65100</v>
      </c>
      <c r="CI257">
        <f>Sales[[#This Row],[Unadj Res Value]]+Sales[[#This Row],[Unadj Det Value]]+Sales[[#This Row],[Unadj Land Value]]</f>
        <v>289700</v>
      </c>
      <c r="CJ257" s="10">
        <f>Sales[[#This Row],[Price]]/Sales[[#This Row],[Unadj Total Value]]</f>
        <v>1.0355540214014498</v>
      </c>
      <c r="CK257" s="10">
        <f>(Sales[[#This Row],[Unadj Total Value]]-Sales[[#This Row],[24Final]])/Sales[[#This Row],[24Final]]</f>
        <v>-0.16681046879493816</v>
      </c>
      <c r="CL257">
        <f>VLOOKUP(Sales[[#This Row],[TNbhd]],Lookups!$M$3:$P$5,4,FALSE)</f>
        <v>0.99970000000000003</v>
      </c>
      <c r="CM257">
        <f>VLOOKUP(Sales[[#This Row],[Qlty]],Lookups!$M$8:$P$22,4,FALSE)</f>
        <v>0.99819999999999998</v>
      </c>
      <c r="CN257">
        <f>VLOOKUP(Sales[[#This Row],[Cnd]],Lookups!$R$8:$U$17,4,FALSE)</f>
        <v>0.997</v>
      </c>
      <c r="CO257">
        <f>VLOOKUP(Sales[[#This Row],[LivArea Range]],Lookups!$R$25:$U$43,4,FALSE)</f>
        <v>0.99519999999999997</v>
      </c>
      <c r="CP257">
        <f>VLOOKUP(Sales[[#This Row],[Decade]],Lookups!$M$24:$P$40,4,FALSE)</f>
        <v>0.99560000000000004</v>
      </c>
      <c r="CQ257">
        <f>Sales[[#This Row],[Nbhd Adj]]*0.95</f>
        <v>0.94971499999999998</v>
      </c>
      <c r="CR257">
        <f>Sales[[#This Row],[Nbhd Adj]]*Sales[[#This Row],[Quality Adj]]*Sales[[#This Row],[Condition Adj]]*Sales[[#This Row],[Living Area Adj]]*Sales[[#This Row],[Decade Adj]]*0.95</f>
        <v>0.93648597250436405</v>
      </c>
      <c r="CS257">
        <f>ROUND(SUM(Sales[[#This Row],[Mdl Qlty]:[Mdl BltinGar]])+Sales[[#This Row],[Mdl Res Intercept]]*Sales[[#This Row],[Res Adj ]],-2)</f>
        <v>281300</v>
      </c>
      <c r="CT257">
        <f>ROUND(Sales[[#This Row],[25Det]]*Sales[[#This Row],[Det/Nbhd Adj]],-2)</f>
        <v>0</v>
      </c>
      <c r="CU257">
        <f>Sales[[#This Row],[Adjusted Res]]+Sales[[#This Row],[Adj Det ]]</f>
        <v>281300</v>
      </c>
      <c r="CV257">
        <f>ROUND((Sales[[#This Row],[Mdl Land Intercept]]+Sales[[#This Row],[Mdl LnAcres]])*Sales[[#This Row],[Det/Nbhd Adj]],-2)</f>
        <v>61800</v>
      </c>
      <c r="CW257">
        <f>Sales[[#This Row],[Adjusted Impr Total]]+Sales[[#This Row],[Adjusted Land Total]]</f>
        <v>343100</v>
      </c>
      <c r="CX257" s="10">
        <f>IFERROR((Sales[[#This Row],[Adjusted Impr Total]]-Sales[[#This Row],[24Bldg]])/Sales[[#This Row],[24Bldg]],0)</f>
        <v>-1.6433566433566433E-2</v>
      </c>
      <c r="CY257" s="10">
        <f>(Sales[[#This Row],[Adjusted Land Total]]-Sales[[#This Row],[24Lnd]])/Sales[[#This Row],[24Lnd]]</f>
        <v>1.6207455429497568E-3</v>
      </c>
      <c r="CZ257">
        <f>(Sales[[#This Row],[Adjusted Total]]-Sales[[#This Row],[24Final]])/Sales[[#This Row],[24Final]]</f>
        <v>-1.3229795800977854E-2</v>
      </c>
      <c r="DA257" s="10">
        <f>(Sales[[#This Row],[Adjusted Total]]+Sales[[#This Row],[Days Prior Total]])/Sales[[#This Row],[Price]]</f>
        <v>0.92660597522999999</v>
      </c>
    </row>
    <row r="258" spans="1:105">
      <c r="A258">
        <v>2025</v>
      </c>
      <c r="B258">
        <v>19120141531</v>
      </c>
      <c r="C258">
        <v>-1.7719568419318752</v>
      </c>
      <c r="D258">
        <v>0.17</v>
      </c>
      <c r="E258">
        <v>7409</v>
      </c>
      <c r="F258">
        <v>2</v>
      </c>
      <c r="G258" t="s">
        <v>155</v>
      </c>
      <c r="H258">
        <v>317</v>
      </c>
      <c r="I258" t="s">
        <v>5</v>
      </c>
      <c r="J258" t="s">
        <v>212</v>
      </c>
      <c r="K258">
        <v>11</v>
      </c>
      <c r="L258">
        <v>259</v>
      </c>
      <c r="M258" t="s">
        <v>157</v>
      </c>
      <c r="N258" t="s">
        <v>19</v>
      </c>
      <c r="O258" t="s">
        <v>20</v>
      </c>
      <c r="P258">
        <v>2005</v>
      </c>
      <c r="Q258">
        <v>2005</v>
      </c>
      <c r="R258">
        <v>20</v>
      </c>
      <c r="S258">
        <v>19</v>
      </c>
      <c r="T258">
        <v>19</v>
      </c>
      <c r="U258">
        <v>2</v>
      </c>
      <c r="V258">
        <v>1040</v>
      </c>
      <c r="W258">
        <v>1040</v>
      </c>
      <c r="X258">
        <v>0</v>
      </c>
      <c r="Y258">
        <v>0</v>
      </c>
      <c r="Z258">
        <v>0</v>
      </c>
      <c r="AA258">
        <v>0</v>
      </c>
      <c r="AB258">
        <v>2080</v>
      </c>
      <c r="AC258">
        <v>2500</v>
      </c>
      <c r="AD258">
        <v>2</v>
      </c>
      <c r="AE258" t="s">
        <v>56</v>
      </c>
      <c r="AF258" t="s">
        <v>331</v>
      </c>
      <c r="AG258" t="s">
        <v>21</v>
      </c>
      <c r="AH258" t="s">
        <v>161</v>
      </c>
      <c r="AI258">
        <v>0</v>
      </c>
      <c r="AJ258">
        <v>0</v>
      </c>
      <c r="AK258">
        <v>1</v>
      </c>
      <c r="AL258">
        <v>0</v>
      </c>
      <c r="AM258">
        <v>1</v>
      </c>
      <c r="AN258">
        <v>13</v>
      </c>
      <c r="AO258">
        <v>440</v>
      </c>
      <c r="AP258">
        <v>0</v>
      </c>
      <c r="AQ258">
        <v>0</v>
      </c>
      <c r="AR258">
        <v>0</v>
      </c>
      <c r="AS258">
        <v>100</v>
      </c>
      <c r="AT258">
        <v>0</v>
      </c>
      <c r="AU258">
        <v>100</v>
      </c>
      <c r="AV258">
        <v>100</v>
      </c>
      <c r="AW258">
        <v>338770</v>
      </c>
      <c r="AX258">
        <v>315056</v>
      </c>
      <c r="AY258">
        <v>775</v>
      </c>
      <c r="AZ258">
        <v>365</v>
      </c>
      <c r="BA258">
        <v>365</v>
      </c>
      <c r="BB258">
        <v>45</v>
      </c>
      <c r="BC258" s="2">
        <v>44517</v>
      </c>
      <c r="BD258" t="s">
        <v>418</v>
      </c>
      <c r="BE258">
        <v>350000</v>
      </c>
      <c r="BF258">
        <v>350000</v>
      </c>
      <c r="BG258" t="s">
        <v>160</v>
      </c>
      <c r="BH258">
        <v>30</v>
      </c>
      <c r="BI258" t="s">
        <v>56</v>
      </c>
      <c r="BJ258" t="s">
        <v>161</v>
      </c>
      <c r="BK258">
        <v>412800</v>
      </c>
      <c r="BL258">
        <v>61700</v>
      </c>
      <c r="BM258">
        <v>351100</v>
      </c>
      <c r="BN258">
        <v>0</v>
      </c>
      <c r="BO258">
        <v>374367.20515999012</v>
      </c>
      <c r="BP258">
        <v>405822.50233772083</v>
      </c>
      <c r="BQ258">
        <f>(Sales[[#This Row],[DP1]]*Lookups!$B$61)+(Sales[[#This Row],[DP2]]*Lookups!$B$62)+(Sales[[#This Row],[DP3]]*Lookups!$B$63)</f>
        <v>-31455.295631000001</v>
      </c>
      <c r="BR258">
        <f>Lookups!$B$58*0.6</f>
        <v>132535.48800000001</v>
      </c>
      <c r="BS258">
        <f>Lookups!$B$58*0.4</f>
        <v>88356.992000000013</v>
      </c>
      <c r="BT258">
        <f>Lookups!$B$59*Sales[[#This Row],[LnAcres]]</f>
        <v>-23255.730391660189</v>
      </c>
      <c r="BU258">
        <f>VLOOKUP(Sales[[#This Row],[Qlty]],Lookups!$A$66:$E$79,2,FALSE)</f>
        <v>37154.252388000001</v>
      </c>
      <c r="BV258">
        <f>VLOOKUP(Sales[[#This Row],[Cnd]],Lookups!$A$80:$E$91,2,FALSE)</f>
        <v>30300.329274</v>
      </c>
      <c r="BW258">
        <f>Sales[[#This Row],[EffAge]]*Lookups!$B$65</f>
        <v>-2066.0808999999999</v>
      </c>
      <c r="BX258">
        <f>Sales[[#This Row],[MainFn]]*Lookups!$B$90</f>
        <v>64906.7952</v>
      </c>
      <c r="BY258">
        <f>Sales[[#This Row],[UpprFn]]*Lookups!$B$91</f>
        <v>61963.598319999997</v>
      </c>
      <c r="BZ258">
        <f>Sales[[#This Row],[Bsmt]]*Lookups!$B$95</f>
        <v>0</v>
      </c>
      <c r="CA258">
        <f>VLOOKUP(Sales[[#This Row],[MsnryTrim]],Lookups!$A$90:$E$99,2,FALSE)</f>
        <v>-9412.7029999999995</v>
      </c>
      <c r="CB258">
        <f>Sales[[#This Row],[PrefabFP]]*Lookups!$B$92</f>
        <v>9807.1044999999995</v>
      </c>
      <c r="CC258">
        <f>Sales[[#This Row],[AttGar]]*Lookups!$B$93</f>
        <v>15532.453640000002</v>
      </c>
      <c r="CD258">
        <f>Sales[[#This Row],[BltinGar]]*Lookups!$B$94</f>
        <v>0</v>
      </c>
      <c r="CE258">
        <f>SUM(Sales[[#This Row],[Days Prior Total]:[Mdl BltinGar]])</f>
        <v>374367.20339933987</v>
      </c>
      <c r="CF258">
        <f>ROUND(Sales[[#This Row],[25Det]],-2)</f>
        <v>0</v>
      </c>
      <c r="CG258">
        <f>ROUND(SUM(Sales[[#This Row],[Mdl Qlty]:[Mdl BltinGar]])+Sales[[#This Row],[Mdl Res Intercept]]+Sales[[#This Row],[Days Prior Total]],-2)</f>
        <v>309300</v>
      </c>
      <c r="CH258">
        <f>ROUND(Sales[[#This Row],[Mdl Land Intercept]]+Sales[[#This Row],[Mdl LnAcres]],-2)</f>
        <v>65100</v>
      </c>
      <c r="CI258">
        <f>Sales[[#This Row],[Unadj Res Value]]+Sales[[#This Row],[Unadj Det Value]]+Sales[[#This Row],[Unadj Land Value]]</f>
        <v>374400</v>
      </c>
      <c r="CJ258" s="10">
        <f>Sales[[#This Row],[Price]]/Sales[[#This Row],[Unadj Total Value]]</f>
        <v>0.93482905982905984</v>
      </c>
      <c r="CK258" s="10">
        <f>(Sales[[#This Row],[Unadj Total Value]]-Sales[[#This Row],[24Final]])/Sales[[#This Row],[24Final]]</f>
        <v>-9.3023255813953487E-2</v>
      </c>
      <c r="CL258">
        <f>VLOOKUP(Sales[[#This Row],[TNbhd]],Lookups!$M$3:$P$5,4,FALSE)</f>
        <v>0.99970000000000003</v>
      </c>
      <c r="CM258">
        <f>VLOOKUP(Sales[[#This Row],[Qlty]],Lookups!$M$8:$P$22,4,FALSE)</f>
        <v>0.99819999999999998</v>
      </c>
      <c r="CN258">
        <f>VLOOKUP(Sales[[#This Row],[Cnd]],Lookups!$R$8:$U$17,4,FALSE)</f>
        <v>0.997</v>
      </c>
      <c r="CO258">
        <f>VLOOKUP(Sales[[#This Row],[LivArea Range]],Lookups!$R$25:$U$43,4,FALSE)</f>
        <v>1.0008999999999999</v>
      </c>
      <c r="CP258">
        <f>VLOOKUP(Sales[[#This Row],[Decade]],Lookups!$M$24:$P$40,4,FALSE)</f>
        <v>0.99560000000000004</v>
      </c>
      <c r="CQ258">
        <f>Sales[[#This Row],[Nbhd Adj]]*0.95</f>
        <v>0.94971499999999998</v>
      </c>
      <c r="CR258">
        <f>Sales[[#This Row],[Nbhd Adj]]*Sales[[#This Row],[Quality Adj]]*Sales[[#This Row],[Condition Adj]]*Sales[[#This Row],[Living Area Adj]]*Sales[[#This Row],[Decade Adj]]*0.95</f>
        <v>0.94184968838386041</v>
      </c>
      <c r="CS258">
        <f>ROUND(SUM(Sales[[#This Row],[Mdl Qlty]:[Mdl BltinGar]])+Sales[[#This Row],[Mdl Res Intercept]]*Sales[[#This Row],[Res Adj ]],-2)</f>
        <v>333000</v>
      </c>
      <c r="CT258">
        <f>ROUND(Sales[[#This Row],[25Det]]*Sales[[#This Row],[Det/Nbhd Adj]],-2)</f>
        <v>0</v>
      </c>
      <c r="CU258">
        <f>Sales[[#This Row],[Adjusted Res]]+Sales[[#This Row],[Adj Det ]]</f>
        <v>333000</v>
      </c>
      <c r="CV258">
        <f>ROUND((Sales[[#This Row],[Mdl Land Intercept]]+Sales[[#This Row],[Mdl LnAcres]])*Sales[[#This Row],[Det/Nbhd Adj]],-2)</f>
        <v>61800</v>
      </c>
      <c r="CW258">
        <f>Sales[[#This Row],[Adjusted Impr Total]]+Sales[[#This Row],[Adjusted Land Total]]</f>
        <v>394800</v>
      </c>
      <c r="CX258" s="10">
        <f>IFERROR((Sales[[#This Row],[Adjusted Impr Total]]-Sales[[#This Row],[24Bldg]])/Sales[[#This Row],[24Bldg]],0)</f>
        <v>-5.1552264312161776E-2</v>
      </c>
      <c r="CY258" s="10">
        <f>(Sales[[#This Row],[Adjusted Land Total]]-Sales[[#This Row],[24Lnd]])/Sales[[#This Row],[24Lnd]]</f>
        <v>1.6207455429497568E-3</v>
      </c>
      <c r="CZ258">
        <f>(Sales[[#This Row],[Adjusted Total]]-Sales[[#This Row],[24Final]])/Sales[[#This Row],[24Final]]</f>
        <v>-4.3604651162790699E-2</v>
      </c>
      <c r="DA258" s="10">
        <f>(Sales[[#This Row],[Adjusted Total]]+Sales[[#This Row],[Days Prior Total]])/Sales[[#This Row],[Price]]</f>
        <v>1.0381277267685713</v>
      </c>
    </row>
    <row r="259" spans="1:105">
      <c r="A259">
        <v>2025</v>
      </c>
      <c r="B259">
        <v>19120141533</v>
      </c>
      <c r="C259">
        <v>-1.8325814637483102</v>
      </c>
      <c r="D259">
        <v>0.16</v>
      </c>
      <c r="E259">
        <v>6902</v>
      </c>
      <c r="F259">
        <v>2</v>
      </c>
      <c r="G259" t="s">
        <v>155</v>
      </c>
      <c r="H259">
        <v>317</v>
      </c>
      <c r="I259" t="s">
        <v>5</v>
      </c>
      <c r="J259" t="s">
        <v>212</v>
      </c>
      <c r="K259">
        <v>11</v>
      </c>
      <c r="L259">
        <v>259</v>
      </c>
      <c r="M259" t="s">
        <v>193</v>
      </c>
      <c r="N259" t="s">
        <v>19</v>
      </c>
      <c r="O259" t="s">
        <v>20</v>
      </c>
      <c r="P259">
        <v>2005</v>
      </c>
      <c r="Q259">
        <v>2005</v>
      </c>
      <c r="R259">
        <v>20</v>
      </c>
      <c r="S259">
        <v>19</v>
      </c>
      <c r="T259">
        <v>19</v>
      </c>
      <c r="U259">
        <v>1</v>
      </c>
      <c r="V259">
        <v>1364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1364</v>
      </c>
      <c r="AC259">
        <v>1500</v>
      </c>
      <c r="AD259">
        <v>2</v>
      </c>
      <c r="AE259" t="s">
        <v>56</v>
      </c>
      <c r="AF259" t="s">
        <v>331</v>
      </c>
      <c r="AG259" t="s">
        <v>21</v>
      </c>
      <c r="AH259" t="s">
        <v>161</v>
      </c>
      <c r="AI259">
        <v>0</v>
      </c>
      <c r="AJ259">
        <v>0</v>
      </c>
      <c r="AK259">
        <v>0</v>
      </c>
      <c r="AL259">
        <v>1</v>
      </c>
      <c r="AM259">
        <v>0</v>
      </c>
      <c r="AN259">
        <v>8</v>
      </c>
      <c r="AO259">
        <v>428</v>
      </c>
      <c r="AP259">
        <v>0</v>
      </c>
      <c r="AQ259">
        <v>0</v>
      </c>
      <c r="AR259">
        <v>0</v>
      </c>
      <c r="AS259">
        <v>480</v>
      </c>
      <c r="AT259">
        <v>144</v>
      </c>
      <c r="AU259">
        <v>100</v>
      </c>
      <c r="AV259">
        <v>100</v>
      </c>
      <c r="AW259">
        <v>252571</v>
      </c>
      <c r="AX259">
        <v>234891</v>
      </c>
      <c r="AY259">
        <v>392</v>
      </c>
      <c r="AZ259">
        <v>365</v>
      </c>
      <c r="BA259">
        <v>27</v>
      </c>
      <c r="BB259">
        <v>0</v>
      </c>
      <c r="BC259" s="2">
        <v>44900</v>
      </c>
      <c r="BD259" t="s">
        <v>419</v>
      </c>
      <c r="BE259">
        <v>336000</v>
      </c>
      <c r="BF259">
        <v>336000</v>
      </c>
      <c r="BG259" t="s">
        <v>160</v>
      </c>
      <c r="BH259">
        <v>30</v>
      </c>
      <c r="BI259" t="s">
        <v>56</v>
      </c>
      <c r="BJ259" t="s">
        <v>161</v>
      </c>
      <c r="BK259">
        <v>364500</v>
      </c>
      <c r="BL259">
        <v>60800</v>
      </c>
      <c r="BM259">
        <v>303700</v>
      </c>
      <c r="BN259">
        <v>0</v>
      </c>
      <c r="BO259">
        <v>354699.09075878974</v>
      </c>
      <c r="BP259">
        <v>353053.49356423004</v>
      </c>
      <c r="BQ259">
        <f>(Sales[[#This Row],[DP1]]*Lookups!$B$61)+(Sales[[#This Row],[DP2]]*Lookups!$B$62)+(Sales[[#This Row],[DP3]]*Lookups!$B$63)</f>
        <v>1645.5972690000001</v>
      </c>
      <c r="BR259">
        <f>Lookups!$B$58*0.6</f>
        <v>132535.48800000001</v>
      </c>
      <c r="BS259">
        <f>Lookups!$B$58*0.4</f>
        <v>88356.992000000013</v>
      </c>
      <c r="BT259">
        <f>Lookups!$B$59*Sales[[#This Row],[LnAcres]]</f>
        <v>-24051.387388882686</v>
      </c>
      <c r="BU259">
        <f>VLOOKUP(Sales[[#This Row],[Qlty]],Lookups!$A$66:$E$79,2,FALSE)</f>
        <v>37154.252388000001</v>
      </c>
      <c r="BV259">
        <f>VLOOKUP(Sales[[#This Row],[Cnd]],Lookups!$A$80:$E$91,2,FALSE)</f>
        <v>30300.329274</v>
      </c>
      <c r="BW259">
        <f>Sales[[#This Row],[EffAge]]*Lookups!$B$65</f>
        <v>-2066.0808999999999</v>
      </c>
      <c r="BX259">
        <f>Sales[[#This Row],[MainFn]]*Lookups!$B$90</f>
        <v>85127.758320000008</v>
      </c>
      <c r="BY259">
        <f>Sales[[#This Row],[UpprFn]]*Lookups!$B$91</f>
        <v>0</v>
      </c>
      <c r="BZ259">
        <f>Sales[[#This Row],[Bsmt]]*Lookups!$B$95</f>
        <v>0</v>
      </c>
      <c r="CA259">
        <f>VLOOKUP(Sales[[#This Row],[MsnryTrim]],Lookups!$A$90:$E$99,2,FALSE)</f>
        <v>-9412.7029999999995</v>
      </c>
      <c r="CB259">
        <f>Sales[[#This Row],[PrefabFP]]*Lookups!$B$92</f>
        <v>0</v>
      </c>
      <c r="CC259">
        <f>Sales[[#This Row],[AttGar]]*Lookups!$B$93</f>
        <v>15108.841268</v>
      </c>
      <c r="CD259">
        <f>Sales[[#This Row],[BltinGar]]*Lookups!$B$94</f>
        <v>0</v>
      </c>
      <c r="CE259">
        <f>SUM(Sales[[#This Row],[Days Prior Total]:[Mdl BltinGar]])</f>
        <v>354699.08723011735</v>
      </c>
      <c r="CF259">
        <f>ROUND(Sales[[#This Row],[25Det]],-2)</f>
        <v>0</v>
      </c>
      <c r="CG259">
        <f>ROUND(SUM(Sales[[#This Row],[Mdl Qlty]:[Mdl BltinGar]])+Sales[[#This Row],[Mdl Res Intercept]]+Sales[[#This Row],[Days Prior Total]],-2)</f>
        <v>290400</v>
      </c>
      <c r="CH259">
        <f>ROUND(Sales[[#This Row],[Mdl Land Intercept]]+Sales[[#This Row],[Mdl LnAcres]],-2)</f>
        <v>64300</v>
      </c>
      <c r="CI259">
        <f>Sales[[#This Row],[Unadj Res Value]]+Sales[[#This Row],[Unadj Det Value]]+Sales[[#This Row],[Unadj Land Value]]</f>
        <v>354700</v>
      </c>
      <c r="CJ259" s="10">
        <f>Sales[[#This Row],[Price]]/Sales[[#This Row],[Unadj Total Value]]</f>
        <v>0.94727939103467718</v>
      </c>
      <c r="CK259" s="10">
        <f>(Sales[[#This Row],[Unadj Total Value]]-Sales[[#This Row],[24Final]])/Sales[[#This Row],[24Final]]</f>
        <v>-2.6886145404663924E-2</v>
      </c>
      <c r="CL259">
        <f>VLOOKUP(Sales[[#This Row],[TNbhd]],Lookups!$M$3:$P$5,4,FALSE)</f>
        <v>0.99970000000000003</v>
      </c>
      <c r="CM259">
        <f>VLOOKUP(Sales[[#This Row],[Qlty]],Lookups!$M$8:$P$22,4,FALSE)</f>
        <v>0.99819999999999998</v>
      </c>
      <c r="CN259">
        <f>VLOOKUP(Sales[[#This Row],[Cnd]],Lookups!$R$8:$U$17,4,FALSE)</f>
        <v>0.997</v>
      </c>
      <c r="CO259">
        <f>VLOOKUP(Sales[[#This Row],[LivArea Range]],Lookups!$R$25:$U$43,4,FALSE)</f>
        <v>0.99519999999999997</v>
      </c>
      <c r="CP259">
        <f>VLOOKUP(Sales[[#This Row],[Decade]],Lookups!$M$24:$P$40,4,FALSE)</f>
        <v>0.99560000000000004</v>
      </c>
      <c r="CQ259">
        <f>Sales[[#This Row],[Nbhd Adj]]*0.95</f>
        <v>0.94971499999999998</v>
      </c>
      <c r="CR259">
        <f>Sales[[#This Row],[Nbhd Adj]]*Sales[[#This Row],[Quality Adj]]*Sales[[#This Row],[Condition Adj]]*Sales[[#This Row],[Living Area Adj]]*Sales[[#This Row],[Decade Adj]]*0.95</f>
        <v>0.93648597250436405</v>
      </c>
      <c r="CS259">
        <f>ROUND(SUM(Sales[[#This Row],[Mdl Qlty]:[Mdl BltinGar]])+Sales[[#This Row],[Mdl Res Intercept]]*Sales[[#This Row],[Res Adj ]],-2)</f>
        <v>280300</v>
      </c>
      <c r="CT259">
        <f>ROUND(Sales[[#This Row],[25Det]]*Sales[[#This Row],[Det/Nbhd Adj]],-2)</f>
        <v>0</v>
      </c>
      <c r="CU259">
        <f>Sales[[#This Row],[Adjusted Res]]+Sales[[#This Row],[Adj Det ]]</f>
        <v>280300</v>
      </c>
      <c r="CV259">
        <f>ROUND((Sales[[#This Row],[Mdl Land Intercept]]+Sales[[#This Row],[Mdl LnAcres]])*Sales[[#This Row],[Det/Nbhd Adj]],-2)</f>
        <v>61100</v>
      </c>
      <c r="CW259">
        <f>Sales[[#This Row],[Adjusted Impr Total]]+Sales[[#This Row],[Adjusted Land Total]]</f>
        <v>341400</v>
      </c>
      <c r="CX259" s="10">
        <f>IFERROR((Sales[[#This Row],[Adjusted Impr Total]]-Sales[[#This Row],[24Bldg]])/Sales[[#This Row],[24Bldg]],0)</f>
        <v>-7.7049720118538029E-2</v>
      </c>
      <c r="CY259" s="10">
        <f>(Sales[[#This Row],[Adjusted Land Total]]-Sales[[#This Row],[24Lnd]])/Sales[[#This Row],[24Lnd]]</f>
        <v>4.9342105263157892E-3</v>
      </c>
      <c r="CZ259">
        <f>(Sales[[#This Row],[Adjusted Total]]-Sales[[#This Row],[24Final]])/Sales[[#This Row],[24Final]]</f>
        <v>-6.3374485596707816E-2</v>
      </c>
      <c r="DA259" s="10">
        <f>(Sales[[#This Row],[Adjusted Total]]+Sales[[#This Row],[Days Prior Total]])/Sales[[#This Row],[Price]]</f>
        <v>1.0209690394910715</v>
      </c>
    </row>
    <row r="260" spans="1:105">
      <c r="A260">
        <v>2025</v>
      </c>
      <c r="B260">
        <v>19120141539</v>
      </c>
      <c r="C260">
        <v>-1.8325814637483102</v>
      </c>
      <c r="D260">
        <v>0.16</v>
      </c>
      <c r="E260">
        <v>7138</v>
      </c>
      <c r="F260">
        <v>2</v>
      </c>
      <c r="G260" t="s">
        <v>155</v>
      </c>
      <c r="H260">
        <v>317</v>
      </c>
      <c r="I260" t="s">
        <v>5</v>
      </c>
      <c r="J260" t="s">
        <v>212</v>
      </c>
      <c r="K260">
        <v>11</v>
      </c>
      <c r="L260">
        <v>259</v>
      </c>
      <c r="M260" t="s">
        <v>157</v>
      </c>
      <c r="N260" t="s">
        <v>19</v>
      </c>
      <c r="O260" t="s">
        <v>20</v>
      </c>
      <c r="P260">
        <v>2005</v>
      </c>
      <c r="Q260">
        <v>2005</v>
      </c>
      <c r="R260">
        <v>20</v>
      </c>
      <c r="S260">
        <v>19</v>
      </c>
      <c r="T260">
        <v>19</v>
      </c>
      <c r="U260">
        <v>2</v>
      </c>
      <c r="V260">
        <v>1116</v>
      </c>
      <c r="W260">
        <v>1116</v>
      </c>
      <c r="X260">
        <v>0</v>
      </c>
      <c r="Y260">
        <v>0</v>
      </c>
      <c r="Z260">
        <v>0</v>
      </c>
      <c r="AA260">
        <v>0</v>
      </c>
      <c r="AB260">
        <v>2232</v>
      </c>
      <c r="AC260">
        <v>2500</v>
      </c>
      <c r="AD260">
        <v>2</v>
      </c>
      <c r="AE260" t="s">
        <v>57</v>
      </c>
      <c r="AF260" t="s">
        <v>331</v>
      </c>
      <c r="AG260" t="s">
        <v>21</v>
      </c>
      <c r="AH260" t="s">
        <v>161</v>
      </c>
      <c r="AI260">
        <v>0</v>
      </c>
      <c r="AJ260">
        <v>0</v>
      </c>
      <c r="AK260">
        <v>1</v>
      </c>
      <c r="AL260">
        <v>0</v>
      </c>
      <c r="AM260">
        <v>1</v>
      </c>
      <c r="AN260">
        <v>13</v>
      </c>
      <c r="AO260">
        <v>440</v>
      </c>
      <c r="AP260">
        <v>0</v>
      </c>
      <c r="AQ260">
        <v>0</v>
      </c>
      <c r="AR260">
        <v>0</v>
      </c>
      <c r="AS260">
        <v>100</v>
      </c>
      <c r="AT260">
        <v>0</v>
      </c>
      <c r="AU260">
        <v>100</v>
      </c>
      <c r="AV260">
        <v>100</v>
      </c>
      <c r="AW260">
        <v>351919</v>
      </c>
      <c r="AX260">
        <v>327285</v>
      </c>
      <c r="AY260">
        <v>587</v>
      </c>
      <c r="AZ260">
        <v>365</v>
      </c>
      <c r="BA260">
        <v>222</v>
      </c>
      <c r="BB260">
        <v>0</v>
      </c>
      <c r="BC260" s="2">
        <v>44705</v>
      </c>
      <c r="BD260" t="s">
        <v>420</v>
      </c>
      <c r="BE260">
        <v>385000</v>
      </c>
      <c r="BF260">
        <v>385000</v>
      </c>
      <c r="BG260" t="s">
        <v>160</v>
      </c>
      <c r="BH260">
        <v>30</v>
      </c>
      <c r="BI260" t="s">
        <v>56</v>
      </c>
      <c r="BJ260" t="s">
        <v>161</v>
      </c>
      <c r="BK260">
        <v>395300</v>
      </c>
      <c r="BL260">
        <v>60800</v>
      </c>
      <c r="BM260">
        <v>334500</v>
      </c>
      <c r="BN260">
        <v>0</v>
      </c>
      <c r="BO260">
        <v>416317.82870539813</v>
      </c>
      <c r="BP260">
        <v>427823.72438727535</v>
      </c>
      <c r="BQ260">
        <f>(Sales[[#This Row],[DP1]]*Lookups!$B$61)+(Sales[[#This Row],[DP2]]*Lookups!$B$62)+(Sales[[#This Row],[DP3]]*Lookups!$B$63)</f>
        <v>-11505.894980999999</v>
      </c>
      <c r="BR260">
        <f>Lookups!$B$58*0.6</f>
        <v>132535.48800000001</v>
      </c>
      <c r="BS260">
        <f>Lookups!$B$58*0.4</f>
        <v>88356.992000000013</v>
      </c>
      <c r="BT260">
        <f>Lookups!$B$59*Sales[[#This Row],[LnAcres]]</f>
        <v>-24051.387388882686</v>
      </c>
      <c r="BU260">
        <f>VLOOKUP(Sales[[#This Row],[Qlty]],Lookups!$A$66:$E$79,2,FALSE)</f>
        <v>37154.252388000001</v>
      </c>
      <c r="BV260">
        <f>VLOOKUP(Sales[[#This Row],[Cnd]],Lookups!$A$80:$E$91,2,FALSE)</f>
        <v>30300.329274</v>
      </c>
      <c r="BW260">
        <f>Sales[[#This Row],[EffAge]]*Lookups!$B$65</f>
        <v>-2066.0808999999999</v>
      </c>
      <c r="BX260">
        <f>Sales[[#This Row],[MainFn]]*Lookups!$B$90</f>
        <v>69649.984080000009</v>
      </c>
      <c r="BY260">
        <f>Sales[[#This Row],[UpprFn]]*Lookups!$B$91</f>
        <v>66491.707427999994</v>
      </c>
      <c r="BZ260">
        <f>Sales[[#This Row],[Bsmt]]*Lookups!$B$95</f>
        <v>0</v>
      </c>
      <c r="CA260">
        <f>VLOOKUP(Sales[[#This Row],[MsnryTrim]],Lookups!$A$90:$E$99,2,FALSE)</f>
        <v>4112.8784489</v>
      </c>
      <c r="CB260">
        <f>Sales[[#This Row],[PrefabFP]]*Lookups!$B$92</f>
        <v>9807.1044999999995</v>
      </c>
      <c r="CC260">
        <f>Sales[[#This Row],[AttGar]]*Lookups!$B$93</f>
        <v>15532.453640000002</v>
      </c>
      <c r="CD260">
        <f>Sales[[#This Row],[BltinGar]]*Lookups!$B$94</f>
        <v>0</v>
      </c>
      <c r="CE260">
        <f>SUM(Sales[[#This Row],[Days Prior Total]:[Mdl BltinGar]])</f>
        <v>416317.82648901735</v>
      </c>
      <c r="CF260">
        <f>ROUND(Sales[[#This Row],[25Det]],-2)</f>
        <v>0</v>
      </c>
      <c r="CG260">
        <f>ROUND(SUM(Sales[[#This Row],[Mdl Qlty]:[Mdl BltinGar]])+Sales[[#This Row],[Mdl Res Intercept]]+Sales[[#This Row],[Days Prior Total]],-2)</f>
        <v>352000</v>
      </c>
      <c r="CH260">
        <f>ROUND(Sales[[#This Row],[Mdl Land Intercept]]+Sales[[#This Row],[Mdl LnAcres]],-2)</f>
        <v>64300</v>
      </c>
      <c r="CI260">
        <f>Sales[[#This Row],[Unadj Res Value]]+Sales[[#This Row],[Unadj Det Value]]+Sales[[#This Row],[Unadj Land Value]]</f>
        <v>416300</v>
      </c>
      <c r="CJ260" s="10">
        <f>Sales[[#This Row],[Price]]/Sales[[#This Row],[Unadj Total Value]]</f>
        <v>0.92481383617583468</v>
      </c>
      <c r="CK260" s="10">
        <f>(Sales[[#This Row],[Unadj Total Value]]-Sales[[#This Row],[24Final]])/Sales[[#This Row],[24Final]]</f>
        <v>5.3124209461168734E-2</v>
      </c>
      <c r="CL260">
        <f>VLOOKUP(Sales[[#This Row],[TNbhd]],Lookups!$M$3:$P$5,4,FALSE)</f>
        <v>0.99970000000000003</v>
      </c>
      <c r="CM260">
        <f>VLOOKUP(Sales[[#This Row],[Qlty]],Lookups!$M$8:$P$22,4,FALSE)</f>
        <v>0.99819999999999998</v>
      </c>
      <c r="CN260">
        <f>VLOOKUP(Sales[[#This Row],[Cnd]],Lookups!$R$8:$U$17,4,FALSE)</f>
        <v>0.997</v>
      </c>
      <c r="CO260">
        <f>VLOOKUP(Sales[[#This Row],[LivArea Range]],Lookups!$R$25:$U$43,4,FALSE)</f>
        <v>1.0008999999999999</v>
      </c>
      <c r="CP260">
        <f>VLOOKUP(Sales[[#This Row],[Decade]],Lookups!$M$24:$P$40,4,FALSE)</f>
        <v>0.99560000000000004</v>
      </c>
      <c r="CQ260">
        <f>Sales[[#This Row],[Nbhd Adj]]*0.95</f>
        <v>0.94971499999999998</v>
      </c>
      <c r="CR260">
        <f>Sales[[#This Row],[Nbhd Adj]]*Sales[[#This Row],[Quality Adj]]*Sales[[#This Row],[Condition Adj]]*Sales[[#This Row],[Living Area Adj]]*Sales[[#This Row],[Decade Adj]]*0.95</f>
        <v>0.94184968838386041</v>
      </c>
      <c r="CS260">
        <f>ROUND(SUM(Sales[[#This Row],[Mdl Qlty]:[Mdl BltinGar]])+Sales[[#This Row],[Mdl Res Intercept]]*Sales[[#This Row],[Res Adj ]],-2)</f>
        <v>355800</v>
      </c>
      <c r="CT260">
        <f>ROUND(Sales[[#This Row],[25Det]]*Sales[[#This Row],[Det/Nbhd Adj]],-2)</f>
        <v>0</v>
      </c>
      <c r="CU260">
        <f>Sales[[#This Row],[Adjusted Res]]+Sales[[#This Row],[Adj Det ]]</f>
        <v>355800</v>
      </c>
      <c r="CV260">
        <f>ROUND((Sales[[#This Row],[Mdl Land Intercept]]+Sales[[#This Row],[Mdl LnAcres]])*Sales[[#This Row],[Det/Nbhd Adj]],-2)</f>
        <v>61100</v>
      </c>
      <c r="CW260">
        <f>Sales[[#This Row],[Adjusted Impr Total]]+Sales[[#This Row],[Adjusted Land Total]]</f>
        <v>416900</v>
      </c>
      <c r="CX260" s="10">
        <f>IFERROR((Sales[[#This Row],[Adjusted Impr Total]]-Sales[[#This Row],[24Bldg]])/Sales[[#This Row],[24Bldg]],0)</f>
        <v>6.3677130044843044E-2</v>
      </c>
      <c r="CY260" s="10">
        <f>(Sales[[#This Row],[Adjusted Land Total]]-Sales[[#This Row],[24Lnd]])/Sales[[#This Row],[24Lnd]]</f>
        <v>4.9342105263157892E-3</v>
      </c>
      <c r="CZ260">
        <f>(Sales[[#This Row],[Adjusted Total]]-Sales[[#This Row],[24Final]])/Sales[[#This Row],[24Final]]</f>
        <v>5.4642044017202122E-2</v>
      </c>
      <c r="DA260" s="10">
        <f>(Sales[[#This Row],[Adjusted Total]]+Sales[[#This Row],[Days Prior Total]])/Sales[[#This Row],[Price]]</f>
        <v>1.052971701348052</v>
      </c>
    </row>
    <row r="261" spans="1:105">
      <c r="A261">
        <v>2025</v>
      </c>
      <c r="B261">
        <v>19120141540</v>
      </c>
      <c r="C261">
        <v>-1.8325814637483102</v>
      </c>
      <c r="D261">
        <v>0.16</v>
      </c>
      <c r="E261">
        <v>7172</v>
      </c>
      <c r="F261">
        <v>2</v>
      </c>
      <c r="G261" t="s">
        <v>155</v>
      </c>
      <c r="H261">
        <v>317</v>
      </c>
      <c r="I261" t="s">
        <v>5</v>
      </c>
      <c r="J261" t="s">
        <v>212</v>
      </c>
      <c r="K261">
        <v>11</v>
      </c>
      <c r="L261">
        <v>259</v>
      </c>
      <c r="M261" t="s">
        <v>157</v>
      </c>
      <c r="N261" t="s">
        <v>19</v>
      </c>
      <c r="O261" t="s">
        <v>20</v>
      </c>
      <c r="P261">
        <v>2005</v>
      </c>
      <c r="Q261">
        <v>2005</v>
      </c>
      <c r="R261">
        <v>20</v>
      </c>
      <c r="S261">
        <v>19</v>
      </c>
      <c r="T261">
        <v>19</v>
      </c>
      <c r="U261">
        <v>2</v>
      </c>
      <c r="V261">
        <v>1116</v>
      </c>
      <c r="W261">
        <v>1116</v>
      </c>
      <c r="X261">
        <v>0</v>
      </c>
      <c r="Y261">
        <v>0</v>
      </c>
      <c r="Z261">
        <v>0</v>
      </c>
      <c r="AA261">
        <v>0</v>
      </c>
      <c r="AB261">
        <v>2232</v>
      </c>
      <c r="AC261">
        <v>2500</v>
      </c>
      <c r="AD261">
        <v>2</v>
      </c>
      <c r="AE261" t="s">
        <v>56</v>
      </c>
      <c r="AF261" t="s">
        <v>331</v>
      </c>
      <c r="AG261" t="s">
        <v>21</v>
      </c>
      <c r="AH261" t="s">
        <v>161</v>
      </c>
      <c r="AI261">
        <v>0</v>
      </c>
      <c r="AJ261">
        <v>0</v>
      </c>
      <c r="AK261">
        <v>1</v>
      </c>
      <c r="AL261">
        <v>0</v>
      </c>
      <c r="AM261">
        <v>1</v>
      </c>
      <c r="AN261">
        <v>13</v>
      </c>
      <c r="AO261">
        <v>440</v>
      </c>
      <c r="AP261">
        <v>0</v>
      </c>
      <c r="AQ261">
        <v>0</v>
      </c>
      <c r="AR261">
        <v>0</v>
      </c>
      <c r="AS261">
        <v>100</v>
      </c>
      <c r="AT261">
        <v>0</v>
      </c>
      <c r="AU261">
        <v>100</v>
      </c>
      <c r="AV261">
        <v>100</v>
      </c>
      <c r="AW261">
        <v>351919</v>
      </c>
      <c r="AX261">
        <v>327285</v>
      </c>
      <c r="AY261">
        <v>656</v>
      </c>
      <c r="AZ261">
        <v>365</v>
      </c>
      <c r="BA261">
        <v>291</v>
      </c>
      <c r="BB261">
        <v>0</v>
      </c>
      <c r="BC261" s="2">
        <v>44636</v>
      </c>
      <c r="BD261" t="s">
        <v>421</v>
      </c>
      <c r="BE261">
        <v>403000</v>
      </c>
      <c r="BF261">
        <v>403000</v>
      </c>
      <c r="BG261" t="s">
        <v>160</v>
      </c>
      <c r="BH261">
        <v>30</v>
      </c>
      <c r="BI261" t="s">
        <v>56</v>
      </c>
      <c r="BJ261" t="s">
        <v>161</v>
      </c>
      <c r="BK261">
        <v>395300</v>
      </c>
      <c r="BL261">
        <v>60800</v>
      </c>
      <c r="BM261">
        <v>334500</v>
      </c>
      <c r="BN261">
        <v>0</v>
      </c>
      <c r="BO261">
        <v>398138.64246377652</v>
      </c>
      <c r="BP261">
        <v>414298.14331731602</v>
      </c>
      <c r="BQ261">
        <f>(Sales[[#This Row],[DP1]]*Lookups!$B$61)+(Sales[[#This Row],[DP2]]*Lookups!$B$62)+(Sales[[#This Row],[DP3]]*Lookups!$B$63)</f>
        <v>-16159.499930999998</v>
      </c>
      <c r="BR261">
        <f>Lookups!$B$58*0.6</f>
        <v>132535.48800000001</v>
      </c>
      <c r="BS261">
        <f>Lookups!$B$58*0.4</f>
        <v>88356.992000000013</v>
      </c>
      <c r="BT261">
        <f>Lookups!$B$59*Sales[[#This Row],[LnAcres]]</f>
        <v>-24051.387388882686</v>
      </c>
      <c r="BU261">
        <f>VLOOKUP(Sales[[#This Row],[Qlty]],Lookups!$A$66:$E$79,2,FALSE)</f>
        <v>37154.252388000001</v>
      </c>
      <c r="BV261">
        <f>VLOOKUP(Sales[[#This Row],[Cnd]],Lookups!$A$80:$E$91,2,FALSE)</f>
        <v>30300.329274</v>
      </c>
      <c r="BW261">
        <f>Sales[[#This Row],[EffAge]]*Lookups!$B$65</f>
        <v>-2066.0808999999999</v>
      </c>
      <c r="BX261">
        <f>Sales[[#This Row],[MainFn]]*Lookups!$B$90</f>
        <v>69649.984080000009</v>
      </c>
      <c r="BY261">
        <f>Sales[[#This Row],[UpprFn]]*Lookups!$B$91</f>
        <v>66491.707427999994</v>
      </c>
      <c r="BZ261">
        <f>Sales[[#This Row],[Bsmt]]*Lookups!$B$95</f>
        <v>0</v>
      </c>
      <c r="CA261">
        <f>VLOOKUP(Sales[[#This Row],[MsnryTrim]],Lookups!$A$90:$E$99,2,FALSE)</f>
        <v>-9412.7029999999995</v>
      </c>
      <c r="CB261">
        <f>Sales[[#This Row],[PrefabFP]]*Lookups!$B$92</f>
        <v>9807.1044999999995</v>
      </c>
      <c r="CC261">
        <f>Sales[[#This Row],[AttGar]]*Lookups!$B$93</f>
        <v>15532.453640000002</v>
      </c>
      <c r="CD261">
        <f>Sales[[#This Row],[BltinGar]]*Lookups!$B$94</f>
        <v>0</v>
      </c>
      <c r="CE261">
        <f>SUM(Sales[[#This Row],[Days Prior Total]:[Mdl BltinGar]])</f>
        <v>398138.64009011741</v>
      </c>
      <c r="CF261">
        <f>ROUND(Sales[[#This Row],[25Det]],-2)</f>
        <v>0</v>
      </c>
      <c r="CG261">
        <f>ROUND(SUM(Sales[[#This Row],[Mdl Qlty]:[Mdl BltinGar]])+Sales[[#This Row],[Mdl Res Intercept]]+Sales[[#This Row],[Days Prior Total]],-2)</f>
        <v>333800</v>
      </c>
      <c r="CH261">
        <f>ROUND(Sales[[#This Row],[Mdl Land Intercept]]+Sales[[#This Row],[Mdl LnAcres]],-2)</f>
        <v>64300</v>
      </c>
      <c r="CI261">
        <f>Sales[[#This Row],[Unadj Res Value]]+Sales[[#This Row],[Unadj Det Value]]+Sales[[#This Row],[Unadj Land Value]]</f>
        <v>398100</v>
      </c>
      <c r="CJ261" s="10">
        <f>Sales[[#This Row],[Price]]/Sales[[#This Row],[Unadj Total Value]]</f>
        <v>1.0123084652097463</v>
      </c>
      <c r="CK261" s="10">
        <f>(Sales[[#This Row],[Unadj Total Value]]-Sales[[#This Row],[24Final]])/Sales[[#This Row],[24Final]]</f>
        <v>7.0832279281558309E-3</v>
      </c>
      <c r="CL261">
        <f>VLOOKUP(Sales[[#This Row],[TNbhd]],Lookups!$M$3:$P$5,4,FALSE)</f>
        <v>0.99970000000000003</v>
      </c>
      <c r="CM261">
        <f>VLOOKUP(Sales[[#This Row],[Qlty]],Lookups!$M$8:$P$22,4,FALSE)</f>
        <v>0.99819999999999998</v>
      </c>
      <c r="CN261">
        <f>VLOOKUP(Sales[[#This Row],[Cnd]],Lookups!$R$8:$U$17,4,FALSE)</f>
        <v>0.997</v>
      </c>
      <c r="CO261">
        <f>VLOOKUP(Sales[[#This Row],[LivArea Range]],Lookups!$R$25:$U$43,4,FALSE)</f>
        <v>1.0008999999999999</v>
      </c>
      <c r="CP261">
        <f>VLOOKUP(Sales[[#This Row],[Decade]],Lookups!$M$24:$P$40,4,FALSE)</f>
        <v>0.99560000000000004</v>
      </c>
      <c r="CQ261">
        <f>Sales[[#This Row],[Nbhd Adj]]*0.95</f>
        <v>0.94971499999999998</v>
      </c>
      <c r="CR261">
        <f>Sales[[#This Row],[Nbhd Adj]]*Sales[[#This Row],[Quality Adj]]*Sales[[#This Row],[Condition Adj]]*Sales[[#This Row],[Living Area Adj]]*Sales[[#This Row],[Decade Adj]]*0.95</f>
        <v>0.94184968838386041</v>
      </c>
      <c r="CS261">
        <f>ROUND(SUM(Sales[[#This Row],[Mdl Qlty]:[Mdl BltinGar]])+Sales[[#This Row],[Mdl Res Intercept]]*Sales[[#This Row],[Res Adj ]],-2)</f>
        <v>342300</v>
      </c>
      <c r="CT261">
        <f>ROUND(Sales[[#This Row],[25Det]]*Sales[[#This Row],[Det/Nbhd Adj]],-2)</f>
        <v>0</v>
      </c>
      <c r="CU261">
        <f>Sales[[#This Row],[Adjusted Res]]+Sales[[#This Row],[Adj Det ]]</f>
        <v>342300</v>
      </c>
      <c r="CV261">
        <f>ROUND((Sales[[#This Row],[Mdl Land Intercept]]+Sales[[#This Row],[Mdl LnAcres]])*Sales[[#This Row],[Det/Nbhd Adj]],-2)</f>
        <v>61100</v>
      </c>
      <c r="CW261">
        <f>Sales[[#This Row],[Adjusted Impr Total]]+Sales[[#This Row],[Adjusted Land Total]]</f>
        <v>403400</v>
      </c>
      <c r="CX261" s="10">
        <f>IFERROR((Sales[[#This Row],[Adjusted Impr Total]]-Sales[[#This Row],[24Bldg]])/Sales[[#This Row],[24Bldg]],0)</f>
        <v>2.3318385650224215E-2</v>
      </c>
      <c r="CY261" s="10">
        <f>(Sales[[#This Row],[Adjusted Land Total]]-Sales[[#This Row],[24Lnd]])/Sales[[#This Row],[24Lnd]]</f>
        <v>4.9342105263157892E-3</v>
      </c>
      <c r="CZ261">
        <f>(Sales[[#This Row],[Adjusted Total]]-Sales[[#This Row],[24Final]])/Sales[[#This Row],[24Final]]</f>
        <v>2.0490766506450799E-2</v>
      </c>
      <c r="DA261" s="10">
        <f>(Sales[[#This Row],[Adjusted Total]]+Sales[[#This Row],[Days Prior Total]])/Sales[[#This Row],[Price]]</f>
        <v>0.96089454111414396</v>
      </c>
    </row>
    <row r="262" spans="1:105">
      <c r="A262">
        <v>2025</v>
      </c>
      <c r="B262">
        <v>19120141542</v>
      </c>
      <c r="C262">
        <v>-1.7719568419318752</v>
      </c>
      <c r="D262">
        <v>0.17</v>
      </c>
      <c r="E262">
        <v>7328</v>
      </c>
      <c r="F262">
        <v>2</v>
      </c>
      <c r="G262" t="s">
        <v>155</v>
      </c>
      <c r="H262">
        <v>317</v>
      </c>
      <c r="I262" t="s">
        <v>5</v>
      </c>
      <c r="J262" t="s">
        <v>212</v>
      </c>
      <c r="K262">
        <v>11</v>
      </c>
      <c r="L262">
        <v>259</v>
      </c>
      <c r="M262" t="s">
        <v>157</v>
      </c>
      <c r="N262" t="s">
        <v>19</v>
      </c>
      <c r="O262" t="s">
        <v>20</v>
      </c>
      <c r="P262">
        <v>2005</v>
      </c>
      <c r="Q262">
        <v>2005</v>
      </c>
      <c r="R262">
        <v>20</v>
      </c>
      <c r="S262">
        <v>19</v>
      </c>
      <c r="T262">
        <v>19</v>
      </c>
      <c r="U262">
        <v>2</v>
      </c>
      <c r="V262">
        <v>1116</v>
      </c>
      <c r="W262">
        <v>1116</v>
      </c>
      <c r="X262">
        <v>0</v>
      </c>
      <c r="Y262">
        <v>0</v>
      </c>
      <c r="Z262">
        <v>0</v>
      </c>
      <c r="AA262">
        <v>0</v>
      </c>
      <c r="AB262">
        <v>2232</v>
      </c>
      <c r="AC262">
        <v>2500</v>
      </c>
      <c r="AD262">
        <v>2</v>
      </c>
      <c r="AE262" t="s">
        <v>57</v>
      </c>
      <c r="AF262" t="s">
        <v>331</v>
      </c>
      <c r="AG262" t="s">
        <v>21</v>
      </c>
      <c r="AH262" t="s">
        <v>161</v>
      </c>
      <c r="AI262">
        <v>0</v>
      </c>
      <c r="AJ262">
        <v>0</v>
      </c>
      <c r="AK262">
        <v>1</v>
      </c>
      <c r="AL262">
        <v>0</v>
      </c>
      <c r="AM262">
        <v>1</v>
      </c>
      <c r="AN262">
        <v>13</v>
      </c>
      <c r="AO262">
        <v>440</v>
      </c>
      <c r="AP262">
        <v>0</v>
      </c>
      <c r="AQ262">
        <v>0</v>
      </c>
      <c r="AR262">
        <v>0</v>
      </c>
      <c r="AS262">
        <v>100</v>
      </c>
      <c r="AT262">
        <v>0</v>
      </c>
      <c r="AU262">
        <v>100</v>
      </c>
      <c r="AV262">
        <v>100</v>
      </c>
      <c r="AW262">
        <v>351919</v>
      </c>
      <c r="AX262">
        <v>327285</v>
      </c>
      <c r="AY262">
        <v>594</v>
      </c>
      <c r="AZ262">
        <v>365</v>
      </c>
      <c r="BA262">
        <v>229</v>
      </c>
      <c r="BB262">
        <v>0</v>
      </c>
      <c r="BC262" s="2">
        <v>44698</v>
      </c>
      <c r="BD262" t="s">
        <v>422</v>
      </c>
      <c r="BE262">
        <v>420000</v>
      </c>
      <c r="BF262">
        <v>420000</v>
      </c>
      <c r="BG262" t="s">
        <v>160</v>
      </c>
      <c r="BH262">
        <v>30</v>
      </c>
      <c r="BI262" t="s">
        <v>56</v>
      </c>
      <c r="BJ262" t="s">
        <v>161</v>
      </c>
      <c r="BK262">
        <v>411700</v>
      </c>
      <c r="BL262">
        <v>61700</v>
      </c>
      <c r="BM262">
        <v>350000</v>
      </c>
      <c r="BN262">
        <v>0</v>
      </c>
      <c r="BO262">
        <v>416641.38082155038</v>
      </c>
      <c r="BP262">
        <v>428619.38137591508</v>
      </c>
      <c r="BQ262">
        <f>(Sales[[#This Row],[DP1]]*Lookups!$B$61)+(Sales[[#This Row],[DP2]]*Lookups!$B$62)+(Sales[[#This Row],[DP3]]*Lookups!$B$63)</f>
        <v>-11977.999830999999</v>
      </c>
      <c r="BR262">
        <f>Lookups!$B$58*0.6</f>
        <v>132535.48800000001</v>
      </c>
      <c r="BS262">
        <f>Lookups!$B$58*0.4</f>
        <v>88356.992000000013</v>
      </c>
      <c r="BT262">
        <f>Lookups!$B$59*Sales[[#This Row],[LnAcres]]</f>
        <v>-23255.730391660189</v>
      </c>
      <c r="BU262">
        <f>VLOOKUP(Sales[[#This Row],[Qlty]],Lookups!$A$66:$E$79,2,FALSE)</f>
        <v>37154.252388000001</v>
      </c>
      <c r="BV262">
        <f>VLOOKUP(Sales[[#This Row],[Cnd]],Lookups!$A$80:$E$91,2,FALSE)</f>
        <v>30300.329274</v>
      </c>
      <c r="BW262">
        <f>Sales[[#This Row],[EffAge]]*Lookups!$B$65</f>
        <v>-2066.0808999999999</v>
      </c>
      <c r="BX262">
        <f>Sales[[#This Row],[MainFn]]*Lookups!$B$90</f>
        <v>69649.984080000009</v>
      </c>
      <c r="BY262">
        <f>Sales[[#This Row],[UpprFn]]*Lookups!$B$91</f>
        <v>66491.707427999994</v>
      </c>
      <c r="BZ262">
        <f>Sales[[#This Row],[Bsmt]]*Lookups!$B$95</f>
        <v>0</v>
      </c>
      <c r="CA262">
        <f>VLOOKUP(Sales[[#This Row],[MsnryTrim]],Lookups!$A$90:$E$99,2,FALSE)</f>
        <v>4112.8784489</v>
      </c>
      <c r="CB262">
        <f>Sales[[#This Row],[PrefabFP]]*Lookups!$B$92</f>
        <v>9807.1044999999995</v>
      </c>
      <c r="CC262">
        <f>Sales[[#This Row],[AttGar]]*Lookups!$B$93</f>
        <v>15532.453640000002</v>
      </c>
      <c r="CD262">
        <f>Sales[[#This Row],[BltinGar]]*Lookups!$B$94</f>
        <v>0</v>
      </c>
      <c r="CE262">
        <f>SUM(Sales[[#This Row],[Days Prior Total]:[Mdl BltinGar]])</f>
        <v>416641.37863623991</v>
      </c>
      <c r="CF262">
        <f>ROUND(Sales[[#This Row],[25Det]],-2)</f>
        <v>0</v>
      </c>
      <c r="CG262">
        <f>ROUND(SUM(Sales[[#This Row],[Mdl Qlty]:[Mdl BltinGar]])+Sales[[#This Row],[Mdl Res Intercept]]+Sales[[#This Row],[Days Prior Total]],-2)</f>
        <v>351500</v>
      </c>
      <c r="CH262">
        <f>ROUND(Sales[[#This Row],[Mdl Land Intercept]]+Sales[[#This Row],[Mdl LnAcres]],-2)</f>
        <v>65100</v>
      </c>
      <c r="CI262">
        <f>Sales[[#This Row],[Unadj Res Value]]+Sales[[#This Row],[Unadj Det Value]]+Sales[[#This Row],[Unadj Land Value]]</f>
        <v>416600</v>
      </c>
      <c r="CJ262" s="10">
        <f>Sales[[#This Row],[Price]]/Sales[[#This Row],[Unadj Total Value]]</f>
        <v>1.0081613058089294</v>
      </c>
      <c r="CK262" s="10">
        <f>(Sales[[#This Row],[Unadj Total Value]]-Sales[[#This Row],[24Final]])/Sales[[#This Row],[24Final]]</f>
        <v>1.1901870293903327E-2</v>
      </c>
      <c r="CL262">
        <f>VLOOKUP(Sales[[#This Row],[TNbhd]],Lookups!$M$3:$P$5,4,FALSE)</f>
        <v>0.99970000000000003</v>
      </c>
      <c r="CM262">
        <f>VLOOKUP(Sales[[#This Row],[Qlty]],Lookups!$M$8:$P$22,4,FALSE)</f>
        <v>0.99819999999999998</v>
      </c>
      <c r="CN262">
        <f>VLOOKUP(Sales[[#This Row],[Cnd]],Lookups!$R$8:$U$17,4,FALSE)</f>
        <v>0.997</v>
      </c>
      <c r="CO262">
        <f>VLOOKUP(Sales[[#This Row],[LivArea Range]],Lookups!$R$25:$U$43,4,FALSE)</f>
        <v>1.0008999999999999</v>
      </c>
      <c r="CP262">
        <f>VLOOKUP(Sales[[#This Row],[Decade]],Lookups!$M$24:$P$40,4,FALSE)</f>
        <v>0.99560000000000004</v>
      </c>
      <c r="CQ262">
        <f>Sales[[#This Row],[Nbhd Adj]]*0.95</f>
        <v>0.94971499999999998</v>
      </c>
      <c r="CR262">
        <f>Sales[[#This Row],[Nbhd Adj]]*Sales[[#This Row],[Quality Adj]]*Sales[[#This Row],[Condition Adj]]*Sales[[#This Row],[Living Area Adj]]*Sales[[#This Row],[Decade Adj]]*0.95</f>
        <v>0.94184968838386041</v>
      </c>
      <c r="CS262">
        <f>ROUND(SUM(Sales[[#This Row],[Mdl Qlty]:[Mdl BltinGar]])+Sales[[#This Row],[Mdl Res Intercept]]*Sales[[#This Row],[Res Adj ]],-2)</f>
        <v>355800</v>
      </c>
      <c r="CT262">
        <f>ROUND(Sales[[#This Row],[25Det]]*Sales[[#This Row],[Det/Nbhd Adj]],-2)</f>
        <v>0</v>
      </c>
      <c r="CU262">
        <f>Sales[[#This Row],[Adjusted Res]]+Sales[[#This Row],[Adj Det ]]</f>
        <v>355800</v>
      </c>
      <c r="CV262">
        <f>ROUND((Sales[[#This Row],[Mdl Land Intercept]]+Sales[[#This Row],[Mdl LnAcres]])*Sales[[#This Row],[Det/Nbhd Adj]],-2)</f>
        <v>61800</v>
      </c>
      <c r="CW262">
        <f>Sales[[#This Row],[Adjusted Impr Total]]+Sales[[#This Row],[Adjusted Land Total]]</f>
        <v>417600</v>
      </c>
      <c r="CX262" s="10">
        <f>IFERROR((Sales[[#This Row],[Adjusted Impr Total]]-Sales[[#This Row],[24Bldg]])/Sales[[#This Row],[24Bldg]],0)</f>
        <v>1.657142857142857E-2</v>
      </c>
      <c r="CY262" s="10">
        <f>(Sales[[#This Row],[Adjusted Land Total]]-Sales[[#This Row],[24Lnd]])/Sales[[#This Row],[24Lnd]]</f>
        <v>1.6207455429497568E-3</v>
      </c>
      <c r="CZ262">
        <f>(Sales[[#This Row],[Adjusted Total]]-Sales[[#This Row],[24Final]])/Sales[[#This Row],[24Final]]</f>
        <v>1.4330823415108088E-2</v>
      </c>
      <c r="DA262" s="10">
        <f>(Sales[[#This Row],[Adjusted Total]]+Sales[[#This Row],[Days Prior Total]])/Sales[[#This Row],[Price]]</f>
        <v>0.96576666706904768</v>
      </c>
    </row>
    <row r="263" spans="1:105">
      <c r="A263">
        <v>2025</v>
      </c>
      <c r="B263">
        <v>19120141544</v>
      </c>
      <c r="C263">
        <v>-1.7719568419318752</v>
      </c>
      <c r="D263">
        <v>0.17</v>
      </c>
      <c r="E263">
        <v>7339</v>
      </c>
      <c r="F263">
        <v>2</v>
      </c>
      <c r="G263" t="s">
        <v>155</v>
      </c>
      <c r="H263">
        <v>317</v>
      </c>
      <c r="I263" t="s">
        <v>5</v>
      </c>
      <c r="J263" t="s">
        <v>212</v>
      </c>
      <c r="K263">
        <v>11</v>
      </c>
      <c r="L263">
        <v>259</v>
      </c>
      <c r="M263" t="s">
        <v>157</v>
      </c>
      <c r="N263" t="s">
        <v>19</v>
      </c>
      <c r="O263" t="s">
        <v>18</v>
      </c>
      <c r="P263">
        <v>2005</v>
      </c>
      <c r="Q263">
        <v>2005</v>
      </c>
      <c r="R263">
        <v>20</v>
      </c>
      <c r="S263">
        <v>19</v>
      </c>
      <c r="T263">
        <v>19</v>
      </c>
      <c r="U263">
        <v>2</v>
      </c>
      <c r="V263">
        <v>1158</v>
      </c>
      <c r="W263">
        <v>1322</v>
      </c>
      <c r="X263">
        <v>0</v>
      </c>
      <c r="Y263">
        <v>0</v>
      </c>
      <c r="Z263">
        <v>0</v>
      </c>
      <c r="AA263">
        <v>0</v>
      </c>
      <c r="AB263">
        <v>2480</v>
      </c>
      <c r="AC263">
        <v>2500</v>
      </c>
      <c r="AD263">
        <v>2</v>
      </c>
      <c r="AE263" t="s">
        <v>56</v>
      </c>
      <c r="AF263" t="s">
        <v>331</v>
      </c>
      <c r="AG263" t="s">
        <v>21</v>
      </c>
      <c r="AH263" t="s">
        <v>161</v>
      </c>
      <c r="AI263">
        <v>0</v>
      </c>
      <c r="AJ263">
        <v>0</v>
      </c>
      <c r="AK263">
        <v>1</v>
      </c>
      <c r="AL263">
        <v>0</v>
      </c>
      <c r="AM263">
        <v>1</v>
      </c>
      <c r="AN263">
        <v>13</v>
      </c>
      <c r="AO263">
        <v>0</v>
      </c>
      <c r="AP263">
        <v>502</v>
      </c>
      <c r="AQ263">
        <v>0</v>
      </c>
      <c r="AR263">
        <v>0</v>
      </c>
      <c r="AS263">
        <v>100</v>
      </c>
      <c r="AT263">
        <v>0</v>
      </c>
      <c r="AU263">
        <v>100</v>
      </c>
      <c r="AV263">
        <v>100</v>
      </c>
      <c r="AW263">
        <v>381262</v>
      </c>
      <c r="AX263">
        <v>346948</v>
      </c>
      <c r="AY263">
        <v>479</v>
      </c>
      <c r="AZ263">
        <v>365</v>
      </c>
      <c r="BA263">
        <v>114</v>
      </c>
      <c r="BB263">
        <v>0</v>
      </c>
      <c r="BC263" s="2">
        <v>44813</v>
      </c>
      <c r="BD263" t="s">
        <v>423</v>
      </c>
      <c r="BE263">
        <v>400000</v>
      </c>
      <c r="BF263">
        <v>400000</v>
      </c>
      <c r="BG263" t="s">
        <v>160</v>
      </c>
      <c r="BH263">
        <v>30</v>
      </c>
      <c r="BI263" t="s">
        <v>56</v>
      </c>
      <c r="BJ263" t="s">
        <v>161</v>
      </c>
      <c r="BK263">
        <v>428500</v>
      </c>
      <c r="BL263">
        <v>61700</v>
      </c>
      <c r="BM263">
        <v>366800</v>
      </c>
      <c r="BN263">
        <v>0</v>
      </c>
      <c r="BO263">
        <v>422492.13578321395</v>
      </c>
      <c r="BP263">
        <v>426714.12771814159</v>
      </c>
      <c r="BQ263">
        <f>(Sales[[#This Row],[DP1]]*Lookups!$B$61)+(Sales[[#This Row],[DP2]]*Lookups!$B$62)+(Sales[[#This Row],[DP3]]*Lookups!$B$63)</f>
        <v>-4221.9915810000002</v>
      </c>
      <c r="BR263">
        <f>Lookups!$B$58*0.6</f>
        <v>132535.48800000001</v>
      </c>
      <c r="BS263">
        <f>Lookups!$B$58*0.4</f>
        <v>88356.992000000013</v>
      </c>
      <c r="BT263">
        <f>Lookups!$B$59*Sales[[#This Row],[LnAcres]]</f>
        <v>-23255.730391660189</v>
      </c>
      <c r="BU263">
        <f>VLOOKUP(Sales[[#This Row],[Qlty]],Lookups!$A$66:$E$79,2,FALSE)</f>
        <v>37154.252388000001</v>
      </c>
      <c r="BV263">
        <f>VLOOKUP(Sales[[#This Row],[Cnd]],Lookups!$A$80:$E$91,2,FALSE)</f>
        <v>17761.121909000001</v>
      </c>
      <c r="BW263">
        <f>Sales[[#This Row],[EffAge]]*Lookups!$B$65</f>
        <v>-2066.0808999999999</v>
      </c>
      <c r="BX263">
        <f>Sales[[#This Row],[MainFn]]*Lookups!$B$90</f>
        <v>72271.22004</v>
      </c>
      <c r="BY263">
        <f>Sales[[#This Row],[UpprFn]]*Lookups!$B$91</f>
        <v>78765.266325999997</v>
      </c>
      <c r="BZ263">
        <f>Sales[[#This Row],[Bsmt]]*Lookups!$B$95</f>
        <v>0</v>
      </c>
      <c r="CA263">
        <f>VLOOKUP(Sales[[#This Row],[MsnryTrim]],Lookups!$A$90:$E$99,2,FALSE)</f>
        <v>-9412.7029999999995</v>
      </c>
      <c r="CB263">
        <f>Sales[[#This Row],[PrefabFP]]*Lookups!$B$92</f>
        <v>9807.1044999999995</v>
      </c>
      <c r="CC263">
        <f>Sales[[#This Row],[AttGar]]*Lookups!$B$93</f>
        <v>0</v>
      </c>
      <c r="CD263">
        <f>Sales[[#This Row],[BltinGar]]*Lookups!$B$94</f>
        <v>24797.193599999999</v>
      </c>
      <c r="CE263">
        <f>SUM(Sales[[#This Row],[Days Prior Total]:[Mdl BltinGar]])</f>
        <v>422492.13289033988</v>
      </c>
      <c r="CF263">
        <f>ROUND(Sales[[#This Row],[25Det]],-2)</f>
        <v>0</v>
      </c>
      <c r="CG263">
        <f>ROUND(SUM(Sales[[#This Row],[Mdl Qlty]:[Mdl BltinGar]])+Sales[[#This Row],[Mdl Res Intercept]]+Sales[[#This Row],[Days Prior Total]],-2)</f>
        <v>357400</v>
      </c>
      <c r="CH263">
        <f>ROUND(Sales[[#This Row],[Mdl Land Intercept]]+Sales[[#This Row],[Mdl LnAcres]],-2)</f>
        <v>65100</v>
      </c>
      <c r="CI263">
        <f>Sales[[#This Row],[Unadj Res Value]]+Sales[[#This Row],[Unadj Det Value]]+Sales[[#This Row],[Unadj Land Value]]</f>
        <v>422500</v>
      </c>
      <c r="CJ263" s="10">
        <f>Sales[[#This Row],[Price]]/Sales[[#This Row],[Unadj Total Value]]</f>
        <v>0.94674556213017746</v>
      </c>
      <c r="CK263" s="10">
        <f>(Sales[[#This Row],[Unadj Total Value]]-Sales[[#This Row],[24Final]])/Sales[[#This Row],[24Final]]</f>
        <v>-1.4002333722287048E-2</v>
      </c>
      <c r="CL263">
        <f>VLOOKUP(Sales[[#This Row],[TNbhd]],Lookups!$M$3:$P$5,4,FALSE)</f>
        <v>0.99970000000000003</v>
      </c>
      <c r="CM263">
        <f>VLOOKUP(Sales[[#This Row],[Qlty]],Lookups!$M$8:$P$22,4,FALSE)</f>
        <v>0.99819999999999998</v>
      </c>
      <c r="CN263">
        <f>VLOOKUP(Sales[[#This Row],[Cnd]],Lookups!$R$8:$U$17,4,FALSE)</f>
        <v>0.99680000000000002</v>
      </c>
      <c r="CO263">
        <f>VLOOKUP(Sales[[#This Row],[LivArea Range]],Lookups!$R$25:$U$43,4,FALSE)</f>
        <v>1.0008999999999999</v>
      </c>
      <c r="CP263">
        <f>VLOOKUP(Sales[[#This Row],[Decade]],Lookups!$M$24:$P$40,4,FALSE)</f>
        <v>0.99560000000000004</v>
      </c>
      <c r="CQ263">
        <f>Sales[[#This Row],[Nbhd Adj]]*0.95</f>
        <v>0.94971499999999998</v>
      </c>
      <c r="CR263">
        <f>Sales[[#This Row],[Nbhd Adj]]*Sales[[#This Row],[Quality Adj]]*Sales[[#This Row],[Condition Adj]]*Sales[[#This Row],[Living Area Adj]]*Sales[[#This Row],[Decade Adj]]*0.95</f>
        <v>0.9416607516359401</v>
      </c>
      <c r="CS263">
        <f>ROUND(SUM(Sales[[#This Row],[Mdl Qlty]:[Mdl BltinGar]])+Sales[[#This Row],[Mdl Res Intercept]]*Sales[[#This Row],[Res Adj ]],-2)</f>
        <v>353900</v>
      </c>
      <c r="CT263">
        <f>ROUND(Sales[[#This Row],[25Det]]*Sales[[#This Row],[Det/Nbhd Adj]],-2)</f>
        <v>0</v>
      </c>
      <c r="CU263">
        <f>Sales[[#This Row],[Adjusted Res]]+Sales[[#This Row],[Adj Det ]]</f>
        <v>353900</v>
      </c>
      <c r="CV263">
        <f>ROUND((Sales[[#This Row],[Mdl Land Intercept]]+Sales[[#This Row],[Mdl LnAcres]])*Sales[[#This Row],[Det/Nbhd Adj]],-2)</f>
        <v>61800</v>
      </c>
      <c r="CW263">
        <f>Sales[[#This Row],[Adjusted Impr Total]]+Sales[[#This Row],[Adjusted Land Total]]</f>
        <v>415700</v>
      </c>
      <c r="CX263" s="10">
        <f>IFERROR((Sales[[#This Row],[Adjusted Impr Total]]-Sales[[#This Row],[24Bldg]])/Sales[[#This Row],[24Bldg]],0)</f>
        <v>-3.5169029443838602E-2</v>
      </c>
      <c r="CY263" s="10">
        <f>(Sales[[#This Row],[Adjusted Land Total]]-Sales[[#This Row],[24Lnd]])/Sales[[#This Row],[24Lnd]]</f>
        <v>1.6207455429497568E-3</v>
      </c>
      <c r="CZ263">
        <f>(Sales[[#This Row],[Adjusted Total]]-Sales[[#This Row],[24Final]])/Sales[[#This Row],[24Final]]</f>
        <v>-2.987164527421237E-2</v>
      </c>
      <c r="DA263" s="10">
        <f>(Sales[[#This Row],[Adjusted Total]]+Sales[[#This Row],[Days Prior Total]])/Sales[[#This Row],[Price]]</f>
        <v>1.0286950210475001</v>
      </c>
    </row>
    <row r="264" spans="1:105">
      <c r="A264">
        <v>2025</v>
      </c>
      <c r="B264">
        <v>19120141441</v>
      </c>
      <c r="C264">
        <v>-1.7719568419318752</v>
      </c>
      <c r="D264">
        <v>0.17</v>
      </c>
      <c r="E264">
        <v>7222</v>
      </c>
      <c r="F264">
        <v>2</v>
      </c>
      <c r="G264" t="s">
        <v>155</v>
      </c>
      <c r="H264">
        <v>317</v>
      </c>
      <c r="I264" t="s">
        <v>5</v>
      </c>
      <c r="J264" t="s">
        <v>212</v>
      </c>
      <c r="K264">
        <v>11</v>
      </c>
      <c r="L264">
        <v>259</v>
      </c>
      <c r="M264" t="s">
        <v>157</v>
      </c>
      <c r="N264" t="s">
        <v>19</v>
      </c>
      <c r="O264" t="s">
        <v>20</v>
      </c>
      <c r="P264">
        <v>2004</v>
      </c>
      <c r="Q264">
        <v>2004</v>
      </c>
      <c r="R264">
        <v>20</v>
      </c>
      <c r="S264">
        <v>20</v>
      </c>
      <c r="T264">
        <v>20</v>
      </c>
      <c r="U264">
        <v>2</v>
      </c>
      <c r="V264">
        <v>1158</v>
      </c>
      <c r="W264">
        <v>1322</v>
      </c>
      <c r="X264">
        <v>0</v>
      </c>
      <c r="Y264">
        <v>0</v>
      </c>
      <c r="Z264">
        <v>0</v>
      </c>
      <c r="AA264">
        <v>0</v>
      </c>
      <c r="AB264">
        <v>2480</v>
      </c>
      <c r="AC264">
        <v>2500</v>
      </c>
      <c r="AD264">
        <v>2</v>
      </c>
      <c r="AE264" t="s">
        <v>56</v>
      </c>
      <c r="AF264" t="s">
        <v>331</v>
      </c>
      <c r="AG264" t="s">
        <v>21</v>
      </c>
      <c r="AH264" t="s">
        <v>161</v>
      </c>
      <c r="AI264">
        <v>0</v>
      </c>
      <c r="AJ264">
        <v>0</v>
      </c>
      <c r="AK264">
        <v>0</v>
      </c>
      <c r="AL264">
        <v>0</v>
      </c>
      <c r="AM264">
        <v>1</v>
      </c>
      <c r="AN264">
        <v>13</v>
      </c>
      <c r="AO264">
        <v>0</v>
      </c>
      <c r="AP264">
        <v>502</v>
      </c>
      <c r="AQ264">
        <v>0</v>
      </c>
      <c r="AR264">
        <v>0</v>
      </c>
      <c r="AS264">
        <v>460</v>
      </c>
      <c r="AT264">
        <v>460</v>
      </c>
      <c r="AU264">
        <v>100</v>
      </c>
      <c r="AV264">
        <v>100</v>
      </c>
      <c r="AW264">
        <v>390417</v>
      </c>
      <c r="AX264">
        <v>363088</v>
      </c>
      <c r="AY264">
        <v>923</v>
      </c>
      <c r="AZ264">
        <v>365</v>
      </c>
      <c r="BA264">
        <v>365</v>
      </c>
      <c r="BB264">
        <v>193</v>
      </c>
      <c r="BC264" s="2">
        <v>44369</v>
      </c>
      <c r="BD264" t="s">
        <v>424</v>
      </c>
      <c r="BE264">
        <v>380000</v>
      </c>
      <c r="BF264">
        <v>380000</v>
      </c>
      <c r="BG264" t="s">
        <v>160</v>
      </c>
      <c r="BH264">
        <v>30</v>
      </c>
      <c r="BI264" t="s">
        <v>56</v>
      </c>
      <c r="BJ264" t="s">
        <v>161</v>
      </c>
      <c r="BK264">
        <v>427600</v>
      </c>
      <c r="BL264">
        <v>61700</v>
      </c>
      <c r="BM264">
        <v>365900</v>
      </c>
      <c r="BN264">
        <v>0</v>
      </c>
      <c r="BO264">
        <v>363990.27978292684</v>
      </c>
      <c r="BP264">
        <v>429337.48943170259</v>
      </c>
      <c r="BQ264">
        <f>(Sales[[#This Row],[DP1]]*Lookups!$B$61)+(Sales[[#This Row],[DP2]]*Lookups!$B$62)+(Sales[[#This Row],[DP3]]*Lookups!$B$63)</f>
        <v>-65347.206831000003</v>
      </c>
      <c r="BR264">
        <f>Lookups!$B$58*0.6</f>
        <v>132535.48800000001</v>
      </c>
      <c r="BS264">
        <f>Lookups!$B$58*0.4</f>
        <v>88356.992000000013</v>
      </c>
      <c r="BT264">
        <f>Lookups!$B$59*Sales[[#This Row],[LnAcres]]</f>
        <v>-23255.730391660189</v>
      </c>
      <c r="BU264">
        <f>VLOOKUP(Sales[[#This Row],[Qlty]],Lookups!$A$66:$E$79,2,FALSE)</f>
        <v>37154.252388000001</v>
      </c>
      <c r="BV264">
        <f>VLOOKUP(Sales[[#This Row],[Cnd]],Lookups!$A$80:$E$91,2,FALSE)</f>
        <v>30300.329274</v>
      </c>
      <c r="BW264">
        <f>Sales[[#This Row],[EffAge]]*Lookups!$B$65</f>
        <v>-2174.8220000000001</v>
      </c>
      <c r="BX264">
        <f>Sales[[#This Row],[MainFn]]*Lookups!$B$90</f>
        <v>72271.22004</v>
      </c>
      <c r="BY264">
        <f>Sales[[#This Row],[UpprFn]]*Lookups!$B$91</f>
        <v>78765.266325999997</v>
      </c>
      <c r="BZ264">
        <f>Sales[[#This Row],[Bsmt]]*Lookups!$B$95</f>
        <v>0</v>
      </c>
      <c r="CA264">
        <f>VLOOKUP(Sales[[#This Row],[MsnryTrim]],Lookups!$A$90:$E$99,2,FALSE)</f>
        <v>-9412.7029999999995</v>
      </c>
      <c r="CB264">
        <f>Sales[[#This Row],[PrefabFP]]*Lookups!$B$92</f>
        <v>0</v>
      </c>
      <c r="CC264">
        <f>Sales[[#This Row],[AttGar]]*Lookups!$B$93</f>
        <v>0</v>
      </c>
      <c r="CD264">
        <f>Sales[[#This Row],[BltinGar]]*Lookups!$B$94</f>
        <v>24797.193599999999</v>
      </c>
      <c r="CE264">
        <f>SUM(Sales[[#This Row],[Days Prior Total]:[Mdl BltinGar]])</f>
        <v>363990.2794053398</v>
      </c>
      <c r="CF264">
        <f>ROUND(Sales[[#This Row],[25Det]],-2)</f>
        <v>0</v>
      </c>
      <c r="CG264">
        <f>ROUND(SUM(Sales[[#This Row],[Mdl Qlty]:[Mdl BltinGar]])+Sales[[#This Row],[Mdl Res Intercept]]+Sales[[#This Row],[Days Prior Total]],-2)</f>
        <v>298900</v>
      </c>
      <c r="CH264">
        <f>ROUND(Sales[[#This Row],[Mdl Land Intercept]]+Sales[[#This Row],[Mdl LnAcres]],-2)</f>
        <v>65100</v>
      </c>
      <c r="CI264">
        <f>Sales[[#This Row],[Unadj Res Value]]+Sales[[#This Row],[Unadj Det Value]]+Sales[[#This Row],[Unadj Land Value]]</f>
        <v>364000</v>
      </c>
      <c r="CJ264" s="10">
        <f>Sales[[#This Row],[Price]]/Sales[[#This Row],[Unadj Total Value]]</f>
        <v>1.043956043956044</v>
      </c>
      <c r="CK264" s="10">
        <f>(Sales[[#This Row],[Unadj Total Value]]-Sales[[#This Row],[24Final]])/Sales[[#This Row],[24Final]]</f>
        <v>-0.14873713751169318</v>
      </c>
      <c r="CL264">
        <f>VLOOKUP(Sales[[#This Row],[TNbhd]],Lookups!$M$3:$P$5,4,FALSE)</f>
        <v>0.99970000000000003</v>
      </c>
      <c r="CM264">
        <f>VLOOKUP(Sales[[#This Row],[Qlty]],Lookups!$M$8:$P$22,4,FALSE)</f>
        <v>0.99819999999999998</v>
      </c>
      <c r="CN264">
        <f>VLOOKUP(Sales[[#This Row],[Cnd]],Lookups!$R$8:$U$17,4,FALSE)</f>
        <v>0.997</v>
      </c>
      <c r="CO264">
        <f>VLOOKUP(Sales[[#This Row],[LivArea Range]],Lookups!$R$25:$U$43,4,FALSE)</f>
        <v>1.0008999999999999</v>
      </c>
      <c r="CP264">
        <f>VLOOKUP(Sales[[#This Row],[Decade]],Lookups!$M$24:$P$40,4,FALSE)</f>
        <v>0.99560000000000004</v>
      </c>
      <c r="CQ264">
        <f>Sales[[#This Row],[Nbhd Adj]]*0.95</f>
        <v>0.94971499999999998</v>
      </c>
      <c r="CR264">
        <f>Sales[[#This Row],[Nbhd Adj]]*Sales[[#This Row],[Quality Adj]]*Sales[[#This Row],[Condition Adj]]*Sales[[#This Row],[Living Area Adj]]*Sales[[#This Row],[Decade Adj]]*0.95</f>
        <v>0.94184968838386041</v>
      </c>
      <c r="CS264">
        <f>ROUND(SUM(Sales[[#This Row],[Mdl Qlty]:[Mdl BltinGar]])+Sales[[#This Row],[Mdl Res Intercept]]*Sales[[#This Row],[Res Adj ]],-2)</f>
        <v>356500</v>
      </c>
      <c r="CT264">
        <f>ROUND(Sales[[#This Row],[25Det]]*Sales[[#This Row],[Det/Nbhd Adj]],-2)</f>
        <v>0</v>
      </c>
      <c r="CU264">
        <f>Sales[[#This Row],[Adjusted Res]]+Sales[[#This Row],[Adj Det ]]</f>
        <v>356500</v>
      </c>
      <c r="CV264">
        <f>ROUND((Sales[[#This Row],[Mdl Land Intercept]]+Sales[[#This Row],[Mdl LnAcres]])*Sales[[#This Row],[Det/Nbhd Adj]],-2)</f>
        <v>61800</v>
      </c>
      <c r="CW264">
        <f>Sales[[#This Row],[Adjusted Impr Total]]+Sales[[#This Row],[Adjusted Land Total]]</f>
        <v>418300</v>
      </c>
      <c r="CX264" s="10">
        <f>IFERROR((Sales[[#This Row],[Adjusted Impr Total]]-Sales[[#This Row],[24Bldg]])/Sales[[#This Row],[24Bldg]],0)</f>
        <v>-2.5690079256627495E-2</v>
      </c>
      <c r="CY264" s="10">
        <f>(Sales[[#This Row],[Adjusted Land Total]]-Sales[[#This Row],[24Lnd]])/Sales[[#This Row],[24Lnd]]</f>
        <v>1.6207455429497568E-3</v>
      </c>
      <c r="CZ264">
        <f>(Sales[[#This Row],[Adjusted Total]]-Sales[[#This Row],[24Final]])/Sales[[#This Row],[24Final]]</f>
        <v>-2.174929840972872E-2</v>
      </c>
      <c r="DA264" s="10">
        <f>(Sales[[#This Row],[Adjusted Total]]+Sales[[#This Row],[Days Prior Total]])/Sales[[#This Row],[Price]]</f>
        <v>0.92882313991842114</v>
      </c>
    </row>
    <row r="265" spans="1:105">
      <c r="A265">
        <v>2025</v>
      </c>
      <c r="B265">
        <v>19120144424</v>
      </c>
      <c r="C265">
        <v>-1.7147984280919266</v>
      </c>
      <c r="D265">
        <v>0.18</v>
      </c>
      <c r="E265">
        <v>7895</v>
      </c>
      <c r="F265">
        <v>2</v>
      </c>
      <c r="G265" t="s">
        <v>155</v>
      </c>
      <c r="H265">
        <v>317</v>
      </c>
      <c r="I265" t="s">
        <v>5</v>
      </c>
      <c r="J265" t="s">
        <v>156</v>
      </c>
      <c r="K265">
        <v>11</v>
      </c>
      <c r="L265">
        <v>259</v>
      </c>
      <c r="M265" t="s">
        <v>193</v>
      </c>
      <c r="N265" t="s">
        <v>19</v>
      </c>
      <c r="O265" t="s">
        <v>18</v>
      </c>
      <c r="P265">
        <v>2004</v>
      </c>
      <c r="Q265">
        <v>2004</v>
      </c>
      <c r="R265">
        <v>20</v>
      </c>
      <c r="S265">
        <v>20</v>
      </c>
      <c r="T265">
        <v>20</v>
      </c>
      <c r="U265">
        <v>1</v>
      </c>
      <c r="V265">
        <v>1092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1092</v>
      </c>
      <c r="AC265">
        <v>1500</v>
      </c>
      <c r="AD265">
        <v>2</v>
      </c>
      <c r="AE265" t="s">
        <v>56</v>
      </c>
      <c r="AF265" t="s">
        <v>331</v>
      </c>
      <c r="AG265" t="s">
        <v>21</v>
      </c>
      <c r="AH265" t="s">
        <v>161</v>
      </c>
      <c r="AI265">
        <v>0</v>
      </c>
      <c r="AJ265">
        <v>0</v>
      </c>
      <c r="AK265">
        <v>0</v>
      </c>
      <c r="AL265">
        <v>1</v>
      </c>
      <c r="AM265">
        <v>0</v>
      </c>
      <c r="AN265">
        <v>8</v>
      </c>
      <c r="AO265">
        <v>440</v>
      </c>
      <c r="AP265">
        <v>0</v>
      </c>
      <c r="AQ265">
        <v>0</v>
      </c>
      <c r="AR265">
        <v>240</v>
      </c>
      <c r="AS265">
        <v>0</v>
      </c>
      <c r="AT265">
        <v>240</v>
      </c>
      <c r="AU265">
        <v>100</v>
      </c>
      <c r="AV265">
        <v>100</v>
      </c>
      <c r="AW265">
        <v>219182</v>
      </c>
      <c r="AX265">
        <v>203839</v>
      </c>
      <c r="AY265">
        <v>188</v>
      </c>
      <c r="AZ265">
        <v>188</v>
      </c>
      <c r="BA265">
        <v>0</v>
      </c>
      <c r="BB265">
        <v>0</v>
      </c>
      <c r="BC265" s="2">
        <v>45104</v>
      </c>
      <c r="BD265" t="s">
        <v>425</v>
      </c>
      <c r="BE265">
        <v>335000</v>
      </c>
      <c r="BF265">
        <v>329874</v>
      </c>
      <c r="BG265" t="s">
        <v>160</v>
      </c>
      <c r="BH265">
        <v>30</v>
      </c>
      <c r="BI265" t="s">
        <v>56</v>
      </c>
      <c r="BJ265" t="s">
        <v>161</v>
      </c>
      <c r="BK265">
        <v>331600</v>
      </c>
      <c r="BL265">
        <v>62500</v>
      </c>
      <c r="BM265">
        <v>269100</v>
      </c>
      <c r="BN265">
        <v>5126</v>
      </c>
      <c r="BO265">
        <v>327184.87901866162</v>
      </c>
      <c r="BP265">
        <v>325399.35641952784</v>
      </c>
      <c r="BQ265">
        <f>(Sales[[#This Row],[DP1]]*Lookups!$B$61)+(Sales[[#This Row],[DP2]]*Lookups!$B$62)+(Sales[[#This Row],[DP3]]*Lookups!$B$63)</f>
        <v>1785.5225928</v>
      </c>
      <c r="BR265">
        <f>Lookups!$B$58*0.6</f>
        <v>132535.48800000001</v>
      </c>
      <c r="BS265">
        <f>Lookups!$B$58*0.4</f>
        <v>88356.992000000013</v>
      </c>
      <c r="BT265">
        <f>Lookups!$B$59*Sales[[#This Row],[LnAcres]]</f>
        <v>-22505.565020573864</v>
      </c>
      <c r="BU265">
        <f>VLOOKUP(Sales[[#This Row],[Qlty]],Lookups!$A$66:$E$79,2,FALSE)</f>
        <v>37154.252388000001</v>
      </c>
      <c r="BV265">
        <f>VLOOKUP(Sales[[#This Row],[Cnd]],Lookups!$A$80:$E$91,2,FALSE)</f>
        <v>17761.121909000001</v>
      </c>
      <c r="BW265">
        <f>Sales[[#This Row],[EffAge]]*Lookups!$B$65</f>
        <v>-2174.8220000000001</v>
      </c>
      <c r="BX265">
        <f>Sales[[#This Row],[MainFn]]*Lookups!$B$90</f>
        <v>68152.13496000001</v>
      </c>
      <c r="BY265">
        <f>Sales[[#This Row],[UpprFn]]*Lookups!$B$91</f>
        <v>0</v>
      </c>
      <c r="BZ265">
        <f>Sales[[#This Row],[Bsmt]]*Lookups!$B$95</f>
        <v>0</v>
      </c>
      <c r="CA265">
        <f>VLOOKUP(Sales[[#This Row],[MsnryTrim]],Lookups!$A$90:$E$99,2,FALSE)</f>
        <v>-9412.7029999999995</v>
      </c>
      <c r="CB265">
        <f>Sales[[#This Row],[PrefabFP]]*Lookups!$B$92</f>
        <v>0</v>
      </c>
      <c r="CC265">
        <f>Sales[[#This Row],[AttGar]]*Lookups!$B$93</f>
        <v>15532.453640000002</v>
      </c>
      <c r="CD265">
        <f>Sales[[#This Row],[BltinGar]]*Lookups!$B$94</f>
        <v>0</v>
      </c>
      <c r="CE265">
        <f>SUM(Sales[[#This Row],[Days Prior Total]:[Mdl BltinGar]])</f>
        <v>327184.87546922622</v>
      </c>
      <c r="CF265">
        <f>ROUND(Sales[[#This Row],[25Det]],-2)</f>
        <v>5100</v>
      </c>
      <c r="CG265">
        <f>ROUND(SUM(Sales[[#This Row],[Mdl Qlty]:[Mdl BltinGar]])+Sales[[#This Row],[Mdl Res Intercept]]+Sales[[#This Row],[Days Prior Total]],-2)</f>
        <v>261300</v>
      </c>
      <c r="CH265">
        <f>ROUND(Sales[[#This Row],[Mdl Land Intercept]]+Sales[[#This Row],[Mdl LnAcres]],-2)</f>
        <v>65900</v>
      </c>
      <c r="CI265">
        <f>Sales[[#This Row],[Unadj Res Value]]+Sales[[#This Row],[Unadj Det Value]]+Sales[[#This Row],[Unadj Land Value]]</f>
        <v>332300</v>
      </c>
      <c r="CJ265" s="10">
        <f>Sales[[#This Row],[Price]]/Sales[[#This Row],[Unadj Total Value]]</f>
        <v>1.0081251880830575</v>
      </c>
      <c r="CK265" s="10">
        <f>(Sales[[#This Row],[Unadj Total Value]]-Sales[[#This Row],[24Final]])/Sales[[#This Row],[24Final]]</f>
        <v>2.1109770808202654E-3</v>
      </c>
      <c r="CL265">
        <f>VLOOKUP(Sales[[#This Row],[TNbhd]],Lookups!$M$3:$P$5,4,FALSE)</f>
        <v>0.99970000000000003</v>
      </c>
      <c r="CM265">
        <f>VLOOKUP(Sales[[#This Row],[Qlty]],Lookups!$M$8:$P$22,4,FALSE)</f>
        <v>0.99819999999999998</v>
      </c>
      <c r="CN265">
        <f>VLOOKUP(Sales[[#This Row],[Cnd]],Lookups!$R$8:$U$17,4,FALSE)</f>
        <v>0.99680000000000002</v>
      </c>
      <c r="CO265">
        <f>VLOOKUP(Sales[[#This Row],[LivArea Range]],Lookups!$R$25:$U$43,4,FALSE)</f>
        <v>0.99519999999999997</v>
      </c>
      <c r="CP265">
        <f>VLOOKUP(Sales[[#This Row],[Decade]],Lookups!$M$24:$P$40,4,FALSE)</f>
        <v>0.99560000000000004</v>
      </c>
      <c r="CQ265">
        <f>Sales[[#This Row],[Nbhd Adj]]*0.95</f>
        <v>0.94971499999999998</v>
      </c>
      <c r="CR265">
        <f>Sales[[#This Row],[Nbhd Adj]]*Sales[[#This Row],[Quality Adj]]*Sales[[#This Row],[Condition Adj]]*Sales[[#This Row],[Living Area Adj]]*Sales[[#This Row],[Decade Adj]]*0.95</f>
        <v>0.93629811172753274</v>
      </c>
      <c r="CS265">
        <f>ROUND(SUM(Sales[[#This Row],[Mdl Qlty]:[Mdl BltinGar]])+Sales[[#This Row],[Mdl Res Intercept]]*Sales[[#This Row],[Res Adj ]],-2)</f>
        <v>251100</v>
      </c>
      <c r="CT265">
        <f>ROUND(Sales[[#This Row],[25Det]]*Sales[[#This Row],[Det/Nbhd Adj]],-2)</f>
        <v>4900</v>
      </c>
      <c r="CU265">
        <f>Sales[[#This Row],[Adjusted Res]]+Sales[[#This Row],[Adj Det ]]</f>
        <v>256000</v>
      </c>
      <c r="CV265">
        <f>ROUND((Sales[[#This Row],[Mdl Land Intercept]]+Sales[[#This Row],[Mdl LnAcres]])*Sales[[#This Row],[Det/Nbhd Adj]],-2)</f>
        <v>62500</v>
      </c>
      <c r="CW265">
        <f>Sales[[#This Row],[Adjusted Impr Total]]+Sales[[#This Row],[Adjusted Land Total]]</f>
        <v>318500</v>
      </c>
      <c r="CX265" s="10">
        <f>IFERROR((Sales[[#This Row],[Adjusted Impr Total]]-Sales[[#This Row],[24Bldg]])/Sales[[#This Row],[24Bldg]],0)</f>
        <v>-4.8680787811222592E-2</v>
      </c>
      <c r="CY265" s="10">
        <f>(Sales[[#This Row],[Adjusted Land Total]]-Sales[[#This Row],[24Lnd]])/Sales[[#This Row],[24Lnd]]</f>
        <v>0</v>
      </c>
      <c r="CZ265">
        <f>(Sales[[#This Row],[Adjusted Total]]-Sales[[#This Row],[24Final]])/Sales[[#This Row],[24Final]]</f>
        <v>-3.950542822677925E-2</v>
      </c>
      <c r="DA265" s="10">
        <f>(Sales[[#This Row],[Adjusted Total]]+Sales[[#This Row],[Days Prior Total]])/Sales[[#This Row],[Price]]</f>
        <v>0.95607618684417905</v>
      </c>
    </row>
    <row r="266" spans="1:105">
      <c r="A266">
        <v>2025</v>
      </c>
      <c r="B266">
        <v>19120144427</v>
      </c>
      <c r="C266">
        <v>-1.8325814637483102</v>
      </c>
      <c r="D266">
        <v>0.16</v>
      </c>
      <c r="E266">
        <v>7031</v>
      </c>
      <c r="F266">
        <v>2</v>
      </c>
      <c r="G266" t="s">
        <v>155</v>
      </c>
      <c r="H266">
        <v>317</v>
      </c>
      <c r="I266" t="s">
        <v>5</v>
      </c>
      <c r="J266" t="s">
        <v>156</v>
      </c>
      <c r="K266">
        <v>11</v>
      </c>
      <c r="L266">
        <v>259</v>
      </c>
      <c r="M266" t="s">
        <v>193</v>
      </c>
      <c r="N266" t="s">
        <v>19</v>
      </c>
      <c r="O266" t="s">
        <v>18</v>
      </c>
      <c r="P266">
        <v>2004</v>
      </c>
      <c r="Q266">
        <v>2004</v>
      </c>
      <c r="R266">
        <v>20</v>
      </c>
      <c r="S266">
        <v>20</v>
      </c>
      <c r="T266">
        <v>20</v>
      </c>
      <c r="U266">
        <v>1</v>
      </c>
      <c r="V266">
        <v>1436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1436</v>
      </c>
      <c r="AC266">
        <v>1500</v>
      </c>
      <c r="AD266">
        <v>2</v>
      </c>
      <c r="AE266" t="s">
        <v>56</v>
      </c>
      <c r="AF266" t="s">
        <v>158</v>
      </c>
      <c r="AG266" t="s">
        <v>21</v>
      </c>
      <c r="AI266">
        <v>0</v>
      </c>
      <c r="AJ266">
        <v>0</v>
      </c>
      <c r="AK266">
        <v>0</v>
      </c>
      <c r="AL266">
        <v>1</v>
      </c>
      <c r="AM266">
        <v>0</v>
      </c>
      <c r="AN266">
        <v>8</v>
      </c>
      <c r="AO266">
        <v>400</v>
      </c>
      <c r="AP266">
        <v>0</v>
      </c>
      <c r="AQ266">
        <v>0</v>
      </c>
      <c r="AR266">
        <v>0</v>
      </c>
      <c r="AS266">
        <v>100</v>
      </c>
      <c r="AT266">
        <v>0</v>
      </c>
      <c r="AU266">
        <v>100</v>
      </c>
      <c r="AV266">
        <v>100</v>
      </c>
      <c r="AW266">
        <v>254889</v>
      </c>
      <c r="AX266">
        <v>229400</v>
      </c>
      <c r="AY266">
        <v>364</v>
      </c>
      <c r="AZ266">
        <v>364</v>
      </c>
      <c r="BA266">
        <v>0</v>
      </c>
      <c r="BB266">
        <v>0</v>
      </c>
      <c r="BC266" s="2">
        <v>44928</v>
      </c>
      <c r="BD266" t="s">
        <v>426</v>
      </c>
      <c r="BE266">
        <v>358000</v>
      </c>
      <c r="BF266">
        <v>358000</v>
      </c>
      <c r="BG266" t="s">
        <v>160</v>
      </c>
      <c r="BH266">
        <v>30</v>
      </c>
      <c r="BI266" t="s">
        <v>56</v>
      </c>
      <c r="BJ266" t="s">
        <v>161</v>
      </c>
      <c r="BK266">
        <v>401200</v>
      </c>
      <c r="BL266">
        <v>60800</v>
      </c>
      <c r="BM266">
        <v>340400</v>
      </c>
      <c r="BN266">
        <v>0</v>
      </c>
      <c r="BO266">
        <v>347367.7392412686</v>
      </c>
      <c r="BP266">
        <v>343910.66357060533</v>
      </c>
      <c r="BQ266">
        <f>(Sales[[#This Row],[DP1]]*Lookups!$B$61)+(Sales[[#This Row],[DP2]]*Lookups!$B$62)+(Sales[[#This Row],[DP3]]*Lookups!$B$63)</f>
        <v>3457.0756584000001</v>
      </c>
      <c r="BR266">
        <f>Lookups!$B$58*0.6</f>
        <v>132535.48800000001</v>
      </c>
      <c r="BS266">
        <f>Lookups!$B$58*0.4</f>
        <v>88356.992000000013</v>
      </c>
      <c r="BT266">
        <f>Lookups!$B$59*Sales[[#This Row],[LnAcres]]</f>
        <v>-24051.387388882686</v>
      </c>
      <c r="BU266">
        <f>VLOOKUP(Sales[[#This Row],[Qlty]],Lookups!$A$66:$E$79,2,FALSE)</f>
        <v>37154.252388000001</v>
      </c>
      <c r="BV266">
        <f>VLOOKUP(Sales[[#This Row],[Cnd]],Lookups!$A$80:$E$91,2,FALSE)</f>
        <v>17761.121909000001</v>
      </c>
      <c r="BW266">
        <f>Sales[[#This Row],[EffAge]]*Lookups!$B$65</f>
        <v>-2174.8220000000001</v>
      </c>
      <c r="BX266">
        <f>Sales[[#This Row],[MainFn]]*Lookups!$B$90</f>
        <v>89621.305680000005</v>
      </c>
      <c r="BY266">
        <f>Sales[[#This Row],[UpprFn]]*Lookups!$B$91</f>
        <v>0</v>
      </c>
      <c r="BZ266">
        <f>Sales[[#This Row],[Bsmt]]*Lookups!$B$95</f>
        <v>0</v>
      </c>
      <c r="CA266">
        <f>VLOOKUP(Sales[[#This Row],[MsnryTrim]],Lookups!$A$90:$E$99,2,FALSE)</f>
        <v>-9412.7029999999995</v>
      </c>
      <c r="CB266">
        <f>Sales[[#This Row],[PrefabFP]]*Lookups!$B$92</f>
        <v>0</v>
      </c>
      <c r="CC266">
        <f>Sales[[#This Row],[AttGar]]*Lookups!$B$93</f>
        <v>14120.412400000001</v>
      </c>
      <c r="CD266">
        <f>Sales[[#This Row],[BltinGar]]*Lookups!$B$94</f>
        <v>0</v>
      </c>
      <c r="CE266">
        <f>SUM(Sales[[#This Row],[Days Prior Total]:[Mdl BltinGar]])</f>
        <v>347367.73564651737</v>
      </c>
      <c r="CF266">
        <f>ROUND(Sales[[#This Row],[25Det]],-2)</f>
        <v>0</v>
      </c>
      <c r="CG266">
        <f>ROUND(SUM(Sales[[#This Row],[Mdl Qlty]:[Mdl BltinGar]])+Sales[[#This Row],[Mdl Res Intercept]]+Sales[[#This Row],[Days Prior Total]],-2)</f>
        <v>283100</v>
      </c>
      <c r="CH266">
        <f>ROUND(Sales[[#This Row],[Mdl Land Intercept]]+Sales[[#This Row],[Mdl LnAcres]],-2)</f>
        <v>64300</v>
      </c>
      <c r="CI266">
        <f>Sales[[#This Row],[Unadj Res Value]]+Sales[[#This Row],[Unadj Det Value]]+Sales[[#This Row],[Unadj Land Value]]</f>
        <v>347400</v>
      </c>
      <c r="CJ266" s="10">
        <f>Sales[[#This Row],[Price]]/Sales[[#This Row],[Unadj Total Value]]</f>
        <v>1.0305123776626368</v>
      </c>
      <c r="CK266" s="10">
        <f>(Sales[[#This Row],[Unadj Total Value]]-Sales[[#This Row],[24Final]])/Sales[[#This Row],[24Final]]</f>
        <v>-0.13409770687936193</v>
      </c>
      <c r="CL266">
        <f>VLOOKUP(Sales[[#This Row],[TNbhd]],Lookups!$M$3:$P$5,4,FALSE)</f>
        <v>0.99970000000000003</v>
      </c>
      <c r="CM266">
        <f>VLOOKUP(Sales[[#This Row],[Qlty]],Lookups!$M$8:$P$22,4,FALSE)</f>
        <v>0.99819999999999998</v>
      </c>
      <c r="CN266">
        <f>VLOOKUP(Sales[[#This Row],[Cnd]],Lookups!$R$8:$U$17,4,FALSE)</f>
        <v>0.99680000000000002</v>
      </c>
      <c r="CO266">
        <f>VLOOKUP(Sales[[#This Row],[LivArea Range]],Lookups!$R$25:$U$43,4,FALSE)</f>
        <v>0.99519999999999997</v>
      </c>
      <c r="CP266">
        <f>VLOOKUP(Sales[[#This Row],[Decade]],Lookups!$M$24:$P$40,4,FALSE)</f>
        <v>0.99560000000000004</v>
      </c>
      <c r="CQ266">
        <f>Sales[[#This Row],[Nbhd Adj]]*0.95</f>
        <v>0.94971499999999998</v>
      </c>
      <c r="CR266">
        <f>Sales[[#This Row],[Nbhd Adj]]*Sales[[#This Row],[Quality Adj]]*Sales[[#This Row],[Condition Adj]]*Sales[[#This Row],[Living Area Adj]]*Sales[[#This Row],[Decade Adj]]*0.95</f>
        <v>0.93629811172753274</v>
      </c>
      <c r="CS266">
        <f>ROUND(SUM(Sales[[#This Row],[Mdl Qlty]:[Mdl BltinGar]])+Sales[[#This Row],[Mdl Res Intercept]]*Sales[[#This Row],[Res Adj ]],-2)</f>
        <v>271200</v>
      </c>
      <c r="CT266">
        <f>ROUND(Sales[[#This Row],[25Det]]*Sales[[#This Row],[Det/Nbhd Adj]],-2)</f>
        <v>0</v>
      </c>
      <c r="CU266">
        <f>Sales[[#This Row],[Adjusted Res]]+Sales[[#This Row],[Adj Det ]]</f>
        <v>271200</v>
      </c>
      <c r="CV266">
        <f>ROUND((Sales[[#This Row],[Mdl Land Intercept]]+Sales[[#This Row],[Mdl LnAcres]])*Sales[[#This Row],[Det/Nbhd Adj]],-2)</f>
        <v>61100</v>
      </c>
      <c r="CW266">
        <f>Sales[[#This Row],[Adjusted Impr Total]]+Sales[[#This Row],[Adjusted Land Total]]</f>
        <v>332300</v>
      </c>
      <c r="CX266" s="10">
        <f>IFERROR((Sales[[#This Row],[Adjusted Impr Total]]-Sales[[#This Row],[24Bldg]])/Sales[[#This Row],[24Bldg]],0)</f>
        <v>-0.20329024676850763</v>
      </c>
      <c r="CY266" s="10">
        <f>(Sales[[#This Row],[Adjusted Land Total]]-Sales[[#This Row],[24Lnd]])/Sales[[#This Row],[24Lnd]]</f>
        <v>4.9342105263157892E-3</v>
      </c>
      <c r="CZ266">
        <f>(Sales[[#This Row],[Adjusted Total]]-Sales[[#This Row],[24Final]])/Sales[[#This Row],[24Final]]</f>
        <v>-0.17173479561316052</v>
      </c>
      <c r="DA266" s="10">
        <f>(Sales[[#This Row],[Adjusted Total]]+Sales[[#This Row],[Days Prior Total]])/Sales[[#This Row],[Price]]</f>
        <v>0.93786892642011177</v>
      </c>
    </row>
    <row r="267" spans="1:105">
      <c r="A267">
        <v>2025</v>
      </c>
      <c r="B267">
        <v>19120144451</v>
      </c>
      <c r="C267">
        <v>-1.8325814637483102</v>
      </c>
      <c r="D267">
        <v>0.16</v>
      </c>
      <c r="E267">
        <v>6955</v>
      </c>
      <c r="F267">
        <v>2</v>
      </c>
      <c r="G267" t="s">
        <v>155</v>
      </c>
      <c r="H267">
        <v>317</v>
      </c>
      <c r="I267" t="s">
        <v>5</v>
      </c>
      <c r="J267" t="s">
        <v>156</v>
      </c>
      <c r="K267">
        <v>11</v>
      </c>
      <c r="L267">
        <v>259</v>
      </c>
      <c r="M267" t="s">
        <v>193</v>
      </c>
      <c r="N267" t="s">
        <v>19</v>
      </c>
      <c r="O267" t="s">
        <v>20</v>
      </c>
      <c r="P267">
        <v>2004</v>
      </c>
      <c r="Q267">
        <v>2004</v>
      </c>
      <c r="R267">
        <v>20</v>
      </c>
      <c r="S267">
        <v>20</v>
      </c>
      <c r="T267">
        <v>20</v>
      </c>
      <c r="U267">
        <v>1</v>
      </c>
      <c r="V267">
        <v>1106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1106</v>
      </c>
      <c r="AC267">
        <v>1500</v>
      </c>
      <c r="AD267">
        <v>2</v>
      </c>
      <c r="AE267" t="s">
        <v>56</v>
      </c>
      <c r="AF267" t="s">
        <v>331</v>
      </c>
      <c r="AG267" t="s">
        <v>21</v>
      </c>
      <c r="AH267" t="s">
        <v>161</v>
      </c>
      <c r="AI267">
        <v>0</v>
      </c>
      <c r="AJ267">
        <v>0</v>
      </c>
      <c r="AK267">
        <v>0</v>
      </c>
      <c r="AL267">
        <v>1</v>
      </c>
      <c r="AM267">
        <v>0</v>
      </c>
      <c r="AN267">
        <v>8</v>
      </c>
      <c r="AO267">
        <v>426</v>
      </c>
      <c r="AP267">
        <v>0</v>
      </c>
      <c r="AQ267">
        <v>0</v>
      </c>
      <c r="AR267">
        <v>0</v>
      </c>
      <c r="AS267">
        <v>272</v>
      </c>
      <c r="AT267">
        <v>0</v>
      </c>
      <c r="AU267">
        <v>100</v>
      </c>
      <c r="AV267">
        <v>100</v>
      </c>
      <c r="AW267">
        <v>212016</v>
      </c>
      <c r="AX267">
        <v>197175</v>
      </c>
      <c r="AY267">
        <v>957</v>
      </c>
      <c r="AZ267">
        <v>365</v>
      </c>
      <c r="BA267">
        <v>365</v>
      </c>
      <c r="BB267">
        <v>227</v>
      </c>
      <c r="BC267" s="2">
        <v>44335</v>
      </c>
      <c r="BD267" t="s">
        <v>427</v>
      </c>
      <c r="BE267">
        <v>260000</v>
      </c>
      <c r="BF267">
        <v>260000</v>
      </c>
      <c r="BG267" t="s">
        <v>160</v>
      </c>
      <c r="BH267">
        <v>30</v>
      </c>
      <c r="BI267" t="s">
        <v>56</v>
      </c>
      <c r="BJ267" t="s">
        <v>161</v>
      </c>
      <c r="BK267">
        <v>336700</v>
      </c>
      <c r="BL267">
        <v>60800</v>
      </c>
      <c r="BM267">
        <v>275900</v>
      </c>
      <c r="BN267">
        <v>0</v>
      </c>
      <c r="BO267">
        <v>263639.0827842232</v>
      </c>
      <c r="BP267">
        <v>336772.27232499578</v>
      </c>
      <c r="BQ267">
        <f>(Sales[[#This Row],[DP1]]*Lookups!$B$61)+(Sales[[#This Row],[DP2]]*Lookups!$B$62)+(Sales[[#This Row],[DP3]]*Lookups!$B$63)</f>
        <v>-73133.186430999995</v>
      </c>
      <c r="BR267">
        <f>Lookups!$B$58*0.6</f>
        <v>132535.48800000001</v>
      </c>
      <c r="BS267">
        <f>Lookups!$B$58*0.4</f>
        <v>88356.992000000013</v>
      </c>
      <c r="BT267">
        <f>Lookups!$B$59*Sales[[#This Row],[LnAcres]]</f>
        <v>-24051.387388882686</v>
      </c>
      <c r="BU267">
        <f>VLOOKUP(Sales[[#This Row],[Qlty]],Lookups!$A$66:$E$79,2,FALSE)</f>
        <v>37154.252388000001</v>
      </c>
      <c r="BV267">
        <f>VLOOKUP(Sales[[#This Row],[Cnd]],Lookups!$A$80:$E$91,2,FALSE)</f>
        <v>30300.329274</v>
      </c>
      <c r="BW267">
        <f>Sales[[#This Row],[EffAge]]*Lookups!$B$65</f>
        <v>-2174.8220000000001</v>
      </c>
      <c r="BX267">
        <f>Sales[[#This Row],[MainFn]]*Lookups!$B$90</f>
        <v>69025.880279999998</v>
      </c>
      <c r="BY267">
        <f>Sales[[#This Row],[UpprFn]]*Lookups!$B$91</f>
        <v>0</v>
      </c>
      <c r="BZ267">
        <f>Sales[[#This Row],[Bsmt]]*Lookups!$B$95</f>
        <v>0</v>
      </c>
      <c r="CA267">
        <f>VLOOKUP(Sales[[#This Row],[MsnryTrim]],Lookups!$A$90:$E$99,2,FALSE)</f>
        <v>-9412.7029999999995</v>
      </c>
      <c r="CB267">
        <f>Sales[[#This Row],[PrefabFP]]*Lookups!$B$92</f>
        <v>0</v>
      </c>
      <c r="CC267">
        <f>Sales[[#This Row],[AttGar]]*Lookups!$B$93</f>
        <v>15038.239206</v>
      </c>
      <c r="CD267">
        <f>Sales[[#This Row],[BltinGar]]*Lookups!$B$94</f>
        <v>0</v>
      </c>
      <c r="CE267">
        <f>SUM(Sales[[#This Row],[Days Prior Total]:[Mdl BltinGar]])</f>
        <v>263639.08232811734</v>
      </c>
      <c r="CF267">
        <f>ROUND(Sales[[#This Row],[25Det]],-2)</f>
        <v>0</v>
      </c>
      <c r="CG267">
        <f>ROUND(SUM(Sales[[#This Row],[Mdl Qlty]:[Mdl BltinGar]])+Sales[[#This Row],[Mdl Res Intercept]]+Sales[[#This Row],[Days Prior Total]],-2)</f>
        <v>199300</v>
      </c>
      <c r="CH267">
        <f>ROUND(Sales[[#This Row],[Mdl Land Intercept]]+Sales[[#This Row],[Mdl LnAcres]],-2)</f>
        <v>64300</v>
      </c>
      <c r="CI267">
        <f>Sales[[#This Row],[Unadj Res Value]]+Sales[[#This Row],[Unadj Det Value]]+Sales[[#This Row],[Unadj Land Value]]</f>
        <v>263600</v>
      </c>
      <c r="CJ267" s="10">
        <f>Sales[[#This Row],[Price]]/Sales[[#This Row],[Unadj Total Value]]</f>
        <v>0.98634294385432475</v>
      </c>
      <c r="CK267" s="10">
        <f>(Sales[[#This Row],[Unadj Total Value]]-Sales[[#This Row],[24Final]])/Sales[[#This Row],[24Final]]</f>
        <v>-0.21710721710721712</v>
      </c>
      <c r="CL267">
        <f>VLOOKUP(Sales[[#This Row],[TNbhd]],Lookups!$M$3:$P$5,4,FALSE)</f>
        <v>0.99970000000000003</v>
      </c>
      <c r="CM267">
        <f>VLOOKUP(Sales[[#This Row],[Qlty]],Lookups!$M$8:$P$22,4,FALSE)</f>
        <v>0.99819999999999998</v>
      </c>
      <c r="CN267">
        <f>VLOOKUP(Sales[[#This Row],[Cnd]],Lookups!$R$8:$U$17,4,FALSE)</f>
        <v>0.997</v>
      </c>
      <c r="CO267">
        <f>VLOOKUP(Sales[[#This Row],[LivArea Range]],Lookups!$R$25:$U$43,4,FALSE)</f>
        <v>0.99519999999999997</v>
      </c>
      <c r="CP267">
        <f>VLOOKUP(Sales[[#This Row],[Decade]],Lookups!$M$24:$P$40,4,FALSE)</f>
        <v>0.99560000000000004</v>
      </c>
      <c r="CQ267">
        <f>Sales[[#This Row],[Nbhd Adj]]*0.95</f>
        <v>0.94971499999999998</v>
      </c>
      <c r="CR267">
        <f>Sales[[#This Row],[Nbhd Adj]]*Sales[[#This Row],[Quality Adj]]*Sales[[#This Row],[Condition Adj]]*Sales[[#This Row],[Living Area Adj]]*Sales[[#This Row],[Decade Adj]]*0.95</f>
        <v>0.93648597250436405</v>
      </c>
      <c r="CS267">
        <f>ROUND(SUM(Sales[[#This Row],[Mdl Qlty]:[Mdl BltinGar]])+Sales[[#This Row],[Mdl Res Intercept]]*Sales[[#This Row],[Res Adj ]],-2)</f>
        <v>264000</v>
      </c>
      <c r="CT267">
        <f>ROUND(Sales[[#This Row],[25Det]]*Sales[[#This Row],[Det/Nbhd Adj]],-2)</f>
        <v>0</v>
      </c>
      <c r="CU267">
        <f>Sales[[#This Row],[Adjusted Res]]+Sales[[#This Row],[Adj Det ]]</f>
        <v>264000</v>
      </c>
      <c r="CV267">
        <f>ROUND((Sales[[#This Row],[Mdl Land Intercept]]+Sales[[#This Row],[Mdl LnAcres]])*Sales[[#This Row],[Det/Nbhd Adj]],-2)</f>
        <v>61100</v>
      </c>
      <c r="CW267">
        <f>Sales[[#This Row],[Adjusted Impr Total]]+Sales[[#This Row],[Adjusted Land Total]]</f>
        <v>325100</v>
      </c>
      <c r="CX267" s="10">
        <f>IFERROR((Sales[[#This Row],[Adjusted Impr Total]]-Sales[[#This Row],[24Bldg]])/Sales[[#This Row],[24Bldg]],0)</f>
        <v>-4.3131569409206233E-2</v>
      </c>
      <c r="CY267" s="10">
        <f>(Sales[[#This Row],[Adjusted Land Total]]-Sales[[#This Row],[24Lnd]])/Sales[[#This Row],[24Lnd]]</f>
        <v>4.9342105263157892E-3</v>
      </c>
      <c r="CZ267">
        <f>(Sales[[#This Row],[Adjusted Total]]-Sales[[#This Row],[24Final]])/Sales[[#This Row],[24Final]]</f>
        <v>-3.4452034452034451E-2</v>
      </c>
      <c r="DA267" s="10">
        <f>(Sales[[#This Row],[Adjusted Total]]+Sales[[#This Row],[Days Prior Total]])/Sales[[#This Row],[Price]]</f>
        <v>0.9691031291115384</v>
      </c>
    </row>
    <row r="268" spans="1:105">
      <c r="A268">
        <v>2025</v>
      </c>
      <c r="B268">
        <v>19120144456</v>
      </c>
      <c r="C268">
        <v>-1.8325814637483102</v>
      </c>
      <c r="D268">
        <v>0.16</v>
      </c>
      <c r="E268">
        <v>7002</v>
      </c>
      <c r="F268">
        <v>2</v>
      </c>
      <c r="G268" t="s">
        <v>155</v>
      </c>
      <c r="H268">
        <v>317</v>
      </c>
      <c r="I268" t="s">
        <v>5</v>
      </c>
      <c r="J268" t="s">
        <v>156</v>
      </c>
      <c r="K268">
        <v>11</v>
      </c>
      <c r="L268">
        <v>259</v>
      </c>
      <c r="M268" t="s">
        <v>330</v>
      </c>
      <c r="N268" t="s">
        <v>19</v>
      </c>
      <c r="O268" t="s">
        <v>18</v>
      </c>
      <c r="P268">
        <v>2004</v>
      </c>
      <c r="Q268">
        <v>2004</v>
      </c>
      <c r="R268">
        <v>20</v>
      </c>
      <c r="S268">
        <v>20</v>
      </c>
      <c r="T268">
        <v>20</v>
      </c>
      <c r="U268">
        <v>1</v>
      </c>
      <c r="V268">
        <v>2154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2154</v>
      </c>
      <c r="AC268">
        <v>2500</v>
      </c>
      <c r="AD268">
        <v>3</v>
      </c>
      <c r="AE268" t="s">
        <v>55</v>
      </c>
      <c r="AF268" t="s">
        <v>331</v>
      </c>
      <c r="AG268" t="s">
        <v>21</v>
      </c>
      <c r="AH268" t="s">
        <v>161</v>
      </c>
      <c r="AI268">
        <v>0</v>
      </c>
      <c r="AJ268">
        <v>0</v>
      </c>
      <c r="AK268">
        <v>1</v>
      </c>
      <c r="AL268">
        <v>0</v>
      </c>
      <c r="AM268">
        <v>0</v>
      </c>
      <c r="AN268">
        <v>11</v>
      </c>
      <c r="AO268">
        <v>730</v>
      </c>
      <c r="AP268">
        <v>0</v>
      </c>
      <c r="AQ268">
        <v>0</v>
      </c>
      <c r="AR268">
        <v>224</v>
      </c>
      <c r="AS268">
        <v>0</v>
      </c>
      <c r="AT268">
        <v>0</v>
      </c>
      <c r="AU268">
        <v>100</v>
      </c>
      <c r="AV268">
        <v>100</v>
      </c>
      <c r="AW268">
        <v>371550</v>
      </c>
      <c r="AX268">
        <v>334395</v>
      </c>
      <c r="AY268">
        <v>250</v>
      </c>
      <c r="AZ268">
        <v>250</v>
      </c>
      <c r="BA268">
        <v>0</v>
      </c>
      <c r="BB268">
        <v>0</v>
      </c>
      <c r="BC268" s="2">
        <v>45042</v>
      </c>
      <c r="BD268" t="s">
        <v>428</v>
      </c>
      <c r="BE268">
        <v>395000</v>
      </c>
      <c r="BF268">
        <v>395000</v>
      </c>
      <c r="BG268" t="s">
        <v>160</v>
      </c>
      <c r="BH268">
        <v>30</v>
      </c>
      <c r="BI268" t="s">
        <v>56</v>
      </c>
      <c r="BJ268" t="s">
        <v>161</v>
      </c>
      <c r="BK268">
        <v>391600</v>
      </c>
      <c r="BL268">
        <v>60800</v>
      </c>
      <c r="BM268">
        <v>330800</v>
      </c>
      <c r="BN268">
        <v>0</v>
      </c>
      <c r="BO268">
        <v>427264.65301060711</v>
      </c>
      <c r="BP268">
        <v>424890.2878521845</v>
      </c>
      <c r="BQ268">
        <f>(Sales[[#This Row],[DP1]]*Lookups!$B$61)+(Sales[[#This Row],[DP2]]*Lookups!$B$62)+(Sales[[#This Row],[DP3]]*Lookups!$B$63)</f>
        <v>2374.3651500000001</v>
      </c>
      <c r="BR268">
        <f>Lookups!$B$58*0.6</f>
        <v>132535.48800000001</v>
      </c>
      <c r="BS268">
        <f>Lookups!$B$58*0.4</f>
        <v>88356.992000000013</v>
      </c>
      <c r="BT268">
        <f>Lookups!$B$59*Sales[[#This Row],[LnAcres]]</f>
        <v>-24051.387388882686</v>
      </c>
      <c r="BU268">
        <f>VLOOKUP(Sales[[#This Row],[Qlty]],Lookups!$A$66:$E$79,2,FALSE)</f>
        <v>37154.252388000001</v>
      </c>
      <c r="BV268">
        <f>VLOOKUP(Sales[[#This Row],[Cnd]],Lookups!$A$80:$E$91,2,FALSE)</f>
        <v>17761.121909000001</v>
      </c>
      <c r="BW268">
        <f>Sales[[#This Row],[EffAge]]*Lookups!$B$65</f>
        <v>-2174.8220000000001</v>
      </c>
      <c r="BX268">
        <f>Sales[[#This Row],[MainFn]]*Lookups!$B$90</f>
        <v>134431.95852000001</v>
      </c>
      <c r="BY268">
        <f>Sales[[#This Row],[UpprFn]]*Lookups!$B$91</f>
        <v>0</v>
      </c>
      <c r="BZ268">
        <f>Sales[[#This Row],[Bsmt]]*Lookups!$B$95</f>
        <v>0</v>
      </c>
      <c r="CA268">
        <f>VLOOKUP(Sales[[#This Row],[MsnryTrim]],Lookups!$A$90:$E$99,2,FALSE)</f>
        <v>5299.8242</v>
      </c>
      <c r="CB268">
        <f>Sales[[#This Row],[PrefabFP]]*Lookups!$B$92</f>
        <v>9807.1044999999995</v>
      </c>
      <c r="CC268">
        <f>Sales[[#This Row],[AttGar]]*Lookups!$B$93</f>
        <v>25769.752630000003</v>
      </c>
      <c r="CD268">
        <f>Sales[[#This Row],[BltinGar]]*Lookups!$B$94</f>
        <v>0</v>
      </c>
      <c r="CE268">
        <f>SUM(Sales[[#This Row],[Days Prior Total]:[Mdl BltinGar]])</f>
        <v>427264.64990811731</v>
      </c>
      <c r="CF268">
        <f>ROUND(Sales[[#This Row],[25Det]],-2)</f>
        <v>0</v>
      </c>
      <c r="CG268">
        <f>ROUND(SUM(Sales[[#This Row],[Mdl Qlty]:[Mdl BltinGar]])+Sales[[#This Row],[Mdl Res Intercept]]+Sales[[#This Row],[Days Prior Total]],-2)</f>
        <v>363000</v>
      </c>
      <c r="CH268">
        <f>ROUND(Sales[[#This Row],[Mdl Land Intercept]]+Sales[[#This Row],[Mdl LnAcres]],-2)</f>
        <v>64300</v>
      </c>
      <c r="CI268">
        <f>Sales[[#This Row],[Unadj Res Value]]+Sales[[#This Row],[Unadj Det Value]]+Sales[[#This Row],[Unadj Land Value]]</f>
        <v>427300</v>
      </c>
      <c r="CJ268" s="10">
        <f>Sales[[#This Row],[Price]]/Sales[[#This Row],[Unadj Total Value]]</f>
        <v>0.92440908027147206</v>
      </c>
      <c r="CK268" s="10">
        <f>(Sales[[#This Row],[Unadj Total Value]]-Sales[[#This Row],[24Final]])/Sales[[#This Row],[24Final]]</f>
        <v>9.1164453524004083E-2</v>
      </c>
      <c r="CL268">
        <f>VLOOKUP(Sales[[#This Row],[TNbhd]],Lookups!$M$3:$P$5,4,FALSE)</f>
        <v>0.99970000000000003</v>
      </c>
      <c r="CM268">
        <f>VLOOKUP(Sales[[#This Row],[Qlty]],Lookups!$M$8:$P$22,4,FALSE)</f>
        <v>0.99819999999999998</v>
      </c>
      <c r="CN268">
        <f>VLOOKUP(Sales[[#This Row],[Cnd]],Lookups!$R$8:$U$17,4,FALSE)</f>
        <v>0.99680000000000002</v>
      </c>
      <c r="CO268">
        <f>VLOOKUP(Sales[[#This Row],[LivArea Range]],Lookups!$R$25:$U$43,4,FALSE)</f>
        <v>1.0008999999999999</v>
      </c>
      <c r="CP268">
        <f>VLOOKUP(Sales[[#This Row],[Decade]],Lookups!$M$24:$P$40,4,FALSE)</f>
        <v>0.99560000000000004</v>
      </c>
      <c r="CQ268">
        <f>Sales[[#This Row],[Nbhd Adj]]*0.95</f>
        <v>0.94971499999999998</v>
      </c>
      <c r="CR268">
        <f>Sales[[#This Row],[Nbhd Adj]]*Sales[[#This Row],[Quality Adj]]*Sales[[#This Row],[Condition Adj]]*Sales[[#This Row],[Living Area Adj]]*Sales[[#This Row],[Decade Adj]]*0.95</f>
        <v>0.9416607516359401</v>
      </c>
      <c r="CS268">
        <f>ROUND(SUM(Sales[[#This Row],[Mdl Qlty]:[Mdl BltinGar]])+Sales[[#This Row],[Mdl Res Intercept]]*Sales[[#This Row],[Res Adj ]],-2)</f>
        <v>352900</v>
      </c>
      <c r="CT268">
        <f>ROUND(Sales[[#This Row],[25Det]]*Sales[[#This Row],[Det/Nbhd Adj]],-2)</f>
        <v>0</v>
      </c>
      <c r="CU268">
        <f>Sales[[#This Row],[Adjusted Res]]+Sales[[#This Row],[Adj Det ]]</f>
        <v>352900</v>
      </c>
      <c r="CV268">
        <f>ROUND((Sales[[#This Row],[Mdl Land Intercept]]+Sales[[#This Row],[Mdl LnAcres]])*Sales[[#This Row],[Det/Nbhd Adj]],-2)</f>
        <v>61100</v>
      </c>
      <c r="CW268">
        <f>Sales[[#This Row],[Adjusted Impr Total]]+Sales[[#This Row],[Adjusted Land Total]]</f>
        <v>414000</v>
      </c>
      <c r="CX268" s="10">
        <f>IFERROR((Sales[[#This Row],[Adjusted Impr Total]]-Sales[[#This Row],[24Bldg]])/Sales[[#This Row],[24Bldg]],0)</f>
        <v>6.6807738814993953E-2</v>
      </c>
      <c r="CY268" s="10">
        <f>(Sales[[#This Row],[Adjusted Land Total]]-Sales[[#This Row],[24Lnd]])/Sales[[#This Row],[24Lnd]]</f>
        <v>4.9342105263157892E-3</v>
      </c>
      <c r="CZ268">
        <f>(Sales[[#This Row],[Adjusted Total]]-Sales[[#This Row],[24Final]])/Sales[[#This Row],[24Final]]</f>
        <v>5.7201225740551587E-2</v>
      </c>
      <c r="DA268" s="10">
        <f>(Sales[[#This Row],[Adjusted Total]]+Sales[[#This Row],[Days Prior Total]])/Sales[[#This Row],[Price]]</f>
        <v>1.0541123168354432</v>
      </c>
    </row>
    <row r="269" spans="1:105">
      <c r="A269">
        <v>2025</v>
      </c>
      <c r="B269">
        <v>19120144459</v>
      </c>
      <c r="C269">
        <v>-1.8325814637483102</v>
      </c>
      <c r="D269">
        <v>0.16</v>
      </c>
      <c r="E269">
        <v>7000</v>
      </c>
      <c r="F269">
        <v>2</v>
      </c>
      <c r="G269" t="s">
        <v>155</v>
      </c>
      <c r="H269">
        <v>317</v>
      </c>
      <c r="I269" t="s">
        <v>5</v>
      </c>
      <c r="J269" t="s">
        <v>156</v>
      </c>
      <c r="K269">
        <v>11</v>
      </c>
      <c r="L269">
        <v>259</v>
      </c>
      <c r="M269" t="s">
        <v>193</v>
      </c>
      <c r="N269" t="s">
        <v>19</v>
      </c>
      <c r="O269" t="s">
        <v>20</v>
      </c>
      <c r="P269">
        <v>2004</v>
      </c>
      <c r="Q269">
        <v>2004</v>
      </c>
      <c r="R269">
        <v>20</v>
      </c>
      <c r="S269">
        <v>20</v>
      </c>
      <c r="T269">
        <v>20</v>
      </c>
      <c r="U269">
        <v>1</v>
      </c>
      <c r="V269">
        <v>1380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1380</v>
      </c>
      <c r="AC269">
        <v>1500</v>
      </c>
      <c r="AD269">
        <v>2</v>
      </c>
      <c r="AE269" t="s">
        <v>56</v>
      </c>
      <c r="AF269" t="s">
        <v>331</v>
      </c>
      <c r="AG269" t="s">
        <v>21</v>
      </c>
      <c r="AH269" t="s">
        <v>161</v>
      </c>
      <c r="AI269">
        <v>0</v>
      </c>
      <c r="AJ269">
        <v>0</v>
      </c>
      <c r="AK269">
        <v>0</v>
      </c>
      <c r="AL269">
        <v>1</v>
      </c>
      <c r="AM269">
        <v>0</v>
      </c>
      <c r="AN269">
        <v>8</v>
      </c>
      <c r="AO269">
        <v>428</v>
      </c>
      <c r="AP269">
        <v>0</v>
      </c>
      <c r="AQ269">
        <v>0</v>
      </c>
      <c r="AR269">
        <v>0</v>
      </c>
      <c r="AS269">
        <v>100</v>
      </c>
      <c r="AT269">
        <v>0</v>
      </c>
      <c r="AU269">
        <v>100</v>
      </c>
      <c r="AV269">
        <v>100</v>
      </c>
      <c r="AW269">
        <v>253311</v>
      </c>
      <c r="AX269">
        <v>235579</v>
      </c>
      <c r="AY269">
        <v>854</v>
      </c>
      <c r="AZ269">
        <v>365</v>
      </c>
      <c r="BA269">
        <v>365</v>
      </c>
      <c r="BB269">
        <v>124</v>
      </c>
      <c r="BC269" s="2">
        <v>44438</v>
      </c>
      <c r="BD269" t="s">
        <v>429</v>
      </c>
      <c r="BE269">
        <v>330000</v>
      </c>
      <c r="BF269">
        <v>330000</v>
      </c>
      <c r="BG269" t="s">
        <v>160</v>
      </c>
      <c r="BH269">
        <v>30</v>
      </c>
      <c r="BI269" t="s">
        <v>56</v>
      </c>
      <c r="BJ269" t="s">
        <v>161</v>
      </c>
      <c r="BK269">
        <v>373500</v>
      </c>
      <c r="BL269">
        <v>60800</v>
      </c>
      <c r="BM269">
        <v>312700</v>
      </c>
      <c r="BN269">
        <v>0</v>
      </c>
      <c r="BO269">
        <v>304397.06805665098</v>
      </c>
      <c r="BP269">
        <v>353943.31851284485</v>
      </c>
      <c r="BQ269">
        <f>(Sales[[#This Row],[DP1]]*Lookups!$B$61)+(Sales[[#This Row],[DP2]]*Lookups!$B$62)+(Sales[[#This Row],[DP3]]*Lookups!$B$63)</f>
        <v>-49546.248231000005</v>
      </c>
      <c r="BR269">
        <f>Lookups!$B$58*0.6</f>
        <v>132535.48800000001</v>
      </c>
      <c r="BS269">
        <f>Lookups!$B$58*0.4</f>
        <v>88356.992000000013</v>
      </c>
      <c r="BT269">
        <f>Lookups!$B$59*Sales[[#This Row],[LnAcres]]</f>
        <v>-24051.387388882686</v>
      </c>
      <c r="BU269">
        <f>VLOOKUP(Sales[[#This Row],[Qlty]],Lookups!$A$66:$E$79,2,FALSE)</f>
        <v>37154.252388000001</v>
      </c>
      <c r="BV269">
        <f>VLOOKUP(Sales[[#This Row],[Cnd]],Lookups!$A$80:$E$91,2,FALSE)</f>
        <v>30300.329274</v>
      </c>
      <c r="BW269">
        <f>Sales[[#This Row],[EffAge]]*Lookups!$B$65</f>
        <v>-2174.8220000000001</v>
      </c>
      <c r="BX269">
        <f>Sales[[#This Row],[MainFn]]*Lookups!$B$90</f>
        <v>86126.324399999998</v>
      </c>
      <c r="BY269">
        <f>Sales[[#This Row],[UpprFn]]*Lookups!$B$91</f>
        <v>0</v>
      </c>
      <c r="BZ269">
        <f>Sales[[#This Row],[Bsmt]]*Lookups!$B$95</f>
        <v>0</v>
      </c>
      <c r="CA269">
        <f>VLOOKUP(Sales[[#This Row],[MsnryTrim]],Lookups!$A$90:$E$99,2,FALSE)</f>
        <v>-9412.7029999999995</v>
      </c>
      <c r="CB269">
        <f>Sales[[#This Row],[PrefabFP]]*Lookups!$B$92</f>
        <v>0</v>
      </c>
      <c r="CC269">
        <f>Sales[[#This Row],[AttGar]]*Lookups!$B$93</f>
        <v>15108.841268</v>
      </c>
      <c r="CD269">
        <f>Sales[[#This Row],[BltinGar]]*Lookups!$B$94</f>
        <v>0</v>
      </c>
      <c r="CE269">
        <f>SUM(Sales[[#This Row],[Days Prior Total]:[Mdl BltinGar]])</f>
        <v>304397.06671011733</v>
      </c>
      <c r="CF269">
        <f>ROUND(Sales[[#This Row],[25Det]],-2)</f>
        <v>0</v>
      </c>
      <c r="CG269">
        <f>ROUND(SUM(Sales[[#This Row],[Mdl Qlty]:[Mdl BltinGar]])+Sales[[#This Row],[Mdl Res Intercept]]+Sales[[#This Row],[Days Prior Total]],-2)</f>
        <v>240100</v>
      </c>
      <c r="CH269">
        <f>ROUND(Sales[[#This Row],[Mdl Land Intercept]]+Sales[[#This Row],[Mdl LnAcres]],-2)</f>
        <v>64300</v>
      </c>
      <c r="CI269">
        <f>Sales[[#This Row],[Unadj Res Value]]+Sales[[#This Row],[Unadj Det Value]]+Sales[[#This Row],[Unadj Land Value]]</f>
        <v>304400</v>
      </c>
      <c r="CJ269" s="10">
        <f>Sales[[#This Row],[Price]]/Sales[[#This Row],[Unadj Total Value]]</f>
        <v>1.0840998685939554</v>
      </c>
      <c r="CK269" s="10">
        <f>(Sales[[#This Row],[Unadj Total Value]]-Sales[[#This Row],[24Final]])/Sales[[#This Row],[24Final]]</f>
        <v>-0.18500669344042839</v>
      </c>
      <c r="CL269">
        <f>VLOOKUP(Sales[[#This Row],[TNbhd]],Lookups!$M$3:$P$5,4,FALSE)</f>
        <v>0.99970000000000003</v>
      </c>
      <c r="CM269">
        <f>VLOOKUP(Sales[[#This Row],[Qlty]],Lookups!$M$8:$P$22,4,FALSE)</f>
        <v>0.99819999999999998</v>
      </c>
      <c r="CN269">
        <f>VLOOKUP(Sales[[#This Row],[Cnd]],Lookups!$R$8:$U$17,4,FALSE)</f>
        <v>0.997</v>
      </c>
      <c r="CO269">
        <f>VLOOKUP(Sales[[#This Row],[LivArea Range]],Lookups!$R$25:$U$43,4,FALSE)</f>
        <v>0.99519999999999997</v>
      </c>
      <c r="CP269">
        <f>VLOOKUP(Sales[[#This Row],[Decade]],Lookups!$M$24:$P$40,4,FALSE)</f>
        <v>0.99560000000000004</v>
      </c>
      <c r="CQ269">
        <f>Sales[[#This Row],[Nbhd Adj]]*0.95</f>
        <v>0.94971499999999998</v>
      </c>
      <c r="CR269">
        <f>Sales[[#This Row],[Nbhd Adj]]*Sales[[#This Row],[Quality Adj]]*Sales[[#This Row],[Condition Adj]]*Sales[[#This Row],[Living Area Adj]]*Sales[[#This Row],[Decade Adj]]*0.95</f>
        <v>0.93648597250436405</v>
      </c>
      <c r="CS269">
        <f>ROUND(SUM(Sales[[#This Row],[Mdl Qlty]:[Mdl BltinGar]])+Sales[[#This Row],[Mdl Res Intercept]]*Sales[[#This Row],[Res Adj ]],-2)</f>
        <v>281200</v>
      </c>
      <c r="CT269">
        <f>ROUND(Sales[[#This Row],[25Det]]*Sales[[#This Row],[Det/Nbhd Adj]],-2)</f>
        <v>0</v>
      </c>
      <c r="CU269">
        <f>Sales[[#This Row],[Adjusted Res]]+Sales[[#This Row],[Adj Det ]]</f>
        <v>281200</v>
      </c>
      <c r="CV269">
        <f>ROUND((Sales[[#This Row],[Mdl Land Intercept]]+Sales[[#This Row],[Mdl LnAcres]])*Sales[[#This Row],[Det/Nbhd Adj]],-2)</f>
        <v>61100</v>
      </c>
      <c r="CW269">
        <f>Sales[[#This Row],[Adjusted Impr Total]]+Sales[[#This Row],[Adjusted Land Total]]</f>
        <v>342300</v>
      </c>
      <c r="CX269" s="10">
        <f>IFERROR((Sales[[#This Row],[Adjusted Impr Total]]-Sales[[#This Row],[24Bldg]])/Sales[[#This Row],[24Bldg]],0)</f>
        <v>-0.10073552926127279</v>
      </c>
      <c r="CY269" s="10">
        <f>(Sales[[#This Row],[Adjusted Land Total]]-Sales[[#This Row],[24Lnd]])/Sales[[#This Row],[24Lnd]]</f>
        <v>4.9342105263157892E-3</v>
      </c>
      <c r="CZ269">
        <f>(Sales[[#This Row],[Adjusted Total]]-Sales[[#This Row],[24Final]])/Sales[[#This Row],[24Final]]</f>
        <v>-8.3534136546184745E-2</v>
      </c>
      <c r="DA269" s="10">
        <f>(Sales[[#This Row],[Adjusted Total]]+Sales[[#This Row],[Days Prior Total]])/Sales[[#This Row],[Price]]</f>
        <v>0.88713258111818172</v>
      </c>
    </row>
    <row r="270" spans="1:105">
      <c r="A270">
        <v>2025</v>
      </c>
      <c r="B270">
        <v>19120144462</v>
      </c>
      <c r="C270">
        <v>-1.8325814637483102</v>
      </c>
      <c r="D270">
        <v>0.16</v>
      </c>
      <c r="E270">
        <v>7000</v>
      </c>
      <c r="F270">
        <v>2</v>
      </c>
      <c r="G270" t="s">
        <v>155</v>
      </c>
      <c r="H270">
        <v>317</v>
      </c>
      <c r="I270" t="s">
        <v>5</v>
      </c>
      <c r="J270" t="s">
        <v>156</v>
      </c>
      <c r="K270">
        <v>11</v>
      </c>
      <c r="L270">
        <v>259</v>
      </c>
      <c r="M270" t="s">
        <v>193</v>
      </c>
      <c r="N270" t="s">
        <v>19</v>
      </c>
      <c r="O270" t="s">
        <v>18</v>
      </c>
      <c r="P270">
        <v>2004</v>
      </c>
      <c r="Q270">
        <v>2004</v>
      </c>
      <c r="R270">
        <v>20</v>
      </c>
      <c r="S270">
        <v>20</v>
      </c>
      <c r="T270">
        <v>20</v>
      </c>
      <c r="U270">
        <v>1</v>
      </c>
      <c r="V270">
        <v>1380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1380</v>
      </c>
      <c r="AC270">
        <v>1500</v>
      </c>
      <c r="AD270">
        <v>2</v>
      </c>
      <c r="AE270" t="s">
        <v>56</v>
      </c>
      <c r="AF270" t="s">
        <v>331</v>
      </c>
      <c r="AG270" t="s">
        <v>21</v>
      </c>
      <c r="AH270" t="s">
        <v>161</v>
      </c>
      <c r="AI270">
        <v>0</v>
      </c>
      <c r="AJ270">
        <v>0</v>
      </c>
      <c r="AK270">
        <v>0</v>
      </c>
      <c r="AL270">
        <v>1</v>
      </c>
      <c r="AM270">
        <v>0</v>
      </c>
      <c r="AN270">
        <v>8</v>
      </c>
      <c r="AO270">
        <v>428</v>
      </c>
      <c r="AP270">
        <v>0</v>
      </c>
      <c r="AQ270">
        <v>0</v>
      </c>
      <c r="AR270">
        <v>0</v>
      </c>
      <c r="AS270">
        <v>100</v>
      </c>
      <c r="AT270">
        <v>0</v>
      </c>
      <c r="AU270">
        <v>100</v>
      </c>
      <c r="AV270">
        <v>100</v>
      </c>
      <c r="AW270">
        <v>246718</v>
      </c>
      <c r="AX270">
        <v>222046</v>
      </c>
      <c r="AY270">
        <v>545</v>
      </c>
      <c r="AZ270">
        <v>365</v>
      </c>
      <c r="BA270">
        <v>180</v>
      </c>
      <c r="BB270">
        <v>0</v>
      </c>
      <c r="BC270" s="2">
        <v>44747</v>
      </c>
      <c r="BD270" t="s">
        <v>430</v>
      </c>
      <c r="BE270">
        <v>312000</v>
      </c>
      <c r="BF270">
        <v>312000</v>
      </c>
      <c r="BG270" t="s">
        <v>160</v>
      </c>
      <c r="BH270">
        <v>30</v>
      </c>
      <c r="BI270" t="s">
        <v>56</v>
      </c>
      <c r="BJ270" t="s">
        <v>161</v>
      </c>
      <c r="BK270">
        <v>347500</v>
      </c>
      <c r="BL270">
        <v>60800</v>
      </c>
      <c r="BM270">
        <v>286700</v>
      </c>
      <c r="BN270">
        <v>0</v>
      </c>
      <c r="BO270">
        <v>332730.84470018744</v>
      </c>
      <c r="BP270">
        <v>341404.11114713986</v>
      </c>
      <c r="BQ270">
        <f>(Sales[[#This Row],[DP1]]*Lookups!$B$61)+(Sales[[#This Row],[DP2]]*Lookups!$B$62)+(Sales[[#This Row],[DP3]]*Lookups!$B$63)</f>
        <v>-8673.2658809999994</v>
      </c>
      <c r="BR270">
        <f>Lookups!$B$58*0.6</f>
        <v>132535.48800000001</v>
      </c>
      <c r="BS270">
        <f>Lookups!$B$58*0.4</f>
        <v>88356.992000000013</v>
      </c>
      <c r="BT270">
        <f>Lookups!$B$59*Sales[[#This Row],[LnAcres]]</f>
        <v>-24051.387388882686</v>
      </c>
      <c r="BU270">
        <f>VLOOKUP(Sales[[#This Row],[Qlty]],Lookups!$A$66:$E$79,2,FALSE)</f>
        <v>37154.252388000001</v>
      </c>
      <c r="BV270">
        <f>VLOOKUP(Sales[[#This Row],[Cnd]],Lookups!$A$80:$E$91,2,FALSE)</f>
        <v>17761.121909000001</v>
      </c>
      <c r="BW270">
        <f>Sales[[#This Row],[EffAge]]*Lookups!$B$65</f>
        <v>-2174.8220000000001</v>
      </c>
      <c r="BX270">
        <f>Sales[[#This Row],[MainFn]]*Lookups!$B$90</f>
        <v>86126.324399999998</v>
      </c>
      <c r="BY270">
        <f>Sales[[#This Row],[UpprFn]]*Lookups!$B$91</f>
        <v>0</v>
      </c>
      <c r="BZ270">
        <f>Sales[[#This Row],[Bsmt]]*Lookups!$B$95</f>
        <v>0</v>
      </c>
      <c r="CA270">
        <f>VLOOKUP(Sales[[#This Row],[MsnryTrim]],Lookups!$A$90:$E$99,2,FALSE)</f>
        <v>-9412.7029999999995</v>
      </c>
      <c r="CB270">
        <f>Sales[[#This Row],[PrefabFP]]*Lookups!$B$92</f>
        <v>0</v>
      </c>
      <c r="CC270">
        <f>Sales[[#This Row],[AttGar]]*Lookups!$B$93</f>
        <v>15108.841268</v>
      </c>
      <c r="CD270">
        <f>Sales[[#This Row],[BltinGar]]*Lookups!$B$94</f>
        <v>0</v>
      </c>
      <c r="CE270">
        <f>SUM(Sales[[#This Row],[Days Prior Total]:[Mdl BltinGar]])</f>
        <v>332730.84169511736</v>
      </c>
      <c r="CF270">
        <f>ROUND(Sales[[#This Row],[25Det]],-2)</f>
        <v>0</v>
      </c>
      <c r="CG270">
        <f>ROUND(SUM(Sales[[#This Row],[Mdl Qlty]:[Mdl BltinGar]])+Sales[[#This Row],[Mdl Res Intercept]]+Sales[[#This Row],[Days Prior Total]],-2)</f>
        <v>268400</v>
      </c>
      <c r="CH270">
        <f>ROUND(Sales[[#This Row],[Mdl Land Intercept]]+Sales[[#This Row],[Mdl LnAcres]],-2)</f>
        <v>64300</v>
      </c>
      <c r="CI270">
        <f>Sales[[#This Row],[Unadj Res Value]]+Sales[[#This Row],[Unadj Det Value]]+Sales[[#This Row],[Unadj Land Value]]</f>
        <v>332700</v>
      </c>
      <c r="CJ270" s="10">
        <f>Sales[[#This Row],[Price]]/Sales[[#This Row],[Unadj Total Value]]</f>
        <v>0.93778178539224522</v>
      </c>
      <c r="CK270" s="10">
        <f>(Sales[[#This Row],[Unadj Total Value]]-Sales[[#This Row],[24Final]])/Sales[[#This Row],[24Final]]</f>
        <v>-4.2589928057553954E-2</v>
      </c>
      <c r="CL270">
        <f>VLOOKUP(Sales[[#This Row],[TNbhd]],Lookups!$M$3:$P$5,4,FALSE)</f>
        <v>0.99970000000000003</v>
      </c>
      <c r="CM270">
        <f>VLOOKUP(Sales[[#This Row],[Qlty]],Lookups!$M$8:$P$22,4,FALSE)</f>
        <v>0.99819999999999998</v>
      </c>
      <c r="CN270">
        <f>VLOOKUP(Sales[[#This Row],[Cnd]],Lookups!$R$8:$U$17,4,FALSE)</f>
        <v>0.99680000000000002</v>
      </c>
      <c r="CO270">
        <f>VLOOKUP(Sales[[#This Row],[LivArea Range]],Lookups!$R$25:$U$43,4,FALSE)</f>
        <v>0.99519999999999997</v>
      </c>
      <c r="CP270">
        <f>VLOOKUP(Sales[[#This Row],[Decade]],Lookups!$M$24:$P$40,4,FALSE)</f>
        <v>0.99560000000000004</v>
      </c>
      <c r="CQ270">
        <f>Sales[[#This Row],[Nbhd Adj]]*0.95</f>
        <v>0.94971499999999998</v>
      </c>
      <c r="CR270">
        <f>Sales[[#This Row],[Nbhd Adj]]*Sales[[#This Row],[Quality Adj]]*Sales[[#This Row],[Condition Adj]]*Sales[[#This Row],[Living Area Adj]]*Sales[[#This Row],[Decade Adj]]*0.95</f>
        <v>0.93629811172753274</v>
      </c>
      <c r="CS270">
        <f>ROUND(SUM(Sales[[#This Row],[Mdl Qlty]:[Mdl BltinGar]])+Sales[[#This Row],[Mdl Res Intercept]]*Sales[[#This Row],[Res Adj ]],-2)</f>
        <v>268700</v>
      </c>
      <c r="CT270">
        <f>ROUND(Sales[[#This Row],[25Det]]*Sales[[#This Row],[Det/Nbhd Adj]],-2)</f>
        <v>0</v>
      </c>
      <c r="CU270">
        <f>Sales[[#This Row],[Adjusted Res]]+Sales[[#This Row],[Adj Det ]]</f>
        <v>268700</v>
      </c>
      <c r="CV270">
        <f>ROUND((Sales[[#This Row],[Mdl Land Intercept]]+Sales[[#This Row],[Mdl LnAcres]])*Sales[[#This Row],[Det/Nbhd Adj]],-2)</f>
        <v>61100</v>
      </c>
      <c r="CW270">
        <f>Sales[[#This Row],[Adjusted Impr Total]]+Sales[[#This Row],[Adjusted Land Total]]</f>
        <v>329800</v>
      </c>
      <c r="CX270" s="10">
        <f>IFERROR((Sales[[#This Row],[Adjusted Impr Total]]-Sales[[#This Row],[24Bldg]])/Sales[[#This Row],[24Bldg]],0)</f>
        <v>-6.2783397279386116E-2</v>
      </c>
      <c r="CY270" s="10">
        <f>(Sales[[#This Row],[Adjusted Land Total]]-Sales[[#This Row],[24Lnd]])/Sales[[#This Row],[24Lnd]]</f>
        <v>4.9342105263157892E-3</v>
      </c>
      <c r="CZ270">
        <f>(Sales[[#This Row],[Adjusted Total]]-Sales[[#This Row],[24Final]])/Sales[[#This Row],[24Final]]</f>
        <v>-5.0935251798561149E-2</v>
      </c>
      <c r="DA270" s="10">
        <f>(Sales[[#This Row],[Adjusted Total]]+Sales[[#This Row],[Days Prior Total]])/Sales[[#This Row],[Price]]</f>
        <v>1.0292523529455129</v>
      </c>
    </row>
    <row r="271" spans="1:105">
      <c r="A271">
        <v>2025</v>
      </c>
      <c r="B271">
        <v>19120144467</v>
      </c>
      <c r="C271">
        <v>-1.8325814637483102</v>
      </c>
      <c r="D271">
        <v>0.16</v>
      </c>
      <c r="E271">
        <v>7000</v>
      </c>
      <c r="F271">
        <v>2</v>
      </c>
      <c r="G271" t="s">
        <v>155</v>
      </c>
      <c r="H271">
        <v>317</v>
      </c>
      <c r="I271" t="s">
        <v>5</v>
      </c>
      <c r="J271" t="s">
        <v>156</v>
      </c>
      <c r="K271">
        <v>11</v>
      </c>
      <c r="L271">
        <v>259</v>
      </c>
      <c r="M271" t="s">
        <v>193</v>
      </c>
      <c r="N271" t="s">
        <v>19</v>
      </c>
      <c r="O271" t="s">
        <v>18</v>
      </c>
      <c r="P271">
        <v>2004</v>
      </c>
      <c r="Q271">
        <v>2004</v>
      </c>
      <c r="R271">
        <v>20</v>
      </c>
      <c r="S271">
        <v>20</v>
      </c>
      <c r="T271">
        <v>20</v>
      </c>
      <c r="U271">
        <v>1</v>
      </c>
      <c r="V271">
        <v>1380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1380</v>
      </c>
      <c r="AC271">
        <v>1500</v>
      </c>
      <c r="AD271">
        <v>2</v>
      </c>
      <c r="AE271" t="s">
        <v>56</v>
      </c>
      <c r="AF271" t="s">
        <v>331</v>
      </c>
      <c r="AG271" t="s">
        <v>21</v>
      </c>
      <c r="AH271" t="s">
        <v>161</v>
      </c>
      <c r="AI271">
        <v>0</v>
      </c>
      <c r="AJ271">
        <v>0</v>
      </c>
      <c r="AK271">
        <v>0</v>
      </c>
      <c r="AL271">
        <v>1</v>
      </c>
      <c r="AM271">
        <v>0</v>
      </c>
      <c r="AN271">
        <v>8</v>
      </c>
      <c r="AO271">
        <v>428</v>
      </c>
      <c r="AP271">
        <v>0</v>
      </c>
      <c r="AQ271">
        <v>0</v>
      </c>
      <c r="AR271">
        <v>0</v>
      </c>
      <c r="AS271">
        <v>100</v>
      </c>
      <c r="AT271">
        <v>0</v>
      </c>
      <c r="AU271">
        <v>100</v>
      </c>
      <c r="AV271">
        <v>100</v>
      </c>
      <c r="AW271">
        <v>248548</v>
      </c>
      <c r="AX271">
        <v>223693</v>
      </c>
      <c r="AY271">
        <v>608</v>
      </c>
      <c r="AZ271">
        <v>365</v>
      </c>
      <c r="BA271">
        <v>243</v>
      </c>
      <c r="BB271">
        <v>0</v>
      </c>
      <c r="BC271" s="2">
        <v>44684</v>
      </c>
      <c r="BD271" t="s">
        <v>431</v>
      </c>
      <c r="BE271">
        <v>335000</v>
      </c>
      <c r="BF271">
        <v>335000</v>
      </c>
      <c r="BG271" t="s">
        <v>160</v>
      </c>
      <c r="BH271">
        <v>30</v>
      </c>
      <c r="BI271" t="s">
        <v>56</v>
      </c>
      <c r="BJ271" t="s">
        <v>161</v>
      </c>
      <c r="BK271">
        <v>350200</v>
      </c>
      <c r="BL271">
        <v>60800</v>
      </c>
      <c r="BM271">
        <v>289400</v>
      </c>
      <c r="BN271">
        <v>0</v>
      </c>
      <c r="BO271">
        <v>328481.90084780019</v>
      </c>
      <c r="BP271">
        <v>341404.11114713986</v>
      </c>
      <c r="BQ271">
        <f>(Sales[[#This Row],[DP1]]*Lookups!$B$61)+(Sales[[#This Row],[DP2]]*Lookups!$B$62)+(Sales[[#This Row],[DP3]]*Lookups!$B$63)</f>
        <v>-12922.209531</v>
      </c>
      <c r="BR271">
        <f>Lookups!$B$58*0.6</f>
        <v>132535.48800000001</v>
      </c>
      <c r="BS271">
        <f>Lookups!$B$58*0.4</f>
        <v>88356.992000000013</v>
      </c>
      <c r="BT271">
        <f>Lookups!$B$59*Sales[[#This Row],[LnAcres]]</f>
        <v>-24051.387388882686</v>
      </c>
      <c r="BU271">
        <f>VLOOKUP(Sales[[#This Row],[Qlty]],Lookups!$A$66:$E$79,2,FALSE)</f>
        <v>37154.252388000001</v>
      </c>
      <c r="BV271">
        <f>VLOOKUP(Sales[[#This Row],[Cnd]],Lookups!$A$80:$E$91,2,FALSE)</f>
        <v>17761.121909000001</v>
      </c>
      <c r="BW271">
        <f>Sales[[#This Row],[EffAge]]*Lookups!$B$65</f>
        <v>-2174.8220000000001</v>
      </c>
      <c r="BX271">
        <f>Sales[[#This Row],[MainFn]]*Lookups!$B$90</f>
        <v>86126.324399999998</v>
      </c>
      <c r="BY271">
        <f>Sales[[#This Row],[UpprFn]]*Lookups!$B$91</f>
        <v>0</v>
      </c>
      <c r="BZ271">
        <f>Sales[[#This Row],[Bsmt]]*Lookups!$B$95</f>
        <v>0</v>
      </c>
      <c r="CA271">
        <f>VLOOKUP(Sales[[#This Row],[MsnryTrim]],Lookups!$A$90:$E$99,2,FALSE)</f>
        <v>-9412.7029999999995</v>
      </c>
      <c r="CB271">
        <f>Sales[[#This Row],[PrefabFP]]*Lookups!$B$92</f>
        <v>0</v>
      </c>
      <c r="CC271">
        <f>Sales[[#This Row],[AttGar]]*Lookups!$B$93</f>
        <v>15108.841268</v>
      </c>
      <c r="CD271">
        <f>Sales[[#This Row],[BltinGar]]*Lookups!$B$94</f>
        <v>0</v>
      </c>
      <c r="CE271">
        <f>SUM(Sales[[#This Row],[Days Prior Total]:[Mdl BltinGar]])</f>
        <v>328481.89804511738</v>
      </c>
      <c r="CF271">
        <f>ROUND(Sales[[#This Row],[25Det]],-2)</f>
        <v>0</v>
      </c>
      <c r="CG271">
        <f>ROUND(SUM(Sales[[#This Row],[Mdl Qlty]:[Mdl BltinGar]])+Sales[[#This Row],[Mdl Res Intercept]]+Sales[[#This Row],[Days Prior Total]],-2)</f>
        <v>264200</v>
      </c>
      <c r="CH271">
        <f>ROUND(Sales[[#This Row],[Mdl Land Intercept]]+Sales[[#This Row],[Mdl LnAcres]],-2)</f>
        <v>64300</v>
      </c>
      <c r="CI271">
        <f>Sales[[#This Row],[Unadj Res Value]]+Sales[[#This Row],[Unadj Det Value]]+Sales[[#This Row],[Unadj Land Value]]</f>
        <v>328500</v>
      </c>
      <c r="CJ271" s="10">
        <f>Sales[[#This Row],[Price]]/Sales[[#This Row],[Unadj Total Value]]</f>
        <v>1.0197869101978692</v>
      </c>
      <c r="CK271" s="10">
        <f>(Sales[[#This Row],[Unadj Total Value]]-Sales[[#This Row],[24Final]])/Sales[[#This Row],[24Final]]</f>
        <v>-6.196459166190748E-2</v>
      </c>
      <c r="CL271">
        <f>VLOOKUP(Sales[[#This Row],[TNbhd]],Lookups!$M$3:$P$5,4,FALSE)</f>
        <v>0.99970000000000003</v>
      </c>
      <c r="CM271">
        <f>VLOOKUP(Sales[[#This Row],[Qlty]],Lookups!$M$8:$P$22,4,FALSE)</f>
        <v>0.99819999999999998</v>
      </c>
      <c r="CN271">
        <f>VLOOKUP(Sales[[#This Row],[Cnd]],Lookups!$R$8:$U$17,4,FALSE)</f>
        <v>0.99680000000000002</v>
      </c>
      <c r="CO271">
        <f>VLOOKUP(Sales[[#This Row],[LivArea Range]],Lookups!$R$25:$U$43,4,FALSE)</f>
        <v>0.99519999999999997</v>
      </c>
      <c r="CP271">
        <f>VLOOKUP(Sales[[#This Row],[Decade]],Lookups!$M$24:$P$40,4,FALSE)</f>
        <v>0.99560000000000004</v>
      </c>
      <c r="CQ271">
        <f>Sales[[#This Row],[Nbhd Adj]]*0.95</f>
        <v>0.94971499999999998</v>
      </c>
      <c r="CR271">
        <f>Sales[[#This Row],[Nbhd Adj]]*Sales[[#This Row],[Quality Adj]]*Sales[[#This Row],[Condition Adj]]*Sales[[#This Row],[Living Area Adj]]*Sales[[#This Row],[Decade Adj]]*0.95</f>
        <v>0.93629811172753274</v>
      </c>
      <c r="CS271">
        <f>ROUND(SUM(Sales[[#This Row],[Mdl Qlty]:[Mdl BltinGar]])+Sales[[#This Row],[Mdl Res Intercept]]*Sales[[#This Row],[Res Adj ]],-2)</f>
        <v>268700</v>
      </c>
      <c r="CT271">
        <f>ROUND(Sales[[#This Row],[25Det]]*Sales[[#This Row],[Det/Nbhd Adj]],-2)</f>
        <v>0</v>
      </c>
      <c r="CU271">
        <f>Sales[[#This Row],[Adjusted Res]]+Sales[[#This Row],[Adj Det ]]</f>
        <v>268700</v>
      </c>
      <c r="CV271">
        <f>ROUND((Sales[[#This Row],[Mdl Land Intercept]]+Sales[[#This Row],[Mdl LnAcres]])*Sales[[#This Row],[Det/Nbhd Adj]],-2)</f>
        <v>61100</v>
      </c>
      <c r="CW271">
        <f>Sales[[#This Row],[Adjusted Impr Total]]+Sales[[#This Row],[Adjusted Land Total]]</f>
        <v>329800</v>
      </c>
      <c r="CX271" s="10">
        <f>IFERROR((Sales[[#This Row],[Adjusted Impr Total]]-Sales[[#This Row],[24Bldg]])/Sales[[#This Row],[24Bldg]],0)</f>
        <v>-7.1527297857636493E-2</v>
      </c>
      <c r="CY271" s="10">
        <f>(Sales[[#This Row],[Adjusted Land Total]]-Sales[[#This Row],[24Lnd]])/Sales[[#This Row],[24Lnd]]</f>
        <v>4.9342105263157892E-3</v>
      </c>
      <c r="CZ271">
        <f>(Sales[[#This Row],[Adjusted Total]]-Sales[[#This Row],[24Final]])/Sales[[#This Row],[24Final]]</f>
        <v>-5.8252427184466021E-2</v>
      </c>
      <c r="DA271" s="10">
        <f>(Sales[[#This Row],[Adjusted Total]]+Sales[[#This Row],[Days Prior Total]])/Sales[[#This Row],[Price]]</f>
        <v>0.94590385214626871</v>
      </c>
    </row>
    <row r="272" spans="1:105">
      <c r="A272">
        <v>2025</v>
      </c>
      <c r="B272">
        <v>19120144473</v>
      </c>
      <c r="C272">
        <v>-1.8325814637483102</v>
      </c>
      <c r="D272">
        <v>0.16</v>
      </c>
      <c r="E272">
        <v>7017</v>
      </c>
      <c r="F272">
        <v>2</v>
      </c>
      <c r="G272" t="s">
        <v>155</v>
      </c>
      <c r="H272">
        <v>317</v>
      </c>
      <c r="I272" t="s">
        <v>5</v>
      </c>
      <c r="J272" t="s">
        <v>156</v>
      </c>
      <c r="K272">
        <v>11</v>
      </c>
      <c r="L272">
        <v>259</v>
      </c>
      <c r="M272" t="s">
        <v>193</v>
      </c>
      <c r="N272" t="s">
        <v>19</v>
      </c>
      <c r="O272" t="s">
        <v>18</v>
      </c>
      <c r="P272">
        <v>2004</v>
      </c>
      <c r="Q272">
        <v>2004</v>
      </c>
      <c r="R272">
        <v>20</v>
      </c>
      <c r="S272">
        <v>20</v>
      </c>
      <c r="T272">
        <v>20</v>
      </c>
      <c r="U272">
        <v>1</v>
      </c>
      <c r="V272">
        <v>1543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1543</v>
      </c>
      <c r="AC272">
        <v>2000</v>
      </c>
      <c r="AD272">
        <v>2</v>
      </c>
      <c r="AE272" t="s">
        <v>57</v>
      </c>
      <c r="AF272" t="s">
        <v>331</v>
      </c>
      <c r="AG272" t="s">
        <v>21</v>
      </c>
      <c r="AH272" t="s">
        <v>161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8</v>
      </c>
      <c r="AO272">
        <v>433</v>
      </c>
      <c r="AP272">
        <v>0</v>
      </c>
      <c r="AQ272">
        <v>0</v>
      </c>
      <c r="AR272">
        <v>0</v>
      </c>
      <c r="AS272">
        <v>100</v>
      </c>
      <c r="AT272">
        <v>0</v>
      </c>
      <c r="AU272">
        <v>100</v>
      </c>
      <c r="AV272">
        <v>100</v>
      </c>
      <c r="AW272">
        <v>270988</v>
      </c>
      <c r="AX272">
        <v>243889</v>
      </c>
      <c r="AY272">
        <v>829</v>
      </c>
      <c r="AZ272">
        <v>365</v>
      </c>
      <c r="BA272">
        <v>365</v>
      </c>
      <c r="BB272">
        <v>99</v>
      </c>
      <c r="BC272" s="2">
        <v>44463</v>
      </c>
      <c r="BD272" t="s">
        <v>432</v>
      </c>
      <c r="BE272">
        <v>269000</v>
      </c>
      <c r="BF272">
        <v>269000</v>
      </c>
      <c r="BG272" t="s">
        <v>160</v>
      </c>
      <c r="BH272">
        <v>30</v>
      </c>
      <c r="BI272" t="s">
        <v>56</v>
      </c>
      <c r="BJ272" t="s">
        <v>161</v>
      </c>
      <c r="BK272">
        <v>355000</v>
      </c>
      <c r="BL272">
        <v>60800</v>
      </c>
      <c r="BM272">
        <v>294200</v>
      </c>
      <c r="BN272">
        <v>0</v>
      </c>
      <c r="BO272">
        <v>321457.824072711</v>
      </c>
      <c r="BP272">
        <v>365279.08931420132</v>
      </c>
      <c r="BQ272">
        <f>(Sales[[#This Row],[DP1]]*Lookups!$B$61)+(Sales[[#This Row],[DP2]]*Lookups!$B$62)+(Sales[[#This Row],[DP3]]*Lookups!$B$63)</f>
        <v>-43821.263231000004</v>
      </c>
      <c r="BR272">
        <f>Lookups!$B$58*0.6</f>
        <v>132535.48800000001</v>
      </c>
      <c r="BS272">
        <f>Lookups!$B$58*0.4</f>
        <v>88356.992000000013</v>
      </c>
      <c r="BT272">
        <f>Lookups!$B$59*Sales[[#This Row],[LnAcres]]</f>
        <v>-24051.387388882686</v>
      </c>
      <c r="BU272">
        <f>VLOOKUP(Sales[[#This Row],[Qlty]],Lookups!$A$66:$E$79,2,FALSE)</f>
        <v>37154.252388000001</v>
      </c>
      <c r="BV272">
        <f>VLOOKUP(Sales[[#This Row],[Cnd]],Lookups!$A$80:$E$91,2,FALSE)</f>
        <v>17761.121909000001</v>
      </c>
      <c r="BW272">
        <f>Sales[[#This Row],[EffAge]]*Lookups!$B$65</f>
        <v>-2174.8220000000001</v>
      </c>
      <c r="BX272">
        <f>Sales[[#This Row],[MainFn]]*Lookups!$B$90</f>
        <v>96299.216339999999</v>
      </c>
      <c r="BY272">
        <f>Sales[[#This Row],[UpprFn]]*Lookups!$B$91</f>
        <v>0</v>
      </c>
      <c r="BZ272">
        <f>Sales[[#This Row],[Bsmt]]*Lookups!$B$95</f>
        <v>0</v>
      </c>
      <c r="CA272">
        <f>VLOOKUP(Sales[[#This Row],[MsnryTrim]],Lookups!$A$90:$E$99,2,FALSE)</f>
        <v>4112.8784489</v>
      </c>
      <c r="CB272">
        <f>Sales[[#This Row],[PrefabFP]]*Lookups!$B$92</f>
        <v>0</v>
      </c>
      <c r="CC272">
        <f>Sales[[#This Row],[AttGar]]*Lookups!$B$93</f>
        <v>15285.346423000001</v>
      </c>
      <c r="CD272">
        <f>Sales[[#This Row],[BltinGar]]*Lookups!$B$94</f>
        <v>0</v>
      </c>
      <c r="CE272">
        <f>SUM(Sales[[#This Row],[Days Prior Total]:[Mdl BltinGar]])</f>
        <v>321457.82288901729</v>
      </c>
      <c r="CF272">
        <f>ROUND(Sales[[#This Row],[25Det]],-2)</f>
        <v>0</v>
      </c>
      <c r="CG272">
        <f>ROUND(SUM(Sales[[#This Row],[Mdl Qlty]:[Mdl BltinGar]])+Sales[[#This Row],[Mdl Res Intercept]]+Sales[[#This Row],[Days Prior Total]],-2)</f>
        <v>257200</v>
      </c>
      <c r="CH272">
        <f>ROUND(Sales[[#This Row],[Mdl Land Intercept]]+Sales[[#This Row],[Mdl LnAcres]],-2)</f>
        <v>64300</v>
      </c>
      <c r="CI272">
        <f>Sales[[#This Row],[Unadj Res Value]]+Sales[[#This Row],[Unadj Det Value]]+Sales[[#This Row],[Unadj Land Value]]</f>
        <v>321500</v>
      </c>
      <c r="CJ272" s="10">
        <f>Sales[[#This Row],[Price]]/Sales[[#This Row],[Unadj Total Value]]</f>
        <v>0.83670295489891133</v>
      </c>
      <c r="CK272" s="10">
        <f>(Sales[[#This Row],[Unadj Total Value]]-Sales[[#This Row],[24Final]])/Sales[[#This Row],[24Final]]</f>
        <v>-9.4366197183098591E-2</v>
      </c>
      <c r="CL272">
        <f>VLOOKUP(Sales[[#This Row],[TNbhd]],Lookups!$M$3:$P$5,4,FALSE)</f>
        <v>0.99970000000000003</v>
      </c>
      <c r="CM272">
        <f>VLOOKUP(Sales[[#This Row],[Qlty]],Lookups!$M$8:$P$22,4,FALSE)</f>
        <v>0.99819999999999998</v>
      </c>
      <c r="CN272">
        <f>VLOOKUP(Sales[[#This Row],[Cnd]],Lookups!$R$8:$U$17,4,FALSE)</f>
        <v>0.99680000000000002</v>
      </c>
      <c r="CO272">
        <f>VLOOKUP(Sales[[#This Row],[LivArea Range]],Lookups!$R$25:$U$43,4,FALSE)</f>
        <v>1.0007999999999999</v>
      </c>
      <c r="CP272">
        <f>VLOOKUP(Sales[[#This Row],[Decade]],Lookups!$M$24:$P$40,4,FALSE)</f>
        <v>0.99560000000000004</v>
      </c>
      <c r="CQ272">
        <f>Sales[[#This Row],[Nbhd Adj]]*0.95</f>
        <v>0.94971499999999998</v>
      </c>
      <c r="CR272">
        <f>Sales[[#This Row],[Nbhd Adj]]*Sales[[#This Row],[Quality Adj]]*Sales[[#This Row],[Condition Adj]]*Sales[[#This Row],[Living Area Adj]]*Sales[[#This Row],[Decade Adj]]*0.95</f>
        <v>0.94156667023403817</v>
      </c>
      <c r="CS272">
        <f>ROUND(SUM(Sales[[#This Row],[Mdl Qlty]:[Mdl BltinGar]])+Sales[[#This Row],[Mdl Res Intercept]]*Sales[[#This Row],[Res Adj ]],-2)</f>
        <v>293200</v>
      </c>
      <c r="CT272">
        <f>ROUND(Sales[[#This Row],[25Det]]*Sales[[#This Row],[Det/Nbhd Adj]],-2)</f>
        <v>0</v>
      </c>
      <c r="CU272">
        <f>Sales[[#This Row],[Adjusted Res]]+Sales[[#This Row],[Adj Det ]]</f>
        <v>293200</v>
      </c>
      <c r="CV272">
        <f>ROUND((Sales[[#This Row],[Mdl Land Intercept]]+Sales[[#This Row],[Mdl LnAcres]])*Sales[[#This Row],[Det/Nbhd Adj]],-2)</f>
        <v>61100</v>
      </c>
      <c r="CW272">
        <f>Sales[[#This Row],[Adjusted Impr Total]]+Sales[[#This Row],[Adjusted Land Total]]</f>
        <v>354300</v>
      </c>
      <c r="CX272" s="10">
        <f>IFERROR((Sales[[#This Row],[Adjusted Impr Total]]-Sales[[#This Row],[24Bldg]])/Sales[[#This Row],[24Bldg]],0)</f>
        <v>-3.3990482664853841E-3</v>
      </c>
      <c r="CY272" s="10">
        <f>(Sales[[#This Row],[Adjusted Land Total]]-Sales[[#This Row],[24Lnd]])/Sales[[#This Row],[24Lnd]]</f>
        <v>4.9342105263157892E-3</v>
      </c>
      <c r="CZ272">
        <f>(Sales[[#This Row],[Adjusted Total]]-Sales[[#This Row],[24Final]])/Sales[[#This Row],[24Final]]</f>
        <v>-1.9718309859154928E-3</v>
      </c>
      <c r="DA272" s="10">
        <f>(Sales[[#This Row],[Adjusted Total]]+Sales[[#This Row],[Days Prior Total]])/Sales[[#This Row],[Price]]</f>
        <v>1.1541960474684014</v>
      </c>
    </row>
    <row r="273" spans="1:105">
      <c r="A273">
        <v>2025</v>
      </c>
      <c r="B273">
        <v>19120144476</v>
      </c>
      <c r="C273">
        <v>-1.8325814637483102</v>
      </c>
      <c r="D273">
        <v>0.16</v>
      </c>
      <c r="E273">
        <v>7012</v>
      </c>
      <c r="F273">
        <v>2</v>
      </c>
      <c r="G273" t="s">
        <v>155</v>
      </c>
      <c r="H273">
        <v>317</v>
      </c>
      <c r="I273" t="s">
        <v>5</v>
      </c>
      <c r="J273" t="s">
        <v>156</v>
      </c>
      <c r="K273">
        <v>11</v>
      </c>
      <c r="L273">
        <v>259</v>
      </c>
      <c r="M273" t="s">
        <v>193</v>
      </c>
      <c r="N273" t="s">
        <v>19</v>
      </c>
      <c r="O273" t="s">
        <v>18</v>
      </c>
      <c r="P273">
        <v>2004</v>
      </c>
      <c r="Q273">
        <v>2004</v>
      </c>
      <c r="R273">
        <v>20</v>
      </c>
      <c r="S273">
        <v>20</v>
      </c>
      <c r="T273">
        <v>20</v>
      </c>
      <c r="U273">
        <v>1</v>
      </c>
      <c r="V273">
        <v>1380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1380</v>
      </c>
      <c r="AC273">
        <v>1500</v>
      </c>
      <c r="AD273">
        <v>2</v>
      </c>
      <c r="AE273" t="s">
        <v>56</v>
      </c>
      <c r="AF273" t="s">
        <v>331</v>
      </c>
      <c r="AG273" t="s">
        <v>21</v>
      </c>
      <c r="AH273" t="s">
        <v>161</v>
      </c>
      <c r="AI273">
        <v>0</v>
      </c>
      <c r="AJ273">
        <v>0</v>
      </c>
      <c r="AK273">
        <v>0</v>
      </c>
      <c r="AL273">
        <v>1</v>
      </c>
      <c r="AM273">
        <v>0</v>
      </c>
      <c r="AN273">
        <v>8</v>
      </c>
      <c r="AO273">
        <v>428</v>
      </c>
      <c r="AP273">
        <v>0</v>
      </c>
      <c r="AQ273">
        <v>0</v>
      </c>
      <c r="AR273">
        <v>0</v>
      </c>
      <c r="AS273">
        <v>100</v>
      </c>
      <c r="AT273">
        <v>0</v>
      </c>
      <c r="AU273">
        <v>100</v>
      </c>
      <c r="AV273">
        <v>100</v>
      </c>
      <c r="AW273">
        <v>248548</v>
      </c>
      <c r="AX273">
        <v>223693</v>
      </c>
      <c r="AY273">
        <v>969</v>
      </c>
      <c r="AZ273">
        <v>365</v>
      </c>
      <c r="BA273">
        <v>365</v>
      </c>
      <c r="BB273">
        <v>239</v>
      </c>
      <c r="BC273" s="2">
        <v>44323</v>
      </c>
      <c r="BD273" t="s">
        <v>433</v>
      </c>
      <c r="BE273">
        <v>272000</v>
      </c>
      <c r="BF273">
        <v>272000</v>
      </c>
      <c r="BG273" t="s">
        <v>160</v>
      </c>
      <c r="BH273">
        <v>30</v>
      </c>
      <c r="BI273" t="s">
        <v>56</v>
      </c>
      <c r="BJ273" t="s">
        <v>161</v>
      </c>
      <c r="BK273">
        <v>350200</v>
      </c>
      <c r="BL273">
        <v>60800</v>
      </c>
      <c r="BM273">
        <v>289400</v>
      </c>
      <c r="BN273">
        <v>0</v>
      </c>
      <c r="BO273">
        <v>265522.92870330962</v>
      </c>
      <c r="BP273">
        <v>341404.11114713986</v>
      </c>
      <c r="BQ273">
        <f>(Sales[[#This Row],[DP1]]*Lookups!$B$61)+(Sales[[#This Row],[DP2]]*Lookups!$B$62)+(Sales[[#This Row],[DP3]]*Lookups!$B$63)</f>
        <v>-75881.179231000002</v>
      </c>
      <c r="BR273">
        <f>Lookups!$B$58*0.6</f>
        <v>132535.48800000001</v>
      </c>
      <c r="BS273">
        <f>Lookups!$B$58*0.4</f>
        <v>88356.992000000013</v>
      </c>
      <c r="BT273">
        <f>Lookups!$B$59*Sales[[#This Row],[LnAcres]]</f>
        <v>-24051.387388882686</v>
      </c>
      <c r="BU273">
        <f>VLOOKUP(Sales[[#This Row],[Qlty]],Lookups!$A$66:$E$79,2,FALSE)</f>
        <v>37154.252388000001</v>
      </c>
      <c r="BV273">
        <f>VLOOKUP(Sales[[#This Row],[Cnd]],Lookups!$A$80:$E$91,2,FALSE)</f>
        <v>17761.121909000001</v>
      </c>
      <c r="BW273">
        <f>Sales[[#This Row],[EffAge]]*Lookups!$B$65</f>
        <v>-2174.8220000000001</v>
      </c>
      <c r="BX273">
        <f>Sales[[#This Row],[MainFn]]*Lookups!$B$90</f>
        <v>86126.324399999998</v>
      </c>
      <c r="BY273">
        <f>Sales[[#This Row],[UpprFn]]*Lookups!$B$91</f>
        <v>0</v>
      </c>
      <c r="BZ273">
        <f>Sales[[#This Row],[Bsmt]]*Lookups!$B$95</f>
        <v>0</v>
      </c>
      <c r="CA273">
        <f>VLOOKUP(Sales[[#This Row],[MsnryTrim]],Lookups!$A$90:$E$99,2,FALSE)</f>
        <v>-9412.7029999999995</v>
      </c>
      <c r="CB273">
        <f>Sales[[#This Row],[PrefabFP]]*Lookups!$B$92</f>
        <v>0</v>
      </c>
      <c r="CC273">
        <f>Sales[[#This Row],[AttGar]]*Lookups!$B$93</f>
        <v>15108.841268</v>
      </c>
      <c r="CD273">
        <f>Sales[[#This Row],[BltinGar]]*Lookups!$B$94</f>
        <v>0</v>
      </c>
      <c r="CE273">
        <f>SUM(Sales[[#This Row],[Days Prior Total]:[Mdl BltinGar]])</f>
        <v>265522.92834511731</v>
      </c>
      <c r="CF273">
        <f>ROUND(Sales[[#This Row],[25Det]],-2)</f>
        <v>0</v>
      </c>
      <c r="CG273">
        <f>ROUND(SUM(Sales[[#This Row],[Mdl Qlty]:[Mdl BltinGar]])+Sales[[#This Row],[Mdl Res Intercept]]+Sales[[#This Row],[Days Prior Total]],-2)</f>
        <v>201200</v>
      </c>
      <c r="CH273">
        <f>ROUND(Sales[[#This Row],[Mdl Land Intercept]]+Sales[[#This Row],[Mdl LnAcres]],-2)</f>
        <v>64300</v>
      </c>
      <c r="CI273">
        <f>Sales[[#This Row],[Unadj Res Value]]+Sales[[#This Row],[Unadj Det Value]]+Sales[[#This Row],[Unadj Land Value]]</f>
        <v>265500</v>
      </c>
      <c r="CJ273" s="10">
        <f>Sales[[#This Row],[Price]]/Sales[[#This Row],[Unadj Total Value]]</f>
        <v>1.024482109227872</v>
      </c>
      <c r="CK273" s="10">
        <f>(Sales[[#This Row],[Unadj Total Value]]-Sales[[#This Row],[24Final]])/Sales[[#This Row],[24Final]]</f>
        <v>-0.24186179326099372</v>
      </c>
      <c r="CL273">
        <f>VLOOKUP(Sales[[#This Row],[TNbhd]],Lookups!$M$3:$P$5,4,FALSE)</f>
        <v>0.99970000000000003</v>
      </c>
      <c r="CM273">
        <f>VLOOKUP(Sales[[#This Row],[Qlty]],Lookups!$M$8:$P$22,4,FALSE)</f>
        <v>0.99819999999999998</v>
      </c>
      <c r="CN273">
        <f>VLOOKUP(Sales[[#This Row],[Cnd]],Lookups!$R$8:$U$17,4,FALSE)</f>
        <v>0.99680000000000002</v>
      </c>
      <c r="CO273">
        <f>VLOOKUP(Sales[[#This Row],[LivArea Range]],Lookups!$R$25:$U$43,4,FALSE)</f>
        <v>0.99519999999999997</v>
      </c>
      <c r="CP273">
        <f>VLOOKUP(Sales[[#This Row],[Decade]],Lookups!$M$24:$P$40,4,FALSE)</f>
        <v>0.99560000000000004</v>
      </c>
      <c r="CQ273">
        <f>Sales[[#This Row],[Nbhd Adj]]*0.95</f>
        <v>0.94971499999999998</v>
      </c>
      <c r="CR273">
        <f>Sales[[#This Row],[Nbhd Adj]]*Sales[[#This Row],[Quality Adj]]*Sales[[#This Row],[Condition Adj]]*Sales[[#This Row],[Living Area Adj]]*Sales[[#This Row],[Decade Adj]]*0.95</f>
        <v>0.93629811172753274</v>
      </c>
      <c r="CS273">
        <f>ROUND(SUM(Sales[[#This Row],[Mdl Qlty]:[Mdl BltinGar]])+Sales[[#This Row],[Mdl Res Intercept]]*Sales[[#This Row],[Res Adj ]],-2)</f>
        <v>268700</v>
      </c>
      <c r="CT273">
        <f>ROUND(Sales[[#This Row],[25Det]]*Sales[[#This Row],[Det/Nbhd Adj]],-2)</f>
        <v>0</v>
      </c>
      <c r="CU273">
        <f>Sales[[#This Row],[Adjusted Res]]+Sales[[#This Row],[Adj Det ]]</f>
        <v>268700</v>
      </c>
      <c r="CV273">
        <f>ROUND((Sales[[#This Row],[Mdl Land Intercept]]+Sales[[#This Row],[Mdl LnAcres]])*Sales[[#This Row],[Det/Nbhd Adj]],-2)</f>
        <v>61100</v>
      </c>
      <c r="CW273">
        <f>Sales[[#This Row],[Adjusted Impr Total]]+Sales[[#This Row],[Adjusted Land Total]]</f>
        <v>329800</v>
      </c>
      <c r="CX273" s="10">
        <f>IFERROR((Sales[[#This Row],[Adjusted Impr Total]]-Sales[[#This Row],[24Bldg]])/Sales[[#This Row],[24Bldg]],0)</f>
        <v>-7.1527297857636493E-2</v>
      </c>
      <c r="CY273" s="10">
        <f>(Sales[[#This Row],[Adjusted Land Total]]-Sales[[#This Row],[24Lnd]])/Sales[[#This Row],[24Lnd]]</f>
        <v>4.9342105263157892E-3</v>
      </c>
      <c r="CZ273">
        <f>(Sales[[#This Row],[Adjusted Total]]-Sales[[#This Row],[24Final]])/Sales[[#This Row],[24Final]]</f>
        <v>-5.8252427184466021E-2</v>
      </c>
      <c r="DA273" s="10">
        <f>(Sales[[#This Row],[Adjusted Total]]+Sales[[#This Row],[Days Prior Total]])/Sales[[#This Row],[Price]]</f>
        <v>0.93352507635661763</v>
      </c>
    </row>
    <row r="274" spans="1:105">
      <c r="A274">
        <v>2025</v>
      </c>
      <c r="B274">
        <v>19120144478</v>
      </c>
      <c r="C274">
        <v>-1.8325814637483102</v>
      </c>
      <c r="D274">
        <v>0.16</v>
      </c>
      <c r="E274">
        <v>7009</v>
      </c>
      <c r="F274">
        <v>2</v>
      </c>
      <c r="G274" t="s">
        <v>155</v>
      </c>
      <c r="H274">
        <v>317</v>
      </c>
      <c r="I274" t="s">
        <v>5</v>
      </c>
      <c r="J274" t="s">
        <v>156</v>
      </c>
      <c r="K274">
        <v>11</v>
      </c>
      <c r="L274">
        <v>259</v>
      </c>
      <c r="M274" t="s">
        <v>193</v>
      </c>
      <c r="N274" t="s">
        <v>19</v>
      </c>
      <c r="O274" t="s">
        <v>18</v>
      </c>
      <c r="P274">
        <v>2004</v>
      </c>
      <c r="Q274">
        <v>2004</v>
      </c>
      <c r="R274">
        <v>20</v>
      </c>
      <c r="S274">
        <v>20</v>
      </c>
      <c r="T274">
        <v>20</v>
      </c>
      <c r="U274">
        <v>1</v>
      </c>
      <c r="V274">
        <v>1380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1380</v>
      </c>
      <c r="AC274">
        <v>1500</v>
      </c>
      <c r="AD274">
        <v>2</v>
      </c>
      <c r="AE274" t="s">
        <v>56</v>
      </c>
      <c r="AF274" t="s">
        <v>331</v>
      </c>
      <c r="AG274" t="s">
        <v>21</v>
      </c>
      <c r="AH274" t="s">
        <v>161</v>
      </c>
      <c r="AI274">
        <v>0</v>
      </c>
      <c r="AJ274">
        <v>0</v>
      </c>
      <c r="AK274">
        <v>0</v>
      </c>
      <c r="AL274">
        <v>1</v>
      </c>
      <c r="AM274">
        <v>0</v>
      </c>
      <c r="AN274">
        <v>8</v>
      </c>
      <c r="AO274">
        <v>428</v>
      </c>
      <c r="AP274">
        <v>0</v>
      </c>
      <c r="AQ274">
        <v>0</v>
      </c>
      <c r="AR274">
        <v>0</v>
      </c>
      <c r="AS274">
        <v>100</v>
      </c>
      <c r="AT274">
        <v>0</v>
      </c>
      <c r="AU274">
        <v>100</v>
      </c>
      <c r="AV274">
        <v>100</v>
      </c>
      <c r="AW274">
        <v>248548</v>
      </c>
      <c r="AX274">
        <v>223693</v>
      </c>
      <c r="AY274">
        <v>917</v>
      </c>
      <c r="AZ274">
        <v>365</v>
      </c>
      <c r="BA274">
        <v>365</v>
      </c>
      <c r="BB274">
        <v>187</v>
      </c>
      <c r="BC274" s="2">
        <v>44375</v>
      </c>
      <c r="BD274" t="s">
        <v>434</v>
      </c>
      <c r="BE274">
        <v>313000</v>
      </c>
      <c r="BF274">
        <v>313000</v>
      </c>
      <c r="BG274" t="s">
        <v>160</v>
      </c>
      <c r="BH274">
        <v>30</v>
      </c>
      <c r="BI274" t="s">
        <v>56</v>
      </c>
      <c r="BJ274" t="s">
        <v>161</v>
      </c>
      <c r="BK274">
        <v>365900</v>
      </c>
      <c r="BL274">
        <v>60800</v>
      </c>
      <c r="BM274">
        <v>305100</v>
      </c>
      <c r="BN274">
        <v>0</v>
      </c>
      <c r="BO274">
        <v>277430.89794989303</v>
      </c>
      <c r="BP274">
        <v>341404.11114713986</v>
      </c>
      <c r="BQ274">
        <f>(Sales[[#This Row],[DP1]]*Lookups!$B$61)+(Sales[[#This Row],[DP2]]*Lookups!$B$62)+(Sales[[#This Row],[DP3]]*Lookups!$B$63)</f>
        <v>-63973.210431</v>
      </c>
      <c r="BR274">
        <f>Lookups!$B$58*0.6</f>
        <v>132535.48800000001</v>
      </c>
      <c r="BS274">
        <f>Lookups!$B$58*0.4</f>
        <v>88356.992000000013</v>
      </c>
      <c r="BT274">
        <f>Lookups!$B$59*Sales[[#This Row],[LnAcres]]</f>
        <v>-24051.387388882686</v>
      </c>
      <c r="BU274">
        <f>VLOOKUP(Sales[[#This Row],[Qlty]],Lookups!$A$66:$E$79,2,FALSE)</f>
        <v>37154.252388000001</v>
      </c>
      <c r="BV274">
        <f>VLOOKUP(Sales[[#This Row],[Cnd]],Lookups!$A$80:$E$91,2,FALSE)</f>
        <v>17761.121909000001</v>
      </c>
      <c r="BW274">
        <f>Sales[[#This Row],[EffAge]]*Lookups!$B$65</f>
        <v>-2174.8220000000001</v>
      </c>
      <c r="BX274">
        <f>Sales[[#This Row],[MainFn]]*Lookups!$B$90</f>
        <v>86126.324399999998</v>
      </c>
      <c r="BY274">
        <f>Sales[[#This Row],[UpprFn]]*Lookups!$B$91</f>
        <v>0</v>
      </c>
      <c r="BZ274">
        <f>Sales[[#This Row],[Bsmt]]*Lookups!$B$95</f>
        <v>0</v>
      </c>
      <c r="CA274">
        <f>VLOOKUP(Sales[[#This Row],[MsnryTrim]],Lookups!$A$90:$E$99,2,FALSE)</f>
        <v>-9412.7029999999995</v>
      </c>
      <c r="CB274">
        <f>Sales[[#This Row],[PrefabFP]]*Lookups!$B$92</f>
        <v>0</v>
      </c>
      <c r="CC274">
        <f>Sales[[#This Row],[AttGar]]*Lookups!$B$93</f>
        <v>15108.841268</v>
      </c>
      <c r="CD274">
        <f>Sales[[#This Row],[BltinGar]]*Lookups!$B$94</f>
        <v>0</v>
      </c>
      <c r="CE274">
        <f>SUM(Sales[[#This Row],[Days Prior Total]:[Mdl BltinGar]])</f>
        <v>277430.89714511734</v>
      </c>
      <c r="CF274">
        <f>ROUND(Sales[[#This Row],[25Det]],-2)</f>
        <v>0</v>
      </c>
      <c r="CG274">
        <f>ROUND(SUM(Sales[[#This Row],[Mdl Qlty]:[Mdl BltinGar]])+Sales[[#This Row],[Mdl Res Intercept]]+Sales[[#This Row],[Days Prior Total]],-2)</f>
        <v>213100</v>
      </c>
      <c r="CH274">
        <f>ROUND(Sales[[#This Row],[Mdl Land Intercept]]+Sales[[#This Row],[Mdl LnAcres]],-2)</f>
        <v>64300</v>
      </c>
      <c r="CI274">
        <f>Sales[[#This Row],[Unadj Res Value]]+Sales[[#This Row],[Unadj Det Value]]+Sales[[#This Row],[Unadj Land Value]]</f>
        <v>277400</v>
      </c>
      <c r="CJ274" s="10">
        <f>Sales[[#This Row],[Price]]/Sales[[#This Row],[Unadj Total Value]]</f>
        <v>1.128334534967556</v>
      </c>
      <c r="CK274" s="10">
        <f>(Sales[[#This Row],[Unadj Total Value]]-Sales[[#This Row],[24Final]])/Sales[[#This Row],[24Final]]</f>
        <v>-0.24186936321399288</v>
      </c>
      <c r="CL274">
        <f>VLOOKUP(Sales[[#This Row],[TNbhd]],Lookups!$M$3:$P$5,4,FALSE)</f>
        <v>0.99970000000000003</v>
      </c>
      <c r="CM274">
        <f>VLOOKUP(Sales[[#This Row],[Qlty]],Lookups!$M$8:$P$22,4,FALSE)</f>
        <v>0.99819999999999998</v>
      </c>
      <c r="CN274">
        <f>VLOOKUP(Sales[[#This Row],[Cnd]],Lookups!$R$8:$U$17,4,FALSE)</f>
        <v>0.99680000000000002</v>
      </c>
      <c r="CO274">
        <f>VLOOKUP(Sales[[#This Row],[LivArea Range]],Lookups!$R$25:$U$43,4,FALSE)</f>
        <v>0.99519999999999997</v>
      </c>
      <c r="CP274">
        <f>VLOOKUP(Sales[[#This Row],[Decade]],Lookups!$M$24:$P$40,4,FALSE)</f>
        <v>0.99560000000000004</v>
      </c>
      <c r="CQ274">
        <f>Sales[[#This Row],[Nbhd Adj]]*0.95</f>
        <v>0.94971499999999998</v>
      </c>
      <c r="CR274">
        <f>Sales[[#This Row],[Nbhd Adj]]*Sales[[#This Row],[Quality Adj]]*Sales[[#This Row],[Condition Adj]]*Sales[[#This Row],[Living Area Adj]]*Sales[[#This Row],[Decade Adj]]*0.95</f>
        <v>0.93629811172753274</v>
      </c>
      <c r="CS274">
        <f>ROUND(SUM(Sales[[#This Row],[Mdl Qlty]:[Mdl BltinGar]])+Sales[[#This Row],[Mdl Res Intercept]]*Sales[[#This Row],[Res Adj ]],-2)</f>
        <v>268700</v>
      </c>
      <c r="CT274">
        <f>ROUND(Sales[[#This Row],[25Det]]*Sales[[#This Row],[Det/Nbhd Adj]],-2)</f>
        <v>0</v>
      </c>
      <c r="CU274">
        <f>Sales[[#This Row],[Adjusted Res]]+Sales[[#This Row],[Adj Det ]]</f>
        <v>268700</v>
      </c>
      <c r="CV274">
        <f>ROUND((Sales[[#This Row],[Mdl Land Intercept]]+Sales[[#This Row],[Mdl LnAcres]])*Sales[[#This Row],[Det/Nbhd Adj]],-2)</f>
        <v>61100</v>
      </c>
      <c r="CW274">
        <f>Sales[[#This Row],[Adjusted Impr Total]]+Sales[[#This Row],[Adjusted Land Total]]</f>
        <v>329800</v>
      </c>
      <c r="CX274" s="10">
        <f>IFERROR((Sales[[#This Row],[Adjusted Impr Total]]-Sales[[#This Row],[24Bldg]])/Sales[[#This Row],[24Bldg]],0)</f>
        <v>-0.11930514585381842</v>
      </c>
      <c r="CY274" s="10">
        <f>(Sales[[#This Row],[Adjusted Land Total]]-Sales[[#This Row],[24Lnd]])/Sales[[#This Row],[24Lnd]]</f>
        <v>4.9342105263157892E-3</v>
      </c>
      <c r="CZ274">
        <f>(Sales[[#This Row],[Adjusted Total]]-Sales[[#This Row],[24Final]])/Sales[[#This Row],[24Final]]</f>
        <v>-9.8660836294069423E-2</v>
      </c>
      <c r="DA274" s="10">
        <f>(Sales[[#This Row],[Adjusted Total]]+Sales[[#This Row],[Days Prior Total]])/Sales[[#This Row],[Price]]</f>
        <v>0.84928686763258787</v>
      </c>
    </row>
    <row r="275" spans="1:105">
      <c r="A275">
        <v>2025</v>
      </c>
      <c r="B275">
        <v>19120144493</v>
      </c>
      <c r="C275">
        <v>-1.8325814637483102</v>
      </c>
      <c r="D275">
        <v>0.16</v>
      </c>
      <c r="E275">
        <v>7000</v>
      </c>
      <c r="F275">
        <v>2</v>
      </c>
      <c r="G275" t="s">
        <v>155</v>
      </c>
      <c r="H275">
        <v>317</v>
      </c>
      <c r="I275" t="s">
        <v>5</v>
      </c>
      <c r="J275" t="s">
        <v>156</v>
      </c>
      <c r="K275">
        <v>11</v>
      </c>
      <c r="L275">
        <v>259</v>
      </c>
      <c r="M275" t="s">
        <v>193</v>
      </c>
      <c r="N275" t="s">
        <v>19</v>
      </c>
      <c r="O275" t="s">
        <v>20</v>
      </c>
      <c r="P275">
        <v>2004</v>
      </c>
      <c r="Q275">
        <v>2004</v>
      </c>
      <c r="R275">
        <v>20</v>
      </c>
      <c r="S275">
        <v>20</v>
      </c>
      <c r="T275">
        <v>20</v>
      </c>
      <c r="U275">
        <v>1</v>
      </c>
      <c r="V275">
        <v>1706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1706</v>
      </c>
      <c r="AC275">
        <v>2000</v>
      </c>
      <c r="AD275">
        <v>0</v>
      </c>
      <c r="AE275" t="s">
        <v>56</v>
      </c>
      <c r="AF275" t="s">
        <v>331</v>
      </c>
      <c r="AG275" t="s">
        <v>27</v>
      </c>
      <c r="AH275" t="s">
        <v>161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10</v>
      </c>
      <c r="AO275">
        <v>466</v>
      </c>
      <c r="AP275">
        <v>0</v>
      </c>
      <c r="AQ275">
        <v>0</v>
      </c>
      <c r="AR275">
        <v>0</v>
      </c>
      <c r="AS275">
        <v>100</v>
      </c>
      <c r="AT275">
        <v>0</v>
      </c>
      <c r="AU275">
        <v>100</v>
      </c>
      <c r="AV275">
        <v>100</v>
      </c>
      <c r="AW275">
        <v>299330</v>
      </c>
      <c r="AX275">
        <v>278377</v>
      </c>
      <c r="AY275">
        <v>490</v>
      </c>
      <c r="AZ275">
        <v>365</v>
      </c>
      <c r="BA275">
        <v>125</v>
      </c>
      <c r="BB275">
        <v>0</v>
      </c>
      <c r="BC275" s="2">
        <v>44802</v>
      </c>
      <c r="BD275" t="s">
        <v>435</v>
      </c>
      <c r="BE275">
        <v>345000</v>
      </c>
      <c r="BF275">
        <v>345000</v>
      </c>
      <c r="BG275" t="s">
        <v>160</v>
      </c>
      <c r="BH275">
        <v>30</v>
      </c>
      <c r="BI275" t="s">
        <v>56</v>
      </c>
      <c r="BJ275" t="s">
        <v>161</v>
      </c>
      <c r="BK275">
        <v>380900</v>
      </c>
      <c r="BL275">
        <v>60800</v>
      </c>
      <c r="BM275">
        <v>320100</v>
      </c>
      <c r="BN275">
        <v>0</v>
      </c>
      <c r="BO275">
        <v>370666.67054466181</v>
      </c>
      <c r="BP275">
        <v>375630.54156492691</v>
      </c>
      <c r="BQ275">
        <f>(Sales[[#This Row],[DP1]]*Lookups!$B$61)+(Sales[[#This Row],[DP2]]*Lookups!$B$62)+(Sales[[#This Row],[DP3]]*Lookups!$B$63)</f>
        <v>-4963.8706309999998</v>
      </c>
      <c r="BR275">
        <f>Lookups!$B$58*0.6</f>
        <v>132535.48800000001</v>
      </c>
      <c r="BS275">
        <f>Lookups!$B$58*0.4</f>
        <v>88356.992000000013</v>
      </c>
      <c r="BT275">
        <f>Lookups!$B$59*Sales[[#This Row],[LnAcres]]</f>
        <v>-24051.387388882686</v>
      </c>
      <c r="BU275">
        <f>VLOOKUP(Sales[[#This Row],[Qlty]],Lookups!$A$66:$E$79,2,FALSE)</f>
        <v>37154.252388000001</v>
      </c>
      <c r="BV275">
        <f>VLOOKUP(Sales[[#This Row],[Cnd]],Lookups!$A$80:$E$91,2,FALSE)</f>
        <v>30300.329274</v>
      </c>
      <c r="BW275">
        <f>Sales[[#This Row],[EffAge]]*Lookups!$B$65</f>
        <v>-2174.8220000000001</v>
      </c>
      <c r="BX275">
        <f>Sales[[#This Row],[MainFn]]*Lookups!$B$90</f>
        <v>106472.10828</v>
      </c>
      <c r="BY275">
        <f>Sales[[#This Row],[UpprFn]]*Lookups!$B$91</f>
        <v>0</v>
      </c>
      <c r="BZ275">
        <f>Sales[[#This Row],[Bsmt]]*Lookups!$B$95</f>
        <v>0</v>
      </c>
      <c r="CA275">
        <f>VLOOKUP(Sales[[#This Row],[MsnryTrim]],Lookups!$A$90:$E$99,2,FALSE)</f>
        <v>-9412.7029999999995</v>
      </c>
      <c r="CB275">
        <f>Sales[[#This Row],[PrefabFP]]*Lookups!$B$92</f>
        <v>0</v>
      </c>
      <c r="CC275">
        <f>Sales[[#This Row],[AttGar]]*Lookups!$B$93</f>
        <v>16450.280446000001</v>
      </c>
      <c r="CD275">
        <f>Sales[[#This Row],[BltinGar]]*Lookups!$B$94</f>
        <v>0</v>
      </c>
      <c r="CE275">
        <f>SUM(Sales[[#This Row],[Days Prior Total]:[Mdl BltinGar]])</f>
        <v>370666.66736811731</v>
      </c>
      <c r="CF275">
        <f>ROUND(Sales[[#This Row],[25Det]],-2)</f>
        <v>0</v>
      </c>
      <c r="CG275">
        <f>ROUND(SUM(Sales[[#This Row],[Mdl Qlty]:[Mdl BltinGar]])+Sales[[#This Row],[Mdl Res Intercept]]+Sales[[#This Row],[Days Prior Total]],-2)</f>
        <v>306400</v>
      </c>
      <c r="CH275">
        <f>ROUND(Sales[[#This Row],[Mdl Land Intercept]]+Sales[[#This Row],[Mdl LnAcres]],-2)</f>
        <v>64300</v>
      </c>
      <c r="CI275">
        <f>Sales[[#This Row],[Unadj Res Value]]+Sales[[#This Row],[Unadj Det Value]]+Sales[[#This Row],[Unadj Land Value]]</f>
        <v>370700</v>
      </c>
      <c r="CJ275" s="10">
        <f>Sales[[#This Row],[Price]]/Sales[[#This Row],[Unadj Total Value]]</f>
        <v>0.93067170218505535</v>
      </c>
      <c r="CK275" s="10">
        <f>(Sales[[#This Row],[Unadj Total Value]]-Sales[[#This Row],[24Final]])/Sales[[#This Row],[24Final]]</f>
        <v>-2.6778682068784459E-2</v>
      </c>
      <c r="CL275">
        <f>VLOOKUP(Sales[[#This Row],[TNbhd]],Lookups!$M$3:$P$5,4,FALSE)</f>
        <v>0.99970000000000003</v>
      </c>
      <c r="CM275">
        <f>VLOOKUP(Sales[[#This Row],[Qlty]],Lookups!$M$8:$P$22,4,FALSE)</f>
        <v>0.99819999999999998</v>
      </c>
      <c r="CN275">
        <f>VLOOKUP(Sales[[#This Row],[Cnd]],Lookups!$R$8:$U$17,4,FALSE)</f>
        <v>0.997</v>
      </c>
      <c r="CO275">
        <f>VLOOKUP(Sales[[#This Row],[LivArea Range]],Lookups!$R$25:$U$43,4,FALSE)</f>
        <v>1.0007999999999999</v>
      </c>
      <c r="CP275">
        <f>VLOOKUP(Sales[[#This Row],[Decade]],Lookups!$M$24:$P$40,4,FALSE)</f>
        <v>0.99560000000000004</v>
      </c>
      <c r="CQ275">
        <f>Sales[[#This Row],[Nbhd Adj]]*0.95</f>
        <v>0.94971499999999998</v>
      </c>
      <c r="CR275">
        <f>Sales[[#This Row],[Nbhd Adj]]*Sales[[#This Row],[Quality Adj]]*Sales[[#This Row],[Condition Adj]]*Sales[[#This Row],[Living Area Adj]]*Sales[[#This Row],[Decade Adj]]*0.95</f>
        <v>0.94175558810527282</v>
      </c>
      <c r="CS275">
        <f>ROUND(SUM(Sales[[#This Row],[Mdl Qlty]:[Mdl BltinGar]])+Sales[[#This Row],[Mdl Res Intercept]]*Sales[[#This Row],[Res Adj ]],-2)</f>
        <v>303600</v>
      </c>
      <c r="CT275">
        <f>ROUND(Sales[[#This Row],[25Det]]*Sales[[#This Row],[Det/Nbhd Adj]],-2)</f>
        <v>0</v>
      </c>
      <c r="CU275">
        <f>Sales[[#This Row],[Adjusted Res]]+Sales[[#This Row],[Adj Det ]]</f>
        <v>303600</v>
      </c>
      <c r="CV275">
        <f>ROUND((Sales[[#This Row],[Mdl Land Intercept]]+Sales[[#This Row],[Mdl LnAcres]])*Sales[[#This Row],[Det/Nbhd Adj]],-2)</f>
        <v>61100</v>
      </c>
      <c r="CW275">
        <f>Sales[[#This Row],[Adjusted Impr Total]]+Sales[[#This Row],[Adjusted Land Total]]</f>
        <v>364700</v>
      </c>
      <c r="CX275" s="10">
        <f>IFERROR((Sales[[#This Row],[Adjusted Impr Total]]-Sales[[#This Row],[24Bldg]])/Sales[[#This Row],[24Bldg]],0)</f>
        <v>-5.1546391752577317E-2</v>
      </c>
      <c r="CY275" s="10">
        <f>(Sales[[#This Row],[Adjusted Land Total]]-Sales[[#This Row],[24Lnd]])/Sales[[#This Row],[24Lnd]]</f>
        <v>4.9342105263157892E-3</v>
      </c>
      <c r="CZ275">
        <f>(Sales[[#This Row],[Adjusted Total]]-Sales[[#This Row],[24Final]])/Sales[[#This Row],[24Final]]</f>
        <v>-4.2530847991598848E-2</v>
      </c>
      <c r="DA275" s="10">
        <f>(Sales[[#This Row],[Adjusted Total]]+Sales[[#This Row],[Days Prior Total]])/Sales[[#This Row],[Price]]</f>
        <v>1.0427134184608695</v>
      </c>
    </row>
    <row r="276" spans="1:105">
      <c r="A276">
        <v>2025</v>
      </c>
      <c r="B276">
        <v>19120144494</v>
      </c>
      <c r="C276">
        <v>-1.8325814637483102</v>
      </c>
      <c r="D276">
        <v>0.16</v>
      </c>
      <c r="E276">
        <v>7159</v>
      </c>
      <c r="F276">
        <v>2</v>
      </c>
      <c r="G276" t="s">
        <v>155</v>
      </c>
      <c r="H276">
        <v>317</v>
      </c>
      <c r="I276" t="s">
        <v>5</v>
      </c>
      <c r="J276" t="s">
        <v>156</v>
      </c>
      <c r="K276">
        <v>11</v>
      </c>
      <c r="L276">
        <v>259</v>
      </c>
      <c r="M276" t="s">
        <v>193</v>
      </c>
      <c r="N276" t="s">
        <v>19</v>
      </c>
      <c r="O276" t="s">
        <v>20</v>
      </c>
      <c r="P276">
        <v>2004</v>
      </c>
      <c r="Q276">
        <v>2004</v>
      </c>
      <c r="R276">
        <v>20</v>
      </c>
      <c r="S276">
        <v>20</v>
      </c>
      <c r="T276">
        <v>20</v>
      </c>
      <c r="U276">
        <v>1</v>
      </c>
      <c r="V276">
        <v>1543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1543</v>
      </c>
      <c r="AC276">
        <v>2000</v>
      </c>
      <c r="AD276">
        <v>2</v>
      </c>
      <c r="AE276" t="s">
        <v>57</v>
      </c>
      <c r="AF276" t="s">
        <v>331</v>
      </c>
      <c r="AG276" t="s">
        <v>21</v>
      </c>
      <c r="AH276" t="s">
        <v>161</v>
      </c>
      <c r="AI276">
        <v>0</v>
      </c>
      <c r="AJ276">
        <v>0</v>
      </c>
      <c r="AK276">
        <v>0</v>
      </c>
      <c r="AL276">
        <v>1</v>
      </c>
      <c r="AM276">
        <v>0</v>
      </c>
      <c r="AN276">
        <v>8</v>
      </c>
      <c r="AO276">
        <v>433</v>
      </c>
      <c r="AP276">
        <v>0</v>
      </c>
      <c r="AQ276">
        <v>0</v>
      </c>
      <c r="AR276">
        <v>0</v>
      </c>
      <c r="AS276">
        <v>500</v>
      </c>
      <c r="AT276">
        <v>0</v>
      </c>
      <c r="AU276">
        <v>100</v>
      </c>
      <c r="AV276">
        <v>100</v>
      </c>
      <c r="AW276">
        <v>275036</v>
      </c>
      <c r="AX276">
        <v>255783</v>
      </c>
      <c r="AY276">
        <v>684</v>
      </c>
      <c r="AZ276">
        <v>365</v>
      </c>
      <c r="BA276">
        <v>319</v>
      </c>
      <c r="BB276">
        <v>0</v>
      </c>
      <c r="BC276" s="2">
        <v>44608</v>
      </c>
      <c r="BD276" t="s">
        <v>436</v>
      </c>
      <c r="BE276">
        <v>320000</v>
      </c>
      <c r="BF276">
        <v>320000</v>
      </c>
      <c r="BG276" t="s">
        <v>160</v>
      </c>
      <c r="BH276">
        <v>30</v>
      </c>
      <c r="BI276" t="s">
        <v>56</v>
      </c>
      <c r="BJ276" t="s">
        <v>161</v>
      </c>
      <c r="BK276">
        <v>370600</v>
      </c>
      <c r="BL276">
        <v>60800</v>
      </c>
      <c r="BM276">
        <v>309800</v>
      </c>
      <c r="BN276">
        <v>0</v>
      </c>
      <c r="BO276">
        <v>359770.37633641699</v>
      </c>
      <c r="BP276">
        <v>377818.29667990637</v>
      </c>
      <c r="BQ276">
        <f>(Sales[[#This Row],[DP1]]*Lookups!$B$61)+(Sales[[#This Row],[DP2]]*Lookups!$B$62)+(Sales[[#This Row],[DP3]]*Lookups!$B$63)</f>
        <v>-18047.919331000001</v>
      </c>
      <c r="BR276">
        <f>Lookups!$B$58*0.6</f>
        <v>132535.48800000001</v>
      </c>
      <c r="BS276">
        <f>Lookups!$B$58*0.4</f>
        <v>88356.992000000013</v>
      </c>
      <c r="BT276">
        <f>Lookups!$B$59*Sales[[#This Row],[LnAcres]]</f>
        <v>-24051.387388882686</v>
      </c>
      <c r="BU276">
        <f>VLOOKUP(Sales[[#This Row],[Qlty]],Lookups!$A$66:$E$79,2,FALSE)</f>
        <v>37154.252388000001</v>
      </c>
      <c r="BV276">
        <f>VLOOKUP(Sales[[#This Row],[Cnd]],Lookups!$A$80:$E$91,2,FALSE)</f>
        <v>30300.329274</v>
      </c>
      <c r="BW276">
        <f>Sales[[#This Row],[EffAge]]*Lookups!$B$65</f>
        <v>-2174.8220000000001</v>
      </c>
      <c r="BX276">
        <f>Sales[[#This Row],[MainFn]]*Lookups!$B$90</f>
        <v>96299.216339999999</v>
      </c>
      <c r="BY276">
        <f>Sales[[#This Row],[UpprFn]]*Lookups!$B$91</f>
        <v>0</v>
      </c>
      <c r="BZ276">
        <f>Sales[[#This Row],[Bsmt]]*Lookups!$B$95</f>
        <v>0</v>
      </c>
      <c r="CA276">
        <f>VLOOKUP(Sales[[#This Row],[MsnryTrim]],Lookups!$A$90:$E$99,2,FALSE)</f>
        <v>4112.8784489</v>
      </c>
      <c r="CB276">
        <f>Sales[[#This Row],[PrefabFP]]*Lookups!$B$92</f>
        <v>0</v>
      </c>
      <c r="CC276">
        <f>Sales[[#This Row],[AttGar]]*Lookups!$B$93</f>
        <v>15285.346423000001</v>
      </c>
      <c r="CD276">
        <f>Sales[[#This Row],[BltinGar]]*Lookups!$B$94</f>
        <v>0</v>
      </c>
      <c r="CE276">
        <f>SUM(Sales[[#This Row],[Days Prior Total]:[Mdl BltinGar]])</f>
        <v>359770.37415401731</v>
      </c>
      <c r="CF276">
        <f>ROUND(Sales[[#This Row],[25Det]],-2)</f>
        <v>0</v>
      </c>
      <c r="CG276">
        <f>ROUND(SUM(Sales[[#This Row],[Mdl Qlty]:[Mdl BltinGar]])+Sales[[#This Row],[Mdl Res Intercept]]+Sales[[#This Row],[Days Prior Total]],-2)</f>
        <v>295500</v>
      </c>
      <c r="CH276">
        <f>ROUND(Sales[[#This Row],[Mdl Land Intercept]]+Sales[[#This Row],[Mdl LnAcres]],-2)</f>
        <v>64300</v>
      </c>
      <c r="CI276">
        <f>Sales[[#This Row],[Unadj Res Value]]+Sales[[#This Row],[Unadj Det Value]]+Sales[[#This Row],[Unadj Land Value]]</f>
        <v>359800</v>
      </c>
      <c r="CJ276" s="10">
        <f>Sales[[#This Row],[Price]]/Sales[[#This Row],[Unadj Total Value]]</f>
        <v>0.88938299055030567</v>
      </c>
      <c r="CK276" s="10">
        <f>(Sales[[#This Row],[Unadj Total Value]]-Sales[[#This Row],[24Final]])/Sales[[#This Row],[24Final]]</f>
        <v>-2.9141932002158661E-2</v>
      </c>
      <c r="CL276">
        <f>VLOOKUP(Sales[[#This Row],[TNbhd]],Lookups!$M$3:$P$5,4,FALSE)</f>
        <v>0.99970000000000003</v>
      </c>
      <c r="CM276">
        <f>VLOOKUP(Sales[[#This Row],[Qlty]],Lookups!$M$8:$P$22,4,FALSE)</f>
        <v>0.99819999999999998</v>
      </c>
      <c r="CN276">
        <f>VLOOKUP(Sales[[#This Row],[Cnd]],Lookups!$R$8:$U$17,4,FALSE)</f>
        <v>0.997</v>
      </c>
      <c r="CO276">
        <f>VLOOKUP(Sales[[#This Row],[LivArea Range]],Lookups!$R$25:$U$43,4,FALSE)</f>
        <v>1.0007999999999999</v>
      </c>
      <c r="CP276">
        <f>VLOOKUP(Sales[[#This Row],[Decade]],Lookups!$M$24:$P$40,4,FALSE)</f>
        <v>0.99560000000000004</v>
      </c>
      <c r="CQ276">
        <f>Sales[[#This Row],[Nbhd Adj]]*0.95</f>
        <v>0.94971499999999998</v>
      </c>
      <c r="CR276">
        <f>Sales[[#This Row],[Nbhd Adj]]*Sales[[#This Row],[Quality Adj]]*Sales[[#This Row],[Condition Adj]]*Sales[[#This Row],[Living Area Adj]]*Sales[[#This Row],[Decade Adj]]*0.95</f>
        <v>0.94175558810527282</v>
      </c>
      <c r="CS276">
        <f>ROUND(SUM(Sales[[#This Row],[Mdl Qlty]:[Mdl BltinGar]])+Sales[[#This Row],[Mdl Res Intercept]]*Sales[[#This Row],[Res Adj ]],-2)</f>
        <v>305800</v>
      </c>
      <c r="CT276">
        <f>ROUND(Sales[[#This Row],[25Det]]*Sales[[#This Row],[Det/Nbhd Adj]],-2)</f>
        <v>0</v>
      </c>
      <c r="CU276">
        <f>Sales[[#This Row],[Adjusted Res]]+Sales[[#This Row],[Adj Det ]]</f>
        <v>305800</v>
      </c>
      <c r="CV276">
        <f>ROUND((Sales[[#This Row],[Mdl Land Intercept]]+Sales[[#This Row],[Mdl LnAcres]])*Sales[[#This Row],[Det/Nbhd Adj]],-2)</f>
        <v>61100</v>
      </c>
      <c r="CW276">
        <f>Sales[[#This Row],[Adjusted Impr Total]]+Sales[[#This Row],[Adjusted Land Total]]</f>
        <v>366900</v>
      </c>
      <c r="CX276" s="10">
        <f>IFERROR((Sales[[#This Row],[Adjusted Impr Total]]-Sales[[#This Row],[24Bldg]])/Sales[[#This Row],[24Bldg]],0)</f>
        <v>-1.2911555842479019E-2</v>
      </c>
      <c r="CY276" s="10">
        <f>(Sales[[#This Row],[Adjusted Land Total]]-Sales[[#This Row],[24Lnd]])/Sales[[#This Row],[24Lnd]]</f>
        <v>4.9342105263157892E-3</v>
      </c>
      <c r="CZ276">
        <f>(Sales[[#This Row],[Adjusted Total]]-Sales[[#This Row],[24Final]])/Sales[[#This Row],[24Final]]</f>
        <v>-9.983810037776578E-3</v>
      </c>
      <c r="DA276" s="10">
        <f>(Sales[[#This Row],[Adjusted Total]]+Sales[[#This Row],[Days Prior Total]])/Sales[[#This Row],[Price]]</f>
        <v>1.090162752090625</v>
      </c>
    </row>
    <row r="277" spans="1:105">
      <c r="A277">
        <v>2025</v>
      </c>
      <c r="B277">
        <v>19120144502</v>
      </c>
      <c r="C277">
        <v>-1.8325814637483102</v>
      </c>
      <c r="D277">
        <v>0.16</v>
      </c>
      <c r="E277">
        <v>7018</v>
      </c>
      <c r="F277">
        <v>2</v>
      </c>
      <c r="G277" t="s">
        <v>155</v>
      </c>
      <c r="H277">
        <v>317</v>
      </c>
      <c r="I277" t="s">
        <v>5</v>
      </c>
      <c r="J277" t="s">
        <v>437</v>
      </c>
      <c r="K277">
        <v>11</v>
      </c>
      <c r="L277">
        <v>259</v>
      </c>
      <c r="M277" t="s">
        <v>193</v>
      </c>
      <c r="N277" t="s">
        <v>19</v>
      </c>
      <c r="O277" t="s">
        <v>18</v>
      </c>
      <c r="P277">
        <v>2004</v>
      </c>
      <c r="Q277">
        <v>2004</v>
      </c>
      <c r="R277">
        <v>20</v>
      </c>
      <c r="S277">
        <v>20</v>
      </c>
      <c r="T277">
        <v>20</v>
      </c>
      <c r="U277">
        <v>1</v>
      </c>
      <c r="V277">
        <v>1706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1706</v>
      </c>
      <c r="AC277">
        <v>2000</v>
      </c>
      <c r="AD277">
        <v>2</v>
      </c>
      <c r="AE277" t="s">
        <v>56</v>
      </c>
      <c r="AF277" t="s">
        <v>331</v>
      </c>
      <c r="AG277" t="s">
        <v>27</v>
      </c>
      <c r="AH277" t="s">
        <v>161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10</v>
      </c>
      <c r="AO277">
        <v>466</v>
      </c>
      <c r="AP277">
        <v>0</v>
      </c>
      <c r="AQ277">
        <v>0</v>
      </c>
      <c r="AR277">
        <v>0</v>
      </c>
      <c r="AS277">
        <v>448</v>
      </c>
      <c r="AT277">
        <v>0</v>
      </c>
      <c r="AU277">
        <v>100</v>
      </c>
      <c r="AV277">
        <v>100</v>
      </c>
      <c r="AW277">
        <v>302843</v>
      </c>
      <c r="AX277">
        <v>272559</v>
      </c>
      <c r="AY277">
        <v>718</v>
      </c>
      <c r="AZ277">
        <v>365</v>
      </c>
      <c r="BA277">
        <v>353</v>
      </c>
      <c r="BB277">
        <v>0</v>
      </c>
      <c r="BC277" s="2">
        <v>44574</v>
      </c>
      <c r="BD277" t="s">
        <v>438</v>
      </c>
      <c r="BE277">
        <v>304500</v>
      </c>
      <c r="BF277">
        <v>304500</v>
      </c>
      <c r="BG277" t="s">
        <v>160</v>
      </c>
      <c r="BH277">
        <v>30</v>
      </c>
      <c r="BI277" t="s">
        <v>56</v>
      </c>
      <c r="BJ277" t="s">
        <v>161</v>
      </c>
      <c r="BK277">
        <v>380900</v>
      </c>
      <c r="BL277">
        <v>60800</v>
      </c>
      <c r="BM277">
        <v>320100</v>
      </c>
      <c r="BN277">
        <v>0</v>
      </c>
      <c r="BO277">
        <v>342750.33304650761</v>
      </c>
      <c r="BP277">
        <v>363091.33419922186</v>
      </c>
      <c r="BQ277">
        <f>(Sales[[#This Row],[DP1]]*Lookups!$B$61)+(Sales[[#This Row],[DP2]]*Lookups!$B$62)+(Sales[[#This Row],[DP3]]*Lookups!$B$63)</f>
        <v>-20341.000031</v>
      </c>
      <c r="BR277">
        <f>Lookups!$B$58*0.6</f>
        <v>132535.48800000001</v>
      </c>
      <c r="BS277">
        <f>Lookups!$B$58*0.4</f>
        <v>88356.992000000013</v>
      </c>
      <c r="BT277">
        <f>Lookups!$B$59*Sales[[#This Row],[LnAcres]]</f>
        <v>-24051.387388882686</v>
      </c>
      <c r="BU277">
        <f>VLOOKUP(Sales[[#This Row],[Qlty]],Lookups!$A$66:$E$79,2,FALSE)</f>
        <v>37154.252388000001</v>
      </c>
      <c r="BV277">
        <f>VLOOKUP(Sales[[#This Row],[Cnd]],Lookups!$A$80:$E$91,2,FALSE)</f>
        <v>17761.121909000001</v>
      </c>
      <c r="BW277">
        <f>Sales[[#This Row],[EffAge]]*Lookups!$B$65</f>
        <v>-2174.8220000000001</v>
      </c>
      <c r="BX277">
        <f>Sales[[#This Row],[MainFn]]*Lookups!$B$90</f>
        <v>106472.10828</v>
      </c>
      <c r="BY277">
        <f>Sales[[#This Row],[UpprFn]]*Lookups!$B$91</f>
        <v>0</v>
      </c>
      <c r="BZ277">
        <f>Sales[[#This Row],[Bsmt]]*Lookups!$B$95</f>
        <v>0</v>
      </c>
      <c r="CA277">
        <f>VLOOKUP(Sales[[#This Row],[MsnryTrim]],Lookups!$A$90:$E$99,2,FALSE)</f>
        <v>-9412.7029999999995</v>
      </c>
      <c r="CB277">
        <f>Sales[[#This Row],[PrefabFP]]*Lookups!$B$92</f>
        <v>0</v>
      </c>
      <c r="CC277">
        <f>Sales[[#This Row],[AttGar]]*Lookups!$B$93</f>
        <v>16450.280446000001</v>
      </c>
      <c r="CD277">
        <f>Sales[[#This Row],[BltinGar]]*Lookups!$B$94</f>
        <v>0</v>
      </c>
      <c r="CE277">
        <f>SUM(Sales[[#This Row],[Days Prior Total]:[Mdl BltinGar]])</f>
        <v>342750.33060311736</v>
      </c>
      <c r="CF277">
        <f>ROUND(Sales[[#This Row],[25Det]],-2)</f>
        <v>0</v>
      </c>
      <c r="CG277">
        <f>ROUND(SUM(Sales[[#This Row],[Mdl Qlty]:[Mdl BltinGar]])+Sales[[#This Row],[Mdl Res Intercept]]+Sales[[#This Row],[Days Prior Total]],-2)</f>
        <v>278400</v>
      </c>
      <c r="CH277">
        <f>ROUND(Sales[[#This Row],[Mdl Land Intercept]]+Sales[[#This Row],[Mdl LnAcres]],-2)</f>
        <v>64300</v>
      </c>
      <c r="CI277">
        <f>Sales[[#This Row],[Unadj Res Value]]+Sales[[#This Row],[Unadj Det Value]]+Sales[[#This Row],[Unadj Land Value]]</f>
        <v>342700</v>
      </c>
      <c r="CJ277" s="10">
        <f>Sales[[#This Row],[Price]]/Sales[[#This Row],[Unadj Total Value]]</f>
        <v>0.88853224394514152</v>
      </c>
      <c r="CK277" s="10">
        <f>(Sales[[#This Row],[Unadj Total Value]]-Sales[[#This Row],[24Final]])/Sales[[#This Row],[24Final]]</f>
        <v>-0.10028878970858493</v>
      </c>
      <c r="CL277">
        <f>VLOOKUP(Sales[[#This Row],[TNbhd]],Lookups!$M$3:$P$5,4,FALSE)</f>
        <v>0.99970000000000003</v>
      </c>
      <c r="CM277">
        <f>VLOOKUP(Sales[[#This Row],[Qlty]],Lookups!$M$8:$P$22,4,FALSE)</f>
        <v>0.99819999999999998</v>
      </c>
      <c r="CN277">
        <f>VLOOKUP(Sales[[#This Row],[Cnd]],Lookups!$R$8:$U$17,4,FALSE)</f>
        <v>0.99680000000000002</v>
      </c>
      <c r="CO277">
        <f>VLOOKUP(Sales[[#This Row],[LivArea Range]],Lookups!$R$25:$U$43,4,FALSE)</f>
        <v>1.0007999999999999</v>
      </c>
      <c r="CP277">
        <f>VLOOKUP(Sales[[#This Row],[Decade]],Lookups!$M$24:$P$40,4,FALSE)</f>
        <v>0.99560000000000004</v>
      </c>
      <c r="CQ277">
        <f>Sales[[#This Row],[Nbhd Adj]]*0.95</f>
        <v>0.94971499999999998</v>
      </c>
      <c r="CR277">
        <f>Sales[[#This Row],[Nbhd Adj]]*Sales[[#This Row],[Quality Adj]]*Sales[[#This Row],[Condition Adj]]*Sales[[#This Row],[Living Area Adj]]*Sales[[#This Row],[Decade Adj]]*0.95</f>
        <v>0.94156667023403817</v>
      </c>
      <c r="CS277">
        <f>ROUND(SUM(Sales[[#This Row],[Mdl Qlty]:[Mdl BltinGar]])+Sales[[#This Row],[Mdl Res Intercept]]*Sales[[#This Row],[Res Adj ]],-2)</f>
        <v>291000</v>
      </c>
      <c r="CT277">
        <f>ROUND(Sales[[#This Row],[25Det]]*Sales[[#This Row],[Det/Nbhd Adj]],-2)</f>
        <v>0</v>
      </c>
      <c r="CU277">
        <f>Sales[[#This Row],[Adjusted Res]]+Sales[[#This Row],[Adj Det ]]</f>
        <v>291000</v>
      </c>
      <c r="CV277">
        <f>ROUND((Sales[[#This Row],[Mdl Land Intercept]]+Sales[[#This Row],[Mdl LnAcres]])*Sales[[#This Row],[Det/Nbhd Adj]],-2)</f>
        <v>61100</v>
      </c>
      <c r="CW277">
        <f>Sales[[#This Row],[Adjusted Impr Total]]+Sales[[#This Row],[Adjusted Land Total]]</f>
        <v>352100</v>
      </c>
      <c r="CX277" s="10">
        <f>IFERROR((Sales[[#This Row],[Adjusted Impr Total]]-Sales[[#This Row],[24Bldg]])/Sales[[#This Row],[24Bldg]],0)</f>
        <v>-9.0909090909090912E-2</v>
      </c>
      <c r="CY277" s="10">
        <f>(Sales[[#This Row],[Adjusted Land Total]]-Sales[[#This Row],[24Lnd]])/Sales[[#This Row],[24Lnd]]</f>
        <v>4.9342105263157892E-3</v>
      </c>
      <c r="CZ277">
        <f>(Sales[[#This Row],[Adjusted Total]]-Sales[[#This Row],[24Final]])/Sales[[#This Row],[24Final]]</f>
        <v>-7.5610396429509064E-2</v>
      </c>
      <c r="DA277" s="10">
        <f>(Sales[[#This Row],[Adjusted Total]]+Sales[[#This Row],[Days Prior Total]])/Sales[[#This Row],[Price]]</f>
        <v>1.0895205253497537</v>
      </c>
    </row>
    <row r="278" spans="1:105">
      <c r="A278">
        <v>2025</v>
      </c>
      <c r="B278">
        <v>19120144513</v>
      </c>
      <c r="C278">
        <v>-1.8325814637483102</v>
      </c>
      <c r="D278">
        <v>0.16</v>
      </c>
      <c r="E278">
        <v>7013</v>
      </c>
      <c r="F278">
        <v>2</v>
      </c>
      <c r="G278" t="s">
        <v>155</v>
      </c>
      <c r="H278">
        <v>317</v>
      </c>
      <c r="I278" t="s">
        <v>5</v>
      </c>
      <c r="J278" t="s">
        <v>437</v>
      </c>
      <c r="K278">
        <v>11</v>
      </c>
      <c r="L278">
        <v>259</v>
      </c>
      <c r="M278" t="s">
        <v>193</v>
      </c>
      <c r="N278" t="s">
        <v>19</v>
      </c>
      <c r="O278" t="s">
        <v>18</v>
      </c>
      <c r="P278">
        <v>2004</v>
      </c>
      <c r="Q278">
        <v>2004</v>
      </c>
      <c r="R278">
        <v>20</v>
      </c>
      <c r="S278">
        <v>20</v>
      </c>
      <c r="T278">
        <v>20</v>
      </c>
      <c r="U278">
        <v>1</v>
      </c>
      <c r="V278">
        <v>1380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1380</v>
      </c>
      <c r="AC278">
        <v>1500</v>
      </c>
      <c r="AD278">
        <v>2</v>
      </c>
      <c r="AE278" t="s">
        <v>56</v>
      </c>
      <c r="AF278" t="s">
        <v>331</v>
      </c>
      <c r="AG278" t="s">
        <v>21</v>
      </c>
      <c r="AH278" t="s">
        <v>161</v>
      </c>
      <c r="AI278">
        <v>0</v>
      </c>
      <c r="AJ278">
        <v>0</v>
      </c>
      <c r="AK278">
        <v>0</v>
      </c>
      <c r="AL278">
        <v>1</v>
      </c>
      <c r="AM278">
        <v>0</v>
      </c>
      <c r="AN278">
        <v>8</v>
      </c>
      <c r="AO278">
        <v>428</v>
      </c>
      <c r="AP278">
        <v>0</v>
      </c>
      <c r="AQ278">
        <v>0</v>
      </c>
      <c r="AR278">
        <v>0</v>
      </c>
      <c r="AS278">
        <v>100</v>
      </c>
      <c r="AT278">
        <v>0</v>
      </c>
      <c r="AU278">
        <v>100</v>
      </c>
      <c r="AV278">
        <v>100</v>
      </c>
      <c r="AW278">
        <v>248548</v>
      </c>
      <c r="AX278">
        <v>223693</v>
      </c>
      <c r="AY278">
        <v>859</v>
      </c>
      <c r="AZ278">
        <v>365</v>
      </c>
      <c r="BA278">
        <v>365</v>
      </c>
      <c r="BB278">
        <v>129</v>
      </c>
      <c r="BC278" s="2">
        <v>44433</v>
      </c>
      <c r="BD278" t="s">
        <v>439</v>
      </c>
      <c r="BE278">
        <v>267200</v>
      </c>
      <c r="BF278">
        <v>267200</v>
      </c>
      <c r="BG278" t="s">
        <v>160</v>
      </c>
      <c r="BH278">
        <v>30</v>
      </c>
      <c r="BI278" t="s">
        <v>56</v>
      </c>
      <c r="BJ278" t="s">
        <v>161</v>
      </c>
      <c r="BK278">
        <v>365900</v>
      </c>
      <c r="BL278">
        <v>60800</v>
      </c>
      <c r="BM278">
        <v>305100</v>
      </c>
      <c r="BN278">
        <v>0</v>
      </c>
      <c r="BO278">
        <v>290712.86364800524</v>
      </c>
      <c r="BP278">
        <v>341404.11114713986</v>
      </c>
      <c r="BQ278">
        <f>(Sales[[#This Row],[DP1]]*Lookups!$B$61)+(Sales[[#This Row],[DP2]]*Lookups!$B$62)+(Sales[[#This Row],[DP3]]*Lookups!$B$63)</f>
        <v>-50691.245231000001</v>
      </c>
      <c r="BR278">
        <f>Lookups!$B$58*0.6</f>
        <v>132535.48800000001</v>
      </c>
      <c r="BS278">
        <f>Lookups!$B$58*0.4</f>
        <v>88356.992000000013</v>
      </c>
      <c r="BT278">
        <f>Lookups!$B$59*Sales[[#This Row],[LnAcres]]</f>
        <v>-24051.387388882686</v>
      </c>
      <c r="BU278">
        <f>VLOOKUP(Sales[[#This Row],[Qlty]],Lookups!$A$66:$E$79,2,FALSE)</f>
        <v>37154.252388000001</v>
      </c>
      <c r="BV278">
        <f>VLOOKUP(Sales[[#This Row],[Cnd]],Lookups!$A$80:$E$91,2,FALSE)</f>
        <v>17761.121909000001</v>
      </c>
      <c r="BW278">
        <f>Sales[[#This Row],[EffAge]]*Lookups!$B$65</f>
        <v>-2174.8220000000001</v>
      </c>
      <c r="BX278">
        <f>Sales[[#This Row],[MainFn]]*Lookups!$B$90</f>
        <v>86126.324399999998</v>
      </c>
      <c r="BY278">
        <f>Sales[[#This Row],[UpprFn]]*Lookups!$B$91</f>
        <v>0</v>
      </c>
      <c r="BZ278">
        <f>Sales[[#This Row],[Bsmt]]*Lookups!$B$95</f>
        <v>0</v>
      </c>
      <c r="CA278">
        <f>VLOOKUP(Sales[[#This Row],[MsnryTrim]],Lookups!$A$90:$E$99,2,FALSE)</f>
        <v>-9412.7029999999995</v>
      </c>
      <c r="CB278">
        <f>Sales[[#This Row],[PrefabFP]]*Lookups!$B$92</f>
        <v>0</v>
      </c>
      <c r="CC278">
        <f>Sales[[#This Row],[AttGar]]*Lookups!$B$93</f>
        <v>15108.841268</v>
      </c>
      <c r="CD278">
        <f>Sales[[#This Row],[BltinGar]]*Lookups!$B$94</f>
        <v>0</v>
      </c>
      <c r="CE278">
        <f>SUM(Sales[[#This Row],[Days Prior Total]:[Mdl BltinGar]])</f>
        <v>290712.86234511738</v>
      </c>
      <c r="CF278">
        <f>ROUND(Sales[[#This Row],[25Det]],-2)</f>
        <v>0</v>
      </c>
      <c r="CG278">
        <f>ROUND(SUM(Sales[[#This Row],[Mdl Qlty]:[Mdl BltinGar]])+Sales[[#This Row],[Mdl Res Intercept]]+Sales[[#This Row],[Days Prior Total]],-2)</f>
        <v>226400</v>
      </c>
      <c r="CH278">
        <f>ROUND(Sales[[#This Row],[Mdl Land Intercept]]+Sales[[#This Row],[Mdl LnAcres]],-2)</f>
        <v>64300</v>
      </c>
      <c r="CI278">
        <f>Sales[[#This Row],[Unadj Res Value]]+Sales[[#This Row],[Unadj Det Value]]+Sales[[#This Row],[Unadj Land Value]]</f>
        <v>290700</v>
      </c>
      <c r="CJ278" s="10">
        <f>Sales[[#This Row],[Price]]/Sales[[#This Row],[Unadj Total Value]]</f>
        <v>0.91916064671482633</v>
      </c>
      <c r="CK278" s="10">
        <f>(Sales[[#This Row],[Unadj Total Value]]-Sales[[#This Row],[24Final]])/Sales[[#This Row],[24Final]]</f>
        <v>-0.20552063405301996</v>
      </c>
      <c r="CL278">
        <f>VLOOKUP(Sales[[#This Row],[TNbhd]],Lookups!$M$3:$P$5,4,FALSE)</f>
        <v>0.99970000000000003</v>
      </c>
      <c r="CM278">
        <f>VLOOKUP(Sales[[#This Row],[Qlty]],Lookups!$M$8:$P$22,4,FALSE)</f>
        <v>0.99819999999999998</v>
      </c>
      <c r="CN278">
        <f>VLOOKUP(Sales[[#This Row],[Cnd]],Lookups!$R$8:$U$17,4,FALSE)</f>
        <v>0.99680000000000002</v>
      </c>
      <c r="CO278">
        <f>VLOOKUP(Sales[[#This Row],[LivArea Range]],Lookups!$R$25:$U$43,4,FALSE)</f>
        <v>0.99519999999999997</v>
      </c>
      <c r="CP278">
        <f>VLOOKUP(Sales[[#This Row],[Decade]],Lookups!$M$24:$P$40,4,FALSE)</f>
        <v>0.99560000000000004</v>
      </c>
      <c r="CQ278">
        <f>Sales[[#This Row],[Nbhd Adj]]*0.95</f>
        <v>0.94971499999999998</v>
      </c>
      <c r="CR278">
        <f>Sales[[#This Row],[Nbhd Adj]]*Sales[[#This Row],[Quality Adj]]*Sales[[#This Row],[Condition Adj]]*Sales[[#This Row],[Living Area Adj]]*Sales[[#This Row],[Decade Adj]]*0.95</f>
        <v>0.93629811172753274</v>
      </c>
      <c r="CS278">
        <f>ROUND(SUM(Sales[[#This Row],[Mdl Qlty]:[Mdl BltinGar]])+Sales[[#This Row],[Mdl Res Intercept]]*Sales[[#This Row],[Res Adj ]],-2)</f>
        <v>268700</v>
      </c>
      <c r="CT278">
        <f>ROUND(Sales[[#This Row],[25Det]]*Sales[[#This Row],[Det/Nbhd Adj]],-2)</f>
        <v>0</v>
      </c>
      <c r="CU278">
        <f>Sales[[#This Row],[Adjusted Res]]+Sales[[#This Row],[Adj Det ]]</f>
        <v>268700</v>
      </c>
      <c r="CV278">
        <f>ROUND((Sales[[#This Row],[Mdl Land Intercept]]+Sales[[#This Row],[Mdl LnAcres]])*Sales[[#This Row],[Det/Nbhd Adj]],-2)</f>
        <v>61100</v>
      </c>
      <c r="CW278">
        <f>Sales[[#This Row],[Adjusted Impr Total]]+Sales[[#This Row],[Adjusted Land Total]]</f>
        <v>329800</v>
      </c>
      <c r="CX278" s="10">
        <f>IFERROR((Sales[[#This Row],[Adjusted Impr Total]]-Sales[[#This Row],[24Bldg]])/Sales[[#This Row],[24Bldg]],0)</f>
        <v>-0.11930514585381842</v>
      </c>
      <c r="CY278" s="10">
        <f>(Sales[[#This Row],[Adjusted Land Total]]-Sales[[#This Row],[24Lnd]])/Sales[[#This Row],[24Lnd]]</f>
        <v>4.9342105263157892E-3</v>
      </c>
      <c r="CZ278">
        <f>(Sales[[#This Row],[Adjusted Total]]-Sales[[#This Row],[24Final]])/Sales[[#This Row],[24Final]]</f>
        <v>-9.8660836294069423E-2</v>
      </c>
      <c r="DA278" s="10">
        <f>(Sales[[#This Row],[Adjusted Total]]+Sales[[#This Row],[Days Prior Total]])/Sales[[#This Row],[Price]]</f>
        <v>1.0445686929977545</v>
      </c>
    </row>
    <row r="279" spans="1:105">
      <c r="A279">
        <v>2025</v>
      </c>
      <c r="B279">
        <v>19120144515</v>
      </c>
      <c r="C279">
        <v>-1.8325814637483102</v>
      </c>
      <c r="D279">
        <v>0.16</v>
      </c>
      <c r="E279">
        <v>7014</v>
      </c>
      <c r="F279">
        <v>2</v>
      </c>
      <c r="G279" t="s">
        <v>155</v>
      </c>
      <c r="H279">
        <v>317</v>
      </c>
      <c r="I279" t="s">
        <v>5</v>
      </c>
      <c r="J279" t="s">
        <v>437</v>
      </c>
      <c r="K279">
        <v>11</v>
      </c>
      <c r="L279">
        <v>259</v>
      </c>
      <c r="M279" t="s">
        <v>193</v>
      </c>
      <c r="N279" t="s">
        <v>19</v>
      </c>
      <c r="O279" t="s">
        <v>18</v>
      </c>
      <c r="P279">
        <v>2004</v>
      </c>
      <c r="Q279">
        <v>2004</v>
      </c>
      <c r="R279">
        <v>20</v>
      </c>
      <c r="S279">
        <v>20</v>
      </c>
      <c r="T279">
        <v>20</v>
      </c>
      <c r="U279">
        <v>1</v>
      </c>
      <c r="V279">
        <v>1380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1380</v>
      </c>
      <c r="AC279">
        <v>1500</v>
      </c>
      <c r="AD279">
        <v>0</v>
      </c>
      <c r="AE279" t="s">
        <v>56</v>
      </c>
      <c r="AF279" t="s">
        <v>331</v>
      </c>
      <c r="AG279" t="s">
        <v>21</v>
      </c>
      <c r="AH279" t="s">
        <v>161</v>
      </c>
      <c r="AI279">
        <v>0</v>
      </c>
      <c r="AJ279">
        <v>0</v>
      </c>
      <c r="AK279">
        <v>0</v>
      </c>
      <c r="AL279">
        <v>1</v>
      </c>
      <c r="AM279">
        <v>0</v>
      </c>
      <c r="AN279">
        <v>8</v>
      </c>
      <c r="AO279">
        <v>428</v>
      </c>
      <c r="AP279">
        <v>0</v>
      </c>
      <c r="AQ279">
        <v>0</v>
      </c>
      <c r="AR279">
        <v>0</v>
      </c>
      <c r="AS279">
        <v>100</v>
      </c>
      <c r="AT279">
        <v>0</v>
      </c>
      <c r="AU279">
        <v>100</v>
      </c>
      <c r="AV279">
        <v>100</v>
      </c>
      <c r="AW279">
        <v>248548</v>
      </c>
      <c r="AX279">
        <v>223693</v>
      </c>
      <c r="AY279">
        <v>1071</v>
      </c>
      <c r="AZ279">
        <v>365</v>
      </c>
      <c r="BA279">
        <v>365</v>
      </c>
      <c r="BB279">
        <v>341</v>
      </c>
      <c r="BC279" s="2">
        <v>44221</v>
      </c>
      <c r="BD279" t="s">
        <v>440</v>
      </c>
      <c r="BE279">
        <v>260000</v>
      </c>
      <c r="BF279">
        <v>260000</v>
      </c>
      <c r="BG279" t="s">
        <v>160</v>
      </c>
      <c r="BH279">
        <v>30</v>
      </c>
      <c r="BI279" t="s">
        <v>56</v>
      </c>
      <c r="BJ279" t="s">
        <v>161</v>
      </c>
      <c r="BK279">
        <v>365900</v>
      </c>
      <c r="BL279">
        <v>60800</v>
      </c>
      <c r="BM279">
        <v>305100</v>
      </c>
      <c r="BN279">
        <v>0</v>
      </c>
      <c r="BO279">
        <v>242164.98902731907</v>
      </c>
      <c r="BP279">
        <v>341404.11114713986</v>
      </c>
      <c r="BQ279">
        <f>(Sales[[#This Row],[DP1]]*Lookups!$B$61)+(Sales[[#This Row],[DP2]]*Lookups!$B$62)+(Sales[[#This Row],[DP3]]*Lookups!$B$63)</f>
        <v>-99239.118031000005</v>
      </c>
      <c r="BR279">
        <f>Lookups!$B$58*0.6</f>
        <v>132535.48800000001</v>
      </c>
      <c r="BS279">
        <f>Lookups!$B$58*0.4</f>
        <v>88356.992000000013</v>
      </c>
      <c r="BT279">
        <f>Lookups!$B$59*Sales[[#This Row],[LnAcres]]</f>
        <v>-24051.387388882686</v>
      </c>
      <c r="BU279">
        <f>VLOOKUP(Sales[[#This Row],[Qlty]],Lookups!$A$66:$E$79,2,FALSE)</f>
        <v>37154.252388000001</v>
      </c>
      <c r="BV279">
        <f>VLOOKUP(Sales[[#This Row],[Cnd]],Lookups!$A$80:$E$91,2,FALSE)</f>
        <v>17761.121909000001</v>
      </c>
      <c r="BW279">
        <f>Sales[[#This Row],[EffAge]]*Lookups!$B$65</f>
        <v>-2174.8220000000001</v>
      </c>
      <c r="BX279">
        <f>Sales[[#This Row],[MainFn]]*Lookups!$B$90</f>
        <v>86126.324399999998</v>
      </c>
      <c r="BY279">
        <f>Sales[[#This Row],[UpprFn]]*Lookups!$B$91</f>
        <v>0</v>
      </c>
      <c r="BZ279">
        <f>Sales[[#This Row],[Bsmt]]*Lookups!$B$95</f>
        <v>0</v>
      </c>
      <c r="CA279">
        <f>VLOOKUP(Sales[[#This Row],[MsnryTrim]],Lookups!$A$90:$E$99,2,FALSE)</f>
        <v>-9412.7029999999995</v>
      </c>
      <c r="CB279">
        <f>Sales[[#This Row],[PrefabFP]]*Lookups!$B$92</f>
        <v>0</v>
      </c>
      <c r="CC279">
        <f>Sales[[#This Row],[AttGar]]*Lookups!$B$93</f>
        <v>15108.841268</v>
      </c>
      <c r="CD279">
        <f>Sales[[#This Row],[BltinGar]]*Lookups!$B$94</f>
        <v>0</v>
      </c>
      <c r="CE279">
        <f>SUM(Sales[[#This Row],[Days Prior Total]:[Mdl BltinGar]])</f>
        <v>242164.98954511731</v>
      </c>
      <c r="CF279">
        <f>ROUND(Sales[[#This Row],[25Det]],-2)</f>
        <v>0</v>
      </c>
      <c r="CG279">
        <f>ROUND(SUM(Sales[[#This Row],[Mdl Qlty]:[Mdl BltinGar]])+Sales[[#This Row],[Mdl Res Intercept]]+Sales[[#This Row],[Days Prior Total]],-2)</f>
        <v>177900</v>
      </c>
      <c r="CH279">
        <f>ROUND(Sales[[#This Row],[Mdl Land Intercept]]+Sales[[#This Row],[Mdl LnAcres]],-2)</f>
        <v>64300</v>
      </c>
      <c r="CI279">
        <f>Sales[[#This Row],[Unadj Res Value]]+Sales[[#This Row],[Unadj Det Value]]+Sales[[#This Row],[Unadj Land Value]]</f>
        <v>242200</v>
      </c>
      <c r="CJ279" s="10">
        <f>Sales[[#This Row],[Price]]/Sales[[#This Row],[Unadj Total Value]]</f>
        <v>1.0734929810074318</v>
      </c>
      <c r="CK279" s="10">
        <f>(Sales[[#This Row],[Unadj Total Value]]-Sales[[#This Row],[24Final]])/Sales[[#This Row],[24Final]]</f>
        <v>-0.33807051106859798</v>
      </c>
      <c r="CL279">
        <f>VLOOKUP(Sales[[#This Row],[TNbhd]],Lookups!$M$3:$P$5,4,FALSE)</f>
        <v>0.99970000000000003</v>
      </c>
      <c r="CM279">
        <f>VLOOKUP(Sales[[#This Row],[Qlty]],Lookups!$M$8:$P$22,4,FALSE)</f>
        <v>0.99819999999999998</v>
      </c>
      <c r="CN279">
        <f>VLOOKUP(Sales[[#This Row],[Cnd]],Lookups!$R$8:$U$17,4,FALSE)</f>
        <v>0.99680000000000002</v>
      </c>
      <c r="CO279">
        <f>VLOOKUP(Sales[[#This Row],[LivArea Range]],Lookups!$R$25:$U$43,4,FALSE)</f>
        <v>0.99519999999999997</v>
      </c>
      <c r="CP279">
        <f>VLOOKUP(Sales[[#This Row],[Decade]],Lookups!$M$24:$P$40,4,FALSE)</f>
        <v>0.99560000000000004</v>
      </c>
      <c r="CQ279">
        <f>Sales[[#This Row],[Nbhd Adj]]*0.95</f>
        <v>0.94971499999999998</v>
      </c>
      <c r="CR279">
        <f>Sales[[#This Row],[Nbhd Adj]]*Sales[[#This Row],[Quality Adj]]*Sales[[#This Row],[Condition Adj]]*Sales[[#This Row],[Living Area Adj]]*Sales[[#This Row],[Decade Adj]]*0.95</f>
        <v>0.93629811172753274</v>
      </c>
      <c r="CS279">
        <f>ROUND(SUM(Sales[[#This Row],[Mdl Qlty]:[Mdl BltinGar]])+Sales[[#This Row],[Mdl Res Intercept]]*Sales[[#This Row],[Res Adj ]],-2)</f>
        <v>268700</v>
      </c>
      <c r="CT279">
        <f>ROUND(Sales[[#This Row],[25Det]]*Sales[[#This Row],[Det/Nbhd Adj]],-2)</f>
        <v>0</v>
      </c>
      <c r="CU279">
        <f>Sales[[#This Row],[Adjusted Res]]+Sales[[#This Row],[Adj Det ]]</f>
        <v>268700</v>
      </c>
      <c r="CV279">
        <f>ROUND((Sales[[#This Row],[Mdl Land Intercept]]+Sales[[#This Row],[Mdl LnAcres]])*Sales[[#This Row],[Det/Nbhd Adj]],-2)</f>
        <v>61100</v>
      </c>
      <c r="CW279">
        <f>Sales[[#This Row],[Adjusted Impr Total]]+Sales[[#This Row],[Adjusted Land Total]]</f>
        <v>329800</v>
      </c>
      <c r="CX279" s="10">
        <f>IFERROR((Sales[[#This Row],[Adjusted Impr Total]]-Sales[[#This Row],[24Bldg]])/Sales[[#This Row],[24Bldg]],0)</f>
        <v>-0.11930514585381842</v>
      </c>
      <c r="CY279" s="10">
        <f>(Sales[[#This Row],[Adjusted Land Total]]-Sales[[#This Row],[24Lnd]])/Sales[[#This Row],[24Lnd]]</f>
        <v>4.9342105263157892E-3</v>
      </c>
      <c r="CZ279">
        <f>(Sales[[#This Row],[Adjusted Total]]-Sales[[#This Row],[24Final]])/Sales[[#This Row],[24Final]]</f>
        <v>-9.8660836294069423E-2</v>
      </c>
      <c r="DA279" s="10">
        <f>(Sales[[#This Row],[Adjusted Total]]+Sales[[#This Row],[Days Prior Total]])/Sales[[#This Row],[Price]]</f>
        <v>0.88677262295769221</v>
      </c>
    </row>
    <row r="280" spans="1:105">
      <c r="A280">
        <v>2025</v>
      </c>
      <c r="B280">
        <v>19120144537</v>
      </c>
      <c r="C280">
        <v>-1.8325814637483102</v>
      </c>
      <c r="D280">
        <v>0.16</v>
      </c>
      <c r="E280">
        <v>7011</v>
      </c>
      <c r="F280">
        <v>2</v>
      </c>
      <c r="G280" t="s">
        <v>155</v>
      </c>
      <c r="H280">
        <v>317</v>
      </c>
      <c r="I280" t="s">
        <v>5</v>
      </c>
      <c r="J280" t="s">
        <v>156</v>
      </c>
      <c r="K280">
        <v>11</v>
      </c>
      <c r="L280">
        <v>259</v>
      </c>
      <c r="M280" t="s">
        <v>157</v>
      </c>
      <c r="N280" t="s">
        <v>19</v>
      </c>
      <c r="O280" t="s">
        <v>18</v>
      </c>
      <c r="P280">
        <v>2004</v>
      </c>
      <c r="Q280">
        <v>2004</v>
      </c>
      <c r="R280">
        <v>20</v>
      </c>
      <c r="S280">
        <v>20</v>
      </c>
      <c r="T280">
        <v>20</v>
      </c>
      <c r="U280">
        <v>2</v>
      </c>
      <c r="V280">
        <v>1116</v>
      </c>
      <c r="W280">
        <v>1116</v>
      </c>
      <c r="X280">
        <v>0</v>
      </c>
      <c r="Y280">
        <v>0</v>
      </c>
      <c r="Z280">
        <v>0</v>
      </c>
      <c r="AA280">
        <v>0</v>
      </c>
      <c r="AB280">
        <v>2232</v>
      </c>
      <c r="AC280">
        <v>2500</v>
      </c>
      <c r="AD280">
        <v>2</v>
      </c>
      <c r="AE280" t="s">
        <v>56</v>
      </c>
      <c r="AF280" t="s">
        <v>331</v>
      </c>
      <c r="AG280" t="s">
        <v>21</v>
      </c>
      <c r="AH280" t="s">
        <v>161</v>
      </c>
      <c r="AI280">
        <v>0</v>
      </c>
      <c r="AJ280">
        <v>0</v>
      </c>
      <c r="AK280">
        <v>0</v>
      </c>
      <c r="AL280">
        <v>0</v>
      </c>
      <c r="AM280">
        <v>1</v>
      </c>
      <c r="AN280">
        <v>13</v>
      </c>
      <c r="AO280">
        <v>440</v>
      </c>
      <c r="AP280">
        <v>0</v>
      </c>
      <c r="AQ280">
        <v>0</v>
      </c>
      <c r="AR280">
        <v>0</v>
      </c>
      <c r="AS280">
        <v>100</v>
      </c>
      <c r="AT280">
        <v>0</v>
      </c>
      <c r="AU280">
        <v>100</v>
      </c>
      <c r="AV280">
        <v>100</v>
      </c>
      <c r="AW280">
        <v>347819</v>
      </c>
      <c r="AX280">
        <v>313037</v>
      </c>
      <c r="AY280">
        <v>612</v>
      </c>
      <c r="AZ280">
        <v>365</v>
      </c>
      <c r="BA280">
        <v>247</v>
      </c>
      <c r="BB280">
        <v>0</v>
      </c>
      <c r="BC280" s="2">
        <v>44680</v>
      </c>
      <c r="BD280" t="s">
        <v>441</v>
      </c>
      <c r="BE280">
        <v>398000</v>
      </c>
      <c r="BF280">
        <v>398000</v>
      </c>
      <c r="BG280" t="s">
        <v>160</v>
      </c>
      <c r="BH280">
        <v>30</v>
      </c>
      <c r="BI280" t="s">
        <v>56</v>
      </c>
      <c r="BJ280" t="s">
        <v>161</v>
      </c>
      <c r="BK280">
        <v>409900</v>
      </c>
      <c r="BL280">
        <v>60800</v>
      </c>
      <c r="BM280">
        <v>349100</v>
      </c>
      <c r="BN280">
        <v>0</v>
      </c>
      <c r="BO280">
        <v>378651.10578727734</v>
      </c>
      <c r="BP280">
        <v>391843.09029946703</v>
      </c>
      <c r="BQ280">
        <f>(Sales[[#This Row],[DP1]]*Lookups!$B$61)+(Sales[[#This Row],[DP2]]*Lookups!$B$62)+(Sales[[#This Row],[DP3]]*Lookups!$B$63)</f>
        <v>-13191.983731</v>
      </c>
      <c r="BR280">
        <f>Lookups!$B$58*0.6</f>
        <v>132535.48800000001</v>
      </c>
      <c r="BS280">
        <f>Lookups!$B$58*0.4</f>
        <v>88356.992000000013</v>
      </c>
      <c r="BT280">
        <f>Lookups!$B$59*Sales[[#This Row],[LnAcres]]</f>
        <v>-24051.387388882686</v>
      </c>
      <c r="BU280">
        <f>VLOOKUP(Sales[[#This Row],[Qlty]],Lookups!$A$66:$E$79,2,FALSE)</f>
        <v>37154.252388000001</v>
      </c>
      <c r="BV280">
        <f>VLOOKUP(Sales[[#This Row],[Cnd]],Lookups!$A$80:$E$91,2,FALSE)</f>
        <v>17761.121909000001</v>
      </c>
      <c r="BW280">
        <f>Sales[[#This Row],[EffAge]]*Lookups!$B$65</f>
        <v>-2174.8220000000001</v>
      </c>
      <c r="BX280">
        <f>Sales[[#This Row],[MainFn]]*Lookups!$B$90</f>
        <v>69649.984080000009</v>
      </c>
      <c r="BY280">
        <f>Sales[[#This Row],[UpprFn]]*Lookups!$B$91</f>
        <v>66491.707427999994</v>
      </c>
      <c r="BZ280">
        <f>Sales[[#This Row],[Bsmt]]*Lookups!$B$95</f>
        <v>0</v>
      </c>
      <c r="CA280">
        <f>VLOOKUP(Sales[[#This Row],[MsnryTrim]],Lookups!$A$90:$E$99,2,FALSE)</f>
        <v>-9412.7029999999995</v>
      </c>
      <c r="CB280">
        <f>Sales[[#This Row],[PrefabFP]]*Lookups!$B$92</f>
        <v>0</v>
      </c>
      <c r="CC280">
        <f>Sales[[#This Row],[AttGar]]*Lookups!$B$93</f>
        <v>15532.453640000002</v>
      </c>
      <c r="CD280">
        <f>Sales[[#This Row],[BltinGar]]*Lookups!$B$94</f>
        <v>0</v>
      </c>
      <c r="CE280">
        <f>SUM(Sales[[#This Row],[Days Prior Total]:[Mdl BltinGar]])</f>
        <v>378651.10332511738</v>
      </c>
      <c r="CF280">
        <f>ROUND(Sales[[#This Row],[25Det]],-2)</f>
        <v>0</v>
      </c>
      <c r="CG280">
        <f>ROUND(SUM(Sales[[#This Row],[Mdl Qlty]:[Mdl BltinGar]])+Sales[[#This Row],[Mdl Res Intercept]]+Sales[[#This Row],[Days Prior Total]],-2)</f>
        <v>314300</v>
      </c>
      <c r="CH280">
        <f>ROUND(Sales[[#This Row],[Mdl Land Intercept]]+Sales[[#This Row],[Mdl LnAcres]],-2)</f>
        <v>64300</v>
      </c>
      <c r="CI280">
        <f>Sales[[#This Row],[Unadj Res Value]]+Sales[[#This Row],[Unadj Det Value]]+Sales[[#This Row],[Unadj Land Value]]</f>
        <v>378600</v>
      </c>
      <c r="CJ280" s="10">
        <f>Sales[[#This Row],[Price]]/Sales[[#This Row],[Unadj Total Value]]</f>
        <v>1.0512414157422081</v>
      </c>
      <c r="CK280" s="10">
        <f>(Sales[[#This Row],[Unadj Total Value]]-Sales[[#This Row],[24Final]])/Sales[[#This Row],[24Final]]</f>
        <v>-7.6360087826299092E-2</v>
      </c>
      <c r="CL280">
        <f>VLOOKUP(Sales[[#This Row],[TNbhd]],Lookups!$M$3:$P$5,4,FALSE)</f>
        <v>0.99970000000000003</v>
      </c>
      <c r="CM280">
        <f>VLOOKUP(Sales[[#This Row],[Qlty]],Lookups!$M$8:$P$22,4,FALSE)</f>
        <v>0.99819999999999998</v>
      </c>
      <c r="CN280">
        <f>VLOOKUP(Sales[[#This Row],[Cnd]],Lookups!$R$8:$U$17,4,FALSE)</f>
        <v>0.99680000000000002</v>
      </c>
      <c r="CO280">
        <f>VLOOKUP(Sales[[#This Row],[LivArea Range]],Lookups!$R$25:$U$43,4,FALSE)</f>
        <v>1.0008999999999999</v>
      </c>
      <c r="CP280">
        <f>VLOOKUP(Sales[[#This Row],[Decade]],Lookups!$M$24:$P$40,4,FALSE)</f>
        <v>0.99560000000000004</v>
      </c>
      <c r="CQ280">
        <f>Sales[[#This Row],[Nbhd Adj]]*0.95</f>
        <v>0.94971499999999998</v>
      </c>
      <c r="CR280">
        <f>Sales[[#This Row],[Nbhd Adj]]*Sales[[#This Row],[Quality Adj]]*Sales[[#This Row],[Condition Adj]]*Sales[[#This Row],[Living Area Adj]]*Sales[[#This Row],[Decade Adj]]*0.95</f>
        <v>0.9416607516359401</v>
      </c>
      <c r="CS280">
        <f>ROUND(SUM(Sales[[#This Row],[Mdl Qlty]:[Mdl BltinGar]])+Sales[[#This Row],[Mdl Res Intercept]]*Sales[[#This Row],[Res Adj ]],-2)</f>
        <v>319800</v>
      </c>
      <c r="CT280">
        <f>ROUND(Sales[[#This Row],[25Det]]*Sales[[#This Row],[Det/Nbhd Adj]],-2)</f>
        <v>0</v>
      </c>
      <c r="CU280">
        <f>Sales[[#This Row],[Adjusted Res]]+Sales[[#This Row],[Adj Det ]]</f>
        <v>319800</v>
      </c>
      <c r="CV280">
        <f>ROUND((Sales[[#This Row],[Mdl Land Intercept]]+Sales[[#This Row],[Mdl LnAcres]])*Sales[[#This Row],[Det/Nbhd Adj]],-2)</f>
        <v>61100</v>
      </c>
      <c r="CW280">
        <f>Sales[[#This Row],[Adjusted Impr Total]]+Sales[[#This Row],[Adjusted Land Total]]</f>
        <v>380900</v>
      </c>
      <c r="CX280" s="10">
        <f>IFERROR((Sales[[#This Row],[Adjusted Impr Total]]-Sales[[#This Row],[24Bldg]])/Sales[[#This Row],[24Bldg]],0)</f>
        <v>-8.3930105986823253E-2</v>
      </c>
      <c r="CY280" s="10">
        <f>(Sales[[#This Row],[Adjusted Land Total]]-Sales[[#This Row],[24Lnd]])/Sales[[#This Row],[24Lnd]]</f>
        <v>4.9342105263157892E-3</v>
      </c>
      <c r="CZ280">
        <f>(Sales[[#This Row],[Adjusted Total]]-Sales[[#This Row],[24Final]])/Sales[[#This Row],[24Final]]</f>
        <v>-7.0748963161746767E-2</v>
      </c>
      <c r="DA280" s="10">
        <f>(Sales[[#This Row],[Adjusted Total]]+Sales[[#This Row],[Days Prior Total]])/Sales[[#This Row],[Price]]</f>
        <v>0.92388948811306537</v>
      </c>
    </row>
    <row r="281" spans="1:105">
      <c r="A281">
        <v>2025</v>
      </c>
      <c r="B281">
        <v>19120144543</v>
      </c>
      <c r="C281">
        <v>-1.8325814637483102</v>
      </c>
      <c r="D281">
        <v>0.16</v>
      </c>
      <c r="E281">
        <v>7148</v>
      </c>
      <c r="F281">
        <v>2</v>
      </c>
      <c r="G281" t="s">
        <v>155</v>
      </c>
      <c r="H281">
        <v>317</v>
      </c>
      <c r="I281" t="s">
        <v>5</v>
      </c>
      <c r="J281" t="s">
        <v>156</v>
      </c>
      <c r="K281">
        <v>11</v>
      </c>
      <c r="L281">
        <v>259</v>
      </c>
      <c r="M281" t="s">
        <v>193</v>
      </c>
      <c r="N281" t="s">
        <v>19</v>
      </c>
      <c r="O281" t="s">
        <v>20</v>
      </c>
      <c r="P281">
        <v>2004</v>
      </c>
      <c r="Q281">
        <v>2004</v>
      </c>
      <c r="R281">
        <v>20</v>
      </c>
      <c r="S281">
        <v>20</v>
      </c>
      <c r="T281">
        <v>20</v>
      </c>
      <c r="U281">
        <v>1</v>
      </c>
      <c r="V281">
        <v>1364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1364</v>
      </c>
      <c r="AC281">
        <v>1500</v>
      </c>
      <c r="AD281">
        <v>2</v>
      </c>
      <c r="AE281" t="s">
        <v>57</v>
      </c>
      <c r="AF281" t="s">
        <v>331</v>
      </c>
      <c r="AG281" t="s">
        <v>21</v>
      </c>
      <c r="AH281" t="s">
        <v>161</v>
      </c>
      <c r="AI281">
        <v>0</v>
      </c>
      <c r="AJ281">
        <v>0</v>
      </c>
      <c r="AK281">
        <v>0</v>
      </c>
      <c r="AL281">
        <v>1</v>
      </c>
      <c r="AM281">
        <v>0</v>
      </c>
      <c r="AN281">
        <v>8</v>
      </c>
      <c r="AO281">
        <v>428</v>
      </c>
      <c r="AP281">
        <v>0</v>
      </c>
      <c r="AQ281">
        <v>0</v>
      </c>
      <c r="AR281">
        <v>0</v>
      </c>
      <c r="AS281">
        <v>100</v>
      </c>
      <c r="AT281">
        <v>0</v>
      </c>
      <c r="AU281">
        <v>100</v>
      </c>
      <c r="AV281">
        <v>100</v>
      </c>
      <c r="AW281">
        <v>247101</v>
      </c>
      <c r="AX281">
        <v>229804</v>
      </c>
      <c r="AY281">
        <v>833</v>
      </c>
      <c r="AZ281">
        <v>365</v>
      </c>
      <c r="BA281">
        <v>365</v>
      </c>
      <c r="BB281">
        <v>103</v>
      </c>
      <c r="BC281" s="2">
        <v>44459</v>
      </c>
      <c r="BD281" t="s">
        <v>442</v>
      </c>
      <c r="BE281">
        <v>298000</v>
      </c>
      <c r="BF281">
        <v>298000</v>
      </c>
      <c r="BG281" t="s">
        <v>160</v>
      </c>
      <c r="BH281">
        <v>30</v>
      </c>
      <c r="BI281" t="s">
        <v>56</v>
      </c>
      <c r="BJ281" t="s">
        <v>161</v>
      </c>
      <c r="BK281">
        <v>350700</v>
      </c>
      <c r="BL281">
        <v>60800</v>
      </c>
      <c r="BM281">
        <v>289900</v>
      </c>
      <c r="BN281">
        <v>0</v>
      </c>
      <c r="BO281">
        <v>321733.07062657754</v>
      </c>
      <c r="BP281">
        <v>366470.3335024204</v>
      </c>
      <c r="BQ281">
        <f>(Sales[[#This Row],[DP1]]*Lookups!$B$61)+(Sales[[#This Row],[DP2]]*Lookups!$B$62)+(Sales[[#This Row],[DP3]]*Lookups!$B$63)</f>
        <v>-44737.260831</v>
      </c>
      <c r="BR281">
        <f>Lookups!$B$58*0.6</f>
        <v>132535.48800000001</v>
      </c>
      <c r="BS281">
        <f>Lookups!$B$58*0.4</f>
        <v>88356.992000000013</v>
      </c>
      <c r="BT281">
        <f>Lookups!$B$59*Sales[[#This Row],[LnAcres]]</f>
        <v>-24051.387388882686</v>
      </c>
      <c r="BU281">
        <f>VLOOKUP(Sales[[#This Row],[Qlty]],Lookups!$A$66:$E$79,2,FALSE)</f>
        <v>37154.252388000001</v>
      </c>
      <c r="BV281">
        <f>VLOOKUP(Sales[[#This Row],[Cnd]],Lookups!$A$80:$E$91,2,FALSE)</f>
        <v>30300.329274</v>
      </c>
      <c r="BW281">
        <f>Sales[[#This Row],[EffAge]]*Lookups!$B$65</f>
        <v>-2174.8220000000001</v>
      </c>
      <c r="BX281">
        <f>Sales[[#This Row],[MainFn]]*Lookups!$B$90</f>
        <v>85127.758320000008</v>
      </c>
      <c r="BY281">
        <f>Sales[[#This Row],[UpprFn]]*Lookups!$B$91</f>
        <v>0</v>
      </c>
      <c r="BZ281">
        <f>Sales[[#This Row],[Bsmt]]*Lookups!$B$95</f>
        <v>0</v>
      </c>
      <c r="CA281">
        <f>VLOOKUP(Sales[[#This Row],[MsnryTrim]],Lookups!$A$90:$E$99,2,FALSE)</f>
        <v>4112.8784489</v>
      </c>
      <c r="CB281">
        <f>Sales[[#This Row],[PrefabFP]]*Lookups!$B$92</f>
        <v>0</v>
      </c>
      <c r="CC281">
        <f>Sales[[#This Row],[AttGar]]*Lookups!$B$93</f>
        <v>15108.841268</v>
      </c>
      <c r="CD281">
        <f>Sales[[#This Row],[BltinGar]]*Lookups!$B$94</f>
        <v>0</v>
      </c>
      <c r="CE281">
        <f>SUM(Sales[[#This Row],[Days Prior Total]:[Mdl BltinGar]])</f>
        <v>321733.0694790174</v>
      </c>
      <c r="CF281">
        <f>ROUND(Sales[[#This Row],[25Det]],-2)</f>
        <v>0</v>
      </c>
      <c r="CG281">
        <f>ROUND(SUM(Sales[[#This Row],[Mdl Qlty]:[Mdl BltinGar]])+Sales[[#This Row],[Mdl Res Intercept]]+Sales[[#This Row],[Days Prior Total]],-2)</f>
        <v>257400</v>
      </c>
      <c r="CH281">
        <f>ROUND(Sales[[#This Row],[Mdl Land Intercept]]+Sales[[#This Row],[Mdl LnAcres]],-2)</f>
        <v>64300</v>
      </c>
      <c r="CI281">
        <f>Sales[[#This Row],[Unadj Res Value]]+Sales[[#This Row],[Unadj Det Value]]+Sales[[#This Row],[Unadj Land Value]]</f>
        <v>321700</v>
      </c>
      <c r="CJ281" s="10">
        <f>Sales[[#This Row],[Price]]/Sales[[#This Row],[Unadj Total Value]]</f>
        <v>0.92632887783649365</v>
      </c>
      <c r="CK281" s="10">
        <f>(Sales[[#This Row],[Unadj Total Value]]-Sales[[#This Row],[24Final]])/Sales[[#This Row],[24Final]]</f>
        <v>-8.2691759338465926E-2</v>
      </c>
      <c r="CL281">
        <f>VLOOKUP(Sales[[#This Row],[TNbhd]],Lookups!$M$3:$P$5,4,FALSE)</f>
        <v>0.99970000000000003</v>
      </c>
      <c r="CM281">
        <f>VLOOKUP(Sales[[#This Row],[Qlty]],Lookups!$M$8:$P$22,4,FALSE)</f>
        <v>0.99819999999999998</v>
      </c>
      <c r="CN281">
        <f>VLOOKUP(Sales[[#This Row],[Cnd]],Lookups!$R$8:$U$17,4,FALSE)</f>
        <v>0.997</v>
      </c>
      <c r="CO281">
        <f>VLOOKUP(Sales[[#This Row],[LivArea Range]],Lookups!$R$25:$U$43,4,FALSE)</f>
        <v>0.99519999999999997</v>
      </c>
      <c r="CP281">
        <f>VLOOKUP(Sales[[#This Row],[Decade]],Lookups!$M$24:$P$40,4,FALSE)</f>
        <v>0.99560000000000004</v>
      </c>
      <c r="CQ281">
        <f>Sales[[#This Row],[Nbhd Adj]]*0.95</f>
        <v>0.94971499999999998</v>
      </c>
      <c r="CR281">
        <f>Sales[[#This Row],[Nbhd Adj]]*Sales[[#This Row],[Quality Adj]]*Sales[[#This Row],[Condition Adj]]*Sales[[#This Row],[Living Area Adj]]*Sales[[#This Row],[Decade Adj]]*0.95</f>
        <v>0.93648597250436405</v>
      </c>
      <c r="CS281">
        <f>ROUND(SUM(Sales[[#This Row],[Mdl Qlty]:[Mdl BltinGar]])+Sales[[#This Row],[Mdl Res Intercept]]*Sales[[#This Row],[Res Adj ]],-2)</f>
        <v>293700</v>
      </c>
      <c r="CT281">
        <f>ROUND(Sales[[#This Row],[25Det]]*Sales[[#This Row],[Det/Nbhd Adj]],-2)</f>
        <v>0</v>
      </c>
      <c r="CU281">
        <f>Sales[[#This Row],[Adjusted Res]]+Sales[[#This Row],[Adj Det ]]</f>
        <v>293700</v>
      </c>
      <c r="CV281">
        <f>ROUND((Sales[[#This Row],[Mdl Land Intercept]]+Sales[[#This Row],[Mdl LnAcres]])*Sales[[#This Row],[Det/Nbhd Adj]],-2)</f>
        <v>61100</v>
      </c>
      <c r="CW281">
        <f>Sales[[#This Row],[Adjusted Impr Total]]+Sales[[#This Row],[Adjusted Land Total]]</f>
        <v>354800</v>
      </c>
      <c r="CX281" s="10">
        <f>IFERROR((Sales[[#This Row],[Adjusted Impr Total]]-Sales[[#This Row],[24Bldg]])/Sales[[#This Row],[24Bldg]],0)</f>
        <v>1.3107968264918937E-2</v>
      </c>
      <c r="CY281" s="10">
        <f>(Sales[[#This Row],[Adjusted Land Total]]-Sales[[#This Row],[24Lnd]])/Sales[[#This Row],[24Lnd]]</f>
        <v>4.9342105263157892E-3</v>
      </c>
      <c r="CZ281">
        <f>(Sales[[#This Row],[Adjusted Total]]-Sales[[#This Row],[24Final]])/Sales[[#This Row],[24Final]]</f>
        <v>1.1690903906472769E-2</v>
      </c>
      <c r="DA281" s="10">
        <f>(Sales[[#This Row],[Adjusted Total]]+Sales[[#This Row],[Days Prior Total]])/Sales[[#This Row],[Price]]</f>
        <v>1.0404789905</v>
      </c>
    </row>
    <row r="282" spans="1:105">
      <c r="A282">
        <v>2025</v>
      </c>
      <c r="B282">
        <v>19120144544</v>
      </c>
      <c r="C282">
        <v>-1.8325814637483102</v>
      </c>
      <c r="D282">
        <v>0.16</v>
      </c>
      <c r="E282">
        <v>7148</v>
      </c>
      <c r="F282">
        <v>2</v>
      </c>
      <c r="G282" t="s">
        <v>155</v>
      </c>
      <c r="H282">
        <v>317</v>
      </c>
      <c r="I282" t="s">
        <v>5</v>
      </c>
      <c r="J282" t="s">
        <v>156</v>
      </c>
      <c r="K282">
        <v>11</v>
      </c>
      <c r="L282">
        <v>259</v>
      </c>
      <c r="M282" t="s">
        <v>193</v>
      </c>
      <c r="N282" t="s">
        <v>19</v>
      </c>
      <c r="O282" t="s">
        <v>20</v>
      </c>
      <c r="P282">
        <v>2004</v>
      </c>
      <c r="Q282">
        <v>2004</v>
      </c>
      <c r="R282">
        <v>20</v>
      </c>
      <c r="S282">
        <v>20</v>
      </c>
      <c r="T282">
        <v>20</v>
      </c>
      <c r="U282">
        <v>1</v>
      </c>
      <c r="V282">
        <v>1380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1380</v>
      </c>
      <c r="AC282">
        <v>1500</v>
      </c>
      <c r="AD282">
        <v>2</v>
      </c>
      <c r="AE282" t="s">
        <v>56</v>
      </c>
      <c r="AF282" t="s">
        <v>331</v>
      </c>
      <c r="AG282" t="s">
        <v>21</v>
      </c>
      <c r="AH282" t="s">
        <v>161</v>
      </c>
      <c r="AI282">
        <v>0</v>
      </c>
      <c r="AJ282">
        <v>0</v>
      </c>
      <c r="AK282">
        <v>1</v>
      </c>
      <c r="AL282">
        <v>1</v>
      </c>
      <c r="AM282">
        <v>0</v>
      </c>
      <c r="AN282">
        <v>8</v>
      </c>
      <c r="AO282">
        <v>428</v>
      </c>
      <c r="AP282">
        <v>0</v>
      </c>
      <c r="AQ282">
        <v>0</v>
      </c>
      <c r="AR282">
        <v>0</v>
      </c>
      <c r="AS282">
        <v>100</v>
      </c>
      <c r="AT282">
        <v>100</v>
      </c>
      <c r="AU282">
        <v>100</v>
      </c>
      <c r="AV282">
        <v>100</v>
      </c>
      <c r="AW282">
        <v>254270</v>
      </c>
      <c r="AX282">
        <v>239014</v>
      </c>
      <c r="AY282">
        <v>280</v>
      </c>
      <c r="AZ282">
        <v>280</v>
      </c>
      <c r="BA282">
        <v>0</v>
      </c>
      <c r="BB282">
        <v>0</v>
      </c>
      <c r="BC282" s="2">
        <v>45012</v>
      </c>
      <c r="BD282" t="s">
        <v>443</v>
      </c>
      <c r="BE282">
        <v>335000</v>
      </c>
      <c r="BF282">
        <v>335000</v>
      </c>
      <c r="BG282" t="s">
        <v>160</v>
      </c>
      <c r="BH282">
        <v>30</v>
      </c>
      <c r="BI282" t="s">
        <v>56</v>
      </c>
      <c r="BJ282" t="s">
        <v>161</v>
      </c>
      <c r="BK282">
        <v>350200</v>
      </c>
      <c r="BL282">
        <v>60800</v>
      </c>
      <c r="BM282">
        <v>289400</v>
      </c>
      <c r="BN282">
        <v>0</v>
      </c>
      <c r="BO282">
        <v>366409.71201065322</v>
      </c>
      <c r="BP282">
        <v>363750.42303321988</v>
      </c>
      <c r="BQ282">
        <f>(Sales[[#This Row],[DP1]]*Lookups!$B$61)+(Sales[[#This Row],[DP2]]*Lookups!$B$62)+(Sales[[#This Row],[DP3]]*Lookups!$B$63)</f>
        <v>2659.2889679999998</v>
      </c>
      <c r="BR282">
        <f>Lookups!$B$58*0.6</f>
        <v>132535.48800000001</v>
      </c>
      <c r="BS282">
        <f>Lookups!$B$58*0.4</f>
        <v>88356.992000000013</v>
      </c>
      <c r="BT282">
        <f>Lookups!$B$59*Sales[[#This Row],[LnAcres]]</f>
        <v>-24051.387388882686</v>
      </c>
      <c r="BU282">
        <f>VLOOKUP(Sales[[#This Row],[Qlty]],Lookups!$A$66:$E$79,2,FALSE)</f>
        <v>37154.252388000001</v>
      </c>
      <c r="BV282">
        <f>VLOOKUP(Sales[[#This Row],[Cnd]],Lookups!$A$80:$E$91,2,FALSE)</f>
        <v>30300.329274</v>
      </c>
      <c r="BW282">
        <f>Sales[[#This Row],[EffAge]]*Lookups!$B$65</f>
        <v>-2174.8220000000001</v>
      </c>
      <c r="BX282">
        <f>Sales[[#This Row],[MainFn]]*Lookups!$B$90</f>
        <v>86126.324399999998</v>
      </c>
      <c r="BY282">
        <f>Sales[[#This Row],[UpprFn]]*Lookups!$B$91</f>
        <v>0</v>
      </c>
      <c r="BZ282">
        <f>Sales[[#This Row],[Bsmt]]*Lookups!$B$95</f>
        <v>0</v>
      </c>
      <c r="CA282">
        <f>VLOOKUP(Sales[[#This Row],[MsnryTrim]],Lookups!$A$90:$E$99,2,FALSE)</f>
        <v>-9412.7029999999995</v>
      </c>
      <c r="CB282">
        <f>Sales[[#This Row],[PrefabFP]]*Lookups!$B$92</f>
        <v>9807.1044999999995</v>
      </c>
      <c r="CC282">
        <f>Sales[[#This Row],[AttGar]]*Lookups!$B$93</f>
        <v>15108.841268</v>
      </c>
      <c r="CD282">
        <f>Sales[[#This Row],[BltinGar]]*Lookups!$B$94</f>
        <v>0</v>
      </c>
      <c r="CE282">
        <f>SUM(Sales[[#This Row],[Days Prior Total]:[Mdl BltinGar]])</f>
        <v>366409.70840911736</v>
      </c>
      <c r="CF282">
        <f>ROUND(Sales[[#This Row],[25Det]],-2)</f>
        <v>0</v>
      </c>
      <c r="CG282">
        <f>ROUND(SUM(Sales[[#This Row],[Mdl Qlty]:[Mdl BltinGar]])+Sales[[#This Row],[Mdl Res Intercept]]+Sales[[#This Row],[Days Prior Total]],-2)</f>
        <v>302100</v>
      </c>
      <c r="CH282">
        <f>ROUND(Sales[[#This Row],[Mdl Land Intercept]]+Sales[[#This Row],[Mdl LnAcres]],-2)</f>
        <v>64300</v>
      </c>
      <c r="CI282">
        <f>Sales[[#This Row],[Unadj Res Value]]+Sales[[#This Row],[Unadj Det Value]]+Sales[[#This Row],[Unadj Land Value]]</f>
        <v>366400</v>
      </c>
      <c r="CJ282" s="10">
        <f>Sales[[#This Row],[Price]]/Sales[[#This Row],[Unadj Total Value]]</f>
        <v>0.9143013100436681</v>
      </c>
      <c r="CK282" s="10">
        <f>(Sales[[#This Row],[Unadj Total Value]]-Sales[[#This Row],[24Final]])/Sales[[#This Row],[24Final]]</f>
        <v>4.6259280411193607E-2</v>
      </c>
      <c r="CL282">
        <f>VLOOKUP(Sales[[#This Row],[TNbhd]],Lookups!$M$3:$P$5,4,FALSE)</f>
        <v>0.99970000000000003</v>
      </c>
      <c r="CM282">
        <f>VLOOKUP(Sales[[#This Row],[Qlty]],Lookups!$M$8:$P$22,4,FALSE)</f>
        <v>0.99819999999999998</v>
      </c>
      <c r="CN282">
        <f>VLOOKUP(Sales[[#This Row],[Cnd]],Lookups!$R$8:$U$17,4,FALSE)</f>
        <v>0.997</v>
      </c>
      <c r="CO282">
        <f>VLOOKUP(Sales[[#This Row],[LivArea Range]],Lookups!$R$25:$U$43,4,FALSE)</f>
        <v>0.99519999999999997</v>
      </c>
      <c r="CP282">
        <f>VLOOKUP(Sales[[#This Row],[Decade]],Lookups!$M$24:$P$40,4,FALSE)</f>
        <v>0.99560000000000004</v>
      </c>
      <c r="CQ282">
        <f>Sales[[#This Row],[Nbhd Adj]]*0.95</f>
        <v>0.94971499999999998</v>
      </c>
      <c r="CR282">
        <f>Sales[[#This Row],[Nbhd Adj]]*Sales[[#This Row],[Quality Adj]]*Sales[[#This Row],[Condition Adj]]*Sales[[#This Row],[Living Area Adj]]*Sales[[#This Row],[Decade Adj]]*0.95</f>
        <v>0.93648597250436405</v>
      </c>
      <c r="CS282">
        <f>ROUND(SUM(Sales[[#This Row],[Mdl Qlty]:[Mdl BltinGar]])+Sales[[#This Row],[Mdl Res Intercept]]*Sales[[#This Row],[Res Adj ]],-2)</f>
        <v>291000</v>
      </c>
      <c r="CT282">
        <f>ROUND(Sales[[#This Row],[25Det]]*Sales[[#This Row],[Det/Nbhd Adj]],-2)</f>
        <v>0</v>
      </c>
      <c r="CU282">
        <f>Sales[[#This Row],[Adjusted Res]]+Sales[[#This Row],[Adj Det ]]</f>
        <v>291000</v>
      </c>
      <c r="CV282">
        <f>ROUND((Sales[[#This Row],[Mdl Land Intercept]]+Sales[[#This Row],[Mdl LnAcres]])*Sales[[#This Row],[Det/Nbhd Adj]],-2)</f>
        <v>61100</v>
      </c>
      <c r="CW282">
        <f>Sales[[#This Row],[Adjusted Impr Total]]+Sales[[#This Row],[Adjusted Land Total]]</f>
        <v>352100</v>
      </c>
      <c r="CX282" s="10">
        <f>IFERROR((Sales[[#This Row],[Adjusted Impr Total]]-Sales[[#This Row],[24Bldg]])/Sales[[#This Row],[24Bldg]],0)</f>
        <v>5.5286800276433999E-3</v>
      </c>
      <c r="CY282" s="10">
        <f>(Sales[[#This Row],[Adjusted Land Total]]-Sales[[#This Row],[24Lnd]])/Sales[[#This Row],[24Lnd]]</f>
        <v>4.9342105263157892E-3</v>
      </c>
      <c r="CZ282">
        <f>(Sales[[#This Row],[Adjusted Total]]-Sales[[#This Row],[24Final]])/Sales[[#This Row],[24Final]]</f>
        <v>5.4254711593375218E-3</v>
      </c>
      <c r="DA282" s="10">
        <f>(Sales[[#This Row],[Adjusted Total]]+Sales[[#This Row],[Days Prior Total]])/Sales[[#This Row],[Price]]</f>
        <v>1.0589829521432834</v>
      </c>
    </row>
    <row r="283" spans="1:105">
      <c r="A283">
        <v>2025</v>
      </c>
      <c r="B283">
        <v>19120144547</v>
      </c>
      <c r="C283">
        <v>-1.8325814637483102</v>
      </c>
      <c r="D283">
        <v>0.16</v>
      </c>
      <c r="E283">
        <v>7134</v>
      </c>
      <c r="F283">
        <v>2</v>
      </c>
      <c r="G283" t="s">
        <v>155</v>
      </c>
      <c r="H283">
        <v>317</v>
      </c>
      <c r="I283" t="s">
        <v>5</v>
      </c>
      <c r="J283" t="s">
        <v>156</v>
      </c>
      <c r="K283">
        <v>11</v>
      </c>
      <c r="L283">
        <v>259</v>
      </c>
      <c r="M283" t="s">
        <v>193</v>
      </c>
      <c r="N283" t="s">
        <v>19</v>
      </c>
      <c r="O283" t="s">
        <v>20</v>
      </c>
      <c r="P283">
        <v>2004</v>
      </c>
      <c r="Q283">
        <v>2004</v>
      </c>
      <c r="R283">
        <v>20</v>
      </c>
      <c r="S283">
        <v>20</v>
      </c>
      <c r="T283">
        <v>20</v>
      </c>
      <c r="U283">
        <v>1</v>
      </c>
      <c r="V283">
        <v>1380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1380</v>
      </c>
      <c r="AC283">
        <v>1500</v>
      </c>
      <c r="AD283">
        <v>2</v>
      </c>
      <c r="AE283" t="s">
        <v>56</v>
      </c>
      <c r="AF283" t="s">
        <v>331</v>
      </c>
      <c r="AG283" t="s">
        <v>21</v>
      </c>
      <c r="AH283" t="s">
        <v>161</v>
      </c>
      <c r="AI283">
        <v>0</v>
      </c>
      <c r="AJ283">
        <v>0</v>
      </c>
      <c r="AK283">
        <v>0</v>
      </c>
      <c r="AL283">
        <v>1</v>
      </c>
      <c r="AM283">
        <v>0</v>
      </c>
      <c r="AN283">
        <v>8</v>
      </c>
      <c r="AO283">
        <v>428</v>
      </c>
      <c r="AP283">
        <v>0</v>
      </c>
      <c r="AQ283">
        <v>0</v>
      </c>
      <c r="AR283">
        <v>0</v>
      </c>
      <c r="AS283">
        <v>100</v>
      </c>
      <c r="AT283">
        <v>0</v>
      </c>
      <c r="AU283">
        <v>100</v>
      </c>
      <c r="AV283">
        <v>100</v>
      </c>
      <c r="AW283">
        <v>248548</v>
      </c>
      <c r="AX283">
        <v>231150</v>
      </c>
      <c r="AY283">
        <v>640</v>
      </c>
      <c r="AZ283">
        <v>365</v>
      </c>
      <c r="BA283">
        <v>275</v>
      </c>
      <c r="BB283">
        <v>0</v>
      </c>
      <c r="BC283" s="2">
        <v>44652</v>
      </c>
      <c r="BD283" t="s">
        <v>444</v>
      </c>
      <c r="BE283">
        <v>345000</v>
      </c>
      <c r="BF283">
        <v>345000</v>
      </c>
      <c r="BG283" t="s">
        <v>160</v>
      </c>
      <c r="BH283">
        <v>30</v>
      </c>
      <c r="BI283" t="s">
        <v>56</v>
      </c>
      <c r="BJ283" t="s">
        <v>161</v>
      </c>
      <c r="BK283">
        <v>350200</v>
      </c>
      <c r="BL283">
        <v>60800</v>
      </c>
      <c r="BM283">
        <v>289400</v>
      </c>
      <c r="BN283">
        <v>0</v>
      </c>
      <c r="BO283">
        <v>338862.91451070533</v>
      </c>
      <c r="BP283">
        <v>353943.31851284485</v>
      </c>
      <c r="BQ283">
        <f>(Sales[[#This Row],[DP1]]*Lookups!$B$61)+(Sales[[#This Row],[DP2]]*Lookups!$B$62)+(Sales[[#This Row],[DP3]]*Lookups!$B$63)</f>
        <v>-15080.403130999999</v>
      </c>
      <c r="BR283">
        <f>Lookups!$B$58*0.6</f>
        <v>132535.48800000001</v>
      </c>
      <c r="BS283">
        <f>Lookups!$B$58*0.4</f>
        <v>88356.992000000013</v>
      </c>
      <c r="BT283">
        <f>Lookups!$B$59*Sales[[#This Row],[LnAcres]]</f>
        <v>-24051.387388882686</v>
      </c>
      <c r="BU283">
        <f>VLOOKUP(Sales[[#This Row],[Qlty]],Lookups!$A$66:$E$79,2,FALSE)</f>
        <v>37154.252388000001</v>
      </c>
      <c r="BV283">
        <f>VLOOKUP(Sales[[#This Row],[Cnd]],Lookups!$A$80:$E$91,2,FALSE)</f>
        <v>30300.329274</v>
      </c>
      <c r="BW283">
        <f>Sales[[#This Row],[EffAge]]*Lookups!$B$65</f>
        <v>-2174.8220000000001</v>
      </c>
      <c r="BX283">
        <f>Sales[[#This Row],[MainFn]]*Lookups!$B$90</f>
        <v>86126.324399999998</v>
      </c>
      <c r="BY283">
        <f>Sales[[#This Row],[UpprFn]]*Lookups!$B$91</f>
        <v>0</v>
      </c>
      <c r="BZ283">
        <f>Sales[[#This Row],[Bsmt]]*Lookups!$B$95</f>
        <v>0</v>
      </c>
      <c r="CA283">
        <f>VLOOKUP(Sales[[#This Row],[MsnryTrim]],Lookups!$A$90:$E$99,2,FALSE)</f>
        <v>-9412.7029999999995</v>
      </c>
      <c r="CB283">
        <f>Sales[[#This Row],[PrefabFP]]*Lookups!$B$92</f>
        <v>0</v>
      </c>
      <c r="CC283">
        <f>Sales[[#This Row],[AttGar]]*Lookups!$B$93</f>
        <v>15108.841268</v>
      </c>
      <c r="CD283">
        <f>Sales[[#This Row],[BltinGar]]*Lookups!$B$94</f>
        <v>0</v>
      </c>
      <c r="CE283">
        <f>SUM(Sales[[#This Row],[Days Prior Total]:[Mdl BltinGar]])</f>
        <v>338862.91181011737</v>
      </c>
      <c r="CF283">
        <f>ROUND(Sales[[#This Row],[25Det]],-2)</f>
        <v>0</v>
      </c>
      <c r="CG283">
        <f>ROUND(SUM(Sales[[#This Row],[Mdl Qlty]:[Mdl BltinGar]])+Sales[[#This Row],[Mdl Res Intercept]]+Sales[[#This Row],[Days Prior Total]],-2)</f>
        <v>274600</v>
      </c>
      <c r="CH283">
        <f>ROUND(Sales[[#This Row],[Mdl Land Intercept]]+Sales[[#This Row],[Mdl LnAcres]],-2)</f>
        <v>64300</v>
      </c>
      <c r="CI283">
        <f>Sales[[#This Row],[Unadj Res Value]]+Sales[[#This Row],[Unadj Det Value]]+Sales[[#This Row],[Unadj Land Value]]</f>
        <v>338900</v>
      </c>
      <c r="CJ283" s="10">
        <f>Sales[[#This Row],[Price]]/Sales[[#This Row],[Unadj Total Value]]</f>
        <v>1.0179994098554146</v>
      </c>
      <c r="CK283" s="10">
        <f>(Sales[[#This Row],[Unadj Total Value]]-Sales[[#This Row],[24Final]])/Sales[[#This Row],[24Final]]</f>
        <v>-3.2267275842375785E-2</v>
      </c>
      <c r="CL283">
        <f>VLOOKUP(Sales[[#This Row],[TNbhd]],Lookups!$M$3:$P$5,4,FALSE)</f>
        <v>0.99970000000000003</v>
      </c>
      <c r="CM283">
        <f>VLOOKUP(Sales[[#This Row],[Qlty]],Lookups!$M$8:$P$22,4,FALSE)</f>
        <v>0.99819999999999998</v>
      </c>
      <c r="CN283">
        <f>VLOOKUP(Sales[[#This Row],[Cnd]],Lookups!$R$8:$U$17,4,FALSE)</f>
        <v>0.997</v>
      </c>
      <c r="CO283">
        <f>VLOOKUP(Sales[[#This Row],[LivArea Range]],Lookups!$R$25:$U$43,4,FALSE)</f>
        <v>0.99519999999999997</v>
      </c>
      <c r="CP283">
        <f>VLOOKUP(Sales[[#This Row],[Decade]],Lookups!$M$24:$P$40,4,FALSE)</f>
        <v>0.99560000000000004</v>
      </c>
      <c r="CQ283">
        <f>Sales[[#This Row],[Nbhd Adj]]*0.95</f>
        <v>0.94971499999999998</v>
      </c>
      <c r="CR283">
        <f>Sales[[#This Row],[Nbhd Adj]]*Sales[[#This Row],[Quality Adj]]*Sales[[#This Row],[Condition Adj]]*Sales[[#This Row],[Living Area Adj]]*Sales[[#This Row],[Decade Adj]]*0.95</f>
        <v>0.93648597250436405</v>
      </c>
      <c r="CS283">
        <f>ROUND(SUM(Sales[[#This Row],[Mdl Qlty]:[Mdl BltinGar]])+Sales[[#This Row],[Mdl Res Intercept]]*Sales[[#This Row],[Res Adj ]],-2)</f>
        <v>281200</v>
      </c>
      <c r="CT283">
        <f>ROUND(Sales[[#This Row],[25Det]]*Sales[[#This Row],[Det/Nbhd Adj]],-2)</f>
        <v>0</v>
      </c>
      <c r="CU283">
        <f>Sales[[#This Row],[Adjusted Res]]+Sales[[#This Row],[Adj Det ]]</f>
        <v>281200</v>
      </c>
      <c r="CV283">
        <f>ROUND((Sales[[#This Row],[Mdl Land Intercept]]+Sales[[#This Row],[Mdl LnAcres]])*Sales[[#This Row],[Det/Nbhd Adj]],-2)</f>
        <v>61100</v>
      </c>
      <c r="CW283">
        <f>Sales[[#This Row],[Adjusted Impr Total]]+Sales[[#This Row],[Adjusted Land Total]]</f>
        <v>342300</v>
      </c>
      <c r="CX283" s="10">
        <f>IFERROR((Sales[[#This Row],[Adjusted Impr Total]]-Sales[[#This Row],[24Bldg]])/Sales[[#This Row],[24Bldg]],0)</f>
        <v>-2.8334485141672427E-2</v>
      </c>
      <c r="CY283" s="10">
        <f>(Sales[[#This Row],[Adjusted Land Total]]-Sales[[#This Row],[24Lnd]])/Sales[[#This Row],[24Lnd]]</f>
        <v>4.9342105263157892E-3</v>
      </c>
      <c r="CZ283">
        <f>(Sales[[#This Row],[Adjusted Total]]-Sales[[#This Row],[24Final]])/Sales[[#This Row],[24Final]]</f>
        <v>-2.2558537978298116E-2</v>
      </c>
      <c r="DA283" s="10">
        <f>(Sales[[#This Row],[Adjusted Total]]+Sales[[#This Row],[Days Prior Total]])/Sales[[#This Row],[Price]]</f>
        <v>0.94846259962028989</v>
      </c>
    </row>
    <row r="284" spans="1:105">
      <c r="A284">
        <v>2025</v>
      </c>
      <c r="B284">
        <v>19120144549</v>
      </c>
      <c r="C284">
        <v>-1.8325814637483102</v>
      </c>
      <c r="D284">
        <v>0.16</v>
      </c>
      <c r="E284">
        <v>7134</v>
      </c>
      <c r="F284">
        <v>2</v>
      </c>
      <c r="G284" t="s">
        <v>155</v>
      </c>
      <c r="H284">
        <v>317</v>
      </c>
      <c r="I284" t="s">
        <v>5</v>
      </c>
      <c r="J284" t="s">
        <v>156</v>
      </c>
      <c r="K284">
        <v>11</v>
      </c>
      <c r="L284">
        <v>259</v>
      </c>
      <c r="M284" t="s">
        <v>157</v>
      </c>
      <c r="N284" t="s">
        <v>19</v>
      </c>
      <c r="O284" t="s">
        <v>18</v>
      </c>
      <c r="P284">
        <v>2004</v>
      </c>
      <c r="Q284">
        <v>2004</v>
      </c>
      <c r="R284">
        <v>20</v>
      </c>
      <c r="S284">
        <v>20</v>
      </c>
      <c r="T284">
        <v>20</v>
      </c>
      <c r="U284">
        <v>2</v>
      </c>
      <c r="V284">
        <v>1040</v>
      </c>
      <c r="W284">
        <v>1040</v>
      </c>
      <c r="X284">
        <v>0</v>
      </c>
      <c r="Y284">
        <v>0</v>
      </c>
      <c r="Z284">
        <v>0</v>
      </c>
      <c r="AA284">
        <v>0</v>
      </c>
      <c r="AB284">
        <v>2080</v>
      </c>
      <c r="AC284">
        <v>2500</v>
      </c>
      <c r="AD284">
        <v>2</v>
      </c>
      <c r="AE284" t="s">
        <v>56</v>
      </c>
      <c r="AF284" t="s">
        <v>331</v>
      </c>
      <c r="AG284" t="s">
        <v>21</v>
      </c>
      <c r="AH284" t="s">
        <v>161</v>
      </c>
      <c r="AI284">
        <v>0</v>
      </c>
      <c r="AJ284">
        <v>0</v>
      </c>
      <c r="AK284">
        <v>1</v>
      </c>
      <c r="AL284">
        <v>0</v>
      </c>
      <c r="AM284">
        <v>1</v>
      </c>
      <c r="AN284">
        <v>13</v>
      </c>
      <c r="AO284">
        <v>440</v>
      </c>
      <c r="AP284">
        <v>0</v>
      </c>
      <c r="AQ284">
        <v>0</v>
      </c>
      <c r="AR284">
        <v>0</v>
      </c>
      <c r="AS284">
        <v>100</v>
      </c>
      <c r="AT284">
        <v>0</v>
      </c>
      <c r="AU284">
        <v>100</v>
      </c>
      <c r="AV284">
        <v>100</v>
      </c>
      <c r="AW284">
        <v>334442</v>
      </c>
      <c r="AX284">
        <v>300998</v>
      </c>
      <c r="AY284">
        <v>798</v>
      </c>
      <c r="AZ284">
        <v>365</v>
      </c>
      <c r="BA284">
        <v>365</v>
      </c>
      <c r="BB284">
        <v>68</v>
      </c>
      <c r="BC284" s="2">
        <v>44494</v>
      </c>
      <c r="BD284" t="s">
        <v>445</v>
      </c>
      <c r="BE284">
        <v>375000</v>
      </c>
      <c r="BF284">
        <v>375000</v>
      </c>
      <c r="BG284" t="s">
        <v>160</v>
      </c>
      <c r="BH284">
        <v>30</v>
      </c>
      <c r="BI284" t="s">
        <v>56</v>
      </c>
      <c r="BJ284" t="s">
        <v>161</v>
      </c>
      <c r="BK284">
        <v>406800</v>
      </c>
      <c r="BL284">
        <v>60800</v>
      </c>
      <c r="BM284">
        <v>346000</v>
      </c>
      <c r="BN284">
        <v>0</v>
      </c>
      <c r="BO284">
        <v>355656.61327634909</v>
      </c>
      <c r="BP284">
        <v>392378.89685160713</v>
      </c>
      <c r="BQ284">
        <f>(Sales[[#This Row],[DP1]]*Lookups!$B$61)+(Sales[[#This Row],[DP2]]*Lookups!$B$62)+(Sales[[#This Row],[DP3]]*Lookups!$B$63)</f>
        <v>-36722.281831</v>
      </c>
      <c r="BR284">
        <f>Lookups!$B$58*0.6</f>
        <v>132535.48800000001</v>
      </c>
      <c r="BS284">
        <f>Lookups!$B$58*0.4</f>
        <v>88356.992000000013</v>
      </c>
      <c r="BT284">
        <f>Lookups!$B$59*Sales[[#This Row],[LnAcres]]</f>
        <v>-24051.387388882686</v>
      </c>
      <c r="BU284">
        <f>VLOOKUP(Sales[[#This Row],[Qlty]],Lookups!$A$66:$E$79,2,FALSE)</f>
        <v>37154.252388000001</v>
      </c>
      <c r="BV284">
        <f>VLOOKUP(Sales[[#This Row],[Cnd]],Lookups!$A$80:$E$91,2,FALSE)</f>
        <v>17761.121909000001</v>
      </c>
      <c r="BW284">
        <f>Sales[[#This Row],[EffAge]]*Lookups!$B$65</f>
        <v>-2174.8220000000001</v>
      </c>
      <c r="BX284">
        <f>Sales[[#This Row],[MainFn]]*Lookups!$B$90</f>
        <v>64906.7952</v>
      </c>
      <c r="BY284">
        <f>Sales[[#This Row],[UpprFn]]*Lookups!$B$91</f>
        <v>61963.598319999997</v>
      </c>
      <c r="BZ284">
        <f>Sales[[#This Row],[Bsmt]]*Lookups!$B$95</f>
        <v>0</v>
      </c>
      <c r="CA284">
        <f>VLOOKUP(Sales[[#This Row],[MsnryTrim]],Lookups!$A$90:$E$99,2,FALSE)</f>
        <v>-9412.7029999999995</v>
      </c>
      <c r="CB284">
        <f>Sales[[#This Row],[PrefabFP]]*Lookups!$B$92</f>
        <v>9807.1044999999995</v>
      </c>
      <c r="CC284">
        <f>Sales[[#This Row],[AttGar]]*Lookups!$B$93</f>
        <v>15532.453640000002</v>
      </c>
      <c r="CD284">
        <f>Sales[[#This Row],[BltinGar]]*Lookups!$B$94</f>
        <v>0</v>
      </c>
      <c r="CE284">
        <f>SUM(Sales[[#This Row],[Days Prior Total]:[Mdl BltinGar]])</f>
        <v>355656.6117371174</v>
      </c>
      <c r="CF284">
        <f>ROUND(Sales[[#This Row],[25Det]],-2)</f>
        <v>0</v>
      </c>
      <c r="CG284">
        <f>ROUND(SUM(Sales[[#This Row],[Mdl Qlty]:[Mdl BltinGar]])+Sales[[#This Row],[Mdl Res Intercept]]+Sales[[#This Row],[Days Prior Total]],-2)</f>
        <v>291400</v>
      </c>
      <c r="CH284">
        <f>ROUND(Sales[[#This Row],[Mdl Land Intercept]]+Sales[[#This Row],[Mdl LnAcres]],-2)</f>
        <v>64300</v>
      </c>
      <c r="CI284">
        <f>Sales[[#This Row],[Unadj Res Value]]+Sales[[#This Row],[Unadj Det Value]]+Sales[[#This Row],[Unadj Land Value]]</f>
        <v>355700</v>
      </c>
      <c r="CJ284" s="10">
        <f>Sales[[#This Row],[Price]]/Sales[[#This Row],[Unadj Total Value]]</f>
        <v>1.0542592071970762</v>
      </c>
      <c r="CK284" s="10">
        <f>(Sales[[#This Row],[Unadj Total Value]]-Sales[[#This Row],[24Final]])/Sales[[#This Row],[24Final]]</f>
        <v>-0.12561455260570306</v>
      </c>
      <c r="CL284">
        <f>VLOOKUP(Sales[[#This Row],[TNbhd]],Lookups!$M$3:$P$5,4,FALSE)</f>
        <v>0.99970000000000003</v>
      </c>
      <c r="CM284">
        <f>VLOOKUP(Sales[[#This Row],[Qlty]],Lookups!$M$8:$P$22,4,FALSE)</f>
        <v>0.99819999999999998</v>
      </c>
      <c r="CN284">
        <f>VLOOKUP(Sales[[#This Row],[Cnd]],Lookups!$R$8:$U$17,4,FALSE)</f>
        <v>0.99680000000000002</v>
      </c>
      <c r="CO284">
        <f>VLOOKUP(Sales[[#This Row],[LivArea Range]],Lookups!$R$25:$U$43,4,FALSE)</f>
        <v>1.0008999999999999</v>
      </c>
      <c r="CP284">
        <f>VLOOKUP(Sales[[#This Row],[Decade]],Lookups!$M$24:$P$40,4,FALSE)</f>
        <v>0.99560000000000004</v>
      </c>
      <c r="CQ284">
        <f>Sales[[#This Row],[Nbhd Adj]]*0.95</f>
        <v>0.94971499999999998</v>
      </c>
      <c r="CR284">
        <f>Sales[[#This Row],[Nbhd Adj]]*Sales[[#This Row],[Quality Adj]]*Sales[[#This Row],[Condition Adj]]*Sales[[#This Row],[Living Area Adj]]*Sales[[#This Row],[Decade Adj]]*0.95</f>
        <v>0.9416607516359401</v>
      </c>
      <c r="CS284">
        <f>ROUND(SUM(Sales[[#This Row],[Mdl Qlty]:[Mdl BltinGar]])+Sales[[#This Row],[Mdl Res Intercept]]*Sales[[#This Row],[Res Adj ]],-2)</f>
        <v>320300</v>
      </c>
      <c r="CT284">
        <f>ROUND(Sales[[#This Row],[25Det]]*Sales[[#This Row],[Det/Nbhd Adj]],-2)</f>
        <v>0</v>
      </c>
      <c r="CU284">
        <f>Sales[[#This Row],[Adjusted Res]]+Sales[[#This Row],[Adj Det ]]</f>
        <v>320300</v>
      </c>
      <c r="CV284">
        <f>ROUND((Sales[[#This Row],[Mdl Land Intercept]]+Sales[[#This Row],[Mdl LnAcres]])*Sales[[#This Row],[Det/Nbhd Adj]],-2)</f>
        <v>61100</v>
      </c>
      <c r="CW284">
        <f>Sales[[#This Row],[Adjusted Impr Total]]+Sales[[#This Row],[Adjusted Land Total]]</f>
        <v>381400</v>
      </c>
      <c r="CX284" s="10">
        <f>IFERROR((Sales[[#This Row],[Adjusted Impr Total]]-Sales[[#This Row],[24Bldg]])/Sales[[#This Row],[24Bldg]],0)</f>
        <v>-7.4277456647398848E-2</v>
      </c>
      <c r="CY284" s="10">
        <f>(Sales[[#This Row],[Adjusted Land Total]]-Sales[[#This Row],[24Lnd]])/Sales[[#This Row],[24Lnd]]</f>
        <v>4.9342105263157892E-3</v>
      </c>
      <c r="CZ284">
        <f>(Sales[[#This Row],[Adjusted Total]]-Sales[[#This Row],[24Final]])/Sales[[#This Row],[24Final]]</f>
        <v>-6.2438544739429697E-2</v>
      </c>
      <c r="DA284" s="10">
        <f>(Sales[[#This Row],[Adjusted Total]]+Sales[[#This Row],[Days Prior Total]])/Sales[[#This Row],[Price]]</f>
        <v>0.91914058178400004</v>
      </c>
    </row>
    <row r="285" spans="1:105">
      <c r="A285">
        <v>2025</v>
      </c>
      <c r="B285">
        <v>19120144563</v>
      </c>
      <c r="C285">
        <v>-1.7147984280919266</v>
      </c>
      <c r="D285">
        <v>0.18</v>
      </c>
      <c r="E285">
        <v>7686</v>
      </c>
      <c r="F285">
        <v>2</v>
      </c>
      <c r="G285" t="s">
        <v>155</v>
      </c>
      <c r="H285" t="s">
        <v>5</v>
      </c>
      <c r="I285" t="s">
        <v>5</v>
      </c>
      <c r="J285" t="s">
        <v>156</v>
      </c>
      <c r="K285">
        <v>11</v>
      </c>
      <c r="L285">
        <v>259</v>
      </c>
      <c r="M285" t="s">
        <v>193</v>
      </c>
      <c r="N285" t="s">
        <v>21</v>
      </c>
      <c r="O285" t="s">
        <v>18</v>
      </c>
      <c r="P285">
        <v>2004</v>
      </c>
      <c r="Q285">
        <v>2004</v>
      </c>
      <c r="R285">
        <v>20</v>
      </c>
      <c r="S285">
        <v>20</v>
      </c>
      <c r="T285">
        <v>20</v>
      </c>
      <c r="U285">
        <v>1</v>
      </c>
      <c r="V285">
        <v>1706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1706</v>
      </c>
      <c r="AC285">
        <v>2000</v>
      </c>
      <c r="AD285">
        <v>2</v>
      </c>
      <c r="AE285" t="s">
        <v>57</v>
      </c>
      <c r="AF285" t="s">
        <v>331</v>
      </c>
      <c r="AG285" t="s">
        <v>21</v>
      </c>
      <c r="AH285" t="s">
        <v>161</v>
      </c>
      <c r="AI285">
        <v>0</v>
      </c>
      <c r="AJ285">
        <v>0</v>
      </c>
      <c r="AK285">
        <v>1</v>
      </c>
      <c r="AL285">
        <v>0</v>
      </c>
      <c r="AM285">
        <v>0</v>
      </c>
      <c r="AN285">
        <v>10</v>
      </c>
      <c r="AO285">
        <v>466</v>
      </c>
      <c r="AP285">
        <v>0</v>
      </c>
      <c r="AQ285">
        <v>0</v>
      </c>
      <c r="AR285">
        <v>0</v>
      </c>
      <c r="AS285">
        <v>100</v>
      </c>
      <c r="AT285">
        <v>0</v>
      </c>
      <c r="AU285">
        <v>100</v>
      </c>
      <c r="AV285">
        <v>100</v>
      </c>
      <c r="AW285">
        <v>342416</v>
      </c>
      <c r="AX285">
        <v>308174</v>
      </c>
      <c r="AY285">
        <v>65</v>
      </c>
      <c r="AZ285">
        <v>65</v>
      </c>
      <c r="BA285">
        <v>0</v>
      </c>
      <c r="BB285">
        <v>0</v>
      </c>
      <c r="BC285" s="2">
        <v>45227</v>
      </c>
      <c r="BD285" t="s">
        <v>446</v>
      </c>
      <c r="BE285">
        <v>385000</v>
      </c>
      <c r="BF285">
        <v>385000</v>
      </c>
      <c r="BG285" t="s">
        <v>160</v>
      </c>
      <c r="BH285">
        <v>30</v>
      </c>
      <c r="BI285" t="s">
        <v>56</v>
      </c>
      <c r="BJ285" t="s">
        <v>161</v>
      </c>
      <c r="BK285">
        <v>382600</v>
      </c>
      <c r="BL285">
        <v>62500</v>
      </c>
      <c r="BM285">
        <v>320100</v>
      </c>
      <c r="BN285">
        <v>0</v>
      </c>
      <c r="BO285">
        <v>384350.77388626849</v>
      </c>
      <c r="BP285">
        <v>383733.43894507858</v>
      </c>
      <c r="BQ285">
        <f>(Sales[[#This Row],[DP1]]*Lookups!$B$61)+(Sales[[#This Row],[DP2]]*Lookups!$B$62)+(Sales[[#This Row],[DP3]]*Lookups!$B$63)</f>
        <v>617.33493899999996</v>
      </c>
      <c r="BR285">
        <f>Lookups!$B$58*0.6</f>
        <v>132535.48800000001</v>
      </c>
      <c r="BS285">
        <f>Lookups!$B$58*0.4</f>
        <v>88356.992000000013</v>
      </c>
      <c r="BT285">
        <f>Lookups!$B$59*Sales[[#This Row],[LnAcres]]</f>
        <v>-22505.565020573864</v>
      </c>
      <c r="BU285">
        <f>VLOOKUP(Sales[[#This Row],[Qlty]],Lookups!$A$66:$E$79,2,FALSE)</f>
        <v>32917.849192000001</v>
      </c>
      <c r="BV285">
        <f>VLOOKUP(Sales[[#This Row],[Cnd]],Lookups!$A$80:$E$91,2,FALSE)</f>
        <v>17761.121909000001</v>
      </c>
      <c r="BW285">
        <f>Sales[[#This Row],[EffAge]]*Lookups!$B$65</f>
        <v>-2174.8220000000001</v>
      </c>
      <c r="BX285">
        <f>Sales[[#This Row],[MainFn]]*Lookups!$B$90</f>
        <v>106472.10828</v>
      </c>
      <c r="BY285">
        <f>Sales[[#This Row],[UpprFn]]*Lookups!$B$91</f>
        <v>0</v>
      </c>
      <c r="BZ285">
        <f>Sales[[#This Row],[Bsmt]]*Lookups!$B$95</f>
        <v>0</v>
      </c>
      <c r="CA285">
        <f>VLOOKUP(Sales[[#This Row],[MsnryTrim]],Lookups!$A$90:$E$99,2,FALSE)</f>
        <v>4112.8784489</v>
      </c>
      <c r="CB285">
        <f>Sales[[#This Row],[PrefabFP]]*Lookups!$B$92</f>
        <v>9807.1044999999995</v>
      </c>
      <c r="CC285">
        <f>Sales[[#This Row],[AttGar]]*Lookups!$B$93</f>
        <v>16450.280446000001</v>
      </c>
      <c r="CD285">
        <f>Sales[[#This Row],[BltinGar]]*Lookups!$B$94</f>
        <v>0</v>
      </c>
      <c r="CE285">
        <f>SUM(Sales[[#This Row],[Days Prior Total]:[Mdl BltinGar]])</f>
        <v>384350.77069432614</v>
      </c>
      <c r="CF285">
        <f>ROUND(Sales[[#This Row],[25Det]],-2)</f>
        <v>0</v>
      </c>
      <c r="CG285">
        <f>ROUND(SUM(Sales[[#This Row],[Mdl Qlty]:[Mdl BltinGar]])+Sales[[#This Row],[Mdl Res Intercept]]+Sales[[#This Row],[Days Prior Total]],-2)</f>
        <v>318500</v>
      </c>
      <c r="CH285">
        <f>ROUND(Sales[[#This Row],[Mdl Land Intercept]]+Sales[[#This Row],[Mdl LnAcres]],-2)</f>
        <v>65900</v>
      </c>
      <c r="CI285">
        <f>Sales[[#This Row],[Unadj Res Value]]+Sales[[#This Row],[Unadj Det Value]]+Sales[[#This Row],[Unadj Land Value]]</f>
        <v>384400</v>
      </c>
      <c r="CJ285" s="10">
        <f>Sales[[#This Row],[Price]]/Sales[[#This Row],[Unadj Total Value]]</f>
        <v>1.0015608740894901</v>
      </c>
      <c r="CK285" s="10">
        <f>(Sales[[#This Row],[Unadj Total Value]]-Sales[[#This Row],[24Final]])/Sales[[#This Row],[24Final]]</f>
        <v>4.7046523784631472E-3</v>
      </c>
      <c r="CL285">
        <f>VLOOKUP(Sales[[#This Row],[TNbhd]],Lookups!$M$3:$P$5,4,FALSE)</f>
        <v>0.99970000000000003</v>
      </c>
      <c r="CM285">
        <f>VLOOKUP(Sales[[#This Row],[Qlty]],Lookups!$M$8:$P$22,4,FALSE)</f>
        <v>1.0019</v>
      </c>
      <c r="CN285">
        <f>VLOOKUP(Sales[[#This Row],[Cnd]],Lookups!$R$8:$U$17,4,FALSE)</f>
        <v>0.99680000000000002</v>
      </c>
      <c r="CO285">
        <f>VLOOKUP(Sales[[#This Row],[LivArea Range]],Lookups!$R$25:$U$43,4,FALSE)</f>
        <v>1.0007999999999999</v>
      </c>
      <c r="CP285">
        <f>VLOOKUP(Sales[[#This Row],[Decade]],Lookups!$M$24:$P$40,4,FALSE)</f>
        <v>0.99560000000000004</v>
      </c>
      <c r="CQ285">
        <f>Sales[[#This Row],[Nbhd Adj]]*0.95</f>
        <v>0.94971499999999998</v>
      </c>
      <c r="CR285">
        <f>Sales[[#This Row],[Nbhd Adj]]*Sales[[#This Row],[Quality Adj]]*Sales[[#This Row],[Condition Adj]]*Sales[[#This Row],[Living Area Adj]]*Sales[[#This Row],[Decade Adj]]*0.95</f>
        <v>0.94505674905578307</v>
      </c>
      <c r="CS285">
        <f>ROUND(SUM(Sales[[#This Row],[Mdl Qlty]:[Mdl BltinGar]])+Sales[[#This Row],[Mdl Res Intercept]]*Sales[[#This Row],[Res Adj ]],-2)</f>
        <v>310600</v>
      </c>
      <c r="CT285">
        <f>ROUND(Sales[[#This Row],[25Det]]*Sales[[#This Row],[Det/Nbhd Adj]],-2)</f>
        <v>0</v>
      </c>
      <c r="CU285">
        <f>Sales[[#This Row],[Adjusted Res]]+Sales[[#This Row],[Adj Det ]]</f>
        <v>310600</v>
      </c>
      <c r="CV285">
        <f>ROUND((Sales[[#This Row],[Mdl Land Intercept]]+Sales[[#This Row],[Mdl LnAcres]])*Sales[[#This Row],[Det/Nbhd Adj]],-2)</f>
        <v>62500</v>
      </c>
      <c r="CW285">
        <f>Sales[[#This Row],[Adjusted Impr Total]]+Sales[[#This Row],[Adjusted Land Total]]</f>
        <v>373100</v>
      </c>
      <c r="CX285" s="10">
        <f>IFERROR((Sales[[#This Row],[Adjusted Impr Total]]-Sales[[#This Row],[24Bldg]])/Sales[[#This Row],[24Bldg]],0)</f>
        <v>-2.9678225554514215E-2</v>
      </c>
      <c r="CY285" s="10">
        <f>(Sales[[#This Row],[Adjusted Land Total]]-Sales[[#This Row],[24Lnd]])/Sales[[#This Row],[24Lnd]]</f>
        <v>0</v>
      </c>
      <c r="CZ285">
        <f>(Sales[[#This Row],[Adjusted Total]]-Sales[[#This Row],[24Final]])/Sales[[#This Row],[24Final]]</f>
        <v>-2.4830109775222164E-2</v>
      </c>
      <c r="DA285" s="10">
        <f>(Sales[[#This Row],[Adjusted Total]]+Sales[[#This Row],[Days Prior Total]])/Sales[[#This Row],[Price]]</f>
        <v>0.97069437646493517</v>
      </c>
    </row>
    <row r="286" spans="1:105">
      <c r="A286">
        <v>2025</v>
      </c>
      <c r="B286">
        <v>19120144565</v>
      </c>
      <c r="C286">
        <v>-1.7719568419318752</v>
      </c>
      <c r="D286">
        <v>0.17</v>
      </c>
      <c r="E286">
        <v>7558</v>
      </c>
      <c r="F286">
        <v>2</v>
      </c>
      <c r="G286" t="s">
        <v>155</v>
      </c>
      <c r="H286">
        <v>317</v>
      </c>
      <c r="I286" t="s">
        <v>5</v>
      </c>
      <c r="J286" t="s">
        <v>156</v>
      </c>
      <c r="K286">
        <v>11</v>
      </c>
      <c r="L286">
        <v>259</v>
      </c>
      <c r="M286" t="s">
        <v>157</v>
      </c>
      <c r="N286" t="s">
        <v>19</v>
      </c>
      <c r="O286" t="s">
        <v>20</v>
      </c>
      <c r="P286">
        <v>2004</v>
      </c>
      <c r="Q286">
        <v>2004</v>
      </c>
      <c r="R286">
        <v>20</v>
      </c>
      <c r="S286">
        <v>20</v>
      </c>
      <c r="T286">
        <v>20</v>
      </c>
      <c r="U286">
        <v>2</v>
      </c>
      <c r="V286">
        <v>1116</v>
      </c>
      <c r="W286">
        <v>1116</v>
      </c>
      <c r="X286">
        <v>0</v>
      </c>
      <c r="Y286">
        <v>0</v>
      </c>
      <c r="Z286">
        <v>0</v>
      </c>
      <c r="AA286">
        <v>0</v>
      </c>
      <c r="AB286">
        <v>2232</v>
      </c>
      <c r="AC286">
        <v>2500</v>
      </c>
      <c r="AD286">
        <v>3</v>
      </c>
      <c r="AE286" t="s">
        <v>55</v>
      </c>
      <c r="AF286" t="s">
        <v>331</v>
      </c>
      <c r="AG286" t="s">
        <v>21</v>
      </c>
      <c r="AH286" t="s">
        <v>161</v>
      </c>
      <c r="AI286">
        <v>0</v>
      </c>
      <c r="AJ286">
        <v>0</v>
      </c>
      <c r="AK286">
        <v>1</v>
      </c>
      <c r="AL286">
        <v>0</v>
      </c>
      <c r="AM286">
        <v>1</v>
      </c>
      <c r="AN286">
        <v>13</v>
      </c>
      <c r="AO286">
        <v>716</v>
      </c>
      <c r="AP286">
        <v>0</v>
      </c>
      <c r="AQ286">
        <v>0</v>
      </c>
      <c r="AR286">
        <v>0</v>
      </c>
      <c r="AS286">
        <v>264</v>
      </c>
      <c r="AT286">
        <v>0</v>
      </c>
      <c r="AU286">
        <v>100</v>
      </c>
      <c r="AV286">
        <v>100</v>
      </c>
      <c r="AW286">
        <v>362778</v>
      </c>
      <c r="AX286">
        <v>337384</v>
      </c>
      <c r="AY286">
        <v>567</v>
      </c>
      <c r="AZ286">
        <v>365</v>
      </c>
      <c r="BA286">
        <v>202</v>
      </c>
      <c r="BB286">
        <v>0</v>
      </c>
      <c r="BC286" s="2">
        <v>44725</v>
      </c>
      <c r="BD286" t="s">
        <v>447</v>
      </c>
      <c r="BE286">
        <v>405000</v>
      </c>
      <c r="BF286">
        <v>405000</v>
      </c>
      <c r="BG286" t="s">
        <v>160</v>
      </c>
      <c r="BH286">
        <v>30</v>
      </c>
      <c r="BI286" t="s">
        <v>56</v>
      </c>
      <c r="BJ286" t="s">
        <v>161</v>
      </c>
      <c r="BK286">
        <v>407200</v>
      </c>
      <c r="BL286">
        <v>61700</v>
      </c>
      <c r="BM286">
        <v>345500</v>
      </c>
      <c r="BN286">
        <v>0</v>
      </c>
      <c r="BO286">
        <v>429283.6458060632</v>
      </c>
      <c r="BP286">
        <v>439440.67042369058</v>
      </c>
      <c r="BQ286">
        <f>(Sales[[#This Row],[DP1]]*Lookups!$B$61)+(Sales[[#This Row],[DP2]]*Lookups!$B$62)+(Sales[[#This Row],[DP3]]*Lookups!$B$63)</f>
        <v>-10157.023981</v>
      </c>
      <c r="BR286">
        <f>Lookups!$B$58*0.6</f>
        <v>132535.48800000001</v>
      </c>
      <c r="BS286">
        <f>Lookups!$B$58*0.4</f>
        <v>88356.992000000013</v>
      </c>
      <c r="BT286">
        <f>Lookups!$B$59*Sales[[#This Row],[LnAcres]]</f>
        <v>-23255.730391660189</v>
      </c>
      <c r="BU286">
        <f>VLOOKUP(Sales[[#This Row],[Qlty]],Lookups!$A$66:$E$79,2,FALSE)</f>
        <v>37154.252388000001</v>
      </c>
      <c r="BV286">
        <f>VLOOKUP(Sales[[#This Row],[Cnd]],Lookups!$A$80:$E$91,2,FALSE)</f>
        <v>30300.329274</v>
      </c>
      <c r="BW286">
        <f>Sales[[#This Row],[EffAge]]*Lookups!$B$65</f>
        <v>-2174.8220000000001</v>
      </c>
      <c r="BX286">
        <f>Sales[[#This Row],[MainFn]]*Lookups!$B$90</f>
        <v>69649.984080000009</v>
      </c>
      <c r="BY286">
        <f>Sales[[#This Row],[UpprFn]]*Lookups!$B$91</f>
        <v>66491.707427999994</v>
      </c>
      <c r="BZ286">
        <f>Sales[[#This Row],[Bsmt]]*Lookups!$B$95</f>
        <v>0</v>
      </c>
      <c r="CA286">
        <f>VLOOKUP(Sales[[#This Row],[MsnryTrim]],Lookups!$A$90:$E$99,2,FALSE)</f>
        <v>5299.8242</v>
      </c>
      <c r="CB286">
        <f>Sales[[#This Row],[PrefabFP]]*Lookups!$B$92</f>
        <v>9807.1044999999995</v>
      </c>
      <c r="CC286">
        <f>Sales[[#This Row],[AttGar]]*Lookups!$B$93</f>
        <v>25275.538196000001</v>
      </c>
      <c r="CD286">
        <f>Sales[[#This Row],[BltinGar]]*Lookups!$B$94</f>
        <v>0</v>
      </c>
      <c r="CE286">
        <f>SUM(Sales[[#This Row],[Days Prior Total]:[Mdl BltinGar]])</f>
        <v>429283.64369333984</v>
      </c>
      <c r="CF286">
        <f>ROUND(Sales[[#This Row],[25Det]],-2)</f>
        <v>0</v>
      </c>
      <c r="CG286">
        <f>ROUND(SUM(Sales[[#This Row],[Mdl Qlty]:[Mdl BltinGar]])+Sales[[#This Row],[Mdl Res Intercept]]+Sales[[#This Row],[Days Prior Total]],-2)</f>
        <v>364200</v>
      </c>
      <c r="CH286">
        <f>ROUND(Sales[[#This Row],[Mdl Land Intercept]]+Sales[[#This Row],[Mdl LnAcres]],-2)</f>
        <v>65100</v>
      </c>
      <c r="CI286">
        <f>Sales[[#This Row],[Unadj Res Value]]+Sales[[#This Row],[Unadj Det Value]]+Sales[[#This Row],[Unadj Land Value]]</f>
        <v>429300</v>
      </c>
      <c r="CJ286" s="10">
        <f>Sales[[#This Row],[Price]]/Sales[[#This Row],[Unadj Total Value]]</f>
        <v>0.94339622641509435</v>
      </c>
      <c r="CK286" s="10">
        <f>(Sales[[#This Row],[Unadj Total Value]]-Sales[[#This Row],[24Final]])/Sales[[#This Row],[24Final]]</f>
        <v>5.427308447937132E-2</v>
      </c>
      <c r="CL286">
        <f>VLOOKUP(Sales[[#This Row],[TNbhd]],Lookups!$M$3:$P$5,4,FALSE)</f>
        <v>0.99970000000000003</v>
      </c>
      <c r="CM286">
        <f>VLOOKUP(Sales[[#This Row],[Qlty]],Lookups!$M$8:$P$22,4,FALSE)</f>
        <v>0.99819999999999998</v>
      </c>
      <c r="CN286">
        <f>VLOOKUP(Sales[[#This Row],[Cnd]],Lookups!$R$8:$U$17,4,FALSE)</f>
        <v>0.997</v>
      </c>
      <c r="CO286">
        <f>VLOOKUP(Sales[[#This Row],[LivArea Range]],Lookups!$R$25:$U$43,4,FALSE)</f>
        <v>1.0008999999999999</v>
      </c>
      <c r="CP286">
        <f>VLOOKUP(Sales[[#This Row],[Decade]],Lookups!$M$24:$P$40,4,FALSE)</f>
        <v>0.99560000000000004</v>
      </c>
      <c r="CQ286">
        <f>Sales[[#This Row],[Nbhd Adj]]*0.95</f>
        <v>0.94971499999999998</v>
      </c>
      <c r="CR286">
        <f>Sales[[#This Row],[Nbhd Adj]]*Sales[[#This Row],[Quality Adj]]*Sales[[#This Row],[Condition Adj]]*Sales[[#This Row],[Living Area Adj]]*Sales[[#This Row],[Decade Adj]]*0.95</f>
        <v>0.94184968838386041</v>
      </c>
      <c r="CS286">
        <f>ROUND(SUM(Sales[[#This Row],[Mdl Qlty]:[Mdl BltinGar]])+Sales[[#This Row],[Mdl Res Intercept]]*Sales[[#This Row],[Res Adj ]],-2)</f>
        <v>366600</v>
      </c>
      <c r="CT286">
        <f>ROUND(Sales[[#This Row],[25Det]]*Sales[[#This Row],[Det/Nbhd Adj]],-2)</f>
        <v>0</v>
      </c>
      <c r="CU286">
        <f>Sales[[#This Row],[Adjusted Res]]+Sales[[#This Row],[Adj Det ]]</f>
        <v>366600</v>
      </c>
      <c r="CV286">
        <f>ROUND((Sales[[#This Row],[Mdl Land Intercept]]+Sales[[#This Row],[Mdl LnAcres]])*Sales[[#This Row],[Det/Nbhd Adj]],-2)</f>
        <v>61800</v>
      </c>
      <c r="CW286">
        <f>Sales[[#This Row],[Adjusted Impr Total]]+Sales[[#This Row],[Adjusted Land Total]]</f>
        <v>428400</v>
      </c>
      <c r="CX286" s="10">
        <f>IFERROR((Sales[[#This Row],[Adjusted Impr Total]]-Sales[[#This Row],[24Bldg]])/Sales[[#This Row],[24Bldg]],0)</f>
        <v>6.1070911722141824E-2</v>
      </c>
      <c r="CY286" s="10">
        <f>(Sales[[#This Row],[Adjusted Land Total]]-Sales[[#This Row],[24Lnd]])/Sales[[#This Row],[24Lnd]]</f>
        <v>1.6207455429497568E-3</v>
      </c>
      <c r="CZ286">
        <f>(Sales[[#This Row],[Adjusted Total]]-Sales[[#This Row],[24Final]])/Sales[[#This Row],[24Final]]</f>
        <v>5.2062868369351673E-2</v>
      </c>
      <c r="DA286" s="10">
        <f>(Sales[[#This Row],[Adjusted Total]]+Sales[[#This Row],[Days Prior Total]])/Sales[[#This Row],[Price]]</f>
        <v>1.032698706219753</v>
      </c>
    </row>
    <row r="287" spans="1:105">
      <c r="A287">
        <v>2025</v>
      </c>
      <c r="B287">
        <v>19120144569</v>
      </c>
      <c r="C287">
        <v>-1.8325814637483102</v>
      </c>
      <c r="D287">
        <v>0.16</v>
      </c>
      <c r="E287">
        <v>7173</v>
      </c>
      <c r="F287">
        <v>2</v>
      </c>
      <c r="G287" t="s">
        <v>155</v>
      </c>
      <c r="H287">
        <v>317</v>
      </c>
      <c r="I287" t="s">
        <v>5</v>
      </c>
      <c r="J287" t="s">
        <v>212</v>
      </c>
      <c r="K287">
        <v>11</v>
      </c>
      <c r="L287">
        <v>259</v>
      </c>
      <c r="M287" t="s">
        <v>193</v>
      </c>
      <c r="N287" t="s">
        <v>19</v>
      </c>
      <c r="O287" t="s">
        <v>20</v>
      </c>
      <c r="P287">
        <v>2004</v>
      </c>
      <c r="Q287">
        <v>2004</v>
      </c>
      <c r="R287">
        <v>20</v>
      </c>
      <c r="S287">
        <v>20</v>
      </c>
      <c r="T287">
        <v>20</v>
      </c>
      <c r="U287">
        <v>1</v>
      </c>
      <c r="V287">
        <v>1364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1364</v>
      </c>
      <c r="AC287">
        <v>1500</v>
      </c>
      <c r="AD287">
        <v>2</v>
      </c>
      <c r="AE287" t="s">
        <v>56</v>
      </c>
      <c r="AF287" t="s">
        <v>331</v>
      </c>
      <c r="AG287" t="s">
        <v>21</v>
      </c>
      <c r="AH287" t="s">
        <v>161</v>
      </c>
      <c r="AI287">
        <v>0</v>
      </c>
      <c r="AJ287">
        <v>0</v>
      </c>
      <c r="AK287">
        <v>0</v>
      </c>
      <c r="AL287">
        <v>1</v>
      </c>
      <c r="AM287">
        <v>0</v>
      </c>
      <c r="AN287">
        <v>8</v>
      </c>
      <c r="AO287">
        <v>428</v>
      </c>
      <c r="AP287">
        <v>0</v>
      </c>
      <c r="AQ287">
        <v>0</v>
      </c>
      <c r="AR287">
        <v>0</v>
      </c>
      <c r="AS287">
        <v>440</v>
      </c>
      <c r="AT287">
        <v>0</v>
      </c>
      <c r="AU287">
        <v>100</v>
      </c>
      <c r="AV287">
        <v>100</v>
      </c>
      <c r="AW287">
        <v>250532</v>
      </c>
      <c r="AX287">
        <v>232995</v>
      </c>
      <c r="AY287">
        <v>823</v>
      </c>
      <c r="AZ287">
        <v>365</v>
      </c>
      <c r="BA287">
        <v>365</v>
      </c>
      <c r="BB287">
        <v>93</v>
      </c>
      <c r="BC287" s="2">
        <v>44469</v>
      </c>
      <c r="BD287" t="s">
        <v>448</v>
      </c>
      <c r="BE287">
        <v>324000</v>
      </c>
      <c r="BF287">
        <v>324000</v>
      </c>
      <c r="BG287" t="s">
        <v>160</v>
      </c>
      <c r="BH287">
        <v>30</v>
      </c>
      <c r="BI287" t="s">
        <v>56</v>
      </c>
      <c r="BJ287" t="s">
        <v>161</v>
      </c>
      <c r="BK287">
        <v>350700</v>
      </c>
      <c r="BL287">
        <v>60800</v>
      </c>
      <c r="BM287">
        <v>289900</v>
      </c>
      <c r="BN287">
        <v>0</v>
      </c>
      <c r="BO287">
        <v>310497.4836424996</v>
      </c>
      <c r="BP287">
        <v>352944.75243246107</v>
      </c>
      <c r="BQ287">
        <f>(Sales[[#This Row],[DP1]]*Lookups!$B$61)+(Sales[[#This Row],[DP2]]*Lookups!$B$62)+(Sales[[#This Row],[DP3]]*Lookups!$B$63)</f>
        <v>-42447.266831000001</v>
      </c>
      <c r="BR287">
        <f>Lookups!$B$58*0.6</f>
        <v>132535.48800000001</v>
      </c>
      <c r="BS287">
        <f>Lookups!$B$58*0.4</f>
        <v>88356.992000000013</v>
      </c>
      <c r="BT287">
        <f>Lookups!$B$59*Sales[[#This Row],[LnAcres]]</f>
        <v>-24051.387388882686</v>
      </c>
      <c r="BU287">
        <f>VLOOKUP(Sales[[#This Row],[Qlty]],Lookups!$A$66:$E$79,2,FALSE)</f>
        <v>37154.252388000001</v>
      </c>
      <c r="BV287">
        <f>VLOOKUP(Sales[[#This Row],[Cnd]],Lookups!$A$80:$E$91,2,FALSE)</f>
        <v>30300.329274</v>
      </c>
      <c r="BW287">
        <f>Sales[[#This Row],[EffAge]]*Lookups!$B$65</f>
        <v>-2174.8220000000001</v>
      </c>
      <c r="BX287">
        <f>Sales[[#This Row],[MainFn]]*Lookups!$B$90</f>
        <v>85127.758320000008</v>
      </c>
      <c r="BY287">
        <f>Sales[[#This Row],[UpprFn]]*Lookups!$B$91</f>
        <v>0</v>
      </c>
      <c r="BZ287">
        <f>Sales[[#This Row],[Bsmt]]*Lookups!$B$95</f>
        <v>0</v>
      </c>
      <c r="CA287">
        <f>VLOOKUP(Sales[[#This Row],[MsnryTrim]],Lookups!$A$90:$E$99,2,FALSE)</f>
        <v>-9412.7029999999995</v>
      </c>
      <c r="CB287">
        <f>Sales[[#This Row],[PrefabFP]]*Lookups!$B$92</f>
        <v>0</v>
      </c>
      <c r="CC287">
        <f>Sales[[#This Row],[AttGar]]*Lookups!$B$93</f>
        <v>15108.841268</v>
      </c>
      <c r="CD287">
        <f>Sales[[#This Row],[BltinGar]]*Lookups!$B$94</f>
        <v>0</v>
      </c>
      <c r="CE287">
        <f>SUM(Sales[[#This Row],[Days Prior Total]:[Mdl BltinGar]])</f>
        <v>310497.48203011736</v>
      </c>
      <c r="CF287">
        <f>ROUND(Sales[[#This Row],[25Det]],-2)</f>
        <v>0</v>
      </c>
      <c r="CG287">
        <f>ROUND(SUM(Sales[[#This Row],[Mdl Qlty]:[Mdl BltinGar]])+Sales[[#This Row],[Mdl Res Intercept]]+Sales[[#This Row],[Days Prior Total]],-2)</f>
        <v>246200</v>
      </c>
      <c r="CH287">
        <f>ROUND(Sales[[#This Row],[Mdl Land Intercept]]+Sales[[#This Row],[Mdl LnAcres]],-2)</f>
        <v>64300</v>
      </c>
      <c r="CI287">
        <f>Sales[[#This Row],[Unadj Res Value]]+Sales[[#This Row],[Unadj Det Value]]+Sales[[#This Row],[Unadj Land Value]]</f>
        <v>310500</v>
      </c>
      <c r="CJ287" s="10">
        <f>Sales[[#This Row],[Price]]/Sales[[#This Row],[Unadj Total Value]]</f>
        <v>1.0434782608695652</v>
      </c>
      <c r="CK287" s="10">
        <f>(Sales[[#This Row],[Unadj Total Value]]-Sales[[#This Row],[24Final]])/Sales[[#This Row],[24Final]]</f>
        <v>-0.1146278870829769</v>
      </c>
      <c r="CL287">
        <f>VLOOKUP(Sales[[#This Row],[TNbhd]],Lookups!$M$3:$P$5,4,FALSE)</f>
        <v>0.99970000000000003</v>
      </c>
      <c r="CM287">
        <f>VLOOKUP(Sales[[#This Row],[Qlty]],Lookups!$M$8:$P$22,4,FALSE)</f>
        <v>0.99819999999999998</v>
      </c>
      <c r="CN287">
        <f>VLOOKUP(Sales[[#This Row],[Cnd]],Lookups!$R$8:$U$17,4,FALSE)</f>
        <v>0.997</v>
      </c>
      <c r="CO287">
        <f>VLOOKUP(Sales[[#This Row],[LivArea Range]],Lookups!$R$25:$U$43,4,FALSE)</f>
        <v>0.99519999999999997</v>
      </c>
      <c r="CP287">
        <f>VLOOKUP(Sales[[#This Row],[Decade]],Lookups!$M$24:$P$40,4,FALSE)</f>
        <v>0.99560000000000004</v>
      </c>
      <c r="CQ287">
        <f>Sales[[#This Row],[Nbhd Adj]]*0.95</f>
        <v>0.94971499999999998</v>
      </c>
      <c r="CR287">
        <f>Sales[[#This Row],[Nbhd Adj]]*Sales[[#This Row],[Quality Adj]]*Sales[[#This Row],[Condition Adj]]*Sales[[#This Row],[Living Area Adj]]*Sales[[#This Row],[Decade Adj]]*0.95</f>
        <v>0.93648597250436405</v>
      </c>
      <c r="CS287">
        <f>ROUND(SUM(Sales[[#This Row],[Mdl Qlty]:[Mdl BltinGar]])+Sales[[#This Row],[Mdl Res Intercept]]*Sales[[#This Row],[Res Adj ]],-2)</f>
        <v>280200</v>
      </c>
      <c r="CT287">
        <f>ROUND(Sales[[#This Row],[25Det]]*Sales[[#This Row],[Det/Nbhd Adj]],-2)</f>
        <v>0</v>
      </c>
      <c r="CU287">
        <f>Sales[[#This Row],[Adjusted Res]]+Sales[[#This Row],[Adj Det ]]</f>
        <v>280200</v>
      </c>
      <c r="CV287">
        <f>ROUND((Sales[[#This Row],[Mdl Land Intercept]]+Sales[[#This Row],[Mdl LnAcres]])*Sales[[#This Row],[Det/Nbhd Adj]],-2)</f>
        <v>61100</v>
      </c>
      <c r="CW287">
        <f>Sales[[#This Row],[Adjusted Impr Total]]+Sales[[#This Row],[Adjusted Land Total]]</f>
        <v>341300</v>
      </c>
      <c r="CX287" s="10">
        <f>IFERROR((Sales[[#This Row],[Adjusted Impr Total]]-Sales[[#This Row],[24Bldg]])/Sales[[#This Row],[24Bldg]],0)</f>
        <v>-3.3459813728872023E-2</v>
      </c>
      <c r="CY287" s="10">
        <f>(Sales[[#This Row],[Adjusted Land Total]]-Sales[[#This Row],[24Lnd]])/Sales[[#This Row],[24Lnd]]</f>
        <v>4.9342105263157892E-3</v>
      </c>
      <c r="CZ287">
        <f>(Sales[[#This Row],[Adjusted Total]]-Sales[[#This Row],[24Final]])/Sales[[#This Row],[24Final]]</f>
        <v>-2.6803535785571715E-2</v>
      </c>
      <c r="DA287" s="10">
        <f>(Sales[[#This Row],[Adjusted Total]]+Sales[[#This Row],[Days Prior Total]])/Sales[[#This Row],[Price]]</f>
        <v>0.92238497891666671</v>
      </c>
    </row>
    <row r="288" spans="1:105">
      <c r="A288">
        <v>2025</v>
      </c>
      <c r="B288">
        <v>19120144572</v>
      </c>
      <c r="C288">
        <v>-1.7719568419318752</v>
      </c>
      <c r="D288">
        <v>0.17</v>
      </c>
      <c r="E288">
        <v>7198</v>
      </c>
      <c r="F288">
        <v>2</v>
      </c>
      <c r="G288" t="s">
        <v>155</v>
      </c>
      <c r="H288">
        <v>317</v>
      </c>
      <c r="I288" t="s">
        <v>5</v>
      </c>
      <c r="J288" t="s">
        <v>156</v>
      </c>
      <c r="K288">
        <v>11</v>
      </c>
      <c r="L288">
        <v>259</v>
      </c>
      <c r="M288" t="s">
        <v>157</v>
      </c>
      <c r="N288" t="s">
        <v>19</v>
      </c>
      <c r="O288" t="s">
        <v>22</v>
      </c>
      <c r="P288">
        <v>2004</v>
      </c>
      <c r="Q288">
        <v>2004</v>
      </c>
      <c r="R288">
        <v>20</v>
      </c>
      <c r="S288">
        <v>20</v>
      </c>
      <c r="T288">
        <v>20</v>
      </c>
      <c r="U288">
        <v>2</v>
      </c>
      <c r="V288">
        <v>1116</v>
      </c>
      <c r="W288">
        <v>1116</v>
      </c>
      <c r="X288">
        <v>0</v>
      </c>
      <c r="Y288">
        <v>0</v>
      </c>
      <c r="Z288">
        <v>0</v>
      </c>
      <c r="AA288">
        <v>0</v>
      </c>
      <c r="AB288">
        <v>2232</v>
      </c>
      <c r="AC288">
        <v>2500</v>
      </c>
      <c r="AD288">
        <v>2</v>
      </c>
      <c r="AE288" t="s">
        <v>55</v>
      </c>
      <c r="AF288" t="s">
        <v>331</v>
      </c>
      <c r="AG288" t="s">
        <v>21</v>
      </c>
      <c r="AH288" t="s">
        <v>161</v>
      </c>
      <c r="AI288">
        <v>0</v>
      </c>
      <c r="AJ288">
        <v>0</v>
      </c>
      <c r="AK288">
        <v>0</v>
      </c>
      <c r="AL288">
        <v>0</v>
      </c>
      <c r="AM288">
        <v>1</v>
      </c>
      <c r="AN288">
        <v>13</v>
      </c>
      <c r="AO288">
        <v>440</v>
      </c>
      <c r="AP288">
        <v>0</v>
      </c>
      <c r="AQ288">
        <v>0</v>
      </c>
      <c r="AR288">
        <v>0</v>
      </c>
      <c r="AS288">
        <v>300</v>
      </c>
      <c r="AT288">
        <v>0</v>
      </c>
      <c r="AU288">
        <v>100</v>
      </c>
      <c r="AV288">
        <v>100</v>
      </c>
      <c r="AW288">
        <v>349809</v>
      </c>
      <c r="AX288">
        <v>328820</v>
      </c>
      <c r="AY288">
        <v>781</v>
      </c>
      <c r="AZ288">
        <v>365</v>
      </c>
      <c r="BA288">
        <v>365</v>
      </c>
      <c r="BB288">
        <v>51</v>
      </c>
      <c r="BC288" s="2">
        <v>44511</v>
      </c>
      <c r="BD288" t="s">
        <v>449</v>
      </c>
      <c r="BE288">
        <v>399500</v>
      </c>
      <c r="BF288">
        <v>399500</v>
      </c>
      <c r="BG288" t="s">
        <v>160</v>
      </c>
      <c r="BH288">
        <v>30</v>
      </c>
      <c r="BI288" t="s">
        <v>56</v>
      </c>
      <c r="BJ288" t="s">
        <v>161</v>
      </c>
      <c r="BK288">
        <v>410800</v>
      </c>
      <c r="BL288">
        <v>61700</v>
      </c>
      <c r="BM288">
        <v>349100</v>
      </c>
      <c r="BN288">
        <v>0</v>
      </c>
      <c r="BO288">
        <v>407199.23762241402</v>
      </c>
      <c r="BP288">
        <v>440028.53125167359</v>
      </c>
      <c r="BQ288">
        <f>(Sales[[#This Row],[DP1]]*Lookups!$B$61)+(Sales[[#This Row],[DP2]]*Lookups!$B$62)+(Sales[[#This Row],[DP3]]*Lookups!$B$63)</f>
        <v>-32829.292030999997</v>
      </c>
      <c r="BR288">
        <f>Lookups!$B$58*0.6</f>
        <v>132535.48800000001</v>
      </c>
      <c r="BS288">
        <f>Lookups!$B$58*0.4</f>
        <v>88356.992000000013</v>
      </c>
      <c r="BT288">
        <f>Lookups!$B$59*Sales[[#This Row],[LnAcres]]</f>
        <v>-23255.730391660189</v>
      </c>
      <c r="BU288">
        <f>VLOOKUP(Sales[[#This Row],[Qlty]],Lookups!$A$66:$E$79,2,FALSE)</f>
        <v>37154.252388000001</v>
      </c>
      <c r="BV288">
        <f>VLOOKUP(Sales[[#This Row],[Cnd]],Lookups!$A$80:$E$91,2,FALSE)</f>
        <v>50438.379078999998</v>
      </c>
      <c r="BW288">
        <f>Sales[[#This Row],[EffAge]]*Lookups!$B$65</f>
        <v>-2174.8220000000001</v>
      </c>
      <c r="BX288">
        <f>Sales[[#This Row],[MainFn]]*Lookups!$B$90</f>
        <v>69649.984080000009</v>
      </c>
      <c r="BY288">
        <f>Sales[[#This Row],[UpprFn]]*Lookups!$B$91</f>
        <v>66491.707427999994</v>
      </c>
      <c r="BZ288">
        <f>Sales[[#This Row],[Bsmt]]*Lookups!$B$95</f>
        <v>0</v>
      </c>
      <c r="CA288">
        <f>VLOOKUP(Sales[[#This Row],[MsnryTrim]],Lookups!$A$90:$E$99,2,FALSE)</f>
        <v>5299.8242</v>
      </c>
      <c r="CB288">
        <f>Sales[[#This Row],[PrefabFP]]*Lookups!$B$92</f>
        <v>0</v>
      </c>
      <c r="CC288">
        <f>Sales[[#This Row],[AttGar]]*Lookups!$B$93</f>
        <v>15532.453640000002</v>
      </c>
      <c r="CD288">
        <f>Sales[[#This Row],[BltinGar]]*Lookups!$B$94</f>
        <v>0</v>
      </c>
      <c r="CE288">
        <f>SUM(Sales[[#This Row],[Days Prior Total]:[Mdl BltinGar]])</f>
        <v>407199.23639233987</v>
      </c>
      <c r="CF288">
        <f>ROUND(Sales[[#This Row],[25Det]],-2)</f>
        <v>0</v>
      </c>
      <c r="CG288">
        <f>ROUND(SUM(Sales[[#This Row],[Mdl Qlty]:[Mdl BltinGar]])+Sales[[#This Row],[Mdl Res Intercept]]+Sales[[#This Row],[Days Prior Total]],-2)</f>
        <v>342100</v>
      </c>
      <c r="CH288">
        <f>ROUND(Sales[[#This Row],[Mdl Land Intercept]]+Sales[[#This Row],[Mdl LnAcres]],-2)</f>
        <v>65100</v>
      </c>
      <c r="CI288">
        <f>Sales[[#This Row],[Unadj Res Value]]+Sales[[#This Row],[Unadj Det Value]]+Sales[[#This Row],[Unadj Land Value]]</f>
        <v>407200</v>
      </c>
      <c r="CJ288" s="10">
        <f>Sales[[#This Row],[Price]]/Sales[[#This Row],[Unadj Total Value]]</f>
        <v>0.98109037328094306</v>
      </c>
      <c r="CK288" s="10">
        <f>(Sales[[#This Row],[Unadj Total Value]]-Sales[[#This Row],[24Final]])/Sales[[#This Row],[24Final]]</f>
        <v>-8.7633885102239538E-3</v>
      </c>
      <c r="CL288">
        <f>VLOOKUP(Sales[[#This Row],[TNbhd]],Lookups!$M$3:$P$5,4,FALSE)</f>
        <v>0.99970000000000003</v>
      </c>
      <c r="CM288">
        <f>VLOOKUP(Sales[[#This Row],[Qlty]],Lookups!$M$8:$P$22,4,FALSE)</f>
        <v>0.99819999999999998</v>
      </c>
      <c r="CN288">
        <f>VLOOKUP(Sales[[#This Row],[Cnd]],Lookups!$R$8:$U$17,4,FALSE)</f>
        <v>1.0007999999999999</v>
      </c>
      <c r="CO288">
        <f>VLOOKUP(Sales[[#This Row],[LivArea Range]],Lookups!$R$25:$U$43,4,FALSE)</f>
        <v>1.0008999999999999</v>
      </c>
      <c r="CP288">
        <f>VLOOKUP(Sales[[#This Row],[Decade]],Lookups!$M$24:$P$40,4,FALSE)</f>
        <v>0.99560000000000004</v>
      </c>
      <c r="CQ288">
        <f>Sales[[#This Row],[Nbhd Adj]]*0.95</f>
        <v>0.94971499999999998</v>
      </c>
      <c r="CR288">
        <f>Sales[[#This Row],[Nbhd Adj]]*Sales[[#This Row],[Quality Adj]]*Sales[[#This Row],[Condition Adj]]*Sales[[#This Row],[Living Area Adj]]*Sales[[#This Row],[Decade Adj]]*0.95</f>
        <v>0.94543948659435051</v>
      </c>
      <c r="CS288">
        <f>ROUND(SUM(Sales[[#This Row],[Mdl Qlty]:[Mdl BltinGar]])+Sales[[#This Row],[Mdl Res Intercept]]*Sales[[#This Row],[Res Adj ]],-2)</f>
        <v>367700</v>
      </c>
      <c r="CT288">
        <f>ROUND(Sales[[#This Row],[25Det]]*Sales[[#This Row],[Det/Nbhd Adj]],-2)</f>
        <v>0</v>
      </c>
      <c r="CU288">
        <f>Sales[[#This Row],[Adjusted Res]]+Sales[[#This Row],[Adj Det ]]</f>
        <v>367700</v>
      </c>
      <c r="CV288">
        <f>ROUND((Sales[[#This Row],[Mdl Land Intercept]]+Sales[[#This Row],[Mdl LnAcres]])*Sales[[#This Row],[Det/Nbhd Adj]],-2)</f>
        <v>61800</v>
      </c>
      <c r="CW288">
        <f>Sales[[#This Row],[Adjusted Impr Total]]+Sales[[#This Row],[Adjusted Land Total]]</f>
        <v>429500</v>
      </c>
      <c r="CX288" s="10">
        <f>IFERROR((Sales[[#This Row],[Adjusted Impr Total]]-Sales[[#This Row],[24Bldg]])/Sales[[#This Row],[24Bldg]],0)</f>
        <v>5.3279862503580633E-2</v>
      </c>
      <c r="CY288" s="10">
        <f>(Sales[[#This Row],[Adjusted Land Total]]-Sales[[#This Row],[24Lnd]])/Sales[[#This Row],[24Lnd]]</f>
        <v>1.6207455429497568E-3</v>
      </c>
      <c r="CZ288">
        <f>(Sales[[#This Row],[Adjusted Total]]-Sales[[#This Row],[24Final]])/Sales[[#This Row],[24Final]]</f>
        <v>4.552093476144109E-2</v>
      </c>
      <c r="DA288" s="10">
        <f>(Sales[[#This Row],[Adjusted Total]]+Sales[[#This Row],[Days Prior Total]])/Sales[[#This Row],[Price]]</f>
        <v>0.99291791731914891</v>
      </c>
    </row>
    <row r="289" spans="1:105">
      <c r="A289">
        <v>2025</v>
      </c>
      <c r="B289">
        <v>19120144572</v>
      </c>
      <c r="C289">
        <v>-1.7719568419318752</v>
      </c>
      <c r="D289">
        <v>0.17</v>
      </c>
      <c r="E289">
        <v>7198</v>
      </c>
      <c r="F289">
        <v>2</v>
      </c>
      <c r="G289" t="s">
        <v>155</v>
      </c>
      <c r="H289" t="s">
        <v>5</v>
      </c>
      <c r="I289" t="s">
        <v>5</v>
      </c>
      <c r="J289" t="s">
        <v>156</v>
      </c>
      <c r="K289">
        <v>11</v>
      </c>
      <c r="L289">
        <v>259</v>
      </c>
      <c r="M289" t="s">
        <v>157</v>
      </c>
      <c r="N289" t="s">
        <v>21</v>
      </c>
      <c r="O289" t="s">
        <v>22</v>
      </c>
      <c r="P289">
        <v>2004</v>
      </c>
      <c r="Q289">
        <v>2004</v>
      </c>
      <c r="R289">
        <v>20</v>
      </c>
      <c r="S289">
        <v>20</v>
      </c>
      <c r="T289">
        <v>20</v>
      </c>
      <c r="U289">
        <v>2</v>
      </c>
      <c r="V289">
        <v>1116</v>
      </c>
      <c r="W289">
        <v>1116</v>
      </c>
      <c r="X289">
        <v>0</v>
      </c>
      <c r="Y289">
        <v>0</v>
      </c>
      <c r="Z289">
        <v>0</v>
      </c>
      <c r="AA289">
        <v>0</v>
      </c>
      <c r="AB289">
        <v>2232</v>
      </c>
      <c r="AC289">
        <v>2500</v>
      </c>
      <c r="AD289">
        <v>2</v>
      </c>
      <c r="AE289" t="s">
        <v>55</v>
      </c>
      <c r="AF289" t="s">
        <v>331</v>
      </c>
      <c r="AG289" t="s">
        <v>21</v>
      </c>
      <c r="AH289" t="s">
        <v>161</v>
      </c>
      <c r="AI289">
        <v>0</v>
      </c>
      <c r="AJ289">
        <v>0</v>
      </c>
      <c r="AK289">
        <v>0</v>
      </c>
      <c r="AL289">
        <v>0</v>
      </c>
      <c r="AM289">
        <v>1</v>
      </c>
      <c r="AN289">
        <v>13</v>
      </c>
      <c r="AO289">
        <v>440</v>
      </c>
      <c r="AP289">
        <v>0</v>
      </c>
      <c r="AQ289">
        <v>0</v>
      </c>
      <c r="AR289">
        <v>0</v>
      </c>
      <c r="AS289">
        <v>300</v>
      </c>
      <c r="AT289">
        <v>0</v>
      </c>
      <c r="AU289">
        <v>100</v>
      </c>
      <c r="AV289">
        <v>100</v>
      </c>
      <c r="AW289">
        <v>398788</v>
      </c>
      <c r="AX289">
        <v>374861</v>
      </c>
      <c r="AY289">
        <v>20</v>
      </c>
      <c r="AZ289">
        <v>20</v>
      </c>
      <c r="BA289">
        <v>0</v>
      </c>
      <c r="BB289">
        <v>0</v>
      </c>
      <c r="BC289" s="2">
        <v>45272</v>
      </c>
      <c r="BD289" t="s">
        <v>450</v>
      </c>
      <c r="BE289">
        <v>450000</v>
      </c>
      <c r="BF289">
        <v>450000</v>
      </c>
      <c r="BG289" t="s">
        <v>160</v>
      </c>
      <c r="BH289">
        <v>30</v>
      </c>
      <c r="BI289" t="s">
        <v>56</v>
      </c>
      <c r="BJ289" t="s">
        <v>161</v>
      </c>
      <c r="BK289">
        <v>410800</v>
      </c>
      <c r="BL289">
        <v>61700</v>
      </c>
      <c r="BM289">
        <v>349100</v>
      </c>
      <c r="BN289">
        <v>0</v>
      </c>
      <c r="BO289">
        <v>435982.07726823573</v>
      </c>
      <c r="BP289">
        <v>435792.12805556186</v>
      </c>
      <c r="BQ289">
        <f>(Sales[[#This Row],[DP1]]*Lookups!$B$61)+(Sales[[#This Row],[DP2]]*Lookups!$B$62)+(Sales[[#This Row],[DP3]]*Lookups!$B$63)</f>
        <v>189.94921199999999</v>
      </c>
      <c r="BR289">
        <f>Lookups!$B$58*0.6</f>
        <v>132535.48800000001</v>
      </c>
      <c r="BS289">
        <f>Lookups!$B$58*0.4</f>
        <v>88356.992000000013</v>
      </c>
      <c r="BT289">
        <f>Lookups!$B$59*Sales[[#This Row],[LnAcres]]</f>
        <v>-23255.730391660189</v>
      </c>
      <c r="BU289">
        <f>VLOOKUP(Sales[[#This Row],[Qlty]],Lookups!$A$66:$E$79,2,FALSE)</f>
        <v>32917.849192000001</v>
      </c>
      <c r="BV289">
        <f>VLOOKUP(Sales[[#This Row],[Cnd]],Lookups!$A$80:$E$91,2,FALSE)</f>
        <v>50438.379078999998</v>
      </c>
      <c r="BW289">
        <f>Sales[[#This Row],[EffAge]]*Lookups!$B$65</f>
        <v>-2174.8220000000001</v>
      </c>
      <c r="BX289">
        <f>Sales[[#This Row],[MainFn]]*Lookups!$B$90</f>
        <v>69649.984080000009</v>
      </c>
      <c r="BY289">
        <f>Sales[[#This Row],[UpprFn]]*Lookups!$B$91</f>
        <v>66491.707427999994</v>
      </c>
      <c r="BZ289">
        <f>Sales[[#This Row],[Bsmt]]*Lookups!$B$95</f>
        <v>0</v>
      </c>
      <c r="CA289">
        <f>VLOOKUP(Sales[[#This Row],[MsnryTrim]],Lookups!$A$90:$E$99,2,FALSE)</f>
        <v>5299.8242</v>
      </c>
      <c r="CB289">
        <f>Sales[[#This Row],[PrefabFP]]*Lookups!$B$92</f>
        <v>0</v>
      </c>
      <c r="CC289">
        <f>Sales[[#This Row],[AttGar]]*Lookups!$B$93</f>
        <v>15532.453640000002</v>
      </c>
      <c r="CD289">
        <f>Sales[[#This Row],[BltinGar]]*Lookups!$B$94</f>
        <v>0</v>
      </c>
      <c r="CE289">
        <f>SUM(Sales[[#This Row],[Days Prior Total]:[Mdl BltinGar]])</f>
        <v>435982.07443933986</v>
      </c>
      <c r="CF289">
        <f>ROUND(Sales[[#This Row],[25Det]],-2)</f>
        <v>0</v>
      </c>
      <c r="CG289">
        <f>ROUND(SUM(Sales[[#This Row],[Mdl Qlty]:[Mdl BltinGar]])+Sales[[#This Row],[Mdl Res Intercept]]+Sales[[#This Row],[Days Prior Total]],-2)</f>
        <v>370900</v>
      </c>
      <c r="CH289">
        <f>ROUND(Sales[[#This Row],[Mdl Land Intercept]]+Sales[[#This Row],[Mdl LnAcres]],-2)</f>
        <v>65100</v>
      </c>
      <c r="CI289">
        <f>Sales[[#This Row],[Unadj Res Value]]+Sales[[#This Row],[Unadj Det Value]]+Sales[[#This Row],[Unadj Land Value]]</f>
        <v>436000</v>
      </c>
      <c r="CJ289" s="10">
        <f>Sales[[#This Row],[Price]]/Sales[[#This Row],[Unadj Total Value]]</f>
        <v>1.0321100917431192</v>
      </c>
      <c r="CK289" s="10">
        <f>(Sales[[#This Row],[Unadj Total Value]]-Sales[[#This Row],[24Final]])/Sales[[#This Row],[24Final]]</f>
        <v>6.1343719571567673E-2</v>
      </c>
      <c r="CL289">
        <f>VLOOKUP(Sales[[#This Row],[TNbhd]],Lookups!$M$3:$P$5,4,FALSE)</f>
        <v>0.99970000000000003</v>
      </c>
      <c r="CM289">
        <f>VLOOKUP(Sales[[#This Row],[Qlty]],Lookups!$M$8:$P$22,4,FALSE)</f>
        <v>1.0019</v>
      </c>
      <c r="CN289">
        <f>VLOOKUP(Sales[[#This Row],[Cnd]],Lookups!$R$8:$U$17,4,FALSE)</f>
        <v>1.0007999999999999</v>
      </c>
      <c r="CO289">
        <f>VLOOKUP(Sales[[#This Row],[LivArea Range]],Lookups!$R$25:$U$43,4,FALSE)</f>
        <v>1.0008999999999999</v>
      </c>
      <c r="CP289">
        <f>VLOOKUP(Sales[[#This Row],[Decade]],Lookups!$M$24:$P$40,4,FALSE)</f>
        <v>0.99560000000000004</v>
      </c>
      <c r="CQ289">
        <f>Sales[[#This Row],[Nbhd Adj]]*0.95</f>
        <v>0.94971499999999998</v>
      </c>
      <c r="CR289">
        <f>Sales[[#This Row],[Nbhd Adj]]*Sales[[#This Row],[Quality Adj]]*Sales[[#This Row],[Condition Adj]]*Sales[[#This Row],[Living Area Adj]]*Sales[[#This Row],[Decade Adj]]*0.95</f>
        <v>0.94894392067609679</v>
      </c>
      <c r="CS289">
        <f>ROUND(SUM(Sales[[#This Row],[Mdl Qlty]:[Mdl BltinGar]])+Sales[[#This Row],[Mdl Res Intercept]]*Sales[[#This Row],[Res Adj ]],-2)</f>
        <v>363900</v>
      </c>
      <c r="CT289">
        <f>ROUND(Sales[[#This Row],[25Det]]*Sales[[#This Row],[Det/Nbhd Adj]],-2)</f>
        <v>0</v>
      </c>
      <c r="CU289">
        <f>Sales[[#This Row],[Adjusted Res]]+Sales[[#This Row],[Adj Det ]]</f>
        <v>363900</v>
      </c>
      <c r="CV289">
        <f>ROUND((Sales[[#This Row],[Mdl Land Intercept]]+Sales[[#This Row],[Mdl LnAcres]])*Sales[[#This Row],[Det/Nbhd Adj]],-2)</f>
        <v>61800</v>
      </c>
      <c r="CW289">
        <f>Sales[[#This Row],[Adjusted Impr Total]]+Sales[[#This Row],[Adjusted Land Total]]</f>
        <v>425700</v>
      </c>
      <c r="CX289" s="10">
        <f>IFERROR((Sales[[#This Row],[Adjusted Impr Total]]-Sales[[#This Row],[24Bldg]])/Sales[[#This Row],[24Bldg]],0)</f>
        <v>4.2394729303924378E-2</v>
      </c>
      <c r="CY289" s="10">
        <f>(Sales[[#This Row],[Adjusted Land Total]]-Sales[[#This Row],[24Lnd]])/Sales[[#This Row],[24Lnd]]</f>
        <v>1.6207455429497568E-3</v>
      </c>
      <c r="CZ289">
        <f>(Sales[[#This Row],[Adjusted Total]]-Sales[[#This Row],[24Final]])/Sales[[#This Row],[24Final]]</f>
        <v>3.6270691333982474E-2</v>
      </c>
      <c r="DA289" s="10">
        <f>(Sales[[#This Row],[Adjusted Total]]+Sales[[#This Row],[Days Prior Total]])/Sales[[#This Row],[Price]]</f>
        <v>0.94642210936000004</v>
      </c>
    </row>
    <row r="290" spans="1:105">
      <c r="A290">
        <v>2025</v>
      </c>
      <c r="B290">
        <v>19120144574</v>
      </c>
      <c r="C290">
        <v>-1.4271163556401458</v>
      </c>
      <c r="D290">
        <v>0.24</v>
      </c>
      <c r="E290">
        <v>10609</v>
      </c>
      <c r="F290">
        <v>2</v>
      </c>
      <c r="G290" t="s">
        <v>155</v>
      </c>
      <c r="H290">
        <v>317</v>
      </c>
      <c r="I290" t="s">
        <v>5</v>
      </c>
      <c r="J290" t="s">
        <v>156</v>
      </c>
      <c r="K290">
        <v>11</v>
      </c>
      <c r="L290">
        <v>259</v>
      </c>
      <c r="M290" t="s">
        <v>193</v>
      </c>
      <c r="N290" t="s">
        <v>19</v>
      </c>
      <c r="O290" t="s">
        <v>18</v>
      </c>
      <c r="P290">
        <v>2004</v>
      </c>
      <c r="Q290">
        <v>2004</v>
      </c>
      <c r="R290">
        <v>20</v>
      </c>
      <c r="S290">
        <v>20</v>
      </c>
      <c r="T290">
        <v>20</v>
      </c>
      <c r="U290">
        <v>1</v>
      </c>
      <c r="V290">
        <v>1380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1380</v>
      </c>
      <c r="AC290">
        <v>1500</v>
      </c>
      <c r="AD290">
        <v>0</v>
      </c>
      <c r="AE290" t="s">
        <v>56</v>
      </c>
      <c r="AF290" t="s">
        <v>331</v>
      </c>
      <c r="AG290" t="s">
        <v>21</v>
      </c>
      <c r="AH290" t="s">
        <v>161</v>
      </c>
      <c r="AI290">
        <v>0</v>
      </c>
      <c r="AJ290">
        <v>0</v>
      </c>
      <c r="AK290">
        <v>0</v>
      </c>
      <c r="AL290">
        <v>1</v>
      </c>
      <c r="AM290">
        <v>0</v>
      </c>
      <c r="AN290">
        <v>8</v>
      </c>
      <c r="AO290">
        <v>428</v>
      </c>
      <c r="AP290">
        <v>0</v>
      </c>
      <c r="AQ290">
        <v>0</v>
      </c>
      <c r="AR290">
        <v>0</v>
      </c>
      <c r="AS290">
        <v>300</v>
      </c>
      <c r="AT290">
        <v>0</v>
      </c>
      <c r="AU290">
        <v>100</v>
      </c>
      <c r="AV290">
        <v>100</v>
      </c>
      <c r="AW290">
        <v>250538</v>
      </c>
      <c r="AX290">
        <v>225484</v>
      </c>
      <c r="AY290">
        <v>482</v>
      </c>
      <c r="AZ290">
        <v>365</v>
      </c>
      <c r="BA290">
        <v>117</v>
      </c>
      <c r="BB290">
        <v>0</v>
      </c>
      <c r="BC290" s="2">
        <v>44810</v>
      </c>
      <c r="BD290" t="s">
        <v>451</v>
      </c>
      <c r="BE290">
        <v>330000</v>
      </c>
      <c r="BF290">
        <v>330000</v>
      </c>
      <c r="BG290" t="s">
        <v>160</v>
      </c>
      <c r="BH290">
        <v>30</v>
      </c>
      <c r="BI290" t="s">
        <v>56</v>
      </c>
      <c r="BJ290" t="s">
        <v>161</v>
      </c>
      <c r="BK290">
        <v>371600</v>
      </c>
      <c r="BL290">
        <v>66500</v>
      </c>
      <c r="BM290">
        <v>305100</v>
      </c>
      <c r="BN290">
        <v>0</v>
      </c>
      <c r="BO290">
        <v>342301.24272828334</v>
      </c>
      <c r="BP290">
        <v>346725.56532284844</v>
      </c>
      <c r="BQ290">
        <f>(Sales[[#This Row],[DP1]]*Lookups!$B$61)+(Sales[[#This Row],[DP2]]*Lookups!$B$62)+(Sales[[#This Row],[DP3]]*Lookups!$B$63)</f>
        <v>-4424.3222310000001</v>
      </c>
      <c r="BR290">
        <f>Lookups!$B$58*0.6</f>
        <v>132535.48800000001</v>
      </c>
      <c r="BS290">
        <f>Lookups!$B$58*0.4</f>
        <v>88356.992000000013</v>
      </c>
      <c r="BT290">
        <f>Lookups!$B$59*Sales[[#This Row],[LnAcres]]</f>
        <v>-18729.933155771436</v>
      </c>
      <c r="BU290">
        <f>VLOOKUP(Sales[[#This Row],[Qlty]],Lookups!$A$66:$E$79,2,FALSE)</f>
        <v>37154.252388000001</v>
      </c>
      <c r="BV290">
        <f>VLOOKUP(Sales[[#This Row],[Cnd]],Lookups!$A$80:$E$91,2,FALSE)</f>
        <v>17761.121909000001</v>
      </c>
      <c r="BW290">
        <f>Sales[[#This Row],[EffAge]]*Lookups!$B$65</f>
        <v>-2174.8220000000001</v>
      </c>
      <c r="BX290">
        <f>Sales[[#This Row],[MainFn]]*Lookups!$B$90</f>
        <v>86126.324399999998</v>
      </c>
      <c r="BY290">
        <f>Sales[[#This Row],[UpprFn]]*Lookups!$B$91</f>
        <v>0</v>
      </c>
      <c r="BZ290">
        <f>Sales[[#This Row],[Bsmt]]*Lookups!$B$95</f>
        <v>0</v>
      </c>
      <c r="CA290">
        <f>VLOOKUP(Sales[[#This Row],[MsnryTrim]],Lookups!$A$90:$E$99,2,FALSE)</f>
        <v>-9412.7029999999995</v>
      </c>
      <c r="CB290">
        <f>Sales[[#This Row],[PrefabFP]]*Lookups!$B$92</f>
        <v>0</v>
      </c>
      <c r="CC290">
        <f>Sales[[#This Row],[AttGar]]*Lookups!$B$93</f>
        <v>15108.841268</v>
      </c>
      <c r="CD290">
        <f>Sales[[#This Row],[BltinGar]]*Lookups!$B$94</f>
        <v>0</v>
      </c>
      <c r="CE290">
        <f>SUM(Sales[[#This Row],[Days Prior Total]:[Mdl BltinGar]])</f>
        <v>342301.23957822862</v>
      </c>
      <c r="CF290">
        <f>ROUND(Sales[[#This Row],[25Det]],-2)</f>
        <v>0</v>
      </c>
      <c r="CG290">
        <f>ROUND(SUM(Sales[[#This Row],[Mdl Qlty]:[Mdl BltinGar]])+Sales[[#This Row],[Mdl Res Intercept]]+Sales[[#This Row],[Days Prior Total]],-2)</f>
        <v>272700</v>
      </c>
      <c r="CH290">
        <f>ROUND(Sales[[#This Row],[Mdl Land Intercept]]+Sales[[#This Row],[Mdl LnAcres]],-2)</f>
        <v>69600</v>
      </c>
      <c r="CI290">
        <f>Sales[[#This Row],[Unadj Res Value]]+Sales[[#This Row],[Unadj Det Value]]+Sales[[#This Row],[Unadj Land Value]]</f>
        <v>342300</v>
      </c>
      <c r="CJ290" s="10">
        <f>Sales[[#This Row],[Price]]/Sales[[#This Row],[Unadj Total Value]]</f>
        <v>0.96406660823838741</v>
      </c>
      <c r="CK290" s="10">
        <f>(Sales[[#This Row],[Unadj Total Value]]-Sales[[#This Row],[24Final]])/Sales[[#This Row],[24Final]]</f>
        <v>-7.8848223896663072E-2</v>
      </c>
      <c r="CL290">
        <f>VLOOKUP(Sales[[#This Row],[TNbhd]],Lookups!$M$3:$P$5,4,FALSE)</f>
        <v>0.99970000000000003</v>
      </c>
      <c r="CM290">
        <f>VLOOKUP(Sales[[#This Row],[Qlty]],Lookups!$M$8:$P$22,4,FALSE)</f>
        <v>0.99819999999999998</v>
      </c>
      <c r="CN290">
        <f>VLOOKUP(Sales[[#This Row],[Cnd]],Lookups!$R$8:$U$17,4,FALSE)</f>
        <v>0.99680000000000002</v>
      </c>
      <c r="CO290">
        <f>VLOOKUP(Sales[[#This Row],[LivArea Range]],Lookups!$R$25:$U$43,4,FALSE)</f>
        <v>0.99519999999999997</v>
      </c>
      <c r="CP290">
        <f>VLOOKUP(Sales[[#This Row],[Decade]],Lookups!$M$24:$P$40,4,FALSE)</f>
        <v>0.99560000000000004</v>
      </c>
      <c r="CQ290">
        <f>Sales[[#This Row],[Nbhd Adj]]*0.95</f>
        <v>0.94971499999999998</v>
      </c>
      <c r="CR290">
        <f>Sales[[#This Row],[Nbhd Adj]]*Sales[[#This Row],[Quality Adj]]*Sales[[#This Row],[Condition Adj]]*Sales[[#This Row],[Living Area Adj]]*Sales[[#This Row],[Decade Adj]]*0.95</f>
        <v>0.93629811172753274</v>
      </c>
      <c r="CS290">
        <f>ROUND(SUM(Sales[[#This Row],[Mdl Qlty]:[Mdl BltinGar]])+Sales[[#This Row],[Mdl Res Intercept]]*Sales[[#This Row],[Res Adj ]],-2)</f>
        <v>268700</v>
      </c>
      <c r="CT290">
        <f>ROUND(Sales[[#This Row],[25Det]]*Sales[[#This Row],[Det/Nbhd Adj]],-2)</f>
        <v>0</v>
      </c>
      <c r="CU290">
        <f>Sales[[#This Row],[Adjusted Res]]+Sales[[#This Row],[Adj Det ]]</f>
        <v>268700</v>
      </c>
      <c r="CV290">
        <f>ROUND((Sales[[#This Row],[Mdl Land Intercept]]+Sales[[#This Row],[Mdl LnAcres]])*Sales[[#This Row],[Det/Nbhd Adj]],-2)</f>
        <v>66100</v>
      </c>
      <c r="CW290">
        <f>Sales[[#This Row],[Adjusted Impr Total]]+Sales[[#This Row],[Adjusted Land Total]]</f>
        <v>334800</v>
      </c>
      <c r="CX290" s="10">
        <f>IFERROR((Sales[[#This Row],[Adjusted Impr Total]]-Sales[[#This Row],[24Bldg]])/Sales[[#This Row],[24Bldg]],0)</f>
        <v>-0.11930514585381842</v>
      </c>
      <c r="CY290" s="10">
        <f>(Sales[[#This Row],[Adjusted Land Total]]-Sales[[#This Row],[24Lnd]])/Sales[[#This Row],[24Lnd]]</f>
        <v>-6.0150375939849628E-3</v>
      </c>
      <c r="CZ290">
        <f>(Sales[[#This Row],[Adjusted Total]]-Sales[[#This Row],[24Final]])/Sales[[#This Row],[24Final]]</f>
        <v>-9.903121636167922E-2</v>
      </c>
      <c r="DA290" s="10">
        <f>(Sales[[#This Row],[Adjusted Total]]+Sales[[#This Row],[Days Prior Total]])/Sales[[#This Row],[Price]]</f>
        <v>1.0011384174818181</v>
      </c>
    </row>
    <row r="291" spans="1:105">
      <c r="A291">
        <v>2025</v>
      </c>
      <c r="B291">
        <v>19120131532</v>
      </c>
      <c r="C291">
        <v>-1.6094379124341003</v>
      </c>
      <c r="D291">
        <v>0.2</v>
      </c>
      <c r="E291">
        <v>8904</v>
      </c>
      <c r="F291">
        <v>2</v>
      </c>
      <c r="G291" t="s">
        <v>155</v>
      </c>
      <c r="H291">
        <v>317</v>
      </c>
      <c r="I291" t="s">
        <v>5</v>
      </c>
      <c r="J291" t="s">
        <v>156</v>
      </c>
      <c r="K291">
        <v>11</v>
      </c>
      <c r="L291">
        <v>259</v>
      </c>
      <c r="M291" t="s">
        <v>157</v>
      </c>
      <c r="N291" t="s">
        <v>19</v>
      </c>
      <c r="O291" t="s">
        <v>18</v>
      </c>
      <c r="P291">
        <v>2003</v>
      </c>
      <c r="Q291">
        <v>2003</v>
      </c>
      <c r="R291">
        <v>30</v>
      </c>
      <c r="S291">
        <v>21</v>
      </c>
      <c r="T291">
        <v>21</v>
      </c>
      <c r="U291">
        <v>1</v>
      </c>
      <c r="V291">
        <v>1548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1548</v>
      </c>
      <c r="AC291">
        <v>2000</v>
      </c>
      <c r="AD291">
        <v>2</v>
      </c>
      <c r="AE291" t="s">
        <v>56</v>
      </c>
      <c r="AF291" t="s">
        <v>331</v>
      </c>
      <c r="AG291" t="s">
        <v>27</v>
      </c>
      <c r="AH291" t="s">
        <v>161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8</v>
      </c>
      <c r="AO291">
        <v>420</v>
      </c>
      <c r="AP291">
        <v>0</v>
      </c>
      <c r="AQ291">
        <v>0</v>
      </c>
      <c r="AR291">
        <v>0</v>
      </c>
      <c r="AS291">
        <v>320</v>
      </c>
      <c r="AT291">
        <v>320</v>
      </c>
      <c r="AU291">
        <v>100</v>
      </c>
      <c r="AV291">
        <v>100</v>
      </c>
      <c r="AW291">
        <v>274107</v>
      </c>
      <c r="AX291">
        <v>249437</v>
      </c>
      <c r="AY291">
        <v>851</v>
      </c>
      <c r="AZ291">
        <v>365</v>
      </c>
      <c r="BA291">
        <v>365</v>
      </c>
      <c r="BB291">
        <v>121</v>
      </c>
      <c r="BC291" s="2">
        <v>44441</v>
      </c>
      <c r="BD291" t="s">
        <v>452</v>
      </c>
      <c r="BE291">
        <v>320000</v>
      </c>
      <c r="BF291">
        <v>320000</v>
      </c>
      <c r="BG291" t="s">
        <v>160</v>
      </c>
      <c r="BH291">
        <v>30</v>
      </c>
      <c r="BI291" t="s">
        <v>56</v>
      </c>
      <c r="BJ291" t="s">
        <v>161</v>
      </c>
      <c r="BK291">
        <v>353300</v>
      </c>
      <c r="BL291">
        <v>64000</v>
      </c>
      <c r="BM291">
        <v>289300</v>
      </c>
      <c r="BN291">
        <v>0</v>
      </c>
      <c r="BO291">
        <v>305567.26094879978</v>
      </c>
      <c r="BP291">
        <v>354426.51317922928</v>
      </c>
      <c r="BQ291">
        <f>(Sales[[#This Row],[DP1]]*Lookups!$B$61)+(Sales[[#This Row],[DP2]]*Lookups!$B$62)+(Sales[[#This Row],[DP3]]*Lookups!$B$63)</f>
        <v>-48859.250031000003</v>
      </c>
      <c r="BR291">
        <f>Lookups!$B$58*0.6</f>
        <v>132535.48800000001</v>
      </c>
      <c r="BS291">
        <f>Lookups!$B$58*0.4</f>
        <v>88356.992000000013</v>
      </c>
      <c r="BT291">
        <f>Lookups!$B$59*Sales[[#This Row],[LnAcres]]</f>
        <v>-21122.779792355024</v>
      </c>
      <c r="BU291">
        <f>VLOOKUP(Sales[[#This Row],[Qlty]],Lookups!$A$66:$E$79,2,FALSE)</f>
        <v>37154.252388000001</v>
      </c>
      <c r="BV291">
        <f>VLOOKUP(Sales[[#This Row],[Cnd]],Lookups!$A$80:$E$91,2,FALSE)</f>
        <v>17761.121909000001</v>
      </c>
      <c r="BW291">
        <f>Sales[[#This Row],[EffAge]]*Lookups!$B$65</f>
        <v>-2283.5630999999998</v>
      </c>
      <c r="BX291">
        <f>Sales[[#This Row],[MainFn]]*Lookups!$B$90</f>
        <v>96611.268240000005</v>
      </c>
      <c r="BY291">
        <f>Sales[[#This Row],[UpprFn]]*Lookups!$B$91</f>
        <v>0</v>
      </c>
      <c r="BZ291">
        <f>Sales[[#This Row],[Bsmt]]*Lookups!$B$95</f>
        <v>0</v>
      </c>
      <c r="CA291">
        <f>VLOOKUP(Sales[[#This Row],[MsnryTrim]],Lookups!$A$90:$E$99,2,FALSE)</f>
        <v>-9412.7029999999995</v>
      </c>
      <c r="CB291">
        <f>Sales[[#This Row],[PrefabFP]]*Lookups!$B$92</f>
        <v>0</v>
      </c>
      <c r="CC291">
        <f>Sales[[#This Row],[AttGar]]*Lookups!$B$93</f>
        <v>14826.43302</v>
      </c>
      <c r="CD291">
        <f>Sales[[#This Row],[BltinGar]]*Lookups!$B$94</f>
        <v>0</v>
      </c>
      <c r="CE291">
        <f>SUM(Sales[[#This Row],[Days Prior Total]:[Mdl BltinGar]])</f>
        <v>305567.25963364507</v>
      </c>
      <c r="CF291">
        <f>ROUND(Sales[[#This Row],[25Det]],-2)</f>
        <v>0</v>
      </c>
      <c r="CG291">
        <f>ROUND(SUM(Sales[[#This Row],[Mdl Qlty]:[Mdl BltinGar]])+Sales[[#This Row],[Mdl Res Intercept]]+Sales[[#This Row],[Days Prior Total]],-2)</f>
        <v>238300</v>
      </c>
      <c r="CH291">
        <f>ROUND(Sales[[#This Row],[Mdl Land Intercept]]+Sales[[#This Row],[Mdl LnAcres]],-2)</f>
        <v>67200</v>
      </c>
      <c r="CI291">
        <f>Sales[[#This Row],[Unadj Res Value]]+Sales[[#This Row],[Unadj Det Value]]+Sales[[#This Row],[Unadj Land Value]]</f>
        <v>305500</v>
      </c>
      <c r="CJ291" s="10">
        <f>Sales[[#This Row],[Price]]/Sales[[#This Row],[Unadj Total Value]]</f>
        <v>1.0474631751227497</v>
      </c>
      <c r="CK291" s="10">
        <f>(Sales[[#This Row],[Unadj Total Value]]-Sales[[#This Row],[24Final]])/Sales[[#This Row],[24Final]]</f>
        <v>-0.13529578262100198</v>
      </c>
      <c r="CL291">
        <f>VLOOKUP(Sales[[#This Row],[TNbhd]],Lookups!$M$3:$P$5,4,FALSE)</f>
        <v>0.99970000000000003</v>
      </c>
      <c r="CM291">
        <f>VLOOKUP(Sales[[#This Row],[Qlty]],Lookups!$M$8:$P$22,4,FALSE)</f>
        <v>0.99819999999999998</v>
      </c>
      <c r="CN291">
        <f>VLOOKUP(Sales[[#This Row],[Cnd]],Lookups!$R$8:$U$17,4,FALSE)</f>
        <v>0.99680000000000002</v>
      </c>
      <c r="CO291">
        <f>VLOOKUP(Sales[[#This Row],[LivArea Range]],Lookups!$R$25:$U$43,4,FALSE)</f>
        <v>1.0007999999999999</v>
      </c>
      <c r="CP291">
        <f>VLOOKUP(Sales[[#This Row],[Decade]],Lookups!$M$24:$P$40,4,FALSE)</f>
        <v>1.0198</v>
      </c>
      <c r="CQ291">
        <f>Sales[[#This Row],[Nbhd Adj]]*0.95</f>
        <v>0.94971499999999998</v>
      </c>
      <c r="CR291">
        <f>Sales[[#This Row],[Nbhd Adj]]*Sales[[#This Row],[Quality Adj]]*Sales[[#This Row],[Condition Adj]]*Sales[[#This Row],[Living Area Adj]]*Sales[[#This Row],[Decade Adj]]*0.95</f>
        <v>0.96445328475760561</v>
      </c>
      <c r="CS291">
        <f>ROUND(SUM(Sales[[#This Row],[Mdl Qlty]:[Mdl BltinGar]])+Sales[[#This Row],[Mdl Res Intercept]]*Sales[[#This Row],[Res Adj ]],-2)</f>
        <v>282500</v>
      </c>
      <c r="CT291">
        <f>ROUND(Sales[[#This Row],[25Det]]*Sales[[#This Row],[Det/Nbhd Adj]],-2)</f>
        <v>0</v>
      </c>
      <c r="CU291">
        <f>Sales[[#This Row],[Adjusted Res]]+Sales[[#This Row],[Adj Det ]]</f>
        <v>282500</v>
      </c>
      <c r="CV291">
        <f>ROUND((Sales[[#This Row],[Mdl Land Intercept]]+Sales[[#This Row],[Mdl LnAcres]])*Sales[[#This Row],[Det/Nbhd Adj]],-2)</f>
        <v>63900</v>
      </c>
      <c r="CW291">
        <f>Sales[[#This Row],[Adjusted Impr Total]]+Sales[[#This Row],[Adjusted Land Total]]</f>
        <v>346400</v>
      </c>
      <c r="CX291" s="10">
        <f>IFERROR((Sales[[#This Row],[Adjusted Impr Total]]-Sales[[#This Row],[24Bldg]])/Sales[[#This Row],[24Bldg]],0)</f>
        <v>-2.3505012098167993E-2</v>
      </c>
      <c r="CY291" s="10">
        <f>(Sales[[#This Row],[Adjusted Land Total]]-Sales[[#This Row],[24Lnd]])/Sales[[#This Row],[24Lnd]]</f>
        <v>-1.5625000000000001E-3</v>
      </c>
      <c r="CZ291">
        <f>(Sales[[#This Row],[Adjusted Total]]-Sales[[#This Row],[24Final]])/Sales[[#This Row],[24Final]]</f>
        <v>-1.9530144353240873E-2</v>
      </c>
      <c r="DA291" s="10">
        <f>(Sales[[#This Row],[Adjusted Total]]+Sales[[#This Row],[Days Prior Total]])/Sales[[#This Row],[Price]]</f>
        <v>0.92981484365312494</v>
      </c>
    </row>
    <row r="292" spans="1:105">
      <c r="A292">
        <v>2025</v>
      </c>
      <c r="B292">
        <v>19120214405</v>
      </c>
      <c r="C292">
        <v>0</v>
      </c>
      <c r="D292">
        <v>1</v>
      </c>
      <c r="E292">
        <v>0</v>
      </c>
      <c r="F292">
        <v>2</v>
      </c>
      <c r="G292" t="s">
        <v>155</v>
      </c>
      <c r="H292">
        <v>317</v>
      </c>
      <c r="I292" t="s">
        <v>5</v>
      </c>
      <c r="J292" t="s">
        <v>212</v>
      </c>
      <c r="K292">
        <v>11</v>
      </c>
      <c r="L292">
        <v>259</v>
      </c>
      <c r="M292" t="s">
        <v>453</v>
      </c>
      <c r="N292" t="s">
        <v>19</v>
      </c>
      <c r="O292" t="s">
        <v>22</v>
      </c>
      <c r="P292">
        <v>2001</v>
      </c>
      <c r="Q292">
        <v>2001</v>
      </c>
      <c r="R292">
        <v>30</v>
      </c>
      <c r="S292">
        <v>23</v>
      </c>
      <c r="T292">
        <v>23</v>
      </c>
      <c r="U292">
        <v>2</v>
      </c>
      <c r="V292">
        <v>1164</v>
      </c>
      <c r="W292">
        <v>528</v>
      </c>
      <c r="X292">
        <v>0</v>
      </c>
      <c r="Y292">
        <v>0</v>
      </c>
      <c r="Z292">
        <v>0</v>
      </c>
      <c r="AA292">
        <v>0</v>
      </c>
      <c r="AB292">
        <v>1692</v>
      </c>
      <c r="AC292">
        <v>2000</v>
      </c>
      <c r="AD292">
        <v>3</v>
      </c>
      <c r="AE292" t="s">
        <v>56</v>
      </c>
      <c r="AF292" t="s">
        <v>158</v>
      </c>
      <c r="AG292" t="s">
        <v>27</v>
      </c>
      <c r="AI292">
        <v>0</v>
      </c>
      <c r="AJ292">
        <v>0</v>
      </c>
      <c r="AK292">
        <v>0</v>
      </c>
      <c r="AL292">
        <v>2</v>
      </c>
      <c r="AM292">
        <v>0</v>
      </c>
      <c r="AN292">
        <v>8</v>
      </c>
      <c r="AO292">
        <v>1236</v>
      </c>
      <c r="AP292">
        <v>0</v>
      </c>
      <c r="AQ292">
        <v>0</v>
      </c>
      <c r="AR292">
        <v>144</v>
      </c>
      <c r="AS292">
        <v>620</v>
      </c>
      <c r="AT292">
        <v>0</v>
      </c>
      <c r="AU292">
        <v>100</v>
      </c>
      <c r="AV292">
        <v>100</v>
      </c>
      <c r="AW292">
        <v>309362</v>
      </c>
      <c r="AX292">
        <v>293894</v>
      </c>
      <c r="AY292">
        <v>628</v>
      </c>
      <c r="AZ292">
        <v>365</v>
      </c>
      <c r="BA292">
        <v>263</v>
      </c>
      <c r="BB292">
        <v>0</v>
      </c>
      <c r="BC292" s="2">
        <v>44664</v>
      </c>
      <c r="BD292" t="s">
        <v>454</v>
      </c>
      <c r="BE292">
        <v>423750</v>
      </c>
      <c r="BF292">
        <v>421568</v>
      </c>
      <c r="BG292" t="s">
        <v>160</v>
      </c>
      <c r="BH292">
        <v>30</v>
      </c>
      <c r="BI292" t="s">
        <v>56</v>
      </c>
      <c r="BJ292" t="s">
        <v>161</v>
      </c>
      <c r="BK292">
        <v>436900</v>
      </c>
      <c r="BL292">
        <v>86500</v>
      </c>
      <c r="BM292">
        <v>350400</v>
      </c>
      <c r="BN292">
        <v>2182</v>
      </c>
      <c r="BO292">
        <v>430036.48343270825</v>
      </c>
      <c r="BP292">
        <v>444307.56479629793</v>
      </c>
      <c r="BQ292">
        <f>(Sales[[#This Row],[DP1]]*Lookups!$B$61)+(Sales[[#This Row],[DP2]]*Lookups!$B$62)+(Sales[[#This Row],[DP3]]*Lookups!$B$63)</f>
        <v>-14271.080531</v>
      </c>
      <c r="BR292">
        <f>Lookups!$B$58*0.6</f>
        <v>132535.48800000001</v>
      </c>
      <c r="BS292">
        <f>Lookups!$B$58*0.4</f>
        <v>88356.992000000013</v>
      </c>
      <c r="BT292">
        <f>Lookups!$B$59*Sales[[#This Row],[LnAcres]]</f>
        <v>0</v>
      </c>
      <c r="BU292">
        <f>VLOOKUP(Sales[[#This Row],[Qlty]],Lookups!$A$66:$E$79,2,FALSE)</f>
        <v>37154.252388000001</v>
      </c>
      <c r="BV292">
        <f>VLOOKUP(Sales[[#This Row],[Cnd]],Lookups!$A$80:$E$91,2,FALSE)</f>
        <v>50438.379078999998</v>
      </c>
      <c r="BW292">
        <f>Sales[[#This Row],[EffAge]]*Lookups!$B$65</f>
        <v>-2501.0453000000002</v>
      </c>
      <c r="BX292">
        <f>Sales[[#This Row],[MainFn]]*Lookups!$B$90</f>
        <v>72645.682320000007</v>
      </c>
      <c r="BY292">
        <f>Sales[[#This Row],[UpprFn]]*Lookups!$B$91</f>
        <v>31458.442223999999</v>
      </c>
      <c r="BZ292">
        <f>Sales[[#This Row],[Bsmt]]*Lookups!$B$95</f>
        <v>0</v>
      </c>
      <c r="CA292">
        <f>VLOOKUP(Sales[[#This Row],[MsnryTrim]],Lookups!$A$90:$E$99,2,FALSE)</f>
        <v>-9412.7029999999995</v>
      </c>
      <c r="CB292">
        <f>Sales[[#This Row],[PrefabFP]]*Lookups!$B$92</f>
        <v>0</v>
      </c>
      <c r="CC292">
        <f>Sales[[#This Row],[AttGar]]*Lookups!$B$93</f>
        <v>43632.074316000006</v>
      </c>
      <c r="CD292">
        <f>Sales[[#This Row],[BltinGar]]*Lookups!$B$94</f>
        <v>0</v>
      </c>
      <c r="CE292">
        <f>SUM(Sales[[#This Row],[Days Prior Total]:[Mdl BltinGar]])</f>
        <v>430036.48149600002</v>
      </c>
      <c r="CF292">
        <f>ROUND(Sales[[#This Row],[25Det]],-2)</f>
        <v>2200</v>
      </c>
      <c r="CG292">
        <f>ROUND(SUM(Sales[[#This Row],[Mdl Qlty]:[Mdl BltinGar]])+Sales[[#This Row],[Mdl Res Intercept]]+Sales[[#This Row],[Days Prior Total]],-2)</f>
        <v>341700</v>
      </c>
      <c r="CH292">
        <f>ROUND(Sales[[#This Row],[Mdl Land Intercept]]+Sales[[#This Row],[Mdl LnAcres]],-2)</f>
        <v>88400</v>
      </c>
      <c r="CI292">
        <f>Sales[[#This Row],[Unadj Res Value]]+Sales[[#This Row],[Unadj Det Value]]+Sales[[#This Row],[Unadj Land Value]]</f>
        <v>432300</v>
      </c>
      <c r="CJ292" s="10">
        <f>Sales[[#This Row],[Price]]/Sales[[#This Row],[Unadj Total Value]]</f>
        <v>0.98022206800832756</v>
      </c>
      <c r="CK292" s="10">
        <f>(Sales[[#This Row],[Unadj Total Value]]-Sales[[#This Row],[24Final]])/Sales[[#This Row],[24Final]]</f>
        <v>-1.0528725108720532E-2</v>
      </c>
      <c r="CL292">
        <f>VLOOKUP(Sales[[#This Row],[TNbhd]],Lookups!$M$3:$P$5,4,FALSE)</f>
        <v>0.99970000000000003</v>
      </c>
      <c r="CM292">
        <f>VLOOKUP(Sales[[#This Row],[Qlty]],Lookups!$M$8:$P$22,4,FALSE)</f>
        <v>0.99819999999999998</v>
      </c>
      <c r="CN292">
        <f>VLOOKUP(Sales[[#This Row],[Cnd]],Lookups!$R$8:$U$17,4,FALSE)</f>
        <v>1.0007999999999999</v>
      </c>
      <c r="CO292">
        <f>VLOOKUP(Sales[[#This Row],[LivArea Range]],Lookups!$R$25:$U$43,4,FALSE)</f>
        <v>1.0007999999999999</v>
      </c>
      <c r="CP292">
        <f>VLOOKUP(Sales[[#This Row],[Decade]],Lookups!$M$24:$P$40,4,FALSE)</f>
        <v>1.0198</v>
      </c>
      <c r="CQ292">
        <f>Sales[[#This Row],[Nbhd Adj]]*0.95</f>
        <v>0.94971499999999998</v>
      </c>
      <c r="CR292">
        <f>Sales[[#This Row],[Nbhd Adj]]*Sales[[#This Row],[Quality Adj]]*Sales[[#This Row],[Condition Adj]]*Sales[[#This Row],[Living Area Adj]]*Sales[[#This Row],[Decade Adj]]*0.95</f>
        <v>0.96832348252950584</v>
      </c>
      <c r="CS292">
        <f>ROUND(SUM(Sales[[#This Row],[Mdl Qlty]:[Mdl BltinGar]])+Sales[[#This Row],[Mdl Res Intercept]]*Sales[[#This Row],[Res Adj ]],-2)</f>
        <v>351800</v>
      </c>
      <c r="CT292">
        <f>ROUND(Sales[[#This Row],[25Det]]*Sales[[#This Row],[Det/Nbhd Adj]],-2)</f>
        <v>2100</v>
      </c>
      <c r="CU292">
        <f>Sales[[#This Row],[Adjusted Res]]+Sales[[#This Row],[Adj Det ]]</f>
        <v>353900</v>
      </c>
      <c r="CV292">
        <f>ROUND((Sales[[#This Row],[Mdl Land Intercept]]+Sales[[#This Row],[Mdl LnAcres]])*Sales[[#This Row],[Det/Nbhd Adj]],-2)</f>
        <v>83900</v>
      </c>
      <c r="CW292">
        <f>Sales[[#This Row],[Adjusted Impr Total]]+Sales[[#This Row],[Adjusted Land Total]]</f>
        <v>437800</v>
      </c>
      <c r="CX292" s="10">
        <f>IFERROR((Sales[[#This Row],[Adjusted Impr Total]]-Sales[[#This Row],[24Bldg]])/Sales[[#This Row],[24Bldg]],0)</f>
        <v>9.9885844748858442E-3</v>
      </c>
      <c r="CY292" s="10">
        <f>(Sales[[#This Row],[Adjusted Land Total]]-Sales[[#This Row],[24Lnd]])/Sales[[#This Row],[24Lnd]]</f>
        <v>-3.0057803468208091E-2</v>
      </c>
      <c r="CZ292">
        <f>(Sales[[#This Row],[Adjusted Total]]-Sales[[#This Row],[24Final]])/Sales[[#This Row],[24Final]]</f>
        <v>2.059967956054017E-3</v>
      </c>
      <c r="DA292" s="10">
        <f>(Sales[[#This Row],[Adjusted Total]]+Sales[[#This Row],[Days Prior Total]])/Sales[[#This Row],[Price]]</f>
        <v>0.9994782760330384</v>
      </c>
    </row>
    <row r="293" spans="1:105">
      <c r="A293">
        <v>2025</v>
      </c>
      <c r="B293">
        <v>19120214405</v>
      </c>
      <c r="C293">
        <v>0</v>
      </c>
      <c r="D293">
        <v>1</v>
      </c>
      <c r="E293">
        <v>0</v>
      </c>
      <c r="F293">
        <v>2</v>
      </c>
      <c r="G293" t="s">
        <v>155</v>
      </c>
      <c r="H293">
        <v>317</v>
      </c>
      <c r="I293" t="s">
        <v>5</v>
      </c>
      <c r="J293" t="s">
        <v>212</v>
      </c>
      <c r="K293">
        <v>11</v>
      </c>
      <c r="L293">
        <v>259</v>
      </c>
      <c r="M293" t="s">
        <v>453</v>
      </c>
      <c r="N293" t="s">
        <v>19</v>
      </c>
      <c r="O293" t="s">
        <v>20</v>
      </c>
      <c r="P293">
        <v>2001</v>
      </c>
      <c r="Q293">
        <v>2001</v>
      </c>
      <c r="R293">
        <v>30</v>
      </c>
      <c r="S293">
        <v>23</v>
      </c>
      <c r="T293">
        <v>23</v>
      </c>
      <c r="U293">
        <v>2</v>
      </c>
      <c r="V293">
        <v>1164</v>
      </c>
      <c r="W293">
        <v>528</v>
      </c>
      <c r="X293">
        <v>0</v>
      </c>
      <c r="Y293">
        <v>0</v>
      </c>
      <c r="Z293">
        <v>0</v>
      </c>
      <c r="AA293">
        <v>0</v>
      </c>
      <c r="AB293">
        <v>1692</v>
      </c>
      <c r="AC293">
        <v>2000</v>
      </c>
      <c r="AD293">
        <v>3</v>
      </c>
      <c r="AE293" t="s">
        <v>56</v>
      </c>
      <c r="AF293" t="s">
        <v>158</v>
      </c>
      <c r="AG293" t="s">
        <v>27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8</v>
      </c>
      <c r="AO293">
        <v>1236</v>
      </c>
      <c r="AP293">
        <v>0</v>
      </c>
      <c r="AQ293">
        <v>0</v>
      </c>
      <c r="AR293">
        <v>144</v>
      </c>
      <c r="AS293">
        <v>620</v>
      </c>
      <c r="AT293">
        <v>0</v>
      </c>
      <c r="AU293">
        <v>100</v>
      </c>
      <c r="AV293">
        <v>100</v>
      </c>
      <c r="AW293">
        <v>309362</v>
      </c>
      <c r="AX293">
        <v>287707</v>
      </c>
      <c r="AY293">
        <v>1021</v>
      </c>
      <c r="AZ293">
        <v>365</v>
      </c>
      <c r="BA293">
        <v>365</v>
      </c>
      <c r="BB293">
        <v>291</v>
      </c>
      <c r="BC293" s="2">
        <v>44271</v>
      </c>
      <c r="BD293" t="s">
        <v>455</v>
      </c>
      <c r="BE293">
        <v>295000</v>
      </c>
      <c r="BF293">
        <v>292818</v>
      </c>
      <c r="BG293" t="s">
        <v>160</v>
      </c>
      <c r="BH293">
        <v>30</v>
      </c>
      <c r="BI293" t="s">
        <v>56</v>
      </c>
      <c r="BJ293" t="s">
        <v>161</v>
      </c>
      <c r="BK293">
        <v>436900</v>
      </c>
      <c r="BL293">
        <v>86500</v>
      </c>
      <c r="BM293">
        <v>350400</v>
      </c>
      <c r="BN293">
        <v>2182</v>
      </c>
      <c r="BO293">
        <v>336380.36330130306</v>
      </c>
      <c r="BP293">
        <v>424169.51499171671</v>
      </c>
      <c r="BQ293">
        <f>(Sales[[#This Row],[DP1]]*Lookups!$B$61)+(Sales[[#This Row],[DP2]]*Lookups!$B$62)+(Sales[[#This Row],[DP3]]*Lookups!$B$63)</f>
        <v>-87789.148031000004</v>
      </c>
      <c r="BR293">
        <f>Lookups!$B$58*0.6</f>
        <v>132535.48800000001</v>
      </c>
      <c r="BS293">
        <f>Lookups!$B$58*0.4</f>
        <v>88356.992000000013</v>
      </c>
      <c r="BT293">
        <f>Lookups!$B$59*Sales[[#This Row],[LnAcres]]</f>
        <v>0</v>
      </c>
      <c r="BU293">
        <f>VLOOKUP(Sales[[#This Row],[Qlty]],Lookups!$A$66:$E$79,2,FALSE)</f>
        <v>37154.252388000001</v>
      </c>
      <c r="BV293">
        <f>VLOOKUP(Sales[[#This Row],[Cnd]],Lookups!$A$80:$E$91,2,FALSE)</f>
        <v>30300.329274</v>
      </c>
      <c r="BW293">
        <f>Sales[[#This Row],[EffAge]]*Lookups!$B$65</f>
        <v>-2501.0453000000002</v>
      </c>
      <c r="BX293">
        <f>Sales[[#This Row],[MainFn]]*Lookups!$B$90</f>
        <v>72645.682320000007</v>
      </c>
      <c r="BY293">
        <f>Sales[[#This Row],[UpprFn]]*Lookups!$B$91</f>
        <v>31458.442223999999</v>
      </c>
      <c r="BZ293">
        <f>Sales[[#This Row],[Bsmt]]*Lookups!$B$95</f>
        <v>0</v>
      </c>
      <c r="CA293">
        <f>VLOOKUP(Sales[[#This Row],[MsnryTrim]],Lookups!$A$90:$E$99,2,FALSE)</f>
        <v>-9412.7029999999995</v>
      </c>
      <c r="CB293">
        <f>Sales[[#This Row],[PrefabFP]]*Lookups!$B$92</f>
        <v>0</v>
      </c>
      <c r="CC293">
        <f>Sales[[#This Row],[AttGar]]*Lookups!$B$93</f>
        <v>43632.074316000006</v>
      </c>
      <c r="CD293">
        <f>Sales[[#This Row],[BltinGar]]*Lookups!$B$94</f>
        <v>0</v>
      </c>
      <c r="CE293">
        <f>SUM(Sales[[#This Row],[Days Prior Total]:[Mdl BltinGar]])</f>
        <v>336380.364191</v>
      </c>
      <c r="CF293">
        <f>ROUND(Sales[[#This Row],[25Det]],-2)</f>
        <v>2200</v>
      </c>
      <c r="CG293">
        <f>ROUND(SUM(Sales[[#This Row],[Mdl Qlty]:[Mdl BltinGar]])+Sales[[#This Row],[Mdl Res Intercept]]+Sales[[#This Row],[Days Prior Total]],-2)</f>
        <v>248000</v>
      </c>
      <c r="CH293">
        <f>ROUND(Sales[[#This Row],[Mdl Land Intercept]]+Sales[[#This Row],[Mdl LnAcres]],-2)</f>
        <v>88400</v>
      </c>
      <c r="CI293">
        <f>Sales[[#This Row],[Unadj Res Value]]+Sales[[#This Row],[Unadj Det Value]]+Sales[[#This Row],[Unadj Land Value]]</f>
        <v>338600</v>
      </c>
      <c r="CJ293" s="10">
        <f>Sales[[#This Row],[Price]]/Sales[[#This Row],[Unadj Total Value]]</f>
        <v>0.87123449497932659</v>
      </c>
      <c r="CK293" s="10">
        <f>(Sales[[#This Row],[Unadj Total Value]]-Sales[[#This Row],[24Final]])/Sales[[#This Row],[24Final]]</f>
        <v>-0.22499427786678874</v>
      </c>
      <c r="CL293">
        <f>VLOOKUP(Sales[[#This Row],[TNbhd]],Lookups!$M$3:$P$5,4,FALSE)</f>
        <v>0.99970000000000003</v>
      </c>
      <c r="CM293">
        <f>VLOOKUP(Sales[[#This Row],[Qlty]],Lookups!$M$8:$P$22,4,FALSE)</f>
        <v>0.99819999999999998</v>
      </c>
      <c r="CN293">
        <f>VLOOKUP(Sales[[#This Row],[Cnd]],Lookups!$R$8:$U$17,4,FALSE)</f>
        <v>0.997</v>
      </c>
      <c r="CO293">
        <f>VLOOKUP(Sales[[#This Row],[LivArea Range]],Lookups!$R$25:$U$43,4,FALSE)</f>
        <v>1.0007999999999999</v>
      </c>
      <c r="CP293">
        <f>VLOOKUP(Sales[[#This Row],[Decade]],Lookups!$M$24:$P$40,4,FALSE)</f>
        <v>1.0198</v>
      </c>
      <c r="CQ293">
        <f>Sales[[#This Row],[Nbhd Adj]]*0.95</f>
        <v>0.94971499999999998</v>
      </c>
      <c r="CR293">
        <f>Sales[[#This Row],[Nbhd Adj]]*Sales[[#This Row],[Quality Adj]]*Sales[[#This Row],[Condition Adj]]*Sales[[#This Row],[Living Area Adj]]*Sales[[#This Row],[Decade Adj]]*0.95</f>
        <v>0.96464679464620062</v>
      </c>
      <c r="CS293">
        <f>ROUND(SUM(Sales[[#This Row],[Mdl Qlty]:[Mdl BltinGar]])+Sales[[#This Row],[Mdl Res Intercept]]*Sales[[#This Row],[Res Adj ]],-2)</f>
        <v>331100</v>
      </c>
      <c r="CT293">
        <f>ROUND(Sales[[#This Row],[25Det]]*Sales[[#This Row],[Det/Nbhd Adj]],-2)</f>
        <v>2100</v>
      </c>
      <c r="CU293">
        <f>Sales[[#This Row],[Adjusted Res]]+Sales[[#This Row],[Adj Det ]]</f>
        <v>333200</v>
      </c>
      <c r="CV293">
        <f>ROUND((Sales[[#This Row],[Mdl Land Intercept]]+Sales[[#This Row],[Mdl LnAcres]])*Sales[[#This Row],[Det/Nbhd Adj]],-2)</f>
        <v>83900</v>
      </c>
      <c r="CW293">
        <f>Sales[[#This Row],[Adjusted Impr Total]]+Sales[[#This Row],[Adjusted Land Total]]</f>
        <v>417100</v>
      </c>
      <c r="CX293" s="10">
        <f>IFERROR((Sales[[#This Row],[Adjusted Impr Total]]-Sales[[#This Row],[24Bldg]])/Sales[[#This Row],[24Bldg]],0)</f>
        <v>-4.9086757990867577E-2</v>
      </c>
      <c r="CY293" s="10">
        <f>(Sales[[#This Row],[Adjusted Land Total]]-Sales[[#This Row],[24Lnd]])/Sales[[#This Row],[24Lnd]]</f>
        <v>-3.0057803468208091E-2</v>
      </c>
      <c r="CZ293">
        <f>(Sales[[#This Row],[Adjusted Total]]-Sales[[#This Row],[24Final]])/Sales[[#This Row],[24Final]]</f>
        <v>-4.5319295033188371E-2</v>
      </c>
      <c r="DA293" s="10">
        <f>(Sales[[#This Row],[Adjusted Total]]+Sales[[#This Row],[Days Prior Total]])/Sales[[#This Row],[Price]]</f>
        <v>1.1163079727762713</v>
      </c>
    </row>
    <row r="294" spans="1:105">
      <c r="A294">
        <v>2025</v>
      </c>
      <c r="B294">
        <v>19120112485</v>
      </c>
      <c r="C294">
        <v>0.53062825106217038</v>
      </c>
      <c r="D294">
        <v>1.7</v>
      </c>
      <c r="E294">
        <v>0</v>
      </c>
      <c r="F294">
        <v>2</v>
      </c>
      <c r="G294" t="s">
        <v>155</v>
      </c>
      <c r="H294">
        <v>317</v>
      </c>
      <c r="I294" t="s">
        <v>5</v>
      </c>
      <c r="J294" t="s">
        <v>212</v>
      </c>
      <c r="K294">
        <v>11</v>
      </c>
      <c r="L294">
        <v>259</v>
      </c>
      <c r="M294" t="s">
        <v>330</v>
      </c>
      <c r="N294" t="s">
        <v>21</v>
      </c>
      <c r="O294" t="s">
        <v>22</v>
      </c>
      <c r="P294">
        <v>1995</v>
      </c>
      <c r="Q294">
        <v>1995</v>
      </c>
      <c r="R294">
        <v>30</v>
      </c>
      <c r="S294">
        <v>29</v>
      </c>
      <c r="T294">
        <v>29</v>
      </c>
      <c r="U294">
        <v>1</v>
      </c>
      <c r="V294">
        <v>2883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2883</v>
      </c>
      <c r="AC294">
        <v>3000</v>
      </c>
      <c r="AD294">
        <v>0</v>
      </c>
      <c r="AE294" t="s">
        <v>55</v>
      </c>
      <c r="AF294" t="s">
        <v>158</v>
      </c>
      <c r="AG294" t="s">
        <v>21</v>
      </c>
      <c r="AH294" t="s">
        <v>56</v>
      </c>
      <c r="AI294">
        <v>1</v>
      </c>
      <c r="AJ294">
        <v>0</v>
      </c>
      <c r="AK294">
        <v>0</v>
      </c>
      <c r="AL294">
        <v>2</v>
      </c>
      <c r="AM294">
        <v>0</v>
      </c>
      <c r="AN294">
        <v>12</v>
      </c>
      <c r="AO294">
        <v>0</v>
      </c>
      <c r="AP294">
        <v>0</v>
      </c>
      <c r="AQ294">
        <v>672</v>
      </c>
      <c r="AR294">
        <v>843</v>
      </c>
      <c r="AS294">
        <v>0</v>
      </c>
      <c r="AT294">
        <v>691</v>
      </c>
      <c r="AU294">
        <v>100</v>
      </c>
      <c r="AV294">
        <v>100</v>
      </c>
      <c r="AW294">
        <v>543430</v>
      </c>
      <c r="AX294">
        <v>499956</v>
      </c>
      <c r="AY294">
        <v>398</v>
      </c>
      <c r="AZ294">
        <v>365</v>
      </c>
      <c r="BA294">
        <v>33</v>
      </c>
      <c r="BB294">
        <v>0</v>
      </c>
      <c r="BC294" s="2">
        <v>44894</v>
      </c>
      <c r="BD294" t="s">
        <v>456</v>
      </c>
      <c r="BE294">
        <v>550000</v>
      </c>
      <c r="BF294">
        <v>507115</v>
      </c>
      <c r="BG294" t="s">
        <v>160</v>
      </c>
      <c r="BH294">
        <v>30</v>
      </c>
      <c r="BI294" t="s">
        <v>56</v>
      </c>
      <c r="BJ294" t="s">
        <v>161</v>
      </c>
      <c r="BK294">
        <v>477500</v>
      </c>
      <c r="BL294">
        <v>93900</v>
      </c>
      <c r="BM294">
        <v>383600</v>
      </c>
      <c r="BN294">
        <v>42885</v>
      </c>
      <c r="BO294">
        <v>494529.2402196615</v>
      </c>
      <c r="BP294">
        <v>493288.3043443769</v>
      </c>
      <c r="BQ294">
        <f>(Sales[[#This Row],[DP1]]*Lookups!$B$61)+(Sales[[#This Row],[DP2]]*Lookups!$B$62)+(Sales[[#This Row],[DP3]]*Lookups!$B$63)</f>
        <v>1240.9359690000001</v>
      </c>
      <c r="BR294">
        <f>Lookups!$B$58*0.6</f>
        <v>132535.48800000001</v>
      </c>
      <c r="BS294">
        <f>Lookups!$B$58*0.4</f>
        <v>88356.992000000013</v>
      </c>
      <c r="BT294">
        <f>Lookups!$B$59*Sales[[#This Row],[LnAcres]]</f>
        <v>6964.1354986085153</v>
      </c>
      <c r="BU294">
        <f>VLOOKUP(Sales[[#This Row],[Qlty]],Lookups!$A$66:$E$79,2,FALSE)</f>
        <v>32917.849192000001</v>
      </c>
      <c r="BV294">
        <f>VLOOKUP(Sales[[#This Row],[Cnd]],Lookups!$A$80:$E$91,2,FALSE)</f>
        <v>50438.379078999998</v>
      </c>
      <c r="BW294">
        <f>Sales[[#This Row],[EffAge]]*Lookups!$B$65</f>
        <v>-3153.4919</v>
      </c>
      <c r="BX294">
        <f>Sales[[#This Row],[MainFn]]*Lookups!$B$90</f>
        <v>179929.12554000001</v>
      </c>
      <c r="BY294">
        <f>Sales[[#This Row],[UpprFn]]*Lookups!$B$91</f>
        <v>0</v>
      </c>
      <c r="BZ294">
        <f>Sales[[#This Row],[Bsmt]]*Lookups!$B$95</f>
        <v>0</v>
      </c>
      <c r="CA294">
        <f>VLOOKUP(Sales[[#This Row],[MsnryTrim]],Lookups!$A$90:$E$99,2,FALSE)</f>
        <v>5299.8242</v>
      </c>
      <c r="CB294">
        <f>Sales[[#This Row],[PrefabFP]]*Lookups!$B$92</f>
        <v>0</v>
      </c>
      <c r="CC294">
        <f>Sales[[#This Row],[AttGar]]*Lookups!$B$93</f>
        <v>0</v>
      </c>
      <c r="CD294">
        <f>Sales[[#This Row],[BltinGar]]*Lookups!$B$94</f>
        <v>0</v>
      </c>
      <c r="CE294">
        <f>SUM(Sales[[#This Row],[Days Prior Total]:[Mdl BltinGar]])</f>
        <v>494529.2375786085</v>
      </c>
      <c r="CF294">
        <f>ROUND(Sales[[#This Row],[25Det]],-2)</f>
        <v>42900</v>
      </c>
      <c r="CG294">
        <f>ROUND(SUM(Sales[[#This Row],[Mdl Qlty]:[Mdl BltinGar]])+Sales[[#This Row],[Mdl Res Intercept]]+Sales[[#This Row],[Days Prior Total]],-2)</f>
        <v>399200</v>
      </c>
      <c r="CH294">
        <f>ROUND(Sales[[#This Row],[Mdl Land Intercept]]+Sales[[#This Row],[Mdl LnAcres]],-2)</f>
        <v>95300</v>
      </c>
      <c r="CI294">
        <f>Sales[[#This Row],[Unadj Res Value]]+Sales[[#This Row],[Unadj Det Value]]+Sales[[#This Row],[Unadj Land Value]]</f>
        <v>537400</v>
      </c>
      <c r="CJ294" s="10">
        <f>Sales[[#This Row],[Price]]/Sales[[#This Row],[Unadj Total Value]]</f>
        <v>1.0234462225530332</v>
      </c>
      <c r="CK294" s="10">
        <f>(Sales[[#This Row],[Unadj Total Value]]-Sales[[#This Row],[24Final]])/Sales[[#This Row],[24Final]]</f>
        <v>0.12544502617801048</v>
      </c>
      <c r="CL294">
        <f>VLOOKUP(Sales[[#This Row],[TNbhd]],Lookups!$M$3:$P$5,4,FALSE)</f>
        <v>0.99970000000000003</v>
      </c>
      <c r="CM294">
        <f>VLOOKUP(Sales[[#This Row],[Qlty]],Lookups!$M$8:$P$22,4,FALSE)</f>
        <v>1.0019</v>
      </c>
      <c r="CN294">
        <f>VLOOKUP(Sales[[#This Row],[Cnd]],Lookups!$R$8:$U$17,4,FALSE)</f>
        <v>1.0007999999999999</v>
      </c>
      <c r="CO294">
        <f>VLOOKUP(Sales[[#This Row],[LivArea Range]],Lookups!$R$25:$U$43,4,FALSE)</f>
        <v>1.0099</v>
      </c>
      <c r="CP294">
        <f>VLOOKUP(Sales[[#This Row],[Decade]],Lookups!$M$24:$P$40,4,FALSE)</f>
        <v>1.0198</v>
      </c>
      <c r="CQ294">
        <f>Sales[[#This Row],[Nbhd Adj]]*0.95</f>
        <v>0.94971499999999998</v>
      </c>
      <c r="CR294">
        <f>Sales[[#This Row],[Nbhd Adj]]*Sales[[#This Row],[Quality Adj]]*Sales[[#This Row],[Condition Adj]]*Sales[[#This Row],[Living Area Adj]]*Sales[[#This Row],[Decade Adj]]*0.95</f>
        <v>0.98075007614431442</v>
      </c>
      <c r="CS294">
        <f>ROUND(SUM(Sales[[#This Row],[Mdl Qlty]:[Mdl BltinGar]])+Sales[[#This Row],[Mdl Res Intercept]]*Sales[[#This Row],[Res Adj ]],-2)</f>
        <v>395400</v>
      </c>
      <c r="CT294">
        <f>ROUND(Sales[[#This Row],[25Det]]*Sales[[#This Row],[Det/Nbhd Adj]],-2)</f>
        <v>40700</v>
      </c>
      <c r="CU294">
        <f>Sales[[#This Row],[Adjusted Res]]+Sales[[#This Row],[Adj Det ]]</f>
        <v>436100</v>
      </c>
      <c r="CV294">
        <f>ROUND((Sales[[#This Row],[Mdl Land Intercept]]+Sales[[#This Row],[Mdl LnAcres]])*Sales[[#This Row],[Det/Nbhd Adj]],-2)</f>
        <v>90500</v>
      </c>
      <c r="CW294">
        <f>Sales[[#This Row],[Adjusted Impr Total]]+Sales[[#This Row],[Adjusted Land Total]]</f>
        <v>526600</v>
      </c>
      <c r="CX294" s="10">
        <f>IFERROR((Sales[[#This Row],[Adjusted Impr Total]]-Sales[[#This Row],[24Bldg]])/Sales[[#This Row],[24Bldg]],0)</f>
        <v>0.13686131386861314</v>
      </c>
      <c r="CY294" s="10">
        <f>(Sales[[#This Row],[Adjusted Land Total]]-Sales[[#This Row],[24Lnd]])/Sales[[#This Row],[24Lnd]]</f>
        <v>-3.6208732694355698E-2</v>
      </c>
      <c r="CZ294">
        <f>(Sales[[#This Row],[Adjusted Total]]-Sales[[#This Row],[24Final]])/Sales[[#This Row],[24Final]]</f>
        <v>0.10282722513089006</v>
      </c>
      <c r="DA294" s="10">
        <f>(Sales[[#This Row],[Adjusted Total]]+Sales[[#This Row],[Days Prior Total]])/Sales[[#This Row],[Price]]</f>
        <v>0.95971079267090909</v>
      </c>
    </row>
    <row r="295" spans="1:105">
      <c r="A295">
        <v>2025</v>
      </c>
      <c r="B295">
        <v>19120134442</v>
      </c>
      <c r="C295">
        <v>-1.5606477482646683</v>
      </c>
      <c r="D295">
        <v>0.21</v>
      </c>
      <c r="E295">
        <v>9067</v>
      </c>
      <c r="F295">
        <v>2</v>
      </c>
      <c r="G295" t="s">
        <v>155</v>
      </c>
      <c r="H295">
        <v>317</v>
      </c>
      <c r="I295" t="s">
        <v>5</v>
      </c>
      <c r="J295" t="s">
        <v>212</v>
      </c>
      <c r="K295">
        <v>11</v>
      </c>
      <c r="L295">
        <v>259</v>
      </c>
      <c r="M295" t="s">
        <v>193</v>
      </c>
      <c r="N295" t="s">
        <v>21</v>
      </c>
      <c r="O295" t="s">
        <v>18</v>
      </c>
      <c r="P295">
        <v>1993</v>
      </c>
      <c r="Q295">
        <v>1993</v>
      </c>
      <c r="R295">
        <v>40</v>
      </c>
      <c r="S295">
        <v>31</v>
      </c>
      <c r="T295">
        <v>31</v>
      </c>
      <c r="U295">
        <v>1</v>
      </c>
      <c r="V295">
        <v>1773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1773</v>
      </c>
      <c r="AC295">
        <v>2000</v>
      </c>
      <c r="AD295">
        <v>2</v>
      </c>
      <c r="AE295" t="s">
        <v>55</v>
      </c>
      <c r="AF295" t="s">
        <v>331</v>
      </c>
      <c r="AG295" t="s">
        <v>27</v>
      </c>
      <c r="AH295" t="s">
        <v>161</v>
      </c>
      <c r="AI295">
        <v>0</v>
      </c>
      <c r="AJ295">
        <v>0</v>
      </c>
      <c r="AK295">
        <v>0</v>
      </c>
      <c r="AL295">
        <v>1</v>
      </c>
      <c r="AM295">
        <v>0</v>
      </c>
      <c r="AN295">
        <v>9</v>
      </c>
      <c r="AO295">
        <v>585</v>
      </c>
      <c r="AP295">
        <v>0</v>
      </c>
      <c r="AQ295">
        <v>0</v>
      </c>
      <c r="AR295">
        <v>0</v>
      </c>
      <c r="AS295">
        <v>352</v>
      </c>
      <c r="AT295">
        <v>0</v>
      </c>
      <c r="AU295">
        <v>100</v>
      </c>
      <c r="AV295">
        <v>100</v>
      </c>
      <c r="AW295">
        <v>345363</v>
      </c>
      <c r="AX295">
        <v>293559</v>
      </c>
      <c r="AY295">
        <v>962</v>
      </c>
      <c r="AZ295">
        <v>365</v>
      </c>
      <c r="BA295">
        <v>365</v>
      </c>
      <c r="BB295">
        <v>232</v>
      </c>
      <c r="BC295" s="2">
        <v>44330</v>
      </c>
      <c r="BD295" t="s">
        <v>457</v>
      </c>
      <c r="BE295">
        <v>315000</v>
      </c>
      <c r="BF295">
        <v>315000</v>
      </c>
      <c r="BG295" t="s">
        <v>160</v>
      </c>
      <c r="BH295">
        <v>30</v>
      </c>
      <c r="BI295" t="s">
        <v>56</v>
      </c>
      <c r="BJ295" t="s">
        <v>161</v>
      </c>
      <c r="BK295">
        <v>358800</v>
      </c>
      <c r="BL295">
        <v>64600</v>
      </c>
      <c r="BM295">
        <v>294200</v>
      </c>
      <c r="BN295">
        <v>0</v>
      </c>
      <c r="BO295">
        <v>310044.38220503723</v>
      </c>
      <c r="BP295">
        <v>384322.56878875056</v>
      </c>
      <c r="BQ295">
        <f>(Sales[[#This Row],[DP1]]*Lookups!$B$61)+(Sales[[#This Row],[DP2]]*Lookups!$B$62)+(Sales[[#This Row],[DP3]]*Lookups!$B$63)</f>
        <v>-74278.183430999998</v>
      </c>
      <c r="BR295">
        <f>Lookups!$B$58*0.6</f>
        <v>132535.48800000001</v>
      </c>
      <c r="BS295">
        <f>Lookups!$B$58*0.4</f>
        <v>88356.992000000013</v>
      </c>
      <c r="BT295">
        <f>Lookups!$B$59*Sales[[#This Row],[LnAcres]]</f>
        <v>-20482.442016152701</v>
      </c>
      <c r="BU295">
        <f>VLOOKUP(Sales[[#This Row],[Qlty]],Lookups!$A$66:$E$79,2,FALSE)</f>
        <v>32917.849192000001</v>
      </c>
      <c r="BV295">
        <f>VLOOKUP(Sales[[#This Row],[Cnd]],Lookups!$A$80:$E$91,2,FALSE)</f>
        <v>17761.121909000001</v>
      </c>
      <c r="BW295">
        <f>Sales[[#This Row],[EffAge]]*Lookups!$B$65</f>
        <v>-3370.9740999999999</v>
      </c>
      <c r="BX295">
        <f>Sales[[#This Row],[MainFn]]*Lookups!$B$90</f>
        <v>110653.60374000001</v>
      </c>
      <c r="BY295">
        <f>Sales[[#This Row],[UpprFn]]*Lookups!$B$91</f>
        <v>0</v>
      </c>
      <c r="BZ295">
        <f>Sales[[#This Row],[Bsmt]]*Lookups!$B$95</f>
        <v>0</v>
      </c>
      <c r="CA295">
        <f>VLOOKUP(Sales[[#This Row],[MsnryTrim]],Lookups!$A$90:$E$99,2,FALSE)</f>
        <v>5299.8242</v>
      </c>
      <c r="CB295">
        <f>Sales[[#This Row],[PrefabFP]]*Lookups!$B$92</f>
        <v>0</v>
      </c>
      <c r="CC295">
        <f>Sales[[#This Row],[AttGar]]*Lookups!$B$93</f>
        <v>20651.103135000001</v>
      </c>
      <c r="CD295">
        <f>Sales[[#This Row],[BltinGar]]*Lookups!$B$94</f>
        <v>0</v>
      </c>
      <c r="CE295">
        <f>SUM(Sales[[#This Row],[Days Prior Total]:[Mdl BltinGar]])</f>
        <v>310044.38262884732</v>
      </c>
      <c r="CF295">
        <f>ROUND(Sales[[#This Row],[25Det]],-2)</f>
        <v>0</v>
      </c>
      <c r="CG295">
        <f>ROUND(SUM(Sales[[#This Row],[Mdl Qlty]:[Mdl BltinGar]])+Sales[[#This Row],[Mdl Res Intercept]]+Sales[[#This Row],[Days Prior Total]],-2)</f>
        <v>242200</v>
      </c>
      <c r="CH295">
        <f>ROUND(Sales[[#This Row],[Mdl Land Intercept]]+Sales[[#This Row],[Mdl LnAcres]],-2)</f>
        <v>67900</v>
      </c>
      <c r="CI295">
        <f>Sales[[#This Row],[Unadj Res Value]]+Sales[[#This Row],[Unadj Det Value]]+Sales[[#This Row],[Unadj Land Value]]</f>
        <v>310100</v>
      </c>
      <c r="CJ295" s="10">
        <f>Sales[[#This Row],[Price]]/Sales[[#This Row],[Unadj Total Value]]</f>
        <v>1.0158013544018059</v>
      </c>
      <c r="CK295" s="10">
        <f>(Sales[[#This Row],[Unadj Total Value]]-Sales[[#This Row],[24Final]])/Sales[[#This Row],[24Final]]</f>
        <v>-0.13573021181716835</v>
      </c>
      <c r="CL295">
        <f>VLOOKUP(Sales[[#This Row],[TNbhd]],Lookups!$M$3:$P$5,4,FALSE)</f>
        <v>0.99970000000000003</v>
      </c>
      <c r="CM295">
        <f>VLOOKUP(Sales[[#This Row],[Qlty]],Lookups!$M$8:$P$22,4,FALSE)</f>
        <v>1.0019</v>
      </c>
      <c r="CN295">
        <f>VLOOKUP(Sales[[#This Row],[Cnd]],Lookups!$R$8:$U$17,4,FALSE)</f>
        <v>0.99680000000000002</v>
      </c>
      <c r="CO295">
        <f>VLOOKUP(Sales[[#This Row],[LivArea Range]],Lookups!$R$25:$U$43,4,FALSE)</f>
        <v>1.0007999999999999</v>
      </c>
      <c r="CP295">
        <f>VLOOKUP(Sales[[#This Row],[Decade]],Lookups!$M$24:$P$40,4,FALSE)</f>
        <v>0.95920000000000005</v>
      </c>
      <c r="CQ295">
        <f>Sales[[#This Row],[Nbhd Adj]]*0.95</f>
        <v>0.94971499999999998</v>
      </c>
      <c r="CR295">
        <f>Sales[[#This Row],[Nbhd Adj]]*Sales[[#This Row],[Quality Adj]]*Sales[[#This Row],[Condition Adj]]*Sales[[#This Row],[Living Area Adj]]*Sales[[#This Row],[Decade Adj]]*0.95</f>
        <v>0.91050465417266691</v>
      </c>
      <c r="CS295">
        <f>ROUND(SUM(Sales[[#This Row],[Mdl Qlty]:[Mdl BltinGar]])+Sales[[#This Row],[Mdl Res Intercept]]*Sales[[#This Row],[Res Adj ]],-2)</f>
        <v>304600</v>
      </c>
      <c r="CT295">
        <f>ROUND(Sales[[#This Row],[25Det]]*Sales[[#This Row],[Det/Nbhd Adj]],-2)</f>
        <v>0</v>
      </c>
      <c r="CU295">
        <f>Sales[[#This Row],[Adjusted Res]]+Sales[[#This Row],[Adj Det ]]</f>
        <v>304600</v>
      </c>
      <c r="CV295">
        <f>ROUND((Sales[[#This Row],[Mdl Land Intercept]]+Sales[[#This Row],[Mdl LnAcres]])*Sales[[#This Row],[Det/Nbhd Adj]],-2)</f>
        <v>64500</v>
      </c>
      <c r="CW295">
        <f>Sales[[#This Row],[Adjusted Impr Total]]+Sales[[#This Row],[Adjusted Land Total]]</f>
        <v>369100</v>
      </c>
      <c r="CX295" s="10">
        <f>IFERROR((Sales[[#This Row],[Adjusted Impr Total]]-Sales[[#This Row],[24Bldg]])/Sales[[#This Row],[24Bldg]],0)</f>
        <v>3.5350101971447993E-2</v>
      </c>
      <c r="CY295" s="10">
        <f>(Sales[[#This Row],[Adjusted Land Total]]-Sales[[#This Row],[24Lnd]])/Sales[[#This Row],[24Lnd]]</f>
        <v>-1.5479876160990713E-3</v>
      </c>
      <c r="CZ295">
        <f>(Sales[[#This Row],[Adjusted Total]]-Sales[[#This Row],[24Final]])/Sales[[#This Row],[24Final]]</f>
        <v>2.870680044593088E-2</v>
      </c>
      <c r="DA295" s="10">
        <f>(Sales[[#This Row],[Adjusted Total]]+Sales[[#This Row],[Days Prior Total]])/Sales[[#This Row],[Price]]</f>
        <v>0.93594227482222225</v>
      </c>
    </row>
    <row r="296" spans="1:105">
      <c r="A296">
        <v>2025</v>
      </c>
      <c r="B296">
        <v>19133512402</v>
      </c>
      <c r="C296">
        <v>9.5310179804324935E-2</v>
      </c>
      <c r="D296">
        <v>1.1000000000000001</v>
      </c>
      <c r="E296">
        <v>48001</v>
      </c>
      <c r="F296">
        <v>2</v>
      </c>
      <c r="G296" t="s">
        <v>155</v>
      </c>
      <c r="H296" t="s">
        <v>5</v>
      </c>
      <c r="I296" t="s">
        <v>5</v>
      </c>
      <c r="J296" t="s">
        <v>458</v>
      </c>
      <c r="K296">
        <v>11</v>
      </c>
      <c r="L296">
        <v>259</v>
      </c>
      <c r="M296" t="s">
        <v>157</v>
      </c>
      <c r="N296" t="s">
        <v>21</v>
      </c>
      <c r="O296" t="s">
        <v>22</v>
      </c>
      <c r="P296">
        <v>1993</v>
      </c>
      <c r="Q296">
        <v>1993</v>
      </c>
      <c r="R296">
        <v>40</v>
      </c>
      <c r="S296">
        <v>31</v>
      </c>
      <c r="T296">
        <v>31</v>
      </c>
      <c r="U296">
        <v>2</v>
      </c>
      <c r="V296">
        <v>1081</v>
      </c>
      <c r="W296">
        <v>822</v>
      </c>
      <c r="X296">
        <v>0</v>
      </c>
      <c r="Y296">
        <v>0</v>
      </c>
      <c r="Z296">
        <v>0</v>
      </c>
      <c r="AA296">
        <v>0</v>
      </c>
      <c r="AB296">
        <v>1903</v>
      </c>
      <c r="AC296">
        <v>2000</v>
      </c>
      <c r="AD296">
        <v>3</v>
      </c>
      <c r="AE296" t="s">
        <v>55</v>
      </c>
      <c r="AF296" t="s">
        <v>331</v>
      </c>
      <c r="AG296" t="s">
        <v>27</v>
      </c>
      <c r="AH296" t="s">
        <v>161</v>
      </c>
      <c r="AI296">
        <v>0</v>
      </c>
      <c r="AJ296">
        <v>0</v>
      </c>
      <c r="AK296">
        <v>0</v>
      </c>
      <c r="AL296">
        <v>1</v>
      </c>
      <c r="AM296">
        <v>0</v>
      </c>
      <c r="AN296">
        <v>11</v>
      </c>
      <c r="AO296">
        <v>910</v>
      </c>
      <c r="AP296">
        <v>0</v>
      </c>
      <c r="AQ296">
        <v>0</v>
      </c>
      <c r="AR296">
        <v>240</v>
      </c>
      <c r="AS296">
        <v>1435</v>
      </c>
      <c r="AT296">
        <v>0</v>
      </c>
      <c r="AU296">
        <v>100</v>
      </c>
      <c r="AV296">
        <v>100</v>
      </c>
      <c r="AW296">
        <v>408410</v>
      </c>
      <c r="AX296">
        <v>371653</v>
      </c>
      <c r="AY296">
        <v>-22</v>
      </c>
      <c r="AZ296">
        <v>-22</v>
      </c>
      <c r="BA296">
        <v>0</v>
      </c>
      <c r="BB296">
        <v>0</v>
      </c>
      <c r="BC296" s="2">
        <v>45314</v>
      </c>
      <c r="BD296" t="s">
        <v>459</v>
      </c>
      <c r="BE296">
        <v>491500</v>
      </c>
      <c r="BF296">
        <v>491500</v>
      </c>
      <c r="BG296" t="s">
        <v>160</v>
      </c>
      <c r="BH296">
        <v>30</v>
      </c>
      <c r="BI296" t="s">
        <v>56</v>
      </c>
      <c r="BJ296" t="s">
        <v>161</v>
      </c>
      <c r="BK296">
        <v>447600</v>
      </c>
      <c r="BL296">
        <v>87800</v>
      </c>
      <c r="BM296">
        <v>359800</v>
      </c>
      <c r="BN296">
        <v>0</v>
      </c>
      <c r="BO296">
        <v>455784.13157455012</v>
      </c>
      <c r="BP296">
        <v>455993.07570849115</v>
      </c>
      <c r="BQ296">
        <f>(Sales[[#This Row],[DP1]]*Lookups!$B$61)+(Sales[[#This Row],[DP2]]*Lookups!$B$62)+(Sales[[#This Row],[DP3]]*Lookups!$B$63)</f>
        <v>-208.94413320000001</v>
      </c>
      <c r="BR296">
        <f>Lookups!$B$58*0.6</f>
        <v>132535.48800000001</v>
      </c>
      <c r="BS296">
        <f>Lookups!$B$58*0.4</f>
        <v>88356.992000000013</v>
      </c>
      <c r="BT296">
        <f>Lookups!$B$59*Sales[[#This Row],[LnAcres]]</f>
        <v>1250.8813943196776</v>
      </c>
      <c r="BU296">
        <f>VLOOKUP(Sales[[#This Row],[Qlty]],Lookups!$A$66:$E$79,2,FALSE)</f>
        <v>32917.849192000001</v>
      </c>
      <c r="BV296">
        <f>VLOOKUP(Sales[[#This Row],[Cnd]],Lookups!$A$80:$E$91,2,FALSE)</f>
        <v>50438.379078999998</v>
      </c>
      <c r="BW296">
        <f>Sales[[#This Row],[EffAge]]*Lookups!$B$65</f>
        <v>-3370.9740999999999</v>
      </c>
      <c r="BX296">
        <f>Sales[[#This Row],[MainFn]]*Lookups!$B$90</f>
        <v>67465.620779999997</v>
      </c>
      <c r="BY296">
        <f>Sales[[#This Row],[UpprFn]]*Lookups!$B$91</f>
        <v>48975.074825999996</v>
      </c>
      <c r="BZ296">
        <f>Sales[[#This Row],[Bsmt]]*Lookups!$B$95</f>
        <v>0</v>
      </c>
      <c r="CA296">
        <f>VLOOKUP(Sales[[#This Row],[MsnryTrim]],Lookups!$A$90:$E$99,2,FALSE)</f>
        <v>5299.8242</v>
      </c>
      <c r="CB296">
        <f>Sales[[#This Row],[PrefabFP]]*Lookups!$B$92</f>
        <v>0</v>
      </c>
      <c r="CC296">
        <f>Sales[[#This Row],[AttGar]]*Lookups!$B$93</f>
        <v>32123.93821</v>
      </c>
      <c r="CD296">
        <f>Sales[[#This Row],[BltinGar]]*Lookups!$B$94</f>
        <v>0</v>
      </c>
      <c r="CE296">
        <f>SUM(Sales[[#This Row],[Days Prior Total]:[Mdl BltinGar]])</f>
        <v>455784.12944811967</v>
      </c>
      <c r="CF296">
        <f>ROUND(Sales[[#This Row],[25Det]],-2)</f>
        <v>0</v>
      </c>
      <c r="CG296">
        <f>ROUND(SUM(Sales[[#This Row],[Mdl Qlty]:[Mdl BltinGar]])+Sales[[#This Row],[Mdl Res Intercept]]+Sales[[#This Row],[Days Prior Total]],-2)</f>
        <v>366200</v>
      </c>
      <c r="CH296">
        <f>ROUND(Sales[[#This Row],[Mdl Land Intercept]]+Sales[[#This Row],[Mdl LnAcres]],-2)</f>
        <v>89600</v>
      </c>
      <c r="CI296">
        <f>Sales[[#This Row],[Unadj Res Value]]+Sales[[#This Row],[Unadj Det Value]]+Sales[[#This Row],[Unadj Land Value]]</f>
        <v>455800</v>
      </c>
      <c r="CJ296" s="10">
        <f>Sales[[#This Row],[Price]]/Sales[[#This Row],[Unadj Total Value]]</f>
        <v>1.0783238262395787</v>
      </c>
      <c r="CK296" s="10">
        <f>(Sales[[#This Row],[Unadj Total Value]]-Sales[[#This Row],[24Final]])/Sales[[#This Row],[24Final]]</f>
        <v>1.8319928507596069E-2</v>
      </c>
      <c r="CL296">
        <f>VLOOKUP(Sales[[#This Row],[TNbhd]],Lookups!$M$3:$P$5,4,FALSE)</f>
        <v>0.99970000000000003</v>
      </c>
      <c r="CM296">
        <f>VLOOKUP(Sales[[#This Row],[Qlty]],Lookups!$M$8:$P$22,4,FALSE)</f>
        <v>1.0019</v>
      </c>
      <c r="CN296">
        <f>VLOOKUP(Sales[[#This Row],[Cnd]],Lookups!$R$8:$U$17,4,FALSE)</f>
        <v>1.0007999999999999</v>
      </c>
      <c r="CO296">
        <f>VLOOKUP(Sales[[#This Row],[LivArea Range]],Lookups!$R$25:$U$43,4,FALSE)</f>
        <v>1.0007999999999999</v>
      </c>
      <c r="CP296">
        <f>VLOOKUP(Sales[[#This Row],[Decade]],Lookups!$M$24:$P$40,4,FALSE)</f>
        <v>0.95920000000000005</v>
      </c>
      <c r="CQ296">
        <f>Sales[[#This Row],[Nbhd Adj]]*0.95</f>
        <v>0.94971499999999998</v>
      </c>
      <c r="CR296">
        <f>Sales[[#This Row],[Nbhd Adj]]*Sales[[#This Row],[Quality Adj]]*Sales[[#This Row],[Condition Adj]]*Sales[[#This Row],[Living Area Adj]]*Sales[[#This Row],[Decade Adj]]*0.95</f>
        <v>0.91415836466292633</v>
      </c>
      <c r="CS296">
        <f>ROUND(SUM(Sales[[#This Row],[Mdl Qlty]:[Mdl BltinGar]])+Sales[[#This Row],[Mdl Res Intercept]]*Sales[[#This Row],[Res Adj ]],-2)</f>
        <v>355000</v>
      </c>
      <c r="CT296">
        <f>ROUND(Sales[[#This Row],[25Det]]*Sales[[#This Row],[Det/Nbhd Adj]],-2)</f>
        <v>0</v>
      </c>
      <c r="CU296">
        <f>Sales[[#This Row],[Adjusted Res]]+Sales[[#This Row],[Adj Det ]]</f>
        <v>355000</v>
      </c>
      <c r="CV296">
        <f>ROUND((Sales[[#This Row],[Mdl Land Intercept]]+Sales[[#This Row],[Mdl LnAcres]])*Sales[[#This Row],[Det/Nbhd Adj]],-2)</f>
        <v>85100</v>
      </c>
      <c r="CW296">
        <f>Sales[[#This Row],[Adjusted Impr Total]]+Sales[[#This Row],[Adjusted Land Total]]</f>
        <v>440100</v>
      </c>
      <c r="CX296" s="10">
        <f>IFERROR((Sales[[#This Row],[Adjusted Impr Total]]-Sales[[#This Row],[24Bldg]])/Sales[[#This Row],[24Bldg]],0)</f>
        <v>-1.3340744858254585E-2</v>
      </c>
      <c r="CY296" s="10">
        <f>(Sales[[#This Row],[Adjusted Land Total]]-Sales[[#This Row],[24Lnd]])/Sales[[#This Row],[24Lnd]]</f>
        <v>-3.0751708428246014E-2</v>
      </c>
      <c r="CZ296">
        <f>(Sales[[#This Row],[Adjusted Total]]-Sales[[#This Row],[24Final]])/Sales[[#This Row],[24Final]]</f>
        <v>-1.675603217158177E-2</v>
      </c>
      <c r="DA296" s="10">
        <f>(Sales[[#This Row],[Adjusted Total]]+Sales[[#This Row],[Days Prior Total]])/Sales[[#This Row],[Price]]</f>
        <v>0.8949970617839268</v>
      </c>
    </row>
    <row r="297" spans="1:105">
      <c r="A297">
        <v>2025</v>
      </c>
      <c r="B297">
        <v>19120134439</v>
      </c>
      <c r="C297">
        <v>-1.5141277326297755</v>
      </c>
      <c r="D297">
        <v>0.22</v>
      </c>
      <c r="E297">
        <v>9612</v>
      </c>
      <c r="F297">
        <v>2</v>
      </c>
      <c r="G297" t="s">
        <v>155</v>
      </c>
      <c r="H297">
        <v>317</v>
      </c>
      <c r="I297" t="s">
        <v>5</v>
      </c>
      <c r="J297" t="s">
        <v>212</v>
      </c>
      <c r="K297">
        <v>11</v>
      </c>
      <c r="L297">
        <v>259</v>
      </c>
      <c r="M297" t="s">
        <v>193</v>
      </c>
      <c r="N297" t="s">
        <v>21</v>
      </c>
      <c r="O297" t="s">
        <v>18</v>
      </c>
      <c r="P297">
        <v>1990</v>
      </c>
      <c r="Q297">
        <v>1990</v>
      </c>
      <c r="R297">
        <v>40</v>
      </c>
      <c r="S297">
        <v>34</v>
      </c>
      <c r="T297">
        <v>34</v>
      </c>
      <c r="U297">
        <v>1</v>
      </c>
      <c r="V297">
        <v>1814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1814</v>
      </c>
      <c r="AC297">
        <v>2000</v>
      </c>
      <c r="AD297">
        <v>2</v>
      </c>
      <c r="AE297" t="s">
        <v>55</v>
      </c>
      <c r="AF297" t="s">
        <v>158</v>
      </c>
      <c r="AG297" t="s">
        <v>27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10</v>
      </c>
      <c r="AO297">
        <v>576</v>
      </c>
      <c r="AP297">
        <v>0</v>
      </c>
      <c r="AQ297">
        <v>0</v>
      </c>
      <c r="AR297">
        <v>0</v>
      </c>
      <c r="AS297">
        <v>270</v>
      </c>
      <c r="AT297">
        <v>0</v>
      </c>
      <c r="AU297">
        <v>100</v>
      </c>
      <c r="AV297">
        <v>100</v>
      </c>
      <c r="AW297">
        <v>376366</v>
      </c>
      <c r="AX297">
        <v>316147</v>
      </c>
      <c r="AY297">
        <v>649</v>
      </c>
      <c r="AZ297">
        <v>365</v>
      </c>
      <c r="BA297">
        <v>284</v>
      </c>
      <c r="BB297">
        <v>0</v>
      </c>
      <c r="BC297" s="2">
        <v>44643</v>
      </c>
      <c r="BD297" t="s">
        <v>460</v>
      </c>
      <c r="BE297">
        <v>360000</v>
      </c>
      <c r="BF297">
        <v>360000</v>
      </c>
      <c r="BG297" t="s">
        <v>160</v>
      </c>
      <c r="BH297">
        <v>30</v>
      </c>
      <c r="BI297" t="s">
        <v>56</v>
      </c>
      <c r="BJ297" t="s">
        <v>161</v>
      </c>
      <c r="BK297">
        <v>358400</v>
      </c>
      <c r="BL297">
        <v>65300</v>
      </c>
      <c r="BM297">
        <v>293100</v>
      </c>
      <c r="BN297">
        <v>0</v>
      </c>
      <c r="BO297">
        <v>371160.60932915984</v>
      </c>
      <c r="BP297">
        <v>386848.00531021191</v>
      </c>
      <c r="BQ297">
        <f>(Sales[[#This Row],[DP1]]*Lookups!$B$61)+(Sales[[#This Row],[DP2]]*Lookups!$B$62)+(Sales[[#This Row],[DP3]]*Lookups!$B$63)</f>
        <v>-15687.395080999999</v>
      </c>
      <c r="BR297">
        <f>Lookups!$B$58*0.6</f>
        <v>132535.48800000001</v>
      </c>
      <c r="BS297">
        <f>Lookups!$B$58*0.4</f>
        <v>88356.992000000013</v>
      </c>
      <c r="BT297">
        <f>Lookups!$B$59*Sales[[#This Row],[LnAcres]]</f>
        <v>-19871.898398035348</v>
      </c>
      <c r="BU297">
        <f>VLOOKUP(Sales[[#This Row],[Qlty]],Lookups!$A$66:$E$79,2,FALSE)</f>
        <v>32917.849192000001</v>
      </c>
      <c r="BV297">
        <f>VLOOKUP(Sales[[#This Row],[Cnd]],Lookups!$A$80:$E$91,2,FALSE)</f>
        <v>17761.121909000001</v>
      </c>
      <c r="BW297">
        <f>Sales[[#This Row],[EffAge]]*Lookups!$B$65</f>
        <v>-3697.1974</v>
      </c>
      <c r="BX297">
        <f>Sales[[#This Row],[MainFn]]*Lookups!$B$90</f>
        <v>113212.42932000001</v>
      </c>
      <c r="BY297">
        <f>Sales[[#This Row],[UpprFn]]*Lookups!$B$91</f>
        <v>0</v>
      </c>
      <c r="BZ297">
        <f>Sales[[#This Row],[Bsmt]]*Lookups!$B$95</f>
        <v>0</v>
      </c>
      <c r="CA297">
        <f>VLOOKUP(Sales[[#This Row],[MsnryTrim]],Lookups!$A$90:$E$99,2,FALSE)</f>
        <v>5299.8242</v>
      </c>
      <c r="CB297">
        <f>Sales[[#This Row],[PrefabFP]]*Lookups!$B$92</f>
        <v>0</v>
      </c>
      <c r="CC297">
        <f>Sales[[#This Row],[AttGar]]*Lookups!$B$93</f>
        <v>20333.393856000002</v>
      </c>
      <c r="CD297">
        <f>Sales[[#This Row],[BltinGar]]*Lookups!$B$94</f>
        <v>0</v>
      </c>
      <c r="CE297">
        <f>SUM(Sales[[#This Row],[Days Prior Total]:[Mdl BltinGar]])</f>
        <v>371160.60759796464</v>
      </c>
      <c r="CF297">
        <f>ROUND(Sales[[#This Row],[25Det]],-2)</f>
        <v>0</v>
      </c>
      <c r="CG297">
        <f>ROUND(SUM(Sales[[#This Row],[Mdl Qlty]:[Mdl BltinGar]])+Sales[[#This Row],[Mdl Res Intercept]]+Sales[[#This Row],[Days Prior Total]],-2)</f>
        <v>302700</v>
      </c>
      <c r="CH297">
        <f>ROUND(Sales[[#This Row],[Mdl Land Intercept]]+Sales[[#This Row],[Mdl LnAcres]],-2)</f>
        <v>68500</v>
      </c>
      <c r="CI297">
        <f>Sales[[#This Row],[Unadj Res Value]]+Sales[[#This Row],[Unadj Det Value]]+Sales[[#This Row],[Unadj Land Value]]</f>
        <v>371200</v>
      </c>
      <c r="CJ297" s="10">
        <f>Sales[[#This Row],[Price]]/Sales[[#This Row],[Unadj Total Value]]</f>
        <v>0.96982758620689657</v>
      </c>
      <c r="CK297" s="10">
        <f>(Sales[[#This Row],[Unadj Total Value]]-Sales[[#This Row],[24Final]])/Sales[[#This Row],[24Final]]</f>
        <v>3.5714285714285712E-2</v>
      </c>
      <c r="CL297">
        <f>VLOOKUP(Sales[[#This Row],[TNbhd]],Lookups!$M$3:$P$5,4,FALSE)</f>
        <v>0.99970000000000003</v>
      </c>
      <c r="CM297">
        <f>VLOOKUP(Sales[[#This Row],[Qlty]],Lookups!$M$8:$P$22,4,FALSE)</f>
        <v>1.0019</v>
      </c>
      <c r="CN297">
        <f>VLOOKUP(Sales[[#This Row],[Cnd]],Lookups!$R$8:$U$17,4,FALSE)</f>
        <v>0.99680000000000002</v>
      </c>
      <c r="CO297">
        <f>VLOOKUP(Sales[[#This Row],[LivArea Range]],Lookups!$R$25:$U$43,4,FALSE)</f>
        <v>1.0007999999999999</v>
      </c>
      <c r="CP297">
        <f>VLOOKUP(Sales[[#This Row],[Decade]],Lookups!$M$24:$P$40,4,FALSE)</f>
        <v>0.95920000000000005</v>
      </c>
      <c r="CQ297">
        <f>Sales[[#This Row],[Nbhd Adj]]*0.95</f>
        <v>0.94971499999999998</v>
      </c>
      <c r="CR297">
        <f>Sales[[#This Row],[Nbhd Adj]]*Sales[[#This Row],[Quality Adj]]*Sales[[#This Row],[Condition Adj]]*Sales[[#This Row],[Living Area Adj]]*Sales[[#This Row],[Decade Adj]]*0.95</f>
        <v>0.91050465417266691</v>
      </c>
      <c r="CS297">
        <f>ROUND(SUM(Sales[[#This Row],[Mdl Qlty]:[Mdl BltinGar]])+Sales[[#This Row],[Mdl Res Intercept]]*Sales[[#This Row],[Res Adj ]],-2)</f>
        <v>306500</v>
      </c>
      <c r="CT297">
        <f>ROUND(Sales[[#This Row],[25Det]]*Sales[[#This Row],[Det/Nbhd Adj]],-2)</f>
        <v>0</v>
      </c>
      <c r="CU297">
        <f>Sales[[#This Row],[Adjusted Res]]+Sales[[#This Row],[Adj Det ]]</f>
        <v>306500</v>
      </c>
      <c r="CV297">
        <f>ROUND((Sales[[#This Row],[Mdl Land Intercept]]+Sales[[#This Row],[Mdl LnAcres]])*Sales[[#This Row],[Det/Nbhd Adj]],-2)</f>
        <v>65000</v>
      </c>
      <c r="CW297">
        <f>Sales[[#This Row],[Adjusted Impr Total]]+Sales[[#This Row],[Adjusted Land Total]]</f>
        <v>371500</v>
      </c>
      <c r="CX297" s="10">
        <f>IFERROR((Sales[[#This Row],[Adjusted Impr Total]]-Sales[[#This Row],[24Bldg]])/Sales[[#This Row],[24Bldg]],0)</f>
        <v>4.5718184919822588E-2</v>
      </c>
      <c r="CY297" s="10">
        <f>(Sales[[#This Row],[Adjusted Land Total]]-Sales[[#This Row],[24Lnd]])/Sales[[#This Row],[24Lnd]]</f>
        <v>-4.5941807044410417E-3</v>
      </c>
      <c r="CZ297">
        <f>(Sales[[#This Row],[Adjusted Total]]-Sales[[#This Row],[24Final]])/Sales[[#This Row],[24Final]]</f>
        <v>3.6551339285714288E-2</v>
      </c>
      <c r="DA297" s="10">
        <f>(Sales[[#This Row],[Adjusted Total]]+Sales[[#This Row],[Days Prior Total]])/Sales[[#This Row],[Price]]</f>
        <v>0.9883683469972222</v>
      </c>
    </row>
    <row r="298" spans="1:105">
      <c r="A298">
        <v>2025</v>
      </c>
      <c r="B298">
        <v>19120134425</v>
      </c>
      <c r="C298">
        <v>-1.7147984280919266</v>
      </c>
      <c r="D298">
        <v>0.18</v>
      </c>
      <c r="E298">
        <v>7996</v>
      </c>
      <c r="F298">
        <v>2</v>
      </c>
      <c r="G298" t="s">
        <v>155</v>
      </c>
      <c r="H298">
        <v>317</v>
      </c>
      <c r="I298" t="s">
        <v>5</v>
      </c>
      <c r="J298" t="s">
        <v>212</v>
      </c>
      <c r="K298">
        <v>11</v>
      </c>
      <c r="L298">
        <v>259</v>
      </c>
      <c r="M298" t="s">
        <v>193</v>
      </c>
      <c r="N298" t="s">
        <v>17</v>
      </c>
      <c r="O298" t="s">
        <v>18</v>
      </c>
      <c r="P298">
        <v>1987</v>
      </c>
      <c r="Q298">
        <v>1987</v>
      </c>
      <c r="R298">
        <v>40</v>
      </c>
      <c r="S298">
        <v>37</v>
      </c>
      <c r="T298">
        <v>37</v>
      </c>
      <c r="U298">
        <v>1</v>
      </c>
      <c r="V298">
        <v>1288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1288</v>
      </c>
      <c r="AC298">
        <v>1500</v>
      </c>
      <c r="AD298">
        <v>0</v>
      </c>
      <c r="AE298" t="s">
        <v>56</v>
      </c>
      <c r="AF298" t="s">
        <v>158</v>
      </c>
      <c r="AG298" t="s">
        <v>27</v>
      </c>
      <c r="AI298">
        <v>0</v>
      </c>
      <c r="AJ298">
        <v>0</v>
      </c>
      <c r="AK298">
        <v>0</v>
      </c>
      <c r="AL298">
        <v>1</v>
      </c>
      <c r="AM298">
        <v>0</v>
      </c>
      <c r="AN298">
        <v>8</v>
      </c>
      <c r="AO298">
        <v>0</v>
      </c>
      <c r="AP298">
        <v>0</v>
      </c>
      <c r="AQ298">
        <v>0</v>
      </c>
      <c r="AR298">
        <v>0</v>
      </c>
      <c r="AS298">
        <v>240</v>
      </c>
      <c r="AT298">
        <v>240</v>
      </c>
      <c r="AU298">
        <v>100</v>
      </c>
      <c r="AV298">
        <v>100</v>
      </c>
      <c r="AW298">
        <v>192523</v>
      </c>
      <c r="AX298">
        <v>161719</v>
      </c>
      <c r="AY298">
        <v>747</v>
      </c>
      <c r="AZ298">
        <v>365</v>
      </c>
      <c r="BA298">
        <v>365</v>
      </c>
      <c r="BB298">
        <v>17</v>
      </c>
      <c r="BC298" s="2">
        <v>44545</v>
      </c>
      <c r="BD298" t="s">
        <v>461</v>
      </c>
      <c r="BE298">
        <v>300000</v>
      </c>
      <c r="BF298">
        <v>300000</v>
      </c>
      <c r="BG298" t="s">
        <v>160</v>
      </c>
      <c r="BH298">
        <v>30</v>
      </c>
      <c r="BI298" t="s">
        <v>56</v>
      </c>
      <c r="BJ298" t="s">
        <v>161</v>
      </c>
      <c r="BK298">
        <v>289400</v>
      </c>
      <c r="BL298">
        <v>62500</v>
      </c>
      <c r="BM298">
        <v>226900</v>
      </c>
      <c r="BN298">
        <v>0</v>
      </c>
      <c r="BO298">
        <v>282424.93802308163</v>
      </c>
      <c r="BP298">
        <v>307468.25176034443</v>
      </c>
      <c r="BQ298">
        <f>(Sales[[#This Row],[DP1]]*Lookups!$B$61)+(Sales[[#This Row],[DP2]]*Lookups!$B$62)+(Sales[[#This Row],[DP3]]*Lookups!$B$63)</f>
        <v>-25043.312430999998</v>
      </c>
      <c r="BR298">
        <f>Lookups!$B$58*0.6</f>
        <v>132535.48800000001</v>
      </c>
      <c r="BS298">
        <f>Lookups!$B$58*0.4</f>
        <v>88356.992000000013</v>
      </c>
      <c r="BT298">
        <f>Lookups!$B$59*Sales[[#This Row],[LnAcres]]</f>
        <v>-22505.565020573864</v>
      </c>
      <c r="BU298">
        <f>VLOOKUP(Sales[[#This Row],[Qlty]],Lookups!$A$66:$E$79,2,FALSE)</f>
        <v>24371.765965999999</v>
      </c>
      <c r="BV298">
        <f>VLOOKUP(Sales[[#This Row],[Cnd]],Lookups!$A$80:$E$91,2,FALSE)</f>
        <v>17761.121909000001</v>
      </c>
      <c r="BW298">
        <f>Sales[[#This Row],[EffAge]]*Lookups!$B$65</f>
        <v>-4023.4207000000001</v>
      </c>
      <c r="BX298">
        <f>Sales[[#This Row],[MainFn]]*Lookups!$B$90</f>
        <v>80384.569440000007</v>
      </c>
      <c r="BY298">
        <f>Sales[[#This Row],[UpprFn]]*Lookups!$B$91</f>
        <v>0</v>
      </c>
      <c r="BZ298">
        <f>Sales[[#This Row],[Bsmt]]*Lookups!$B$95</f>
        <v>0</v>
      </c>
      <c r="CA298">
        <f>VLOOKUP(Sales[[#This Row],[MsnryTrim]],Lookups!$A$90:$E$99,2,FALSE)</f>
        <v>-9412.7029999999995</v>
      </c>
      <c r="CB298">
        <f>Sales[[#This Row],[PrefabFP]]*Lookups!$B$92</f>
        <v>0</v>
      </c>
      <c r="CC298">
        <f>Sales[[#This Row],[AttGar]]*Lookups!$B$93</f>
        <v>0</v>
      </c>
      <c r="CD298">
        <f>Sales[[#This Row],[BltinGar]]*Lookups!$B$94</f>
        <v>0</v>
      </c>
      <c r="CE298">
        <f>SUM(Sales[[#This Row],[Days Prior Total]:[Mdl BltinGar]])</f>
        <v>282424.93616342626</v>
      </c>
      <c r="CF298">
        <f>ROUND(Sales[[#This Row],[25Det]],-2)</f>
        <v>0</v>
      </c>
      <c r="CG298">
        <f>ROUND(SUM(Sales[[#This Row],[Mdl Qlty]:[Mdl BltinGar]])+Sales[[#This Row],[Mdl Res Intercept]]+Sales[[#This Row],[Days Prior Total]],-2)</f>
        <v>216600</v>
      </c>
      <c r="CH298">
        <f>ROUND(Sales[[#This Row],[Mdl Land Intercept]]+Sales[[#This Row],[Mdl LnAcres]],-2)</f>
        <v>65900</v>
      </c>
      <c r="CI298">
        <f>Sales[[#This Row],[Unadj Res Value]]+Sales[[#This Row],[Unadj Det Value]]+Sales[[#This Row],[Unadj Land Value]]</f>
        <v>282500</v>
      </c>
      <c r="CJ298" s="10">
        <f>Sales[[#This Row],[Price]]/Sales[[#This Row],[Unadj Total Value]]</f>
        <v>1.0619469026548674</v>
      </c>
      <c r="CK298" s="10">
        <f>(Sales[[#This Row],[Unadj Total Value]]-Sales[[#This Row],[24Final]])/Sales[[#This Row],[24Final]]</f>
        <v>-2.3842432619212164E-2</v>
      </c>
      <c r="CL298">
        <f>VLOOKUP(Sales[[#This Row],[TNbhd]],Lookups!$M$3:$P$5,4,FALSE)</f>
        <v>0.99970000000000003</v>
      </c>
      <c r="CM298">
        <f>VLOOKUP(Sales[[#This Row],[Qlty]],Lookups!$M$8:$P$22,4,FALSE)</f>
        <v>0.99199999999999999</v>
      </c>
      <c r="CN298">
        <f>VLOOKUP(Sales[[#This Row],[Cnd]],Lookups!$R$8:$U$17,4,FALSE)</f>
        <v>0.99680000000000002</v>
      </c>
      <c r="CO298">
        <f>VLOOKUP(Sales[[#This Row],[LivArea Range]],Lookups!$R$25:$U$43,4,FALSE)</f>
        <v>0.99519999999999997</v>
      </c>
      <c r="CP298">
        <f>VLOOKUP(Sales[[#This Row],[Decade]],Lookups!$M$24:$P$40,4,FALSE)</f>
        <v>0.95920000000000005</v>
      </c>
      <c r="CQ298">
        <f>Sales[[#This Row],[Nbhd Adj]]*0.95</f>
        <v>0.94971499999999998</v>
      </c>
      <c r="CR298">
        <f>Sales[[#This Row],[Nbhd Adj]]*Sales[[#This Row],[Quality Adj]]*Sales[[#This Row],[Condition Adj]]*Sales[[#This Row],[Living Area Adj]]*Sales[[#This Row],[Decade Adj]]*0.95</f>
        <v>0.89646334432401886</v>
      </c>
      <c r="CS298">
        <f>ROUND(SUM(Sales[[#This Row],[Mdl Qlty]:[Mdl BltinGar]])+Sales[[#This Row],[Mdl Res Intercept]]*Sales[[#This Row],[Res Adj ]],-2)</f>
        <v>227900</v>
      </c>
      <c r="CT298">
        <f>ROUND(Sales[[#This Row],[25Det]]*Sales[[#This Row],[Det/Nbhd Adj]],-2)</f>
        <v>0</v>
      </c>
      <c r="CU298">
        <f>Sales[[#This Row],[Adjusted Res]]+Sales[[#This Row],[Adj Det ]]</f>
        <v>227900</v>
      </c>
      <c r="CV298">
        <f>ROUND((Sales[[#This Row],[Mdl Land Intercept]]+Sales[[#This Row],[Mdl LnAcres]])*Sales[[#This Row],[Det/Nbhd Adj]],-2)</f>
        <v>62500</v>
      </c>
      <c r="CW298">
        <f>Sales[[#This Row],[Adjusted Impr Total]]+Sales[[#This Row],[Adjusted Land Total]]</f>
        <v>290400</v>
      </c>
      <c r="CX298" s="10">
        <f>IFERROR((Sales[[#This Row],[Adjusted Impr Total]]-Sales[[#This Row],[24Bldg]])/Sales[[#This Row],[24Bldg]],0)</f>
        <v>4.4072278536800352E-3</v>
      </c>
      <c r="CY298" s="10">
        <f>(Sales[[#This Row],[Adjusted Land Total]]-Sales[[#This Row],[24Lnd]])/Sales[[#This Row],[24Lnd]]</f>
        <v>0</v>
      </c>
      <c r="CZ298">
        <f>(Sales[[#This Row],[Adjusted Total]]-Sales[[#This Row],[24Final]])/Sales[[#This Row],[24Final]]</f>
        <v>3.4554250172771253E-3</v>
      </c>
      <c r="DA298" s="10">
        <f>(Sales[[#This Row],[Adjusted Total]]+Sales[[#This Row],[Days Prior Total]])/Sales[[#This Row],[Price]]</f>
        <v>0.88452229189666665</v>
      </c>
    </row>
    <row r="299" spans="1:105">
      <c r="A299">
        <v>2025</v>
      </c>
      <c r="B299">
        <v>19120134425</v>
      </c>
      <c r="C299">
        <v>-1.7147984280919266</v>
      </c>
      <c r="D299">
        <v>0.18</v>
      </c>
      <c r="E299">
        <v>7996</v>
      </c>
      <c r="F299">
        <v>2</v>
      </c>
      <c r="G299" t="s">
        <v>155</v>
      </c>
      <c r="H299">
        <v>317</v>
      </c>
      <c r="I299" t="s">
        <v>5</v>
      </c>
      <c r="J299" t="s">
        <v>212</v>
      </c>
      <c r="K299">
        <v>11</v>
      </c>
      <c r="L299">
        <v>259</v>
      </c>
      <c r="M299" t="s">
        <v>193</v>
      </c>
      <c r="N299" t="s">
        <v>17</v>
      </c>
      <c r="O299" t="s">
        <v>18</v>
      </c>
      <c r="P299">
        <v>1987</v>
      </c>
      <c r="Q299">
        <v>1987</v>
      </c>
      <c r="R299">
        <v>40</v>
      </c>
      <c r="S299">
        <v>37</v>
      </c>
      <c r="T299">
        <v>37</v>
      </c>
      <c r="U299">
        <v>1</v>
      </c>
      <c r="V299">
        <v>1288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1288</v>
      </c>
      <c r="AC299">
        <v>1500</v>
      </c>
      <c r="AD299">
        <v>0</v>
      </c>
      <c r="AE299" t="s">
        <v>56</v>
      </c>
      <c r="AF299" t="s">
        <v>158</v>
      </c>
      <c r="AG299" t="s">
        <v>27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8</v>
      </c>
      <c r="AO299">
        <v>0</v>
      </c>
      <c r="AP299">
        <v>0</v>
      </c>
      <c r="AQ299">
        <v>0</v>
      </c>
      <c r="AR299">
        <v>0</v>
      </c>
      <c r="AS299">
        <v>240</v>
      </c>
      <c r="AT299">
        <v>240</v>
      </c>
      <c r="AU299">
        <v>100</v>
      </c>
      <c r="AV299">
        <v>100</v>
      </c>
      <c r="AW299">
        <v>192523</v>
      </c>
      <c r="AX299">
        <v>161719</v>
      </c>
      <c r="AY299">
        <v>815</v>
      </c>
      <c r="AZ299">
        <v>365</v>
      </c>
      <c r="BA299">
        <v>365</v>
      </c>
      <c r="BB299">
        <v>85</v>
      </c>
      <c r="BC299" s="2">
        <v>44477</v>
      </c>
      <c r="BD299" t="s">
        <v>462</v>
      </c>
      <c r="BE299">
        <v>290000</v>
      </c>
      <c r="BF299">
        <v>290000</v>
      </c>
      <c r="BG299" t="s">
        <v>160</v>
      </c>
      <c r="BH299">
        <v>30</v>
      </c>
      <c r="BI299" t="s">
        <v>56</v>
      </c>
      <c r="BJ299" t="s">
        <v>161</v>
      </c>
      <c r="BK299">
        <v>289400</v>
      </c>
      <c r="BL299">
        <v>62500</v>
      </c>
      <c r="BM299">
        <v>226900</v>
      </c>
      <c r="BN299">
        <v>0</v>
      </c>
      <c r="BO299">
        <v>266852.97823908791</v>
      </c>
      <c r="BP299">
        <v>307468.25176034443</v>
      </c>
      <c r="BQ299">
        <f>(Sales[[#This Row],[DP1]]*Lookups!$B$61)+(Sales[[#This Row],[DP2]]*Lookups!$B$62)+(Sales[[#This Row],[DP3]]*Lookups!$B$63)</f>
        <v>-40615.271630999996</v>
      </c>
      <c r="BR299">
        <f>Lookups!$B$58*0.6</f>
        <v>132535.48800000001</v>
      </c>
      <c r="BS299">
        <f>Lookups!$B$58*0.4</f>
        <v>88356.992000000013</v>
      </c>
      <c r="BT299">
        <f>Lookups!$B$59*Sales[[#This Row],[LnAcres]]</f>
        <v>-22505.565020573864</v>
      </c>
      <c r="BU299">
        <f>VLOOKUP(Sales[[#This Row],[Qlty]],Lookups!$A$66:$E$79,2,FALSE)</f>
        <v>24371.765965999999</v>
      </c>
      <c r="BV299">
        <f>VLOOKUP(Sales[[#This Row],[Cnd]],Lookups!$A$80:$E$91,2,FALSE)</f>
        <v>17761.121909000001</v>
      </c>
      <c r="BW299">
        <f>Sales[[#This Row],[EffAge]]*Lookups!$B$65</f>
        <v>-4023.4207000000001</v>
      </c>
      <c r="BX299">
        <f>Sales[[#This Row],[MainFn]]*Lookups!$B$90</f>
        <v>80384.569440000007</v>
      </c>
      <c r="BY299">
        <f>Sales[[#This Row],[UpprFn]]*Lookups!$B$91</f>
        <v>0</v>
      </c>
      <c r="BZ299">
        <f>Sales[[#This Row],[Bsmt]]*Lookups!$B$95</f>
        <v>0</v>
      </c>
      <c r="CA299">
        <f>VLOOKUP(Sales[[#This Row],[MsnryTrim]],Lookups!$A$90:$E$99,2,FALSE)</f>
        <v>-9412.7029999999995</v>
      </c>
      <c r="CB299">
        <f>Sales[[#This Row],[PrefabFP]]*Lookups!$B$92</f>
        <v>0</v>
      </c>
      <c r="CC299">
        <f>Sales[[#This Row],[AttGar]]*Lookups!$B$93</f>
        <v>0</v>
      </c>
      <c r="CD299">
        <f>Sales[[#This Row],[BltinGar]]*Lookups!$B$94</f>
        <v>0</v>
      </c>
      <c r="CE299">
        <f>SUM(Sales[[#This Row],[Days Prior Total]:[Mdl BltinGar]])</f>
        <v>266852.97696342622</v>
      </c>
      <c r="CF299">
        <f>ROUND(Sales[[#This Row],[25Det]],-2)</f>
        <v>0</v>
      </c>
      <c r="CG299">
        <f>ROUND(SUM(Sales[[#This Row],[Mdl Qlty]:[Mdl BltinGar]])+Sales[[#This Row],[Mdl Res Intercept]]+Sales[[#This Row],[Days Prior Total]],-2)</f>
        <v>201000</v>
      </c>
      <c r="CH299">
        <f>ROUND(Sales[[#This Row],[Mdl Land Intercept]]+Sales[[#This Row],[Mdl LnAcres]],-2)</f>
        <v>65900</v>
      </c>
      <c r="CI299">
        <f>Sales[[#This Row],[Unadj Res Value]]+Sales[[#This Row],[Unadj Det Value]]+Sales[[#This Row],[Unadj Land Value]]</f>
        <v>266900</v>
      </c>
      <c r="CJ299" s="10">
        <f>Sales[[#This Row],[Price]]/Sales[[#This Row],[Unadj Total Value]]</f>
        <v>1.0865492693892844</v>
      </c>
      <c r="CK299" s="10">
        <f>(Sales[[#This Row],[Unadj Total Value]]-Sales[[#This Row],[24Final]])/Sales[[#This Row],[24Final]]</f>
        <v>-7.7747062888735313E-2</v>
      </c>
      <c r="CL299">
        <f>VLOOKUP(Sales[[#This Row],[TNbhd]],Lookups!$M$3:$P$5,4,FALSE)</f>
        <v>0.99970000000000003</v>
      </c>
      <c r="CM299">
        <f>VLOOKUP(Sales[[#This Row],[Qlty]],Lookups!$M$8:$P$22,4,FALSE)</f>
        <v>0.99199999999999999</v>
      </c>
      <c r="CN299">
        <f>VLOOKUP(Sales[[#This Row],[Cnd]],Lookups!$R$8:$U$17,4,FALSE)</f>
        <v>0.99680000000000002</v>
      </c>
      <c r="CO299">
        <f>VLOOKUP(Sales[[#This Row],[LivArea Range]],Lookups!$R$25:$U$43,4,FALSE)</f>
        <v>0.99519999999999997</v>
      </c>
      <c r="CP299">
        <f>VLOOKUP(Sales[[#This Row],[Decade]],Lookups!$M$24:$P$40,4,FALSE)</f>
        <v>0.95920000000000005</v>
      </c>
      <c r="CQ299">
        <f>Sales[[#This Row],[Nbhd Adj]]*0.95</f>
        <v>0.94971499999999998</v>
      </c>
      <c r="CR299">
        <f>Sales[[#This Row],[Nbhd Adj]]*Sales[[#This Row],[Quality Adj]]*Sales[[#This Row],[Condition Adj]]*Sales[[#This Row],[Living Area Adj]]*Sales[[#This Row],[Decade Adj]]*0.95</f>
        <v>0.89646334432401886</v>
      </c>
      <c r="CS299">
        <f>ROUND(SUM(Sales[[#This Row],[Mdl Qlty]:[Mdl BltinGar]])+Sales[[#This Row],[Mdl Res Intercept]]*Sales[[#This Row],[Res Adj ]],-2)</f>
        <v>227900</v>
      </c>
      <c r="CT299">
        <f>ROUND(Sales[[#This Row],[25Det]]*Sales[[#This Row],[Det/Nbhd Adj]],-2)</f>
        <v>0</v>
      </c>
      <c r="CU299">
        <f>Sales[[#This Row],[Adjusted Res]]+Sales[[#This Row],[Adj Det ]]</f>
        <v>227900</v>
      </c>
      <c r="CV299">
        <f>ROUND((Sales[[#This Row],[Mdl Land Intercept]]+Sales[[#This Row],[Mdl LnAcres]])*Sales[[#This Row],[Det/Nbhd Adj]],-2)</f>
        <v>62500</v>
      </c>
      <c r="CW299">
        <f>Sales[[#This Row],[Adjusted Impr Total]]+Sales[[#This Row],[Adjusted Land Total]]</f>
        <v>290400</v>
      </c>
      <c r="CX299" s="10">
        <f>IFERROR((Sales[[#This Row],[Adjusted Impr Total]]-Sales[[#This Row],[24Bldg]])/Sales[[#This Row],[24Bldg]],0)</f>
        <v>4.4072278536800352E-3</v>
      </c>
      <c r="CY299" s="10">
        <f>(Sales[[#This Row],[Adjusted Land Total]]-Sales[[#This Row],[24Lnd]])/Sales[[#This Row],[24Lnd]]</f>
        <v>0</v>
      </c>
      <c r="CZ299">
        <f>(Sales[[#This Row],[Adjusted Total]]-Sales[[#This Row],[24Final]])/Sales[[#This Row],[24Final]]</f>
        <v>3.4554250172771253E-3</v>
      </c>
      <c r="DA299" s="10">
        <f>(Sales[[#This Row],[Adjusted Total]]+Sales[[#This Row],[Days Prior Total]])/Sales[[#This Row],[Price]]</f>
        <v>0.86132664954827598</v>
      </c>
    </row>
    <row r="300" spans="1:105">
      <c r="A300">
        <v>2025</v>
      </c>
      <c r="B300">
        <v>19120221004</v>
      </c>
      <c r="C300">
        <v>1.3190856114264407</v>
      </c>
      <c r="D300">
        <v>3.74</v>
      </c>
      <c r="E300">
        <v>162969</v>
      </c>
      <c r="F300">
        <v>2</v>
      </c>
      <c r="G300" t="s">
        <v>155</v>
      </c>
      <c r="H300">
        <v>317</v>
      </c>
      <c r="I300" t="s">
        <v>5</v>
      </c>
      <c r="J300" t="s">
        <v>212</v>
      </c>
      <c r="K300">
        <v>11</v>
      </c>
      <c r="L300">
        <v>259</v>
      </c>
      <c r="M300" t="s">
        <v>193</v>
      </c>
      <c r="N300" t="s">
        <v>15</v>
      </c>
      <c r="O300" t="s">
        <v>16</v>
      </c>
      <c r="P300">
        <v>1979</v>
      </c>
      <c r="Q300">
        <v>1980</v>
      </c>
      <c r="R300">
        <v>50</v>
      </c>
      <c r="S300">
        <v>45</v>
      </c>
      <c r="T300">
        <v>44</v>
      </c>
      <c r="U300">
        <v>1</v>
      </c>
      <c r="V300">
        <v>2106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2106</v>
      </c>
      <c r="AC300">
        <v>2500</v>
      </c>
      <c r="AD300">
        <v>0</v>
      </c>
      <c r="AE300" t="s">
        <v>56</v>
      </c>
      <c r="AF300" t="s">
        <v>463</v>
      </c>
      <c r="AG300" t="s">
        <v>21</v>
      </c>
      <c r="AH300" t="s">
        <v>56</v>
      </c>
      <c r="AI300">
        <v>1</v>
      </c>
      <c r="AJ300">
        <v>0</v>
      </c>
      <c r="AK300">
        <v>0</v>
      </c>
      <c r="AL300">
        <v>1</v>
      </c>
      <c r="AM300">
        <v>0</v>
      </c>
      <c r="AN300">
        <v>8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100</v>
      </c>
      <c r="AV300">
        <v>153</v>
      </c>
      <c r="AW300">
        <v>190980</v>
      </c>
      <c r="AX300">
        <v>204349</v>
      </c>
      <c r="AY300">
        <v>528</v>
      </c>
      <c r="AZ300">
        <v>365</v>
      </c>
      <c r="BA300">
        <v>163</v>
      </c>
      <c r="BB300">
        <v>0</v>
      </c>
      <c r="BC300" s="2">
        <v>44764</v>
      </c>
      <c r="BD300" t="s">
        <v>464</v>
      </c>
      <c r="BE300">
        <v>350000</v>
      </c>
      <c r="BF300">
        <v>346676</v>
      </c>
      <c r="BG300" t="s">
        <v>160</v>
      </c>
      <c r="BH300">
        <v>30</v>
      </c>
      <c r="BI300" t="s">
        <v>56</v>
      </c>
      <c r="BJ300" t="s">
        <v>161</v>
      </c>
      <c r="BK300">
        <v>345500</v>
      </c>
      <c r="BL300">
        <v>105000</v>
      </c>
      <c r="BM300">
        <v>240500</v>
      </c>
      <c r="BN300">
        <v>3324</v>
      </c>
      <c r="BO300">
        <v>346676.00000000116</v>
      </c>
      <c r="BP300">
        <v>354202.72604234109</v>
      </c>
      <c r="BQ300">
        <f>(Sales[[#This Row],[DP1]]*Lookups!$B$61)+(Sales[[#This Row],[DP2]]*Lookups!$B$62)+(Sales[[#This Row],[DP3]]*Lookups!$B$63)</f>
        <v>-7526.725531</v>
      </c>
      <c r="BR300">
        <f>Lookups!$B$58*0.6</f>
        <v>132535.48800000001</v>
      </c>
      <c r="BS300">
        <f>Lookups!$B$58*0.4</f>
        <v>88356.992000000013</v>
      </c>
      <c r="BT300">
        <f>Lookups!$B$59*Sales[[#This Row],[LnAcres]]</f>
        <v>17312.102990841875</v>
      </c>
      <c r="BU300">
        <f>VLOOKUP(Sales[[#This Row],[Qlty]],Lookups!$A$66:$E$79,2,FALSE)</f>
        <v>-1240.8083630000001</v>
      </c>
      <c r="BV300">
        <f>VLOOKUP(Sales[[#This Row],[Cnd]],Lookups!$A$80:$E$91,2,FALSE)</f>
        <v>0</v>
      </c>
      <c r="BW300">
        <f>Sales[[#This Row],[EffAge]]*Lookups!$B$65</f>
        <v>-4784.6084000000001</v>
      </c>
      <c r="BX300">
        <f>Sales[[#This Row],[MainFn]]*Lookups!$B$90</f>
        <v>131436.26028000002</v>
      </c>
      <c r="BY300">
        <f>Sales[[#This Row],[UpprFn]]*Lookups!$B$91</f>
        <v>0</v>
      </c>
      <c r="BZ300">
        <f>Sales[[#This Row],[Bsmt]]*Lookups!$B$95</f>
        <v>0</v>
      </c>
      <c r="CA300">
        <f>VLOOKUP(Sales[[#This Row],[MsnryTrim]],Lookups!$A$90:$E$99,2,FALSE)</f>
        <v>-9412.7029999999995</v>
      </c>
      <c r="CB300">
        <f>Sales[[#This Row],[PrefabFP]]*Lookups!$B$92</f>
        <v>0</v>
      </c>
      <c r="CC300">
        <f>Sales[[#This Row],[AttGar]]*Lookups!$B$93</f>
        <v>0</v>
      </c>
      <c r="CD300">
        <f>Sales[[#This Row],[BltinGar]]*Lookups!$B$94</f>
        <v>0</v>
      </c>
      <c r="CE300">
        <f>SUM(Sales[[#This Row],[Days Prior Total]:[Mdl BltinGar]])</f>
        <v>346675.99797684199</v>
      </c>
      <c r="CF300">
        <f>ROUND(Sales[[#This Row],[25Det]],-2)</f>
        <v>3300</v>
      </c>
      <c r="CG300">
        <f>ROUND(SUM(Sales[[#This Row],[Mdl Qlty]:[Mdl BltinGar]])+Sales[[#This Row],[Mdl Res Intercept]]+Sales[[#This Row],[Days Prior Total]],-2)</f>
        <v>241000</v>
      </c>
      <c r="CH300">
        <f>ROUND(Sales[[#This Row],[Mdl Land Intercept]]+Sales[[#This Row],[Mdl LnAcres]],-2)</f>
        <v>105700</v>
      </c>
      <c r="CI300">
        <f>Sales[[#This Row],[Unadj Res Value]]+Sales[[#This Row],[Unadj Det Value]]+Sales[[#This Row],[Unadj Land Value]]</f>
        <v>350000</v>
      </c>
      <c r="CJ300" s="10">
        <f>Sales[[#This Row],[Price]]/Sales[[#This Row],[Unadj Total Value]]</f>
        <v>1</v>
      </c>
      <c r="CK300" s="10">
        <f>(Sales[[#This Row],[Unadj Total Value]]-Sales[[#This Row],[24Final]])/Sales[[#This Row],[24Final]]</f>
        <v>1.3024602026049204E-2</v>
      </c>
      <c r="CL300">
        <f>VLOOKUP(Sales[[#This Row],[TNbhd]],Lookups!$M$3:$P$5,4,FALSE)</f>
        <v>0.99970000000000003</v>
      </c>
      <c r="CM300">
        <f>VLOOKUP(Sales[[#This Row],[Qlty]],Lookups!$M$8:$P$22,4,FALSE)</f>
        <v>1.0022</v>
      </c>
      <c r="CN300">
        <f>VLOOKUP(Sales[[#This Row],[Cnd]],Lookups!$R$8:$U$17,4,FALSE)</f>
        <v>1</v>
      </c>
      <c r="CO300">
        <f>VLOOKUP(Sales[[#This Row],[LivArea Range]],Lookups!$R$25:$U$43,4,FALSE)</f>
        <v>1.0008999999999999</v>
      </c>
      <c r="CP300">
        <f>VLOOKUP(Sales[[#This Row],[Decade]],Lookups!$M$24:$P$40,4,FALSE)</f>
        <v>0.98519999999999996</v>
      </c>
      <c r="CQ300">
        <f>Sales[[#This Row],[Nbhd Adj]]*0.95</f>
        <v>0.94971499999999998</v>
      </c>
      <c r="CR300">
        <f>Sales[[#This Row],[Nbhd Adj]]*Sales[[#This Row],[Quality Adj]]*Sales[[#This Row],[Condition Adj]]*Sales[[#This Row],[Living Area Adj]]*Sales[[#This Row],[Decade Adj]]*0.95</f>
        <v>0.93856161418105155</v>
      </c>
      <c r="CS300">
        <f>ROUND(SUM(Sales[[#This Row],[Mdl Qlty]:[Mdl BltinGar]])+Sales[[#This Row],[Mdl Res Intercept]]*Sales[[#This Row],[Res Adj ]],-2)</f>
        <v>240400</v>
      </c>
      <c r="CT300">
        <f>ROUND(Sales[[#This Row],[25Det]]*Sales[[#This Row],[Det/Nbhd Adj]],-2)</f>
        <v>3200</v>
      </c>
      <c r="CU300">
        <f>Sales[[#This Row],[Adjusted Res]]+Sales[[#This Row],[Adj Det ]]</f>
        <v>243600</v>
      </c>
      <c r="CV300">
        <f>ROUND((Sales[[#This Row],[Mdl Land Intercept]]+Sales[[#This Row],[Mdl LnAcres]])*Sales[[#This Row],[Det/Nbhd Adj]],-2)</f>
        <v>100400</v>
      </c>
      <c r="CW300">
        <f>Sales[[#This Row],[Adjusted Impr Total]]+Sales[[#This Row],[Adjusted Land Total]]</f>
        <v>344000</v>
      </c>
      <c r="CX300" s="10">
        <f>IFERROR((Sales[[#This Row],[Adjusted Impr Total]]-Sales[[#This Row],[24Bldg]])/Sales[[#This Row],[24Bldg]],0)</f>
        <v>1.2889812889812891E-2</v>
      </c>
      <c r="CY300" s="10">
        <f>(Sales[[#This Row],[Adjusted Land Total]]-Sales[[#This Row],[24Lnd]])/Sales[[#This Row],[24Lnd]]</f>
        <v>-4.3809523809523812E-2</v>
      </c>
      <c r="CZ300">
        <f>(Sales[[#This Row],[Adjusted Total]]-Sales[[#This Row],[24Final]])/Sales[[#This Row],[24Final]]</f>
        <v>-4.3415340086830683E-3</v>
      </c>
      <c r="DA300" s="10">
        <f>(Sales[[#This Row],[Adjusted Total]]+Sales[[#This Row],[Days Prior Total]])/Sales[[#This Row],[Price]]</f>
        <v>0.96135221276857141</v>
      </c>
    </row>
    <row r="301" spans="1:105">
      <c r="A301">
        <v>2025</v>
      </c>
      <c r="B301">
        <v>19120131471</v>
      </c>
      <c r="C301">
        <v>-1.3862943611198906</v>
      </c>
      <c r="D301">
        <v>0.25</v>
      </c>
      <c r="E301">
        <v>10846</v>
      </c>
      <c r="F301">
        <v>2</v>
      </c>
      <c r="G301" t="s">
        <v>155</v>
      </c>
      <c r="H301">
        <v>317</v>
      </c>
      <c r="I301" t="s">
        <v>5</v>
      </c>
      <c r="J301" t="s">
        <v>212</v>
      </c>
      <c r="K301">
        <v>11</v>
      </c>
      <c r="L301">
        <v>259</v>
      </c>
      <c r="M301" t="s">
        <v>193</v>
      </c>
      <c r="N301" t="s">
        <v>15</v>
      </c>
      <c r="O301" t="s">
        <v>20</v>
      </c>
      <c r="P301">
        <v>1977</v>
      </c>
      <c r="Q301">
        <v>1979</v>
      </c>
      <c r="R301">
        <v>50</v>
      </c>
      <c r="S301">
        <v>47</v>
      </c>
      <c r="T301">
        <v>45</v>
      </c>
      <c r="U301">
        <v>1</v>
      </c>
      <c r="V301">
        <v>1040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1040</v>
      </c>
      <c r="AC301">
        <v>1500</v>
      </c>
      <c r="AD301">
        <v>0</v>
      </c>
      <c r="AE301" t="s">
        <v>56</v>
      </c>
      <c r="AF301" t="s">
        <v>331</v>
      </c>
      <c r="AG301" t="s">
        <v>27</v>
      </c>
      <c r="AH301" t="s">
        <v>56</v>
      </c>
      <c r="AI301">
        <v>1</v>
      </c>
      <c r="AJ301">
        <v>0</v>
      </c>
      <c r="AK301">
        <v>0</v>
      </c>
      <c r="AL301">
        <v>0</v>
      </c>
      <c r="AM301">
        <v>0</v>
      </c>
      <c r="AN301">
        <v>5</v>
      </c>
      <c r="AO301">
        <v>0</v>
      </c>
      <c r="AP301">
        <v>0</v>
      </c>
      <c r="AQ301">
        <v>0</v>
      </c>
      <c r="AR301">
        <v>0</v>
      </c>
      <c r="AS301">
        <v>180</v>
      </c>
      <c r="AT301">
        <v>180</v>
      </c>
      <c r="AU301">
        <v>100</v>
      </c>
      <c r="AV301">
        <v>100</v>
      </c>
      <c r="AW301">
        <v>146023</v>
      </c>
      <c r="AX301">
        <v>122659</v>
      </c>
      <c r="AY301">
        <v>691</v>
      </c>
      <c r="AZ301">
        <v>365</v>
      </c>
      <c r="BA301">
        <v>326</v>
      </c>
      <c r="BB301">
        <v>0</v>
      </c>
      <c r="BC301" s="2">
        <v>44601</v>
      </c>
      <c r="BD301" t="s">
        <v>465</v>
      </c>
      <c r="BE301">
        <v>305000</v>
      </c>
      <c r="BF301">
        <v>285609</v>
      </c>
      <c r="BG301" t="s">
        <v>160</v>
      </c>
      <c r="BH301">
        <v>30</v>
      </c>
      <c r="BI301" t="s">
        <v>56</v>
      </c>
      <c r="BJ301" t="s">
        <v>161</v>
      </c>
      <c r="BK301">
        <v>286700</v>
      </c>
      <c r="BL301">
        <v>67100</v>
      </c>
      <c r="BM301">
        <v>219600</v>
      </c>
      <c r="BN301">
        <v>19391</v>
      </c>
      <c r="BO301">
        <v>263838.54905957548</v>
      </c>
      <c r="BP301">
        <v>282358.57427555241</v>
      </c>
      <c r="BQ301">
        <f>(Sales[[#This Row],[DP1]]*Lookups!$B$61)+(Sales[[#This Row],[DP2]]*Lookups!$B$62)+(Sales[[#This Row],[DP3]]*Lookups!$B$63)</f>
        <v>-18520.024181000001</v>
      </c>
      <c r="BR301">
        <f>Lookups!$B$58*0.6</f>
        <v>132535.48800000001</v>
      </c>
      <c r="BS301">
        <f>Lookups!$B$58*0.4</f>
        <v>88356.992000000013</v>
      </c>
      <c r="BT301">
        <f>Lookups!$B$59*Sales[[#This Row],[LnAcres]]</f>
        <v>-18194.172195827363</v>
      </c>
      <c r="BU301">
        <f>VLOOKUP(Sales[[#This Row],[Qlty]],Lookups!$A$66:$E$79,2,FALSE)</f>
        <v>-1240.8083630000001</v>
      </c>
      <c r="BV301">
        <f>VLOOKUP(Sales[[#This Row],[Cnd]],Lookups!$A$80:$E$91,2,FALSE)</f>
        <v>30300.329274</v>
      </c>
      <c r="BW301">
        <f>Sales[[#This Row],[EffAge]]*Lookups!$B$65</f>
        <v>-4893.3495000000003</v>
      </c>
      <c r="BX301">
        <f>Sales[[#This Row],[MainFn]]*Lookups!$B$90</f>
        <v>64906.7952</v>
      </c>
      <c r="BY301">
        <f>Sales[[#This Row],[UpprFn]]*Lookups!$B$91</f>
        <v>0</v>
      </c>
      <c r="BZ301">
        <f>Sales[[#This Row],[Bsmt]]*Lookups!$B$95</f>
        <v>0</v>
      </c>
      <c r="CA301">
        <f>VLOOKUP(Sales[[#This Row],[MsnryTrim]],Lookups!$A$90:$E$99,2,FALSE)</f>
        <v>-9412.7029999999995</v>
      </c>
      <c r="CB301">
        <f>Sales[[#This Row],[PrefabFP]]*Lookups!$B$92</f>
        <v>0</v>
      </c>
      <c r="CC301">
        <f>Sales[[#This Row],[AttGar]]*Lookups!$B$93</f>
        <v>0</v>
      </c>
      <c r="CD301">
        <f>Sales[[#This Row],[BltinGar]]*Lookups!$B$94</f>
        <v>0</v>
      </c>
      <c r="CE301">
        <f>SUM(Sales[[#This Row],[Days Prior Total]:[Mdl BltinGar]])</f>
        <v>263838.5472341727</v>
      </c>
      <c r="CF301">
        <f>ROUND(Sales[[#This Row],[25Det]],-2)</f>
        <v>19400</v>
      </c>
      <c r="CG301">
        <f>ROUND(SUM(Sales[[#This Row],[Mdl Qlty]:[Mdl BltinGar]])+Sales[[#This Row],[Mdl Res Intercept]]+Sales[[#This Row],[Days Prior Total]],-2)</f>
        <v>193700</v>
      </c>
      <c r="CH301">
        <f>ROUND(Sales[[#This Row],[Mdl Land Intercept]]+Sales[[#This Row],[Mdl LnAcres]],-2)</f>
        <v>70200</v>
      </c>
      <c r="CI301">
        <f>Sales[[#This Row],[Unadj Res Value]]+Sales[[#This Row],[Unadj Det Value]]+Sales[[#This Row],[Unadj Land Value]]</f>
        <v>283300</v>
      </c>
      <c r="CJ301" s="10">
        <f>Sales[[#This Row],[Price]]/Sales[[#This Row],[Unadj Total Value]]</f>
        <v>1.0765972467349101</v>
      </c>
      <c r="CK301" s="10">
        <f>(Sales[[#This Row],[Unadj Total Value]]-Sales[[#This Row],[24Final]])/Sales[[#This Row],[24Final]]</f>
        <v>-1.1859086152772933E-2</v>
      </c>
      <c r="CL301">
        <f>VLOOKUP(Sales[[#This Row],[TNbhd]],Lookups!$M$3:$P$5,4,FALSE)</f>
        <v>0.99970000000000003</v>
      </c>
      <c r="CM301">
        <f>VLOOKUP(Sales[[#This Row],[Qlty]],Lookups!$M$8:$P$22,4,FALSE)</f>
        <v>1.0022</v>
      </c>
      <c r="CN301">
        <f>VLOOKUP(Sales[[#This Row],[Cnd]],Lookups!$R$8:$U$17,4,FALSE)</f>
        <v>0.997</v>
      </c>
      <c r="CO301">
        <f>VLOOKUP(Sales[[#This Row],[LivArea Range]],Lookups!$R$25:$U$43,4,FALSE)</f>
        <v>0.99519999999999997</v>
      </c>
      <c r="CP301">
        <f>VLOOKUP(Sales[[#This Row],[Decade]],Lookups!$M$24:$P$40,4,FALSE)</f>
        <v>0.98519999999999996</v>
      </c>
      <c r="CQ301">
        <f>Sales[[#This Row],[Nbhd Adj]]*0.95</f>
        <v>0.94971499999999998</v>
      </c>
      <c r="CR301">
        <f>Sales[[#This Row],[Nbhd Adj]]*Sales[[#This Row],[Quality Adj]]*Sales[[#This Row],[Condition Adj]]*Sales[[#This Row],[Living Area Adj]]*Sales[[#This Row],[Decade Adj]]*0.95</f>
        <v>0.93041697360144238</v>
      </c>
      <c r="CS301">
        <f>ROUND(SUM(Sales[[#This Row],[Mdl Qlty]:[Mdl BltinGar]])+Sales[[#This Row],[Mdl Res Intercept]]*Sales[[#This Row],[Res Adj ]],-2)</f>
        <v>203000</v>
      </c>
      <c r="CT301">
        <f>ROUND(Sales[[#This Row],[25Det]]*Sales[[#This Row],[Det/Nbhd Adj]],-2)</f>
        <v>18400</v>
      </c>
      <c r="CU301">
        <f>Sales[[#This Row],[Adjusted Res]]+Sales[[#This Row],[Adj Det ]]</f>
        <v>221400</v>
      </c>
      <c r="CV301">
        <f>ROUND((Sales[[#This Row],[Mdl Land Intercept]]+Sales[[#This Row],[Mdl LnAcres]])*Sales[[#This Row],[Det/Nbhd Adj]],-2)</f>
        <v>66600</v>
      </c>
      <c r="CW301">
        <f>Sales[[#This Row],[Adjusted Impr Total]]+Sales[[#This Row],[Adjusted Land Total]]</f>
        <v>288000</v>
      </c>
      <c r="CX301" s="10">
        <f>IFERROR((Sales[[#This Row],[Adjusted Impr Total]]-Sales[[#This Row],[24Bldg]])/Sales[[#This Row],[24Bldg]],0)</f>
        <v>8.1967213114754103E-3</v>
      </c>
      <c r="CY301" s="10">
        <f>(Sales[[#This Row],[Adjusted Land Total]]-Sales[[#This Row],[24Lnd]])/Sales[[#This Row],[24Lnd]]</f>
        <v>-7.4515648286140089E-3</v>
      </c>
      <c r="CZ301">
        <f>(Sales[[#This Row],[Adjusted Total]]-Sales[[#This Row],[24Final]])/Sales[[#This Row],[24Final]]</f>
        <v>4.534356470177886E-3</v>
      </c>
      <c r="DA301" s="10">
        <f>(Sales[[#This Row],[Adjusted Total]]+Sales[[#This Row],[Days Prior Total]])/Sales[[#This Row],[Price]]</f>
        <v>0.88354090432459009</v>
      </c>
    </row>
    <row r="302" spans="1:105">
      <c r="A302">
        <v>2025</v>
      </c>
      <c r="B302">
        <v>19120131428</v>
      </c>
      <c r="C302">
        <v>-1.3862943611198906</v>
      </c>
      <c r="D302">
        <v>0.25</v>
      </c>
      <c r="E302">
        <v>10679</v>
      </c>
      <c r="F302">
        <v>2</v>
      </c>
      <c r="G302" t="s">
        <v>155</v>
      </c>
      <c r="H302">
        <v>317</v>
      </c>
      <c r="I302" t="s">
        <v>5</v>
      </c>
      <c r="J302" t="s">
        <v>212</v>
      </c>
      <c r="K302">
        <v>11</v>
      </c>
      <c r="L302">
        <v>259</v>
      </c>
      <c r="M302" t="s">
        <v>193</v>
      </c>
      <c r="N302" t="s">
        <v>15</v>
      </c>
      <c r="O302" t="s">
        <v>20</v>
      </c>
      <c r="P302">
        <v>1976</v>
      </c>
      <c r="Q302">
        <v>1979</v>
      </c>
      <c r="R302">
        <v>50</v>
      </c>
      <c r="S302">
        <v>48</v>
      </c>
      <c r="T302">
        <v>45</v>
      </c>
      <c r="U302">
        <v>1</v>
      </c>
      <c r="V302">
        <v>1248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1248</v>
      </c>
      <c r="AC302">
        <v>1500</v>
      </c>
      <c r="AD302">
        <v>0</v>
      </c>
      <c r="AE302" t="s">
        <v>56</v>
      </c>
      <c r="AF302" t="s">
        <v>466</v>
      </c>
      <c r="AG302" t="s">
        <v>27</v>
      </c>
      <c r="AH302" t="s">
        <v>56</v>
      </c>
      <c r="AI302">
        <v>1</v>
      </c>
      <c r="AJ302">
        <v>0</v>
      </c>
      <c r="AK302">
        <v>0</v>
      </c>
      <c r="AL302">
        <v>1</v>
      </c>
      <c r="AM302">
        <v>0</v>
      </c>
      <c r="AN302">
        <v>8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100</v>
      </c>
      <c r="AV302">
        <v>100</v>
      </c>
      <c r="AW302">
        <v>168624</v>
      </c>
      <c r="AX302">
        <v>141644</v>
      </c>
      <c r="AY302">
        <v>859</v>
      </c>
      <c r="AZ302">
        <v>365</v>
      </c>
      <c r="BA302">
        <v>365</v>
      </c>
      <c r="BB302">
        <v>129</v>
      </c>
      <c r="BC302" s="2">
        <v>44433</v>
      </c>
      <c r="BD302" t="s">
        <v>467</v>
      </c>
      <c r="BE302">
        <v>259000</v>
      </c>
      <c r="BF302">
        <v>259000</v>
      </c>
      <c r="BG302" t="s">
        <v>160</v>
      </c>
      <c r="BH302">
        <v>30</v>
      </c>
      <c r="BI302" t="s">
        <v>56</v>
      </c>
      <c r="BJ302" t="s">
        <v>161</v>
      </c>
      <c r="BK302">
        <v>279400</v>
      </c>
      <c r="BL302">
        <v>67100</v>
      </c>
      <c r="BM302">
        <v>212300</v>
      </c>
      <c r="BN302">
        <v>0</v>
      </c>
      <c r="BO302">
        <v>244648.68582140683</v>
      </c>
      <c r="BP302">
        <v>295339.93332054152</v>
      </c>
      <c r="BQ302">
        <f>(Sales[[#This Row],[DP1]]*Lookups!$B$61)+(Sales[[#This Row],[DP2]]*Lookups!$B$62)+(Sales[[#This Row],[DP3]]*Lookups!$B$63)</f>
        <v>-50691.245231000001</v>
      </c>
      <c r="BR302">
        <f>Lookups!$B$58*0.6</f>
        <v>132535.48800000001</v>
      </c>
      <c r="BS302">
        <f>Lookups!$B$58*0.4</f>
        <v>88356.992000000013</v>
      </c>
      <c r="BT302">
        <f>Lookups!$B$59*Sales[[#This Row],[LnAcres]]</f>
        <v>-18194.172195827363</v>
      </c>
      <c r="BU302">
        <f>VLOOKUP(Sales[[#This Row],[Qlty]],Lookups!$A$66:$E$79,2,FALSE)</f>
        <v>-1240.8083630000001</v>
      </c>
      <c r="BV302">
        <f>VLOOKUP(Sales[[#This Row],[Cnd]],Lookups!$A$80:$E$91,2,FALSE)</f>
        <v>30300.329274</v>
      </c>
      <c r="BW302">
        <f>Sales[[#This Row],[EffAge]]*Lookups!$B$65</f>
        <v>-4893.3495000000003</v>
      </c>
      <c r="BX302">
        <f>Sales[[#This Row],[MainFn]]*Lookups!$B$90</f>
        <v>77888.154240000003</v>
      </c>
      <c r="BY302">
        <f>Sales[[#This Row],[UpprFn]]*Lookups!$B$91</f>
        <v>0</v>
      </c>
      <c r="BZ302">
        <f>Sales[[#This Row],[Bsmt]]*Lookups!$B$95</f>
        <v>0</v>
      </c>
      <c r="CA302">
        <f>VLOOKUP(Sales[[#This Row],[MsnryTrim]],Lookups!$A$90:$E$99,2,FALSE)</f>
        <v>-9412.7029999999995</v>
      </c>
      <c r="CB302">
        <f>Sales[[#This Row],[PrefabFP]]*Lookups!$B$92</f>
        <v>0</v>
      </c>
      <c r="CC302">
        <f>Sales[[#This Row],[AttGar]]*Lookups!$B$93</f>
        <v>0</v>
      </c>
      <c r="CD302">
        <f>Sales[[#This Row],[BltinGar]]*Lookups!$B$94</f>
        <v>0</v>
      </c>
      <c r="CE302">
        <f>SUM(Sales[[#This Row],[Days Prior Total]:[Mdl BltinGar]])</f>
        <v>244648.68522417266</v>
      </c>
      <c r="CF302">
        <f>ROUND(Sales[[#This Row],[25Det]],-2)</f>
        <v>0</v>
      </c>
      <c r="CG302">
        <f>ROUND(SUM(Sales[[#This Row],[Mdl Qlty]:[Mdl BltinGar]])+Sales[[#This Row],[Mdl Res Intercept]]+Sales[[#This Row],[Days Prior Total]],-2)</f>
        <v>174500</v>
      </c>
      <c r="CH302">
        <f>ROUND(Sales[[#This Row],[Mdl Land Intercept]]+Sales[[#This Row],[Mdl LnAcres]],-2)</f>
        <v>70200</v>
      </c>
      <c r="CI302">
        <f>Sales[[#This Row],[Unadj Res Value]]+Sales[[#This Row],[Unadj Det Value]]+Sales[[#This Row],[Unadj Land Value]]</f>
        <v>244700</v>
      </c>
      <c r="CJ302" s="10">
        <f>Sales[[#This Row],[Price]]/Sales[[#This Row],[Unadj Total Value]]</f>
        <v>1.0584389047813649</v>
      </c>
      <c r="CK302" s="10">
        <f>(Sales[[#This Row],[Unadj Total Value]]-Sales[[#This Row],[24Final]])/Sales[[#This Row],[24Final]]</f>
        <v>-0.12419470293486042</v>
      </c>
      <c r="CL302">
        <f>VLOOKUP(Sales[[#This Row],[TNbhd]],Lookups!$M$3:$P$5,4,FALSE)</f>
        <v>0.99970000000000003</v>
      </c>
      <c r="CM302">
        <f>VLOOKUP(Sales[[#This Row],[Qlty]],Lookups!$M$8:$P$22,4,FALSE)</f>
        <v>1.0022</v>
      </c>
      <c r="CN302">
        <f>VLOOKUP(Sales[[#This Row],[Cnd]],Lookups!$R$8:$U$17,4,FALSE)</f>
        <v>0.997</v>
      </c>
      <c r="CO302">
        <f>VLOOKUP(Sales[[#This Row],[LivArea Range]],Lookups!$R$25:$U$43,4,FALSE)</f>
        <v>0.99519999999999997</v>
      </c>
      <c r="CP302">
        <f>VLOOKUP(Sales[[#This Row],[Decade]],Lookups!$M$24:$P$40,4,FALSE)</f>
        <v>0.98519999999999996</v>
      </c>
      <c r="CQ302">
        <f>Sales[[#This Row],[Nbhd Adj]]*0.95</f>
        <v>0.94971499999999998</v>
      </c>
      <c r="CR302">
        <f>Sales[[#This Row],[Nbhd Adj]]*Sales[[#This Row],[Quality Adj]]*Sales[[#This Row],[Condition Adj]]*Sales[[#This Row],[Living Area Adj]]*Sales[[#This Row],[Decade Adj]]*0.95</f>
        <v>0.93041697360144238</v>
      </c>
      <c r="CS302">
        <f>ROUND(SUM(Sales[[#This Row],[Mdl Qlty]:[Mdl BltinGar]])+Sales[[#This Row],[Mdl Res Intercept]]*Sales[[#This Row],[Res Adj ]],-2)</f>
        <v>216000</v>
      </c>
      <c r="CT302">
        <f>ROUND(Sales[[#This Row],[25Det]]*Sales[[#This Row],[Det/Nbhd Adj]],-2)</f>
        <v>0</v>
      </c>
      <c r="CU302">
        <f>Sales[[#This Row],[Adjusted Res]]+Sales[[#This Row],[Adj Det ]]</f>
        <v>216000</v>
      </c>
      <c r="CV302">
        <f>ROUND((Sales[[#This Row],[Mdl Land Intercept]]+Sales[[#This Row],[Mdl LnAcres]])*Sales[[#This Row],[Det/Nbhd Adj]],-2)</f>
        <v>66600</v>
      </c>
      <c r="CW302">
        <f>Sales[[#This Row],[Adjusted Impr Total]]+Sales[[#This Row],[Adjusted Land Total]]</f>
        <v>282600</v>
      </c>
      <c r="CX302" s="10">
        <f>IFERROR((Sales[[#This Row],[Adjusted Impr Total]]-Sales[[#This Row],[24Bldg]])/Sales[[#This Row],[24Bldg]],0)</f>
        <v>1.7428167687235045E-2</v>
      </c>
      <c r="CY302" s="10">
        <f>(Sales[[#This Row],[Adjusted Land Total]]-Sales[[#This Row],[24Lnd]])/Sales[[#This Row],[24Lnd]]</f>
        <v>-7.4515648286140089E-3</v>
      </c>
      <c r="CZ302">
        <f>(Sales[[#This Row],[Adjusted Total]]-Sales[[#This Row],[24Final]])/Sales[[#This Row],[24Final]]</f>
        <v>1.1453113815318539E-2</v>
      </c>
      <c r="DA302" s="10">
        <f>(Sales[[#This Row],[Adjusted Total]]+Sales[[#This Row],[Days Prior Total]])/Sales[[#This Row],[Price]]</f>
        <v>0.89540059756370649</v>
      </c>
    </row>
    <row r="303" spans="1:105">
      <c r="A303">
        <v>2025</v>
      </c>
      <c r="B303">
        <v>19120131490</v>
      </c>
      <c r="C303">
        <v>-1.3862943611198906</v>
      </c>
      <c r="D303">
        <v>0.25</v>
      </c>
      <c r="E303">
        <v>11098</v>
      </c>
      <c r="F303">
        <v>2</v>
      </c>
      <c r="G303" t="s">
        <v>155</v>
      </c>
      <c r="H303">
        <v>317</v>
      </c>
      <c r="I303" t="s">
        <v>5</v>
      </c>
      <c r="J303" t="s">
        <v>212</v>
      </c>
      <c r="K303">
        <v>11</v>
      </c>
      <c r="L303">
        <v>259</v>
      </c>
      <c r="M303" t="s">
        <v>193</v>
      </c>
      <c r="N303" t="s">
        <v>15</v>
      </c>
      <c r="O303" t="s">
        <v>18</v>
      </c>
      <c r="P303">
        <v>1974</v>
      </c>
      <c r="Q303">
        <v>1979</v>
      </c>
      <c r="R303">
        <v>50</v>
      </c>
      <c r="S303">
        <v>50</v>
      </c>
      <c r="T303">
        <v>45</v>
      </c>
      <c r="U303">
        <v>1</v>
      </c>
      <c r="V303">
        <v>1025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1025</v>
      </c>
      <c r="AC303">
        <v>1500</v>
      </c>
      <c r="AD303">
        <v>1</v>
      </c>
      <c r="AE303" t="s">
        <v>56</v>
      </c>
      <c r="AF303" t="s">
        <v>331</v>
      </c>
      <c r="AG303" t="s">
        <v>27</v>
      </c>
      <c r="AH303" t="s">
        <v>56</v>
      </c>
      <c r="AI303">
        <v>0</v>
      </c>
      <c r="AJ303">
        <v>0</v>
      </c>
      <c r="AK303">
        <v>1</v>
      </c>
      <c r="AL303">
        <v>0</v>
      </c>
      <c r="AM303">
        <v>0</v>
      </c>
      <c r="AN303">
        <v>5</v>
      </c>
      <c r="AO303">
        <v>288</v>
      </c>
      <c r="AP303">
        <v>0</v>
      </c>
      <c r="AQ303">
        <v>0</v>
      </c>
      <c r="AR303">
        <v>0</v>
      </c>
      <c r="AS303">
        <v>264</v>
      </c>
      <c r="AT303">
        <v>264</v>
      </c>
      <c r="AU303">
        <v>100</v>
      </c>
      <c r="AV303">
        <v>100</v>
      </c>
      <c r="AW303">
        <v>158935</v>
      </c>
      <c r="AX303">
        <v>123969</v>
      </c>
      <c r="AY303">
        <v>320</v>
      </c>
      <c r="AZ303">
        <v>320</v>
      </c>
      <c r="BA303">
        <v>0</v>
      </c>
      <c r="BB303">
        <v>0</v>
      </c>
      <c r="BC303" s="2">
        <v>44972</v>
      </c>
      <c r="BD303" t="s">
        <v>468</v>
      </c>
      <c r="BE303">
        <v>270000</v>
      </c>
      <c r="BF303">
        <v>270000</v>
      </c>
      <c r="BG303" t="s">
        <v>160</v>
      </c>
      <c r="BH303">
        <v>30</v>
      </c>
      <c r="BI303" t="s">
        <v>56</v>
      </c>
      <c r="BJ303" t="s">
        <v>161</v>
      </c>
      <c r="BK303">
        <v>269200</v>
      </c>
      <c r="BL303">
        <v>67100</v>
      </c>
      <c r="BM303">
        <v>202100</v>
      </c>
      <c r="BN303">
        <v>0</v>
      </c>
      <c r="BO303">
        <v>291896.19995652861</v>
      </c>
      <c r="BP303">
        <v>288857.01255374774</v>
      </c>
      <c r="BQ303">
        <f>(Sales[[#This Row],[DP1]]*Lookups!$B$61)+(Sales[[#This Row],[DP2]]*Lookups!$B$62)+(Sales[[#This Row],[DP3]]*Lookups!$B$63)</f>
        <v>3039.1873919999998</v>
      </c>
      <c r="BR303">
        <f>Lookups!$B$58*0.6</f>
        <v>132535.48800000001</v>
      </c>
      <c r="BS303">
        <f>Lookups!$B$58*0.4</f>
        <v>88356.992000000013</v>
      </c>
      <c r="BT303">
        <f>Lookups!$B$59*Sales[[#This Row],[LnAcres]]</f>
        <v>-18194.172195827363</v>
      </c>
      <c r="BU303">
        <f>VLOOKUP(Sales[[#This Row],[Qlty]],Lookups!$A$66:$E$79,2,FALSE)</f>
        <v>-1240.8083630000001</v>
      </c>
      <c r="BV303">
        <f>VLOOKUP(Sales[[#This Row],[Cnd]],Lookups!$A$80:$E$91,2,FALSE)</f>
        <v>17761.121909000001</v>
      </c>
      <c r="BW303">
        <f>Sales[[#This Row],[EffAge]]*Lookups!$B$65</f>
        <v>-4893.3495000000003</v>
      </c>
      <c r="BX303">
        <f>Sales[[#This Row],[MainFn]]*Lookups!$B$90</f>
        <v>63970.639500000005</v>
      </c>
      <c r="BY303">
        <f>Sales[[#This Row],[UpprFn]]*Lookups!$B$91</f>
        <v>0</v>
      </c>
      <c r="BZ303">
        <f>Sales[[#This Row],[Bsmt]]*Lookups!$B$95</f>
        <v>0</v>
      </c>
      <c r="CA303">
        <f>VLOOKUP(Sales[[#This Row],[MsnryTrim]],Lookups!$A$90:$E$99,2,FALSE)</f>
        <v>-9412.7029999999995</v>
      </c>
      <c r="CB303">
        <f>Sales[[#This Row],[PrefabFP]]*Lookups!$B$92</f>
        <v>9807.1044999999995</v>
      </c>
      <c r="CC303">
        <f>Sales[[#This Row],[AttGar]]*Lookups!$B$93</f>
        <v>10166.696928000001</v>
      </c>
      <c r="CD303">
        <f>Sales[[#This Row],[BltinGar]]*Lookups!$B$94</f>
        <v>0</v>
      </c>
      <c r="CE303">
        <f>SUM(Sales[[#This Row],[Days Prior Total]:[Mdl BltinGar]])</f>
        <v>291896.19717017276</v>
      </c>
      <c r="CF303">
        <f>ROUND(Sales[[#This Row],[25Det]],-2)</f>
        <v>0</v>
      </c>
      <c r="CG303">
        <f>ROUND(SUM(Sales[[#This Row],[Mdl Qlty]:[Mdl BltinGar]])+Sales[[#This Row],[Mdl Res Intercept]]+Sales[[#This Row],[Days Prior Total]],-2)</f>
        <v>221700</v>
      </c>
      <c r="CH303">
        <f>ROUND(Sales[[#This Row],[Mdl Land Intercept]]+Sales[[#This Row],[Mdl LnAcres]],-2)</f>
        <v>70200</v>
      </c>
      <c r="CI303">
        <f>Sales[[#This Row],[Unadj Res Value]]+Sales[[#This Row],[Unadj Det Value]]+Sales[[#This Row],[Unadj Land Value]]</f>
        <v>291900</v>
      </c>
      <c r="CJ303" s="10">
        <f>Sales[[#This Row],[Price]]/Sales[[#This Row],[Unadj Total Value]]</f>
        <v>0.92497430626927035</v>
      </c>
      <c r="CK303" s="10">
        <f>(Sales[[#This Row],[Unadj Total Value]]-Sales[[#This Row],[24Final]])/Sales[[#This Row],[24Final]]</f>
        <v>8.4323922734026752E-2</v>
      </c>
      <c r="CL303">
        <f>VLOOKUP(Sales[[#This Row],[TNbhd]],Lookups!$M$3:$P$5,4,FALSE)</f>
        <v>0.99970000000000003</v>
      </c>
      <c r="CM303">
        <f>VLOOKUP(Sales[[#This Row],[Qlty]],Lookups!$M$8:$P$22,4,FALSE)</f>
        <v>1.0022</v>
      </c>
      <c r="CN303">
        <f>VLOOKUP(Sales[[#This Row],[Cnd]],Lookups!$R$8:$U$17,4,FALSE)</f>
        <v>0.99680000000000002</v>
      </c>
      <c r="CO303">
        <f>VLOOKUP(Sales[[#This Row],[LivArea Range]],Lookups!$R$25:$U$43,4,FALSE)</f>
        <v>0.99519999999999997</v>
      </c>
      <c r="CP303">
        <f>VLOOKUP(Sales[[#This Row],[Decade]],Lookups!$M$24:$P$40,4,FALSE)</f>
        <v>0.98519999999999996</v>
      </c>
      <c r="CQ303">
        <f>Sales[[#This Row],[Nbhd Adj]]*0.95</f>
        <v>0.94971499999999998</v>
      </c>
      <c r="CR303">
        <f>Sales[[#This Row],[Nbhd Adj]]*Sales[[#This Row],[Quality Adj]]*Sales[[#This Row],[Condition Adj]]*Sales[[#This Row],[Living Area Adj]]*Sales[[#This Row],[Decade Adj]]*0.95</f>
        <v>0.93023033027674784</v>
      </c>
      <c r="CS303">
        <f>ROUND(SUM(Sales[[#This Row],[Mdl Qlty]:[Mdl BltinGar]])+Sales[[#This Row],[Mdl Res Intercept]]*Sales[[#This Row],[Res Adj ]],-2)</f>
        <v>209400</v>
      </c>
      <c r="CT303">
        <f>ROUND(Sales[[#This Row],[25Det]]*Sales[[#This Row],[Det/Nbhd Adj]],-2)</f>
        <v>0</v>
      </c>
      <c r="CU303">
        <f>Sales[[#This Row],[Adjusted Res]]+Sales[[#This Row],[Adj Det ]]</f>
        <v>209400</v>
      </c>
      <c r="CV303">
        <f>ROUND((Sales[[#This Row],[Mdl Land Intercept]]+Sales[[#This Row],[Mdl LnAcres]])*Sales[[#This Row],[Det/Nbhd Adj]],-2)</f>
        <v>66600</v>
      </c>
      <c r="CW303">
        <f>Sales[[#This Row],[Adjusted Impr Total]]+Sales[[#This Row],[Adjusted Land Total]]</f>
        <v>276000</v>
      </c>
      <c r="CX303" s="10">
        <f>IFERROR((Sales[[#This Row],[Adjusted Impr Total]]-Sales[[#This Row],[24Bldg]])/Sales[[#This Row],[24Bldg]],0)</f>
        <v>3.6120732310737258E-2</v>
      </c>
      <c r="CY303" s="10">
        <f>(Sales[[#This Row],[Adjusted Land Total]]-Sales[[#This Row],[24Lnd]])/Sales[[#This Row],[24Lnd]]</f>
        <v>-7.4515648286140089E-3</v>
      </c>
      <c r="CZ303">
        <f>(Sales[[#This Row],[Adjusted Total]]-Sales[[#This Row],[24Final]])/Sales[[#This Row],[24Final]]</f>
        <v>2.5260029717682021E-2</v>
      </c>
      <c r="DA303" s="10">
        <f>(Sales[[#This Row],[Adjusted Total]]+Sales[[#This Row],[Days Prior Total]])/Sales[[#This Row],[Price]]</f>
        <v>1.0334784718222223</v>
      </c>
    </row>
    <row r="304" spans="1:105">
      <c r="A304">
        <v>2025</v>
      </c>
      <c r="B304">
        <v>19120131476</v>
      </c>
      <c r="C304">
        <v>-1.3470736479666092</v>
      </c>
      <c r="D304">
        <v>0.26</v>
      </c>
      <c r="E304">
        <v>11199</v>
      </c>
      <c r="F304">
        <v>2</v>
      </c>
      <c r="G304" t="s">
        <v>155</v>
      </c>
      <c r="H304">
        <v>317</v>
      </c>
      <c r="I304" t="s">
        <v>5</v>
      </c>
      <c r="J304" t="s">
        <v>212</v>
      </c>
      <c r="K304">
        <v>11</v>
      </c>
      <c r="L304">
        <v>259</v>
      </c>
      <c r="M304" t="s">
        <v>193</v>
      </c>
      <c r="N304" t="s">
        <v>17</v>
      </c>
      <c r="O304" t="s">
        <v>18</v>
      </c>
      <c r="P304">
        <v>1973</v>
      </c>
      <c r="Q304">
        <v>1978</v>
      </c>
      <c r="R304">
        <v>60</v>
      </c>
      <c r="S304">
        <v>51</v>
      </c>
      <c r="T304">
        <v>46</v>
      </c>
      <c r="U304">
        <v>1</v>
      </c>
      <c r="V304">
        <v>1411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1411</v>
      </c>
      <c r="AC304">
        <v>1500</v>
      </c>
      <c r="AD304">
        <v>0</v>
      </c>
      <c r="AE304" t="s">
        <v>56</v>
      </c>
      <c r="AF304" t="s">
        <v>331</v>
      </c>
      <c r="AG304" t="s">
        <v>27</v>
      </c>
      <c r="AH304" t="s">
        <v>161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5</v>
      </c>
      <c r="AO304">
        <v>0</v>
      </c>
      <c r="AP304">
        <v>0</v>
      </c>
      <c r="AQ304">
        <v>0</v>
      </c>
      <c r="AR304">
        <v>0</v>
      </c>
      <c r="AS304">
        <v>405</v>
      </c>
      <c r="AT304">
        <v>0</v>
      </c>
      <c r="AU304">
        <v>100</v>
      </c>
      <c r="AV304">
        <v>100</v>
      </c>
      <c r="AW304">
        <v>197744</v>
      </c>
      <c r="AX304">
        <v>152263</v>
      </c>
      <c r="AY304">
        <v>801</v>
      </c>
      <c r="AZ304">
        <v>365</v>
      </c>
      <c r="BA304">
        <v>365</v>
      </c>
      <c r="BB304">
        <v>71</v>
      </c>
      <c r="BC304" s="2">
        <v>44491</v>
      </c>
      <c r="BD304" t="s">
        <v>469</v>
      </c>
      <c r="BE304">
        <v>282000</v>
      </c>
      <c r="BF304">
        <v>282000</v>
      </c>
      <c r="BG304" t="s">
        <v>160</v>
      </c>
      <c r="BH304">
        <v>30</v>
      </c>
      <c r="BI304" t="s">
        <v>56</v>
      </c>
      <c r="BJ304" t="s">
        <v>161</v>
      </c>
      <c r="BK304">
        <v>294400</v>
      </c>
      <c r="BL304">
        <v>67600</v>
      </c>
      <c r="BM304">
        <v>226800</v>
      </c>
      <c r="BN304">
        <v>0</v>
      </c>
      <c r="BO304">
        <v>281582.9145183104</v>
      </c>
      <c r="BP304">
        <v>318992.19631933287</v>
      </c>
      <c r="BQ304">
        <f>(Sales[[#This Row],[DP1]]*Lookups!$B$61)+(Sales[[#This Row],[DP2]]*Lookups!$B$62)+(Sales[[#This Row],[DP3]]*Lookups!$B$63)</f>
        <v>-37409.280031000002</v>
      </c>
      <c r="BR304">
        <f>Lookups!$B$58*0.6</f>
        <v>132535.48800000001</v>
      </c>
      <c r="BS304">
        <f>Lookups!$B$58*0.4</f>
        <v>88356.992000000013</v>
      </c>
      <c r="BT304">
        <f>Lookups!$B$59*Sales[[#This Row],[LnAcres]]</f>
        <v>-17679.426966554776</v>
      </c>
      <c r="BU304">
        <f>VLOOKUP(Sales[[#This Row],[Qlty]],Lookups!$A$66:$E$79,2,FALSE)</f>
        <v>24371.765965999999</v>
      </c>
      <c r="BV304">
        <f>VLOOKUP(Sales[[#This Row],[Cnd]],Lookups!$A$80:$E$91,2,FALSE)</f>
        <v>17761.121909000001</v>
      </c>
      <c r="BW304">
        <f>Sales[[#This Row],[EffAge]]*Lookups!$B$65</f>
        <v>-5002.0906000000004</v>
      </c>
      <c r="BX304">
        <f>Sales[[#This Row],[MainFn]]*Lookups!$B$90</f>
        <v>88061.046180000005</v>
      </c>
      <c r="BY304">
        <f>Sales[[#This Row],[UpprFn]]*Lookups!$B$91</f>
        <v>0</v>
      </c>
      <c r="BZ304">
        <f>Sales[[#This Row],[Bsmt]]*Lookups!$B$95</f>
        <v>0</v>
      </c>
      <c r="CA304">
        <f>VLOOKUP(Sales[[#This Row],[MsnryTrim]],Lookups!$A$90:$E$99,2,FALSE)</f>
        <v>-9412.7029999999995</v>
      </c>
      <c r="CB304">
        <f>Sales[[#This Row],[PrefabFP]]*Lookups!$B$92</f>
        <v>0</v>
      </c>
      <c r="CC304">
        <f>Sales[[#This Row],[AttGar]]*Lookups!$B$93</f>
        <v>0</v>
      </c>
      <c r="CD304">
        <f>Sales[[#This Row],[BltinGar]]*Lookups!$B$94</f>
        <v>0</v>
      </c>
      <c r="CE304">
        <f>SUM(Sales[[#This Row],[Days Prior Total]:[Mdl BltinGar]])</f>
        <v>281582.91345744528</v>
      </c>
      <c r="CF304">
        <f>ROUND(Sales[[#This Row],[25Det]],-2)</f>
        <v>0</v>
      </c>
      <c r="CG304">
        <f>ROUND(SUM(Sales[[#This Row],[Mdl Qlty]:[Mdl BltinGar]])+Sales[[#This Row],[Mdl Res Intercept]]+Sales[[#This Row],[Days Prior Total]],-2)</f>
        <v>210900</v>
      </c>
      <c r="CH304">
        <f>ROUND(Sales[[#This Row],[Mdl Land Intercept]]+Sales[[#This Row],[Mdl LnAcres]],-2)</f>
        <v>70700</v>
      </c>
      <c r="CI304">
        <f>Sales[[#This Row],[Unadj Res Value]]+Sales[[#This Row],[Unadj Det Value]]+Sales[[#This Row],[Unadj Land Value]]</f>
        <v>281600</v>
      </c>
      <c r="CJ304" s="10">
        <f>Sales[[#This Row],[Price]]/Sales[[#This Row],[Unadj Total Value]]</f>
        <v>1.0014204545454546</v>
      </c>
      <c r="CK304" s="10">
        <f>(Sales[[#This Row],[Unadj Total Value]]-Sales[[#This Row],[24Final]])/Sales[[#This Row],[24Final]]</f>
        <v>-4.3478260869565216E-2</v>
      </c>
      <c r="CL304">
        <f>VLOOKUP(Sales[[#This Row],[TNbhd]],Lookups!$M$3:$P$5,4,FALSE)</f>
        <v>0.99970000000000003</v>
      </c>
      <c r="CM304">
        <f>VLOOKUP(Sales[[#This Row],[Qlty]],Lookups!$M$8:$P$22,4,FALSE)</f>
        <v>0.99199999999999999</v>
      </c>
      <c r="CN304">
        <f>VLOOKUP(Sales[[#This Row],[Cnd]],Lookups!$R$8:$U$17,4,FALSE)</f>
        <v>0.99680000000000002</v>
      </c>
      <c r="CO304">
        <f>VLOOKUP(Sales[[#This Row],[LivArea Range]],Lookups!$R$25:$U$43,4,FALSE)</f>
        <v>0.99519999999999997</v>
      </c>
      <c r="CP304">
        <f>VLOOKUP(Sales[[#This Row],[Decade]],Lookups!$M$24:$P$40,4,FALSE)</f>
        <v>1.0362</v>
      </c>
      <c r="CQ304">
        <f>Sales[[#This Row],[Nbhd Adj]]*0.95</f>
        <v>0.94971499999999998</v>
      </c>
      <c r="CR304">
        <f>Sales[[#This Row],[Nbhd Adj]]*Sales[[#This Row],[Quality Adj]]*Sales[[#This Row],[Condition Adj]]*Sales[[#This Row],[Living Area Adj]]*Sales[[#This Row],[Decade Adj]]*0.95</f>
        <v>0.9684271449004882</v>
      </c>
      <c r="CS304">
        <f>ROUND(SUM(Sales[[#This Row],[Mdl Qlty]:[Mdl BltinGar]])+Sales[[#This Row],[Mdl Res Intercept]]*Sales[[#This Row],[Res Adj ]],-2)</f>
        <v>244100</v>
      </c>
      <c r="CT304">
        <f>ROUND(Sales[[#This Row],[25Det]]*Sales[[#This Row],[Det/Nbhd Adj]],-2)</f>
        <v>0</v>
      </c>
      <c r="CU304">
        <f>Sales[[#This Row],[Adjusted Res]]+Sales[[#This Row],[Adj Det ]]</f>
        <v>244100</v>
      </c>
      <c r="CV304">
        <f>ROUND((Sales[[#This Row],[Mdl Land Intercept]]+Sales[[#This Row],[Mdl LnAcres]])*Sales[[#This Row],[Det/Nbhd Adj]],-2)</f>
        <v>67100</v>
      </c>
      <c r="CW304">
        <f>Sales[[#This Row],[Adjusted Impr Total]]+Sales[[#This Row],[Adjusted Land Total]]</f>
        <v>311200</v>
      </c>
      <c r="CX304" s="10">
        <f>IFERROR((Sales[[#This Row],[Adjusted Impr Total]]-Sales[[#This Row],[24Bldg]])/Sales[[#This Row],[24Bldg]],0)</f>
        <v>7.6278659611992941E-2</v>
      </c>
      <c r="CY304" s="10">
        <f>(Sales[[#This Row],[Adjusted Land Total]]-Sales[[#This Row],[24Lnd]])/Sales[[#This Row],[24Lnd]]</f>
        <v>-7.3964497041420114E-3</v>
      </c>
      <c r="CZ304">
        <f>(Sales[[#This Row],[Adjusted Total]]-Sales[[#This Row],[24Final]])/Sales[[#This Row],[24Final]]</f>
        <v>5.7065217391304345E-2</v>
      </c>
      <c r="DA304" s="10">
        <f>(Sales[[#This Row],[Adjusted Total]]+Sales[[#This Row],[Days Prior Total]])/Sales[[#This Row],[Price]]</f>
        <v>0.97088907790425516</v>
      </c>
    </row>
    <row r="305" spans="1:105">
      <c r="A305">
        <v>2025</v>
      </c>
      <c r="B305">
        <v>19120131468</v>
      </c>
      <c r="C305">
        <v>-1.4696759700589417</v>
      </c>
      <c r="D305">
        <v>0.23</v>
      </c>
      <c r="E305">
        <v>9878</v>
      </c>
      <c r="F305">
        <v>2</v>
      </c>
      <c r="G305" t="s">
        <v>155</v>
      </c>
      <c r="H305">
        <v>317</v>
      </c>
      <c r="I305" t="s">
        <v>5</v>
      </c>
      <c r="J305" t="s">
        <v>212</v>
      </c>
      <c r="K305">
        <v>11</v>
      </c>
      <c r="L305">
        <v>259</v>
      </c>
      <c r="M305" t="s">
        <v>193</v>
      </c>
      <c r="N305" t="s">
        <v>13</v>
      </c>
      <c r="O305" t="s">
        <v>18</v>
      </c>
      <c r="P305">
        <v>1972</v>
      </c>
      <c r="Q305">
        <v>1978</v>
      </c>
      <c r="R305">
        <v>60</v>
      </c>
      <c r="S305">
        <v>52</v>
      </c>
      <c r="T305">
        <v>46</v>
      </c>
      <c r="U305">
        <v>1</v>
      </c>
      <c r="V305">
        <v>1344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1344</v>
      </c>
      <c r="AC305">
        <v>1500</v>
      </c>
      <c r="AD305">
        <v>0</v>
      </c>
      <c r="AE305" t="s">
        <v>56</v>
      </c>
      <c r="AF305" t="s">
        <v>466</v>
      </c>
      <c r="AG305" t="s">
        <v>27</v>
      </c>
      <c r="AH305" t="s">
        <v>56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5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100</v>
      </c>
      <c r="AV305">
        <v>100</v>
      </c>
      <c r="AW305">
        <v>161734</v>
      </c>
      <c r="AX305">
        <v>124535</v>
      </c>
      <c r="AY305">
        <v>825</v>
      </c>
      <c r="AZ305">
        <v>365</v>
      </c>
      <c r="BA305">
        <v>365</v>
      </c>
      <c r="BB305">
        <v>95</v>
      </c>
      <c r="BC305" s="2">
        <v>44467</v>
      </c>
      <c r="BD305" t="s">
        <v>470</v>
      </c>
      <c r="BE305">
        <v>245000</v>
      </c>
      <c r="BF305">
        <v>245000</v>
      </c>
      <c r="BG305" t="s">
        <v>160</v>
      </c>
      <c r="BH305">
        <v>30</v>
      </c>
      <c r="BI305" t="s">
        <v>56</v>
      </c>
      <c r="BJ305" t="s">
        <v>161</v>
      </c>
      <c r="BK305">
        <v>264500</v>
      </c>
      <c r="BL305">
        <v>65900</v>
      </c>
      <c r="BM305">
        <v>198600</v>
      </c>
      <c r="BN305">
        <v>0</v>
      </c>
      <c r="BO305">
        <v>245924.59507189234</v>
      </c>
      <c r="BP305">
        <v>288829.86267903016</v>
      </c>
      <c r="BQ305">
        <f>(Sales[[#This Row],[DP1]]*Lookups!$B$61)+(Sales[[#This Row],[DP2]]*Lookups!$B$62)+(Sales[[#This Row],[DP3]]*Lookups!$B$63)</f>
        <v>-42905.265631000002</v>
      </c>
      <c r="BR305">
        <f>Lookups!$B$58*0.6</f>
        <v>132535.48800000001</v>
      </c>
      <c r="BS305">
        <f>Lookups!$B$58*0.4</f>
        <v>88356.992000000013</v>
      </c>
      <c r="BT305">
        <f>Lookups!$B$59*Sales[[#This Row],[LnAcres]]</f>
        <v>-19288.499197039939</v>
      </c>
      <c r="BU305">
        <f>VLOOKUP(Sales[[#This Row],[Qlty]],Lookups!$A$66:$E$79,2,FALSE)</f>
        <v>0</v>
      </c>
      <c r="BV305">
        <f>VLOOKUP(Sales[[#This Row],[Cnd]],Lookups!$A$80:$E$91,2,FALSE)</f>
        <v>17761.121909000001</v>
      </c>
      <c r="BW305">
        <f>Sales[[#This Row],[EffAge]]*Lookups!$B$65</f>
        <v>-5002.0906000000004</v>
      </c>
      <c r="BX305">
        <f>Sales[[#This Row],[MainFn]]*Lookups!$B$90</f>
        <v>83879.550719999999</v>
      </c>
      <c r="BY305">
        <f>Sales[[#This Row],[UpprFn]]*Lookups!$B$91</f>
        <v>0</v>
      </c>
      <c r="BZ305">
        <f>Sales[[#This Row],[Bsmt]]*Lookups!$B$95</f>
        <v>0</v>
      </c>
      <c r="CA305">
        <f>VLOOKUP(Sales[[#This Row],[MsnryTrim]],Lookups!$A$90:$E$99,2,FALSE)</f>
        <v>-9412.7029999999995</v>
      </c>
      <c r="CB305">
        <f>Sales[[#This Row],[PrefabFP]]*Lookups!$B$92</f>
        <v>0</v>
      </c>
      <c r="CC305">
        <f>Sales[[#This Row],[AttGar]]*Lookups!$B$93</f>
        <v>0</v>
      </c>
      <c r="CD305">
        <f>Sales[[#This Row],[BltinGar]]*Lookups!$B$94</f>
        <v>0</v>
      </c>
      <c r="CE305">
        <f>SUM(Sales[[#This Row],[Days Prior Total]:[Mdl BltinGar]])</f>
        <v>245924.5942009601</v>
      </c>
      <c r="CF305">
        <f>ROUND(Sales[[#This Row],[25Det]],-2)</f>
        <v>0</v>
      </c>
      <c r="CG305">
        <f>ROUND(SUM(Sales[[#This Row],[Mdl Qlty]:[Mdl BltinGar]])+Sales[[#This Row],[Mdl Res Intercept]]+Sales[[#This Row],[Days Prior Total]],-2)</f>
        <v>176900</v>
      </c>
      <c r="CH305">
        <f>ROUND(Sales[[#This Row],[Mdl Land Intercept]]+Sales[[#This Row],[Mdl LnAcres]],-2)</f>
        <v>69100</v>
      </c>
      <c r="CI305">
        <f>Sales[[#This Row],[Unadj Res Value]]+Sales[[#This Row],[Unadj Det Value]]+Sales[[#This Row],[Unadj Land Value]]</f>
        <v>246000</v>
      </c>
      <c r="CJ305" s="10">
        <f>Sales[[#This Row],[Price]]/Sales[[#This Row],[Unadj Total Value]]</f>
        <v>0.99593495934959353</v>
      </c>
      <c r="CK305" s="10">
        <f>(Sales[[#This Row],[Unadj Total Value]]-Sales[[#This Row],[24Final]])/Sales[[#This Row],[24Final]]</f>
        <v>-6.9943289224952743E-2</v>
      </c>
      <c r="CL305">
        <f>VLOOKUP(Sales[[#This Row],[TNbhd]],Lookups!$M$3:$P$5,4,FALSE)</f>
        <v>0.99970000000000003</v>
      </c>
      <c r="CM305">
        <f>VLOOKUP(Sales[[#This Row],[Qlty]],Lookups!$M$8:$P$22,4,FALSE)</f>
        <v>1.0003</v>
      </c>
      <c r="CN305">
        <f>VLOOKUP(Sales[[#This Row],[Cnd]],Lookups!$R$8:$U$17,4,FALSE)</f>
        <v>0.99680000000000002</v>
      </c>
      <c r="CO305">
        <f>VLOOKUP(Sales[[#This Row],[LivArea Range]],Lookups!$R$25:$U$43,4,FALSE)</f>
        <v>0.99519999999999997</v>
      </c>
      <c r="CP305">
        <f>VLOOKUP(Sales[[#This Row],[Decade]],Lookups!$M$24:$P$40,4,FALSE)</f>
        <v>1.0362</v>
      </c>
      <c r="CQ305">
        <f>Sales[[#This Row],[Nbhd Adj]]*0.95</f>
        <v>0.94971499999999998</v>
      </c>
      <c r="CR305">
        <f>Sales[[#This Row],[Nbhd Adj]]*Sales[[#This Row],[Quality Adj]]*Sales[[#This Row],[Condition Adj]]*Sales[[#This Row],[Living Area Adj]]*Sales[[#This Row],[Decade Adj]]*0.95</f>
        <v>0.97652991234269992</v>
      </c>
      <c r="CS305">
        <f>ROUND(SUM(Sales[[#This Row],[Mdl Qlty]:[Mdl BltinGar]])+Sales[[#This Row],[Mdl Res Intercept]]*Sales[[#This Row],[Res Adj ]],-2)</f>
        <v>216700</v>
      </c>
      <c r="CT305">
        <f>ROUND(Sales[[#This Row],[25Det]]*Sales[[#This Row],[Det/Nbhd Adj]],-2)</f>
        <v>0</v>
      </c>
      <c r="CU305">
        <f>Sales[[#This Row],[Adjusted Res]]+Sales[[#This Row],[Adj Det ]]</f>
        <v>216700</v>
      </c>
      <c r="CV305">
        <f>ROUND((Sales[[#This Row],[Mdl Land Intercept]]+Sales[[#This Row],[Mdl LnAcres]])*Sales[[#This Row],[Det/Nbhd Adj]],-2)</f>
        <v>65600</v>
      </c>
      <c r="CW305">
        <f>Sales[[#This Row],[Adjusted Impr Total]]+Sales[[#This Row],[Adjusted Land Total]]</f>
        <v>282300</v>
      </c>
      <c r="CX305" s="10">
        <f>IFERROR((Sales[[#This Row],[Adjusted Impr Total]]-Sales[[#This Row],[24Bldg]])/Sales[[#This Row],[24Bldg]],0)</f>
        <v>9.1137965760322251E-2</v>
      </c>
      <c r="CY305" s="10">
        <f>(Sales[[#This Row],[Adjusted Land Total]]-Sales[[#This Row],[24Lnd]])/Sales[[#This Row],[24Lnd]]</f>
        <v>-4.552352048558422E-3</v>
      </c>
      <c r="CZ305">
        <f>(Sales[[#This Row],[Adjusted Total]]-Sales[[#This Row],[24Final]])/Sales[[#This Row],[24Final]]</f>
        <v>6.7296786389413984E-2</v>
      </c>
      <c r="DA305" s="10">
        <f>(Sales[[#This Row],[Adjusted Total]]+Sales[[#This Row],[Days Prior Total]])/Sales[[#This Row],[Price]]</f>
        <v>0.97712136477142864</v>
      </c>
    </row>
    <row r="306" spans="1:105">
      <c r="A306">
        <v>2025</v>
      </c>
      <c r="B306">
        <v>19120134412</v>
      </c>
      <c r="C306">
        <v>-1.7147984280919266</v>
      </c>
      <c r="D306">
        <v>0.18</v>
      </c>
      <c r="E306">
        <v>7800</v>
      </c>
      <c r="F306">
        <v>2</v>
      </c>
      <c r="G306" t="s">
        <v>155</v>
      </c>
      <c r="H306">
        <v>317</v>
      </c>
      <c r="I306" t="s">
        <v>5</v>
      </c>
      <c r="J306" t="s">
        <v>212</v>
      </c>
      <c r="K306">
        <v>11</v>
      </c>
      <c r="L306">
        <v>259</v>
      </c>
      <c r="M306" t="s">
        <v>193</v>
      </c>
      <c r="N306" t="s">
        <v>15</v>
      </c>
      <c r="O306" t="s">
        <v>18</v>
      </c>
      <c r="P306">
        <v>1965</v>
      </c>
      <c r="Q306">
        <v>1976</v>
      </c>
      <c r="R306">
        <v>60</v>
      </c>
      <c r="S306">
        <v>59</v>
      </c>
      <c r="T306">
        <v>48</v>
      </c>
      <c r="U306">
        <v>1</v>
      </c>
      <c r="V306">
        <v>1216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1216</v>
      </c>
      <c r="AC306">
        <v>1500</v>
      </c>
      <c r="AD306">
        <v>0</v>
      </c>
      <c r="AE306" t="s">
        <v>56</v>
      </c>
      <c r="AF306" t="s">
        <v>331</v>
      </c>
      <c r="AG306" t="s">
        <v>21</v>
      </c>
      <c r="AH306" t="s">
        <v>56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5</v>
      </c>
      <c r="AO306">
        <v>0</v>
      </c>
      <c r="AP306">
        <v>0</v>
      </c>
      <c r="AQ306">
        <v>0</v>
      </c>
      <c r="AR306">
        <v>0</v>
      </c>
      <c r="AS306">
        <v>160</v>
      </c>
      <c r="AT306">
        <v>160</v>
      </c>
      <c r="AU306">
        <v>100</v>
      </c>
      <c r="AV306">
        <v>100</v>
      </c>
      <c r="AW306">
        <v>160011</v>
      </c>
      <c r="AX306">
        <v>118408</v>
      </c>
      <c r="AY306">
        <v>753</v>
      </c>
      <c r="AZ306">
        <v>365</v>
      </c>
      <c r="BA306">
        <v>365</v>
      </c>
      <c r="BB306">
        <v>23</v>
      </c>
      <c r="BC306" s="2">
        <v>44539</v>
      </c>
      <c r="BD306" t="s">
        <v>471</v>
      </c>
      <c r="BE306">
        <v>230000</v>
      </c>
      <c r="BF306">
        <v>223638</v>
      </c>
      <c r="BG306" t="s">
        <v>160</v>
      </c>
      <c r="BH306">
        <v>30</v>
      </c>
      <c r="BI306" t="s">
        <v>56</v>
      </c>
      <c r="BJ306" t="s">
        <v>161</v>
      </c>
      <c r="BK306">
        <v>258800</v>
      </c>
      <c r="BL306">
        <v>62500</v>
      </c>
      <c r="BM306">
        <v>196300</v>
      </c>
      <c r="BN306">
        <v>6362</v>
      </c>
      <c r="BO306">
        <v>249748.66743173086</v>
      </c>
      <c r="BP306">
        <v>276165.97762052249</v>
      </c>
      <c r="BQ306">
        <f>(Sales[[#This Row],[DP1]]*Lookups!$B$61)+(Sales[[#This Row],[DP2]]*Lookups!$B$62)+(Sales[[#This Row],[DP3]]*Lookups!$B$63)</f>
        <v>-26417.308830999998</v>
      </c>
      <c r="BR306">
        <f>Lookups!$B$58*0.6</f>
        <v>132535.48800000001</v>
      </c>
      <c r="BS306">
        <f>Lookups!$B$58*0.4</f>
        <v>88356.992000000013</v>
      </c>
      <c r="BT306">
        <f>Lookups!$B$59*Sales[[#This Row],[LnAcres]]</f>
        <v>-22505.565020573864</v>
      </c>
      <c r="BU306">
        <f>VLOOKUP(Sales[[#This Row],[Qlty]],Lookups!$A$66:$E$79,2,FALSE)</f>
        <v>-1240.8083630000001</v>
      </c>
      <c r="BV306">
        <f>VLOOKUP(Sales[[#This Row],[Cnd]],Lookups!$A$80:$E$91,2,FALSE)</f>
        <v>17761.121909000001</v>
      </c>
      <c r="BW306">
        <f>Sales[[#This Row],[EffAge]]*Lookups!$B$65</f>
        <v>-5219.5727999999999</v>
      </c>
      <c r="BX306">
        <f>Sales[[#This Row],[MainFn]]*Lookups!$B$90</f>
        <v>75891.02208000001</v>
      </c>
      <c r="BY306">
        <f>Sales[[#This Row],[UpprFn]]*Lookups!$B$91</f>
        <v>0</v>
      </c>
      <c r="BZ306">
        <f>Sales[[#This Row],[Bsmt]]*Lookups!$B$95</f>
        <v>0</v>
      </c>
      <c r="CA306">
        <f>VLOOKUP(Sales[[#This Row],[MsnryTrim]],Lookups!$A$90:$E$99,2,FALSE)</f>
        <v>-9412.7029999999995</v>
      </c>
      <c r="CB306">
        <f>Sales[[#This Row],[PrefabFP]]*Lookups!$B$92</f>
        <v>0</v>
      </c>
      <c r="CC306">
        <f>Sales[[#This Row],[AttGar]]*Lookups!$B$93</f>
        <v>0</v>
      </c>
      <c r="CD306">
        <f>Sales[[#This Row],[BltinGar]]*Lookups!$B$94</f>
        <v>0</v>
      </c>
      <c r="CE306">
        <f>SUM(Sales[[#This Row],[Days Prior Total]:[Mdl BltinGar]])</f>
        <v>249748.66597442623</v>
      </c>
      <c r="CF306">
        <f>ROUND(Sales[[#This Row],[25Det]],-2)</f>
        <v>6400</v>
      </c>
      <c r="CG306">
        <f>ROUND(SUM(Sales[[#This Row],[Mdl Qlty]:[Mdl BltinGar]])+Sales[[#This Row],[Mdl Res Intercept]]+Sales[[#This Row],[Days Prior Total]],-2)</f>
        <v>183900</v>
      </c>
      <c r="CH306">
        <f>ROUND(Sales[[#This Row],[Mdl Land Intercept]]+Sales[[#This Row],[Mdl LnAcres]],-2)</f>
        <v>65900</v>
      </c>
      <c r="CI306">
        <f>Sales[[#This Row],[Unadj Res Value]]+Sales[[#This Row],[Unadj Det Value]]+Sales[[#This Row],[Unadj Land Value]]</f>
        <v>256200</v>
      </c>
      <c r="CJ306" s="10">
        <f>Sales[[#This Row],[Price]]/Sales[[#This Row],[Unadj Total Value]]</f>
        <v>0.89773614363778298</v>
      </c>
      <c r="CK306" s="10">
        <f>(Sales[[#This Row],[Unadj Total Value]]-Sales[[#This Row],[24Final]])/Sales[[#This Row],[24Final]]</f>
        <v>-1.0046367851622875E-2</v>
      </c>
      <c r="CL306">
        <f>VLOOKUP(Sales[[#This Row],[TNbhd]],Lookups!$M$3:$P$5,4,FALSE)</f>
        <v>0.99970000000000003</v>
      </c>
      <c r="CM306">
        <f>VLOOKUP(Sales[[#This Row],[Qlty]],Lookups!$M$8:$P$22,4,FALSE)</f>
        <v>1.0022</v>
      </c>
      <c r="CN306">
        <f>VLOOKUP(Sales[[#This Row],[Cnd]],Lookups!$R$8:$U$17,4,FALSE)</f>
        <v>0.99680000000000002</v>
      </c>
      <c r="CO306">
        <f>VLOOKUP(Sales[[#This Row],[LivArea Range]],Lookups!$R$25:$U$43,4,FALSE)</f>
        <v>0.99519999999999997</v>
      </c>
      <c r="CP306">
        <f>VLOOKUP(Sales[[#This Row],[Decade]],Lookups!$M$24:$P$40,4,FALSE)</f>
        <v>1.0362</v>
      </c>
      <c r="CQ306">
        <f>Sales[[#This Row],[Nbhd Adj]]*0.95</f>
        <v>0.94971499999999998</v>
      </c>
      <c r="CR306">
        <f>Sales[[#This Row],[Nbhd Adj]]*Sales[[#This Row],[Quality Adj]]*Sales[[#This Row],[Condition Adj]]*Sales[[#This Row],[Living Area Adj]]*Sales[[#This Row],[Decade Adj]]*0.95</f>
        <v>0.97838476272103758</v>
      </c>
      <c r="CS306">
        <f>ROUND(SUM(Sales[[#This Row],[Mdl Qlty]:[Mdl BltinGar]])+Sales[[#This Row],[Mdl Res Intercept]]*Sales[[#This Row],[Res Adj ]],-2)</f>
        <v>207400</v>
      </c>
      <c r="CT306">
        <f>ROUND(Sales[[#This Row],[25Det]]*Sales[[#This Row],[Det/Nbhd Adj]],-2)</f>
        <v>6000</v>
      </c>
      <c r="CU306">
        <f>Sales[[#This Row],[Adjusted Res]]+Sales[[#This Row],[Adj Det ]]</f>
        <v>213400</v>
      </c>
      <c r="CV306">
        <f>ROUND((Sales[[#This Row],[Mdl Land Intercept]]+Sales[[#This Row],[Mdl LnAcres]])*Sales[[#This Row],[Det/Nbhd Adj]],-2)</f>
        <v>62500</v>
      </c>
      <c r="CW306">
        <f>Sales[[#This Row],[Adjusted Impr Total]]+Sales[[#This Row],[Adjusted Land Total]]</f>
        <v>275900</v>
      </c>
      <c r="CX306" s="10">
        <f>IFERROR((Sales[[#This Row],[Adjusted Impr Total]]-Sales[[#This Row],[24Bldg]])/Sales[[#This Row],[24Bldg]],0)</f>
        <v>8.7111563932755987E-2</v>
      </c>
      <c r="CY306" s="10">
        <f>(Sales[[#This Row],[Adjusted Land Total]]-Sales[[#This Row],[24Lnd]])/Sales[[#This Row],[24Lnd]]</f>
        <v>0</v>
      </c>
      <c r="CZ306">
        <f>(Sales[[#This Row],[Adjusted Total]]-Sales[[#This Row],[24Final]])/Sales[[#This Row],[24Final]]</f>
        <v>6.60741885625966E-2</v>
      </c>
      <c r="DA306" s="10">
        <f>(Sales[[#This Row],[Adjusted Total]]+Sales[[#This Row],[Days Prior Total]])/Sales[[#This Row],[Price]]</f>
        <v>1.0847073529086957</v>
      </c>
    </row>
    <row r="307" spans="1:105">
      <c r="A307">
        <v>2025</v>
      </c>
      <c r="B307">
        <v>19120143016</v>
      </c>
      <c r="C307">
        <v>-1.2729656758128873</v>
      </c>
      <c r="D307">
        <v>0.28000000000000003</v>
      </c>
      <c r="E307">
        <v>12075</v>
      </c>
      <c r="F307">
        <v>2</v>
      </c>
      <c r="G307" t="s">
        <v>155</v>
      </c>
      <c r="H307">
        <v>317</v>
      </c>
      <c r="I307" t="s">
        <v>5</v>
      </c>
      <c r="J307" t="s">
        <v>156</v>
      </c>
      <c r="K307">
        <v>11</v>
      </c>
      <c r="L307">
        <v>259</v>
      </c>
      <c r="M307" t="s">
        <v>193</v>
      </c>
      <c r="N307" t="s">
        <v>15</v>
      </c>
      <c r="O307" t="s">
        <v>20</v>
      </c>
      <c r="P307">
        <v>1960</v>
      </c>
      <c r="Q307">
        <v>1975</v>
      </c>
      <c r="R307">
        <v>70</v>
      </c>
      <c r="S307">
        <v>64</v>
      </c>
      <c r="T307">
        <v>49</v>
      </c>
      <c r="U307">
        <v>1</v>
      </c>
      <c r="V307">
        <v>1008</v>
      </c>
      <c r="W307">
        <v>0</v>
      </c>
      <c r="X307">
        <v>0</v>
      </c>
      <c r="Y307">
        <v>168</v>
      </c>
      <c r="Z307">
        <v>0</v>
      </c>
      <c r="AA307">
        <v>168</v>
      </c>
      <c r="AB307">
        <v>1176</v>
      </c>
      <c r="AC307">
        <v>1500</v>
      </c>
      <c r="AD307">
        <v>0</v>
      </c>
      <c r="AE307" t="s">
        <v>56</v>
      </c>
      <c r="AF307" t="s">
        <v>158</v>
      </c>
      <c r="AG307" t="s">
        <v>27</v>
      </c>
      <c r="AH307" t="s">
        <v>56</v>
      </c>
      <c r="AI307">
        <v>0</v>
      </c>
      <c r="AJ307">
        <v>1</v>
      </c>
      <c r="AK307">
        <v>0</v>
      </c>
      <c r="AL307">
        <v>0</v>
      </c>
      <c r="AM307">
        <v>0</v>
      </c>
      <c r="AN307">
        <v>5</v>
      </c>
      <c r="AO307">
        <v>0</v>
      </c>
      <c r="AP307">
        <v>0</v>
      </c>
      <c r="AQ307">
        <v>360</v>
      </c>
      <c r="AR307">
        <v>0</v>
      </c>
      <c r="AS307">
        <v>0</v>
      </c>
      <c r="AT307">
        <v>0</v>
      </c>
      <c r="AU307">
        <v>100</v>
      </c>
      <c r="AV307">
        <v>100</v>
      </c>
      <c r="AW307">
        <v>188386</v>
      </c>
      <c r="AX307">
        <v>148825</v>
      </c>
      <c r="AY307">
        <v>671</v>
      </c>
      <c r="AZ307">
        <v>365</v>
      </c>
      <c r="BA307">
        <v>306</v>
      </c>
      <c r="BB307">
        <v>0</v>
      </c>
      <c r="BC307" s="2">
        <v>44621</v>
      </c>
      <c r="BD307" t="s">
        <v>472</v>
      </c>
      <c r="BE307">
        <v>289900</v>
      </c>
      <c r="BF307">
        <v>271385</v>
      </c>
      <c r="BG307" t="s">
        <v>160</v>
      </c>
      <c r="BH307">
        <v>30</v>
      </c>
      <c r="BI307" t="s">
        <v>56</v>
      </c>
      <c r="BJ307" t="s">
        <v>161</v>
      </c>
      <c r="BK307">
        <v>276700</v>
      </c>
      <c r="BL307">
        <v>68700</v>
      </c>
      <c r="BM307">
        <v>208000</v>
      </c>
      <c r="BN307">
        <v>18515</v>
      </c>
      <c r="BO307">
        <v>274757.21671517979</v>
      </c>
      <c r="BP307">
        <v>291928.37086690671</v>
      </c>
      <c r="BQ307">
        <f>(Sales[[#This Row],[DP1]]*Lookups!$B$61)+(Sales[[#This Row],[DP2]]*Lookups!$B$62)+(Sales[[#This Row],[DP3]]*Lookups!$B$63)</f>
        <v>-17171.153181000001</v>
      </c>
      <c r="BR307">
        <f>Lookups!$B$58*0.6</f>
        <v>132535.48800000001</v>
      </c>
      <c r="BS307">
        <f>Lookups!$B$58*0.4</f>
        <v>88356.992000000013</v>
      </c>
      <c r="BT307">
        <f>Lookups!$B$59*Sales[[#This Row],[LnAcres]]</f>
        <v>-16706.81015135027</v>
      </c>
      <c r="BU307">
        <f>VLOOKUP(Sales[[#This Row],[Qlty]],Lookups!$A$66:$E$79,2,FALSE)</f>
        <v>-1240.8083630000001</v>
      </c>
      <c r="BV307">
        <f>VLOOKUP(Sales[[#This Row],[Cnd]],Lookups!$A$80:$E$91,2,FALSE)</f>
        <v>30300.329274</v>
      </c>
      <c r="BW307">
        <f>Sales[[#This Row],[EffAge]]*Lookups!$B$65</f>
        <v>-5328.3139000000001</v>
      </c>
      <c r="BX307">
        <f>Sales[[#This Row],[MainFn]]*Lookups!$B$90</f>
        <v>62909.663040000007</v>
      </c>
      <c r="BY307">
        <f>Sales[[#This Row],[UpprFn]]*Lookups!$B$91</f>
        <v>0</v>
      </c>
      <c r="BZ307">
        <f>Sales[[#This Row],[Bsmt]]*Lookups!$B$95</f>
        <v>10514.531327999999</v>
      </c>
      <c r="CA307">
        <f>VLOOKUP(Sales[[#This Row],[MsnryTrim]],Lookups!$A$90:$E$99,2,FALSE)</f>
        <v>-9412.7029999999995</v>
      </c>
      <c r="CB307">
        <f>Sales[[#This Row],[PrefabFP]]*Lookups!$B$92</f>
        <v>0</v>
      </c>
      <c r="CC307">
        <f>Sales[[#This Row],[AttGar]]*Lookups!$B$93</f>
        <v>0</v>
      </c>
      <c r="CD307">
        <f>Sales[[#This Row],[BltinGar]]*Lookups!$B$94</f>
        <v>0</v>
      </c>
      <c r="CE307">
        <f>SUM(Sales[[#This Row],[Days Prior Total]:[Mdl BltinGar]])</f>
        <v>274757.21504664974</v>
      </c>
      <c r="CF307">
        <f>ROUND(Sales[[#This Row],[25Det]],-2)</f>
        <v>18500</v>
      </c>
      <c r="CG307">
        <f>ROUND(SUM(Sales[[#This Row],[Mdl Qlty]:[Mdl BltinGar]])+Sales[[#This Row],[Mdl Res Intercept]]+Sales[[#This Row],[Days Prior Total]],-2)</f>
        <v>203100</v>
      </c>
      <c r="CH307">
        <f>ROUND(Sales[[#This Row],[Mdl Land Intercept]]+Sales[[#This Row],[Mdl LnAcres]],-2)</f>
        <v>71700</v>
      </c>
      <c r="CI307">
        <f>Sales[[#This Row],[Unadj Res Value]]+Sales[[#This Row],[Unadj Det Value]]+Sales[[#This Row],[Unadj Land Value]]</f>
        <v>293300</v>
      </c>
      <c r="CJ307" s="10">
        <f>Sales[[#This Row],[Price]]/Sales[[#This Row],[Unadj Total Value]]</f>
        <v>0.98840777361063759</v>
      </c>
      <c r="CK307" s="10">
        <f>(Sales[[#This Row],[Unadj Total Value]]-Sales[[#This Row],[24Final]])/Sales[[#This Row],[24Final]]</f>
        <v>5.9992771955186125E-2</v>
      </c>
      <c r="CL307">
        <f>VLOOKUP(Sales[[#This Row],[TNbhd]],Lookups!$M$3:$P$5,4,FALSE)</f>
        <v>0.99970000000000003</v>
      </c>
      <c r="CM307">
        <f>VLOOKUP(Sales[[#This Row],[Qlty]],Lookups!$M$8:$P$22,4,FALSE)</f>
        <v>1.0022</v>
      </c>
      <c r="CN307">
        <f>VLOOKUP(Sales[[#This Row],[Cnd]],Lookups!$R$8:$U$17,4,FALSE)</f>
        <v>0.997</v>
      </c>
      <c r="CO307">
        <f>VLOOKUP(Sales[[#This Row],[LivArea Range]],Lookups!$R$25:$U$43,4,FALSE)</f>
        <v>0.99519999999999997</v>
      </c>
      <c r="CP307">
        <f>VLOOKUP(Sales[[#This Row],[Decade]],Lookups!$M$24:$P$40,4,FALSE)</f>
        <v>1.0558000000000001</v>
      </c>
      <c r="CQ307">
        <f>Sales[[#This Row],[Nbhd Adj]]*0.95</f>
        <v>0.94971499999999998</v>
      </c>
      <c r="CR307">
        <f>Sales[[#This Row],[Nbhd Adj]]*Sales[[#This Row],[Quality Adj]]*Sales[[#This Row],[Condition Adj]]*Sales[[#This Row],[Living Area Adj]]*Sales[[#This Row],[Decade Adj]]*0.95</f>
        <v>0.99709119034551652</v>
      </c>
      <c r="CS307">
        <f>ROUND(SUM(Sales[[#This Row],[Mdl Qlty]:[Mdl BltinGar]])+Sales[[#This Row],[Mdl Res Intercept]]*Sales[[#This Row],[Res Adj ]],-2)</f>
        <v>219900</v>
      </c>
      <c r="CT307">
        <f>ROUND(Sales[[#This Row],[25Det]]*Sales[[#This Row],[Det/Nbhd Adj]],-2)</f>
        <v>17600</v>
      </c>
      <c r="CU307">
        <f>Sales[[#This Row],[Adjusted Res]]+Sales[[#This Row],[Adj Det ]]</f>
        <v>237500</v>
      </c>
      <c r="CV307">
        <f>ROUND((Sales[[#This Row],[Mdl Land Intercept]]+Sales[[#This Row],[Mdl LnAcres]])*Sales[[#This Row],[Det/Nbhd Adj]],-2)</f>
        <v>68000</v>
      </c>
      <c r="CW307">
        <f>Sales[[#This Row],[Adjusted Impr Total]]+Sales[[#This Row],[Adjusted Land Total]]</f>
        <v>305500</v>
      </c>
      <c r="CX307" s="10">
        <f>IFERROR((Sales[[#This Row],[Adjusted Impr Total]]-Sales[[#This Row],[24Bldg]])/Sales[[#This Row],[24Bldg]],0)</f>
        <v>0.14182692307692307</v>
      </c>
      <c r="CY307" s="10">
        <f>(Sales[[#This Row],[Adjusted Land Total]]-Sales[[#This Row],[24Lnd]])/Sales[[#This Row],[24Lnd]]</f>
        <v>-1.0189228529839884E-2</v>
      </c>
      <c r="CZ307">
        <f>(Sales[[#This Row],[Adjusted Total]]-Sales[[#This Row],[24Final]])/Sales[[#This Row],[24Final]]</f>
        <v>0.10408384531984098</v>
      </c>
      <c r="DA307" s="10">
        <f>(Sales[[#This Row],[Adjusted Total]]+Sales[[#This Row],[Days Prior Total]])/Sales[[#This Row],[Price]]</f>
        <v>0.99458036156950658</v>
      </c>
    </row>
    <row r="308" spans="1:105">
      <c r="A308">
        <v>2025</v>
      </c>
      <c r="B308">
        <v>19120142530</v>
      </c>
      <c r="C308">
        <v>-1.2729656758128873</v>
      </c>
      <c r="D308">
        <v>0.28000000000000003</v>
      </c>
      <c r="E308">
        <v>12018</v>
      </c>
      <c r="F308">
        <v>2</v>
      </c>
      <c r="G308" t="s">
        <v>155</v>
      </c>
      <c r="H308">
        <v>317</v>
      </c>
      <c r="I308" t="s">
        <v>5</v>
      </c>
      <c r="J308" t="s">
        <v>156</v>
      </c>
      <c r="K308">
        <v>11</v>
      </c>
      <c r="L308">
        <v>259</v>
      </c>
      <c r="M308" t="s">
        <v>473</v>
      </c>
      <c r="N308" t="s">
        <v>17</v>
      </c>
      <c r="O308" t="s">
        <v>20</v>
      </c>
      <c r="P308">
        <v>1958</v>
      </c>
      <c r="Q308">
        <v>1974</v>
      </c>
      <c r="R308">
        <v>70</v>
      </c>
      <c r="S308">
        <v>66</v>
      </c>
      <c r="T308">
        <v>50</v>
      </c>
      <c r="U308">
        <v>1</v>
      </c>
      <c r="V308">
        <v>1904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1904</v>
      </c>
      <c r="AC308">
        <v>2000</v>
      </c>
      <c r="AD308">
        <v>0</v>
      </c>
      <c r="AE308" t="s">
        <v>55</v>
      </c>
      <c r="AF308" t="s">
        <v>158</v>
      </c>
      <c r="AG308" t="s">
        <v>21</v>
      </c>
      <c r="AH308" t="s">
        <v>56</v>
      </c>
      <c r="AI308">
        <v>0</v>
      </c>
      <c r="AJ308">
        <v>1</v>
      </c>
      <c r="AK308">
        <v>0</v>
      </c>
      <c r="AL308">
        <v>1</v>
      </c>
      <c r="AM308">
        <v>1</v>
      </c>
      <c r="AN308">
        <v>7</v>
      </c>
      <c r="AO308">
        <v>0</v>
      </c>
      <c r="AP308">
        <v>0</v>
      </c>
      <c r="AQ308">
        <v>442</v>
      </c>
      <c r="AR308">
        <v>0</v>
      </c>
      <c r="AS308">
        <v>320</v>
      </c>
      <c r="AT308">
        <v>320</v>
      </c>
      <c r="AU308">
        <v>100</v>
      </c>
      <c r="AV308">
        <v>100</v>
      </c>
      <c r="AW308">
        <v>277835</v>
      </c>
      <c r="AX308">
        <v>216711</v>
      </c>
      <c r="AY308">
        <v>858</v>
      </c>
      <c r="AZ308">
        <v>365</v>
      </c>
      <c r="BA308">
        <v>365</v>
      </c>
      <c r="BB308">
        <v>128</v>
      </c>
      <c r="BC308" s="2">
        <v>44434</v>
      </c>
      <c r="BD308" t="s">
        <v>474</v>
      </c>
      <c r="BE308">
        <v>317500</v>
      </c>
      <c r="BF308">
        <v>307547</v>
      </c>
      <c r="BG308" t="s">
        <v>160</v>
      </c>
      <c r="BH308">
        <v>30</v>
      </c>
      <c r="BI308" t="s">
        <v>56</v>
      </c>
      <c r="BJ308" t="s">
        <v>161</v>
      </c>
      <c r="BK308">
        <v>327500</v>
      </c>
      <c r="BL308">
        <v>68700</v>
      </c>
      <c r="BM308">
        <v>258800</v>
      </c>
      <c r="BN308">
        <v>9953</v>
      </c>
      <c r="BO308">
        <v>327087.65201723384</v>
      </c>
      <c r="BP308">
        <v>377549.90010778036</v>
      </c>
      <c r="BQ308">
        <f>(Sales[[#This Row],[DP1]]*Lookups!$B$61)+(Sales[[#This Row],[DP2]]*Lookups!$B$62)+(Sales[[#This Row],[DP3]]*Lookups!$B$63)</f>
        <v>-50462.245831</v>
      </c>
      <c r="BR308">
        <f>Lookups!$B$58*0.6</f>
        <v>132535.48800000001</v>
      </c>
      <c r="BS308">
        <f>Lookups!$B$58*0.4</f>
        <v>88356.992000000013</v>
      </c>
      <c r="BT308">
        <f>Lookups!$B$59*Sales[[#This Row],[LnAcres]]</f>
        <v>-16706.81015135027</v>
      </c>
      <c r="BU308">
        <f>VLOOKUP(Sales[[#This Row],[Qlty]],Lookups!$A$66:$E$79,2,FALSE)</f>
        <v>24371.765965999999</v>
      </c>
      <c r="BV308">
        <f>VLOOKUP(Sales[[#This Row],[Cnd]],Lookups!$A$80:$E$91,2,FALSE)</f>
        <v>30300.329274</v>
      </c>
      <c r="BW308">
        <f>Sales[[#This Row],[EffAge]]*Lookups!$B$65</f>
        <v>-5437.0550000000003</v>
      </c>
      <c r="BX308">
        <f>Sales[[#This Row],[MainFn]]*Lookups!$B$90</f>
        <v>118829.36352000001</v>
      </c>
      <c r="BY308">
        <f>Sales[[#This Row],[UpprFn]]*Lookups!$B$91</f>
        <v>0</v>
      </c>
      <c r="BZ308">
        <f>Sales[[#This Row],[Bsmt]]*Lookups!$B$95</f>
        <v>0</v>
      </c>
      <c r="CA308">
        <f>VLOOKUP(Sales[[#This Row],[MsnryTrim]],Lookups!$A$90:$E$99,2,FALSE)</f>
        <v>5299.8242</v>
      </c>
      <c r="CB308">
        <f>Sales[[#This Row],[PrefabFP]]*Lookups!$B$92</f>
        <v>0</v>
      </c>
      <c r="CC308">
        <f>Sales[[#This Row],[AttGar]]*Lookups!$B$93</f>
        <v>0</v>
      </c>
      <c r="CD308">
        <f>Sales[[#This Row],[BltinGar]]*Lookups!$B$94</f>
        <v>0</v>
      </c>
      <c r="CE308">
        <f>SUM(Sales[[#This Row],[Days Prior Total]:[Mdl BltinGar]])</f>
        <v>327087.65197764972</v>
      </c>
      <c r="CF308">
        <f>ROUND(Sales[[#This Row],[25Det]],-2)</f>
        <v>10000</v>
      </c>
      <c r="CG308">
        <f>ROUND(SUM(Sales[[#This Row],[Mdl Qlty]:[Mdl BltinGar]])+Sales[[#This Row],[Mdl Res Intercept]]+Sales[[#This Row],[Days Prior Total]],-2)</f>
        <v>255400</v>
      </c>
      <c r="CH308">
        <f>ROUND(Sales[[#This Row],[Mdl Land Intercept]]+Sales[[#This Row],[Mdl LnAcres]],-2)</f>
        <v>71700</v>
      </c>
      <c r="CI308">
        <f>Sales[[#This Row],[Unadj Res Value]]+Sales[[#This Row],[Unadj Det Value]]+Sales[[#This Row],[Unadj Land Value]]</f>
        <v>337100</v>
      </c>
      <c r="CJ308" s="10">
        <f>Sales[[#This Row],[Price]]/Sales[[#This Row],[Unadj Total Value]]</f>
        <v>0.9418570157223376</v>
      </c>
      <c r="CK308" s="10">
        <f>(Sales[[#This Row],[Unadj Total Value]]-Sales[[#This Row],[24Final]])/Sales[[#This Row],[24Final]]</f>
        <v>2.931297709923664E-2</v>
      </c>
      <c r="CL308">
        <f>VLOOKUP(Sales[[#This Row],[TNbhd]],Lookups!$M$3:$P$5,4,FALSE)</f>
        <v>0.99970000000000003</v>
      </c>
      <c r="CM308">
        <f>VLOOKUP(Sales[[#This Row],[Qlty]],Lookups!$M$8:$P$22,4,FALSE)</f>
        <v>0.99199999999999999</v>
      </c>
      <c r="CN308">
        <f>VLOOKUP(Sales[[#This Row],[Cnd]],Lookups!$R$8:$U$17,4,FALSE)</f>
        <v>0.997</v>
      </c>
      <c r="CO308">
        <f>VLOOKUP(Sales[[#This Row],[LivArea Range]],Lookups!$R$25:$U$43,4,FALSE)</f>
        <v>1.0007999999999999</v>
      </c>
      <c r="CP308">
        <f>VLOOKUP(Sales[[#This Row],[Decade]],Lookups!$M$24:$P$40,4,FALSE)</f>
        <v>1.0558000000000001</v>
      </c>
      <c r="CQ308">
        <f>Sales[[#This Row],[Nbhd Adj]]*0.95</f>
        <v>0.94971499999999998</v>
      </c>
      <c r="CR308">
        <f>Sales[[#This Row],[Nbhd Adj]]*Sales[[#This Row],[Quality Adj]]*Sales[[#This Row],[Condition Adj]]*Sales[[#This Row],[Living Area Adj]]*Sales[[#This Row],[Decade Adj]]*0.95</f>
        <v>0.99249672464088878</v>
      </c>
      <c r="CS308">
        <f>ROUND(SUM(Sales[[#This Row],[Mdl Qlty]:[Mdl BltinGar]])+Sales[[#This Row],[Mdl Res Intercept]]*Sales[[#This Row],[Res Adj ]],-2)</f>
        <v>304900</v>
      </c>
      <c r="CT308">
        <f>ROUND(Sales[[#This Row],[25Det]]*Sales[[#This Row],[Det/Nbhd Adj]],-2)</f>
        <v>9500</v>
      </c>
      <c r="CU308">
        <f>Sales[[#This Row],[Adjusted Res]]+Sales[[#This Row],[Adj Det ]]</f>
        <v>314400</v>
      </c>
      <c r="CV308">
        <f>ROUND((Sales[[#This Row],[Mdl Land Intercept]]+Sales[[#This Row],[Mdl LnAcres]])*Sales[[#This Row],[Det/Nbhd Adj]],-2)</f>
        <v>68000</v>
      </c>
      <c r="CW308">
        <f>Sales[[#This Row],[Adjusted Impr Total]]+Sales[[#This Row],[Adjusted Land Total]]</f>
        <v>382400</v>
      </c>
      <c r="CX308" s="10">
        <f>IFERROR((Sales[[#This Row],[Adjusted Impr Total]]-Sales[[#This Row],[24Bldg]])/Sales[[#This Row],[24Bldg]],0)</f>
        <v>0.21483771251931993</v>
      </c>
      <c r="CY308" s="10">
        <f>(Sales[[#This Row],[Adjusted Land Total]]-Sales[[#This Row],[24Lnd]])/Sales[[#This Row],[24Lnd]]</f>
        <v>-1.0189228529839884E-2</v>
      </c>
      <c r="CZ308">
        <f>(Sales[[#This Row],[Adjusted Total]]-Sales[[#This Row],[24Final]])/Sales[[#This Row],[24Final]]</f>
        <v>0.16763358778625953</v>
      </c>
      <c r="DA308" s="10">
        <f>(Sales[[#This Row],[Adjusted Total]]+Sales[[#This Row],[Days Prior Total]])/Sales[[#This Row],[Price]]</f>
        <v>1.0454732414771655</v>
      </c>
    </row>
    <row r="309" spans="1:105">
      <c r="A309">
        <v>2025</v>
      </c>
      <c r="B309">
        <v>19120131542</v>
      </c>
      <c r="C309">
        <v>-1.2729656758128873</v>
      </c>
      <c r="D309">
        <v>0.28000000000000003</v>
      </c>
      <c r="E309">
        <v>12197</v>
      </c>
      <c r="F309">
        <v>2</v>
      </c>
      <c r="G309" t="s">
        <v>155</v>
      </c>
      <c r="H309">
        <v>317</v>
      </c>
      <c r="I309" t="s">
        <v>5</v>
      </c>
      <c r="J309" t="s">
        <v>156</v>
      </c>
      <c r="K309">
        <v>11</v>
      </c>
      <c r="L309">
        <v>259</v>
      </c>
      <c r="M309" t="s">
        <v>475</v>
      </c>
      <c r="N309" t="s">
        <v>15</v>
      </c>
      <c r="O309" t="s">
        <v>18</v>
      </c>
      <c r="P309">
        <v>1955</v>
      </c>
      <c r="Q309">
        <v>1974</v>
      </c>
      <c r="R309">
        <v>70</v>
      </c>
      <c r="S309">
        <v>69</v>
      </c>
      <c r="T309">
        <v>50</v>
      </c>
      <c r="U309">
        <v>1</v>
      </c>
      <c r="V309">
        <v>861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861</v>
      </c>
      <c r="AC309">
        <v>1000</v>
      </c>
      <c r="AD309">
        <v>0</v>
      </c>
      <c r="AE309" t="s">
        <v>56</v>
      </c>
      <c r="AF309" t="s">
        <v>331</v>
      </c>
      <c r="AG309" t="s">
        <v>476</v>
      </c>
      <c r="AH309" t="s">
        <v>56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5</v>
      </c>
      <c r="AO309">
        <v>0</v>
      </c>
      <c r="AP309">
        <v>0</v>
      </c>
      <c r="AQ309">
        <v>0</v>
      </c>
      <c r="AR309">
        <v>0</v>
      </c>
      <c r="AS309">
        <v>360</v>
      </c>
      <c r="AT309">
        <v>72</v>
      </c>
      <c r="AU309">
        <v>100</v>
      </c>
      <c r="AV309">
        <v>100</v>
      </c>
      <c r="AW309">
        <v>120277</v>
      </c>
      <c r="AX309">
        <v>85397</v>
      </c>
      <c r="AY309">
        <v>580</v>
      </c>
      <c r="AZ309">
        <v>365</v>
      </c>
      <c r="BA309">
        <v>215</v>
      </c>
      <c r="BB309">
        <v>0</v>
      </c>
      <c r="BC309" s="2">
        <v>44712</v>
      </c>
      <c r="BD309" t="s">
        <v>477</v>
      </c>
      <c r="BE309">
        <v>235000</v>
      </c>
      <c r="BF309">
        <v>225737</v>
      </c>
      <c r="BG309" t="s">
        <v>160</v>
      </c>
      <c r="BH309">
        <v>30</v>
      </c>
      <c r="BI309" t="s">
        <v>56</v>
      </c>
      <c r="BJ309" t="s">
        <v>161</v>
      </c>
      <c r="BK309">
        <v>259900</v>
      </c>
      <c r="BL309">
        <v>68700</v>
      </c>
      <c r="BM309">
        <v>191200</v>
      </c>
      <c r="BN309">
        <v>9263</v>
      </c>
      <c r="BO309">
        <v>248557.77444575191</v>
      </c>
      <c r="BP309">
        <v>259591.56525514173</v>
      </c>
      <c r="BQ309">
        <f>(Sales[[#This Row],[DP1]]*Lookups!$B$61)+(Sales[[#This Row],[DP2]]*Lookups!$B$62)+(Sales[[#This Row],[DP3]]*Lookups!$B$63)</f>
        <v>-11033.790131</v>
      </c>
      <c r="BR309">
        <f>Lookups!$B$58*0.6</f>
        <v>132535.48800000001</v>
      </c>
      <c r="BS309">
        <f>Lookups!$B$58*0.4</f>
        <v>88356.992000000013</v>
      </c>
      <c r="BT309">
        <f>Lookups!$B$59*Sales[[#This Row],[LnAcres]]</f>
        <v>-16706.81015135027</v>
      </c>
      <c r="BU309">
        <f>VLOOKUP(Sales[[#This Row],[Qlty]],Lookups!$A$66:$E$79,2,FALSE)</f>
        <v>-1240.8083630000001</v>
      </c>
      <c r="BV309">
        <f>VLOOKUP(Sales[[#This Row],[Cnd]],Lookups!$A$80:$E$91,2,FALSE)</f>
        <v>17761.121909000001</v>
      </c>
      <c r="BW309">
        <f>Sales[[#This Row],[EffAge]]*Lookups!$B$65</f>
        <v>-5437.0550000000003</v>
      </c>
      <c r="BX309">
        <f>Sales[[#This Row],[MainFn]]*Lookups!$B$90</f>
        <v>53735.337180000002</v>
      </c>
      <c r="BY309">
        <f>Sales[[#This Row],[UpprFn]]*Lookups!$B$91</f>
        <v>0</v>
      </c>
      <c r="BZ309">
        <f>Sales[[#This Row],[Bsmt]]*Lookups!$B$95</f>
        <v>0</v>
      </c>
      <c r="CA309">
        <f>VLOOKUP(Sales[[#This Row],[MsnryTrim]],Lookups!$A$90:$E$99,2,FALSE)</f>
        <v>-9412.7029999999995</v>
      </c>
      <c r="CB309">
        <f>Sales[[#This Row],[PrefabFP]]*Lookups!$B$92</f>
        <v>0</v>
      </c>
      <c r="CC309">
        <f>Sales[[#This Row],[AttGar]]*Lookups!$B$93</f>
        <v>0</v>
      </c>
      <c r="CD309">
        <f>Sales[[#This Row],[BltinGar]]*Lookups!$B$94</f>
        <v>0</v>
      </c>
      <c r="CE309">
        <f>SUM(Sales[[#This Row],[Days Prior Total]:[Mdl BltinGar]])</f>
        <v>248557.77244364977</v>
      </c>
      <c r="CF309">
        <f>ROUND(Sales[[#This Row],[25Det]],-2)</f>
        <v>9300</v>
      </c>
      <c r="CG309">
        <f>ROUND(SUM(Sales[[#This Row],[Mdl Qlty]:[Mdl BltinGar]])+Sales[[#This Row],[Mdl Res Intercept]]+Sales[[#This Row],[Days Prior Total]],-2)</f>
        <v>176900</v>
      </c>
      <c r="CH309">
        <f>ROUND(Sales[[#This Row],[Mdl Land Intercept]]+Sales[[#This Row],[Mdl LnAcres]],-2)</f>
        <v>71700</v>
      </c>
      <c r="CI309">
        <f>Sales[[#This Row],[Unadj Res Value]]+Sales[[#This Row],[Unadj Det Value]]+Sales[[#This Row],[Unadj Land Value]]</f>
        <v>257900</v>
      </c>
      <c r="CJ309" s="10">
        <f>Sales[[#This Row],[Price]]/Sales[[#This Row],[Unadj Total Value]]</f>
        <v>0.91120589375727024</v>
      </c>
      <c r="CK309" s="10">
        <f>(Sales[[#This Row],[Unadj Total Value]]-Sales[[#This Row],[24Final]])/Sales[[#This Row],[24Final]]</f>
        <v>-7.6952674105425162E-3</v>
      </c>
      <c r="CL309">
        <f>VLOOKUP(Sales[[#This Row],[TNbhd]],Lookups!$M$3:$P$5,4,FALSE)</f>
        <v>0.99970000000000003</v>
      </c>
      <c r="CM309">
        <f>VLOOKUP(Sales[[#This Row],[Qlty]],Lookups!$M$8:$P$22,4,FALSE)</f>
        <v>1.0022</v>
      </c>
      <c r="CN309">
        <f>VLOOKUP(Sales[[#This Row],[Cnd]],Lookups!$R$8:$U$17,4,FALSE)</f>
        <v>0.99680000000000002</v>
      </c>
      <c r="CO309">
        <f>VLOOKUP(Sales[[#This Row],[LivArea Range]],Lookups!$R$25:$U$43,4,FALSE)</f>
        <v>1</v>
      </c>
      <c r="CP309">
        <f>VLOOKUP(Sales[[#This Row],[Decade]],Lookups!$M$24:$P$40,4,FALSE)</f>
        <v>1.0558000000000001</v>
      </c>
      <c r="CQ309">
        <f>Sales[[#This Row],[Nbhd Adj]]*0.95</f>
        <v>0.94971499999999998</v>
      </c>
      <c r="CR309">
        <f>Sales[[#This Row],[Nbhd Adj]]*Sales[[#This Row],[Quality Adj]]*Sales[[#This Row],[Condition Adj]]*Sales[[#This Row],[Living Area Adj]]*Sales[[#This Row],[Decade Adj]]*0.95</f>
        <v>1.001699328830957</v>
      </c>
      <c r="CS309">
        <f>ROUND(SUM(Sales[[#This Row],[Mdl Qlty]:[Mdl BltinGar]])+Sales[[#This Row],[Mdl Res Intercept]]*Sales[[#This Row],[Res Adj ]],-2)</f>
        <v>188200</v>
      </c>
      <c r="CT309">
        <f>ROUND(Sales[[#This Row],[25Det]]*Sales[[#This Row],[Det/Nbhd Adj]],-2)</f>
        <v>8800</v>
      </c>
      <c r="CU309">
        <f>Sales[[#This Row],[Adjusted Res]]+Sales[[#This Row],[Adj Det ]]</f>
        <v>197000</v>
      </c>
      <c r="CV309">
        <f>ROUND((Sales[[#This Row],[Mdl Land Intercept]]+Sales[[#This Row],[Mdl LnAcres]])*Sales[[#This Row],[Det/Nbhd Adj]],-2)</f>
        <v>68000</v>
      </c>
      <c r="CW309">
        <f>Sales[[#This Row],[Adjusted Impr Total]]+Sales[[#This Row],[Adjusted Land Total]]</f>
        <v>265000</v>
      </c>
      <c r="CX309" s="10">
        <f>IFERROR((Sales[[#This Row],[Adjusted Impr Total]]-Sales[[#This Row],[24Bldg]])/Sales[[#This Row],[24Bldg]],0)</f>
        <v>3.0334728033472803E-2</v>
      </c>
      <c r="CY309" s="10">
        <f>(Sales[[#This Row],[Adjusted Land Total]]-Sales[[#This Row],[24Lnd]])/Sales[[#This Row],[24Lnd]]</f>
        <v>-1.0189228529839884E-2</v>
      </c>
      <c r="CZ309">
        <f>(Sales[[#This Row],[Adjusted Total]]-Sales[[#This Row],[24Final]])/Sales[[#This Row],[24Final]]</f>
        <v>1.9622931896883418E-2</v>
      </c>
      <c r="DA309" s="10">
        <f>(Sales[[#This Row],[Adjusted Total]]+Sales[[#This Row],[Days Prior Total]])/Sales[[#This Row],[Price]]</f>
        <v>1.0807072760382979</v>
      </c>
    </row>
    <row r="310" spans="1:105">
      <c r="A310">
        <v>2025</v>
      </c>
      <c r="B310">
        <v>19120142463</v>
      </c>
      <c r="C310">
        <v>-1.9661128563728327</v>
      </c>
      <c r="D310">
        <v>0.14000000000000001</v>
      </c>
      <c r="E310">
        <v>6108</v>
      </c>
      <c r="F310">
        <v>2</v>
      </c>
      <c r="G310" t="s">
        <v>155</v>
      </c>
      <c r="H310">
        <v>317</v>
      </c>
      <c r="I310" t="s">
        <v>5</v>
      </c>
      <c r="J310" t="s">
        <v>478</v>
      </c>
      <c r="K310">
        <v>11</v>
      </c>
      <c r="L310">
        <v>259</v>
      </c>
      <c r="M310" t="s">
        <v>157</v>
      </c>
      <c r="N310" t="s">
        <v>17</v>
      </c>
      <c r="O310" t="s">
        <v>18</v>
      </c>
      <c r="P310">
        <v>1930</v>
      </c>
      <c r="Q310">
        <v>1970</v>
      </c>
      <c r="R310">
        <v>100</v>
      </c>
      <c r="S310">
        <v>94</v>
      </c>
      <c r="T310">
        <v>54</v>
      </c>
      <c r="U310">
        <v>2</v>
      </c>
      <c r="V310">
        <v>1360</v>
      </c>
      <c r="W310">
        <v>400</v>
      </c>
      <c r="X310">
        <v>0</v>
      </c>
      <c r="Y310">
        <v>0</v>
      </c>
      <c r="Z310">
        <v>0</v>
      </c>
      <c r="AA310">
        <v>0</v>
      </c>
      <c r="AB310">
        <v>1760</v>
      </c>
      <c r="AC310">
        <v>2000</v>
      </c>
      <c r="AD310">
        <v>0</v>
      </c>
      <c r="AE310" t="s">
        <v>55</v>
      </c>
      <c r="AF310" t="s">
        <v>331</v>
      </c>
      <c r="AG310" t="s">
        <v>21</v>
      </c>
      <c r="AH310" t="s">
        <v>161</v>
      </c>
      <c r="AI310">
        <v>0</v>
      </c>
      <c r="AJ310">
        <v>1</v>
      </c>
      <c r="AK310">
        <v>0</v>
      </c>
      <c r="AL310">
        <v>0</v>
      </c>
      <c r="AM310">
        <v>0</v>
      </c>
      <c r="AN310">
        <v>5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100</v>
      </c>
      <c r="AV310">
        <v>100</v>
      </c>
      <c r="AW310">
        <v>225721</v>
      </c>
      <c r="AX310">
        <v>151233</v>
      </c>
      <c r="AY310">
        <v>1035</v>
      </c>
      <c r="AZ310">
        <v>365</v>
      </c>
      <c r="BA310">
        <v>365</v>
      </c>
      <c r="BB310">
        <v>305</v>
      </c>
      <c r="BC310" s="2">
        <v>44257</v>
      </c>
      <c r="BD310" t="s">
        <v>479</v>
      </c>
      <c r="BE310">
        <v>277000</v>
      </c>
      <c r="BF310">
        <v>267614</v>
      </c>
      <c r="BG310" t="s">
        <v>160</v>
      </c>
      <c r="BH310">
        <v>30</v>
      </c>
      <c r="BI310" t="s">
        <v>56</v>
      </c>
      <c r="BJ310" t="s">
        <v>161</v>
      </c>
      <c r="BK310">
        <v>293600</v>
      </c>
      <c r="BL310">
        <v>59000</v>
      </c>
      <c r="BM310">
        <v>234600</v>
      </c>
      <c r="BN310">
        <v>9386</v>
      </c>
      <c r="BO310">
        <v>254364.40515789902</v>
      </c>
      <c r="BP310">
        <v>345359.54856854683</v>
      </c>
      <c r="BQ310">
        <f>(Sales[[#This Row],[DP1]]*Lookups!$B$61)+(Sales[[#This Row],[DP2]]*Lookups!$B$62)+(Sales[[#This Row],[DP3]]*Lookups!$B$63)</f>
        <v>-90995.139630999998</v>
      </c>
      <c r="BR310">
        <f>Lookups!$B$58*0.6</f>
        <v>132535.48800000001</v>
      </c>
      <c r="BS310">
        <f>Lookups!$B$58*0.4</f>
        <v>88356.992000000013</v>
      </c>
      <c r="BT310">
        <f>Lookups!$B$59*Sales[[#This Row],[LnAcres]]</f>
        <v>-25803.896249263951</v>
      </c>
      <c r="BU310">
        <f>VLOOKUP(Sales[[#This Row],[Qlty]],Lookups!$A$66:$E$79,2,FALSE)</f>
        <v>24371.765965999999</v>
      </c>
      <c r="BV310">
        <f>VLOOKUP(Sales[[#This Row],[Cnd]],Lookups!$A$80:$E$91,2,FALSE)</f>
        <v>17761.121909000001</v>
      </c>
      <c r="BW310">
        <f>Sales[[#This Row],[EffAge]]*Lookups!$B$65</f>
        <v>-5872.0194000000001</v>
      </c>
      <c r="BX310">
        <f>Sales[[#This Row],[MainFn]]*Lookups!$B$90</f>
        <v>84878.116800000003</v>
      </c>
      <c r="BY310">
        <f>Sales[[#This Row],[UpprFn]]*Lookups!$B$91</f>
        <v>23832.153200000001</v>
      </c>
      <c r="BZ310">
        <f>Sales[[#This Row],[Bsmt]]*Lookups!$B$95</f>
        <v>0</v>
      </c>
      <c r="CA310">
        <f>VLOOKUP(Sales[[#This Row],[MsnryTrim]],Lookups!$A$90:$E$99,2,FALSE)</f>
        <v>5299.8242</v>
      </c>
      <c r="CB310">
        <f>Sales[[#This Row],[PrefabFP]]*Lookups!$B$92</f>
        <v>0</v>
      </c>
      <c r="CC310">
        <f>Sales[[#This Row],[AttGar]]*Lookups!$B$93</f>
        <v>0</v>
      </c>
      <c r="CD310">
        <f>Sales[[#This Row],[BltinGar]]*Lookups!$B$94</f>
        <v>0</v>
      </c>
      <c r="CE310">
        <f>SUM(Sales[[#This Row],[Days Prior Total]:[Mdl BltinGar]])</f>
        <v>254364.40679473607</v>
      </c>
      <c r="CF310">
        <f>ROUND(Sales[[#This Row],[25Det]],-2)</f>
        <v>9400</v>
      </c>
      <c r="CG310">
        <f>ROUND(SUM(Sales[[#This Row],[Mdl Qlty]:[Mdl BltinGar]])+Sales[[#This Row],[Mdl Res Intercept]]+Sales[[#This Row],[Days Prior Total]],-2)</f>
        <v>191800</v>
      </c>
      <c r="CH310">
        <f>ROUND(Sales[[#This Row],[Mdl Land Intercept]]+Sales[[#This Row],[Mdl LnAcres]],-2)</f>
        <v>62600</v>
      </c>
      <c r="CI310">
        <f>Sales[[#This Row],[Unadj Res Value]]+Sales[[#This Row],[Unadj Det Value]]+Sales[[#This Row],[Unadj Land Value]]</f>
        <v>263800</v>
      </c>
      <c r="CJ310" s="10">
        <f>Sales[[#This Row],[Price]]/Sales[[#This Row],[Unadj Total Value]]</f>
        <v>1.050037907505686</v>
      </c>
      <c r="CK310" s="10">
        <f>(Sales[[#This Row],[Unadj Total Value]]-Sales[[#This Row],[24Final]])/Sales[[#This Row],[24Final]]</f>
        <v>-0.10149863760217984</v>
      </c>
      <c r="CL310">
        <f>VLOOKUP(Sales[[#This Row],[TNbhd]],Lookups!$M$3:$P$5,4,FALSE)</f>
        <v>0.99970000000000003</v>
      </c>
      <c r="CM310">
        <f>VLOOKUP(Sales[[#This Row],[Qlty]],Lookups!$M$8:$P$22,4,FALSE)</f>
        <v>0.99199999999999999</v>
      </c>
      <c r="CN310">
        <f>VLOOKUP(Sales[[#This Row],[Cnd]],Lookups!$R$8:$U$17,4,FALSE)</f>
        <v>0.99680000000000002</v>
      </c>
      <c r="CO310">
        <f>VLOOKUP(Sales[[#This Row],[LivArea Range]],Lookups!$R$25:$U$43,4,FALSE)</f>
        <v>1.0007999999999999</v>
      </c>
      <c r="CP310">
        <f>VLOOKUP(Sales[[#This Row],[Decade]],Lookups!$M$24:$P$40,4,FALSE)</f>
        <v>0.99960000000000004</v>
      </c>
      <c r="CQ310">
        <f>Sales[[#This Row],[Nbhd Adj]]*0.95</f>
        <v>0.94971499999999998</v>
      </c>
      <c r="CR310">
        <f>Sales[[#This Row],[Nbhd Adj]]*Sales[[#This Row],[Quality Adj]]*Sales[[#This Row],[Condition Adj]]*Sales[[#This Row],[Living Area Adj]]*Sales[[#This Row],[Decade Adj]]*0.95</f>
        <v>0.93947784519307997</v>
      </c>
      <c r="CS310">
        <f>ROUND(SUM(Sales[[#This Row],[Mdl Qlty]:[Mdl BltinGar]])+Sales[[#This Row],[Mdl Res Intercept]]*Sales[[#This Row],[Res Adj ]],-2)</f>
        <v>274800</v>
      </c>
      <c r="CT310">
        <f>ROUND(Sales[[#This Row],[25Det]]*Sales[[#This Row],[Det/Nbhd Adj]],-2)</f>
        <v>8900</v>
      </c>
      <c r="CU310">
        <f>Sales[[#This Row],[Adjusted Res]]+Sales[[#This Row],[Adj Det ]]</f>
        <v>283700</v>
      </c>
      <c r="CV310">
        <f>ROUND((Sales[[#This Row],[Mdl Land Intercept]]+Sales[[#This Row],[Mdl LnAcres]])*Sales[[#This Row],[Det/Nbhd Adj]],-2)</f>
        <v>59400</v>
      </c>
      <c r="CW310">
        <f>Sales[[#This Row],[Adjusted Impr Total]]+Sales[[#This Row],[Adjusted Land Total]]</f>
        <v>343100</v>
      </c>
      <c r="CX310" s="10">
        <f>IFERROR((Sales[[#This Row],[Adjusted Impr Total]]-Sales[[#This Row],[24Bldg]])/Sales[[#This Row],[24Bldg]],0)</f>
        <v>0.20929241261722081</v>
      </c>
      <c r="CY310" s="10">
        <f>(Sales[[#This Row],[Adjusted Land Total]]-Sales[[#This Row],[24Lnd]])/Sales[[#This Row],[24Lnd]]</f>
        <v>6.7796610169491523E-3</v>
      </c>
      <c r="CZ310">
        <f>(Sales[[#This Row],[Adjusted Total]]-Sales[[#This Row],[24Final]])/Sales[[#This Row],[24Final]]</f>
        <v>0.16859673024523161</v>
      </c>
      <c r="DA310" s="10">
        <f>(Sales[[#This Row],[Adjusted Total]]+Sales[[#This Row],[Days Prior Total]])/Sales[[#This Row],[Price]]</f>
        <v>0.91012584970758126</v>
      </c>
    </row>
    <row r="311" spans="1:105">
      <c r="A311">
        <v>2025</v>
      </c>
      <c r="B311">
        <v>19120142425</v>
      </c>
      <c r="C311">
        <v>-2.4079456086518722</v>
      </c>
      <c r="D311">
        <v>0.09</v>
      </c>
      <c r="E311">
        <v>4080</v>
      </c>
      <c r="F311">
        <v>2</v>
      </c>
      <c r="G311" t="s">
        <v>155</v>
      </c>
      <c r="H311">
        <v>317</v>
      </c>
      <c r="I311" t="s">
        <v>5</v>
      </c>
      <c r="J311" t="s">
        <v>156</v>
      </c>
      <c r="K311">
        <v>11</v>
      </c>
      <c r="L311">
        <v>259</v>
      </c>
      <c r="M311" t="s">
        <v>475</v>
      </c>
      <c r="N311" t="s">
        <v>13</v>
      </c>
      <c r="O311" t="s">
        <v>18</v>
      </c>
      <c r="P311">
        <v>1925</v>
      </c>
      <c r="Q311">
        <v>1978</v>
      </c>
      <c r="R311">
        <v>100</v>
      </c>
      <c r="S311">
        <v>99</v>
      </c>
      <c r="T311">
        <v>46</v>
      </c>
      <c r="U311">
        <v>1</v>
      </c>
      <c r="V311">
        <v>834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834</v>
      </c>
      <c r="AC311">
        <v>1000</v>
      </c>
      <c r="AD311">
        <v>0</v>
      </c>
      <c r="AE311" t="s">
        <v>56</v>
      </c>
      <c r="AF311" t="s">
        <v>158</v>
      </c>
      <c r="AG311" t="s">
        <v>27</v>
      </c>
      <c r="AH311" t="s">
        <v>56</v>
      </c>
      <c r="AI311">
        <v>0</v>
      </c>
      <c r="AJ311">
        <v>0</v>
      </c>
      <c r="AK311">
        <v>0</v>
      </c>
      <c r="AL311">
        <v>1</v>
      </c>
      <c r="AM311">
        <v>0</v>
      </c>
      <c r="AN311">
        <v>5</v>
      </c>
      <c r="AO311">
        <v>0</v>
      </c>
      <c r="AP311">
        <v>0</v>
      </c>
      <c r="AQ311">
        <v>0</v>
      </c>
      <c r="AR311">
        <v>96</v>
      </c>
      <c r="AS311">
        <v>0</v>
      </c>
      <c r="AT311">
        <v>96</v>
      </c>
      <c r="AU311">
        <v>100</v>
      </c>
      <c r="AV311">
        <v>100</v>
      </c>
      <c r="AW311">
        <v>112262</v>
      </c>
      <c r="AX311">
        <v>86442</v>
      </c>
      <c r="AY311">
        <v>458</v>
      </c>
      <c r="AZ311">
        <v>365</v>
      </c>
      <c r="BA311">
        <v>93</v>
      </c>
      <c r="BB311">
        <v>0</v>
      </c>
      <c r="BC311" s="2">
        <v>44834</v>
      </c>
      <c r="BD311" t="s">
        <v>480</v>
      </c>
      <c r="BE311">
        <v>230000</v>
      </c>
      <c r="BF311">
        <v>230000</v>
      </c>
      <c r="BG311" t="s">
        <v>160</v>
      </c>
      <c r="BH311">
        <v>30</v>
      </c>
      <c r="BI311" t="s">
        <v>56</v>
      </c>
      <c r="BJ311" t="s">
        <v>161</v>
      </c>
      <c r="BK311">
        <v>214200</v>
      </c>
      <c r="BL311">
        <v>52800</v>
      </c>
      <c r="BM311">
        <v>161400</v>
      </c>
      <c r="BN311">
        <v>0</v>
      </c>
      <c r="BO311">
        <v>241880.73976071755</v>
      </c>
      <c r="BP311">
        <v>244686.41707818283</v>
      </c>
      <c r="BQ311">
        <f>(Sales[[#This Row],[DP1]]*Lookups!$B$61)+(Sales[[#This Row],[DP2]]*Lookups!$B$62)+(Sales[[#This Row],[DP3]]*Lookups!$B$63)</f>
        <v>-2805.6770309999997</v>
      </c>
      <c r="BR311">
        <f>Lookups!$B$58*0.6</f>
        <v>132535.48800000001</v>
      </c>
      <c r="BS311">
        <f>Lookups!$B$58*0.4</f>
        <v>88356.992000000013</v>
      </c>
      <c r="BT311">
        <f>Lookups!$B$59*Sales[[#This Row],[LnAcres]]</f>
        <v>-31602.651118487549</v>
      </c>
      <c r="BU311">
        <f>VLOOKUP(Sales[[#This Row],[Qlty]],Lookups!$A$66:$E$79,2,FALSE)</f>
        <v>0</v>
      </c>
      <c r="BV311">
        <f>VLOOKUP(Sales[[#This Row],[Cnd]],Lookups!$A$80:$E$91,2,FALSE)</f>
        <v>17761.121909000001</v>
      </c>
      <c r="BW311">
        <f>Sales[[#This Row],[EffAge]]*Lookups!$B$65</f>
        <v>-5002.0906000000004</v>
      </c>
      <c r="BX311">
        <f>Sales[[#This Row],[MainFn]]*Lookups!$B$90</f>
        <v>52050.25692</v>
      </c>
      <c r="BY311">
        <f>Sales[[#This Row],[UpprFn]]*Lookups!$B$91</f>
        <v>0</v>
      </c>
      <c r="BZ311">
        <f>Sales[[#This Row],[Bsmt]]*Lookups!$B$95</f>
        <v>0</v>
      </c>
      <c r="CA311">
        <f>VLOOKUP(Sales[[#This Row],[MsnryTrim]],Lookups!$A$90:$E$99,2,FALSE)</f>
        <v>-9412.7029999999995</v>
      </c>
      <c r="CB311">
        <f>Sales[[#This Row],[PrefabFP]]*Lookups!$B$92</f>
        <v>0</v>
      </c>
      <c r="CC311">
        <f>Sales[[#This Row],[AttGar]]*Lookups!$B$93</f>
        <v>0</v>
      </c>
      <c r="CD311">
        <f>Sales[[#This Row],[BltinGar]]*Lookups!$B$94</f>
        <v>0</v>
      </c>
      <c r="CE311">
        <f>SUM(Sales[[#This Row],[Days Prior Total]:[Mdl BltinGar]])</f>
        <v>241880.73707951247</v>
      </c>
      <c r="CF311">
        <f>ROUND(Sales[[#This Row],[25Det]],-2)</f>
        <v>0</v>
      </c>
      <c r="CG311">
        <f>ROUND(SUM(Sales[[#This Row],[Mdl Qlty]:[Mdl BltinGar]])+Sales[[#This Row],[Mdl Res Intercept]]+Sales[[#This Row],[Days Prior Total]],-2)</f>
        <v>185100</v>
      </c>
      <c r="CH311">
        <f>ROUND(Sales[[#This Row],[Mdl Land Intercept]]+Sales[[#This Row],[Mdl LnAcres]],-2)</f>
        <v>56800</v>
      </c>
      <c r="CI311">
        <f>Sales[[#This Row],[Unadj Res Value]]+Sales[[#This Row],[Unadj Det Value]]+Sales[[#This Row],[Unadj Land Value]]</f>
        <v>241900</v>
      </c>
      <c r="CJ311" s="10">
        <f>Sales[[#This Row],[Price]]/Sales[[#This Row],[Unadj Total Value]]</f>
        <v>0.95080611823067385</v>
      </c>
      <c r="CK311" s="10">
        <f>(Sales[[#This Row],[Unadj Total Value]]-Sales[[#This Row],[24Final]])/Sales[[#This Row],[24Final]]</f>
        <v>0.12931839402427639</v>
      </c>
      <c r="CL311">
        <f>VLOOKUP(Sales[[#This Row],[TNbhd]],Lookups!$M$3:$P$5,4,FALSE)</f>
        <v>0.99970000000000003</v>
      </c>
      <c r="CM311">
        <f>VLOOKUP(Sales[[#This Row],[Qlty]],Lookups!$M$8:$P$22,4,FALSE)</f>
        <v>1.0003</v>
      </c>
      <c r="CN311">
        <f>VLOOKUP(Sales[[#This Row],[Cnd]],Lookups!$R$8:$U$17,4,FALSE)</f>
        <v>0.99680000000000002</v>
      </c>
      <c r="CO311">
        <f>VLOOKUP(Sales[[#This Row],[LivArea Range]],Lookups!$R$25:$U$43,4,FALSE)</f>
        <v>1</v>
      </c>
      <c r="CP311">
        <f>VLOOKUP(Sales[[#This Row],[Decade]],Lookups!$M$24:$P$40,4,FALSE)</f>
        <v>0.99960000000000004</v>
      </c>
      <c r="CQ311">
        <f>Sales[[#This Row],[Nbhd Adj]]*0.95</f>
        <v>0.94971499999999998</v>
      </c>
      <c r="CR311">
        <f>Sales[[#This Row],[Nbhd Adj]]*Sales[[#This Row],[Quality Adj]]*Sales[[#This Row],[Condition Adj]]*Sales[[#This Row],[Living Area Adj]]*Sales[[#This Row],[Decade Adj]]*0.95</f>
        <v>0.94658113080769057</v>
      </c>
      <c r="CS311">
        <f>ROUND(SUM(Sales[[#This Row],[Mdl Qlty]:[Mdl BltinGar]])+Sales[[#This Row],[Mdl Res Intercept]]*Sales[[#This Row],[Res Adj ]],-2)</f>
        <v>180900</v>
      </c>
      <c r="CT311">
        <f>ROUND(Sales[[#This Row],[25Det]]*Sales[[#This Row],[Det/Nbhd Adj]],-2)</f>
        <v>0</v>
      </c>
      <c r="CU311">
        <f>Sales[[#This Row],[Adjusted Res]]+Sales[[#This Row],[Adj Det ]]</f>
        <v>180900</v>
      </c>
      <c r="CV311">
        <f>ROUND((Sales[[#This Row],[Mdl Land Intercept]]+Sales[[#This Row],[Mdl LnAcres]])*Sales[[#This Row],[Det/Nbhd Adj]],-2)</f>
        <v>53900</v>
      </c>
      <c r="CW311">
        <f>Sales[[#This Row],[Adjusted Impr Total]]+Sales[[#This Row],[Adjusted Land Total]]</f>
        <v>234800</v>
      </c>
      <c r="CX311" s="10">
        <f>IFERROR((Sales[[#This Row],[Adjusted Impr Total]]-Sales[[#This Row],[24Bldg]])/Sales[[#This Row],[24Bldg]],0)</f>
        <v>0.120817843866171</v>
      </c>
      <c r="CY311" s="10">
        <f>(Sales[[#This Row],[Adjusted Land Total]]-Sales[[#This Row],[24Lnd]])/Sales[[#This Row],[24Lnd]]</f>
        <v>2.0833333333333332E-2</v>
      </c>
      <c r="CZ311">
        <f>(Sales[[#This Row],[Adjusted Total]]-Sales[[#This Row],[24Final]])/Sales[[#This Row],[24Final]]</f>
        <v>9.6171802054155001E-2</v>
      </c>
      <c r="DA311" s="10">
        <f>(Sales[[#This Row],[Adjusted Total]]+Sales[[#This Row],[Days Prior Total]])/Sales[[#This Row],[Price]]</f>
        <v>1.0086709694304348</v>
      </c>
    </row>
    <row r="312" spans="1:105">
      <c r="A312">
        <v>2025</v>
      </c>
      <c r="B312">
        <v>19120141009</v>
      </c>
      <c r="C312">
        <v>-0.84397007029452897</v>
      </c>
      <c r="D312">
        <v>0.43</v>
      </c>
      <c r="E312">
        <v>18878</v>
      </c>
      <c r="F312">
        <v>2</v>
      </c>
      <c r="G312" t="s">
        <v>155</v>
      </c>
      <c r="H312">
        <v>317</v>
      </c>
      <c r="I312" t="s">
        <v>5</v>
      </c>
      <c r="J312" t="s">
        <v>212</v>
      </c>
      <c r="K312">
        <v>11</v>
      </c>
      <c r="L312">
        <v>259</v>
      </c>
      <c r="M312" t="s">
        <v>473</v>
      </c>
      <c r="N312" t="s">
        <v>17</v>
      </c>
      <c r="O312" t="s">
        <v>20</v>
      </c>
      <c r="P312">
        <v>1920</v>
      </c>
      <c r="Q312">
        <v>1966</v>
      </c>
      <c r="R312">
        <v>110</v>
      </c>
      <c r="S312">
        <v>104</v>
      </c>
      <c r="T312">
        <v>58</v>
      </c>
      <c r="U312">
        <v>1</v>
      </c>
      <c r="V312">
        <v>1036</v>
      </c>
      <c r="W312">
        <v>0</v>
      </c>
      <c r="X312">
        <v>0</v>
      </c>
      <c r="Y312">
        <v>1036</v>
      </c>
      <c r="Z312">
        <v>0</v>
      </c>
      <c r="AA312">
        <v>1036</v>
      </c>
      <c r="AB312">
        <v>2072</v>
      </c>
      <c r="AC312">
        <v>2500</v>
      </c>
      <c r="AD312">
        <v>0</v>
      </c>
      <c r="AE312" t="s">
        <v>56</v>
      </c>
      <c r="AF312" t="s">
        <v>331</v>
      </c>
      <c r="AG312" t="s">
        <v>27</v>
      </c>
      <c r="AH312" t="s">
        <v>56</v>
      </c>
      <c r="AI312">
        <v>1</v>
      </c>
      <c r="AJ312">
        <v>1</v>
      </c>
      <c r="AK312">
        <v>0</v>
      </c>
      <c r="AL312">
        <v>0</v>
      </c>
      <c r="AM312">
        <v>0</v>
      </c>
      <c r="AN312">
        <v>5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100</v>
      </c>
      <c r="AV312">
        <v>100</v>
      </c>
      <c r="AW312">
        <v>246263</v>
      </c>
      <c r="AX312">
        <v>177309</v>
      </c>
      <c r="AY312">
        <v>413</v>
      </c>
      <c r="AZ312">
        <v>365</v>
      </c>
      <c r="BA312">
        <v>48</v>
      </c>
      <c r="BB312">
        <v>0</v>
      </c>
      <c r="BC312" s="2">
        <v>44879</v>
      </c>
      <c r="BD312" t="s">
        <v>481</v>
      </c>
      <c r="BE312">
        <v>385000</v>
      </c>
      <c r="BF312">
        <v>366713</v>
      </c>
      <c r="BG312" t="s">
        <v>160</v>
      </c>
      <c r="BH312">
        <v>30</v>
      </c>
      <c r="BI312" t="s">
        <v>56</v>
      </c>
      <c r="BJ312" t="s">
        <v>161</v>
      </c>
      <c r="BK312">
        <v>295300</v>
      </c>
      <c r="BL312">
        <v>74700</v>
      </c>
      <c r="BM312">
        <v>220600</v>
      </c>
      <c r="BN312">
        <v>18287</v>
      </c>
      <c r="BO312">
        <v>378494.40233002137</v>
      </c>
      <c r="BP312">
        <v>378265.11975292431</v>
      </c>
      <c r="BQ312">
        <f>(Sales[[#This Row],[DP1]]*Lookups!$B$61)+(Sales[[#This Row],[DP2]]*Lookups!$B$62)+(Sales[[#This Row],[DP3]]*Lookups!$B$63)</f>
        <v>229.28271900000027</v>
      </c>
      <c r="BR312">
        <f>Lookups!$B$58*0.6</f>
        <v>132535.48800000001</v>
      </c>
      <c r="BS312">
        <f>Lookups!$B$58*0.4</f>
        <v>88356.992000000013</v>
      </c>
      <c r="BT312">
        <f>Lookups!$B$59*Sales[[#This Row],[LnAcres]]</f>
        <v>-11076.534116937963</v>
      </c>
      <c r="BU312">
        <f>VLOOKUP(Sales[[#This Row],[Qlty]],Lookups!$A$66:$E$79,2,FALSE)</f>
        <v>24371.765965999999</v>
      </c>
      <c r="BV312">
        <f>VLOOKUP(Sales[[#This Row],[Cnd]],Lookups!$A$80:$E$91,2,FALSE)</f>
        <v>30300.329274</v>
      </c>
      <c r="BW312">
        <f>Sales[[#This Row],[EffAge]]*Lookups!$B$65</f>
        <v>-6306.9838</v>
      </c>
      <c r="BX312">
        <f>Sales[[#This Row],[MainFn]]*Lookups!$B$90</f>
        <v>64657.153680000003</v>
      </c>
      <c r="BY312">
        <f>Sales[[#This Row],[UpprFn]]*Lookups!$B$91</f>
        <v>0</v>
      </c>
      <c r="BZ312">
        <f>Sales[[#This Row],[Bsmt]]*Lookups!$B$95</f>
        <v>64839.609855999995</v>
      </c>
      <c r="CA312">
        <f>VLOOKUP(Sales[[#This Row],[MsnryTrim]],Lookups!$A$90:$E$99,2,FALSE)</f>
        <v>-9412.7029999999995</v>
      </c>
      <c r="CB312">
        <f>Sales[[#This Row],[PrefabFP]]*Lookups!$B$92</f>
        <v>0</v>
      </c>
      <c r="CC312">
        <f>Sales[[#This Row],[AttGar]]*Lookups!$B$93</f>
        <v>0</v>
      </c>
      <c r="CD312">
        <f>Sales[[#This Row],[BltinGar]]*Lookups!$B$94</f>
        <v>0</v>
      </c>
      <c r="CE312">
        <f>SUM(Sales[[#This Row],[Days Prior Total]:[Mdl BltinGar]])</f>
        <v>378494.40057806211</v>
      </c>
      <c r="CF312">
        <f>ROUND(Sales[[#This Row],[25Det]],-2)</f>
        <v>18300</v>
      </c>
      <c r="CG312">
        <f>ROUND(SUM(Sales[[#This Row],[Mdl Qlty]:[Mdl BltinGar]])+Sales[[#This Row],[Mdl Res Intercept]]+Sales[[#This Row],[Days Prior Total]],-2)</f>
        <v>301200</v>
      </c>
      <c r="CH312">
        <f>ROUND(Sales[[#This Row],[Mdl Land Intercept]]+Sales[[#This Row],[Mdl LnAcres]],-2)</f>
        <v>77300</v>
      </c>
      <c r="CI312">
        <f>Sales[[#This Row],[Unadj Res Value]]+Sales[[#This Row],[Unadj Det Value]]+Sales[[#This Row],[Unadj Land Value]]</f>
        <v>396800</v>
      </c>
      <c r="CJ312" s="10">
        <f>Sales[[#This Row],[Price]]/Sales[[#This Row],[Unadj Total Value]]</f>
        <v>0.97026209677419351</v>
      </c>
      <c r="CK312" s="10">
        <f>(Sales[[#This Row],[Unadj Total Value]]-Sales[[#This Row],[24Final]])/Sales[[#This Row],[24Final]]</f>
        <v>0.34371825262444972</v>
      </c>
      <c r="CL312">
        <f>VLOOKUP(Sales[[#This Row],[TNbhd]],Lookups!$M$3:$P$5,4,FALSE)</f>
        <v>0.99970000000000003</v>
      </c>
      <c r="CM312">
        <f>VLOOKUP(Sales[[#This Row],[Qlty]],Lookups!$M$8:$P$22,4,FALSE)</f>
        <v>0.99199999999999999</v>
      </c>
      <c r="CN312">
        <f>VLOOKUP(Sales[[#This Row],[Cnd]],Lookups!$R$8:$U$17,4,FALSE)</f>
        <v>0.997</v>
      </c>
      <c r="CO312">
        <f>VLOOKUP(Sales[[#This Row],[LivArea Range]],Lookups!$R$25:$U$43,4,FALSE)</f>
        <v>1.0008999999999999</v>
      </c>
      <c r="CP312">
        <f>VLOOKUP(Sales[[#This Row],[Decade]],Lookups!$M$24:$P$40,4,FALSE)</f>
        <v>0.98240000000000005</v>
      </c>
      <c r="CQ312">
        <f>Sales[[#This Row],[Nbhd Adj]]*0.95</f>
        <v>0.94971499999999998</v>
      </c>
      <c r="CR312">
        <f>Sales[[#This Row],[Nbhd Adj]]*Sales[[#This Row],[Quality Adj]]*Sales[[#This Row],[Condition Adj]]*Sales[[#This Row],[Living Area Adj]]*Sales[[#This Row],[Decade Adj]]*0.95</f>
        <v>0.92358989129142577</v>
      </c>
      <c r="CS312">
        <f>ROUND(SUM(Sales[[#This Row],[Mdl Qlty]:[Mdl BltinGar]])+Sales[[#This Row],[Mdl Res Intercept]]*Sales[[#This Row],[Res Adj ]],-2)</f>
        <v>290900</v>
      </c>
      <c r="CT312">
        <f>ROUND(Sales[[#This Row],[25Det]]*Sales[[#This Row],[Det/Nbhd Adj]],-2)</f>
        <v>17400</v>
      </c>
      <c r="CU312">
        <f>Sales[[#This Row],[Adjusted Res]]+Sales[[#This Row],[Adj Det ]]</f>
        <v>308300</v>
      </c>
      <c r="CV312">
        <f>ROUND((Sales[[#This Row],[Mdl Land Intercept]]+Sales[[#This Row],[Mdl LnAcres]])*Sales[[#This Row],[Det/Nbhd Adj]],-2)</f>
        <v>73400</v>
      </c>
      <c r="CW312">
        <f>Sales[[#This Row],[Adjusted Impr Total]]+Sales[[#This Row],[Adjusted Land Total]]</f>
        <v>381700</v>
      </c>
      <c r="CX312" s="10">
        <f>IFERROR((Sales[[#This Row],[Adjusted Impr Total]]-Sales[[#This Row],[24Bldg]])/Sales[[#This Row],[24Bldg]],0)</f>
        <v>0.39755213055303718</v>
      </c>
      <c r="CY312" s="10">
        <f>(Sales[[#This Row],[Adjusted Land Total]]-Sales[[#This Row],[24Lnd]])/Sales[[#This Row],[24Lnd]]</f>
        <v>-1.7402945113788489E-2</v>
      </c>
      <c r="CZ312">
        <f>(Sales[[#This Row],[Adjusted Total]]-Sales[[#This Row],[24Final]])/Sales[[#This Row],[24Final]]</f>
        <v>0.29258381307145276</v>
      </c>
      <c r="DA312" s="10">
        <f>(Sales[[#This Row],[Adjusted Total]]+Sales[[#This Row],[Days Prior Total]])/Sales[[#This Row],[Price]]</f>
        <v>0.99202411095844156</v>
      </c>
    </row>
    <row r="313" spans="1:105">
      <c r="A313">
        <v>2025</v>
      </c>
      <c r="B313">
        <v>19120142497</v>
      </c>
      <c r="C313">
        <v>-1.5141277326297755</v>
      </c>
      <c r="D313">
        <v>0.22</v>
      </c>
      <c r="E313">
        <v>9778</v>
      </c>
      <c r="F313">
        <v>2</v>
      </c>
      <c r="G313" t="s">
        <v>155</v>
      </c>
      <c r="H313" t="s">
        <v>5</v>
      </c>
      <c r="I313" t="s">
        <v>5</v>
      </c>
      <c r="J313" t="s">
        <v>156</v>
      </c>
      <c r="K313">
        <v>11</v>
      </c>
      <c r="L313">
        <v>259</v>
      </c>
      <c r="M313" t="s">
        <v>193</v>
      </c>
      <c r="N313" t="s">
        <v>15</v>
      </c>
      <c r="O313" t="s">
        <v>20</v>
      </c>
      <c r="P313">
        <v>1920</v>
      </c>
      <c r="Q313">
        <v>1991</v>
      </c>
      <c r="R313">
        <v>110</v>
      </c>
      <c r="S313">
        <v>104</v>
      </c>
      <c r="T313">
        <v>33</v>
      </c>
      <c r="U313">
        <v>1</v>
      </c>
      <c r="V313">
        <v>1430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1430</v>
      </c>
      <c r="AC313">
        <v>1500</v>
      </c>
      <c r="AD313">
        <v>0</v>
      </c>
      <c r="AE313" t="s">
        <v>56</v>
      </c>
      <c r="AF313" t="s">
        <v>331</v>
      </c>
      <c r="AG313" t="s">
        <v>27</v>
      </c>
      <c r="AH313" t="s">
        <v>56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8</v>
      </c>
      <c r="AO313">
        <v>0</v>
      </c>
      <c r="AP313">
        <v>0</v>
      </c>
      <c r="AQ313">
        <v>0</v>
      </c>
      <c r="AR313">
        <v>200</v>
      </c>
      <c r="AS313">
        <v>0</v>
      </c>
      <c r="AT313">
        <v>200</v>
      </c>
      <c r="AU313">
        <v>100</v>
      </c>
      <c r="AV313">
        <v>100</v>
      </c>
      <c r="AW313">
        <v>190770</v>
      </c>
      <c r="AX313">
        <v>169785</v>
      </c>
      <c r="AY313">
        <v>129</v>
      </c>
      <c r="AZ313">
        <v>129</v>
      </c>
      <c r="BA313">
        <v>0</v>
      </c>
      <c r="BB313">
        <v>0</v>
      </c>
      <c r="BC313" s="2">
        <v>45163</v>
      </c>
      <c r="BD313" t="s">
        <v>482</v>
      </c>
      <c r="BE313">
        <v>325000</v>
      </c>
      <c r="BF313">
        <v>325000</v>
      </c>
      <c r="BG313" t="s">
        <v>160</v>
      </c>
      <c r="BH313">
        <v>30</v>
      </c>
      <c r="BI313" t="s">
        <v>56</v>
      </c>
      <c r="BJ313" t="s">
        <v>161</v>
      </c>
      <c r="BK313">
        <v>290800</v>
      </c>
      <c r="BL313">
        <v>65300</v>
      </c>
      <c r="BM313">
        <v>225500</v>
      </c>
      <c r="BN313">
        <v>0</v>
      </c>
      <c r="BO313">
        <v>307550.96230377106</v>
      </c>
      <c r="BP313">
        <v>306325.78988202487</v>
      </c>
      <c r="BQ313">
        <f>(Sales[[#This Row],[DP1]]*Lookups!$B$61)+(Sales[[#This Row],[DP2]]*Lookups!$B$62)+(Sales[[#This Row],[DP3]]*Lookups!$B$63)</f>
        <v>1225.1724174000001</v>
      </c>
      <c r="BR313">
        <f>Lookups!$B$58*0.6</f>
        <v>132535.48800000001</v>
      </c>
      <c r="BS313">
        <f>Lookups!$B$58*0.4</f>
        <v>88356.992000000013</v>
      </c>
      <c r="BT313">
        <f>Lookups!$B$59*Sales[[#This Row],[LnAcres]]</f>
        <v>-19871.898398035348</v>
      </c>
      <c r="BU313">
        <f>VLOOKUP(Sales[[#This Row],[Qlty]],Lookups!$A$66:$E$79,2,FALSE)</f>
        <v>-1240.8083630000001</v>
      </c>
      <c r="BV313">
        <f>VLOOKUP(Sales[[#This Row],[Cnd]],Lookups!$A$80:$E$91,2,FALSE)</f>
        <v>30300.329274</v>
      </c>
      <c r="BW313">
        <f>Sales[[#This Row],[EffAge]]*Lookups!$B$65</f>
        <v>-3588.4563000000003</v>
      </c>
      <c r="BX313">
        <f>Sales[[#This Row],[MainFn]]*Lookups!$B$90</f>
        <v>89246.843399999998</v>
      </c>
      <c r="BY313">
        <f>Sales[[#This Row],[UpprFn]]*Lookups!$B$91</f>
        <v>0</v>
      </c>
      <c r="BZ313">
        <f>Sales[[#This Row],[Bsmt]]*Lookups!$B$95</f>
        <v>0</v>
      </c>
      <c r="CA313">
        <f>VLOOKUP(Sales[[#This Row],[MsnryTrim]],Lookups!$A$90:$E$99,2,FALSE)</f>
        <v>-9412.7029999999995</v>
      </c>
      <c r="CB313">
        <f>Sales[[#This Row],[PrefabFP]]*Lookups!$B$92</f>
        <v>0</v>
      </c>
      <c r="CC313">
        <f>Sales[[#This Row],[AttGar]]*Lookups!$B$93</f>
        <v>0</v>
      </c>
      <c r="CD313">
        <f>Sales[[#This Row],[BltinGar]]*Lookups!$B$94</f>
        <v>0</v>
      </c>
      <c r="CE313">
        <f>SUM(Sales[[#This Row],[Days Prior Total]:[Mdl BltinGar]])</f>
        <v>307550.9590303647</v>
      </c>
      <c r="CF313">
        <f>ROUND(Sales[[#This Row],[25Det]],-2)</f>
        <v>0</v>
      </c>
      <c r="CG313">
        <f>ROUND(SUM(Sales[[#This Row],[Mdl Qlty]:[Mdl BltinGar]])+Sales[[#This Row],[Mdl Res Intercept]]+Sales[[#This Row],[Days Prior Total]],-2)</f>
        <v>239100</v>
      </c>
      <c r="CH313">
        <f>ROUND(Sales[[#This Row],[Mdl Land Intercept]]+Sales[[#This Row],[Mdl LnAcres]],-2)</f>
        <v>68500</v>
      </c>
      <c r="CI313">
        <f>Sales[[#This Row],[Unadj Res Value]]+Sales[[#This Row],[Unadj Det Value]]+Sales[[#This Row],[Unadj Land Value]]</f>
        <v>307600</v>
      </c>
      <c r="CJ313" s="10">
        <f>Sales[[#This Row],[Price]]/Sales[[#This Row],[Unadj Total Value]]</f>
        <v>1.0565669700910274</v>
      </c>
      <c r="CK313" s="10">
        <f>(Sales[[#This Row],[Unadj Total Value]]-Sales[[#This Row],[24Final]])/Sales[[#This Row],[24Final]]</f>
        <v>5.7771664374140302E-2</v>
      </c>
      <c r="CL313">
        <f>VLOOKUP(Sales[[#This Row],[TNbhd]],Lookups!$M$3:$P$5,4,FALSE)</f>
        <v>0.99970000000000003</v>
      </c>
      <c r="CM313">
        <f>VLOOKUP(Sales[[#This Row],[Qlty]],Lookups!$M$8:$P$22,4,FALSE)</f>
        <v>1.0022</v>
      </c>
      <c r="CN313">
        <f>VLOOKUP(Sales[[#This Row],[Cnd]],Lookups!$R$8:$U$17,4,FALSE)</f>
        <v>0.997</v>
      </c>
      <c r="CO313">
        <f>VLOOKUP(Sales[[#This Row],[LivArea Range]],Lookups!$R$25:$U$43,4,FALSE)</f>
        <v>0.99519999999999997</v>
      </c>
      <c r="CP313">
        <f>VLOOKUP(Sales[[#This Row],[Decade]],Lookups!$M$24:$P$40,4,FALSE)</f>
        <v>0.98240000000000005</v>
      </c>
      <c r="CQ313">
        <f>Sales[[#This Row],[Nbhd Adj]]*0.95</f>
        <v>0.94971499999999998</v>
      </c>
      <c r="CR313">
        <f>Sales[[#This Row],[Nbhd Adj]]*Sales[[#This Row],[Quality Adj]]*Sales[[#This Row],[Condition Adj]]*Sales[[#This Row],[Living Area Adj]]*Sales[[#This Row],[Decade Adj]]*0.95</f>
        <v>0.92777267038779632</v>
      </c>
      <c r="CS313">
        <f>ROUND(SUM(Sales[[#This Row],[Mdl Qlty]:[Mdl BltinGar]])+Sales[[#This Row],[Mdl Res Intercept]]*Sales[[#This Row],[Res Adj ]],-2)</f>
        <v>228300</v>
      </c>
      <c r="CT313">
        <f>ROUND(Sales[[#This Row],[25Det]]*Sales[[#This Row],[Det/Nbhd Adj]],-2)</f>
        <v>0</v>
      </c>
      <c r="CU313">
        <f>Sales[[#This Row],[Adjusted Res]]+Sales[[#This Row],[Adj Det ]]</f>
        <v>228300</v>
      </c>
      <c r="CV313">
        <f>ROUND((Sales[[#This Row],[Mdl Land Intercept]]+Sales[[#This Row],[Mdl LnAcres]])*Sales[[#This Row],[Det/Nbhd Adj]],-2)</f>
        <v>65000</v>
      </c>
      <c r="CW313">
        <f>Sales[[#This Row],[Adjusted Impr Total]]+Sales[[#This Row],[Adjusted Land Total]]</f>
        <v>293300</v>
      </c>
      <c r="CX313" s="10">
        <f>IFERROR((Sales[[#This Row],[Adjusted Impr Total]]-Sales[[#This Row],[24Bldg]])/Sales[[#This Row],[24Bldg]],0)</f>
        <v>1.2416851441241685E-2</v>
      </c>
      <c r="CY313" s="10">
        <f>(Sales[[#This Row],[Adjusted Land Total]]-Sales[[#This Row],[24Lnd]])/Sales[[#This Row],[24Lnd]]</f>
        <v>-4.5941807044410417E-3</v>
      </c>
      <c r="CZ313">
        <f>(Sales[[#This Row],[Adjusted Total]]-Sales[[#This Row],[24Final]])/Sales[[#This Row],[24Final]]</f>
        <v>8.5969738651994494E-3</v>
      </c>
      <c r="DA313" s="10">
        <f>(Sales[[#This Row],[Adjusted Total]]+Sales[[#This Row],[Days Prior Total]])/Sales[[#This Row],[Price]]</f>
        <v>0.90623129974584615</v>
      </c>
    </row>
    <row r="314" spans="1:105">
      <c r="A314">
        <v>2025</v>
      </c>
      <c r="B314">
        <v>19120142501</v>
      </c>
      <c r="C314">
        <v>-2.0402208285265546</v>
      </c>
      <c r="D314">
        <v>0.13</v>
      </c>
      <c r="E314">
        <v>5490</v>
      </c>
      <c r="F314">
        <v>2</v>
      </c>
      <c r="G314" t="s">
        <v>155</v>
      </c>
      <c r="H314">
        <v>317</v>
      </c>
      <c r="I314" t="s">
        <v>5</v>
      </c>
      <c r="J314" t="s">
        <v>156</v>
      </c>
      <c r="K314">
        <v>11</v>
      </c>
      <c r="L314">
        <v>259</v>
      </c>
      <c r="M314" t="s">
        <v>473</v>
      </c>
      <c r="N314" t="s">
        <v>17</v>
      </c>
      <c r="O314" t="s">
        <v>18</v>
      </c>
      <c r="P314">
        <v>1920</v>
      </c>
      <c r="Q314">
        <v>1966</v>
      </c>
      <c r="R314">
        <v>110</v>
      </c>
      <c r="S314">
        <v>104</v>
      </c>
      <c r="T314">
        <v>58</v>
      </c>
      <c r="U314">
        <v>1</v>
      </c>
      <c r="V314">
        <v>1389</v>
      </c>
      <c r="W314">
        <v>0</v>
      </c>
      <c r="X314">
        <v>0</v>
      </c>
      <c r="Y314">
        <v>240</v>
      </c>
      <c r="Z314">
        <v>0</v>
      </c>
      <c r="AA314">
        <v>240</v>
      </c>
      <c r="AB314">
        <v>1629</v>
      </c>
      <c r="AC314">
        <v>2000</v>
      </c>
      <c r="AD314">
        <v>0</v>
      </c>
      <c r="AE314" t="s">
        <v>56</v>
      </c>
      <c r="AF314" t="s">
        <v>158</v>
      </c>
      <c r="AG314" t="s">
        <v>27</v>
      </c>
      <c r="AI314">
        <v>0</v>
      </c>
      <c r="AJ314">
        <v>0</v>
      </c>
      <c r="AK314">
        <v>0</v>
      </c>
      <c r="AL314">
        <v>0</v>
      </c>
      <c r="AM314">
        <v>1</v>
      </c>
      <c r="AN314">
        <v>7</v>
      </c>
      <c r="AO314">
        <v>0</v>
      </c>
      <c r="AP314">
        <v>0</v>
      </c>
      <c r="AQ314">
        <v>0</v>
      </c>
      <c r="AR314">
        <v>0</v>
      </c>
      <c r="AS314">
        <v>162</v>
      </c>
      <c r="AT314">
        <v>162</v>
      </c>
      <c r="AU314">
        <v>100</v>
      </c>
      <c r="AV314">
        <v>100</v>
      </c>
      <c r="AW314">
        <v>227549</v>
      </c>
      <c r="AX314">
        <v>143356</v>
      </c>
      <c r="AY314">
        <v>851</v>
      </c>
      <c r="AZ314">
        <v>365</v>
      </c>
      <c r="BA314">
        <v>365</v>
      </c>
      <c r="BB314">
        <v>121</v>
      </c>
      <c r="BC314" s="2">
        <v>44441</v>
      </c>
      <c r="BD314" t="s">
        <v>483</v>
      </c>
      <c r="BE314">
        <v>295000</v>
      </c>
      <c r="BF314">
        <v>292164</v>
      </c>
      <c r="BG314" t="s">
        <v>160</v>
      </c>
      <c r="BH314">
        <v>30</v>
      </c>
      <c r="BI314" t="s">
        <v>56</v>
      </c>
      <c r="BJ314" t="s">
        <v>161</v>
      </c>
      <c r="BK314">
        <v>276400</v>
      </c>
      <c r="BL314">
        <v>57900</v>
      </c>
      <c r="BM314">
        <v>218500</v>
      </c>
      <c r="BN314">
        <v>2836</v>
      </c>
      <c r="BO314">
        <v>273378.69507702865</v>
      </c>
      <c r="BP314">
        <v>322237.94730745826</v>
      </c>
      <c r="BQ314">
        <f>(Sales[[#This Row],[DP1]]*Lookups!$B$61)+(Sales[[#This Row],[DP2]]*Lookups!$B$62)+(Sales[[#This Row],[DP3]]*Lookups!$B$63)</f>
        <v>-48859.250031000003</v>
      </c>
      <c r="BR314">
        <f>Lookups!$B$58*0.6</f>
        <v>132535.48800000001</v>
      </c>
      <c r="BS314">
        <f>Lookups!$B$58*0.4</f>
        <v>88356.992000000013</v>
      </c>
      <c r="BT314">
        <f>Lookups!$B$59*Sales[[#This Row],[LnAcres]]</f>
        <v>-26776.513064468461</v>
      </c>
      <c r="BU314">
        <f>VLOOKUP(Sales[[#This Row],[Qlty]],Lookups!$A$66:$E$79,2,FALSE)</f>
        <v>24371.765965999999</v>
      </c>
      <c r="BV314">
        <f>VLOOKUP(Sales[[#This Row],[Cnd]],Lookups!$A$80:$E$91,2,FALSE)</f>
        <v>17761.121909000001</v>
      </c>
      <c r="BW314">
        <f>Sales[[#This Row],[EffAge]]*Lookups!$B$65</f>
        <v>-6306.9838</v>
      </c>
      <c r="BX314">
        <f>Sales[[#This Row],[MainFn]]*Lookups!$B$90</f>
        <v>86688.017820000008</v>
      </c>
      <c r="BY314">
        <f>Sales[[#This Row],[UpprFn]]*Lookups!$B$91</f>
        <v>0</v>
      </c>
      <c r="BZ314">
        <f>Sales[[#This Row],[Bsmt]]*Lookups!$B$95</f>
        <v>15020.759039999999</v>
      </c>
      <c r="CA314">
        <f>VLOOKUP(Sales[[#This Row],[MsnryTrim]],Lookups!$A$90:$E$99,2,FALSE)</f>
        <v>-9412.7029999999995</v>
      </c>
      <c r="CB314">
        <f>Sales[[#This Row],[PrefabFP]]*Lookups!$B$92</f>
        <v>0</v>
      </c>
      <c r="CC314">
        <f>Sales[[#This Row],[AttGar]]*Lookups!$B$93</f>
        <v>0</v>
      </c>
      <c r="CD314">
        <f>Sales[[#This Row],[BltinGar]]*Lookups!$B$94</f>
        <v>0</v>
      </c>
      <c r="CE314">
        <f>SUM(Sales[[#This Row],[Days Prior Total]:[Mdl BltinGar]])</f>
        <v>273378.69483953161</v>
      </c>
      <c r="CF314">
        <f>ROUND(Sales[[#This Row],[25Det]],-2)</f>
        <v>2800</v>
      </c>
      <c r="CG314">
        <f>ROUND(SUM(Sales[[#This Row],[Mdl Qlty]:[Mdl BltinGar]])+Sales[[#This Row],[Mdl Res Intercept]]+Sales[[#This Row],[Days Prior Total]],-2)</f>
        <v>211800</v>
      </c>
      <c r="CH314">
        <f>ROUND(Sales[[#This Row],[Mdl Land Intercept]]+Sales[[#This Row],[Mdl LnAcres]],-2)</f>
        <v>61600</v>
      </c>
      <c r="CI314">
        <f>Sales[[#This Row],[Unadj Res Value]]+Sales[[#This Row],[Unadj Det Value]]+Sales[[#This Row],[Unadj Land Value]]</f>
        <v>276200</v>
      </c>
      <c r="CJ314" s="10">
        <f>Sales[[#This Row],[Price]]/Sales[[#This Row],[Unadj Total Value]]</f>
        <v>1.0680666183924692</v>
      </c>
      <c r="CK314" s="10">
        <f>(Sales[[#This Row],[Unadj Total Value]]-Sales[[#This Row],[24Final]])/Sales[[#This Row],[24Final]]</f>
        <v>-7.2358900144717795E-4</v>
      </c>
      <c r="CL314">
        <f>VLOOKUP(Sales[[#This Row],[TNbhd]],Lookups!$M$3:$P$5,4,FALSE)</f>
        <v>0.99970000000000003</v>
      </c>
      <c r="CM314">
        <f>VLOOKUP(Sales[[#This Row],[Qlty]],Lookups!$M$8:$P$22,4,FALSE)</f>
        <v>0.99199999999999999</v>
      </c>
      <c r="CN314">
        <f>VLOOKUP(Sales[[#This Row],[Cnd]],Lookups!$R$8:$U$17,4,FALSE)</f>
        <v>0.99680000000000002</v>
      </c>
      <c r="CO314">
        <f>VLOOKUP(Sales[[#This Row],[LivArea Range]],Lookups!$R$25:$U$43,4,FALSE)</f>
        <v>1.0007999999999999</v>
      </c>
      <c r="CP314">
        <f>VLOOKUP(Sales[[#This Row],[Decade]],Lookups!$M$24:$P$40,4,FALSE)</f>
        <v>0.98240000000000005</v>
      </c>
      <c r="CQ314">
        <f>Sales[[#This Row],[Nbhd Adj]]*0.95</f>
        <v>0.94971499999999998</v>
      </c>
      <c r="CR314">
        <f>Sales[[#This Row],[Nbhd Adj]]*Sales[[#This Row],[Quality Adj]]*Sales[[#This Row],[Condition Adj]]*Sales[[#This Row],[Living Area Adj]]*Sales[[#This Row],[Decade Adj]]*0.95</f>
        <v>0.92331236006170647</v>
      </c>
      <c r="CS314">
        <f>ROUND(SUM(Sales[[#This Row],[Mdl Qlty]:[Mdl BltinGar]])+Sales[[#This Row],[Mdl Res Intercept]]*Sales[[#This Row],[Res Adj ]],-2)</f>
        <v>250500</v>
      </c>
      <c r="CT314">
        <f>ROUND(Sales[[#This Row],[25Det]]*Sales[[#This Row],[Det/Nbhd Adj]],-2)</f>
        <v>2700</v>
      </c>
      <c r="CU314">
        <f>Sales[[#This Row],[Adjusted Res]]+Sales[[#This Row],[Adj Det ]]</f>
        <v>253200</v>
      </c>
      <c r="CV314">
        <f>ROUND((Sales[[#This Row],[Mdl Land Intercept]]+Sales[[#This Row],[Mdl LnAcres]])*Sales[[#This Row],[Det/Nbhd Adj]],-2)</f>
        <v>58500</v>
      </c>
      <c r="CW314">
        <f>Sales[[#This Row],[Adjusted Impr Total]]+Sales[[#This Row],[Adjusted Land Total]]</f>
        <v>311700</v>
      </c>
      <c r="CX314" s="10">
        <f>IFERROR((Sales[[#This Row],[Adjusted Impr Total]]-Sales[[#This Row],[24Bldg]])/Sales[[#This Row],[24Bldg]],0)</f>
        <v>0.15881006864988559</v>
      </c>
      <c r="CY314" s="10">
        <f>(Sales[[#This Row],[Adjusted Land Total]]-Sales[[#This Row],[24Lnd]])/Sales[[#This Row],[24Lnd]]</f>
        <v>1.0362694300518135E-2</v>
      </c>
      <c r="CZ314">
        <f>(Sales[[#This Row],[Adjusted Total]]-Sales[[#This Row],[24Final]])/Sales[[#This Row],[24Final]]</f>
        <v>0.12771345875542692</v>
      </c>
      <c r="DA314" s="10">
        <f>(Sales[[#This Row],[Adjusted Total]]+Sales[[#This Row],[Days Prior Total]])/Sales[[#This Row],[Price]]</f>
        <v>0.89098559311525427</v>
      </c>
    </row>
    <row r="315" spans="1:105">
      <c r="A315">
        <v>2025</v>
      </c>
      <c r="B315">
        <v>19120213404</v>
      </c>
      <c r="C315">
        <v>0.82417544296634937</v>
      </c>
      <c r="D315">
        <v>2.2799999999999998</v>
      </c>
      <c r="E315">
        <v>99438</v>
      </c>
      <c r="F315">
        <v>2</v>
      </c>
      <c r="G315" t="s">
        <v>155</v>
      </c>
      <c r="H315">
        <v>317</v>
      </c>
      <c r="I315" t="s">
        <v>5</v>
      </c>
      <c r="J315" t="s">
        <v>212</v>
      </c>
      <c r="K315">
        <v>11</v>
      </c>
      <c r="L315">
        <v>400</v>
      </c>
      <c r="M315" t="s">
        <v>157</v>
      </c>
      <c r="N315" t="s">
        <v>15</v>
      </c>
      <c r="O315" t="s">
        <v>20</v>
      </c>
      <c r="P315">
        <v>1920</v>
      </c>
      <c r="Q315">
        <v>1966</v>
      </c>
      <c r="R315">
        <v>110</v>
      </c>
      <c r="S315">
        <v>104</v>
      </c>
      <c r="T315">
        <v>58</v>
      </c>
      <c r="U315">
        <v>2</v>
      </c>
      <c r="V315">
        <v>966</v>
      </c>
      <c r="W315">
        <v>250</v>
      </c>
      <c r="X315">
        <v>0</v>
      </c>
      <c r="Y315">
        <v>0</v>
      </c>
      <c r="Z315">
        <v>0</v>
      </c>
      <c r="AA315">
        <v>0</v>
      </c>
      <c r="AB315">
        <v>1216</v>
      </c>
      <c r="AC315">
        <v>1500</v>
      </c>
      <c r="AD315">
        <v>0</v>
      </c>
      <c r="AE315" t="s">
        <v>56</v>
      </c>
      <c r="AF315" t="s">
        <v>331</v>
      </c>
      <c r="AG315" t="s">
        <v>21</v>
      </c>
      <c r="AH315" t="s">
        <v>56</v>
      </c>
      <c r="AI315">
        <v>0</v>
      </c>
      <c r="AJ315">
        <v>0</v>
      </c>
      <c r="AK315">
        <v>0</v>
      </c>
      <c r="AL315">
        <v>1</v>
      </c>
      <c r="AM315">
        <v>0</v>
      </c>
      <c r="AN315">
        <v>8</v>
      </c>
      <c r="AO315">
        <v>0</v>
      </c>
      <c r="AP315">
        <v>0</v>
      </c>
      <c r="AQ315">
        <v>0</v>
      </c>
      <c r="AR315">
        <v>0</v>
      </c>
      <c r="AS315">
        <v>168</v>
      </c>
      <c r="AT315">
        <v>168</v>
      </c>
      <c r="AU315">
        <v>100</v>
      </c>
      <c r="AV315">
        <v>100</v>
      </c>
      <c r="AW315">
        <v>170155</v>
      </c>
      <c r="AX315">
        <v>122512</v>
      </c>
      <c r="AY315">
        <v>627</v>
      </c>
      <c r="AZ315">
        <v>365</v>
      </c>
      <c r="BA315">
        <v>262</v>
      </c>
      <c r="BB315">
        <v>0</v>
      </c>
      <c r="BC315" s="2">
        <v>44665</v>
      </c>
      <c r="BD315" t="s">
        <v>484</v>
      </c>
      <c r="BE315">
        <v>330000</v>
      </c>
      <c r="BF315">
        <v>326658</v>
      </c>
      <c r="BG315" t="s">
        <v>160</v>
      </c>
      <c r="BH315">
        <v>30</v>
      </c>
      <c r="BI315" t="s">
        <v>56</v>
      </c>
      <c r="BJ315" t="s">
        <v>161</v>
      </c>
      <c r="BK315">
        <v>295200</v>
      </c>
      <c r="BL315">
        <v>98100</v>
      </c>
      <c r="BM315">
        <v>197100</v>
      </c>
      <c r="BN315">
        <v>3342</v>
      </c>
      <c r="BO315">
        <v>306028.94426608353</v>
      </c>
      <c r="BP315">
        <v>320232.58207646059</v>
      </c>
      <c r="BQ315">
        <f>(Sales[[#This Row],[DP1]]*Lookups!$B$61)+(Sales[[#This Row],[DP2]]*Lookups!$B$62)+(Sales[[#This Row],[DP3]]*Lookups!$B$63)</f>
        <v>-14203.636981</v>
      </c>
      <c r="BR315">
        <f>Lookups!$B$58*0.6</f>
        <v>132535.48800000001</v>
      </c>
      <c r="BS315">
        <f>Lookups!$B$58*0.4</f>
        <v>88356.992000000013</v>
      </c>
      <c r="BT315">
        <f>Lookups!$B$59*Sales[[#This Row],[LnAcres]]</f>
        <v>10816.743073807562</v>
      </c>
      <c r="BU315">
        <f>VLOOKUP(Sales[[#This Row],[Qlty]],Lookups!$A$66:$E$79,2,FALSE)</f>
        <v>-1240.8083630000001</v>
      </c>
      <c r="BV315">
        <f>VLOOKUP(Sales[[#This Row],[Cnd]],Lookups!$A$80:$E$91,2,FALSE)</f>
        <v>30300.329274</v>
      </c>
      <c r="BW315">
        <f>Sales[[#This Row],[EffAge]]*Lookups!$B$65</f>
        <v>-6306.9838</v>
      </c>
      <c r="BX315">
        <f>Sales[[#This Row],[MainFn]]*Lookups!$B$90</f>
        <v>60288.427080000001</v>
      </c>
      <c r="BY315">
        <f>Sales[[#This Row],[UpprFn]]*Lookups!$B$91</f>
        <v>14895.095749999999</v>
      </c>
      <c r="BZ315">
        <f>Sales[[#This Row],[Bsmt]]*Lookups!$B$95</f>
        <v>0</v>
      </c>
      <c r="CA315">
        <f>VLOOKUP(Sales[[#This Row],[MsnryTrim]],Lookups!$A$90:$E$99,2,FALSE)</f>
        <v>-9412.7029999999995</v>
      </c>
      <c r="CB315">
        <f>Sales[[#This Row],[PrefabFP]]*Lookups!$B$92</f>
        <v>0</v>
      </c>
      <c r="CC315">
        <f>Sales[[#This Row],[AttGar]]*Lookups!$B$93</f>
        <v>0</v>
      </c>
      <c r="CD315">
        <f>Sales[[#This Row],[BltinGar]]*Lookups!$B$94</f>
        <v>0</v>
      </c>
      <c r="CE315">
        <f>SUM(Sales[[#This Row],[Days Prior Total]:[Mdl BltinGar]])</f>
        <v>306028.94303380762</v>
      </c>
      <c r="CF315">
        <f>ROUND(Sales[[#This Row],[25Det]],-2)</f>
        <v>3300</v>
      </c>
      <c r="CG315">
        <f>ROUND(SUM(Sales[[#This Row],[Mdl Qlty]:[Mdl BltinGar]])+Sales[[#This Row],[Mdl Res Intercept]]+Sales[[#This Row],[Days Prior Total]],-2)</f>
        <v>206900</v>
      </c>
      <c r="CH315">
        <f>ROUND(Sales[[#This Row],[Mdl Land Intercept]]+Sales[[#This Row],[Mdl LnAcres]],-2)</f>
        <v>99200</v>
      </c>
      <c r="CI315">
        <f>Sales[[#This Row],[Unadj Res Value]]+Sales[[#This Row],[Unadj Det Value]]+Sales[[#This Row],[Unadj Land Value]]</f>
        <v>309400</v>
      </c>
      <c r="CJ315" s="10">
        <f>Sales[[#This Row],[Price]]/Sales[[#This Row],[Unadj Total Value]]</f>
        <v>1.0665804783451842</v>
      </c>
      <c r="CK315" s="10">
        <f>(Sales[[#This Row],[Unadj Total Value]]-Sales[[#This Row],[24Final]])/Sales[[#This Row],[24Final]]</f>
        <v>4.8102981029810296E-2</v>
      </c>
      <c r="CL315">
        <f>VLOOKUP(Sales[[#This Row],[TNbhd]],Lookups!$M$3:$P$5,4,FALSE)</f>
        <v>0.99970000000000003</v>
      </c>
      <c r="CM315">
        <f>VLOOKUP(Sales[[#This Row],[Qlty]],Lookups!$M$8:$P$22,4,FALSE)</f>
        <v>1.0022</v>
      </c>
      <c r="CN315">
        <f>VLOOKUP(Sales[[#This Row],[Cnd]],Lookups!$R$8:$U$17,4,FALSE)</f>
        <v>0.997</v>
      </c>
      <c r="CO315">
        <f>VLOOKUP(Sales[[#This Row],[LivArea Range]],Lookups!$R$25:$U$43,4,FALSE)</f>
        <v>0.99519999999999997</v>
      </c>
      <c r="CP315">
        <f>VLOOKUP(Sales[[#This Row],[Decade]],Lookups!$M$24:$P$40,4,FALSE)</f>
        <v>0.98240000000000005</v>
      </c>
      <c r="CQ315">
        <f>Sales[[#This Row],[Nbhd Adj]]*0.95</f>
        <v>0.94971499999999998</v>
      </c>
      <c r="CR315">
        <f>Sales[[#This Row],[Nbhd Adj]]*Sales[[#This Row],[Quality Adj]]*Sales[[#This Row],[Condition Adj]]*Sales[[#This Row],[Living Area Adj]]*Sales[[#This Row],[Decade Adj]]*0.95</f>
        <v>0.92777267038779632</v>
      </c>
      <c r="CS315">
        <f>ROUND(SUM(Sales[[#This Row],[Mdl Qlty]:[Mdl BltinGar]])+Sales[[#This Row],[Mdl Res Intercept]]*Sales[[#This Row],[Res Adj ]],-2)</f>
        <v>211500</v>
      </c>
      <c r="CT315">
        <f>ROUND(Sales[[#This Row],[25Det]]*Sales[[#This Row],[Det/Nbhd Adj]],-2)</f>
        <v>3200</v>
      </c>
      <c r="CU315">
        <f>Sales[[#This Row],[Adjusted Res]]+Sales[[#This Row],[Adj Det ]]</f>
        <v>214700</v>
      </c>
      <c r="CV315">
        <f>ROUND((Sales[[#This Row],[Mdl Land Intercept]]+Sales[[#This Row],[Mdl LnAcres]])*Sales[[#This Row],[Det/Nbhd Adj]],-2)</f>
        <v>94200</v>
      </c>
      <c r="CW315">
        <f>Sales[[#This Row],[Adjusted Impr Total]]+Sales[[#This Row],[Adjusted Land Total]]</f>
        <v>308900</v>
      </c>
      <c r="CX315" s="10">
        <f>IFERROR((Sales[[#This Row],[Adjusted Impr Total]]-Sales[[#This Row],[24Bldg]])/Sales[[#This Row],[24Bldg]],0)</f>
        <v>8.9294774226281071E-2</v>
      </c>
      <c r="CY315" s="10">
        <f>(Sales[[#This Row],[Adjusted Land Total]]-Sales[[#This Row],[24Lnd]])/Sales[[#This Row],[24Lnd]]</f>
        <v>-3.9755351681957186E-2</v>
      </c>
      <c r="CZ315">
        <f>(Sales[[#This Row],[Adjusted Total]]-Sales[[#This Row],[24Final]])/Sales[[#This Row],[24Final]]</f>
        <v>4.6409214092140924E-2</v>
      </c>
      <c r="DA315" s="10">
        <f>(Sales[[#This Row],[Adjusted Total]]+Sales[[#This Row],[Days Prior Total]])/Sales[[#This Row],[Price]]</f>
        <v>0.89301928187575752</v>
      </c>
    </row>
    <row r="316" spans="1:105">
      <c r="A316">
        <v>2025</v>
      </c>
      <c r="B316">
        <v>20120642006</v>
      </c>
      <c r="C316">
        <v>0.85441532815606758</v>
      </c>
      <c r="D316">
        <v>2.35</v>
      </c>
      <c r="E316">
        <v>102501</v>
      </c>
      <c r="F316">
        <v>2</v>
      </c>
      <c r="G316" t="s">
        <v>155</v>
      </c>
      <c r="H316">
        <v>317</v>
      </c>
      <c r="I316" t="s">
        <v>5</v>
      </c>
      <c r="J316" t="s">
        <v>212</v>
      </c>
      <c r="K316">
        <v>11</v>
      </c>
      <c r="L316">
        <v>259</v>
      </c>
      <c r="M316" t="s">
        <v>485</v>
      </c>
      <c r="N316" t="s">
        <v>13</v>
      </c>
      <c r="O316" t="s">
        <v>18</v>
      </c>
      <c r="P316">
        <v>1920</v>
      </c>
      <c r="Q316">
        <v>1966</v>
      </c>
      <c r="R316">
        <v>110</v>
      </c>
      <c r="S316">
        <v>104</v>
      </c>
      <c r="T316">
        <v>58</v>
      </c>
      <c r="U316">
        <v>2</v>
      </c>
      <c r="V316">
        <v>1100</v>
      </c>
      <c r="W316">
        <v>576</v>
      </c>
      <c r="X316">
        <v>0</v>
      </c>
      <c r="Y316">
        <v>0</v>
      </c>
      <c r="Z316">
        <v>0</v>
      </c>
      <c r="AA316">
        <v>0</v>
      </c>
      <c r="AB316">
        <v>1676</v>
      </c>
      <c r="AC316">
        <v>2000</v>
      </c>
      <c r="AD316">
        <v>0</v>
      </c>
      <c r="AE316" t="s">
        <v>56</v>
      </c>
      <c r="AF316" t="s">
        <v>466</v>
      </c>
      <c r="AG316" t="s">
        <v>27</v>
      </c>
      <c r="AI316">
        <v>1</v>
      </c>
      <c r="AJ316">
        <v>0</v>
      </c>
      <c r="AK316">
        <v>0</v>
      </c>
      <c r="AL316">
        <v>0</v>
      </c>
      <c r="AM316">
        <v>0</v>
      </c>
      <c r="AN316">
        <v>5</v>
      </c>
      <c r="AO316">
        <v>0</v>
      </c>
      <c r="AP316">
        <v>0</v>
      </c>
      <c r="AQ316">
        <v>0</v>
      </c>
      <c r="AR316">
        <v>336</v>
      </c>
      <c r="AS316">
        <v>0</v>
      </c>
      <c r="AT316">
        <v>336</v>
      </c>
      <c r="AU316">
        <v>100</v>
      </c>
      <c r="AV316">
        <v>100</v>
      </c>
      <c r="AW316">
        <v>191135</v>
      </c>
      <c r="AX316">
        <v>120415</v>
      </c>
      <c r="AY316">
        <v>606</v>
      </c>
      <c r="AZ316">
        <v>365</v>
      </c>
      <c r="BA316">
        <v>241</v>
      </c>
      <c r="BB316">
        <v>0</v>
      </c>
      <c r="BC316" s="2">
        <v>44686</v>
      </c>
      <c r="BD316" t="s">
        <v>486</v>
      </c>
      <c r="BE316">
        <v>310000</v>
      </c>
      <c r="BF316">
        <v>300450</v>
      </c>
      <c r="BG316" t="s">
        <v>160</v>
      </c>
      <c r="BH316">
        <v>30</v>
      </c>
      <c r="BI316" t="s">
        <v>56</v>
      </c>
      <c r="BJ316" t="s">
        <v>161</v>
      </c>
      <c r="BK316">
        <v>302700</v>
      </c>
      <c r="BL316">
        <v>98500</v>
      </c>
      <c r="BM316">
        <v>204200</v>
      </c>
      <c r="BN316">
        <v>9550</v>
      </c>
      <c r="BO316">
        <v>324329.93352547387</v>
      </c>
      <c r="BP316">
        <v>337117.25671838853</v>
      </c>
      <c r="BQ316">
        <f>(Sales[[#This Row],[DP1]]*Lookups!$B$61)+(Sales[[#This Row],[DP2]]*Lookups!$B$62)+(Sales[[#This Row],[DP3]]*Lookups!$B$63)</f>
        <v>-12787.322431000001</v>
      </c>
      <c r="BR316">
        <f>Lookups!$B$58*0.6</f>
        <v>132535.48800000001</v>
      </c>
      <c r="BS316">
        <f>Lookups!$B$58*0.4</f>
        <v>88356.992000000013</v>
      </c>
      <c r="BT316">
        <f>Lookups!$B$59*Sales[[#This Row],[LnAcres]]</f>
        <v>11213.621034040569</v>
      </c>
      <c r="BU316">
        <f>VLOOKUP(Sales[[#This Row],[Qlty]],Lookups!$A$66:$E$79,2,FALSE)</f>
        <v>0</v>
      </c>
      <c r="BV316">
        <f>VLOOKUP(Sales[[#This Row],[Cnd]],Lookups!$A$80:$E$91,2,FALSE)</f>
        <v>17761.121909000001</v>
      </c>
      <c r="BW316">
        <f>Sales[[#This Row],[EffAge]]*Lookups!$B$65</f>
        <v>-6306.9838</v>
      </c>
      <c r="BX316">
        <f>Sales[[#This Row],[MainFn]]*Lookups!$B$90</f>
        <v>68651.418000000005</v>
      </c>
      <c r="BY316">
        <f>Sales[[#This Row],[UpprFn]]*Lookups!$B$91</f>
        <v>34318.300607999998</v>
      </c>
      <c r="BZ316">
        <f>Sales[[#This Row],[Bsmt]]*Lookups!$B$95</f>
        <v>0</v>
      </c>
      <c r="CA316">
        <f>VLOOKUP(Sales[[#This Row],[MsnryTrim]],Lookups!$A$90:$E$99,2,FALSE)</f>
        <v>-9412.7029999999995</v>
      </c>
      <c r="CB316">
        <f>Sales[[#This Row],[PrefabFP]]*Lookups!$B$92</f>
        <v>0</v>
      </c>
      <c r="CC316">
        <f>Sales[[#This Row],[AttGar]]*Lookups!$B$93</f>
        <v>0</v>
      </c>
      <c r="CD316">
        <f>Sales[[#This Row],[BltinGar]]*Lookups!$B$94</f>
        <v>0</v>
      </c>
      <c r="CE316">
        <f>SUM(Sales[[#This Row],[Days Prior Total]:[Mdl BltinGar]])</f>
        <v>324329.93232004065</v>
      </c>
      <c r="CF316">
        <f>ROUND(Sales[[#This Row],[25Det]],-2)</f>
        <v>9600</v>
      </c>
      <c r="CG316">
        <f>ROUND(SUM(Sales[[#This Row],[Mdl Qlty]:[Mdl BltinGar]])+Sales[[#This Row],[Mdl Res Intercept]]+Sales[[#This Row],[Days Prior Total]],-2)</f>
        <v>224800</v>
      </c>
      <c r="CH316">
        <f>ROUND(Sales[[#This Row],[Mdl Land Intercept]]+Sales[[#This Row],[Mdl LnAcres]],-2)</f>
        <v>99600</v>
      </c>
      <c r="CI316">
        <f>Sales[[#This Row],[Unadj Res Value]]+Sales[[#This Row],[Unadj Det Value]]+Sales[[#This Row],[Unadj Land Value]]</f>
        <v>334000</v>
      </c>
      <c r="CJ316" s="10">
        <f>Sales[[#This Row],[Price]]/Sales[[#This Row],[Unadj Total Value]]</f>
        <v>0.92814371257485029</v>
      </c>
      <c r="CK316" s="10">
        <f>(Sales[[#This Row],[Unadj Total Value]]-Sales[[#This Row],[24Final]])/Sales[[#This Row],[24Final]]</f>
        <v>0.10340270895275851</v>
      </c>
      <c r="CL316">
        <f>VLOOKUP(Sales[[#This Row],[TNbhd]],Lookups!$M$3:$P$5,4,FALSE)</f>
        <v>0.99970000000000003</v>
      </c>
      <c r="CM316">
        <f>VLOOKUP(Sales[[#This Row],[Qlty]],Lookups!$M$8:$P$22,4,FALSE)</f>
        <v>1.0003</v>
      </c>
      <c r="CN316">
        <f>VLOOKUP(Sales[[#This Row],[Cnd]],Lookups!$R$8:$U$17,4,FALSE)</f>
        <v>0.99680000000000002</v>
      </c>
      <c r="CO316">
        <f>VLOOKUP(Sales[[#This Row],[LivArea Range]],Lookups!$R$25:$U$43,4,FALSE)</f>
        <v>1.0007999999999999</v>
      </c>
      <c r="CP316">
        <f>VLOOKUP(Sales[[#This Row],[Decade]],Lookups!$M$24:$P$40,4,FALSE)</f>
        <v>0.98240000000000005</v>
      </c>
      <c r="CQ316">
        <f>Sales[[#This Row],[Nbhd Adj]]*0.95</f>
        <v>0.94971499999999998</v>
      </c>
      <c r="CR316">
        <f>Sales[[#This Row],[Nbhd Adj]]*Sales[[#This Row],[Quality Adj]]*Sales[[#This Row],[Condition Adj]]*Sales[[#This Row],[Living Area Adj]]*Sales[[#This Row],[Decade Adj]]*0.95</f>
        <v>0.9310376550098034</v>
      </c>
      <c r="CS316">
        <f>ROUND(SUM(Sales[[#This Row],[Mdl Qlty]:[Mdl BltinGar]])+Sales[[#This Row],[Mdl Res Intercept]]*Sales[[#This Row],[Res Adj ]],-2)</f>
        <v>228400</v>
      </c>
      <c r="CT316">
        <f>ROUND(Sales[[#This Row],[25Det]]*Sales[[#This Row],[Det/Nbhd Adj]],-2)</f>
        <v>9100</v>
      </c>
      <c r="CU316">
        <f>Sales[[#This Row],[Adjusted Res]]+Sales[[#This Row],[Adj Det ]]</f>
        <v>237500</v>
      </c>
      <c r="CV316">
        <f>ROUND((Sales[[#This Row],[Mdl Land Intercept]]+Sales[[#This Row],[Mdl LnAcres]])*Sales[[#This Row],[Det/Nbhd Adj]],-2)</f>
        <v>94600</v>
      </c>
      <c r="CW316">
        <f>Sales[[#This Row],[Adjusted Impr Total]]+Sales[[#This Row],[Adjusted Land Total]]</f>
        <v>332100</v>
      </c>
      <c r="CX316" s="10">
        <f>IFERROR((Sales[[#This Row],[Adjusted Impr Total]]-Sales[[#This Row],[24Bldg]])/Sales[[#This Row],[24Bldg]],0)</f>
        <v>0.16307541625857003</v>
      </c>
      <c r="CY316" s="10">
        <f>(Sales[[#This Row],[Adjusted Land Total]]-Sales[[#This Row],[24Lnd]])/Sales[[#This Row],[24Lnd]]</f>
        <v>-3.9593908629441621E-2</v>
      </c>
      <c r="CZ316">
        <f>(Sales[[#This Row],[Adjusted Total]]-Sales[[#This Row],[24Final]])/Sales[[#This Row],[24Final]]</f>
        <v>9.7125867195242813E-2</v>
      </c>
      <c r="DA316" s="10">
        <f>(Sales[[#This Row],[Adjusted Total]]+Sales[[#This Row],[Days Prior Total]])/Sales[[#This Row],[Price]]</f>
        <v>1.0300408953838709</v>
      </c>
    </row>
    <row r="317" spans="1:105">
      <c r="A317">
        <v>2025</v>
      </c>
      <c r="B317">
        <v>19133541411</v>
      </c>
      <c r="C317">
        <v>-0.96758402626170559</v>
      </c>
      <c r="D317">
        <v>0.38</v>
      </c>
      <c r="E317">
        <v>0</v>
      </c>
      <c r="F317">
        <v>2</v>
      </c>
      <c r="G317" t="s">
        <v>155</v>
      </c>
      <c r="H317">
        <v>317</v>
      </c>
      <c r="I317" t="s">
        <v>5</v>
      </c>
      <c r="J317" t="s">
        <v>212</v>
      </c>
      <c r="K317">
        <v>11</v>
      </c>
      <c r="L317">
        <v>259</v>
      </c>
      <c r="M317" t="s">
        <v>485</v>
      </c>
      <c r="N317" t="s">
        <v>13</v>
      </c>
      <c r="O317" t="s">
        <v>18</v>
      </c>
      <c r="P317">
        <v>1902</v>
      </c>
      <c r="Q317">
        <v>1950</v>
      </c>
      <c r="R317">
        <v>130</v>
      </c>
      <c r="S317">
        <v>122</v>
      </c>
      <c r="T317">
        <v>74</v>
      </c>
      <c r="U317">
        <v>2</v>
      </c>
      <c r="V317">
        <v>1120</v>
      </c>
      <c r="W317">
        <v>416</v>
      </c>
      <c r="X317">
        <v>0</v>
      </c>
      <c r="Y317">
        <v>0</v>
      </c>
      <c r="Z317">
        <v>0</v>
      </c>
      <c r="AA317">
        <v>0</v>
      </c>
      <c r="AB317">
        <v>1536</v>
      </c>
      <c r="AC317">
        <v>2000</v>
      </c>
      <c r="AD317">
        <v>0</v>
      </c>
      <c r="AE317" t="s">
        <v>56</v>
      </c>
      <c r="AF317" t="s">
        <v>487</v>
      </c>
      <c r="AG317" t="s">
        <v>21</v>
      </c>
      <c r="AI317">
        <v>1</v>
      </c>
      <c r="AJ317">
        <v>0</v>
      </c>
      <c r="AK317">
        <v>0</v>
      </c>
      <c r="AL317">
        <v>0</v>
      </c>
      <c r="AM317">
        <v>0</v>
      </c>
      <c r="AN317">
        <v>5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120</v>
      </c>
      <c r="AU317">
        <v>100</v>
      </c>
      <c r="AV317">
        <v>100</v>
      </c>
      <c r="AW317">
        <v>170311</v>
      </c>
      <c r="AX317">
        <v>93671</v>
      </c>
      <c r="AY317">
        <v>167</v>
      </c>
      <c r="AZ317">
        <v>167</v>
      </c>
      <c r="BA317">
        <v>0</v>
      </c>
      <c r="BB317">
        <v>0</v>
      </c>
      <c r="BC317" s="2">
        <v>45125</v>
      </c>
      <c r="BD317" t="s">
        <v>488</v>
      </c>
      <c r="BE317">
        <v>340000</v>
      </c>
      <c r="BF317">
        <v>301635</v>
      </c>
      <c r="BG317" t="s">
        <v>160</v>
      </c>
      <c r="BH317">
        <v>30</v>
      </c>
      <c r="BI317" t="s">
        <v>56</v>
      </c>
      <c r="BJ317" t="s">
        <v>161</v>
      </c>
      <c r="BK317">
        <v>282400</v>
      </c>
      <c r="BL317">
        <v>73000</v>
      </c>
      <c r="BM317">
        <v>209400</v>
      </c>
      <c r="BN317">
        <v>38365</v>
      </c>
      <c r="BO317">
        <v>304766.31677061185</v>
      </c>
      <c r="BP317">
        <v>303180.24084478553</v>
      </c>
      <c r="BQ317">
        <f>(Sales[[#This Row],[DP1]]*Lookups!$B$61)+(Sales[[#This Row],[DP2]]*Lookups!$B$62)+(Sales[[#This Row],[DP3]]*Lookups!$B$63)</f>
        <v>1586.0759201999999</v>
      </c>
      <c r="BR317">
        <f>Lookups!$B$58*0.6</f>
        <v>132535.48800000001</v>
      </c>
      <c r="BS317">
        <f>Lookups!$B$58*0.4</f>
        <v>88356.992000000013</v>
      </c>
      <c r="BT317">
        <f>Lookups!$B$59*Sales[[#This Row],[LnAcres]]</f>
        <v>-12698.883355131054</v>
      </c>
      <c r="BU317">
        <f>VLOOKUP(Sales[[#This Row],[Qlty]],Lookups!$A$66:$E$79,2,FALSE)</f>
        <v>0</v>
      </c>
      <c r="BV317">
        <f>VLOOKUP(Sales[[#This Row],[Cnd]],Lookups!$A$80:$E$91,2,FALSE)</f>
        <v>17761.121909000001</v>
      </c>
      <c r="BW317">
        <f>Sales[[#This Row],[EffAge]]*Lookups!$B$65</f>
        <v>-8046.8414000000002</v>
      </c>
      <c r="BX317">
        <f>Sales[[#This Row],[MainFn]]*Lookups!$B$90</f>
        <v>69899.625599999999</v>
      </c>
      <c r="BY317">
        <f>Sales[[#This Row],[UpprFn]]*Lookups!$B$91</f>
        <v>24785.439328</v>
      </c>
      <c r="BZ317">
        <f>Sales[[#This Row],[Bsmt]]*Lookups!$B$95</f>
        <v>0</v>
      </c>
      <c r="CA317">
        <f>VLOOKUP(Sales[[#This Row],[MsnryTrim]],Lookups!$A$90:$E$99,2,FALSE)</f>
        <v>-9412.7029999999995</v>
      </c>
      <c r="CB317">
        <f>Sales[[#This Row],[PrefabFP]]*Lookups!$B$92</f>
        <v>0</v>
      </c>
      <c r="CC317">
        <f>Sales[[#This Row],[AttGar]]*Lookups!$B$93</f>
        <v>0</v>
      </c>
      <c r="CD317">
        <f>Sales[[#This Row],[BltinGar]]*Lookups!$B$94</f>
        <v>0</v>
      </c>
      <c r="CE317">
        <f>SUM(Sales[[#This Row],[Days Prior Total]:[Mdl BltinGar]])</f>
        <v>304766.31500206899</v>
      </c>
      <c r="CF317">
        <f>ROUND(Sales[[#This Row],[25Det]],-2)</f>
        <v>38400</v>
      </c>
      <c r="CG317">
        <f>ROUND(SUM(Sales[[#This Row],[Mdl Qlty]:[Mdl BltinGar]])+Sales[[#This Row],[Mdl Res Intercept]]+Sales[[#This Row],[Days Prior Total]],-2)</f>
        <v>229100</v>
      </c>
      <c r="CH317">
        <f>ROUND(Sales[[#This Row],[Mdl Land Intercept]]+Sales[[#This Row],[Mdl LnAcres]],-2)</f>
        <v>75700</v>
      </c>
      <c r="CI317">
        <f>Sales[[#This Row],[Unadj Res Value]]+Sales[[#This Row],[Unadj Det Value]]+Sales[[#This Row],[Unadj Land Value]]</f>
        <v>343200</v>
      </c>
      <c r="CJ317" s="10">
        <f>Sales[[#This Row],[Price]]/Sales[[#This Row],[Unadj Total Value]]</f>
        <v>0.99067599067599066</v>
      </c>
      <c r="CK317" s="10">
        <f>(Sales[[#This Row],[Unadj Total Value]]-Sales[[#This Row],[24Final]])/Sales[[#This Row],[24Final]]</f>
        <v>0.21529745042492918</v>
      </c>
      <c r="CL317">
        <f>VLOOKUP(Sales[[#This Row],[TNbhd]],Lookups!$M$3:$P$5,4,FALSE)</f>
        <v>0.99970000000000003</v>
      </c>
      <c r="CM317">
        <f>VLOOKUP(Sales[[#This Row],[Qlty]],Lookups!$M$8:$P$22,4,FALSE)</f>
        <v>1.0003</v>
      </c>
      <c r="CN317">
        <f>VLOOKUP(Sales[[#This Row],[Cnd]],Lookups!$R$8:$U$17,4,FALSE)</f>
        <v>0.99680000000000002</v>
      </c>
      <c r="CO317">
        <f>VLOOKUP(Sales[[#This Row],[LivArea Range]],Lookups!$R$25:$U$43,4,FALSE)</f>
        <v>1.0007999999999999</v>
      </c>
      <c r="CP317">
        <f>VLOOKUP(Sales[[#This Row],[Decade]],Lookups!$M$24:$P$40,4,FALSE)</f>
        <v>0.96709999999999996</v>
      </c>
      <c r="CQ317">
        <f>Sales[[#This Row],[Nbhd Adj]]*0.95</f>
        <v>0.94971499999999998</v>
      </c>
      <c r="CR317">
        <f>Sales[[#This Row],[Nbhd Adj]]*Sales[[#This Row],[Quality Adj]]*Sales[[#This Row],[Condition Adj]]*Sales[[#This Row],[Living Area Adj]]*Sales[[#This Row],[Decade Adj]]*0.95</f>
        <v>0.91653757752441034</v>
      </c>
      <c r="CS317">
        <f>ROUND(SUM(Sales[[#This Row],[Mdl Qlty]:[Mdl BltinGar]])+Sales[[#This Row],[Mdl Res Intercept]]*Sales[[#This Row],[Res Adj ]],-2)</f>
        <v>216500</v>
      </c>
      <c r="CT317">
        <f>ROUND(Sales[[#This Row],[25Det]]*Sales[[#This Row],[Det/Nbhd Adj]],-2)</f>
        <v>36400</v>
      </c>
      <c r="CU317">
        <f>Sales[[#This Row],[Adjusted Res]]+Sales[[#This Row],[Adj Det ]]</f>
        <v>252900</v>
      </c>
      <c r="CV317">
        <f>ROUND((Sales[[#This Row],[Mdl Land Intercept]]+Sales[[#This Row],[Mdl LnAcres]])*Sales[[#This Row],[Det/Nbhd Adj]],-2)</f>
        <v>71900</v>
      </c>
      <c r="CW317">
        <f>Sales[[#This Row],[Adjusted Impr Total]]+Sales[[#This Row],[Adjusted Land Total]]</f>
        <v>324800</v>
      </c>
      <c r="CX317" s="10">
        <f>IFERROR((Sales[[#This Row],[Adjusted Impr Total]]-Sales[[#This Row],[24Bldg]])/Sales[[#This Row],[24Bldg]],0)</f>
        <v>0.20773638968481375</v>
      </c>
      <c r="CY317" s="10">
        <f>(Sales[[#This Row],[Adjusted Land Total]]-Sales[[#This Row],[24Lnd]])/Sales[[#This Row],[24Lnd]]</f>
        <v>-1.5068493150684932E-2</v>
      </c>
      <c r="CZ317">
        <f>(Sales[[#This Row],[Adjusted Total]]-Sales[[#This Row],[24Final]])/Sales[[#This Row],[24Final]]</f>
        <v>0.1501416430594901</v>
      </c>
      <c r="DA317" s="10">
        <f>(Sales[[#This Row],[Adjusted Total]]+Sales[[#This Row],[Days Prior Total]])/Sales[[#This Row],[Price]]</f>
        <v>0.95995904682411759</v>
      </c>
    </row>
    <row r="318" spans="1:105">
      <c r="A318">
        <v>2025</v>
      </c>
      <c r="B318">
        <v>19133511002</v>
      </c>
      <c r="C318">
        <v>-0.51082562376599072</v>
      </c>
      <c r="D318">
        <v>0.6</v>
      </c>
      <c r="E318">
        <v>0</v>
      </c>
      <c r="F318">
        <v>2</v>
      </c>
      <c r="G318" t="s">
        <v>155</v>
      </c>
      <c r="H318">
        <v>317</v>
      </c>
      <c r="I318" t="s">
        <v>5</v>
      </c>
      <c r="J318" t="s">
        <v>212</v>
      </c>
      <c r="K318">
        <v>11</v>
      </c>
      <c r="L318">
        <v>259</v>
      </c>
      <c r="M318" t="s">
        <v>473</v>
      </c>
      <c r="N318" t="s">
        <v>13</v>
      </c>
      <c r="O318" t="s">
        <v>18</v>
      </c>
      <c r="P318">
        <v>1901</v>
      </c>
      <c r="Q318">
        <v>1949</v>
      </c>
      <c r="R318">
        <v>130</v>
      </c>
      <c r="S318">
        <v>123</v>
      </c>
      <c r="T318">
        <v>75</v>
      </c>
      <c r="U318">
        <v>1</v>
      </c>
      <c r="V318">
        <v>888</v>
      </c>
      <c r="W318">
        <v>0</v>
      </c>
      <c r="X318">
        <v>0</v>
      </c>
      <c r="Y318">
        <v>888</v>
      </c>
      <c r="Z318">
        <v>888</v>
      </c>
      <c r="AA318">
        <v>0</v>
      </c>
      <c r="AB318">
        <v>888</v>
      </c>
      <c r="AC318">
        <v>1000</v>
      </c>
      <c r="AD318">
        <v>0</v>
      </c>
      <c r="AE318" t="s">
        <v>56</v>
      </c>
      <c r="AF318" t="s">
        <v>331</v>
      </c>
      <c r="AG318" t="s">
        <v>21</v>
      </c>
      <c r="AI318">
        <v>0</v>
      </c>
      <c r="AJ318">
        <v>1</v>
      </c>
      <c r="AK318">
        <v>0</v>
      </c>
      <c r="AL318">
        <v>0</v>
      </c>
      <c r="AM318">
        <v>0</v>
      </c>
      <c r="AN318">
        <v>5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100</v>
      </c>
      <c r="AV318">
        <v>100</v>
      </c>
      <c r="AW318">
        <v>146249</v>
      </c>
      <c r="AX318">
        <v>80437</v>
      </c>
      <c r="AY318">
        <v>1022</v>
      </c>
      <c r="AZ318">
        <v>365</v>
      </c>
      <c r="BA318">
        <v>365</v>
      </c>
      <c r="BB318">
        <v>292</v>
      </c>
      <c r="BC318" s="2">
        <v>44270</v>
      </c>
      <c r="BD318">
        <v>458877</v>
      </c>
      <c r="BE318">
        <v>260000</v>
      </c>
      <c r="BF318">
        <v>246666</v>
      </c>
      <c r="BG318" t="s">
        <v>489</v>
      </c>
      <c r="BH318">
        <v>30</v>
      </c>
      <c r="BI318" t="s">
        <v>56</v>
      </c>
      <c r="BJ318" t="s">
        <v>161</v>
      </c>
      <c r="BK318">
        <v>234200</v>
      </c>
      <c r="BL318">
        <v>79400</v>
      </c>
      <c r="BM318">
        <v>154800</v>
      </c>
      <c r="BN318">
        <v>13334</v>
      </c>
      <c r="BO318">
        <v>237360.15310751068</v>
      </c>
      <c r="BP318">
        <v>325378.30420651252</v>
      </c>
      <c r="BQ318">
        <f>(Sales[[#This Row],[DP1]]*Lookups!$B$61)+(Sales[[#This Row],[DP2]]*Lookups!$B$62)+(Sales[[#This Row],[DP3]]*Lookups!$B$63)</f>
        <v>-88018.147431000005</v>
      </c>
      <c r="BR318">
        <f>Lookups!$B$58*0.6</f>
        <v>132535.48800000001</v>
      </c>
      <c r="BS318">
        <f>Lookups!$B$58*0.4</f>
        <v>88356.992000000013</v>
      </c>
      <c r="BT318">
        <f>Lookups!$B$59*Sales[[#This Row],[LnAcres]]</f>
        <v>-6704.2394613300912</v>
      </c>
      <c r="BU318">
        <f>VLOOKUP(Sales[[#This Row],[Qlty]],Lookups!$A$66:$E$79,2,FALSE)</f>
        <v>0</v>
      </c>
      <c r="BV318">
        <f>VLOOKUP(Sales[[#This Row],[Cnd]],Lookups!$A$80:$E$91,2,FALSE)</f>
        <v>17761.121909000001</v>
      </c>
      <c r="BW318">
        <f>Sales[[#This Row],[EffAge]]*Lookups!$B$65</f>
        <v>-8155.5825000000004</v>
      </c>
      <c r="BX318">
        <f>Sales[[#This Row],[MainFn]]*Lookups!$B$90</f>
        <v>55420.417440000005</v>
      </c>
      <c r="BY318">
        <f>Sales[[#This Row],[UpprFn]]*Lookups!$B$91</f>
        <v>0</v>
      </c>
      <c r="BZ318">
        <f>Sales[[#This Row],[Bsmt]]*Lookups!$B$95</f>
        <v>55576.808447999996</v>
      </c>
      <c r="CA318">
        <f>VLOOKUP(Sales[[#This Row],[MsnryTrim]],Lookups!$A$90:$E$99,2,FALSE)</f>
        <v>-9412.7029999999995</v>
      </c>
      <c r="CB318">
        <f>Sales[[#This Row],[PrefabFP]]*Lookups!$B$92</f>
        <v>0</v>
      </c>
      <c r="CC318">
        <f>Sales[[#This Row],[AttGar]]*Lookups!$B$93</f>
        <v>0</v>
      </c>
      <c r="CD318">
        <f>Sales[[#This Row],[BltinGar]]*Lookups!$B$94</f>
        <v>0</v>
      </c>
      <c r="CE318">
        <f>SUM(Sales[[#This Row],[Days Prior Total]:[Mdl BltinGar]])</f>
        <v>237360.15540466996</v>
      </c>
      <c r="CF318">
        <f>ROUND(Sales[[#This Row],[25Det]],-2)</f>
        <v>13300</v>
      </c>
      <c r="CG318">
        <f>ROUND(SUM(Sales[[#This Row],[Mdl Qlty]:[Mdl BltinGar]])+Sales[[#This Row],[Mdl Res Intercept]]+Sales[[#This Row],[Days Prior Total]],-2)</f>
        <v>155700</v>
      </c>
      <c r="CH318">
        <f>ROUND(Sales[[#This Row],[Mdl Land Intercept]]+Sales[[#This Row],[Mdl LnAcres]],-2)</f>
        <v>81700</v>
      </c>
      <c r="CI318">
        <f>Sales[[#This Row],[Unadj Res Value]]+Sales[[#This Row],[Unadj Det Value]]+Sales[[#This Row],[Unadj Land Value]]</f>
        <v>250700</v>
      </c>
      <c r="CJ318" s="10">
        <f>Sales[[#This Row],[Price]]/Sales[[#This Row],[Unadj Total Value]]</f>
        <v>1.0370961308336657</v>
      </c>
      <c r="CK318" s="10">
        <f>(Sales[[#This Row],[Unadj Total Value]]-Sales[[#This Row],[24Final]])/Sales[[#This Row],[24Final]]</f>
        <v>7.0452604611443218E-2</v>
      </c>
      <c r="CL318">
        <f>VLOOKUP(Sales[[#This Row],[TNbhd]],Lookups!$M$3:$P$5,4,FALSE)</f>
        <v>0.99970000000000003</v>
      </c>
      <c r="CM318">
        <f>VLOOKUP(Sales[[#This Row],[Qlty]],Lookups!$M$8:$P$22,4,FALSE)</f>
        <v>1.0003</v>
      </c>
      <c r="CN318">
        <f>VLOOKUP(Sales[[#This Row],[Cnd]],Lookups!$R$8:$U$17,4,FALSE)</f>
        <v>0.99680000000000002</v>
      </c>
      <c r="CO318">
        <f>VLOOKUP(Sales[[#This Row],[LivArea Range]],Lookups!$R$25:$U$43,4,FALSE)</f>
        <v>1</v>
      </c>
      <c r="CP318">
        <f>VLOOKUP(Sales[[#This Row],[Decade]],Lookups!$M$24:$P$40,4,FALSE)</f>
        <v>0.96709999999999996</v>
      </c>
      <c r="CQ318">
        <f>Sales[[#This Row],[Nbhd Adj]]*0.95</f>
        <v>0.94971499999999998</v>
      </c>
      <c r="CR318">
        <f>Sales[[#This Row],[Nbhd Adj]]*Sales[[#This Row],[Quality Adj]]*Sales[[#This Row],[Condition Adj]]*Sales[[#This Row],[Living Area Adj]]*Sales[[#This Row],[Decade Adj]]*0.95</f>
        <v>0.91580493357754844</v>
      </c>
      <c r="CS318">
        <f>ROUND(SUM(Sales[[#This Row],[Mdl Qlty]:[Mdl BltinGar]])+Sales[[#This Row],[Mdl Res Intercept]]*Sales[[#This Row],[Res Adj ]],-2)</f>
        <v>232600</v>
      </c>
      <c r="CT318">
        <f>ROUND(Sales[[#This Row],[25Det]]*Sales[[#This Row],[Det/Nbhd Adj]],-2)</f>
        <v>12700</v>
      </c>
      <c r="CU318">
        <f>Sales[[#This Row],[Adjusted Res]]+Sales[[#This Row],[Adj Det ]]</f>
        <v>245300</v>
      </c>
      <c r="CV318">
        <f>ROUND((Sales[[#This Row],[Mdl Land Intercept]]+Sales[[#This Row],[Mdl LnAcres]])*Sales[[#This Row],[Det/Nbhd Adj]],-2)</f>
        <v>77500</v>
      </c>
      <c r="CW318">
        <f>Sales[[#This Row],[Adjusted Impr Total]]+Sales[[#This Row],[Adjusted Land Total]]</f>
        <v>322800</v>
      </c>
      <c r="CX318" s="10">
        <f>IFERROR((Sales[[#This Row],[Adjusted Impr Total]]-Sales[[#This Row],[24Bldg]])/Sales[[#This Row],[24Bldg]],0)</f>
        <v>0.58462532299741599</v>
      </c>
      <c r="CY318" s="10">
        <f>(Sales[[#This Row],[Adjusted Land Total]]-Sales[[#This Row],[24Lnd]])/Sales[[#This Row],[24Lnd]]</f>
        <v>-2.3929471032745592E-2</v>
      </c>
      <c r="CZ318">
        <f>(Sales[[#This Row],[Adjusted Total]]-Sales[[#This Row],[24Final]])/Sales[[#This Row],[24Final]]</f>
        <v>0.37830913748932538</v>
      </c>
      <c r="DA318" s="10">
        <f>(Sales[[#This Row],[Adjusted Total]]+Sales[[#This Row],[Days Prior Total]])/Sales[[#This Row],[Price]]</f>
        <v>0.90300712526538451</v>
      </c>
    </row>
    <row r="319" spans="1:105">
      <c r="A319">
        <v>2025</v>
      </c>
      <c r="B319">
        <v>20120632005</v>
      </c>
      <c r="C319">
        <v>-9.431067947124129E-2</v>
      </c>
      <c r="D319">
        <v>0.91</v>
      </c>
      <c r="E319">
        <v>39612</v>
      </c>
      <c r="F319">
        <v>2</v>
      </c>
      <c r="G319" t="s">
        <v>155</v>
      </c>
      <c r="H319">
        <v>317</v>
      </c>
      <c r="I319" t="s">
        <v>5</v>
      </c>
      <c r="J319" t="s">
        <v>490</v>
      </c>
      <c r="K319">
        <v>11</v>
      </c>
      <c r="L319">
        <v>259</v>
      </c>
      <c r="M319" t="s">
        <v>485</v>
      </c>
      <c r="N319" t="s">
        <v>13</v>
      </c>
      <c r="O319" t="s">
        <v>20</v>
      </c>
      <c r="P319">
        <v>1901</v>
      </c>
      <c r="Q319">
        <v>2003</v>
      </c>
      <c r="R319">
        <v>130</v>
      </c>
      <c r="S319">
        <v>123</v>
      </c>
      <c r="T319">
        <v>21</v>
      </c>
      <c r="U319">
        <v>2</v>
      </c>
      <c r="V319">
        <v>1036</v>
      </c>
      <c r="W319">
        <v>518</v>
      </c>
      <c r="X319">
        <v>0</v>
      </c>
      <c r="Y319">
        <v>0</v>
      </c>
      <c r="Z319">
        <v>0</v>
      </c>
      <c r="AA319">
        <v>0</v>
      </c>
      <c r="AB319">
        <v>1554</v>
      </c>
      <c r="AC319">
        <v>2000</v>
      </c>
      <c r="AD319">
        <v>0</v>
      </c>
      <c r="AE319" t="s">
        <v>56</v>
      </c>
      <c r="AF319" t="s">
        <v>331</v>
      </c>
      <c r="AG319" t="s">
        <v>21</v>
      </c>
      <c r="AH319" t="s">
        <v>161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5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100</v>
      </c>
      <c r="AV319">
        <v>100</v>
      </c>
      <c r="AW319">
        <v>183410</v>
      </c>
      <c r="AX319">
        <v>170571</v>
      </c>
      <c r="AY319">
        <v>748</v>
      </c>
      <c r="AZ319">
        <v>365</v>
      </c>
      <c r="BA319">
        <v>365</v>
      </c>
      <c r="BB319">
        <v>18</v>
      </c>
      <c r="BC319" s="2">
        <v>44544</v>
      </c>
      <c r="BD319" t="s">
        <v>491</v>
      </c>
      <c r="BE319">
        <v>350000</v>
      </c>
      <c r="BF319">
        <v>339017</v>
      </c>
      <c r="BG319" t="s">
        <v>160</v>
      </c>
      <c r="BH319">
        <v>30</v>
      </c>
      <c r="BI319" t="s">
        <v>56</v>
      </c>
      <c r="BJ319" t="s">
        <v>161</v>
      </c>
      <c r="BK319">
        <v>335600</v>
      </c>
      <c r="BL319">
        <v>85200</v>
      </c>
      <c r="BM319">
        <v>250400</v>
      </c>
      <c r="BN319">
        <v>10983</v>
      </c>
      <c r="BO319">
        <v>308506.26176380063</v>
      </c>
      <c r="BP319">
        <v>333778.57490965142</v>
      </c>
      <c r="BQ319">
        <f>(Sales[[#This Row],[DP1]]*Lookups!$B$61)+(Sales[[#This Row],[DP2]]*Lookups!$B$62)+(Sales[[#This Row],[DP3]]*Lookups!$B$63)</f>
        <v>-25272.311830999999</v>
      </c>
      <c r="BR319">
        <f>Lookups!$B$58*0.6</f>
        <v>132535.48800000001</v>
      </c>
      <c r="BS319">
        <f>Lookups!$B$58*0.4</f>
        <v>88356.992000000013</v>
      </c>
      <c r="BT319">
        <f>Lookups!$B$59*Sales[[#This Row],[LnAcres]]</f>
        <v>-1237.763631108681</v>
      </c>
      <c r="BU319">
        <f>VLOOKUP(Sales[[#This Row],[Qlty]],Lookups!$A$66:$E$79,2,FALSE)</f>
        <v>0</v>
      </c>
      <c r="BV319">
        <f>VLOOKUP(Sales[[#This Row],[Cnd]],Lookups!$A$80:$E$91,2,FALSE)</f>
        <v>30300.329274</v>
      </c>
      <c r="BW319">
        <f>Sales[[#This Row],[EffAge]]*Lookups!$B$65</f>
        <v>-2283.5630999999998</v>
      </c>
      <c r="BX319">
        <f>Sales[[#This Row],[MainFn]]*Lookups!$B$90</f>
        <v>64657.153680000003</v>
      </c>
      <c r="BY319">
        <f>Sales[[#This Row],[UpprFn]]*Lookups!$B$91</f>
        <v>30862.638393999998</v>
      </c>
      <c r="BZ319">
        <f>Sales[[#This Row],[Bsmt]]*Lookups!$B$95</f>
        <v>0</v>
      </c>
      <c r="CA319">
        <f>VLOOKUP(Sales[[#This Row],[MsnryTrim]],Lookups!$A$90:$E$99,2,FALSE)</f>
        <v>-9412.7029999999995</v>
      </c>
      <c r="CB319">
        <f>Sales[[#This Row],[PrefabFP]]*Lookups!$B$92</f>
        <v>0</v>
      </c>
      <c r="CC319">
        <f>Sales[[#This Row],[AttGar]]*Lookups!$B$93</f>
        <v>0</v>
      </c>
      <c r="CD319">
        <f>Sales[[#This Row],[BltinGar]]*Lookups!$B$94</f>
        <v>0</v>
      </c>
      <c r="CE319">
        <f>SUM(Sales[[#This Row],[Days Prior Total]:[Mdl BltinGar]])</f>
        <v>308506.25978589134</v>
      </c>
      <c r="CF319">
        <f>ROUND(Sales[[#This Row],[25Det]],-2)</f>
        <v>11000</v>
      </c>
      <c r="CG319">
        <f>ROUND(SUM(Sales[[#This Row],[Mdl Qlty]:[Mdl BltinGar]])+Sales[[#This Row],[Mdl Res Intercept]]+Sales[[#This Row],[Days Prior Total]],-2)</f>
        <v>221400</v>
      </c>
      <c r="CH319">
        <f>ROUND(Sales[[#This Row],[Mdl Land Intercept]]+Sales[[#This Row],[Mdl LnAcres]],-2)</f>
        <v>87100</v>
      </c>
      <c r="CI319">
        <f>Sales[[#This Row],[Unadj Res Value]]+Sales[[#This Row],[Unadj Det Value]]+Sales[[#This Row],[Unadj Land Value]]</f>
        <v>319500</v>
      </c>
      <c r="CJ319" s="10">
        <f>Sales[[#This Row],[Price]]/Sales[[#This Row],[Unadj Total Value]]</f>
        <v>1.0954616588419406</v>
      </c>
      <c r="CK319" s="10">
        <f>(Sales[[#This Row],[Unadj Total Value]]-Sales[[#This Row],[24Final]])/Sales[[#This Row],[24Final]]</f>
        <v>-4.7973778307508937E-2</v>
      </c>
      <c r="CL319">
        <f>VLOOKUP(Sales[[#This Row],[TNbhd]],Lookups!$M$3:$P$5,4,FALSE)</f>
        <v>0.99970000000000003</v>
      </c>
      <c r="CM319">
        <f>VLOOKUP(Sales[[#This Row],[Qlty]],Lookups!$M$8:$P$22,4,FALSE)</f>
        <v>1.0003</v>
      </c>
      <c r="CN319">
        <f>VLOOKUP(Sales[[#This Row],[Cnd]],Lookups!$R$8:$U$17,4,FALSE)</f>
        <v>0.997</v>
      </c>
      <c r="CO319">
        <f>VLOOKUP(Sales[[#This Row],[LivArea Range]],Lookups!$R$25:$U$43,4,FALSE)</f>
        <v>1.0007999999999999</v>
      </c>
      <c r="CP319">
        <f>VLOOKUP(Sales[[#This Row],[Decade]],Lookups!$M$24:$P$40,4,FALSE)</f>
        <v>0.96709999999999996</v>
      </c>
      <c r="CQ319">
        <f>Sales[[#This Row],[Nbhd Adj]]*0.95</f>
        <v>0.94971499999999998</v>
      </c>
      <c r="CR319">
        <f>Sales[[#This Row],[Nbhd Adj]]*Sales[[#This Row],[Quality Adj]]*Sales[[#This Row],[Condition Adj]]*Sales[[#This Row],[Living Area Adj]]*Sales[[#This Row],[Decade Adj]]*0.95</f>
        <v>0.9167214735070599</v>
      </c>
      <c r="CS319">
        <f>ROUND(SUM(Sales[[#This Row],[Mdl Qlty]:[Mdl BltinGar]])+Sales[[#This Row],[Mdl Res Intercept]]*Sales[[#This Row],[Res Adj ]],-2)</f>
        <v>235600</v>
      </c>
      <c r="CT319">
        <f>ROUND(Sales[[#This Row],[25Det]]*Sales[[#This Row],[Det/Nbhd Adj]],-2)</f>
        <v>10400</v>
      </c>
      <c r="CU319">
        <f>Sales[[#This Row],[Adjusted Res]]+Sales[[#This Row],[Adj Det ]]</f>
        <v>246000</v>
      </c>
      <c r="CV319">
        <f>ROUND((Sales[[#This Row],[Mdl Land Intercept]]+Sales[[#This Row],[Mdl LnAcres]])*Sales[[#This Row],[Det/Nbhd Adj]],-2)</f>
        <v>82700</v>
      </c>
      <c r="CW319">
        <f>Sales[[#This Row],[Adjusted Impr Total]]+Sales[[#This Row],[Adjusted Land Total]]</f>
        <v>328700</v>
      </c>
      <c r="CX319" s="10">
        <f>IFERROR((Sales[[#This Row],[Adjusted Impr Total]]-Sales[[#This Row],[24Bldg]])/Sales[[#This Row],[24Bldg]],0)</f>
        <v>-1.7571884984025558E-2</v>
      </c>
      <c r="CY319" s="10">
        <f>(Sales[[#This Row],[Adjusted Land Total]]-Sales[[#This Row],[24Lnd]])/Sales[[#This Row],[24Lnd]]</f>
        <v>-2.9342723004694836E-2</v>
      </c>
      <c r="CZ319">
        <f>(Sales[[#This Row],[Adjusted Total]]-Sales[[#This Row],[24Final]])/Sales[[#This Row],[24Final]]</f>
        <v>-2.0560190703218118E-2</v>
      </c>
      <c r="DA319" s="10">
        <f>(Sales[[#This Row],[Adjusted Total]]+Sales[[#This Row],[Days Prior Total]])/Sales[[#This Row],[Price]]</f>
        <v>0.86693625191142853</v>
      </c>
    </row>
    <row r="320" spans="1:105">
      <c r="A320">
        <v>2025</v>
      </c>
      <c r="B320">
        <v>19120213018</v>
      </c>
      <c r="C320">
        <v>0.24686007793152581</v>
      </c>
      <c r="D320">
        <v>1.28</v>
      </c>
      <c r="E320">
        <v>55597</v>
      </c>
      <c r="F320">
        <v>2</v>
      </c>
      <c r="G320" t="s">
        <v>155</v>
      </c>
      <c r="H320">
        <v>317</v>
      </c>
      <c r="I320" t="s">
        <v>5</v>
      </c>
      <c r="J320" t="s">
        <v>212</v>
      </c>
      <c r="K320">
        <v>11</v>
      </c>
      <c r="L320">
        <v>259</v>
      </c>
      <c r="M320" t="s">
        <v>485</v>
      </c>
      <c r="N320" t="s">
        <v>19</v>
      </c>
      <c r="O320" t="s">
        <v>18</v>
      </c>
      <c r="P320">
        <v>1900</v>
      </c>
      <c r="Q320">
        <v>1974</v>
      </c>
      <c r="R320">
        <v>130</v>
      </c>
      <c r="S320">
        <v>124</v>
      </c>
      <c r="T320">
        <v>50</v>
      </c>
      <c r="U320">
        <v>2</v>
      </c>
      <c r="V320">
        <v>1137</v>
      </c>
      <c r="W320">
        <v>932</v>
      </c>
      <c r="X320">
        <v>0</v>
      </c>
      <c r="Y320">
        <v>0</v>
      </c>
      <c r="Z320">
        <v>0</v>
      </c>
      <c r="AA320">
        <v>0</v>
      </c>
      <c r="AB320">
        <v>2069</v>
      </c>
      <c r="AC320">
        <v>2500</v>
      </c>
      <c r="AD320">
        <v>0</v>
      </c>
      <c r="AE320" t="s">
        <v>56</v>
      </c>
      <c r="AF320" t="s">
        <v>331</v>
      </c>
      <c r="AG320" t="s">
        <v>21</v>
      </c>
      <c r="AH320" t="s">
        <v>161</v>
      </c>
      <c r="AI320">
        <v>1</v>
      </c>
      <c r="AJ320">
        <v>0</v>
      </c>
      <c r="AK320">
        <v>0</v>
      </c>
      <c r="AL320">
        <v>0</v>
      </c>
      <c r="AM320">
        <v>0</v>
      </c>
      <c r="AN320">
        <v>8</v>
      </c>
      <c r="AO320">
        <v>0</v>
      </c>
      <c r="AP320">
        <v>0</v>
      </c>
      <c r="AQ320">
        <v>0</v>
      </c>
      <c r="AR320">
        <v>144</v>
      </c>
      <c r="AS320">
        <v>388</v>
      </c>
      <c r="AT320">
        <v>144</v>
      </c>
      <c r="AU320">
        <v>100</v>
      </c>
      <c r="AV320">
        <v>100</v>
      </c>
      <c r="AW320">
        <v>350359</v>
      </c>
      <c r="AX320">
        <v>248755</v>
      </c>
      <c r="AY320">
        <v>703</v>
      </c>
      <c r="AZ320">
        <v>365</v>
      </c>
      <c r="BA320">
        <v>338</v>
      </c>
      <c r="BB320">
        <v>0</v>
      </c>
      <c r="BC320" s="2">
        <v>44589</v>
      </c>
      <c r="BD320" t="s">
        <v>492</v>
      </c>
      <c r="BE320">
        <v>425000</v>
      </c>
      <c r="BF320">
        <v>376837</v>
      </c>
      <c r="BG320" t="s">
        <v>160</v>
      </c>
      <c r="BH320">
        <v>30</v>
      </c>
      <c r="BI320" t="s">
        <v>56</v>
      </c>
      <c r="BJ320" t="s">
        <v>161</v>
      </c>
      <c r="BK320">
        <v>404400</v>
      </c>
      <c r="BL320">
        <v>90000</v>
      </c>
      <c r="BM320">
        <v>314400</v>
      </c>
      <c r="BN320">
        <v>48163</v>
      </c>
      <c r="BO320">
        <v>371358.14057105297</v>
      </c>
      <c r="BP320">
        <v>390687.48842557974</v>
      </c>
      <c r="BQ320">
        <f>(Sales[[#This Row],[DP1]]*Lookups!$B$61)+(Sales[[#This Row],[DP2]]*Lookups!$B$62)+(Sales[[#This Row],[DP3]]*Lookups!$B$63)</f>
        <v>-19329.346781</v>
      </c>
      <c r="BR320">
        <f>Lookups!$B$58*0.6</f>
        <v>132535.48800000001</v>
      </c>
      <c r="BS320">
        <f>Lookups!$B$58*0.4</f>
        <v>88356.992000000013</v>
      </c>
      <c r="BT320">
        <f>Lookups!$B$59*Sales[[#This Row],[LnAcres]]</f>
        <v>3239.870904858361</v>
      </c>
      <c r="BU320">
        <f>VLOOKUP(Sales[[#This Row],[Qlty]],Lookups!$A$66:$E$79,2,FALSE)</f>
        <v>37154.252388000001</v>
      </c>
      <c r="BV320">
        <f>VLOOKUP(Sales[[#This Row],[Cnd]],Lookups!$A$80:$E$91,2,FALSE)</f>
        <v>17761.121909000001</v>
      </c>
      <c r="BW320">
        <f>Sales[[#This Row],[EffAge]]*Lookups!$B$65</f>
        <v>-5437.0550000000003</v>
      </c>
      <c r="BX320">
        <f>Sales[[#This Row],[MainFn]]*Lookups!$B$90</f>
        <v>70960.602060000005</v>
      </c>
      <c r="BY320">
        <f>Sales[[#This Row],[UpprFn]]*Lookups!$B$91</f>
        <v>55528.916956000001</v>
      </c>
      <c r="BZ320">
        <f>Sales[[#This Row],[Bsmt]]*Lookups!$B$95</f>
        <v>0</v>
      </c>
      <c r="CA320">
        <f>VLOOKUP(Sales[[#This Row],[MsnryTrim]],Lookups!$A$90:$E$99,2,FALSE)</f>
        <v>-9412.7029999999995</v>
      </c>
      <c r="CB320">
        <f>Sales[[#This Row],[PrefabFP]]*Lookups!$B$92</f>
        <v>0</v>
      </c>
      <c r="CC320">
        <f>Sales[[#This Row],[AttGar]]*Lookups!$B$93</f>
        <v>0</v>
      </c>
      <c r="CD320">
        <f>Sales[[#This Row],[BltinGar]]*Lookups!$B$94</f>
        <v>0</v>
      </c>
      <c r="CE320">
        <f>SUM(Sales[[#This Row],[Days Prior Total]:[Mdl BltinGar]])</f>
        <v>371358.13943685847</v>
      </c>
      <c r="CF320">
        <f>ROUND(Sales[[#This Row],[25Det]],-2)</f>
        <v>48200</v>
      </c>
      <c r="CG320">
        <f>ROUND(SUM(Sales[[#This Row],[Mdl Qlty]:[Mdl BltinGar]])+Sales[[#This Row],[Mdl Res Intercept]]+Sales[[#This Row],[Days Prior Total]],-2)</f>
        <v>279800</v>
      </c>
      <c r="CH320">
        <f>ROUND(Sales[[#This Row],[Mdl Land Intercept]]+Sales[[#This Row],[Mdl LnAcres]],-2)</f>
        <v>91600</v>
      </c>
      <c r="CI320">
        <f>Sales[[#This Row],[Unadj Res Value]]+Sales[[#This Row],[Unadj Det Value]]+Sales[[#This Row],[Unadj Land Value]]</f>
        <v>419600</v>
      </c>
      <c r="CJ320" s="10">
        <f>Sales[[#This Row],[Price]]/Sales[[#This Row],[Unadj Total Value]]</f>
        <v>1.0128693994280267</v>
      </c>
      <c r="CK320" s="10">
        <f>(Sales[[#This Row],[Unadj Total Value]]-Sales[[#This Row],[24Final]])/Sales[[#This Row],[24Final]]</f>
        <v>3.7586547972304651E-2</v>
      </c>
      <c r="CL320">
        <f>VLOOKUP(Sales[[#This Row],[TNbhd]],Lookups!$M$3:$P$5,4,FALSE)</f>
        <v>0.99970000000000003</v>
      </c>
      <c r="CM320">
        <f>VLOOKUP(Sales[[#This Row],[Qlty]],Lookups!$M$8:$P$22,4,FALSE)</f>
        <v>0.99819999999999998</v>
      </c>
      <c r="CN320">
        <f>VLOOKUP(Sales[[#This Row],[Cnd]],Lookups!$R$8:$U$17,4,FALSE)</f>
        <v>0.99680000000000002</v>
      </c>
      <c r="CO320">
        <f>VLOOKUP(Sales[[#This Row],[LivArea Range]],Lookups!$R$25:$U$43,4,FALSE)</f>
        <v>1.0008999999999999</v>
      </c>
      <c r="CP320">
        <f>VLOOKUP(Sales[[#This Row],[Decade]],Lookups!$M$24:$P$40,4,FALSE)</f>
        <v>0.96709999999999996</v>
      </c>
      <c r="CQ320">
        <f>Sales[[#This Row],[Nbhd Adj]]*0.95</f>
        <v>0.94971499999999998</v>
      </c>
      <c r="CR320">
        <f>Sales[[#This Row],[Nbhd Adj]]*Sales[[#This Row],[Quality Adj]]*Sales[[#This Row],[Condition Adj]]*Sales[[#This Row],[Living Area Adj]]*Sales[[#This Row],[Decade Adj]]*0.95</f>
        <v>0.91470481408910964</v>
      </c>
      <c r="CS320">
        <f>ROUND(SUM(Sales[[#This Row],[Mdl Qlty]:[Mdl BltinGar]])+Sales[[#This Row],[Mdl Res Intercept]]*Sales[[#This Row],[Res Adj ]],-2)</f>
        <v>287800</v>
      </c>
      <c r="CT320">
        <f>ROUND(Sales[[#This Row],[25Det]]*Sales[[#This Row],[Det/Nbhd Adj]],-2)</f>
        <v>45700</v>
      </c>
      <c r="CU320">
        <f>Sales[[#This Row],[Adjusted Res]]+Sales[[#This Row],[Adj Det ]]</f>
        <v>333500</v>
      </c>
      <c r="CV320">
        <f>ROUND((Sales[[#This Row],[Mdl Land Intercept]]+Sales[[#This Row],[Mdl LnAcres]])*Sales[[#This Row],[Det/Nbhd Adj]],-2)</f>
        <v>87000</v>
      </c>
      <c r="CW320">
        <f>Sales[[#This Row],[Adjusted Impr Total]]+Sales[[#This Row],[Adjusted Land Total]]</f>
        <v>420500</v>
      </c>
      <c r="CX320" s="10">
        <f>IFERROR((Sales[[#This Row],[Adjusted Impr Total]]-Sales[[#This Row],[24Bldg]])/Sales[[#This Row],[24Bldg]],0)</f>
        <v>6.0750636132315523E-2</v>
      </c>
      <c r="CY320" s="10">
        <f>(Sales[[#This Row],[Adjusted Land Total]]-Sales[[#This Row],[24Lnd]])/Sales[[#This Row],[24Lnd]]</f>
        <v>-3.3333333333333333E-2</v>
      </c>
      <c r="CZ320">
        <f>(Sales[[#This Row],[Adjusted Total]]-Sales[[#This Row],[24Final]])/Sales[[#This Row],[24Final]]</f>
        <v>3.981206726013848E-2</v>
      </c>
      <c r="DA320" s="10">
        <f>(Sales[[#This Row],[Adjusted Total]]+Sales[[#This Row],[Days Prior Total]])/Sales[[#This Row],[Price]]</f>
        <v>0.94393094875058814</v>
      </c>
    </row>
  </sheetData>
  <sortState xmlns:xlrd2="http://schemas.microsoft.com/office/spreadsheetml/2017/richdata2" ref="A2:BP320">
    <sortCondition sortBy="cellColor" ref="B2:B320" dxfId="70"/>
  </sortState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5E181-47C5-4B27-A652-4F49DBE3081C}">
  <sheetPr codeName="Sheet4"/>
  <dimension ref="A1:BS1404"/>
  <sheetViews>
    <sheetView topLeftCell="AX1386" workbookViewId="0">
      <selection activeCell="BE1391" sqref="BE1391"/>
    </sheetView>
  </sheetViews>
  <sheetFormatPr defaultRowHeight="14.45" customHeight="1"/>
  <cols>
    <col min="1" max="1" width="9.140625" bestFit="1" customWidth="1"/>
    <col min="2" max="2" width="12" bestFit="1" customWidth="1"/>
    <col min="3" max="3" width="12" customWidth="1"/>
    <col min="4" max="4" width="10" bestFit="1" customWidth="1"/>
    <col min="5" max="5" width="8.85546875" bestFit="1" customWidth="1"/>
    <col min="6" max="6" width="9.85546875" bestFit="1" customWidth="1"/>
    <col min="7" max="7" width="9.5703125" bestFit="1" customWidth="1"/>
    <col min="8" max="8" width="10.140625" bestFit="1" customWidth="1"/>
    <col min="9" max="9" width="8.5703125" bestFit="1" customWidth="1"/>
    <col min="10" max="10" width="12.42578125" bestFit="1" customWidth="1"/>
    <col min="11" max="11" width="9.5703125" bestFit="1" customWidth="1"/>
    <col min="12" max="12" width="8.85546875" bestFit="1" customWidth="1"/>
    <col min="13" max="13" width="8.7109375" bestFit="1" customWidth="1"/>
    <col min="14" max="16" width="8.7109375" customWidth="1"/>
    <col min="17" max="17" width="9.28515625" bestFit="1" customWidth="1"/>
    <col min="18" max="18" width="9.42578125" bestFit="1" customWidth="1"/>
    <col min="19" max="20" width="11.7109375" bestFit="1" customWidth="1"/>
    <col min="21" max="21" width="14" bestFit="1" customWidth="1"/>
    <col min="22" max="22" width="10.85546875" bestFit="1" customWidth="1"/>
    <col min="23" max="23" width="11.7109375" bestFit="1" customWidth="1"/>
    <col min="24" max="26" width="11.7109375" customWidth="1"/>
    <col min="27" max="27" width="8.140625" customWidth="1"/>
    <col min="28" max="28" width="11" bestFit="1" customWidth="1"/>
    <col min="29" max="29" width="10.85546875" bestFit="1" customWidth="1"/>
    <col min="30" max="30" width="12.140625" bestFit="1" customWidth="1"/>
    <col min="31" max="31" width="8.7109375" bestFit="1" customWidth="1"/>
    <col min="32" max="32" width="8.5703125" bestFit="1" customWidth="1"/>
    <col min="33" max="33" width="8.42578125" bestFit="1" customWidth="1"/>
    <col min="34" max="34" width="10.140625" customWidth="1"/>
    <col min="35" max="35" width="8.5703125" bestFit="1" customWidth="1"/>
    <col min="36" max="36" width="10.140625" bestFit="1" customWidth="1"/>
    <col min="37" max="37" width="10.28515625" bestFit="1" customWidth="1"/>
    <col min="38" max="38" width="11.42578125" bestFit="1" customWidth="1"/>
    <col min="39" max="39" width="10.5703125" bestFit="1" customWidth="1"/>
    <col min="40" max="40" width="11.140625" bestFit="1" customWidth="1"/>
    <col min="41" max="41" width="11.28515625" bestFit="1" customWidth="1"/>
    <col min="42" max="42" width="10.5703125" bestFit="1" customWidth="1"/>
    <col min="43" max="43" width="9.5703125" bestFit="1" customWidth="1"/>
    <col min="44" max="45" width="11.5703125" bestFit="1" customWidth="1"/>
    <col min="46" max="46" width="9.85546875" customWidth="1"/>
    <col min="48" max="48" width="11.5703125" bestFit="1" customWidth="1"/>
    <col min="56" max="56" width="11.5703125" bestFit="1" customWidth="1"/>
    <col min="63" max="63" width="8.85546875" customWidth="1"/>
    <col min="70" max="70" width="12.28515625" bestFit="1" customWidth="1"/>
    <col min="71" max="71" width="10.28515625" customWidth="1"/>
  </cols>
  <sheetData>
    <row r="1" spans="1:71" ht="43.15">
      <c r="A1" s="33" t="s">
        <v>62</v>
      </c>
      <c r="B1" s="33" t="s">
        <v>63</v>
      </c>
      <c r="C1" s="33" t="s">
        <v>41</v>
      </c>
      <c r="D1" s="33" t="s">
        <v>64</v>
      </c>
      <c r="E1" s="33" t="s">
        <v>65</v>
      </c>
      <c r="F1" s="33" t="s">
        <v>66</v>
      </c>
      <c r="G1" s="33" t="s">
        <v>67</v>
      </c>
      <c r="H1" s="33" t="s">
        <v>68</v>
      </c>
      <c r="I1" s="33" t="s">
        <v>71</v>
      </c>
      <c r="J1" s="33" t="s">
        <v>72</v>
      </c>
      <c r="K1" s="33" t="s">
        <v>73</v>
      </c>
      <c r="L1" s="33" t="s">
        <v>74</v>
      </c>
      <c r="M1" s="33" t="s">
        <v>75</v>
      </c>
      <c r="N1" s="33" t="s">
        <v>30</v>
      </c>
      <c r="O1" s="33" t="s">
        <v>493</v>
      </c>
      <c r="P1" s="33" t="s">
        <v>46</v>
      </c>
      <c r="Q1" s="33" t="s">
        <v>76</v>
      </c>
      <c r="R1" s="33" t="s">
        <v>77</v>
      </c>
      <c r="S1" s="33" t="s">
        <v>48</v>
      </c>
      <c r="T1" s="33" t="s">
        <v>49</v>
      </c>
      <c r="U1" s="33" t="s">
        <v>494</v>
      </c>
      <c r="V1" s="33" t="s">
        <v>80</v>
      </c>
      <c r="W1" s="33" t="s">
        <v>82</v>
      </c>
      <c r="X1" s="33" t="s">
        <v>495</v>
      </c>
      <c r="Y1" s="33" t="s">
        <v>496</v>
      </c>
      <c r="Z1" s="33" t="s">
        <v>84</v>
      </c>
      <c r="AA1" s="33" t="s">
        <v>497</v>
      </c>
      <c r="AB1" s="33" t="s">
        <v>498</v>
      </c>
      <c r="AC1" s="33" t="s">
        <v>51</v>
      </c>
      <c r="AD1" s="33" t="s">
        <v>52</v>
      </c>
      <c r="AE1" s="33" t="s">
        <v>499</v>
      </c>
      <c r="AF1" s="33" t="s">
        <v>500</v>
      </c>
      <c r="AG1" s="33" t="s">
        <v>100</v>
      </c>
      <c r="AH1" s="33" t="s">
        <v>501</v>
      </c>
      <c r="AI1" s="33" t="s">
        <v>101</v>
      </c>
      <c r="AJ1" s="33" t="s">
        <v>102</v>
      </c>
      <c r="AK1" s="33" t="s">
        <v>115</v>
      </c>
      <c r="AL1" s="33" t="s">
        <v>502</v>
      </c>
      <c r="AM1" s="33" t="s">
        <v>113</v>
      </c>
      <c r="AN1" s="33" t="s">
        <v>114</v>
      </c>
      <c r="AO1" s="33" t="s">
        <v>112</v>
      </c>
      <c r="AP1" s="33" t="s">
        <v>119</v>
      </c>
      <c r="AQ1" s="33" t="s">
        <v>120</v>
      </c>
      <c r="AR1" s="33" t="s">
        <v>121</v>
      </c>
      <c r="AS1" s="33" t="s">
        <v>122</v>
      </c>
      <c r="AT1" s="33" t="s">
        <v>123</v>
      </c>
      <c r="AU1" s="33" t="s">
        <v>124</v>
      </c>
      <c r="AV1" s="33" t="s">
        <v>125</v>
      </c>
      <c r="AW1" s="33" t="s">
        <v>126</v>
      </c>
      <c r="AX1" s="33" t="s">
        <v>127</v>
      </c>
      <c r="AY1" s="33" t="s">
        <v>503</v>
      </c>
      <c r="AZ1" s="33" t="s">
        <v>133</v>
      </c>
      <c r="BA1" s="33" t="s">
        <v>134</v>
      </c>
      <c r="BB1" s="33" t="s">
        <v>135</v>
      </c>
      <c r="BC1" s="33" t="s">
        <v>136</v>
      </c>
      <c r="BD1" s="33" t="s">
        <v>138</v>
      </c>
      <c r="BE1" s="33" t="s">
        <v>139</v>
      </c>
      <c r="BF1" s="33" t="s">
        <v>140</v>
      </c>
      <c r="BG1" s="33" t="s">
        <v>141</v>
      </c>
      <c r="BH1" s="33" t="s">
        <v>142</v>
      </c>
      <c r="BI1" s="33" t="s">
        <v>143</v>
      </c>
      <c r="BJ1" s="33" t="s">
        <v>144</v>
      </c>
      <c r="BK1" s="33" t="s">
        <v>145</v>
      </c>
      <c r="BL1" s="33" t="s">
        <v>146</v>
      </c>
      <c r="BM1" s="33" t="s">
        <v>147</v>
      </c>
      <c r="BN1" s="33" t="s">
        <v>148</v>
      </c>
      <c r="BO1" s="33" t="s">
        <v>149</v>
      </c>
      <c r="BP1" s="33" t="s">
        <v>150</v>
      </c>
      <c r="BQ1" s="33" t="s">
        <v>151</v>
      </c>
      <c r="BR1" s="41" t="s">
        <v>152</v>
      </c>
      <c r="BS1" s="41" t="s">
        <v>153</v>
      </c>
    </row>
    <row r="2" spans="1:71">
      <c r="A2" s="30">
        <v>2025</v>
      </c>
      <c r="B2" s="31" t="s">
        <v>504</v>
      </c>
      <c r="C2" s="31">
        <f>LN(Inventory[[#This Row],[Acres]])</f>
        <v>-0.10536051565782628</v>
      </c>
      <c r="D2" s="30">
        <v>0.9</v>
      </c>
      <c r="E2" s="32"/>
      <c r="F2" s="31" t="s">
        <v>505</v>
      </c>
      <c r="G2" s="31" t="s">
        <v>155</v>
      </c>
      <c r="H2" s="31" t="s">
        <v>5</v>
      </c>
      <c r="I2" s="31" t="s">
        <v>506</v>
      </c>
      <c r="J2" s="31" t="s">
        <v>507</v>
      </c>
      <c r="K2" s="31" t="s">
        <v>330</v>
      </c>
      <c r="L2" s="31" t="s">
        <v>21</v>
      </c>
      <c r="M2" s="31" t="s">
        <v>24</v>
      </c>
      <c r="N2" s="31">
        <v>0</v>
      </c>
      <c r="O2" s="31">
        <f>2024-Inventory[[#This Row],[YrBlt]]</f>
        <v>0</v>
      </c>
      <c r="P2" s="31">
        <f>2024-Inventory[[#This Row],[EffYr]]</f>
        <v>0</v>
      </c>
      <c r="Q2" s="30">
        <v>2024</v>
      </c>
      <c r="R2" s="30">
        <v>2024</v>
      </c>
      <c r="S2" s="30">
        <v>2868</v>
      </c>
      <c r="T2" s="37"/>
      <c r="U2" s="38">
        <v>2868</v>
      </c>
      <c r="V2" s="32"/>
      <c r="W2" s="32"/>
      <c r="X2" s="32">
        <f>Inventory[[#This Row],[Bsmt Area]]-Inventory[[#This Row],[FnBsmt]]</f>
        <v>2868</v>
      </c>
      <c r="Y2" s="32">
        <f>Inventory[[#This Row],[MainFn]]+Inventory[[#This Row],[UpprFn]]+Inventory[[#This Row],[AddFn]]+Inventory[[#This Row],[FnBsmt]]</f>
        <v>2868</v>
      </c>
      <c r="Z2" s="32">
        <v>3000</v>
      </c>
      <c r="AA2" s="31" t="s">
        <v>57</v>
      </c>
      <c r="AB2" s="38">
        <v>1</v>
      </c>
      <c r="AC2" s="38">
        <v>840</v>
      </c>
      <c r="AD2" s="32"/>
      <c r="AE2" s="32"/>
      <c r="AF2" s="32"/>
      <c r="AG2" s="32"/>
      <c r="AH2" s="32"/>
      <c r="AI2" s="30">
        <v>643276</v>
      </c>
      <c r="AJ2" s="30">
        <v>643276</v>
      </c>
      <c r="AK2" s="30">
        <v>249741</v>
      </c>
      <c r="AL2" s="30">
        <v>0</v>
      </c>
      <c r="AM2" s="30">
        <v>85000</v>
      </c>
      <c r="AN2" s="30">
        <v>495800</v>
      </c>
      <c r="AO2" s="30">
        <v>580800</v>
      </c>
      <c r="AP2" s="34">
        <f>Lookups!$B$58*0.6</f>
        <v>132535.48800000001</v>
      </c>
      <c r="AQ2" s="34">
        <f>Lookups!$B$58*0.4</f>
        <v>88356.992000000013</v>
      </c>
      <c r="AR2" s="34">
        <f>Lookups!$B$59*Inventory[[#This Row],[LnAcres]]</f>
        <v>-1382.7852282188383</v>
      </c>
      <c r="AS2" s="34">
        <f>VLOOKUP(Inventory[[#This Row],[Qlty]],Lookups!$A$66:$E$79,2,FALSE)</f>
        <v>32917.849192000001</v>
      </c>
      <c r="AT2" s="34">
        <f>VLOOKUP(Inventory[[#This Row],[Cnd]],Lookups!$A$80:$E$88,2,FALSE)</f>
        <v>47371.278778200001</v>
      </c>
      <c r="AU2" s="34">
        <f>Inventory[[#This Row],[EffAge]]*Lookups!$B$65</f>
        <v>0</v>
      </c>
      <c r="AV2" s="34">
        <f>Inventory[[#This Row],[MainFn]]*Lookups!$B$90</f>
        <v>178992.96984000001</v>
      </c>
      <c r="AW2" s="34">
        <f>Inventory[[#This Row],[UpprFn]]*Lookups!$B$91</f>
        <v>0</v>
      </c>
      <c r="AX2" s="34">
        <f>Inventory[[#This Row],[Bsmt Area]]*Lookups!$B$95</f>
        <v>179498.07052799998</v>
      </c>
      <c r="AY2" s="34">
        <f>Inventory[[#This Row],[AttGar]]*Lookups!$B$93</f>
        <v>29652.866040000001</v>
      </c>
      <c r="AZ2" s="34">
        <f>ROUND(Inventory[[#This Row],[25Det]],-2)</f>
        <v>249700</v>
      </c>
      <c r="BA2" s="34">
        <f>ROUND(SUM(Inventory[[#This Row],[Mdl Qlty]:[Mdl Garage Area]])+Inventory[[#This Row],[Mdl Res Intercept]],-2)</f>
        <v>601000</v>
      </c>
      <c r="BB2" s="34">
        <f>ROUND(Inventory[[#This Row],[Mdl Land Intercept]]+Inventory[[#This Row],[Mdl LnAcres]],-2)</f>
        <v>87000</v>
      </c>
      <c r="BC2" s="34">
        <f>Inventory[[#This Row],[Unadj Res Value]]+Inventory[[#This Row],[Unadj Det Value]]+Inventory[[#This Row],[Unadj Land Value]]</f>
        <v>937700</v>
      </c>
      <c r="BD2" s="34">
        <f>(Inventory[[#This Row],[Unadj Total Value]]-Inventory[[#This Row],[24Final]])/Inventory[[#This Row],[24Final]]</f>
        <v>0.61449724517906334</v>
      </c>
      <c r="BE2" s="34">
        <f>VLOOKUP(Inventory[[#This Row],[Nbhd]],Lookups!$M$3:$P$5,4,FALSE)</f>
        <v>0.99970000000000003</v>
      </c>
      <c r="BF2" s="34">
        <f>VLOOKUP(Inventory[[#This Row],[Qlty]],Lookups!$M$8:$P$22,4,FALSE)</f>
        <v>1.0019</v>
      </c>
      <c r="BG2" s="34">
        <f>VLOOKUP(Inventory[[#This Row],[Cnd]],Lookups!$R$8:$U$17,4,FALSE)</f>
        <v>1.0012000000000001</v>
      </c>
      <c r="BH2" s="34">
        <f>VLOOKUP(Inventory[[#This Row],[LivArea Range]],Lookups!$R$25:$U$43,4,FALSE)</f>
        <v>1.0099</v>
      </c>
      <c r="BI2" s="34">
        <f>VLOOKUP(Inventory[[#This Row],[Decade]],Lookups!$M$24:$P$40,4,FALSE)</f>
        <v>1</v>
      </c>
      <c r="BJ2" s="34">
        <f>Inventory[[#This Row],[Nbhd Adj]]*0.95</f>
        <v>0.94971499999999998</v>
      </c>
      <c r="BK2" s="34">
        <f>AVERAGE(Inventory[[#This Row],[Nbhd Adj]],Inventory[[#This Row],[Quality Adj]],Inventory[[#This Row],[Condition Adj]],Inventory[[#This Row],[Living Area Adj]],Inventory[[#This Row],[Decade Adj]])*0.95</f>
        <v>0.95241299999999995</v>
      </c>
      <c r="BL2" s="34">
        <f>ROUND((SUM(Inventory[[#This Row],[Mdl Qlty]:[Mdl Garage Area]])+Inventory[[#This Row],[Mdl Res Intercept]])*Inventory[[#This Row],[Res Adj ]],-2)</f>
        <v>572400</v>
      </c>
      <c r="BM2" s="34">
        <f>ROUND(Inventory[[#This Row],[25Det]]*Inventory[[#This Row],[Det/Nbhd Adj]],-2)</f>
        <v>237200</v>
      </c>
      <c r="BN2" s="34">
        <f>Inventory[[#This Row],[Adjusted Res]]+Inventory[[#This Row],[Adj Det ]]</f>
        <v>809600</v>
      </c>
      <c r="BO2" s="34">
        <f>ROUND((Inventory[[#This Row],[Mdl Land Intercept]]+Inventory[[#This Row],[Mdl LnAcres]])*Inventory[[#This Row],[Det/Nbhd Adj]],-2)</f>
        <v>82600</v>
      </c>
      <c r="BP2" s="34">
        <f>Inventory[[#This Row],[Adjusted Impr Total]]+Inventory[[#This Row],[Adjusted Land Total]]</f>
        <v>892200</v>
      </c>
      <c r="BQ2" s="34">
        <f>IFERROR((Inventory[[#This Row],[Adjusted Impr Total]]-Inventory[[#This Row],[24Bldg]])/Inventory[[#This Row],[24Bldg]],0)</f>
        <v>0.63291649858814036</v>
      </c>
      <c r="BR2" s="42">
        <f>(Inventory[[#This Row],[Adjusted Land Total]]-Inventory[[#This Row],[24Lnd]])/Inventory[[#This Row],[24Lnd]]</f>
        <v>-2.823529411764706E-2</v>
      </c>
      <c r="BS2" s="42">
        <v>0</v>
      </c>
    </row>
    <row r="3" spans="1:71">
      <c r="A3" s="30">
        <v>2025</v>
      </c>
      <c r="B3" s="31" t="s">
        <v>508</v>
      </c>
      <c r="C3" s="31">
        <f>LN(Inventory[[#This Row],[Acres]])</f>
        <v>0.20701416938432612</v>
      </c>
      <c r="D3" s="30">
        <v>1.23</v>
      </c>
      <c r="E3" s="30">
        <v>53653</v>
      </c>
      <c r="F3" s="31" t="s">
        <v>505</v>
      </c>
      <c r="G3" s="31" t="s">
        <v>155</v>
      </c>
      <c r="H3" s="31" t="s">
        <v>5</v>
      </c>
      <c r="I3" s="31" t="s">
        <v>509</v>
      </c>
      <c r="J3" s="31" t="s">
        <v>510</v>
      </c>
      <c r="K3" s="31" t="s">
        <v>193</v>
      </c>
      <c r="L3" s="31" t="s">
        <v>17</v>
      </c>
      <c r="M3" s="31" t="s">
        <v>24</v>
      </c>
      <c r="N3" s="31">
        <v>0</v>
      </c>
      <c r="O3" s="31">
        <f>2024-Inventory[[#This Row],[YrBlt]]</f>
        <v>0</v>
      </c>
      <c r="P3" s="31">
        <f>2024-Inventory[[#This Row],[EffYr]]</f>
        <v>0</v>
      </c>
      <c r="Q3" s="30">
        <v>2024</v>
      </c>
      <c r="R3" s="30">
        <v>2024</v>
      </c>
      <c r="S3" s="30">
        <v>2576</v>
      </c>
      <c r="T3" s="37"/>
      <c r="U3" s="37"/>
      <c r="V3" s="32"/>
      <c r="W3" s="32"/>
      <c r="X3" s="32">
        <f>Inventory[[#This Row],[Bsmt Area]]-Inventory[[#This Row],[FnBsmt]]</f>
        <v>0</v>
      </c>
      <c r="Y3" s="32">
        <f>Inventory[[#This Row],[MainFn]]+Inventory[[#This Row],[UpprFn]]+Inventory[[#This Row],[AddFn]]+Inventory[[#This Row],[FnBsmt]]</f>
        <v>2576</v>
      </c>
      <c r="Z3" s="32">
        <v>3000</v>
      </c>
      <c r="AA3" s="31" t="s">
        <v>56</v>
      </c>
      <c r="AB3" s="32"/>
      <c r="AC3" s="32"/>
      <c r="AD3" s="32"/>
      <c r="AE3" s="32"/>
      <c r="AF3" s="32"/>
      <c r="AG3" s="32"/>
      <c r="AH3" s="38">
        <v>0</v>
      </c>
      <c r="AI3" s="37"/>
      <c r="AJ3" s="37"/>
      <c r="AK3" s="30">
        <v>0</v>
      </c>
      <c r="AL3" s="30">
        <v>0</v>
      </c>
      <c r="AM3" s="30">
        <v>89400</v>
      </c>
      <c r="AN3" s="30">
        <v>0</v>
      </c>
      <c r="AO3" s="30">
        <v>89400</v>
      </c>
      <c r="AP3" s="30">
        <f>Lookups!$B$58*0.6</f>
        <v>132535.48800000001</v>
      </c>
      <c r="AQ3" s="30">
        <f>Lookups!$B$58*0.4</f>
        <v>88356.992000000013</v>
      </c>
      <c r="AR3" s="30">
        <f>Lookups!$B$59*Inventory[[#This Row],[LnAcres]]</f>
        <v>2716.9204105482686</v>
      </c>
      <c r="AS3" s="30">
        <f>VLOOKUP(Inventory[[#This Row],[Qlty]],Lookups!$A$66:$E$79,2,FALSE)</f>
        <v>24371.765965999999</v>
      </c>
      <c r="AT3" s="30">
        <f>VLOOKUP(Inventory[[#This Row],[Cnd]],Lookups!$A$80:$E$88,2,FALSE)</f>
        <v>47371.278778200001</v>
      </c>
      <c r="AU3" s="30">
        <f>Inventory[[#This Row],[EffAge]]*Lookups!$B$65</f>
        <v>0</v>
      </c>
      <c r="AV3" s="30">
        <f>Inventory[[#This Row],[MainFn]]*Lookups!$B$90</f>
        <v>160769.13888000001</v>
      </c>
      <c r="AW3" s="30">
        <f>Inventory[[#This Row],[UpprFn]]*Lookups!$B$91</f>
        <v>0</v>
      </c>
      <c r="AX3" s="30">
        <f>Inventory[[#This Row],[Bsmt Area]]*Lookups!$B$95</f>
        <v>0</v>
      </c>
      <c r="AY3" s="30">
        <f>Inventory[[#This Row],[AttGar]]*Lookups!$B$93</f>
        <v>0</v>
      </c>
      <c r="AZ3" s="30">
        <f>ROUND(Inventory[[#This Row],[25Det]],-2)</f>
        <v>0</v>
      </c>
      <c r="BA3" s="30">
        <f>ROUND(SUM(Inventory[[#This Row],[Mdl Qlty]:[Mdl Garage Area]])+Inventory[[#This Row],[Mdl Res Intercept]],-2)</f>
        <v>365000</v>
      </c>
      <c r="BB3" s="30">
        <f>ROUND(Inventory[[#This Row],[Mdl Land Intercept]]+Inventory[[#This Row],[Mdl LnAcres]],-2)</f>
        <v>91100</v>
      </c>
      <c r="BC3" s="30">
        <f>Inventory[[#This Row],[Unadj Res Value]]+Inventory[[#This Row],[Unadj Det Value]]+Inventory[[#This Row],[Unadj Land Value]]</f>
        <v>456100</v>
      </c>
      <c r="BD3" s="30">
        <f>(Inventory[[#This Row],[Unadj Total Value]]-Inventory[[#This Row],[24Final]])/Inventory[[#This Row],[24Final]]</f>
        <v>4.1017897091722597</v>
      </c>
      <c r="BE3" s="30">
        <f>VLOOKUP(Inventory[[#This Row],[Nbhd]],Lookups!$M$3:$P$5,4,FALSE)</f>
        <v>0.99970000000000003</v>
      </c>
      <c r="BF3" s="30">
        <f>VLOOKUP(Inventory[[#This Row],[Qlty]],Lookups!$M$8:$P$22,4,FALSE)</f>
        <v>0.99199999999999999</v>
      </c>
      <c r="BG3" s="30">
        <f>VLOOKUP(Inventory[[#This Row],[Cnd]],Lookups!$R$8:$U$17,4,FALSE)</f>
        <v>1.0012000000000001</v>
      </c>
      <c r="BH3" s="30">
        <f>VLOOKUP(Inventory[[#This Row],[LivArea Range]],Lookups!$R$25:$U$43,4,FALSE)</f>
        <v>1.0099</v>
      </c>
      <c r="BI3" s="30">
        <f>VLOOKUP(Inventory[[#This Row],[Decade]],Lookups!$M$24:$P$40,4,FALSE)</f>
        <v>1</v>
      </c>
      <c r="BJ3" s="30">
        <f>Inventory[[#This Row],[Nbhd Adj]]*0.95</f>
        <v>0.94971499999999998</v>
      </c>
      <c r="BK3" s="30">
        <f>AVERAGE(Inventory[[#This Row],[Nbhd Adj]],Inventory[[#This Row],[Quality Adj]],Inventory[[#This Row],[Condition Adj]],Inventory[[#This Row],[Living Area Adj]],Inventory[[#This Row],[Decade Adj]])*0.95</f>
        <v>0.95053200000000004</v>
      </c>
      <c r="BL3" s="30">
        <f>ROUND((SUM(Inventory[[#This Row],[Mdl Qlty]:[Mdl Garage Area]])+Inventory[[#This Row],[Mdl Res Intercept]])*Inventory[[#This Row],[Res Adj ]],-2)</f>
        <v>347000</v>
      </c>
      <c r="BM3" s="30">
        <f>ROUND(Inventory[[#This Row],[25Det]]*Inventory[[#This Row],[Det/Nbhd Adj]],-2)</f>
        <v>0</v>
      </c>
      <c r="BN3" s="30">
        <f>Inventory[[#This Row],[Adjusted Res]]+Inventory[[#This Row],[Adj Det ]]</f>
        <v>347000</v>
      </c>
      <c r="BO3" s="30">
        <f>ROUND((Inventory[[#This Row],[Mdl Land Intercept]]+Inventory[[#This Row],[Mdl LnAcres]])*Inventory[[#This Row],[Det/Nbhd Adj]],-2)</f>
        <v>86500</v>
      </c>
      <c r="BP3" s="30">
        <f>Inventory[[#This Row],[Adjusted Impr Total]]+Inventory[[#This Row],[Adjusted Land Total]]</f>
        <v>433500</v>
      </c>
      <c r="BQ3" s="30">
        <f>IFERROR((Inventory[[#This Row],[Adjusted Impr Total]]-Inventory[[#This Row],[24Bldg]])/Inventory[[#This Row],[24Bldg]],0)</f>
        <v>0</v>
      </c>
      <c r="BR3" s="43">
        <f>(Inventory[[#This Row],[Adjusted Land Total]]-Inventory[[#This Row],[24Lnd]])/Inventory[[#This Row],[24Lnd]]</f>
        <v>-3.2438478747203577E-2</v>
      </c>
      <c r="BS3" s="43">
        <v>0</v>
      </c>
    </row>
    <row r="4" spans="1:71">
      <c r="A4" s="30">
        <v>2025</v>
      </c>
      <c r="B4" s="31" t="s">
        <v>511</v>
      </c>
      <c r="C4" s="31">
        <f>LN(Inventory[[#This Row],[Acres]])</f>
        <v>-1.8263509139976741</v>
      </c>
      <c r="D4" s="37">
        <f>ROUND(Inventory[[#This Row],[Sqft]]/43560,3)</f>
        <v>0.161</v>
      </c>
      <c r="E4" s="30">
        <v>7001</v>
      </c>
      <c r="F4" s="31" t="s">
        <v>505</v>
      </c>
      <c r="G4" s="31" t="s">
        <v>155</v>
      </c>
      <c r="H4" s="31" t="s">
        <v>5</v>
      </c>
      <c r="I4" s="31" t="s">
        <v>506</v>
      </c>
      <c r="J4" s="31" t="s">
        <v>507</v>
      </c>
      <c r="K4" s="31" t="s">
        <v>157</v>
      </c>
      <c r="L4" s="31" t="s">
        <v>21</v>
      </c>
      <c r="M4" s="31" t="s">
        <v>24</v>
      </c>
      <c r="N4" s="31">
        <v>0</v>
      </c>
      <c r="O4" s="31">
        <f>2024-Inventory[[#This Row],[YrBlt]]</f>
        <v>2</v>
      </c>
      <c r="P4" s="31">
        <f>2024-Inventory[[#This Row],[EffYr]]</f>
        <v>2</v>
      </c>
      <c r="Q4" s="30">
        <v>2022</v>
      </c>
      <c r="R4" s="30">
        <v>2022</v>
      </c>
      <c r="S4" s="30">
        <v>898</v>
      </c>
      <c r="T4" s="30">
        <v>1296</v>
      </c>
      <c r="U4" s="32"/>
      <c r="V4" s="32"/>
      <c r="W4" s="32"/>
      <c r="X4" s="32">
        <f>Inventory[[#This Row],[Bsmt Area]]-Inventory[[#This Row],[FnBsmt]]</f>
        <v>0</v>
      </c>
      <c r="Y4" s="32">
        <f>Inventory[[#This Row],[MainFn]]+Inventory[[#This Row],[UpprFn]]+Inventory[[#This Row],[AddFn]]+Inventory[[#This Row],[FnBsmt]]</f>
        <v>2194</v>
      </c>
      <c r="Z4" s="32">
        <v>2500</v>
      </c>
      <c r="AA4" s="31" t="s">
        <v>57</v>
      </c>
      <c r="AB4" s="32"/>
      <c r="AC4" s="32"/>
      <c r="AD4" s="38">
        <v>480</v>
      </c>
      <c r="AE4" s="32"/>
      <c r="AF4" s="32"/>
      <c r="AG4" s="32"/>
      <c r="AH4" s="32"/>
      <c r="AI4" s="30">
        <v>446003</v>
      </c>
      <c r="AJ4" s="30">
        <v>437083</v>
      </c>
      <c r="AK4" s="30">
        <v>0</v>
      </c>
      <c r="AL4" s="30">
        <v>0</v>
      </c>
      <c r="AM4" s="30">
        <v>60800</v>
      </c>
      <c r="AN4" s="30">
        <v>368700</v>
      </c>
      <c r="AO4" s="30">
        <v>429500</v>
      </c>
      <c r="AP4" s="30">
        <f>Lookups!$B$58*0.6</f>
        <v>132535.48800000001</v>
      </c>
      <c r="AQ4" s="30">
        <f>Lookups!$B$58*0.4</f>
        <v>88356.992000000013</v>
      </c>
      <c r="AR4" s="30">
        <f>Lookups!$B$59*Inventory[[#This Row],[LnAcres]]</f>
        <v>-23969.615653948869</v>
      </c>
      <c r="AS4" s="30">
        <f>VLOOKUP(Inventory[[#This Row],[Qlty]],Lookups!$A$66:$E$79,2,FALSE)</f>
        <v>32917.849192000001</v>
      </c>
      <c r="AT4" s="30">
        <f>VLOOKUP(Inventory[[#This Row],[Cnd]],Lookups!$A$80:$E$88,2,FALSE)</f>
        <v>47371.278778200001</v>
      </c>
      <c r="AU4" s="30">
        <f>Inventory[[#This Row],[EffAge]]*Lookups!$B$65</f>
        <v>-217.48220000000001</v>
      </c>
      <c r="AV4" s="30">
        <f>Inventory[[#This Row],[MainFn]]*Lookups!$B$90</f>
        <v>56044.521240000002</v>
      </c>
      <c r="AW4" s="30">
        <f>Inventory[[#This Row],[UpprFn]]*Lookups!$B$91</f>
        <v>77216.176368</v>
      </c>
      <c r="AX4" s="30">
        <f>Inventory[[#This Row],[Bsmt Area]]*Lookups!$B$95</f>
        <v>0</v>
      </c>
      <c r="AY4" s="30">
        <f>Inventory[[#This Row],[AttGar]]*Lookups!$B$93</f>
        <v>0</v>
      </c>
      <c r="AZ4" s="30">
        <f>ROUND(Inventory[[#This Row],[25Det]],-2)</f>
        <v>0</v>
      </c>
      <c r="BA4" s="30">
        <f>ROUND(SUM(Inventory[[#This Row],[Mdl Qlty]:[Mdl Garage Area]])+Inventory[[#This Row],[Mdl Res Intercept]],-2)</f>
        <v>345900</v>
      </c>
      <c r="BB4" s="30">
        <f>ROUND(Inventory[[#This Row],[Mdl Land Intercept]]+Inventory[[#This Row],[Mdl LnAcres]],-2)</f>
        <v>64400</v>
      </c>
      <c r="BC4" s="30">
        <f>Inventory[[#This Row],[Unadj Res Value]]+Inventory[[#This Row],[Unadj Det Value]]+Inventory[[#This Row],[Unadj Land Value]]</f>
        <v>410300</v>
      </c>
      <c r="BD4" s="30">
        <f>(Inventory[[#This Row],[Unadj Total Value]]-Inventory[[#This Row],[24Final]])/Inventory[[#This Row],[24Final]]</f>
        <v>-4.4703143189755531E-2</v>
      </c>
      <c r="BE4" s="30">
        <f>VLOOKUP(Inventory[[#This Row],[Nbhd]],Lookups!$M$3:$P$5,4,FALSE)</f>
        <v>0.99970000000000003</v>
      </c>
      <c r="BF4" s="30">
        <f>VLOOKUP(Inventory[[#This Row],[Qlty]],Lookups!$M$8:$P$22,4,FALSE)</f>
        <v>1.0019</v>
      </c>
      <c r="BG4" s="30">
        <f>VLOOKUP(Inventory[[#This Row],[Cnd]],Lookups!$R$8:$U$17,4,FALSE)</f>
        <v>1.0012000000000001</v>
      </c>
      <c r="BH4" s="30">
        <f>VLOOKUP(Inventory[[#This Row],[LivArea Range]],Lookups!$R$25:$U$43,4,FALSE)</f>
        <v>1.0008999999999999</v>
      </c>
      <c r="BI4" s="30">
        <f>VLOOKUP(Inventory[[#This Row],[Decade]],Lookups!$M$24:$P$40,4,FALSE)</f>
        <v>1</v>
      </c>
      <c r="BJ4" s="30">
        <f>Inventory[[#This Row],[Nbhd Adj]]*0.95</f>
        <v>0.94971499999999998</v>
      </c>
      <c r="BK4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4" s="30">
        <f>ROUND((SUM(Inventory[[#This Row],[Mdl Qlty]:[Mdl Garage Area]])+Inventory[[#This Row],[Mdl Res Intercept]])*Inventory[[#This Row],[Res Adj ]],-2)</f>
        <v>328800</v>
      </c>
      <c r="BM4" s="30">
        <f>ROUND(Inventory[[#This Row],[25Det]]*Inventory[[#This Row],[Det/Nbhd Adj]],-2)</f>
        <v>0</v>
      </c>
      <c r="BN4" s="30">
        <f>Inventory[[#This Row],[Adjusted Res]]+Inventory[[#This Row],[Adj Det ]]</f>
        <v>328800</v>
      </c>
      <c r="BO4" s="30">
        <f>ROUND((Inventory[[#This Row],[Mdl Land Intercept]]+Inventory[[#This Row],[Mdl LnAcres]])*Inventory[[#This Row],[Det/Nbhd Adj]],-2)</f>
        <v>61100</v>
      </c>
      <c r="BP4" s="30">
        <f>Inventory[[#This Row],[Adjusted Impr Total]]+Inventory[[#This Row],[Adjusted Land Total]]</f>
        <v>389900</v>
      </c>
      <c r="BQ4" s="30">
        <f>IFERROR((Inventory[[#This Row],[Adjusted Impr Total]]-Inventory[[#This Row],[24Bldg]])/Inventory[[#This Row],[24Bldg]],0)</f>
        <v>-0.10821806346623271</v>
      </c>
      <c r="BR4" s="43">
        <f>(Inventory[[#This Row],[Adjusted Land Total]]-Inventory[[#This Row],[24Lnd]])/Inventory[[#This Row],[24Lnd]]</f>
        <v>4.9342105263157892E-3</v>
      </c>
      <c r="BS4" s="43">
        <f>(Inventory[[#This Row],[Adjusted Total]]-Inventory[[#This Row],[24Final]])/Inventory[[#This Row],[24Final]]</f>
        <v>-9.2200232828870785E-2</v>
      </c>
    </row>
    <row r="5" spans="1:71">
      <c r="A5" s="30">
        <v>2025</v>
      </c>
      <c r="B5" s="31" t="s">
        <v>512</v>
      </c>
      <c r="C5" s="31">
        <f>LN(Inventory[[#This Row],[Acres]])</f>
        <v>-1.8263509139976741</v>
      </c>
      <c r="D5" s="37">
        <f>ROUND(Inventory[[#This Row],[Sqft]]/43560,3)</f>
        <v>0.161</v>
      </c>
      <c r="E5" s="30">
        <v>7001</v>
      </c>
      <c r="F5" s="31" t="s">
        <v>505</v>
      </c>
      <c r="G5" s="31" t="s">
        <v>155</v>
      </c>
      <c r="H5" s="31" t="s">
        <v>5</v>
      </c>
      <c r="I5" s="31" t="s">
        <v>506</v>
      </c>
      <c r="J5" s="31" t="s">
        <v>507</v>
      </c>
      <c r="K5" s="31" t="s">
        <v>157</v>
      </c>
      <c r="L5" s="31" t="s">
        <v>21</v>
      </c>
      <c r="M5" s="31" t="s">
        <v>24</v>
      </c>
      <c r="N5" s="31">
        <v>0</v>
      </c>
      <c r="O5" s="31">
        <f>2024-Inventory[[#This Row],[YrBlt]]</f>
        <v>2</v>
      </c>
      <c r="P5" s="31">
        <f>2024-Inventory[[#This Row],[EffYr]]</f>
        <v>2</v>
      </c>
      <c r="Q5" s="30">
        <v>2022</v>
      </c>
      <c r="R5" s="30">
        <v>2022</v>
      </c>
      <c r="S5" s="30">
        <v>1316</v>
      </c>
      <c r="T5" s="30">
        <v>1686</v>
      </c>
      <c r="U5" s="32"/>
      <c r="V5" s="32"/>
      <c r="W5" s="32"/>
      <c r="X5" s="32">
        <f>Inventory[[#This Row],[Bsmt Area]]-Inventory[[#This Row],[FnBsmt]]</f>
        <v>0</v>
      </c>
      <c r="Y5" s="32">
        <f>Inventory[[#This Row],[MainFn]]+Inventory[[#This Row],[UpprFn]]+Inventory[[#This Row],[AddFn]]+Inventory[[#This Row],[FnBsmt]]</f>
        <v>3002</v>
      </c>
      <c r="Z5" s="32">
        <v>3500</v>
      </c>
      <c r="AA5" s="31" t="s">
        <v>57</v>
      </c>
      <c r="AB5" s="32"/>
      <c r="AC5" s="32"/>
      <c r="AD5" s="38">
        <v>540</v>
      </c>
      <c r="AE5" s="32"/>
      <c r="AF5" s="32"/>
      <c r="AG5" s="32"/>
      <c r="AH5" s="32"/>
      <c r="AI5" s="30">
        <v>558958</v>
      </c>
      <c r="AJ5" s="30">
        <v>547779</v>
      </c>
      <c r="AK5" s="30">
        <v>0</v>
      </c>
      <c r="AL5" s="30">
        <v>0</v>
      </c>
      <c r="AM5" s="30">
        <v>60800</v>
      </c>
      <c r="AN5" s="30">
        <v>404800</v>
      </c>
      <c r="AO5" s="30">
        <v>465600</v>
      </c>
      <c r="AP5" s="30">
        <f>Lookups!$B$58*0.6</f>
        <v>132535.48800000001</v>
      </c>
      <c r="AQ5" s="30">
        <f>Lookups!$B$58*0.4</f>
        <v>88356.992000000013</v>
      </c>
      <c r="AR5" s="30">
        <f>Lookups!$B$59*Inventory[[#This Row],[LnAcres]]</f>
        <v>-23969.615653948869</v>
      </c>
      <c r="AS5" s="30">
        <f>VLOOKUP(Inventory[[#This Row],[Qlty]],Lookups!$A$66:$E$79,2,FALSE)</f>
        <v>32917.849192000001</v>
      </c>
      <c r="AT5" s="30">
        <f>VLOOKUP(Inventory[[#This Row],[Cnd]],Lookups!$A$80:$E$88,2,FALSE)</f>
        <v>47371.278778200001</v>
      </c>
      <c r="AU5" s="30">
        <f>Inventory[[#This Row],[EffAge]]*Lookups!$B$65</f>
        <v>-217.48220000000001</v>
      </c>
      <c r="AV5" s="30">
        <f>Inventory[[#This Row],[MainFn]]*Lookups!$B$90</f>
        <v>82132.06008000001</v>
      </c>
      <c r="AW5" s="30">
        <f>Inventory[[#This Row],[UpprFn]]*Lookups!$B$91</f>
        <v>100452.525738</v>
      </c>
      <c r="AX5" s="30">
        <f>Inventory[[#This Row],[Bsmt Area]]*Lookups!$B$95</f>
        <v>0</v>
      </c>
      <c r="AY5" s="30">
        <f>Inventory[[#This Row],[AttGar]]*Lookups!$B$93</f>
        <v>0</v>
      </c>
      <c r="AZ5" s="30">
        <f>ROUND(Inventory[[#This Row],[25Det]],-2)</f>
        <v>0</v>
      </c>
      <c r="BA5" s="30">
        <f>ROUND(SUM(Inventory[[#This Row],[Mdl Qlty]:[Mdl Garage Area]])+Inventory[[#This Row],[Mdl Res Intercept]],-2)</f>
        <v>395200</v>
      </c>
      <c r="BB5" s="30">
        <f>ROUND(Inventory[[#This Row],[Mdl Land Intercept]]+Inventory[[#This Row],[Mdl LnAcres]],-2)</f>
        <v>64400</v>
      </c>
      <c r="BC5" s="30">
        <f>Inventory[[#This Row],[Unadj Res Value]]+Inventory[[#This Row],[Unadj Det Value]]+Inventory[[#This Row],[Unadj Land Value]]</f>
        <v>459600</v>
      </c>
      <c r="BD5" s="30">
        <f>(Inventory[[#This Row],[Unadj Total Value]]-Inventory[[#This Row],[24Final]])/Inventory[[#This Row],[24Final]]</f>
        <v>-1.2886597938144329E-2</v>
      </c>
      <c r="BE5" s="30">
        <f>VLOOKUP(Inventory[[#This Row],[Nbhd]],Lookups!$M$3:$P$5,4,FALSE)</f>
        <v>0.99970000000000003</v>
      </c>
      <c r="BF5" s="30">
        <f>VLOOKUP(Inventory[[#This Row],[Qlty]],Lookups!$M$8:$P$22,4,FALSE)</f>
        <v>1.0019</v>
      </c>
      <c r="BG5" s="30">
        <f>VLOOKUP(Inventory[[#This Row],[Cnd]],Lookups!$R$8:$U$17,4,FALSE)</f>
        <v>1.0012000000000001</v>
      </c>
      <c r="BH5" s="30">
        <f>VLOOKUP(Inventory[[#This Row],[LivArea Range]],Lookups!$R$25:$U$43,4,FALSE)</f>
        <v>0.98509999999999998</v>
      </c>
      <c r="BI5" s="30">
        <f>VLOOKUP(Inventory[[#This Row],[Decade]],Lookups!$M$24:$P$40,4,FALSE)</f>
        <v>1</v>
      </c>
      <c r="BJ5" s="30">
        <f>Inventory[[#This Row],[Nbhd Adj]]*0.95</f>
        <v>0.94971499999999998</v>
      </c>
      <c r="BK5" s="30">
        <f>AVERAGE(Inventory[[#This Row],[Nbhd Adj]],Inventory[[#This Row],[Quality Adj]],Inventory[[#This Row],[Condition Adj]],Inventory[[#This Row],[Living Area Adj]],Inventory[[#This Row],[Decade Adj]])*0.95</f>
        <v>0.9477009999999999</v>
      </c>
      <c r="BL5" s="30">
        <f>ROUND((SUM(Inventory[[#This Row],[Mdl Qlty]:[Mdl Garage Area]])+Inventory[[#This Row],[Mdl Res Intercept]])*Inventory[[#This Row],[Res Adj ]],-2)</f>
        <v>374500</v>
      </c>
      <c r="BM5" s="30">
        <f>ROUND(Inventory[[#This Row],[25Det]]*Inventory[[#This Row],[Det/Nbhd Adj]],-2)</f>
        <v>0</v>
      </c>
      <c r="BN5" s="30">
        <f>Inventory[[#This Row],[Adjusted Res]]+Inventory[[#This Row],[Adj Det ]]</f>
        <v>374500</v>
      </c>
      <c r="BO5" s="30">
        <f>ROUND((Inventory[[#This Row],[Mdl Land Intercept]]+Inventory[[#This Row],[Mdl LnAcres]])*Inventory[[#This Row],[Det/Nbhd Adj]],-2)</f>
        <v>61100</v>
      </c>
      <c r="BP5" s="30">
        <f>Inventory[[#This Row],[Adjusted Impr Total]]+Inventory[[#This Row],[Adjusted Land Total]]</f>
        <v>435600</v>
      </c>
      <c r="BQ5" s="30">
        <f>IFERROR((Inventory[[#This Row],[Adjusted Impr Total]]-Inventory[[#This Row],[24Bldg]])/Inventory[[#This Row],[24Bldg]],0)</f>
        <v>-7.485177865612648E-2</v>
      </c>
      <c r="BR5" s="43">
        <f>(Inventory[[#This Row],[Adjusted Land Total]]-Inventory[[#This Row],[24Lnd]])/Inventory[[#This Row],[24Lnd]]</f>
        <v>4.9342105263157892E-3</v>
      </c>
      <c r="BS5" s="43">
        <f>(Inventory[[#This Row],[Adjusted Total]]-Inventory[[#This Row],[24Final]])/Inventory[[#This Row],[24Final]]</f>
        <v>-6.4432989690721643E-2</v>
      </c>
    </row>
    <row r="6" spans="1:71">
      <c r="A6" s="30">
        <v>2025</v>
      </c>
      <c r="B6" s="31" t="s">
        <v>513</v>
      </c>
      <c r="C6" s="31">
        <f>LN(Inventory[[#This Row],[Acres]])</f>
        <v>-1.8263509139976741</v>
      </c>
      <c r="D6" s="37">
        <f>ROUND(Inventory[[#This Row],[Sqft]]/43560,3)</f>
        <v>0.161</v>
      </c>
      <c r="E6" s="30">
        <v>7001</v>
      </c>
      <c r="F6" s="31" t="s">
        <v>505</v>
      </c>
      <c r="G6" s="31" t="s">
        <v>155</v>
      </c>
      <c r="H6" s="31" t="s">
        <v>5</v>
      </c>
      <c r="I6" s="31" t="s">
        <v>506</v>
      </c>
      <c r="J6" s="31" t="s">
        <v>507</v>
      </c>
      <c r="K6" s="31" t="s">
        <v>157</v>
      </c>
      <c r="L6" s="31" t="s">
        <v>21</v>
      </c>
      <c r="M6" s="31" t="s">
        <v>24</v>
      </c>
      <c r="N6" s="31">
        <v>0</v>
      </c>
      <c r="O6" s="31">
        <f>2024-Inventory[[#This Row],[YrBlt]]</f>
        <v>2</v>
      </c>
      <c r="P6" s="31">
        <f>2024-Inventory[[#This Row],[EffYr]]</f>
        <v>2</v>
      </c>
      <c r="Q6" s="30">
        <v>2022</v>
      </c>
      <c r="R6" s="30">
        <v>2022</v>
      </c>
      <c r="S6" s="30">
        <v>1328</v>
      </c>
      <c r="T6" s="30">
        <v>1686</v>
      </c>
      <c r="U6" s="32"/>
      <c r="V6" s="32"/>
      <c r="W6" s="32"/>
      <c r="X6" s="32">
        <f>Inventory[[#This Row],[Bsmt Area]]-Inventory[[#This Row],[FnBsmt]]</f>
        <v>0</v>
      </c>
      <c r="Y6" s="32">
        <f>Inventory[[#This Row],[MainFn]]+Inventory[[#This Row],[UpprFn]]+Inventory[[#This Row],[AddFn]]+Inventory[[#This Row],[FnBsmt]]</f>
        <v>3014</v>
      </c>
      <c r="Z6" s="32">
        <v>3500</v>
      </c>
      <c r="AA6" s="31" t="s">
        <v>57</v>
      </c>
      <c r="AB6" s="38">
        <v>1</v>
      </c>
      <c r="AC6" s="32"/>
      <c r="AD6" s="38">
        <v>540</v>
      </c>
      <c r="AE6" s="32"/>
      <c r="AF6" s="32"/>
      <c r="AG6" s="32"/>
      <c r="AH6" s="32"/>
      <c r="AI6" s="30">
        <v>565891</v>
      </c>
      <c r="AJ6" s="30">
        <v>554573</v>
      </c>
      <c r="AK6" s="30">
        <v>0</v>
      </c>
      <c r="AL6" s="30">
        <v>0</v>
      </c>
      <c r="AM6" s="30">
        <v>60800</v>
      </c>
      <c r="AN6" s="30">
        <v>405400</v>
      </c>
      <c r="AO6" s="30">
        <v>466200</v>
      </c>
      <c r="AP6" s="30">
        <f>Lookups!$B$58*0.6</f>
        <v>132535.48800000001</v>
      </c>
      <c r="AQ6" s="30">
        <f>Lookups!$B$58*0.4</f>
        <v>88356.992000000013</v>
      </c>
      <c r="AR6" s="30">
        <f>Lookups!$B$59*Inventory[[#This Row],[LnAcres]]</f>
        <v>-23969.615653948869</v>
      </c>
      <c r="AS6" s="30">
        <f>VLOOKUP(Inventory[[#This Row],[Qlty]],Lookups!$A$66:$E$79,2,FALSE)</f>
        <v>32917.849192000001</v>
      </c>
      <c r="AT6" s="30">
        <f>VLOOKUP(Inventory[[#This Row],[Cnd]],Lookups!$A$80:$E$88,2,FALSE)</f>
        <v>47371.278778200001</v>
      </c>
      <c r="AU6" s="30">
        <f>Inventory[[#This Row],[EffAge]]*Lookups!$B$65</f>
        <v>-217.48220000000001</v>
      </c>
      <c r="AV6" s="30">
        <f>Inventory[[#This Row],[MainFn]]*Lookups!$B$90</f>
        <v>82880.98464000001</v>
      </c>
      <c r="AW6" s="30">
        <f>Inventory[[#This Row],[UpprFn]]*Lookups!$B$91</f>
        <v>100452.525738</v>
      </c>
      <c r="AX6" s="30">
        <f>Inventory[[#This Row],[Bsmt Area]]*Lookups!$B$95</f>
        <v>0</v>
      </c>
      <c r="AY6" s="30">
        <f>Inventory[[#This Row],[AttGar]]*Lookups!$B$93</f>
        <v>0</v>
      </c>
      <c r="AZ6" s="30">
        <f>ROUND(Inventory[[#This Row],[25Det]],-2)</f>
        <v>0</v>
      </c>
      <c r="BA6" s="30">
        <f>ROUND(SUM(Inventory[[#This Row],[Mdl Qlty]:[Mdl Garage Area]])+Inventory[[#This Row],[Mdl Res Intercept]],-2)</f>
        <v>395900</v>
      </c>
      <c r="BB6" s="30">
        <f>ROUND(Inventory[[#This Row],[Mdl Land Intercept]]+Inventory[[#This Row],[Mdl LnAcres]],-2)</f>
        <v>64400</v>
      </c>
      <c r="BC6" s="30">
        <f>Inventory[[#This Row],[Unadj Res Value]]+Inventory[[#This Row],[Unadj Det Value]]+Inventory[[#This Row],[Unadj Land Value]]</f>
        <v>460300</v>
      </c>
      <c r="BD6" s="30">
        <f>(Inventory[[#This Row],[Unadj Total Value]]-Inventory[[#This Row],[24Final]])/Inventory[[#This Row],[24Final]]</f>
        <v>-1.2655512655512655E-2</v>
      </c>
      <c r="BE6" s="30">
        <f>VLOOKUP(Inventory[[#This Row],[Nbhd]],Lookups!$M$3:$P$5,4,FALSE)</f>
        <v>0.99970000000000003</v>
      </c>
      <c r="BF6" s="30">
        <f>VLOOKUP(Inventory[[#This Row],[Qlty]],Lookups!$M$8:$P$22,4,FALSE)</f>
        <v>1.0019</v>
      </c>
      <c r="BG6" s="30">
        <f>VLOOKUP(Inventory[[#This Row],[Cnd]],Lookups!$R$8:$U$17,4,FALSE)</f>
        <v>1.0012000000000001</v>
      </c>
      <c r="BH6" s="30">
        <f>VLOOKUP(Inventory[[#This Row],[LivArea Range]],Lookups!$R$25:$U$43,4,FALSE)</f>
        <v>0.98509999999999998</v>
      </c>
      <c r="BI6" s="30">
        <f>VLOOKUP(Inventory[[#This Row],[Decade]],Lookups!$M$24:$P$40,4,FALSE)</f>
        <v>1</v>
      </c>
      <c r="BJ6" s="30">
        <f>Inventory[[#This Row],[Nbhd Adj]]*0.95</f>
        <v>0.94971499999999998</v>
      </c>
      <c r="BK6" s="30">
        <f>AVERAGE(Inventory[[#This Row],[Nbhd Adj]],Inventory[[#This Row],[Quality Adj]],Inventory[[#This Row],[Condition Adj]],Inventory[[#This Row],[Living Area Adj]],Inventory[[#This Row],[Decade Adj]])*0.95</f>
        <v>0.9477009999999999</v>
      </c>
      <c r="BL6" s="30">
        <f>ROUND((SUM(Inventory[[#This Row],[Mdl Qlty]:[Mdl Garage Area]])+Inventory[[#This Row],[Mdl Res Intercept]])*Inventory[[#This Row],[Res Adj ]],-2)</f>
        <v>375200</v>
      </c>
      <c r="BM6" s="30">
        <f>ROUND(Inventory[[#This Row],[25Det]]*Inventory[[#This Row],[Det/Nbhd Adj]],-2)</f>
        <v>0</v>
      </c>
      <c r="BN6" s="30">
        <f>Inventory[[#This Row],[Adjusted Res]]+Inventory[[#This Row],[Adj Det ]]</f>
        <v>375200</v>
      </c>
      <c r="BO6" s="30">
        <f>ROUND((Inventory[[#This Row],[Mdl Land Intercept]]+Inventory[[#This Row],[Mdl LnAcres]])*Inventory[[#This Row],[Det/Nbhd Adj]],-2)</f>
        <v>61100</v>
      </c>
      <c r="BP6" s="30">
        <f>Inventory[[#This Row],[Adjusted Impr Total]]+Inventory[[#This Row],[Adjusted Land Total]]</f>
        <v>436300</v>
      </c>
      <c r="BQ6" s="30">
        <f>IFERROR((Inventory[[#This Row],[Adjusted Impr Total]]-Inventory[[#This Row],[24Bldg]])/Inventory[[#This Row],[24Bldg]],0)</f>
        <v>-7.4494326591021218E-2</v>
      </c>
      <c r="BR6" s="43">
        <f>(Inventory[[#This Row],[Adjusted Land Total]]-Inventory[[#This Row],[24Lnd]])/Inventory[[#This Row],[24Lnd]]</f>
        <v>4.9342105263157892E-3</v>
      </c>
      <c r="BS6" s="43">
        <f>(Inventory[[#This Row],[Adjusted Total]]-Inventory[[#This Row],[24Final]])/Inventory[[#This Row],[24Final]]</f>
        <v>-6.4135564135564135E-2</v>
      </c>
    </row>
    <row r="7" spans="1:71">
      <c r="A7" s="30">
        <v>2025</v>
      </c>
      <c r="B7" s="31" t="s">
        <v>514</v>
      </c>
      <c r="C7" s="31">
        <f>LN(Inventory[[#This Row],[Acres]])</f>
        <v>-1.8263509139976741</v>
      </c>
      <c r="D7" s="37">
        <f>ROUND(Inventory[[#This Row],[Sqft]]/43560,3)</f>
        <v>0.161</v>
      </c>
      <c r="E7" s="38">
        <v>7001</v>
      </c>
      <c r="F7" s="31" t="s">
        <v>505</v>
      </c>
      <c r="G7" s="31" t="s">
        <v>155</v>
      </c>
      <c r="H7" s="31" t="s">
        <v>5</v>
      </c>
      <c r="I7" s="31" t="s">
        <v>506</v>
      </c>
      <c r="J7" s="31" t="s">
        <v>507</v>
      </c>
      <c r="K7" s="31" t="s">
        <v>157</v>
      </c>
      <c r="L7" s="31" t="s">
        <v>19</v>
      </c>
      <c r="M7" s="31" t="s">
        <v>24</v>
      </c>
      <c r="N7" s="31">
        <v>0</v>
      </c>
      <c r="O7" s="31">
        <f>2024-Inventory[[#This Row],[YrBlt]]</f>
        <v>2</v>
      </c>
      <c r="P7" s="31">
        <f>2024-Inventory[[#This Row],[EffYr]]</f>
        <v>2</v>
      </c>
      <c r="Q7" s="30">
        <v>2022</v>
      </c>
      <c r="R7" s="30">
        <v>2022</v>
      </c>
      <c r="S7" s="30">
        <v>1580</v>
      </c>
      <c r="T7" s="37"/>
      <c r="U7" s="32"/>
      <c r="V7" s="32"/>
      <c r="W7" s="32"/>
      <c r="X7" s="32">
        <f>Inventory[[#This Row],[Bsmt Area]]-Inventory[[#This Row],[FnBsmt]]</f>
        <v>0</v>
      </c>
      <c r="Y7" s="32">
        <f>Inventory[[#This Row],[MainFn]]+Inventory[[#This Row],[UpprFn]]+Inventory[[#This Row],[AddFn]]+Inventory[[#This Row],[FnBsmt]]</f>
        <v>1580</v>
      </c>
      <c r="Z7" s="32">
        <v>2000</v>
      </c>
      <c r="AA7" s="31" t="s">
        <v>57</v>
      </c>
      <c r="AB7" s="32"/>
      <c r="AC7" s="38">
        <v>400</v>
      </c>
      <c r="AD7" s="32"/>
      <c r="AE7" s="32"/>
      <c r="AF7" s="32"/>
      <c r="AG7" s="32"/>
      <c r="AH7" s="32"/>
      <c r="AI7" s="30">
        <v>314774</v>
      </c>
      <c r="AJ7" s="30">
        <v>308479</v>
      </c>
      <c r="AK7" s="30">
        <v>0</v>
      </c>
      <c r="AL7" s="30">
        <v>0</v>
      </c>
      <c r="AM7" s="30">
        <v>60800</v>
      </c>
      <c r="AN7" s="30">
        <v>335300</v>
      </c>
      <c r="AO7" s="30">
        <v>396100</v>
      </c>
      <c r="AP7" s="30">
        <f>Lookups!$B$58*0.6</f>
        <v>132535.48800000001</v>
      </c>
      <c r="AQ7" s="30">
        <f>Lookups!$B$58*0.4</f>
        <v>88356.992000000013</v>
      </c>
      <c r="AR7" s="30">
        <f>Lookups!$B$59*Inventory[[#This Row],[LnAcres]]</f>
        <v>-23969.615653948869</v>
      </c>
      <c r="AS7" s="30">
        <f>VLOOKUP(Inventory[[#This Row],[Qlty]],Lookups!$A$66:$E$79,2,FALSE)</f>
        <v>37154.252388000001</v>
      </c>
      <c r="AT7" s="30">
        <f>VLOOKUP(Inventory[[#This Row],[Cnd]],Lookups!$A$80:$E$88,2,FALSE)</f>
        <v>47371.278778200001</v>
      </c>
      <c r="AU7" s="30">
        <f>Inventory[[#This Row],[EffAge]]*Lookups!$B$65</f>
        <v>-217.48220000000001</v>
      </c>
      <c r="AV7" s="30">
        <f>Inventory[[#This Row],[MainFn]]*Lookups!$B$90</f>
        <v>98608.400399999999</v>
      </c>
      <c r="AW7" s="30">
        <f>Inventory[[#This Row],[UpprFn]]*Lookups!$B$91</f>
        <v>0</v>
      </c>
      <c r="AX7" s="30">
        <f>Inventory[[#This Row],[Bsmt Area]]*Lookups!$B$95</f>
        <v>0</v>
      </c>
      <c r="AY7" s="30">
        <f>Inventory[[#This Row],[AttGar]]*Lookups!$B$93</f>
        <v>14120.412400000001</v>
      </c>
      <c r="AZ7" s="30">
        <f>ROUND(Inventory[[#This Row],[25Det]],-2)</f>
        <v>0</v>
      </c>
      <c r="BA7" s="30">
        <f>ROUND(SUM(Inventory[[#This Row],[Mdl Qlty]:[Mdl Garage Area]])+Inventory[[#This Row],[Mdl Res Intercept]],-2)</f>
        <v>329600</v>
      </c>
      <c r="BB7" s="30">
        <f>ROUND(Inventory[[#This Row],[Mdl Land Intercept]]+Inventory[[#This Row],[Mdl LnAcres]],-2)</f>
        <v>64400</v>
      </c>
      <c r="BC7" s="30">
        <f>Inventory[[#This Row],[Unadj Res Value]]+Inventory[[#This Row],[Unadj Det Value]]+Inventory[[#This Row],[Unadj Land Value]]</f>
        <v>394000</v>
      </c>
      <c r="BD7" s="30">
        <f>(Inventory[[#This Row],[Unadj Total Value]]-Inventory[[#This Row],[24Final]])/Inventory[[#This Row],[24Final]]</f>
        <v>-5.3016914920474625E-3</v>
      </c>
      <c r="BE7" s="30">
        <f>VLOOKUP(Inventory[[#This Row],[Nbhd]],Lookups!$M$3:$P$5,4,FALSE)</f>
        <v>0.99970000000000003</v>
      </c>
      <c r="BF7" s="30">
        <f>VLOOKUP(Inventory[[#This Row],[Qlty]],Lookups!$M$8:$P$22,4,FALSE)</f>
        <v>0.99819999999999998</v>
      </c>
      <c r="BG7" s="30">
        <f>VLOOKUP(Inventory[[#This Row],[Cnd]],Lookups!$R$8:$U$17,4,FALSE)</f>
        <v>1.0012000000000001</v>
      </c>
      <c r="BH7" s="30">
        <f>VLOOKUP(Inventory[[#This Row],[LivArea Range]],Lookups!$R$25:$U$43,4,FALSE)</f>
        <v>1.0007999999999999</v>
      </c>
      <c r="BI7" s="30">
        <f>VLOOKUP(Inventory[[#This Row],[Decade]],Lookups!$M$24:$P$40,4,FALSE)</f>
        <v>1</v>
      </c>
      <c r="BJ7" s="30">
        <f>Inventory[[#This Row],[Nbhd Adj]]*0.95</f>
        <v>0.94971499999999998</v>
      </c>
      <c r="BK7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7" s="30">
        <f>ROUND((SUM(Inventory[[#This Row],[Mdl Qlty]:[Mdl Garage Area]])+Inventory[[#This Row],[Mdl Res Intercept]])*Inventory[[#This Row],[Res Adj ]],-2)</f>
        <v>313100</v>
      </c>
      <c r="BM7" s="30">
        <f>ROUND(Inventory[[#This Row],[25Det]]*Inventory[[#This Row],[Det/Nbhd Adj]],-2)</f>
        <v>0</v>
      </c>
      <c r="BN7" s="30">
        <f>Inventory[[#This Row],[Adjusted Res]]+Inventory[[#This Row],[Adj Det ]]</f>
        <v>313100</v>
      </c>
      <c r="BO7" s="30">
        <f>ROUND((Inventory[[#This Row],[Mdl Land Intercept]]+Inventory[[#This Row],[Mdl LnAcres]])*Inventory[[#This Row],[Det/Nbhd Adj]],-2)</f>
        <v>61100</v>
      </c>
      <c r="BP7" s="30">
        <f>Inventory[[#This Row],[Adjusted Impr Total]]+Inventory[[#This Row],[Adjusted Land Total]]</f>
        <v>374200</v>
      </c>
      <c r="BQ7" s="30">
        <f>IFERROR((Inventory[[#This Row],[Adjusted Impr Total]]-Inventory[[#This Row],[24Bldg]])/Inventory[[#This Row],[24Bldg]],0)</f>
        <v>-6.6209364747986874E-2</v>
      </c>
      <c r="BR7" s="43">
        <f>(Inventory[[#This Row],[Adjusted Land Total]]-Inventory[[#This Row],[24Lnd]])/Inventory[[#This Row],[24Lnd]]</f>
        <v>4.9342105263157892E-3</v>
      </c>
      <c r="BS7" s="43">
        <f>(Inventory[[#This Row],[Adjusted Total]]-Inventory[[#This Row],[24Final]])/Inventory[[#This Row],[24Final]]</f>
        <v>-5.5289068417066399E-2</v>
      </c>
    </row>
    <row r="8" spans="1:71">
      <c r="A8" s="30">
        <v>2025</v>
      </c>
      <c r="B8" s="31" t="s">
        <v>515</v>
      </c>
      <c r="C8" s="31">
        <f>LN(Inventory[[#This Row],[Acres]])</f>
        <v>-1.8263509139976741</v>
      </c>
      <c r="D8" s="37">
        <f>ROUND(Inventory[[#This Row],[Sqft]]/43560,3)</f>
        <v>0.161</v>
      </c>
      <c r="E8" s="38">
        <v>7001</v>
      </c>
      <c r="F8" s="31" t="s">
        <v>505</v>
      </c>
      <c r="G8" s="31" t="s">
        <v>155</v>
      </c>
      <c r="H8" s="31" t="s">
        <v>5</v>
      </c>
      <c r="I8" s="31" t="s">
        <v>506</v>
      </c>
      <c r="J8" s="31" t="s">
        <v>507</v>
      </c>
      <c r="K8" s="31" t="s">
        <v>157</v>
      </c>
      <c r="L8" s="31" t="s">
        <v>19</v>
      </c>
      <c r="M8" s="31" t="s">
        <v>24</v>
      </c>
      <c r="N8" s="31">
        <v>0</v>
      </c>
      <c r="O8" s="31">
        <f>2024-Inventory[[#This Row],[YrBlt]]</f>
        <v>2</v>
      </c>
      <c r="P8" s="31">
        <f>2024-Inventory[[#This Row],[EffYr]]</f>
        <v>2</v>
      </c>
      <c r="Q8" s="30">
        <v>2022</v>
      </c>
      <c r="R8" s="30">
        <v>2022</v>
      </c>
      <c r="S8" s="30">
        <v>1619</v>
      </c>
      <c r="T8" s="37"/>
      <c r="U8" s="37"/>
      <c r="V8" s="32"/>
      <c r="W8" s="37"/>
      <c r="X8" s="37">
        <f>Inventory[[#This Row],[Bsmt Area]]-Inventory[[#This Row],[FnBsmt]]</f>
        <v>0</v>
      </c>
      <c r="Y8" s="37">
        <f>Inventory[[#This Row],[MainFn]]+Inventory[[#This Row],[UpprFn]]+Inventory[[#This Row],[AddFn]]+Inventory[[#This Row],[FnBsmt]]</f>
        <v>1619</v>
      </c>
      <c r="Z8" s="32">
        <v>2000</v>
      </c>
      <c r="AA8" s="31" t="s">
        <v>57</v>
      </c>
      <c r="AB8" s="38">
        <v>1</v>
      </c>
      <c r="AC8" s="38">
        <v>480</v>
      </c>
      <c r="AD8" s="32"/>
      <c r="AE8" s="32"/>
      <c r="AF8" s="32"/>
      <c r="AG8" s="32"/>
      <c r="AH8" s="32"/>
      <c r="AI8" s="30">
        <v>325345</v>
      </c>
      <c r="AJ8" s="30">
        <v>318838</v>
      </c>
      <c r="AK8" s="30">
        <v>0</v>
      </c>
      <c r="AL8" s="30">
        <v>0</v>
      </c>
      <c r="AM8" s="30">
        <v>60800</v>
      </c>
      <c r="AN8" s="30">
        <v>337300</v>
      </c>
      <c r="AO8" s="30">
        <v>398100</v>
      </c>
      <c r="AP8" s="30">
        <f>Lookups!$B$58*0.6</f>
        <v>132535.48800000001</v>
      </c>
      <c r="AQ8" s="30">
        <f>Lookups!$B$58*0.4</f>
        <v>88356.992000000013</v>
      </c>
      <c r="AR8" s="30">
        <f>Lookups!$B$59*Inventory[[#This Row],[LnAcres]]</f>
        <v>-23969.615653948869</v>
      </c>
      <c r="AS8" s="30">
        <f>VLOOKUP(Inventory[[#This Row],[Qlty]],Lookups!$A$66:$E$79,2,FALSE)</f>
        <v>37154.252388000001</v>
      </c>
      <c r="AT8" s="30">
        <f>VLOOKUP(Inventory[[#This Row],[Cnd]],Lookups!$A$80:$E$88,2,FALSE)</f>
        <v>47371.278778200001</v>
      </c>
      <c r="AU8" s="30">
        <f>Inventory[[#This Row],[EffAge]]*Lookups!$B$65</f>
        <v>-217.48220000000001</v>
      </c>
      <c r="AV8" s="30">
        <f>Inventory[[#This Row],[MainFn]]*Lookups!$B$90</f>
        <v>101042.40522</v>
      </c>
      <c r="AW8" s="30">
        <f>Inventory[[#This Row],[UpprFn]]*Lookups!$B$91</f>
        <v>0</v>
      </c>
      <c r="AX8" s="30">
        <f>Inventory[[#This Row],[Bsmt Area]]*Lookups!$B$95</f>
        <v>0</v>
      </c>
      <c r="AY8" s="30">
        <f>Inventory[[#This Row],[AttGar]]*Lookups!$B$93</f>
        <v>16944.494880000002</v>
      </c>
      <c r="AZ8" s="30">
        <f>ROUND(Inventory[[#This Row],[25Det]],-2)</f>
        <v>0</v>
      </c>
      <c r="BA8" s="30">
        <f>ROUND(SUM(Inventory[[#This Row],[Mdl Qlty]:[Mdl Garage Area]])+Inventory[[#This Row],[Mdl Res Intercept]],-2)</f>
        <v>334800</v>
      </c>
      <c r="BB8" s="30">
        <f>ROUND(Inventory[[#This Row],[Mdl Land Intercept]]+Inventory[[#This Row],[Mdl LnAcres]],-2)</f>
        <v>64400</v>
      </c>
      <c r="BC8" s="30">
        <f>Inventory[[#This Row],[Unadj Res Value]]+Inventory[[#This Row],[Unadj Det Value]]+Inventory[[#This Row],[Unadj Land Value]]</f>
        <v>399200</v>
      </c>
      <c r="BD8" s="30">
        <f>(Inventory[[#This Row],[Unadj Total Value]]-Inventory[[#This Row],[24Final]])/Inventory[[#This Row],[24Final]]</f>
        <v>2.7631248430042702E-3</v>
      </c>
      <c r="BE8" s="30">
        <f>VLOOKUP(Inventory[[#This Row],[Nbhd]],Lookups!$M$3:$P$5,4,FALSE)</f>
        <v>0.99970000000000003</v>
      </c>
      <c r="BF8" s="30">
        <f>VLOOKUP(Inventory[[#This Row],[Qlty]],Lookups!$M$8:$P$22,4,FALSE)</f>
        <v>0.99819999999999998</v>
      </c>
      <c r="BG8" s="30">
        <f>VLOOKUP(Inventory[[#This Row],[Cnd]],Lookups!$R$8:$U$17,4,FALSE)</f>
        <v>1.0012000000000001</v>
      </c>
      <c r="BH8" s="30">
        <f>VLOOKUP(Inventory[[#This Row],[LivArea Range]],Lookups!$R$25:$U$43,4,FALSE)</f>
        <v>1.0007999999999999</v>
      </c>
      <c r="BI8" s="30">
        <f>VLOOKUP(Inventory[[#This Row],[Decade]],Lookups!$M$24:$P$40,4,FALSE)</f>
        <v>1</v>
      </c>
      <c r="BJ8" s="30">
        <f>Inventory[[#This Row],[Nbhd Adj]]*0.95</f>
        <v>0.94971499999999998</v>
      </c>
      <c r="BK8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8" s="30">
        <f>ROUND((SUM(Inventory[[#This Row],[Mdl Qlty]:[Mdl Garage Area]])+Inventory[[#This Row],[Mdl Res Intercept]])*Inventory[[#This Row],[Res Adj ]],-2)</f>
        <v>318100</v>
      </c>
      <c r="BM8" s="30">
        <f>ROUND(Inventory[[#This Row],[25Det]]*Inventory[[#This Row],[Det/Nbhd Adj]],-2)</f>
        <v>0</v>
      </c>
      <c r="BN8" s="30">
        <f>Inventory[[#This Row],[Adjusted Res]]+Inventory[[#This Row],[Adj Det ]]</f>
        <v>318100</v>
      </c>
      <c r="BO8" s="30">
        <f>ROUND((Inventory[[#This Row],[Mdl Land Intercept]]+Inventory[[#This Row],[Mdl LnAcres]])*Inventory[[#This Row],[Det/Nbhd Adj]],-2)</f>
        <v>61100</v>
      </c>
      <c r="BP8" s="30">
        <f>Inventory[[#This Row],[Adjusted Impr Total]]+Inventory[[#This Row],[Adjusted Land Total]]</f>
        <v>379200</v>
      </c>
      <c r="BQ8" s="30">
        <f>IFERROR((Inventory[[#This Row],[Adjusted Impr Total]]-Inventory[[#This Row],[24Bldg]])/Inventory[[#This Row],[24Bldg]],0)</f>
        <v>-5.6922620812333236E-2</v>
      </c>
      <c r="BR8" s="43">
        <f>(Inventory[[#This Row],[Adjusted Land Total]]-Inventory[[#This Row],[24Lnd]])/Inventory[[#This Row],[24Lnd]]</f>
        <v>4.9342105263157892E-3</v>
      </c>
      <c r="BS8" s="43">
        <f>(Inventory[[#This Row],[Adjusted Total]]-Inventory[[#This Row],[24Final]])/Inventory[[#This Row],[24Final]]</f>
        <v>-4.7475508666164283E-2</v>
      </c>
    </row>
    <row r="9" spans="1:71">
      <c r="A9" s="30">
        <v>2025</v>
      </c>
      <c r="B9" s="31" t="s">
        <v>516</v>
      </c>
      <c r="C9" s="31">
        <f>LN(Inventory[[#This Row],[Acres]])</f>
        <v>-1.8263509139976741</v>
      </c>
      <c r="D9" s="37">
        <f>ROUND(Inventory[[#This Row],[Sqft]]/43560,3)</f>
        <v>0.161</v>
      </c>
      <c r="E9" s="30">
        <v>7001</v>
      </c>
      <c r="F9" s="31" t="s">
        <v>505</v>
      </c>
      <c r="G9" s="31" t="s">
        <v>155</v>
      </c>
      <c r="H9" s="31" t="s">
        <v>5</v>
      </c>
      <c r="I9" s="31" t="s">
        <v>506</v>
      </c>
      <c r="J9" s="31" t="s">
        <v>507</v>
      </c>
      <c r="K9" s="31" t="s">
        <v>157</v>
      </c>
      <c r="L9" s="31" t="s">
        <v>19</v>
      </c>
      <c r="M9" s="31" t="s">
        <v>24</v>
      </c>
      <c r="N9" s="31">
        <v>0</v>
      </c>
      <c r="O9" s="31">
        <f>2024-Inventory[[#This Row],[YrBlt]]</f>
        <v>2</v>
      </c>
      <c r="P9" s="31">
        <f>2024-Inventory[[#This Row],[EffYr]]</f>
        <v>2</v>
      </c>
      <c r="Q9" s="30">
        <v>2022</v>
      </c>
      <c r="R9" s="30">
        <v>2022</v>
      </c>
      <c r="S9" s="30">
        <v>1580</v>
      </c>
      <c r="T9" s="37"/>
      <c r="U9" s="32"/>
      <c r="V9" s="32"/>
      <c r="W9" s="32"/>
      <c r="X9" s="32">
        <f>Inventory[[#This Row],[Bsmt Area]]-Inventory[[#This Row],[FnBsmt]]</f>
        <v>0</v>
      </c>
      <c r="Y9" s="32">
        <f>Inventory[[#This Row],[MainFn]]+Inventory[[#This Row],[UpprFn]]+Inventory[[#This Row],[AddFn]]+Inventory[[#This Row],[FnBsmt]]</f>
        <v>1580</v>
      </c>
      <c r="Z9" s="32">
        <v>2000</v>
      </c>
      <c r="AA9" s="31" t="s">
        <v>57</v>
      </c>
      <c r="AB9" s="32"/>
      <c r="AC9" s="38">
        <v>616</v>
      </c>
      <c r="AD9" s="32"/>
      <c r="AE9" s="32"/>
      <c r="AF9" s="32"/>
      <c r="AG9" s="32"/>
      <c r="AH9" s="32"/>
      <c r="AI9" s="30">
        <v>321115</v>
      </c>
      <c r="AJ9" s="30">
        <v>314693</v>
      </c>
      <c r="AK9" s="30">
        <v>0</v>
      </c>
      <c r="AL9" s="30">
        <v>0</v>
      </c>
      <c r="AM9" s="30">
        <v>60800</v>
      </c>
      <c r="AN9" s="30">
        <v>335400</v>
      </c>
      <c r="AO9" s="30">
        <v>396200</v>
      </c>
      <c r="AP9" s="30">
        <f>Lookups!$B$58*0.6</f>
        <v>132535.48800000001</v>
      </c>
      <c r="AQ9" s="30">
        <f>Lookups!$B$58*0.4</f>
        <v>88356.992000000013</v>
      </c>
      <c r="AR9" s="30">
        <f>Lookups!$B$59*Inventory[[#This Row],[LnAcres]]</f>
        <v>-23969.615653948869</v>
      </c>
      <c r="AS9" s="30">
        <f>VLOOKUP(Inventory[[#This Row],[Qlty]],Lookups!$A$66:$E$79,2,FALSE)</f>
        <v>37154.252388000001</v>
      </c>
      <c r="AT9" s="30">
        <f>VLOOKUP(Inventory[[#This Row],[Cnd]],Lookups!$A$80:$E$88,2,FALSE)</f>
        <v>47371.278778200001</v>
      </c>
      <c r="AU9" s="30">
        <f>Inventory[[#This Row],[EffAge]]*Lookups!$B$65</f>
        <v>-217.48220000000001</v>
      </c>
      <c r="AV9" s="30">
        <f>Inventory[[#This Row],[MainFn]]*Lookups!$B$90</f>
        <v>98608.400399999999</v>
      </c>
      <c r="AW9" s="30">
        <f>Inventory[[#This Row],[UpprFn]]*Lookups!$B$91</f>
        <v>0</v>
      </c>
      <c r="AX9" s="30">
        <f>Inventory[[#This Row],[Bsmt Area]]*Lookups!$B$95</f>
        <v>0</v>
      </c>
      <c r="AY9" s="30">
        <f>Inventory[[#This Row],[AttGar]]*Lookups!$B$93</f>
        <v>21745.435096000001</v>
      </c>
      <c r="AZ9" s="30">
        <f>ROUND(Inventory[[#This Row],[25Det]],-2)</f>
        <v>0</v>
      </c>
      <c r="BA9" s="30">
        <f>ROUND(SUM(Inventory[[#This Row],[Mdl Qlty]:[Mdl Garage Area]])+Inventory[[#This Row],[Mdl Res Intercept]],-2)</f>
        <v>337200</v>
      </c>
      <c r="BB9" s="30">
        <f>ROUND(Inventory[[#This Row],[Mdl Land Intercept]]+Inventory[[#This Row],[Mdl LnAcres]],-2)</f>
        <v>64400</v>
      </c>
      <c r="BC9" s="30">
        <f>Inventory[[#This Row],[Unadj Res Value]]+Inventory[[#This Row],[Unadj Det Value]]+Inventory[[#This Row],[Unadj Land Value]]</f>
        <v>401600</v>
      </c>
      <c r="BD9" s="30">
        <f>(Inventory[[#This Row],[Unadj Total Value]]-Inventory[[#This Row],[24Final]])/Inventory[[#This Row],[24Final]]</f>
        <v>1.3629480060575468E-2</v>
      </c>
      <c r="BE9" s="30">
        <f>VLOOKUP(Inventory[[#This Row],[Nbhd]],Lookups!$M$3:$P$5,4,FALSE)</f>
        <v>0.99970000000000003</v>
      </c>
      <c r="BF9" s="30">
        <f>VLOOKUP(Inventory[[#This Row],[Qlty]],Lookups!$M$8:$P$22,4,FALSE)</f>
        <v>0.99819999999999998</v>
      </c>
      <c r="BG9" s="30">
        <f>VLOOKUP(Inventory[[#This Row],[Cnd]],Lookups!$R$8:$U$17,4,FALSE)</f>
        <v>1.0012000000000001</v>
      </c>
      <c r="BH9" s="30">
        <f>VLOOKUP(Inventory[[#This Row],[LivArea Range]],Lookups!$R$25:$U$43,4,FALSE)</f>
        <v>1.0007999999999999</v>
      </c>
      <c r="BI9" s="30">
        <f>VLOOKUP(Inventory[[#This Row],[Decade]],Lookups!$M$24:$P$40,4,FALSE)</f>
        <v>1</v>
      </c>
      <c r="BJ9" s="30">
        <f>Inventory[[#This Row],[Nbhd Adj]]*0.95</f>
        <v>0.94971499999999998</v>
      </c>
      <c r="BK9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9" s="30">
        <f>ROUND((SUM(Inventory[[#This Row],[Mdl Qlty]:[Mdl Garage Area]])+Inventory[[#This Row],[Mdl Res Intercept]])*Inventory[[#This Row],[Res Adj ]],-2)</f>
        <v>320300</v>
      </c>
      <c r="BM9" s="30">
        <f>ROUND(Inventory[[#This Row],[25Det]]*Inventory[[#This Row],[Det/Nbhd Adj]],-2)</f>
        <v>0</v>
      </c>
      <c r="BN9" s="30">
        <f>Inventory[[#This Row],[Adjusted Res]]+Inventory[[#This Row],[Adj Det ]]</f>
        <v>320300</v>
      </c>
      <c r="BO9" s="30">
        <f>ROUND((Inventory[[#This Row],[Mdl Land Intercept]]+Inventory[[#This Row],[Mdl LnAcres]])*Inventory[[#This Row],[Det/Nbhd Adj]],-2)</f>
        <v>61100</v>
      </c>
      <c r="BP9" s="30">
        <f>Inventory[[#This Row],[Adjusted Impr Total]]+Inventory[[#This Row],[Adjusted Land Total]]</f>
        <v>381400</v>
      </c>
      <c r="BQ9" s="30">
        <f>IFERROR((Inventory[[#This Row],[Adjusted Impr Total]]-Inventory[[#This Row],[24Bldg]])/Inventory[[#This Row],[24Bldg]],0)</f>
        <v>-4.502087060226595E-2</v>
      </c>
      <c r="BR9" s="43">
        <f>(Inventory[[#This Row],[Adjusted Land Total]]-Inventory[[#This Row],[24Lnd]])/Inventory[[#This Row],[24Lnd]]</f>
        <v>4.9342105263157892E-3</v>
      </c>
      <c r="BS9" s="43">
        <f>(Inventory[[#This Row],[Adjusted Total]]-Inventory[[#This Row],[24Final]])/Inventory[[#This Row],[24Final]]</f>
        <v>-3.7354871277132759E-2</v>
      </c>
    </row>
    <row r="10" spans="1:71">
      <c r="A10" s="30">
        <v>2025</v>
      </c>
      <c r="B10" s="31" t="s">
        <v>517</v>
      </c>
      <c r="C10" s="31">
        <f>LN(Inventory[[#This Row],[Acres]])</f>
        <v>-1.8263509139976741</v>
      </c>
      <c r="D10" s="37">
        <f>ROUND(Inventory[[#This Row],[Sqft]]/43560,3)</f>
        <v>0.161</v>
      </c>
      <c r="E10" s="38">
        <v>7004</v>
      </c>
      <c r="F10" s="31" t="s">
        <v>505</v>
      </c>
      <c r="G10" s="31" t="s">
        <v>155</v>
      </c>
      <c r="H10" s="31" t="s">
        <v>5</v>
      </c>
      <c r="I10" s="31" t="s">
        <v>506</v>
      </c>
      <c r="J10" s="31" t="s">
        <v>507</v>
      </c>
      <c r="K10" s="31" t="s">
        <v>157</v>
      </c>
      <c r="L10" s="31" t="s">
        <v>19</v>
      </c>
      <c r="M10" s="31" t="s">
        <v>24</v>
      </c>
      <c r="N10" s="31">
        <v>0</v>
      </c>
      <c r="O10" s="31">
        <f>2024-Inventory[[#This Row],[YrBlt]]</f>
        <v>2</v>
      </c>
      <c r="P10" s="31">
        <f>2024-Inventory[[#This Row],[EffYr]]</f>
        <v>2</v>
      </c>
      <c r="Q10" s="30">
        <v>2022</v>
      </c>
      <c r="R10" s="30">
        <v>2022</v>
      </c>
      <c r="S10" s="30">
        <v>1452</v>
      </c>
      <c r="T10" s="32"/>
      <c r="U10" s="37"/>
      <c r="V10" s="32"/>
      <c r="W10" s="32"/>
      <c r="X10" s="32">
        <f>Inventory[[#This Row],[Bsmt Area]]-Inventory[[#This Row],[FnBsmt]]</f>
        <v>0</v>
      </c>
      <c r="Y10" s="32">
        <f>Inventory[[#This Row],[MainFn]]+Inventory[[#This Row],[UpprFn]]+Inventory[[#This Row],[AddFn]]+Inventory[[#This Row],[FnBsmt]]</f>
        <v>1452</v>
      </c>
      <c r="Z10" s="32">
        <v>1500</v>
      </c>
      <c r="AA10" s="31" t="s">
        <v>57</v>
      </c>
      <c r="AB10" s="32"/>
      <c r="AC10" s="38">
        <v>616</v>
      </c>
      <c r="AD10" s="32"/>
      <c r="AE10" s="32"/>
      <c r="AF10" s="32"/>
      <c r="AG10" s="32"/>
      <c r="AH10" s="32"/>
      <c r="AI10" s="30">
        <v>293832</v>
      </c>
      <c r="AJ10" s="30">
        <v>287955</v>
      </c>
      <c r="AK10" s="30">
        <v>0</v>
      </c>
      <c r="AL10" s="30">
        <v>0</v>
      </c>
      <c r="AM10" s="30">
        <v>60800</v>
      </c>
      <c r="AN10" s="30">
        <v>321800</v>
      </c>
      <c r="AO10" s="30">
        <v>382600</v>
      </c>
      <c r="AP10" s="30">
        <f>Lookups!$B$58*0.6</f>
        <v>132535.48800000001</v>
      </c>
      <c r="AQ10" s="30">
        <f>Lookups!$B$58*0.4</f>
        <v>88356.992000000013</v>
      </c>
      <c r="AR10" s="30">
        <f>Lookups!$B$59*Inventory[[#This Row],[LnAcres]]</f>
        <v>-23969.615653948869</v>
      </c>
      <c r="AS10" s="30">
        <f>VLOOKUP(Inventory[[#This Row],[Qlty]],Lookups!$A$66:$E$79,2,FALSE)</f>
        <v>37154.252388000001</v>
      </c>
      <c r="AT10" s="30">
        <f>VLOOKUP(Inventory[[#This Row],[Cnd]],Lookups!$A$80:$E$88,2,FALSE)</f>
        <v>47371.278778200001</v>
      </c>
      <c r="AU10" s="30">
        <f>Inventory[[#This Row],[EffAge]]*Lookups!$B$65</f>
        <v>-217.48220000000001</v>
      </c>
      <c r="AV10" s="30">
        <f>Inventory[[#This Row],[MainFn]]*Lookups!$B$90</f>
        <v>90619.871760000009</v>
      </c>
      <c r="AW10" s="30">
        <f>Inventory[[#This Row],[UpprFn]]*Lookups!$B$91</f>
        <v>0</v>
      </c>
      <c r="AX10" s="30">
        <f>Inventory[[#This Row],[Bsmt Area]]*Lookups!$B$95</f>
        <v>0</v>
      </c>
      <c r="AY10" s="30">
        <f>Inventory[[#This Row],[AttGar]]*Lookups!$B$93</f>
        <v>21745.435096000001</v>
      </c>
      <c r="AZ10" s="30">
        <f>ROUND(Inventory[[#This Row],[25Det]],-2)</f>
        <v>0</v>
      </c>
      <c r="BA10" s="30">
        <f>ROUND(SUM(Inventory[[#This Row],[Mdl Qlty]:[Mdl Garage Area]])+Inventory[[#This Row],[Mdl Res Intercept]],-2)</f>
        <v>329200</v>
      </c>
      <c r="BB10" s="30">
        <f>ROUND(Inventory[[#This Row],[Mdl Land Intercept]]+Inventory[[#This Row],[Mdl LnAcres]],-2)</f>
        <v>64400</v>
      </c>
      <c r="BC10" s="30">
        <f>Inventory[[#This Row],[Unadj Res Value]]+Inventory[[#This Row],[Unadj Det Value]]+Inventory[[#This Row],[Unadj Land Value]]</f>
        <v>393600</v>
      </c>
      <c r="BD10" s="30">
        <f>(Inventory[[#This Row],[Unadj Total Value]]-Inventory[[#This Row],[24Final]])/Inventory[[#This Row],[24Final]]</f>
        <v>2.8750653423941452E-2</v>
      </c>
      <c r="BE10" s="30">
        <f>VLOOKUP(Inventory[[#This Row],[Nbhd]],Lookups!$M$3:$P$5,4,FALSE)</f>
        <v>0.99970000000000003</v>
      </c>
      <c r="BF10" s="30">
        <f>VLOOKUP(Inventory[[#This Row],[Qlty]],Lookups!$M$8:$P$22,4,FALSE)</f>
        <v>0.99819999999999998</v>
      </c>
      <c r="BG10" s="30">
        <f>VLOOKUP(Inventory[[#This Row],[Cnd]],Lookups!$R$8:$U$17,4,FALSE)</f>
        <v>1.0012000000000001</v>
      </c>
      <c r="BH10" s="30">
        <f>VLOOKUP(Inventory[[#This Row],[LivArea Range]],Lookups!$R$25:$U$43,4,FALSE)</f>
        <v>0.99519999999999997</v>
      </c>
      <c r="BI10" s="30">
        <f>VLOOKUP(Inventory[[#This Row],[Decade]],Lookups!$M$24:$P$40,4,FALSE)</f>
        <v>1</v>
      </c>
      <c r="BJ10" s="30">
        <f>Inventory[[#This Row],[Nbhd Adj]]*0.95</f>
        <v>0.94971499999999998</v>
      </c>
      <c r="BK10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10" s="30">
        <f>ROUND((SUM(Inventory[[#This Row],[Mdl Qlty]:[Mdl Garage Area]])+Inventory[[#This Row],[Mdl Res Intercept]])*Inventory[[#This Row],[Res Adj ]],-2)</f>
        <v>312400</v>
      </c>
      <c r="BM10" s="30">
        <f>ROUND(Inventory[[#This Row],[25Det]]*Inventory[[#This Row],[Det/Nbhd Adj]],-2)</f>
        <v>0</v>
      </c>
      <c r="BN10" s="30">
        <f>Inventory[[#This Row],[Adjusted Res]]+Inventory[[#This Row],[Adj Det ]]</f>
        <v>312400</v>
      </c>
      <c r="BO10" s="30">
        <f>ROUND((Inventory[[#This Row],[Mdl Land Intercept]]+Inventory[[#This Row],[Mdl LnAcres]])*Inventory[[#This Row],[Det/Nbhd Adj]],-2)</f>
        <v>61100</v>
      </c>
      <c r="BP10" s="30">
        <f>Inventory[[#This Row],[Adjusted Impr Total]]+Inventory[[#This Row],[Adjusted Land Total]]</f>
        <v>373500</v>
      </c>
      <c r="BQ10" s="30">
        <f>IFERROR((Inventory[[#This Row],[Adjusted Impr Total]]-Inventory[[#This Row],[24Bldg]])/Inventory[[#This Row],[24Bldg]],0)</f>
        <v>-2.9210689869484153E-2</v>
      </c>
      <c r="BR10" s="43">
        <f>(Inventory[[#This Row],[Adjusted Land Total]]-Inventory[[#This Row],[24Lnd]])/Inventory[[#This Row],[24Lnd]]</f>
        <v>4.9342105263157892E-3</v>
      </c>
      <c r="BS10" s="43">
        <f>(Inventory[[#This Row],[Adjusted Total]]-Inventory[[#This Row],[24Final]])/Inventory[[#This Row],[24Final]]</f>
        <v>-2.3784631468897019E-2</v>
      </c>
    </row>
    <row r="11" spans="1:71">
      <c r="A11" s="30">
        <v>2025</v>
      </c>
      <c r="B11" s="31" t="s">
        <v>518</v>
      </c>
      <c r="C11" s="31">
        <f>LN(Inventory[[#This Row],[Acres]])</f>
        <v>-1.8263509139976741</v>
      </c>
      <c r="D11" s="37">
        <f>ROUND(Inventory[[#This Row],[Sqft]]/43560,3)</f>
        <v>0.161</v>
      </c>
      <c r="E11" s="30">
        <v>7002</v>
      </c>
      <c r="F11" s="31" t="s">
        <v>505</v>
      </c>
      <c r="G11" s="31" t="s">
        <v>155</v>
      </c>
      <c r="H11" s="31" t="s">
        <v>5</v>
      </c>
      <c r="I11" s="31" t="s">
        <v>506</v>
      </c>
      <c r="J11" s="31" t="s">
        <v>507</v>
      </c>
      <c r="K11" s="31" t="s">
        <v>157</v>
      </c>
      <c r="L11" s="31" t="s">
        <v>19</v>
      </c>
      <c r="M11" s="31" t="s">
        <v>24</v>
      </c>
      <c r="N11" s="31">
        <v>0</v>
      </c>
      <c r="O11" s="31">
        <f>2024-Inventory[[#This Row],[YrBlt]]</f>
        <v>2</v>
      </c>
      <c r="P11" s="31">
        <f>2024-Inventory[[#This Row],[EffYr]]</f>
        <v>2</v>
      </c>
      <c r="Q11" s="30">
        <v>2022</v>
      </c>
      <c r="R11" s="30">
        <v>2022</v>
      </c>
      <c r="S11" s="30">
        <v>1452</v>
      </c>
      <c r="T11" s="37"/>
      <c r="U11" s="37"/>
      <c r="V11" s="32"/>
      <c r="W11" s="32"/>
      <c r="X11" s="32">
        <f>Inventory[[#This Row],[Bsmt Area]]-Inventory[[#This Row],[FnBsmt]]</f>
        <v>0</v>
      </c>
      <c r="Y11" s="32">
        <f>Inventory[[#This Row],[MainFn]]+Inventory[[#This Row],[UpprFn]]+Inventory[[#This Row],[AddFn]]+Inventory[[#This Row],[FnBsmt]]</f>
        <v>1452</v>
      </c>
      <c r="Z11" s="32">
        <v>1500</v>
      </c>
      <c r="AA11" s="31" t="s">
        <v>57</v>
      </c>
      <c r="AB11" s="32"/>
      <c r="AC11" s="38">
        <v>400</v>
      </c>
      <c r="AD11" s="32"/>
      <c r="AE11" s="32"/>
      <c r="AF11" s="32"/>
      <c r="AG11" s="32"/>
      <c r="AH11" s="32"/>
      <c r="AI11" s="30">
        <v>285695</v>
      </c>
      <c r="AJ11" s="30">
        <v>279981</v>
      </c>
      <c r="AK11" s="30">
        <v>0</v>
      </c>
      <c r="AL11" s="30">
        <v>0</v>
      </c>
      <c r="AM11" s="30">
        <v>60800</v>
      </c>
      <c r="AN11" s="30">
        <v>312500</v>
      </c>
      <c r="AO11" s="30">
        <v>373300</v>
      </c>
      <c r="AP11" s="30">
        <f>Lookups!$B$58*0.6</f>
        <v>132535.48800000001</v>
      </c>
      <c r="AQ11" s="30">
        <f>Lookups!$B$58*0.4</f>
        <v>88356.992000000013</v>
      </c>
      <c r="AR11" s="30">
        <f>Lookups!$B$59*Inventory[[#This Row],[LnAcres]]</f>
        <v>-23969.615653948869</v>
      </c>
      <c r="AS11" s="30">
        <f>VLOOKUP(Inventory[[#This Row],[Qlty]],Lookups!$A$66:$E$79,2,FALSE)</f>
        <v>37154.252388000001</v>
      </c>
      <c r="AT11" s="30">
        <f>VLOOKUP(Inventory[[#This Row],[Cnd]],Lookups!$A$80:$E$88,2,FALSE)</f>
        <v>47371.278778200001</v>
      </c>
      <c r="AU11" s="30">
        <f>Inventory[[#This Row],[EffAge]]*Lookups!$B$65</f>
        <v>-217.48220000000001</v>
      </c>
      <c r="AV11" s="30">
        <f>Inventory[[#This Row],[MainFn]]*Lookups!$B$90</f>
        <v>90619.871760000009</v>
      </c>
      <c r="AW11" s="30">
        <f>Inventory[[#This Row],[UpprFn]]*Lookups!$B$91</f>
        <v>0</v>
      </c>
      <c r="AX11" s="30">
        <f>Inventory[[#This Row],[Bsmt Area]]*Lookups!$B$95</f>
        <v>0</v>
      </c>
      <c r="AY11" s="30">
        <f>Inventory[[#This Row],[AttGar]]*Lookups!$B$93</f>
        <v>14120.412400000001</v>
      </c>
      <c r="AZ11" s="30">
        <f>ROUND(Inventory[[#This Row],[25Det]],-2)</f>
        <v>0</v>
      </c>
      <c r="BA11" s="30">
        <f>ROUND(SUM(Inventory[[#This Row],[Mdl Qlty]:[Mdl Garage Area]])+Inventory[[#This Row],[Mdl Res Intercept]],-2)</f>
        <v>321600</v>
      </c>
      <c r="BB11" s="30">
        <f>ROUND(Inventory[[#This Row],[Mdl Land Intercept]]+Inventory[[#This Row],[Mdl LnAcres]],-2)</f>
        <v>64400</v>
      </c>
      <c r="BC11" s="30">
        <f>Inventory[[#This Row],[Unadj Res Value]]+Inventory[[#This Row],[Unadj Det Value]]+Inventory[[#This Row],[Unadj Land Value]]</f>
        <v>386000</v>
      </c>
      <c r="BD11" s="30">
        <f>(Inventory[[#This Row],[Unadj Total Value]]-Inventory[[#This Row],[24Final]])/Inventory[[#This Row],[24Final]]</f>
        <v>3.4020894722743104E-2</v>
      </c>
      <c r="BE11" s="30">
        <f>VLOOKUP(Inventory[[#This Row],[Nbhd]],Lookups!$M$3:$P$5,4,FALSE)</f>
        <v>0.99970000000000003</v>
      </c>
      <c r="BF11" s="30">
        <f>VLOOKUP(Inventory[[#This Row],[Qlty]],Lookups!$M$8:$P$22,4,FALSE)</f>
        <v>0.99819999999999998</v>
      </c>
      <c r="BG11" s="30">
        <f>VLOOKUP(Inventory[[#This Row],[Cnd]],Lookups!$R$8:$U$17,4,FALSE)</f>
        <v>1.0012000000000001</v>
      </c>
      <c r="BH11" s="30">
        <f>VLOOKUP(Inventory[[#This Row],[LivArea Range]],Lookups!$R$25:$U$43,4,FALSE)</f>
        <v>0.99519999999999997</v>
      </c>
      <c r="BI11" s="30">
        <f>VLOOKUP(Inventory[[#This Row],[Decade]],Lookups!$M$24:$P$40,4,FALSE)</f>
        <v>1</v>
      </c>
      <c r="BJ11" s="30">
        <f>Inventory[[#This Row],[Nbhd Adj]]*0.95</f>
        <v>0.94971499999999998</v>
      </c>
      <c r="BK11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11" s="30">
        <f>ROUND((SUM(Inventory[[#This Row],[Mdl Qlty]:[Mdl Garage Area]])+Inventory[[#This Row],[Mdl Res Intercept]])*Inventory[[#This Row],[Res Adj ]],-2)</f>
        <v>305200</v>
      </c>
      <c r="BM11" s="30">
        <f>ROUND(Inventory[[#This Row],[25Det]]*Inventory[[#This Row],[Det/Nbhd Adj]],-2)</f>
        <v>0</v>
      </c>
      <c r="BN11" s="30">
        <f>Inventory[[#This Row],[Adjusted Res]]+Inventory[[#This Row],[Adj Det ]]</f>
        <v>305200</v>
      </c>
      <c r="BO11" s="30">
        <f>ROUND((Inventory[[#This Row],[Mdl Land Intercept]]+Inventory[[#This Row],[Mdl LnAcres]])*Inventory[[#This Row],[Det/Nbhd Adj]],-2)</f>
        <v>61100</v>
      </c>
      <c r="BP11" s="30">
        <f>Inventory[[#This Row],[Adjusted Impr Total]]+Inventory[[#This Row],[Adjusted Land Total]]</f>
        <v>366300</v>
      </c>
      <c r="BQ11" s="30">
        <f>IFERROR((Inventory[[#This Row],[Adjusted Impr Total]]-Inventory[[#This Row],[24Bldg]])/Inventory[[#This Row],[24Bldg]],0)</f>
        <v>-2.3359999999999999E-2</v>
      </c>
      <c r="BR11" s="43">
        <f>(Inventory[[#This Row],[Adjusted Land Total]]-Inventory[[#This Row],[24Lnd]])/Inventory[[#This Row],[24Lnd]]</f>
        <v>4.9342105263157892E-3</v>
      </c>
      <c r="BS11" s="43">
        <f>(Inventory[[#This Row],[Adjusted Total]]-Inventory[[#This Row],[24Final]])/Inventory[[#This Row],[24Final]]</f>
        <v>-1.8751674256630057E-2</v>
      </c>
    </row>
    <row r="12" spans="1:71">
      <c r="A12" s="30">
        <v>2025</v>
      </c>
      <c r="B12" s="31" t="s">
        <v>519</v>
      </c>
      <c r="C12" s="31">
        <f>LN(Inventory[[#This Row],[Acres]])</f>
        <v>-1.8263509139976741</v>
      </c>
      <c r="D12" s="37">
        <f>ROUND(Inventory[[#This Row],[Sqft]]/43560,3)</f>
        <v>0.161</v>
      </c>
      <c r="E12" s="38">
        <v>7001</v>
      </c>
      <c r="F12" s="31" t="s">
        <v>505</v>
      </c>
      <c r="G12" s="31" t="s">
        <v>155</v>
      </c>
      <c r="H12" s="31" t="s">
        <v>5</v>
      </c>
      <c r="I12" s="31" t="s">
        <v>506</v>
      </c>
      <c r="J12" s="31" t="s">
        <v>507</v>
      </c>
      <c r="K12" s="31" t="s">
        <v>157</v>
      </c>
      <c r="L12" s="31" t="s">
        <v>21</v>
      </c>
      <c r="M12" s="31" t="s">
        <v>24</v>
      </c>
      <c r="N12" s="31">
        <v>0</v>
      </c>
      <c r="O12" s="31">
        <f>2024-Inventory[[#This Row],[YrBlt]]</f>
        <v>2</v>
      </c>
      <c r="P12" s="31">
        <f>2024-Inventory[[#This Row],[EffYr]]</f>
        <v>2</v>
      </c>
      <c r="Q12" s="30">
        <v>2022</v>
      </c>
      <c r="R12" s="30">
        <v>2022</v>
      </c>
      <c r="S12" s="30">
        <v>930</v>
      </c>
      <c r="T12" s="30">
        <v>1296</v>
      </c>
      <c r="U12" s="32"/>
      <c r="V12" s="32"/>
      <c r="W12" s="32"/>
      <c r="X12" s="32">
        <f>Inventory[[#This Row],[Bsmt Area]]-Inventory[[#This Row],[FnBsmt]]</f>
        <v>0</v>
      </c>
      <c r="Y12" s="32">
        <f>Inventory[[#This Row],[MainFn]]+Inventory[[#This Row],[UpprFn]]+Inventory[[#This Row],[AddFn]]+Inventory[[#This Row],[FnBsmt]]</f>
        <v>2226</v>
      </c>
      <c r="Z12" s="32">
        <v>2500</v>
      </c>
      <c r="AA12" s="31" t="s">
        <v>56</v>
      </c>
      <c r="AB12" s="38">
        <v>1</v>
      </c>
      <c r="AC12" s="32"/>
      <c r="AD12" s="38">
        <v>400</v>
      </c>
      <c r="AE12" s="32"/>
      <c r="AF12" s="32"/>
      <c r="AG12" s="32"/>
      <c r="AH12" s="32"/>
      <c r="AI12" s="30">
        <v>448933</v>
      </c>
      <c r="AJ12" s="30">
        <v>439954</v>
      </c>
      <c r="AK12" s="30">
        <v>0</v>
      </c>
      <c r="AL12" s="30">
        <v>0</v>
      </c>
      <c r="AM12" s="30">
        <v>60800</v>
      </c>
      <c r="AN12" s="30">
        <v>367100</v>
      </c>
      <c r="AO12" s="30">
        <v>427900</v>
      </c>
      <c r="AP12" s="30">
        <f>Lookups!$B$58*0.6</f>
        <v>132535.48800000001</v>
      </c>
      <c r="AQ12" s="30">
        <f>Lookups!$B$58*0.4</f>
        <v>88356.992000000013</v>
      </c>
      <c r="AR12" s="30">
        <f>Lookups!$B$59*Inventory[[#This Row],[LnAcres]]</f>
        <v>-23969.615653948869</v>
      </c>
      <c r="AS12" s="30">
        <f>VLOOKUP(Inventory[[#This Row],[Qlty]],Lookups!$A$66:$E$79,2,FALSE)</f>
        <v>32917.849192000001</v>
      </c>
      <c r="AT12" s="30">
        <f>VLOOKUP(Inventory[[#This Row],[Cnd]],Lookups!$A$80:$E$88,2,FALSE)</f>
        <v>47371.278778200001</v>
      </c>
      <c r="AU12" s="30">
        <f>Inventory[[#This Row],[EffAge]]*Lookups!$B$65</f>
        <v>-217.48220000000001</v>
      </c>
      <c r="AV12" s="30">
        <f>Inventory[[#This Row],[MainFn]]*Lookups!$B$90</f>
        <v>58041.653400000003</v>
      </c>
      <c r="AW12" s="30">
        <f>Inventory[[#This Row],[UpprFn]]*Lookups!$B$91</f>
        <v>77216.176368</v>
      </c>
      <c r="AX12" s="30">
        <f>Inventory[[#This Row],[Bsmt Area]]*Lookups!$B$95</f>
        <v>0</v>
      </c>
      <c r="AY12" s="30">
        <f>Inventory[[#This Row],[AttGar]]*Lookups!$B$93</f>
        <v>0</v>
      </c>
      <c r="AZ12" s="30">
        <f>ROUND(Inventory[[#This Row],[25Det]],-2)</f>
        <v>0</v>
      </c>
      <c r="BA12" s="30">
        <f>ROUND(SUM(Inventory[[#This Row],[Mdl Qlty]:[Mdl Garage Area]])+Inventory[[#This Row],[Mdl Res Intercept]],-2)</f>
        <v>347900</v>
      </c>
      <c r="BB12" s="30">
        <f>ROUND(Inventory[[#This Row],[Mdl Land Intercept]]+Inventory[[#This Row],[Mdl LnAcres]],-2)</f>
        <v>64400</v>
      </c>
      <c r="BC12" s="30">
        <f>Inventory[[#This Row],[Unadj Res Value]]+Inventory[[#This Row],[Unadj Det Value]]+Inventory[[#This Row],[Unadj Land Value]]</f>
        <v>412300</v>
      </c>
      <c r="BD12" s="30">
        <f>(Inventory[[#This Row],[Unadj Total Value]]-Inventory[[#This Row],[24Final]])/Inventory[[#This Row],[24Final]]</f>
        <v>-3.6457116148632861E-2</v>
      </c>
      <c r="BE12" s="30">
        <f>VLOOKUP(Inventory[[#This Row],[Nbhd]],Lookups!$M$3:$P$5,4,FALSE)</f>
        <v>0.99970000000000003</v>
      </c>
      <c r="BF12" s="30">
        <f>VLOOKUP(Inventory[[#This Row],[Qlty]],Lookups!$M$8:$P$22,4,FALSE)</f>
        <v>1.0019</v>
      </c>
      <c r="BG12" s="30">
        <f>VLOOKUP(Inventory[[#This Row],[Cnd]],Lookups!$R$8:$U$17,4,FALSE)</f>
        <v>1.0012000000000001</v>
      </c>
      <c r="BH12" s="30">
        <f>VLOOKUP(Inventory[[#This Row],[LivArea Range]],Lookups!$R$25:$U$43,4,FALSE)</f>
        <v>1.0008999999999999</v>
      </c>
      <c r="BI12" s="30">
        <f>VLOOKUP(Inventory[[#This Row],[Decade]],Lookups!$M$24:$P$40,4,FALSE)</f>
        <v>1</v>
      </c>
      <c r="BJ12" s="30">
        <f>Inventory[[#This Row],[Nbhd Adj]]*0.95</f>
        <v>0.94971499999999998</v>
      </c>
      <c r="BK12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2" s="30">
        <f>ROUND((SUM(Inventory[[#This Row],[Mdl Qlty]:[Mdl Garage Area]])+Inventory[[#This Row],[Mdl Res Intercept]])*Inventory[[#This Row],[Res Adj ]],-2)</f>
        <v>330700</v>
      </c>
      <c r="BM12" s="30">
        <f>ROUND(Inventory[[#This Row],[25Det]]*Inventory[[#This Row],[Det/Nbhd Adj]],-2)</f>
        <v>0</v>
      </c>
      <c r="BN12" s="30">
        <f>Inventory[[#This Row],[Adjusted Res]]+Inventory[[#This Row],[Adj Det ]]</f>
        <v>330700</v>
      </c>
      <c r="BO12" s="30">
        <f>ROUND((Inventory[[#This Row],[Mdl Land Intercept]]+Inventory[[#This Row],[Mdl LnAcres]])*Inventory[[#This Row],[Det/Nbhd Adj]],-2)</f>
        <v>61100</v>
      </c>
      <c r="BP12" s="30">
        <f>Inventory[[#This Row],[Adjusted Impr Total]]+Inventory[[#This Row],[Adjusted Land Total]]</f>
        <v>391800</v>
      </c>
      <c r="BQ12" s="30">
        <f>IFERROR((Inventory[[#This Row],[Adjusted Impr Total]]-Inventory[[#This Row],[24Bldg]])/Inventory[[#This Row],[24Bldg]],0)</f>
        <v>-9.9155543448651587E-2</v>
      </c>
      <c r="BR12" s="43">
        <f>(Inventory[[#This Row],[Adjusted Land Total]]-Inventory[[#This Row],[24Lnd]])/Inventory[[#This Row],[24Lnd]]</f>
        <v>4.9342105263157892E-3</v>
      </c>
      <c r="BS12" s="43">
        <f>(Inventory[[#This Row],[Adjusted Total]]-Inventory[[#This Row],[24Final]])/Inventory[[#This Row],[24Final]]</f>
        <v>-8.4365505959336298E-2</v>
      </c>
    </row>
    <row r="13" spans="1:71">
      <c r="A13" s="30">
        <v>2025</v>
      </c>
      <c r="B13" s="31" t="s">
        <v>520</v>
      </c>
      <c r="C13" s="31">
        <f>LN(Inventory[[#This Row],[Acres]])</f>
        <v>-1.8263509139976741</v>
      </c>
      <c r="D13" s="37">
        <f>ROUND(Inventory[[#This Row],[Sqft]]/43560,3)</f>
        <v>0.161</v>
      </c>
      <c r="E13" s="30">
        <v>7001</v>
      </c>
      <c r="F13" s="31" t="s">
        <v>505</v>
      </c>
      <c r="G13" s="31" t="s">
        <v>155</v>
      </c>
      <c r="H13" s="31" t="s">
        <v>5</v>
      </c>
      <c r="I13" s="31" t="s">
        <v>506</v>
      </c>
      <c r="J13" s="31" t="s">
        <v>507</v>
      </c>
      <c r="K13" s="31" t="s">
        <v>157</v>
      </c>
      <c r="L13" s="31" t="s">
        <v>21</v>
      </c>
      <c r="M13" s="31" t="s">
        <v>24</v>
      </c>
      <c r="N13" s="31">
        <v>0</v>
      </c>
      <c r="O13" s="31">
        <f>2024-Inventory[[#This Row],[YrBlt]]</f>
        <v>2</v>
      </c>
      <c r="P13" s="31">
        <f>2024-Inventory[[#This Row],[EffYr]]</f>
        <v>2</v>
      </c>
      <c r="Q13" s="30">
        <v>2022</v>
      </c>
      <c r="R13" s="30">
        <v>2022</v>
      </c>
      <c r="S13" s="30">
        <v>930</v>
      </c>
      <c r="T13" s="30">
        <v>1296</v>
      </c>
      <c r="U13" s="32"/>
      <c r="V13" s="32"/>
      <c r="W13" s="32"/>
      <c r="X13" s="32">
        <f>Inventory[[#This Row],[Bsmt Area]]-Inventory[[#This Row],[FnBsmt]]</f>
        <v>0</v>
      </c>
      <c r="Y13" s="32">
        <f>Inventory[[#This Row],[MainFn]]+Inventory[[#This Row],[UpprFn]]+Inventory[[#This Row],[AddFn]]+Inventory[[#This Row],[FnBsmt]]</f>
        <v>2226</v>
      </c>
      <c r="Z13" s="32">
        <v>2500</v>
      </c>
      <c r="AA13" s="31" t="s">
        <v>56</v>
      </c>
      <c r="AB13" s="38">
        <v>1</v>
      </c>
      <c r="AC13" s="32"/>
      <c r="AD13" s="38">
        <v>400</v>
      </c>
      <c r="AE13" s="32"/>
      <c r="AF13" s="32"/>
      <c r="AG13" s="32"/>
      <c r="AH13" s="32"/>
      <c r="AI13" s="30">
        <v>448933</v>
      </c>
      <c r="AJ13" s="30">
        <v>439954</v>
      </c>
      <c r="AK13" s="30">
        <v>0</v>
      </c>
      <c r="AL13" s="30">
        <v>0</v>
      </c>
      <c r="AM13" s="30">
        <v>60800</v>
      </c>
      <c r="AN13" s="30">
        <v>367100</v>
      </c>
      <c r="AO13" s="30">
        <v>427900</v>
      </c>
      <c r="AP13" s="30">
        <f>Lookups!$B$58*0.6</f>
        <v>132535.48800000001</v>
      </c>
      <c r="AQ13" s="30">
        <f>Lookups!$B$58*0.4</f>
        <v>88356.992000000013</v>
      </c>
      <c r="AR13" s="30">
        <f>Lookups!$B$59*Inventory[[#This Row],[LnAcres]]</f>
        <v>-23969.615653948869</v>
      </c>
      <c r="AS13" s="30">
        <f>VLOOKUP(Inventory[[#This Row],[Qlty]],Lookups!$A$66:$E$79,2,FALSE)</f>
        <v>32917.849192000001</v>
      </c>
      <c r="AT13" s="30">
        <f>VLOOKUP(Inventory[[#This Row],[Cnd]],Lookups!$A$80:$E$88,2,FALSE)</f>
        <v>47371.278778200001</v>
      </c>
      <c r="AU13" s="30">
        <f>Inventory[[#This Row],[EffAge]]*Lookups!$B$65</f>
        <v>-217.48220000000001</v>
      </c>
      <c r="AV13" s="30">
        <f>Inventory[[#This Row],[MainFn]]*Lookups!$B$90</f>
        <v>58041.653400000003</v>
      </c>
      <c r="AW13" s="30">
        <f>Inventory[[#This Row],[UpprFn]]*Lookups!$B$91</f>
        <v>77216.176368</v>
      </c>
      <c r="AX13" s="30">
        <f>Inventory[[#This Row],[Bsmt Area]]*Lookups!$B$95</f>
        <v>0</v>
      </c>
      <c r="AY13" s="30">
        <f>Inventory[[#This Row],[AttGar]]*Lookups!$B$93</f>
        <v>0</v>
      </c>
      <c r="AZ13" s="30">
        <f>ROUND(Inventory[[#This Row],[25Det]],-2)</f>
        <v>0</v>
      </c>
      <c r="BA13" s="30">
        <f>ROUND(SUM(Inventory[[#This Row],[Mdl Qlty]:[Mdl Garage Area]])+Inventory[[#This Row],[Mdl Res Intercept]],-2)</f>
        <v>347900</v>
      </c>
      <c r="BB13" s="30">
        <f>ROUND(Inventory[[#This Row],[Mdl Land Intercept]]+Inventory[[#This Row],[Mdl LnAcres]],-2)</f>
        <v>64400</v>
      </c>
      <c r="BC13" s="30">
        <f>Inventory[[#This Row],[Unadj Res Value]]+Inventory[[#This Row],[Unadj Det Value]]+Inventory[[#This Row],[Unadj Land Value]]</f>
        <v>412300</v>
      </c>
      <c r="BD13" s="30">
        <f>(Inventory[[#This Row],[Unadj Total Value]]-Inventory[[#This Row],[24Final]])/Inventory[[#This Row],[24Final]]</f>
        <v>-3.6457116148632861E-2</v>
      </c>
      <c r="BE13" s="30">
        <f>VLOOKUP(Inventory[[#This Row],[Nbhd]],Lookups!$M$3:$P$5,4,FALSE)</f>
        <v>0.99970000000000003</v>
      </c>
      <c r="BF13" s="30">
        <f>VLOOKUP(Inventory[[#This Row],[Qlty]],Lookups!$M$8:$P$22,4,FALSE)</f>
        <v>1.0019</v>
      </c>
      <c r="BG13" s="30">
        <f>VLOOKUP(Inventory[[#This Row],[Cnd]],Lookups!$R$8:$U$17,4,FALSE)</f>
        <v>1.0012000000000001</v>
      </c>
      <c r="BH13" s="30">
        <f>VLOOKUP(Inventory[[#This Row],[LivArea Range]],Lookups!$R$25:$U$43,4,FALSE)</f>
        <v>1.0008999999999999</v>
      </c>
      <c r="BI13" s="30">
        <f>VLOOKUP(Inventory[[#This Row],[Decade]],Lookups!$M$24:$P$40,4,FALSE)</f>
        <v>1</v>
      </c>
      <c r="BJ13" s="30">
        <f>Inventory[[#This Row],[Nbhd Adj]]*0.95</f>
        <v>0.94971499999999998</v>
      </c>
      <c r="BK13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3" s="30">
        <f>ROUND((SUM(Inventory[[#This Row],[Mdl Qlty]:[Mdl Garage Area]])+Inventory[[#This Row],[Mdl Res Intercept]])*Inventory[[#This Row],[Res Adj ]],-2)</f>
        <v>330700</v>
      </c>
      <c r="BM13" s="30">
        <f>ROUND(Inventory[[#This Row],[25Det]]*Inventory[[#This Row],[Det/Nbhd Adj]],-2)</f>
        <v>0</v>
      </c>
      <c r="BN13" s="30">
        <f>Inventory[[#This Row],[Adjusted Res]]+Inventory[[#This Row],[Adj Det ]]</f>
        <v>330700</v>
      </c>
      <c r="BO13" s="30">
        <f>ROUND((Inventory[[#This Row],[Mdl Land Intercept]]+Inventory[[#This Row],[Mdl LnAcres]])*Inventory[[#This Row],[Det/Nbhd Adj]],-2)</f>
        <v>61100</v>
      </c>
      <c r="BP13" s="30">
        <f>Inventory[[#This Row],[Adjusted Impr Total]]+Inventory[[#This Row],[Adjusted Land Total]]</f>
        <v>391800</v>
      </c>
      <c r="BQ13" s="30">
        <f>IFERROR((Inventory[[#This Row],[Adjusted Impr Total]]-Inventory[[#This Row],[24Bldg]])/Inventory[[#This Row],[24Bldg]],0)</f>
        <v>-9.9155543448651587E-2</v>
      </c>
      <c r="BR13" s="43">
        <f>(Inventory[[#This Row],[Adjusted Land Total]]-Inventory[[#This Row],[24Lnd]])/Inventory[[#This Row],[24Lnd]]</f>
        <v>4.9342105263157892E-3</v>
      </c>
      <c r="BS13" s="43">
        <f>(Inventory[[#This Row],[Adjusted Total]]-Inventory[[#This Row],[24Final]])/Inventory[[#This Row],[24Final]]</f>
        <v>-8.4365505959336298E-2</v>
      </c>
    </row>
    <row r="14" spans="1:71">
      <c r="A14" s="30">
        <v>2025</v>
      </c>
      <c r="B14" s="31" t="s">
        <v>521</v>
      </c>
      <c r="C14" s="31">
        <f>LN(Inventory[[#This Row],[Acres]])</f>
        <v>-1.8263509139976741</v>
      </c>
      <c r="D14" s="37">
        <f>ROUND(Inventory[[#This Row],[Sqft]]/43560,3)</f>
        <v>0.161</v>
      </c>
      <c r="E14" s="30">
        <v>7026</v>
      </c>
      <c r="F14" s="31" t="s">
        <v>505</v>
      </c>
      <c r="G14" s="31" t="s">
        <v>155</v>
      </c>
      <c r="H14" s="31" t="s">
        <v>5</v>
      </c>
      <c r="I14" s="31" t="s">
        <v>506</v>
      </c>
      <c r="J14" s="31" t="s">
        <v>507</v>
      </c>
      <c r="K14" s="31" t="s">
        <v>157</v>
      </c>
      <c r="L14" s="31" t="s">
        <v>21</v>
      </c>
      <c r="M14" s="31" t="s">
        <v>24</v>
      </c>
      <c r="N14" s="31">
        <v>0</v>
      </c>
      <c r="O14" s="31">
        <f>2024-Inventory[[#This Row],[YrBlt]]</f>
        <v>2</v>
      </c>
      <c r="P14" s="31">
        <f>2024-Inventory[[#This Row],[EffYr]]</f>
        <v>2</v>
      </c>
      <c r="Q14" s="30">
        <v>2022</v>
      </c>
      <c r="R14" s="30">
        <v>2022</v>
      </c>
      <c r="S14" s="30">
        <v>930</v>
      </c>
      <c r="T14" s="30">
        <v>1296</v>
      </c>
      <c r="U14" s="32"/>
      <c r="V14" s="32"/>
      <c r="W14" s="32"/>
      <c r="X14" s="32">
        <f>Inventory[[#This Row],[Bsmt Area]]-Inventory[[#This Row],[FnBsmt]]</f>
        <v>0</v>
      </c>
      <c r="Y14" s="32">
        <f>Inventory[[#This Row],[MainFn]]+Inventory[[#This Row],[UpprFn]]+Inventory[[#This Row],[AddFn]]+Inventory[[#This Row],[FnBsmt]]</f>
        <v>2226</v>
      </c>
      <c r="Z14" s="32">
        <v>2500</v>
      </c>
      <c r="AA14" s="31" t="s">
        <v>56</v>
      </c>
      <c r="AB14" s="38">
        <v>1</v>
      </c>
      <c r="AC14" s="32"/>
      <c r="AD14" s="38">
        <v>400</v>
      </c>
      <c r="AE14" s="32"/>
      <c r="AF14" s="32"/>
      <c r="AG14" s="32"/>
      <c r="AH14" s="32"/>
      <c r="AI14" s="30">
        <v>448933</v>
      </c>
      <c r="AJ14" s="30">
        <v>439954</v>
      </c>
      <c r="AK14" s="30">
        <v>0</v>
      </c>
      <c r="AL14" s="30">
        <v>0</v>
      </c>
      <c r="AM14" s="30">
        <v>60800</v>
      </c>
      <c r="AN14" s="30">
        <v>367100</v>
      </c>
      <c r="AO14" s="30">
        <v>427900</v>
      </c>
      <c r="AP14" s="30">
        <f>Lookups!$B$58*0.6</f>
        <v>132535.48800000001</v>
      </c>
      <c r="AQ14" s="30">
        <f>Lookups!$B$58*0.4</f>
        <v>88356.992000000013</v>
      </c>
      <c r="AR14" s="30">
        <f>Lookups!$B$59*Inventory[[#This Row],[LnAcres]]</f>
        <v>-23969.615653948869</v>
      </c>
      <c r="AS14" s="30">
        <f>VLOOKUP(Inventory[[#This Row],[Qlty]],Lookups!$A$66:$E$79,2,FALSE)</f>
        <v>32917.849192000001</v>
      </c>
      <c r="AT14" s="30">
        <f>VLOOKUP(Inventory[[#This Row],[Cnd]],Lookups!$A$80:$E$88,2,FALSE)</f>
        <v>47371.278778200001</v>
      </c>
      <c r="AU14" s="30">
        <f>Inventory[[#This Row],[EffAge]]*Lookups!$B$65</f>
        <v>-217.48220000000001</v>
      </c>
      <c r="AV14" s="30">
        <f>Inventory[[#This Row],[MainFn]]*Lookups!$B$90</f>
        <v>58041.653400000003</v>
      </c>
      <c r="AW14" s="30">
        <f>Inventory[[#This Row],[UpprFn]]*Lookups!$B$91</f>
        <v>77216.176368</v>
      </c>
      <c r="AX14" s="30">
        <f>Inventory[[#This Row],[Bsmt Area]]*Lookups!$B$95</f>
        <v>0</v>
      </c>
      <c r="AY14" s="30">
        <f>Inventory[[#This Row],[AttGar]]*Lookups!$B$93</f>
        <v>0</v>
      </c>
      <c r="AZ14" s="30">
        <f>ROUND(Inventory[[#This Row],[25Det]],-2)</f>
        <v>0</v>
      </c>
      <c r="BA14" s="30">
        <f>ROUND(SUM(Inventory[[#This Row],[Mdl Qlty]:[Mdl Garage Area]])+Inventory[[#This Row],[Mdl Res Intercept]],-2)</f>
        <v>347900</v>
      </c>
      <c r="BB14" s="30">
        <f>ROUND(Inventory[[#This Row],[Mdl Land Intercept]]+Inventory[[#This Row],[Mdl LnAcres]],-2)</f>
        <v>64400</v>
      </c>
      <c r="BC14" s="30">
        <f>Inventory[[#This Row],[Unadj Res Value]]+Inventory[[#This Row],[Unadj Det Value]]+Inventory[[#This Row],[Unadj Land Value]]</f>
        <v>412300</v>
      </c>
      <c r="BD14" s="30">
        <f>(Inventory[[#This Row],[Unadj Total Value]]-Inventory[[#This Row],[24Final]])/Inventory[[#This Row],[24Final]]</f>
        <v>-3.6457116148632861E-2</v>
      </c>
      <c r="BE14" s="30">
        <f>VLOOKUP(Inventory[[#This Row],[Nbhd]],Lookups!$M$3:$P$5,4,FALSE)</f>
        <v>0.99970000000000003</v>
      </c>
      <c r="BF14" s="30">
        <f>VLOOKUP(Inventory[[#This Row],[Qlty]],Lookups!$M$8:$P$22,4,FALSE)</f>
        <v>1.0019</v>
      </c>
      <c r="BG14" s="30">
        <f>VLOOKUP(Inventory[[#This Row],[Cnd]],Lookups!$R$8:$U$17,4,FALSE)</f>
        <v>1.0012000000000001</v>
      </c>
      <c r="BH14" s="30">
        <f>VLOOKUP(Inventory[[#This Row],[LivArea Range]],Lookups!$R$25:$U$43,4,FALSE)</f>
        <v>1.0008999999999999</v>
      </c>
      <c r="BI14" s="30">
        <f>VLOOKUP(Inventory[[#This Row],[Decade]],Lookups!$M$24:$P$40,4,FALSE)</f>
        <v>1</v>
      </c>
      <c r="BJ14" s="30">
        <f>Inventory[[#This Row],[Nbhd Adj]]*0.95</f>
        <v>0.94971499999999998</v>
      </c>
      <c r="BK14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4" s="30">
        <f>ROUND((SUM(Inventory[[#This Row],[Mdl Qlty]:[Mdl Garage Area]])+Inventory[[#This Row],[Mdl Res Intercept]])*Inventory[[#This Row],[Res Adj ]],-2)</f>
        <v>330700</v>
      </c>
      <c r="BM14" s="30">
        <f>ROUND(Inventory[[#This Row],[25Det]]*Inventory[[#This Row],[Det/Nbhd Adj]],-2)</f>
        <v>0</v>
      </c>
      <c r="BN14" s="30">
        <f>Inventory[[#This Row],[Adjusted Res]]+Inventory[[#This Row],[Adj Det ]]</f>
        <v>330700</v>
      </c>
      <c r="BO14" s="30">
        <f>ROUND((Inventory[[#This Row],[Mdl Land Intercept]]+Inventory[[#This Row],[Mdl LnAcres]])*Inventory[[#This Row],[Det/Nbhd Adj]],-2)</f>
        <v>61100</v>
      </c>
      <c r="BP14" s="30">
        <f>Inventory[[#This Row],[Adjusted Impr Total]]+Inventory[[#This Row],[Adjusted Land Total]]</f>
        <v>391800</v>
      </c>
      <c r="BQ14" s="30">
        <f>IFERROR((Inventory[[#This Row],[Adjusted Impr Total]]-Inventory[[#This Row],[24Bldg]])/Inventory[[#This Row],[24Bldg]],0)</f>
        <v>-9.9155543448651587E-2</v>
      </c>
      <c r="BR14" s="43">
        <f>(Inventory[[#This Row],[Adjusted Land Total]]-Inventory[[#This Row],[24Lnd]])/Inventory[[#This Row],[24Lnd]]</f>
        <v>4.9342105263157892E-3</v>
      </c>
      <c r="BS14" s="43">
        <f>(Inventory[[#This Row],[Adjusted Total]]-Inventory[[#This Row],[24Final]])/Inventory[[#This Row],[24Final]]</f>
        <v>-8.4365505959336298E-2</v>
      </c>
    </row>
    <row r="15" spans="1:71">
      <c r="A15" s="30">
        <v>2025</v>
      </c>
      <c r="B15" s="31" t="s">
        <v>522</v>
      </c>
      <c r="C15" s="31">
        <f>LN(Inventory[[#This Row],[Acres]])</f>
        <v>-1.8263509139976741</v>
      </c>
      <c r="D15" s="37">
        <f>ROUND(Inventory[[#This Row],[Sqft]]/43560,3)</f>
        <v>0.161</v>
      </c>
      <c r="E15" s="30">
        <v>7001</v>
      </c>
      <c r="F15" s="31" t="s">
        <v>505</v>
      </c>
      <c r="G15" s="31" t="s">
        <v>155</v>
      </c>
      <c r="H15" s="31" t="s">
        <v>5</v>
      </c>
      <c r="I15" s="31" t="s">
        <v>506</v>
      </c>
      <c r="J15" s="31" t="s">
        <v>507</v>
      </c>
      <c r="K15" s="31" t="s">
        <v>157</v>
      </c>
      <c r="L15" s="31" t="s">
        <v>21</v>
      </c>
      <c r="M15" s="31" t="s">
        <v>24</v>
      </c>
      <c r="N15" s="31">
        <v>0</v>
      </c>
      <c r="O15" s="31">
        <f>2024-Inventory[[#This Row],[YrBlt]]</f>
        <v>2</v>
      </c>
      <c r="P15" s="31">
        <f>2024-Inventory[[#This Row],[EffYr]]</f>
        <v>2</v>
      </c>
      <c r="Q15" s="30">
        <v>2022</v>
      </c>
      <c r="R15" s="30">
        <v>2022</v>
      </c>
      <c r="S15" s="30">
        <v>918</v>
      </c>
      <c r="T15" s="30">
        <v>1296</v>
      </c>
      <c r="U15" s="32"/>
      <c r="V15" s="32"/>
      <c r="W15" s="32"/>
      <c r="X15" s="32">
        <f>Inventory[[#This Row],[Bsmt Area]]-Inventory[[#This Row],[FnBsmt]]</f>
        <v>0</v>
      </c>
      <c r="Y15" s="32">
        <f>Inventory[[#This Row],[MainFn]]+Inventory[[#This Row],[UpprFn]]+Inventory[[#This Row],[AddFn]]+Inventory[[#This Row],[FnBsmt]]</f>
        <v>2214</v>
      </c>
      <c r="Z15" s="32">
        <v>2500</v>
      </c>
      <c r="AA15" s="31" t="s">
        <v>56</v>
      </c>
      <c r="AB15" s="32"/>
      <c r="AC15" s="38">
        <v>240</v>
      </c>
      <c r="AD15" s="38">
        <v>400</v>
      </c>
      <c r="AE15" s="32"/>
      <c r="AF15" s="32"/>
      <c r="AG15" s="32"/>
      <c r="AH15" s="32"/>
      <c r="AI15" s="30">
        <v>452990</v>
      </c>
      <c r="AJ15" s="30">
        <v>443930</v>
      </c>
      <c r="AK15" s="30">
        <v>0</v>
      </c>
      <c r="AL15" s="30">
        <v>0</v>
      </c>
      <c r="AM15" s="30">
        <v>60800</v>
      </c>
      <c r="AN15" s="30">
        <v>365800</v>
      </c>
      <c r="AO15" s="30">
        <v>426600</v>
      </c>
      <c r="AP15" s="30">
        <f>Lookups!$B$58*0.6</f>
        <v>132535.48800000001</v>
      </c>
      <c r="AQ15" s="30">
        <f>Lookups!$B$58*0.4</f>
        <v>88356.992000000013</v>
      </c>
      <c r="AR15" s="30">
        <f>Lookups!$B$59*Inventory[[#This Row],[LnAcres]]</f>
        <v>-23969.615653948869</v>
      </c>
      <c r="AS15" s="30">
        <f>VLOOKUP(Inventory[[#This Row],[Qlty]],Lookups!$A$66:$E$79,2,FALSE)</f>
        <v>32917.849192000001</v>
      </c>
      <c r="AT15" s="30">
        <f>VLOOKUP(Inventory[[#This Row],[Cnd]],Lookups!$A$80:$E$88,2,FALSE)</f>
        <v>47371.278778200001</v>
      </c>
      <c r="AU15" s="30">
        <f>Inventory[[#This Row],[EffAge]]*Lookups!$B$65</f>
        <v>-217.48220000000001</v>
      </c>
      <c r="AV15" s="30">
        <f>Inventory[[#This Row],[MainFn]]*Lookups!$B$90</f>
        <v>57292.728840000003</v>
      </c>
      <c r="AW15" s="30">
        <f>Inventory[[#This Row],[UpprFn]]*Lookups!$B$91</f>
        <v>77216.176368</v>
      </c>
      <c r="AX15" s="30">
        <f>Inventory[[#This Row],[Bsmt Area]]*Lookups!$B$95</f>
        <v>0</v>
      </c>
      <c r="AY15" s="30">
        <f>Inventory[[#This Row],[AttGar]]*Lookups!$B$93</f>
        <v>8472.247440000001</v>
      </c>
      <c r="AZ15" s="30">
        <f>ROUND(Inventory[[#This Row],[25Det]],-2)</f>
        <v>0</v>
      </c>
      <c r="BA15" s="30">
        <f>ROUND(SUM(Inventory[[#This Row],[Mdl Qlty]:[Mdl Garage Area]])+Inventory[[#This Row],[Mdl Res Intercept]],-2)</f>
        <v>355600</v>
      </c>
      <c r="BB15" s="30">
        <f>ROUND(Inventory[[#This Row],[Mdl Land Intercept]]+Inventory[[#This Row],[Mdl LnAcres]],-2)</f>
        <v>64400</v>
      </c>
      <c r="BC15" s="30">
        <f>Inventory[[#This Row],[Unadj Res Value]]+Inventory[[#This Row],[Unadj Det Value]]+Inventory[[#This Row],[Unadj Land Value]]</f>
        <v>420000</v>
      </c>
      <c r="BD15" s="30">
        <f>(Inventory[[#This Row],[Unadj Total Value]]-Inventory[[#This Row],[24Final]])/Inventory[[#This Row],[24Final]]</f>
        <v>-1.5471167369901548E-2</v>
      </c>
      <c r="BE15" s="30">
        <f>VLOOKUP(Inventory[[#This Row],[Nbhd]],Lookups!$M$3:$P$5,4,FALSE)</f>
        <v>0.99970000000000003</v>
      </c>
      <c r="BF15" s="30">
        <f>VLOOKUP(Inventory[[#This Row],[Qlty]],Lookups!$M$8:$P$22,4,FALSE)</f>
        <v>1.0019</v>
      </c>
      <c r="BG15" s="30">
        <f>VLOOKUP(Inventory[[#This Row],[Cnd]],Lookups!$R$8:$U$17,4,FALSE)</f>
        <v>1.0012000000000001</v>
      </c>
      <c r="BH15" s="30">
        <f>VLOOKUP(Inventory[[#This Row],[LivArea Range]],Lookups!$R$25:$U$43,4,FALSE)</f>
        <v>1.0008999999999999</v>
      </c>
      <c r="BI15" s="30">
        <f>VLOOKUP(Inventory[[#This Row],[Decade]],Lookups!$M$24:$P$40,4,FALSE)</f>
        <v>1</v>
      </c>
      <c r="BJ15" s="30">
        <f>Inventory[[#This Row],[Nbhd Adj]]*0.95</f>
        <v>0.94971499999999998</v>
      </c>
      <c r="BK15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5" s="30">
        <f>ROUND((SUM(Inventory[[#This Row],[Mdl Qlty]:[Mdl Garage Area]])+Inventory[[#This Row],[Mdl Res Intercept]])*Inventory[[#This Row],[Res Adj ]],-2)</f>
        <v>338100</v>
      </c>
      <c r="BM15" s="30">
        <f>ROUND(Inventory[[#This Row],[25Det]]*Inventory[[#This Row],[Det/Nbhd Adj]],-2)</f>
        <v>0</v>
      </c>
      <c r="BN15" s="30">
        <f>Inventory[[#This Row],[Adjusted Res]]+Inventory[[#This Row],[Adj Det ]]</f>
        <v>338100</v>
      </c>
      <c r="BO15" s="30">
        <f>ROUND((Inventory[[#This Row],[Mdl Land Intercept]]+Inventory[[#This Row],[Mdl LnAcres]])*Inventory[[#This Row],[Det/Nbhd Adj]],-2)</f>
        <v>61100</v>
      </c>
      <c r="BP15" s="30">
        <f>Inventory[[#This Row],[Adjusted Impr Total]]+Inventory[[#This Row],[Adjusted Land Total]]</f>
        <v>399200</v>
      </c>
      <c r="BQ15" s="30">
        <f>IFERROR((Inventory[[#This Row],[Adjusted Impr Total]]-Inventory[[#This Row],[24Bldg]])/Inventory[[#This Row],[24Bldg]],0)</f>
        <v>-7.5724439584472392E-2</v>
      </c>
      <c r="BR15" s="43">
        <f>(Inventory[[#This Row],[Adjusted Land Total]]-Inventory[[#This Row],[24Lnd]])/Inventory[[#This Row],[24Lnd]]</f>
        <v>4.9342105263157892E-3</v>
      </c>
      <c r="BS15" s="43">
        <f>(Inventory[[#This Row],[Adjusted Total]]-Inventory[[#This Row],[24Final]])/Inventory[[#This Row],[24Final]]</f>
        <v>-6.422878574777309E-2</v>
      </c>
    </row>
    <row r="16" spans="1:71">
      <c r="A16" s="30">
        <v>2025</v>
      </c>
      <c r="B16" s="31" t="s">
        <v>523</v>
      </c>
      <c r="C16" s="31">
        <f>LN(Inventory[[#This Row],[Acres]])</f>
        <v>-1.8263509139976741</v>
      </c>
      <c r="D16" s="37">
        <f>ROUND(Inventory[[#This Row],[Sqft]]/43560,3)</f>
        <v>0.161</v>
      </c>
      <c r="E16" s="30">
        <v>7027</v>
      </c>
      <c r="F16" s="31" t="s">
        <v>505</v>
      </c>
      <c r="G16" s="31" t="s">
        <v>155</v>
      </c>
      <c r="H16" s="31" t="s">
        <v>5</v>
      </c>
      <c r="I16" s="31" t="s">
        <v>506</v>
      </c>
      <c r="J16" s="31" t="s">
        <v>507</v>
      </c>
      <c r="K16" s="31" t="s">
        <v>157</v>
      </c>
      <c r="L16" s="31" t="s">
        <v>21</v>
      </c>
      <c r="M16" s="31" t="s">
        <v>24</v>
      </c>
      <c r="N16" s="31">
        <v>0</v>
      </c>
      <c r="O16" s="31">
        <f>2024-Inventory[[#This Row],[YrBlt]]</f>
        <v>2</v>
      </c>
      <c r="P16" s="31">
        <f>2024-Inventory[[#This Row],[EffYr]]</f>
        <v>2</v>
      </c>
      <c r="Q16" s="30">
        <v>2022</v>
      </c>
      <c r="R16" s="30">
        <v>2022</v>
      </c>
      <c r="S16" s="30">
        <v>918</v>
      </c>
      <c r="T16" s="30">
        <v>1296</v>
      </c>
      <c r="U16" s="37"/>
      <c r="V16" s="32"/>
      <c r="W16" s="32"/>
      <c r="X16" s="32">
        <f>Inventory[[#This Row],[Bsmt Area]]-Inventory[[#This Row],[FnBsmt]]</f>
        <v>0</v>
      </c>
      <c r="Y16" s="32">
        <f>Inventory[[#This Row],[MainFn]]+Inventory[[#This Row],[UpprFn]]+Inventory[[#This Row],[AddFn]]+Inventory[[#This Row],[FnBsmt]]</f>
        <v>2214</v>
      </c>
      <c r="Z16" s="32">
        <v>2500</v>
      </c>
      <c r="AA16" s="31" t="s">
        <v>56</v>
      </c>
      <c r="AB16" s="32"/>
      <c r="AC16" s="32"/>
      <c r="AD16" s="38">
        <v>400</v>
      </c>
      <c r="AE16" s="32"/>
      <c r="AF16" s="32"/>
      <c r="AG16" s="32"/>
      <c r="AH16" s="32"/>
      <c r="AI16" s="30">
        <v>434649</v>
      </c>
      <c r="AJ16" s="30">
        <v>425956</v>
      </c>
      <c r="AK16" s="30">
        <v>0</v>
      </c>
      <c r="AL16" s="30">
        <v>0</v>
      </c>
      <c r="AM16" s="30">
        <v>60800</v>
      </c>
      <c r="AN16" s="30">
        <v>355500</v>
      </c>
      <c r="AO16" s="30">
        <v>416300</v>
      </c>
      <c r="AP16" s="30">
        <f>Lookups!$B$58*0.6</f>
        <v>132535.48800000001</v>
      </c>
      <c r="AQ16" s="30">
        <f>Lookups!$B$58*0.4</f>
        <v>88356.992000000013</v>
      </c>
      <c r="AR16" s="30">
        <f>Lookups!$B$59*Inventory[[#This Row],[LnAcres]]</f>
        <v>-23969.615653948869</v>
      </c>
      <c r="AS16" s="30">
        <f>VLOOKUP(Inventory[[#This Row],[Qlty]],Lookups!$A$66:$E$79,2,FALSE)</f>
        <v>32917.849192000001</v>
      </c>
      <c r="AT16" s="30">
        <f>VLOOKUP(Inventory[[#This Row],[Cnd]],Lookups!$A$80:$E$88,2,FALSE)</f>
        <v>47371.278778200001</v>
      </c>
      <c r="AU16" s="30">
        <f>Inventory[[#This Row],[EffAge]]*Lookups!$B$65</f>
        <v>-217.48220000000001</v>
      </c>
      <c r="AV16" s="30">
        <f>Inventory[[#This Row],[MainFn]]*Lookups!$B$90</f>
        <v>57292.728840000003</v>
      </c>
      <c r="AW16" s="30">
        <f>Inventory[[#This Row],[UpprFn]]*Lookups!$B$91</f>
        <v>77216.176368</v>
      </c>
      <c r="AX16" s="30">
        <f>Inventory[[#This Row],[Bsmt Area]]*Lookups!$B$95</f>
        <v>0</v>
      </c>
      <c r="AY16" s="30">
        <f>Inventory[[#This Row],[AttGar]]*Lookups!$B$93</f>
        <v>0</v>
      </c>
      <c r="AZ16" s="30">
        <f>ROUND(Inventory[[#This Row],[25Det]],-2)</f>
        <v>0</v>
      </c>
      <c r="BA16" s="30">
        <f>ROUND(SUM(Inventory[[#This Row],[Mdl Qlty]:[Mdl Garage Area]])+Inventory[[#This Row],[Mdl Res Intercept]],-2)</f>
        <v>347100</v>
      </c>
      <c r="BB16" s="30">
        <f>ROUND(Inventory[[#This Row],[Mdl Land Intercept]]+Inventory[[#This Row],[Mdl LnAcres]],-2)</f>
        <v>64400</v>
      </c>
      <c r="BC16" s="30">
        <f>Inventory[[#This Row],[Unadj Res Value]]+Inventory[[#This Row],[Unadj Det Value]]+Inventory[[#This Row],[Unadj Land Value]]</f>
        <v>411500</v>
      </c>
      <c r="BD16" s="30">
        <f>(Inventory[[#This Row],[Unadj Total Value]]-Inventory[[#This Row],[24Final]])/Inventory[[#This Row],[24Final]]</f>
        <v>-1.1530146528945472E-2</v>
      </c>
      <c r="BE16" s="30">
        <f>VLOOKUP(Inventory[[#This Row],[Nbhd]],Lookups!$M$3:$P$5,4,FALSE)</f>
        <v>0.99970000000000003</v>
      </c>
      <c r="BF16" s="30">
        <f>VLOOKUP(Inventory[[#This Row],[Qlty]],Lookups!$M$8:$P$22,4,FALSE)</f>
        <v>1.0019</v>
      </c>
      <c r="BG16" s="30">
        <f>VLOOKUP(Inventory[[#This Row],[Cnd]],Lookups!$R$8:$U$17,4,FALSE)</f>
        <v>1.0012000000000001</v>
      </c>
      <c r="BH16" s="30">
        <f>VLOOKUP(Inventory[[#This Row],[LivArea Range]],Lookups!$R$25:$U$43,4,FALSE)</f>
        <v>1.0008999999999999</v>
      </c>
      <c r="BI16" s="30">
        <f>VLOOKUP(Inventory[[#This Row],[Decade]],Lookups!$M$24:$P$40,4,FALSE)</f>
        <v>1</v>
      </c>
      <c r="BJ16" s="30">
        <f>Inventory[[#This Row],[Nbhd Adj]]*0.95</f>
        <v>0.94971499999999998</v>
      </c>
      <c r="BK16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6" s="30">
        <f>ROUND((SUM(Inventory[[#This Row],[Mdl Qlty]:[Mdl Garage Area]])+Inventory[[#This Row],[Mdl Res Intercept]])*Inventory[[#This Row],[Res Adj ]],-2)</f>
        <v>330000</v>
      </c>
      <c r="BM16" s="30">
        <f>ROUND(Inventory[[#This Row],[25Det]]*Inventory[[#This Row],[Det/Nbhd Adj]],-2)</f>
        <v>0</v>
      </c>
      <c r="BN16" s="30">
        <f>Inventory[[#This Row],[Adjusted Res]]+Inventory[[#This Row],[Adj Det ]]</f>
        <v>330000</v>
      </c>
      <c r="BO16" s="30">
        <f>ROUND((Inventory[[#This Row],[Mdl Land Intercept]]+Inventory[[#This Row],[Mdl LnAcres]])*Inventory[[#This Row],[Det/Nbhd Adj]],-2)</f>
        <v>61100</v>
      </c>
      <c r="BP16" s="30">
        <f>Inventory[[#This Row],[Adjusted Impr Total]]+Inventory[[#This Row],[Adjusted Land Total]]</f>
        <v>391100</v>
      </c>
      <c r="BQ16" s="30">
        <f>IFERROR((Inventory[[#This Row],[Adjusted Impr Total]]-Inventory[[#This Row],[24Bldg]])/Inventory[[#This Row],[24Bldg]],0)</f>
        <v>-7.1729957805907171E-2</v>
      </c>
      <c r="BR16" s="43">
        <f>(Inventory[[#This Row],[Adjusted Land Total]]-Inventory[[#This Row],[24Lnd]])/Inventory[[#This Row],[24Lnd]]</f>
        <v>4.9342105263157892E-3</v>
      </c>
      <c r="BS16" s="43">
        <f>(Inventory[[#This Row],[Adjusted Total]]-Inventory[[#This Row],[24Final]])/Inventory[[#This Row],[24Final]]</f>
        <v>-6.053326927696373E-2</v>
      </c>
    </row>
    <row r="17" spans="1:71">
      <c r="A17" s="30">
        <v>2025</v>
      </c>
      <c r="B17" s="31" t="s">
        <v>524</v>
      </c>
      <c r="C17" s="31">
        <f>LN(Inventory[[#This Row],[Acres]])</f>
        <v>-1.8263509139976741</v>
      </c>
      <c r="D17" s="37">
        <f>ROUND(Inventory[[#This Row],[Sqft]]/43560,3)</f>
        <v>0.161</v>
      </c>
      <c r="E17" s="30">
        <v>7004</v>
      </c>
      <c r="F17" s="31" t="s">
        <v>505</v>
      </c>
      <c r="G17" s="31" t="s">
        <v>155</v>
      </c>
      <c r="H17" s="31" t="s">
        <v>5</v>
      </c>
      <c r="I17" s="31" t="s">
        <v>506</v>
      </c>
      <c r="J17" s="31" t="s">
        <v>507</v>
      </c>
      <c r="K17" s="31" t="s">
        <v>157</v>
      </c>
      <c r="L17" s="31" t="s">
        <v>21</v>
      </c>
      <c r="M17" s="31" t="s">
        <v>24</v>
      </c>
      <c r="N17" s="31">
        <v>0</v>
      </c>
      <c r="O17" s="31">
        <f>2024-Inventory[[#This Row],[YrBlt]]</f>
        <v>2</v>
      </c>
      <c r="P17" s="31">
        <f>2024-Inventory[[#This Row],[EffYr]]</f>
        <v>2</v>
      </c>
      <c r="Q17" s="30">
        <v>2022</v>
      </c>
      <c r="R17" s="30">
        <v>2022</v>
      </c>
      <c r="S17" s="30">
        <v>1316</v>
      </c>
      <c r="T17" s="30">
        <v>1686</v>
      </c>
      <c r="U17" s="37"/>
      <c r="V17" s="32"/>
      <c r="W17" s="37"/>
      <c r="X17" s="37">
        <f>Inventory[[#This Row],[Bsmt Area]]-Inventory[[#This Row],[FnBsmt]]</f>
        <v>0</v>
      </c>
      <c r="Y17" s="37">
        <f>Inventory[[#This Row],[MainFn]]+Inventory[[#This Row],[UpprFn]]+Inventory[[#This Row],[AddFn]]+Inventory[[#This Row],[FnBsmt]]</f>
        <v>3002</v>
      </c>
      <c r="Z17" s="32">
        <v>3500</v>
      </c>
      <c r="AA17" s="31" t="s">
        <v>56</v>
      </c>
      <c r="AB17" s="32"/>
      <c r="AC17" s="32"/>
      <c r="AD17" s="38">
        <v>480</v>
      </c>
      <c r="AE17" s="32"/>
      <c r="AF17" s="32"/>
      <c r="AG17" s="32"/>
      <c r="AH17" s="32"/>
      <c r="AI17" s="30">
        <v>559004</v>
      </c>
      <c r="AJ17" s="30">
        <v>547824</v>
      </c>
      <c r="AK17" s="30">
        <v>0</v>
      </c>
      <c r="AL17" s="30">
        <v>0</v>
      </c>
      <c r="AM17" s="30">
        <v>60800</v>
      </c>
      <c r="AN17" s="30">
        <v>402500</v>
      </c>
      <c r="AO17" s="30">
        <v>463300</v>
      </c>
      <c r="AP17" s="30">
        <f>Lookups!$B$58*0.6</f>
        <v>132535.48800000001</v>
      </c>
      <c r="AQ17" s="30">
        <f>Lookups!$B$58*0.4</f>
        <v>88356.992000000013</v>
      </c>
      <c r="AR17" s="30">
        <f>Lookups!$B$59*Inventory[[#This Row],[LnAcres]]</f>
        <v>-23969.615653948869</v>
      </c>
      <c r="AS17" s="30">
        <f>VLOOKUP(Inventory[[#This Row],[Qlty]],Lookups!$A$66:$E$79,2,FALSE)</f>
        <v>32917.849192000001</v>
      </c>
      <c r="AT17" s="30">
        <f>VLOOKUP(Inventory[[#This Row],[Cnd]],Lookups!$A$80:$E$88,2,FALSE)</f>
        <v>47371.278778200001</v>
      </c>
      <c r="AU17" s="30">
        <f>Inventory[[#This Row],[EffAge]]*Lookups!$B$65</f>
        <v>-217.48220000000001</v>
      </c>
      <c r="AV17" s="30">
        <f>Inventory[[#This Row],[MainFn]]*Lookups!$B$90</f>
        <v>82132.06008000001</v>
      </c>
      <c r="AW17" s="30">
        <f>Inventory[[#This Row],[UpprFn]]*Lookups!$B$91</f>
        <v>100452.525738</v>
      </c>
      <c r="AX17" s="30">
        <f>Inventory[[#This Row],[Bsmt Area]]*Lookups!$B$95</f>
        <v>0</v>
      </c>
      <c r="AY17" s="30">
        <f>Inventory[[#This Row],[AttGar]]*Lookups!$B$93</f>
        <v>0</v>
      </c>
      <c r="AZ17" s="30">
        <f>ROUND(Inventory[[#This Row],[25Det]],-2)</f>
        <v>0</v>
      </c>
      <c r="BA17" s="30">
        <f>ROUND(SUM(Inventory[[#This Row],[Mdl Qlty]:[Mdl Garage Area]])+Inventory[[#This Row],[Mdl Res Intercept]],-2)</f>
        <v>395200</v>
      </c>
      <c r="BB17" s="30">
        <f>ROUND(Inventory[[#This Row],[Mdl Land Intercept]]+Inventory[[#This Row],[Mdl LnAcres]],-2)</f>
        <v>64400</v>
      </c>
      <c r="BC17" s="30">
        <f>Inventory[[#This Row],[Unadj Res Value]]+Inventory[[#This Row],[Unadj Det Value]]+Inventory[[#This Row],[Unadj Land Value]]</f>
        <v>459600</v>
      </c>
      <c r="BD17" s="30">
        <f>(Inventory[[#This Row],[Unadj Total Value]]-Inventory[[#This Row],[24Final]])/Inventory[[#This Row],[24Final]]</f>
        <v>-7.986186056550831E-3</v>
      </c>
      <c r="BE17" s="30">
        <f>VLOOKUP(Inventory[[#This Row],[Nbhd]],Lookups!$M$3:$P$5,4,FALSE)</f>
        <v>0.99970000000000003</v>
      </c>
      <c r="BF17" s="30">
        <f>VLOOKUP(Inventory[[#This Row],[Qlty]],Lookups!$M$8:$P$22,4,FALSE)</f>
        <v>1.0019</v>
      </c>
      <c r="BG17" s="30">
        <f>VLOOKUP(Inventory[[#This Row],[Cnd]],Lookups!$R$8:$U$17,4,FALSE)</f>
        <v>1.0012000000000001</v>
      </c>
      <c r="BH17" s="30">
        <f>VLOOKUP(Inventory[[#This Row],[LivArea Range]],Lookups!$R$25:$U$43,4,FALSE)</f>
        <v>0.98509999999999998</v>
      </c>
      <c r="BI17" s="30">
        <f>VLOOKUP(Inventory[[#This Row],[Decade]],Lookups!$M$24:$P$40,4,FALSE)</f>
        <v>1</v>
      </c>
      <c r="BJ17" s="30">
        <f>Inventory[[#This Row],[Nbhd Adj]]*0.95</f>
        <v>0.94971499999999998</v>
      </c>
      <c r="BK17" s="30">
        <f>AVERAGE(Inventory[[#This Row],[Nbhd Adj]],Inventory[[#This Row],[Quality Adj]],Inventory[[#This Row],[Condition Adj]],Inventory[[#This Row],[Living Area Adj]],Inventory[[#This Row],[Decade Adj]])*0.95</f>
        <v>0.9477009999999999</v>
      </c>
      <c r="BL17" s="30">
        <f>ROUND((SUM(Inventory[[#This Row],[Mdl Qlty]:[Mdl Garage Area]])+Inventory[[#This Row],[Mdl Res Intercept]])*Inventory[[#This Row],[Res Adj ]],-2)</f>
        <v>374500</v>
      </c>
      <c r="BM17" s="30">
        <f>ROUND(Inventory[[#This Row],[25Det]]*Inventory[[#This Row],[Det/Nbhd Adj]],-2)</f>
        <v>0</v>
      </c>
      <c r="BN17" s="30">
        <f>Inventory[[#This Row],[Adjusted Res]]+Inventory[[#This Row],[Adj Det ]]</f>
        <v>374500</v>
      </c>
      <c r="BO17" s="30">
        <f>ROUND((Inventory[[#This Row],[Mdl Land Intercept]]+Inventory[[#This Row],[Mdl LnAcres]])*Inventory[[#This Row],[Det/Nbhd Adj]],-2)</f>
        <v>61100</v>
      </c>
      <c r="BP17" s="30">
        <f>Inventory[[#This Row],[Adjusted Impr Total]]+Inventory[[#This Row],[Adjusted Land Total]]</f>
        <v>435600</v>
      </c>
      <c r="BQ17" s="30">
        <f>IFERROR((Inventory[[#This Row],[Adjusted Impr Total]]-Inventory[[#This Row],[24Bldg]])/Inventory[[#This Row],[24Bldg]],0)</f>
        <v>-6.9565217391304349E-2</v>
      </c>
      <c r="BR17" s="43">
        <f>(Inventory[[#This Row],[Adjusted Land Total]]-Inventory[[#This Row],[24Lnd]])/Inventory[[#This Row],[24Lnd]]</f>
        <v>4.9342105263157892E-3</v>
      </c>
      <c r="BS17" s="43">
        <f>(Inventory[[#This Row],[Adjusted Total]]-Inventory[[#This Row],[24Final]])/Inventory[[#This Row],[24Final]]</f>
        <v>-5.97884739909346E-2</v>
      </c>
    </row>
    <row r="18" spans="1:71">
      <c r="A18" s="30">
        <v>2025</v>
      </c>
      <c r="B18" s="31" t="s">
        <v>525</v>
      </c>
      <c r="C18" s="31">
        <f>LN(Inventory[[#This Row],[Acres]])</f>
        <v>-1.8263509139976741</v>
      </c>
      <c r="D18" s="37">
        <f>ROUND(Inventory[[#This Row],[Sqft]]/43560,3)</f>
        <v>0.161</v>
      </c>
      <c r="E18" s="38">
        <v>7001</v>
      </c>
      <c r="F18" s="31" t="s">
        <v>505</v>
      </c>
      <c r="G18" s="31" t="s">
        <v>155</v>
      </c>
      <c r="H18" s="31" t="s">
        <v>5</v>
      </c>
      <c r="I18" s="31" t="s">
        <v>506</v>
      </c>
      <c r="J18" s="31" t="s">
        <v>507</v>
      </c>
      <c r="K18" s="31" t="s">
        <v>157</v>
      </c>
      <c r="L18" s="31" t="s">
        <v>19</v>
      </c>
      <c r="M18" s="31" t="s">
        <v>24</v>
      </c>
      <c r="N18" s="31">
        <v>0</v>
      </c>
      <c r="O18" s="31">
        <f>2024-Inventory[[#This Row],[YrBlt]]</f>
        <v>2</v>
      </c>
      <c r="P18" s="31">
        <f>2024-Inventory[[#This Row],[EffYr]]</f>
        <v>2</v>
      </c>
      <c r="Q18" s="30">
        <v>2022</v>
      </c>
      <c r="R18" s="30">
        <v>2022</v>
      </c>
      <c r="S18" s="30">
        <v>1452</v>
      </c>
      <c r="T18" s="37"/>
      <c r="U18" s="32"/>
      <c r="V18" s="32"/>
      <c r="W18" s="32"/>
      <c r="X18" s="32">
        <f>Inventory[[#This Row],[Bsmt Area]]-Inventory[[#This Row],[FnBsmt]]</f>
        <v>0</v>
      </c>
      <c r="Y18" s="32">
        <f>Inventory[[#This Row],[MainFn]]+Inventory[[#This Row],[UpprFn]]+Inventory[[#This Row],[AddFn]]+Inventory[[#This Row],[FnBsmt]]</f>
        <v>1452</v>
      </c>
      <c r="Z18" s="32">
        <v>1500</v>
      </c>
      <c r="AA18" s="31" t="s">
        <v>56</v>
      </c>
      <c r="AB18" s="32"/>
      <c r="AC18" s="38">
        <v>400</v>
      </c>
      <c r="AD18" s="32"/>
      <c r="AE18" s="32"/>
      <c r="AF18" s="32"/>
      <c r="AG18" s="32"/>
      <c r="AH18" s="32"/>
      <c r="AI18" s="30">
        <v>294927</v>
      </c>
      <c r="AJ18" s="30">
        <v>289028</v>
      </c>
      <c r="AK18" s="30">
        <v>0</v>
      </c>
      <c r="AL18" s="30">
        <v>0</v>
      </c>
      <c r="AM18" s="30">
        <v>60800</v>
      </c>
      <c r="AN18" s="30">
        <v>327200</v>
      </c>
      <c r="AO18" s="30">
        <v>388000</v>
      </c>
      <c r="AP18" s="30">
        <f>Lookups!$B$58*0.6</f>
        <v>132535.48800000001</v>
      </c>
      <c r="AQ18" s="30">
        <f>Lookups!$B$58*0.4</f>
        <v>88356.992000000013</v>
      </c>
      <c r="AR18" s="30">
        <f>Lookups!$B$59*Inventory[[#This Row],[LnAcres]]</f>
        <v>-23969.615653948869</v>
      </c>
      <c r="AS18" s="30">
        <f>VLOOKUP(Inventory[[#This Row],[Qlty]],Lookups!$A$66:$E$79,2,FALSE)</f>
        <v>37154.252388000001</v>
      </c>
      <c r="AT18" s="30">
        <f>VLOOKUP(Inventory[[#This Row],[Cnd]],Lookups!$A$80:$E$88,2,FALSE)</f>
        <v>47371.278778200001</v>
      </c>
      <c r="AU18" s="30">
        <f>Inventory[[#This Row],[EffAge]]*Lookups!$B$65</f>
        <v>-217.48220000000001</v>
      </c>
      <c r="AV18" s="30">
        <f>Inventory[[#This Row],[MainFn]]*Lookups!$B$90</f>
        <v>90619.871760000009</v>
      </c>
      <c r="AW18" s="30">
        <f>Inventory[[#This Row],[UpprFn]]*Lookups!$B$91</f>
        <v>0</v>
      </c>
      <c r="AX18" s="30">
        <f>Inventory[[#This Row],[Bsmt Area]]*Lookups!$B$95</f>
        <v>0</v>
      </c>
      <c r="AY18" s="30">
        <f>Inventory[[#This Row],[AttGar]]*Lookups!$B$93</f>
        <v>14120.412400000001</v>
      </c>
      <c r="AZ18" s="30">
        <f>ROUND(Inventory[[#This Row],[25Det]],-2)</f>
        <v>0</v>
      </c>
      <c r="BA18" s="30">
        <f>ROUND(SUM(Inventory[[#This Row],[Mdl Qlty]:[Mdl Garage Area]])+Inventory[[#This Row],[Mdl Res Intercept]],-2)</f>
        <v>321600</v>
      </c>
      <c r="BB18" s="30">
        <f>ROUND(Inventory[[#This Row],[Mdl Land Intercept]]+Inventory[[#This Row],[Mdl LnAcres]],-2)</f>
        <v>64400</v>
      </c>
      <c r="BC18" s="30">
        <f>Inventory[[#This Row],[Unadj Res Value]]+Inventory[[#This Row],[Unadj Det Value]]+Inventory[[#This Row],[Unadj Land Value]]</f>
        <v>386000</v>
      </c>
      <c r="BD18" s="30">
        <f>(Inventory[[#This Row],[Unadj Total Value]]-Inventory[[#This Row],[24Final]])/Inventory[[#This Row],[24Final]]</f>
        <v>-5.1546391752577319E-3</v>
      </c>
      <c r="BE18" s="30">
        <f>VLOOKUP(Inventory[[#This Row],[Nbhd]],Lookups!$M$3:$P$5,4,FALSE)</f>
        <v>0.99970000000000003</v>
      </c>
      <c r="BF18" s="30">
        <f>VLOOKUP(Inventory[[#This Row],[Qlty]],Lookups!$M$8:$P$22,4,FALSE)</f>
        <v>0.99819999999999998</v>
      </c>
      <c r="BG18" s="30">
        <f>VLOOKUP(Inventory[[#This Row],[Cnd]],Lookups!$R$8:$U$17,4,FALSE)</f>
        <v>1.0012000000000001</v>
      </c>
      <c r="BH18" s="30">
        <f>VLOOKUP(Inventory[[#This Row],[LivArea Range]],Lookups!$R$25:$U$43,4,FALSE)</f>
        <v>0.99519999999999997</v>
      </c>
      <c r="BI18" s="30">
        <f>VLOOKUP(Inventory[[#This Row],[Decade]],Lookups!$M$24:$P$40,4,FALSE)</f>
        <v>1</v>
      </c>
      <c r="BJ18" s="30">
        <f>Inventory[[#This Row],[Nbhd Adj]]*0.95</f>
        <v>0.94971499999999998</v>
      </c>
      <c r="BK18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18" s="30">
        <f>ROUND((SUM(Inventory[[#This Row],[Mdl Qlty]:[Mdl Garage Area]])+Inventory[[#This Row],[Mdl Res Intercept]])*Inventory[[#This Row],[Res Adj ]],-2)</f>
        <v>305200</v>
      </c>
      <c r="BM18" s="30">
        <f>ROUND(Inventory[[#This Row],[25Det]]*Inventory[[#This Row],[Det/Nbhd Adj]],-2)</f>
        <v>0</v>
      </c>
      <c r="BN18" s="30">
        <f>Inventory[[#This Row],[Adjusted Res]]+Inventory[[#This Row],[Adj Det ]]</f>
        <v>305200</v>
      </c>
      <c r="BO18" s="30">
        <f>ROUND((Inventory[[#This Row],[Mdl Land Intercept]]+Inventory[[#This Row],[Mdl LnAcres]])*Inventory[[#This Row],[Det/Nbhd Adj]],-2)</f>
        <v>61100</v>
      </c>
      <c r="BP18" s="30">
        <f>Inventory[[#This Row],[Adjusted Impr Total]]+Inventory[[#This Row],[Adjusted Land Total]]</f>
        <v>366300</v>
      </c>
      <c r="BQ18" s="30">
        <f>IFERROR((Inventory[[#This Row],[Adjusted Impr Total]]-Inventory[[#This Row],[24Bldg]])/Inventory[[#This Row],[24Bldg]],0)</f>
        <v>-6.7237163814180934E-2</v>
      </c>
      <c r="BR18" s="43">
        <f>(Inventory[[#This Row],[Adjusted Land Total]]-Inventory[[#This Row],[24Lnd]])/Inventory[[#This Row],[24Lnd]]</f>
        <v>4.9342105263157892E-3</v>
      </c>
      <c r="BS18" s="43">
        <f>(Inventory[[#This Row],[Adjusted Total]]-Inventory[[#This Row],[24Final]])/Inventory[[#This Row],[24Final]]</f>
        <v>-5.5927835051546394E-2</v>
      </c>
    </row>
    <row r="19" spans="1:71">
      <c r="A19" s="30">
        <v>2025</v>
      </c>
      <c r="B19" s="31" t="s">
        <v>526</v>
      </c>
      <c r="C19" s="31">
        <f>LN(Inventory[[#This Row],[Acres]])</f>
        <v>-1.8263509139976741</v>
      </c>
      <c r="D19" s="37">
        <f>ROUND(Inventory[[#This Row],[Sqft]]/43560,3)</f>
        <v>0.161</v>
      </c>
      <c r="E19" s="30">
        <v>7002</v>
      </c>
      <c r="F19" s="31" t="s">
        <v>505</v>
      </c>
      <c r="G19" s="31" t="s">
        <v>155</v>
      </c>
      <c r="H19" s="31" t="s">
        <v>5</v>
      </c>
      <c r="I19" s="31" t="s">
        <v>506</v>
      </c>
      <c r="J19" s="31" t="s">
        <v>507</v>
      </c>
      <c r="K19" s="31" t="s">
        <v>157</v>
      </c>
      <c r="L19" s="31" t="s">
        <v>19</v>
      </c>
      <c r="M19" s="31" t="s">
        <v>24</v>
      </c>
      <c r="N19" s="31">
        <v>0</v>
      </c>
      <c r="O19" s="31">
        <f>2024-Inventory[[#This Row],[YrBlt]]</f>
        <v>2</v>
      </c>
      <c r="P19" s="31">
        <f>2024-Inventory[[#This Row],[EffYr]]</f>
        <v>2</v>
      </c>
      <c r="Q19" s="30">
        <v>2022</v>
      </c>
      <c r="R19" s="30">
        <v>2022</v>
      </c>
      <c r="S19" s="30">
        <v>1452</v>
      </c>
      <c r="T19" s="37"/>
      <c r="U19" s="32"/>
      <c r="V19" s="32"/>
      <c r="W19" s="32"/>
      <c r="X19" s="32">
        <f>Inventory[[#This Row],[Bsmt Area]]-Inventory[[#This Row],[FnBsmt]]</f>
        <v>0</v>
      </c>
      <c r="Y19" s="32">
        <f>Inventory[[#This Row],[MainFn]]+Inventory[[#This Row],[UpprFn]]+Inventory[[#This Row],[AddFn]]+Inventory[[#This Row],[FnBsmt]]</f>
        <v>1452</v>
      </c>
      <c r="Z19" s="32">
        <v>1500</v>
      </c>
      <c r="AA19" s="31" t="s">
        <v>56</v>
      </c>
      <c r="AB19" s="32"/>
      <c r="AC19" s="38">
        <v>400</v>
      </c>
      <c r="AD19" s="32"/>
      <c r="AE19" s="32"/>
      <c r="AF19" s="32"/>
      <c r="AG19" s="32"/>
      <c r="AH19" s="32"/>
      <c r="AI19" s="30">
        <v>292579</v>
      </c>
      <c r="AJ19" s="30">
        <v>286727</v>
      </c>
      <c r="AK19" s="30">
        <v>0</v>
      </c>
      <c r="AL19" s="30">
        <v>0</v>
      </c>
      <c r="AM19" s="30">
        <v>60800</v>
      </c>
      <c r="AN19" s="30">
        <v>323600</v>
      </c>
      <c r="AO19" s="30">
        <v>384400</v>
      </c>
      <c r="AP19" s="30">
        <f>Lookups!$B$58*0.6</f>
        <v>132535.48800000001</v>
      </c>
      <c r="AQ19" s="30">
        <f>Lookups!$B$58*0.4</f>
        <v>88356.992000000013</v>
      </c>
      <c r="AR19" s="30">
        <f>Lookups!$B$59*Inventory[[#This Row],[LnAcres]]</f>
        <v>-23969.615653948869</v>
      </c>
      <c r="AS19" s="30">
        <f>VLOOKUP(Inventory[[#This Row],[Qlty]],Lookups!$A$66:$E$79,2,FALSE)</f>
        <v>37154.252388000001</v>
      </c>
      <c r="AT19" s="30">
        <f>VLOOKUP(Inventory[[#This Row],[Cnd]],Lookups!$A$80:$E$88,2,FALSE)</f>
        <v>47371.278778200001</v>
      </c>
      <c r="AU19" s="30">
        <f>Inventory[[#This Row],[EffAge]]*Lookups!$B$65</f>
        <v>-217.48220000000001</v>
      </c>
      <c r="AV19" s="30">
        <f>Inventory[[#This Row],[MainFn]]*Lookups!$B$90</f>
        <v>90619.871760000009</v>
      </c>
      <c r="AW19" s="30">
        <f>Inventory[[#This Row],[UpprFn]]*Lookups!$B$91</f>
        <v>0</v>
      </c>
      <c r="AX19" s="30">
        <f>Inventory[[#This Row],[Bsmt Area]]*Lookups!$B$95</f>
        <v>0</v>
      </c>
      <c r="AY19" s="30">
        <f>Inventory[[#This Row],[AttGar]]*Lookups!$B$93</f>
        <v>14120.412400000001</v>
      </c>
      <c r="AZ19" s="30">
        <f>ROUND(Inventory[[#This Row],[25Det]],-2)</f>
        <v>0</v>
      </c>
      <c r="BA19" s="30">
        <f>ROUND(SUM(Inventory[[#This Row],[Mdl Qlty]:[Mdl Garage Area]])+Inventory[[#This Row],[Mdl Res Intercept]],-2)</f>
        <v>321600</v>
      </c>
      <c r="BB19" s="30">
        <f>ROUND(Inventory[[#This Row],[Mdl Land Intercept]]+Inventory[[#This Row],[Mdl LnAcres]],-2)</f>
        <v>64400</v>
      </c>
      <c r="BC19" s="30">
        <f>Inventory[[#This Row],[Unadj Res Value]]+Inventory[[#This Row],[Unadj Det Value]]+Inventory[[#This Row],[Unadj Land Value]]</f>
        <v>386000</v>
      </c>
      <c r="BD19" s="30">
        <f>(Inventory[[#This Row],[Unadj Total Value]]-Inventory[[#This Row],[24Final]])/Inventory[[#This Row],[24Final]]</f>
        <v>4.1623309053069723E-3</v>
      </c>
      <c r="BE19" s="30">
        <f>VLOOKUP(Inventory[[#This Row],[Nbhd]],Lookups!$M$3:$P$5,4,FALSE)</f>
        <v>0.99970000000000003</v>
      </c>
      <c r="BF19" s="30">
        <f>VLOOKUP(Inventory[[#This Row],[Qlty]],Lookups!$M$8:$P$22,4,FALSE)</f>
        <v>0.99819999999999998</v>
      </c>
      <c r="BG19" s="30">
        <f>VLOOKUP(Inventory[[#This Row],[Cnd]],Lookups!$R$8:$U$17,4,FALSE)</f>
        <v>1.0012000000000001</v>
      </c>
      <c r="BH19" s="30">
        <f>VLOOKUP(Inventory[[#This Row],[LivArea Range]],Lookups!$R$25:$U$43,4,FALSE)</f>
        <v>0.99519999999999997</v>
      </c>
      <c r="BI19" s="30">
        <f>VLOOKUP(Inventory[[#This Row],[Decade]],Lookups!$M$24:$P$40,4,FALSE)</f>
        <v>1</v>
      </c>
      <c r="BJ19" s="30">
        <f>Inventory[[#This Row],[Nbhd Adj]]*0.95</f>
        <v>0.94971499999999998</v>
      </c>
      <c r="BK19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19" s="30">
        <f>ROUND((SUM(Inventory[[#This Row],[Mdl Qlty]:[Mdl Garage Area]])+Inventory[[#This Row],[Mdl Res Intercept]])*Inventory[[#This Row],[Res Adj ]],-2)</f>
        <v>305200</v>
      </c>
      <c r="BM19" s="30">
        <f>ROUND(Inventory[[#This Row],[25Det]]*Inventory[[#This Row],[Det/Nbhd Adj]],-2)</f>
        <v>0</v>
      </c>
      <c r="BN19" s="30">
        <f>Inventory[[#This Row],[Adjusted Res]]+Inventory[[#This Row],[Adj Det ]]</f>
        <v>305200</v>
      </c>
      <c r="BO19" s="30">
        <f>ROUND((Inventory[[#This Row],[Mdl Land Intercept]]+Inventory[[#This Row],[Mdl LnAcres]])*Inventory[[#This Row],[Det/Nbhd Adj]],-2)</f>
        <v>61100</v>
      </c>
      <c r="BP19" s="30">
        <f>Inventory[[#This Row],[Adjusted Impr Total]]+Inventory[[#This Row],[Adjusted Land Total]]</f>
        <v>366300</v>
      </c>
      <c r="BQ19" s="30">
        <f>IFERROR((Inventory[[#This Row],[Adjusted Impr Total]]-Inventory[[#This Row],[24Bldg]])/Inventory[[#This Row],[24Bldg]],0)</f>
        <v>-5.6860321384425219E-2</v>
      </c>
      <c r="BR19" s="43">
        <f>(Inventory[[#This Row],[Adjusted Land Total]]-Inventory[[#This Row],[24Lnd]])/Inventory[[#This Row],[24Lnd]]</f>
        <v>4.9342105263157892E-3</v>
      </c>
      <c r="BS19" s="43">
        <f>(Inventory[[#This Row],[Adjusted Total]]-Inventory[[#This Row],[24Final]])/Inventory[[#This Row],[24Final]]</f>
        <v>-4.7086368366285117E-2</v>
      </c>
    </row>
    <row r="20" spans="1:71">
      <c r="A20" s="30">
        <v>2025</v>
      </c>
      <c r="B20" s="31" t="s">
        <v>527</v>
      </c>
      <c r="C20" s="31">
        <f>LN(Inventory[[#This Row],[Acres]])</f>
        <v>-1.8263509139976741</v>
      </c>
      <c r="D20" s="37">
        <f>ROUND(Inventory[[#This Row],[Sqft]]/43560,3)</f>
        <v>0.161</v>
      </c>
      <c r="E20" s="30">
        <v>7001</v>
      </c>
      <c r="F20" s="31" t="s">
        <v>505</v>
      </c>
      <c r="G20" s="31" t="s">
        <v>155</v>
      </c>
      <c r="H20" s="31" t="s">
        <v>5</v>
      </c>
      <c r="I20" s="31" t="s">
        <v>506</v>
      </c>
      <c r="J20" s="31" t="s">
        <v>507</v>
      </c>
      <c r="K20" s="31" t="s">
        <v>157</v>
      </c>
      <c r="L20" s="31" t="s">
        <v>19</v>
      </c>
      <c r="M20" s="31" t="s">
        <v>24</v>
      </c>
      <c r="N20" s="31">
        <v>0</v>
      </c>
      <c r="O20" s="31">
        <f>2024-Inventory[[#This Row],[YrBlt]]</f>
        <v>2</v>
      </c>
      <c r="P20" s="31">
        <f>2024-Inventory[[#This Row],[EffYr]]</f>
        <v>2</v>
      </c>
      <c r="Q20" s="30">
        <v>2022</v>
      </c>
      <c r="R20" s="30">
        <v>2022</v>
      </c>
      <c r="S20" s="30">
        <v>1619</v>
      </c>
      <c r="T20" s="37"/>
      <c r="U20" s="32"/>
      <c r="V20" s="32"/>
      <c r="W20" s="32"/>
      <c r="X20" s="32">
        <f>Inventory[[#This Row],[Bsmt Area]]-Inventory[[#This Row],[FnBsmt]]</f>
        <v>0</v>
      </c>
      <c r="Y20" s="32">
        <f>Inventory[[#This Row],[MainFn]]+Inventory[[#This Row],[UpprFn]]+Inventory[[#This Row],[AddFn]]+Inventory[[#This Row],[FnBsmt]]</f>
        <v>1619</v>
      </c>
      <c r="Z20" s="32">
        <v>2000</v>
      </c>
      <c r="AA20" s="31" t="s">
        <v>56</v>
      </c>
      <c r="AB20" s="32"/>
      <c r="AC20" s="38">
        <v>480</v>
      </c>
      <c r="AD20" s="32"/>
      <c r="AE20" s="32"/>
      <c r="AF20" s="32"/>
      <c r="AG20" s="32"/>
      <c r="AH20" s="32"/>
      <c r="AI20" s="30">
        <v>321656</v>
      </c>
      <c r="AJ20" s="30">
        <v>315223</v>
      </c>
      <c r="AK20" s="30">
        <v>0</v>
      </c>
      <c r="AL20" s="30">
        <v>0</v>
      </c>
      <c r="AM20" s="30">
        <v>60800</v>
      </c>
      <c r="AN20" s="30">
        <v>337300</v>
      </c>
      <c r="AO20" s="30">
        <v>398100</v>
      </c>
      <c r="AP20" s="30">
        <f>Lookups!$B$58*0.6</f>
        <v>132535.48800000001</v>
      </c>
      <c r="AQ20" s="30">
        <f>Lookups!$B$58*0.4</f>
        <v>88356.992000000013</v>
      </c>
      <c r="AR20" s="30">
        <f>Lookups!$B$59*Inventory[[#This Row],[LnAcres]]</f>
        <v>-23969.615653948869</v>
      </c>
      <c r="AS20" s="30">
        <f>VLOOKUP(Inventory[[#This Row],[Qlty]],Lookups!$A$66:$E$79,2,FALSE)</f>
        <v>37154.252388000001</v>
      </c>
      <c r="AT20" s="30">
        <f>VLOOKUP(Inventory[[#This Row],[Cnd]],Lookups!$A$80:$E$88,2,FALSE)</f>
        <v>47371.278778200001</v>
      </c>
      <c r="AU20" s="30">
        <f>Inventory[[#This Row],[EffAge]]*Lookups!$B$65</f>
        <v>-217.48220000000001</v>
      </c>
      <c r="AV20" s="30">
        <f>Inventory[[#This Row],[MainFn]]*Lookups!$B$90</f>
        <v>101042.40522</v>
      </c>
      <c r="AW20" s="30">
        <f>Inventory[[#This Row],[UpprFn]]*Lookups!$B$91</f>
        <v>0</v>
      </c>
      <c r="AX20" s="30">
        <f>Inventory[[#This Row],[Bsmt Area]]*Lookups!$B$95</f>
        <v>0</v>
      </c>
      <c r="AY20" s="30">
        <f>Inventory[[#This Row],[AttGar]]*Lookups!$B$93</f>
        <v>16944.494880000002</v>
      </c>
      <c r="AZ20" s="30">
        <f>ROUND(Inventory[[#This Row],[25Det]],-2)</f>
        <v>0</v>
      </c>
      <c r="BA20" s="30">
        <f>ROUND(SUM(Inventory[[#This Row],[Mdl Qlty]:[Mdl Garage Area]])+Inventory[[#This Row],[Mdl Res Intercept]],-2)</f>
        <v>334800</v>
      </c>
      <c r="BB20" s="30">
        <f>ROUND(Inventory[[#This Row],[Mdl Land Intercept]]+Inventory[[#This Row],[Mdl LnAcres]],-2)</f>
        <v>64400</v>
      </c>
      <c r="BC20" s="30">
        <f>Inventory[[#This Row],[Unadj Res Value]]+Inventory[[#This Row],[Unadj Det Value]]+Inventory[[#This Row],[Unadj Land Value]]</f>
        <v>399200</v>
      </c>
      <c r="BD20" s="30">
        <f>(Inventory[[#This Row],[Unadj Total Value]]-Inventory[[#This Row],[24Final]])/Inventory[[#This Row],[24Final]]</f>
        <v>2.7631248430042702E-3</v>
      </c>
      <c r="BE20" s="30">
        <f>VLOOKUP(Inventory[[#This Row],[Nbhd]],Lookups!$M$3:$P$5,4,FALSE)</f>
        <v>0.99970000000000003</v>
      </c>
      <c r="BF20" s="30">
        <f>VLOOKUP(Inventory[[#This Row],[Qlty]],Lookups!$M$8:$P$22,4,FALSE)</f>
        <v>0.99819999999999998</v>
      </c>
      <c r="BG20" s="30">
        <f>VLOOKUP(Inventory[[#This Row],[Cnd]],Lookups!$R$8:$U$17,4,FALSE)</f>
        <v>1.0012000000000001</v>
      </c>
      <c r="BH20" s="30">
        <f>VLOOKUP(Inventory[[#This Row],[LivArea Range]],Lookups!$R$25:$U$43,4,FALSE)</f>
        <v>1.0007999999999999</v>
      </c>
      <c r="BI20" s="30">
        <f>VLOOKUP(Inventory[[#This Row],[Decade]],Lookups!$M$24:$P$40,4,FALSE)</f>
        <v>1</v>
      </c>
      <c r="BJ20" s="30">
        <f>Inventory[[#This Row],[Nbhd Adj]]*0.95</f>
        <v>0.94971499999999998</v>
      </c>
      <c r="BK20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20" s="30">
        <f>ROUND((SUM(Inventory[[#This Row],[Mdl Qlty]:[Mdl Garage Area]])+Inventory[[#This Row],[Mdl Res Intercept]])*Inventory[[#This Row],[Res Adj ]],-2)</f>
        <v>318100</v>
      </c>
      <c r="BM20" s="30">
        <f>ROUND(Inventory[[#This Row],[25Det]]*Inventory[[#This Row],[Det/Nbhd Adj]],-2)</f>
        <v>0</v>
      </c>
      <c r="BN20" s="30">
        <f>Inventory[[#This Row],[Adjusted Res]]+Inventory[[#This Row],[Adj Det ]]</f>
        <v>318100</v>
      </c>
      <c r="BO20" s="30">
        <f>ROUND((Inventory[[#This Row],[Mdl Land Intercept]]+Inventory[[#This Row],[Mdl LnAcres]])*Inventory[[#This Row],[Det/Nbhd Adj]],-2)</f>
        <v>61100</v>
      </c>
      <c r="BP20" s="30">
        <f>Inventory[[#This Row],[Adjusted Impr Total]]+Inventory[[#This Row],[Adjusted Land Total]]</f>
        <v>379200</v>
      </c>
      <c r="BQ20" s="30">
        <f>IFERROR((Inventory[[#This Row],[Adjusted Impr Total]]-Inventory[[#This Row],[24Bldg]])/Inventory[[#This Row],[24Bldg]],0)</f>
        <v>-5.6922620812333236E-2</v>
      </c>
      <c r="BR20" s="43">
        <f>(Inventory[[#This Row],[Adjusted Land Total]]-Inventory[[#This Row],[24Lnd]])/Inventory[[#This Row],[24Lnd]]</f>
        <v>4.9342105263157892E-3</v>
      </c>
      <c r="BS20" s="43">
        <f>(Inventory[[#This Row],[Adjusted Total]]-Inventory[[#This Row],[24Final]])/Inventory[[#This Row],[24Final]]</f>
        <v>-4.7475508666164283E-2</v>
      </c>
    </row>
    <row r="21" spans="1:71">
      <c r="A21" s="30">
        <v>2025</v>
      </c>
      <c r="B21" s="31" t="s">
        <v>528</v>
      </c>
      <c r="C21" s="31">
        <f>LN(Inventory[[#This Row],[Acres]])</f>
        <v>-1.8263509139976741</v>
      </c>
      <c r="D21" s="37">
        <f>ROUND(Inventory[[#This Row],[Sqft]]/43560,3)</f>
        <v>0.161</v>
      </c>
      <c r="E21" s="38">
        <v>7001</v>
      </c>
      <c r="F21" s="31" t="s">
        <v>505</v>
      </c>
      <c r="G21" s="31" t="s">
        <v>155</v>
      </c>
      <c r="H21" s="31" t="s">
        <v>5</v>
      </c>
      <c r="I21" s="31" t="s">
        <v>506</v>
      </c>
      <c r="J21" s="31" t="s">
        <v>507</v>
      </c>
      <c r="K21" s="31" t="s">
        <v>157</v>
      </c>
      <c r="L21" s="31" t="s">
        <v>19</v>
      </c>
      <c r="M21" s="31" t="s">
        <v>24</v>
      </c>
      <c r="N21" s="31">
        <v>0</v>
      </c>
      <c r="O21" s="31">
        <f>2024-Inventory[[#This Row],[YrBlt]]</f>
        <v>2</v>
      </c>
      <c r="P21" s="31">
        <f>2024-Inventory[[#This Row],[EffYr]]</f>
        <v>2</v>
      </c>
      <c r="Q21" s="30">
        <v>2022</v>
      </c>
      <c r="R21" s="30">
        <v>2022</v>
      </c>
      <c r="S21" s="30">
        <v>1619</v>
      </c>
      <c r="T21" s="32"/>
      <c r="U21" s="37"/>
      <c r="V21" s="32"/>
      <c r="W21" s="37"/>
      <c r="X21" s="37">
        <f>Inventory[[#This Row],[Bsmt Area]]-Inventory[[#This Row],[FnBsmt]]</f>
        <v>0</v>
      </c>
      <c r="Y21" s="37">
        <f>Inventory[[#This Row],[MainFn]]+Inventory[[#This Row],[UpprFn]]+Inventory[[#This Row],[AddFn]]+Inventory[[#This Row],[FnBsmt]]</f>
        <v>1619</v>
      </c>
      <c r="Z21" s="32">
        <v>2000</v>
      </c>
      <c r="AA21" s="31" t="s">
        <v>56</v>
      </c>
      <c r="AB21" s="32"/>
      <c r="AC21" s="38">
        <v>480</v>
      </c>
      <c r="AD21" s="32"/>
      <c r="AE21" s="32"/>
      <c r="AF21" s="32"/>
      <c r="AG21" s="32"/>
      <c r="AH21" s="32"/>
      <c r="AI21" s="30">
        <v>321656</v>
      </c>
      <c r="AJ21" s="30">
        <v>315223</v>
      </c>
      <c r="AK21" s="30">
        <v>0</v>
      </c>
      <c r="AL21" s="30">
        <v>0</v>
      </c>
      <c r="AM21" s="30">
        <v>60800</v>
      </c>
      <c r="AN21" s="30">
        <v>337300</v>
      </c>
      <c r="AO21" s="30">
        <v>398100</v>
      </c>
      <c r="AP21" s="30">
        <f>Lookups!$B$58*0.6</f>
        <v>132535.48800000001</v>
      </c>
      <c r="AQ21" s="30">
        <f>Lookups!$B$58*0.4</f>
        <v>88356.992000000013</v>
      </c>
      <c r="AR21" s="30">
        <f>Lookups!$B$59*Inventory[[#This Row],[LnAcres]]</f>
        <v>-23969.615653948869</v>
      </c>
      <c r="AS21" s="30">
        <f>VLOOKUP(Inventory[[#This Row],[Qlty]],Lookups!$A$66:$E$79,2,FALSE)</f>
        <v>37154.252388000001</v>
      </c>
      <c r="AT21" s="30">
        <f>VLOOKUP(Inventory[[#This Row],[Cnd]],Lookups!$A$80:$E$88,2,FALSE)</f>
        <v>47371.278778200001</v>
      </c>
      <c r="AU21" s="30">
        <f>Inventory[[#This Row],[EffAge]]*Lookups!$B$65</f>
        <v>-217.48220000000001</v>
      </c>
      <c r="AV21" s="30">
        <f>Inventory[[#This Row],[MainFn]]*Lookups!$B$90</f>
        <v>101042.40522</v>
      </c>
      <c r="AW21" s="30">
        <f>Inventory[[#This Row],[UpprFn]]*Lookups!$B$91</f>
        <v>0</v>
      </c>
      <c r="AX21" s="30">
        <f>Inventory[[#This Row],[Bsmt Area]]*Lookups!$B$95</f>
        <v>0</v>
      </c>
      <c r="AY21" s="30">
        <f>Inventory[[#This Row],[AttGar]]*Lookups!$B$93</f>
        <v>16944.494880000002</v>
      </c>
      <c r="AZ21" s="30">
        <f>ROUND(Inventory[[#This Row],[25Det]],-2)</f>
        <v>0</v>
      </c>
      <c r="BA21" s="30">
        <f>ROUND(SUM(Inventory[[#This Row],[Mdl Qlty]:[Mdl Garage Area]])+Inventory[[#This Row],[Mdl Res Intercept]],-2)</f>
        <v>334800</v>
      </c>
      <c r="BB21" s="30">
        <f>ROUND(Inventory[[#This Row],[Mdl Land Intercept]]+Inventory[[#This Row],[Mdl LnAcres]],-2)</f>
        <v>64400</v>
      </c>
      <c r="BC21" s="30">
        <f>Inventory[[#This Row],[Unadj Res Value]]+Inventory[[#This Row],[Unadj Det Value]]+Inventory[[#This Row],[Unadj Land Value]]</f>
        <v>399200</v>
      </c>
      <c r="BD21" s="30">
        <f>(Inventory[[#This Row],[Unadj Total Value]]-Inventory[[#This Row],[24Final]])/Inventory[[#This Row],[24Final]]</f>
        <v>2.7631248430042702E-3</v>
      </c>
      <c r="BE21" s="30">
        <f>VLOOKUP(Inventory[[#This Row],[Nbhd]],Lookups!$M$3:$P$5,4,FALSE)</f>
        <v>0.99970000000000003</v>
      </c>
      <c r="BF21" s="30">
        <f>VLOOKUP(Inventory[[#This Row],[Qlty]],Lookups!$M$8:$P$22,4,FALSE)</f>
        <v>0.99819999999999998</v>
      </c>
      <c r="BG21" s="30">
        <f>VLOOKUP(Inventory[[#This Row],[Cnd]],Lookups!$R$8:$U$17,4,FALSE)</f>
        <v>1.0012000000000001</v>
      </c>
      <c r="BH21" s="30">
        <f>VLOOKUP(Inventory[[#This Row],[LivArea Range]],Lookups!$R$25:$U$43,4,FALSE)</f>
        <v>1.0007999999999999</v>
      </c>
      <c r="BI21" s="30">
        <f>VLOOKUP(Inventory[[#This Row],[Decade]],Lookups!$M$24:$P$40,4,FALSE)</f>
        <v>1</v>
      </c>
      <c r="BJ21" s="30">
        <f>Inventory[[#This Row],[Nbhd Adj]]*0.95</f>
        <v>0.94971499999999998</v>
      </c>
      <c r="BK21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21" s="30">
        <f>ROUND((SUM(Inventory[[#This Row],[Mdl Qlty]:[Mdl Garage Area]])+Inventory[[#This Row],[Mdl Res Intercept]])*Inventory[[#This Row],[Res Adj ]],-2)</f>
        <v>318100</v>
      </c>
      <c r="BM21" s="30">
        <f>ROUND(Inventory[[#This Row],[25Det]]*Inventory[[#This Row],[Det/Nbhd Adj]],-2)</f>
        <v>0</v>
      </c>
      <c r="BN21" s="30">
        <f>Inventory[[#This Row],[Adjusted Res]]+Inventory[[#This Row],[Adj Det ]]</f>
        <v>318100</v>
      </c>
      <c r="BO21" s="30">
        <f>ROUND((Inventory[[#This Row],[Mdl Land Intercept]]+Inventory[[#This Row],[Mdl LnAcres]])*Inventory[[#This Row],[Det/Nbhd Adj]],-2)</f>
        <v>61100</v>
      </c>
      <c r="BP21" s="30">
        <f>Inventory[[#This Row],[Adjusted Impr Total]]+Inventory[[#This Row],[Adjusted Land Total]]</f>
        <v>379200</v>
      </c>
      <c r="BQ21" s="30">
        <f>IFERROR((Inventory[[#This Row],[Adjusted Impr Total]]-Inventory[[#This Row],[24Bldg]])/Inventory[[#This Row],[24Bldg]],0)</f>
        <v>-5.6922620812333236E-2</v>
      </c>
      <c r="BR21" s="43">
        <f>(Inventory[[#This Row],[Adjusted Land Total]]-Inventory[[#This Row],[24Lnd]])/Inventory[[#This Row],[24Lnd]]</f>
        <v>4.9342105263157892E-3</v>
      </c>
      <c r="BS21" s="43">
        <f>(Inventory[[#This Row],[Adjusted Total]]-Inventory[[#This Row],[24Final]])/Inventory[[#This Row],[24Final]]</f>
        <v>-4.7475508666164283E-2</v>
      </c>
    </row>
    <row r="22" spans="1:71">
      <c r="A22" s="30">
        <v>2025</v>
      </c>
      <c r="B22" s="31" t="s">
        <v>529</v>
      </c>
      <c r="C22" s="31">
        <f>LN(Inventory[[#This Row],[Acres]])</f>
        <v>-1.8263509139976741</v>
      </c>
      <c r="D22" s="37">
        <f>ROUND(Inventory[[#This Row],[Sqft]]/43560,3)</f>
        <v>0.161</v>
      </c>
      <c r="E22" s="38">
        <v>7001</v>
      </c>
      <c r="F22" s="31" t="s">
        <v>505</v>
      </c>
      <c r="G22" s="31" t="s">
        <v>155</v>
      </c>
      <c r="H22" s="31" t="s">
        <v>5</v>
      </c>
      <c r="I22" s="31" t="s">
        <v>506</v>
      </c>
      <c r="J22" s="31" t="s">
        <v>507</v>
      </c>
      <c r="K22" s="31" t="s">
        <v>157</v>
      </c>
      <c r="L22" s="31" t="s">
        <v>19</v>
      </c>
      <c r="M22" s="31" t="s">
        <v>24</v>
      </c>
      <c r="N22" s="31">
        <v>0</v>
      </c>
      <c r="O22" s="31">
        <f>2024-Inventory[[#This Row],[YrBlt]]</f>
        <v>2</v>
      </c>
      <c r="P22" s="31">
        <f>2024-Inventory[[#This Row],[EffYr]]</f>
        <v>2</v>
      </c>
      <c r="Q22" s="30">
        <v>2022</v>
      </c>
      <c r="R22" s="30">
        <v>2022</v>
      </c>
      <c r="S22" s="30">
        <v>1619</v>
      </c>
      <c r="T22" s="37"/>
      <c r="U22" s="37"/>
      <c r="V22" s="32"/>
      <c r="W22" s="37"/>
      <c r="X22" s="37">
        <f>Inventory[[#This Row],[Bsmt Area]]-Inventory[[#This Row],[FnBsmt]]</f>
        <v>0</v>
      </c>
      <c r="Y22" s="37">
        <f>Inventory[[#This Row],[MainFn]]+Inventory[[#This Row],[UpprFn]]+Inventory[[#This Row],[AddFn]]+Inventory[[#This Row],[FnBsmt]]</f>
        <v>1619</v>
      </c>
      <c r="Z22" s="32">
        <v>2000</v>
      </c>
      <c r="AA22" s="31" t="s">
        <v>56</v>
      </c>
      <c r="AB22" s="32"/>
      <c r="AC22" s="38">
        <v>480</v>
      </c>
      <c r="AD22" s="32"/>
      <c r="AE22" s="32"/>
      <c r="AF22" s="32"/>
      <c r="AG22" s="32"/>
      <c r="AH22" s="32"/>
      <c r="AI22" s="30">
        <v>321656</v>
      </c>
      <c r="AJ22" s="30">
        <v>315223</v>
      </c>
      <c r="AK22" s="30">
        <v>0</v>
      </c>
      <c r="AL22" s="30">
        <v>0</v>
      </c>
      <c r="AM22" s="30">
        <v>60800</v>
      </c>
      <c r="AN22" s="30">
        <v>337300</v>
      </c>
      <c r="AO22" s="30">
        <v>398100</v>
      </c>
      <c r="AP22" s="30">
        <f>Lookups!$B$58*0.6</f>
        <v>132535.48800000001</v>
      </c>
      <c r="AQ22" s="30">
        <f>Lookups!$B$58*0.4</f>
        <v>88356.992000000013</v>
      </c>
      <c r="AR22" s="30">
        <f>Lookups!$B$59*Inventory[[#This Row],[LnAcres]]</f>
        <v>-23969.615653948869</v>
      </c>
      <c r="AS22" s="30">
        <f>VLOOKUP(Inventory[[#This Row],[Qlty]],Lookups!$A$66:$E$79,2,FALSE)</f>
        <v>37154.252388000001</v>
      </c>
      <c r="AT22" s="30">
        <f>VLOOKUP(Inventory[[#This Row],[Cnd]],Lookups!$A$80:$E$88,2,FALSE)</f>
        <v>47371.278778200001</v>
      </c>
      <c r="AU22" s="30">
        <f>Inventory[[#This Row],[EffAge]]*Lookups!$B$65</f>
        <v>-217.48220000000001</v>
      </c>
      <c r="AV22" s="30">
        <f>Inventory[[#This Row],[MainFn]]*Lookups!$B$90</f>
        <v>101042.40522</v>
      </c>
      <c r="AW22" s="30">
        <f>Inventory[[#This Row],[UpprFn]]*Lookups!$B$91</f>
        <v>0</v>
      </c>
      <c r="AX22" s="30">
        <f>Inventory[[#This Row],[Bsmt Area]]*Lookups!$B$95</f>
        <v>0</v>
      </c>
      <c r="AY22" s="30">
        <f>Inventory[[#This Row],[AttGar]]*Lookups!$B$93</f>
        <v>16944.494880000002</v>
      </c>
      <c r="AZ22" s="30">
        <f>ROUND(Inventory[[#This Row],[25Det]],-2)</f>
        <v>0</v>
      </c>
      <c r="BA22" s="30">
        <f>ROUND(SUM(Inventory[[#This Row],[Mdl Qlty]:[Mdl Garage Area]])+Inventory[[#This Row],[Mdl Res Intercept]],-2)</f>
        <v>334800</v>
      </c>
      <c r="BB22" s="30">
        <f>ROUND(Inventory[[#This Row],[Mdl Land Intercept]]+Inventory[[#This Row],[Mdl LnAcres]],-2)</f>
        <v>64400</v>
      </c>
      <c r="BC22" s="30">
        <f>Inventory[[#This Row],[Unadj Res Value]]+Inventory[[#This Row],[Unadj Det Value]]+Inventory[[#This Row],[Unadj Land Value]]</f>
        <v>399200</v>
      </c>
      <c r="BD22" s="30">
        <f>(Inventory[[#This Row],[Unadj Total Value]]-Inventory[[#This Row],[24Final]])/Inventory[[#This Row],[24Final]]</f>
        <v>2.7631248430042702E-3</v>
      </c>
      <c r="BE22" s="30">
        <f>VLOOKUP(Inventory[[#This Row],[Nbhd]],Lookups!$M$3:$P$5,4,FALSE)</f>
        <v>0.99970000000000003</v>
      </c>
      <c r="BF22" s="30">
        <f>VLOOKUP(Inventory[[#This Row],[Qlty]],Lookups!$M$8:$P$22,4,FALSE)</f>
        <v>0.99819999999999998</v>
      </c>
      <c r="BG22" s="30">
        <f>VLOOKUP(Inventory[[#This Row],[Cnd]],Lookups!$R$8:$U$17,4,FALSE)</f>
        <v>1.0012000000000001</v>
      </c>
      <c r="BH22" s="30">
        <f>VLOOKUP(Inventory[[#This Row],[LivArea Range]],Lookups!$R$25:$U$43,4,FALSE)</f>
        <v>1.0007999999999999</v>
      </c>
      <c r="BI22" s="30">
        <f>VLOOKUP(Inventory[[#This Row],[Decade]],Lookups!$M$24:$P$40,4,FALSE)</f>
        <v>1</v>
      </c>
      <c r="BJ22" s="30">
        <f>Inventory[[#This Row],[Nbhd Adj]]*0.95</f>
        <v>0.94971499999999998</v>
      </c>
      <c r="BK22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22" s="30">
        <f>ROUND((SUM(Inventory[[#This Row],[Mdl Qlty]:[Mdl Garage Area]])+Inventory[[#This Row],[Mdl Res Intercept]])*Inventory[[#This Row],[Res Adj ]],-2)</f>
        <v>318100</v>
      </c>
      <c r="BM22" s="30">
        <f>ROUND(Inventory[[#This Row],[25Det]]*Inventory[[#This Row],[Det/Nbhd Adj]],-2)</f>
        <v>0</v>
      </c>
      <c r="BN22" s="30">
        <f>Inventory[[#This Row],[Adjusted Res]]+Inventory[[#This Row],[Adj Det ]]</f>
        <v>318100</v>
      </c>
      <c r="BO22" s="30">
        <f>ROUND((Inventory[[#This Row],[Mdl Land Intercept]]+Inventory[[#This Row],[Mdl LnAcres]])*Inventory[[#This Row],[Det/Nbhd Adj]],-2)</f>
        <v>61100</v>
      </c>
      <c r="BP22" s="30">
        <f>Inventory[[#This Row],[Adjusted Impr Total]]+Inventory[[#This Row],[Adjusted Land Total]]</f>
        <v>379200</v>
      </c>
      <c r="BQ22" s="30">
        <f>IFERROR((Inventory[[#This Row],[Adjusted Impr Total]]-Inventory[[#This Row],[24Bldg]])/Inventory[[#This Row],[24Bldg]],0)</f>
        <v>-5.6922620812333236E-2</v>
      </c>
      <c r="BR22" s="43">
        <f>(Inventory[[#This Row],[Adjusted Land Total]]-Inventory[[#This Row],[24Lnd]])/Inventory[[#This Row],[24Lnd]]</f>
        <v>4.9342105263157892E-3</v>
      </c>
      <c r="BS22" s="43">
        <f>(Inventory[[#This Row],[Adjusted Total]]-Inventory[[#This Row],[24Final]])/Inventory[[#This Row],[24Final]]</f>
        <v>-4.7475508666164283E-2</v>
      </c>
    </row>
    <row r="23" spans="1:71">
      <c r="A23" s="30">
        <v>2025</v>
      </c>
      <c r="B23" s="31" t="s">
        <v>530</v>
      </c>
      <c r="C23" s="31">
        <f>LN(Inventory[[#This Row],[Acres]])</f>
        <v>-1.8263509139976741</v>
      </c>
      <c r="D23" s="37">
        <f>ROUND(Inventory[[#This Row],[Sqft]]/43560,3)</f>
        <v>0.161</v>
      </c>
      <c r="E23" s="38">
        <v>7002</v>
      </c>
      <c r="F23" s="31" t="s">
        <v>505</v>
      </c>
      <c r="G23" s="31" t="s">
        <v>155</v>
      </c>
      <c r="H23" s="31" t="s">
        <v>5</v>
      </c>
      <c r="I23" s="31" t="s">
        <v>506</v>
      </c>
      <c r="J23" s="31" t="s">
        <v>507</v>
      </c>
      <c r="K23" s="31" t="s">
        <v>157</v>
      </c>
      <c r="L23" s="31" t="s">
        <v>19</v>
      </c>
      <c r="M23" s="31" t="s">
        <v>24</v>
      </c>
      <c r="N23" s="31">
        <v>0</v>
      </c>
      <c r="O23" s="31">
        <f>2024-Inventory[[#This Row],[YrBlt]]</f>
        <v>2</v>
      </c>
      <c r="P23" s="31">
        <f>2024-Inventory[[#This Row],[EffYr]]</f>
        <v>2</v>
      </c>
      <c r="Q23" s="30">
        <v>2022</v>
      </c>
      <c r="R23" s="30">
        <v>2022</v>
      </c>
      <c r="S23" s="30">
        <v>1619</v>
      </c>
      <c r="T23" s="37"/>
      <c r="U23" s="32"/>
      <c r="V23" s="32"/>
      <c r="W23" s="32"/>
      <c r="X23" s="32">
        <f>Inventory[[#This Row],[Bsmt Area]]-Inventory[[#This Row],[FnBsmt]]</f>
        <v>0</v>
      </c>
      <c r="Y23" s="32">
        <f>Inventory[[#This Row],[MainFn]]+Inventory[[#This Row],[UpprFn]]+Inventory[[#This Row],[AddFn]]+Inventory[[#This Row],[FnBsmt]]</f>
        <v>1619</v>
      </c>
      <c r="Z23" s="32">
        <v>2000</v>
      </c>
      <c r="AA23" s="31" t="s">
        <v>56</v>
      </c>
      <c r="AB23" s="32"/>
      <c r="AC23" s="38">
        <v>480</v>
      </c>
      <c r="AD23" s="32"/>
      <c r="AE23" s="32"/>
      <c r="AF23" s="32"/>
      <c r="AG23" s="32"/>
      <c r="AH23" s="32"/>
      <c r="AI23" s="30">
        <v>321656</v>
      </c>
      <c r="AJ23" s="30">
        <v>315223</v>
      </c>
      <c r="AK23" s="30">
        <v>0</v>
      </c>
      <c r="AL23" s="30">
        <v>0</v>
      </c>
      <c r="AM23" s="30">
        <v>60800</v>
      </c>
      <c r="AN23" s="30">
        <v>337300</v>
      </c>
      <c r="AO23" s="30">
        <v>398100</v>
      </c>
      <c r="AP23" s="30">
        <f>Lookups!$B$58*0.6</f>
        <v>132535.48800000001</v>
      </c>
      <c r="AQ23" s="30">
        <f>Lookups!$B$58*0.4</f>
        <v>88356.992000000013</v>
      </c>
      <c r="AR23" s="30">
        <f>Lookups!$B$59*Inventory[[#This Row],[LnAcres]]</f>
        <v>-23969.615653948869</v>
      </c>
      <c r="AS23" s="30">
        <f>VLOOKUP(Inventory[[#This Row],[Qlty]],Lookups!$A$66:$E$79,2,FALSE)</f>
        <v>37154.252388000001</v>
      </c>
      <c r="AT23" s="30">
        <f>VLOOKUP(Inventory[[#This Row],[Cnd]],Lookups!$A$80:$E$88,2,FALSE)</f>
        <v>47371.278778200001</v>
      </c>
      <c r="AU23" s="30">
        <f>Inventory[[#This Row],[EffAge]]*Lookups!$B$65</f>
        <v>-217.48220000000001</v>
      </c>
      <c r="AV23" s="30">
        <f>Inventory[[#This Row],[MainFn]]*Lookups!$B$90</f>
        <v>101042.40522</v>
      </c>
      <c r="AW23" s="30">
        <f>Inventory[[#This Row],[UpprFn]]*Lookups!$B$91</f>
        <v>0</v>
      </c>
      <c r="AX23" s="30">
        <f>Inventory[[#This Row],[Bsmt Area]]*Lookups!$B$95</f>
        <v>0</v>
      </c>
      <c r="AY23" s="30">
        <f>Inventory[[#This Row],[AttGar]]*Lookups!$B$93</f>
        <v>16944.494880000002</v>
      </c>
      <c r="AZ23" s="30">
        <f>ROUND(Inventory[[#This Row],[25Det]],-2)</f>
        <v>0</v>
      </c>
      <c r="BA23" s="30">
        <f>ROUND(SUM(Inventory[[#This Row],[Mdl Qlty]:[Mdl Garage Area]])+Inventory[[#This Row],[Mdl Res Intercept]],-2)</f>
        <v>334800</v>
      </c>
      <c r="BB23" s="30">
        <f>ROUND(Inventory[[#This Row],[Mdl Land Intercept]]+Inventory[[#This Row],[Mdl LnAcres]],-2)</f>
        <v>64400</v>
      </c>
      <c r="BC23" s="30">
        <f>Inventory[[#This Row],[Unadj Res Value]]+Inventory[[#This Row],[Unadj Det Value]]+Inventory[[#This Row],[Unadj Land Value]]</f>
        <v>399200</v>
      </c>
      <c r="BD23" s="30">
        <f>(Inventory[[#This Row],[Unadj Total Value]]-Inventory[[#This Row],[24Final]])/Inventory[[#This Row],[24Final]]</f>
        <v>2.7631248430042702E-3</v>
      </c>
      <c r="BE23" s="30">
        <f>VLOOKUP(Inventory[[#This Row],[Nbhd]],Lookups!$M$3:$P$5,4,FALSE)</f>
        <v>0.99970000000000003</v>
      </c>
      <c r="BF23" s="30">
        <f>VLOOKUP(Inventory[[#This Row],[Qlty]],Lookups!$M$8:$P$22,4,FALSE)</f>
        <v>0.99819999999999998</v>
      </c>
      <c r="BG23" s="30">
        <f>VLOOKUP(Inventory[[#This Row],[Cnd]],Lookups!$R$8:$U$17,4,FALSE)</f>
        <v>1.0012000000000001</v>
      </c>
      <c r="BH23" s="30">
        <f>VLOOKUP(Inventory[[#This Row],[LivArea Range]],Lookups!$R$25:$U$43,4,FALSE)</f>
        <v>1.0007999999999999</v>
      </c>
      <c r="BI23" s="30">
        <f>VLOOKUP(Inventory[[#This Row],[Decade]],Lookups!$M$24:$P$40,4,FALSE)</f>
        <v>1</v>
      </c>
      <c r="BJ23" s="30">
        <f>Inventory[[#This Row],[Nbhd Adj]]*0.95</f>
        <v>0.94971499999999998</v>
      </c>
      <c r="BK23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23" s="30">
        <f>ROUND((SUM(Inventory[[#This Row],[Mdl Qlty]:[Mdl Garage Area]])+Inventory[[#This Row],[Mdl Res Intercept]])*Inventory[[#This Row],[Res Adj ]],-2)</f>
        <v>318100</v>
      </c>
      <c r="BM23" s="30">
        <f>ROUND(Inventory[[#This Row],[25Det]]*Inventory[[#This Row],[Det/Nbhd Adj]],-2)</f>
        <v>0</v>
      </c>
      <c r="BN23" s="30">
        <f>Inventory[[#This Row],[Adjusted Res]]+Inventory[[#This Row],[Adj Det ]]</f>
        <v>318100</v>
      </c>
      <c r="BO23" s="30">
        <f>ROUND((Inventory[[#This Row],[Mdl Land Intercept]]+Inventory[[#This Row],[Mdl LnAcres]])*Inventory[[#This Row],[Det/Nbhd Adj]],-2)</f>
        <v>61100</v>
      </c>
      <c r="BP23" s="30">
        <f>Inventory[[#This Row],[Adjusted Impr Total]]+Inventory[[#This Row],[Adjusted Land Total]]</f>
        <v>379200</v>
      </c>
      <c r="BQ23" s="30">
        <f>IFERROR((Inventory[[#This Row],[Adjusted Impr Total]]-Inventory[[#This Row],[24Bldg]])/Inventory[[#This Row],[24Bldg]],0)</f>
        <v>-5.6922620812333236E-2</v>
      </c>
      <c r="BR23" s="43">
        <f>(Inventory[[#This Row],[Adjusted Land Total]]-Inventory[[#This Row],[24Lnd]])/Inventory[[#This Row],[24Lnd]]</f>
        <v>4.9342105263157892E-3</v>
      </c>
      <c r="BS23" s="43">
        <f>(Inventory[[#This Row],[Adjusted Total]]-Inventory[[#This Row],[24Final]])/Inventory[[#This Row],[24Final]]</f>
        <v>-4.7475508666164283E-2</v>
      </c>
    </row>
    <row r="24" spans="1:71">
      <c r="A24" s="30">
        <v>2025</v>
      </c>
      <c r="B24" s="31" t="s">
        <v>531</v>
      </c>
      <c r="C24" s="31">
        <f>LN(Inventory[[#This Row],[Acres]])</f>
        <v>-1.8263509139976741</v>
      </c>
      <c r="D24" s="37">
        <f>ROUND(Inventory[[#This Row],[Sqft]]/43560,3)</f>
        <v>0.161</v>
      </c>
      <c r="E24" s="30">
        <v>7002</v>
      </c>
      <c r="F24" s="31" t="s">
        <v>505</v>
      </c>
      <c r="G24" s="31" t="s">
        <v>155</v>
      </c>
      <c r="H24" s="31" t="s">
        <v>5</v>
      </c>
      <c r="I24" s="31" t="s">
        <v>506</v>
      </c>
      <c r="J24" s="31" t="s">
        <v>507</v>
      </c>
      <c r="K24" s="31" t="s">
        <v>157</v>
      </c>
      <c r="L24" s="31" t="s">
        <v>19</v>
      </c>
      <c r="M24" s="31" t="s">
        <v>24</v>
      </c>
      <c r="N24" s="31">
        <v>0</v>
      </c>
      <c r="O24" s="31">
        <f>2024-Inventory[[#This Row],[YrBlt]]</f>
        <v>2</v>
      </c>
      <c r="P24" s="31">
        <f>2024-Inventory[[#This Row],[EffYr]]</f>
        <v>2</v>
      </c>
      <c r="Q24" s="30">
        <v>2022</v>
      </c>
      <c r="R24" s="30">
        <v>2022</v>
      </c>
      <c r="S24" s="30">
        <v>1619</v>
      </c>
      <c r="T24" s="37"/>
      <c r="U24" s="32"/>
      <c r="V24" s="32"/>
      <c r="W24" s="32"/>
      <c r="X24" s="32">
        <f>Inventory[[#This Row],[Bsmt Area]]-Inventory[[#This Row],[FnBsmt]]</f>
        <v>0</v>
      </c>
      <c r="Y24" s="32">
        <f>Inventory[[#This Row],[MainFn]]+Inventory[[#This Row],[UpprFn]]+Inventory[[#This Row],[AddFn]]+Inventory[[#This Row],[FnBsmt]]</f>
        <v>1619</v>
      </c>
      <c r="Z24" s="32">
        <v>2000</v>
      </c>
      <c r="AA24" s="31" t="s">
        <v>56</v>
      </c>
      <c r="AB24" s="32"/>
      <c r="AC24" s="38">
        <v>400</v>
      </c>
      <c r="AD24" s="32"/>
      <c r="AE24" s="32"/>
      <c r="AF24" s="32"/>
      <c r="AG24" s="32"/>
      <c r="AH24" s="32"/>
      <c r="AI24" s="30">
        <v>318385</v>
      </c>
      <c r="AJ24" s="30">
        <v>312017</v>
      </c>
      <c r="AK24" s="30">
        <v>0</v>
      </c>
      <c r="AL24" s="30">
        <v>0</v>
      </c>
      <c r="AM24" s="30">
        <v>60800</v>
      </c>
      <c r="AN24" s="30">
        <v>333900</v>
      </c>
      <c r="AO24" s="30">
        <v>394700</v>
      </c>
      <c r="AP24" s="30">
        <f>Lookups!$B$58*0.6</f>
        <v>132535.48800000001</v>
      </c>
      <c r="AQ24" s="30">
        <f>Lookups!$B$58*0.4</f>
        <v>88356.992000000013</v>
      </c>
      <c r="AR24" s="30">
        <f>Lookups!$B$59*Inventory[[#This Row],[LnAcres]]</f>
        <v>-23969.615653948869</v>
      </c>
      <c r="AS24" s="30">
        <f>VLOOKUP(Inventory[[#This Row],[Qlty]],Lookups!$A$66:$E$79,2,FALSE)</f>
        <v>37154.252388000001</v>
      </c>
      <c r="AT24" s="30">
        <f>VLOOKUP(Inventory[[#This Row],[Cnd]],Lookups!$A$80:$E$88,2,FALSE)</f>
        <v>47371.278778200001</v>
      </c>
      <c r="AU24" s="30">
        <f>Inventory[[#This Row],[EffAge]]*Lookups!$B$65</f>
        <v>-217.48220000000001</v>
      </c>
      <c r="AV24" s="30">
        <f>Inventory[[#This Row],[MainFn]]*Lookups!$B$90</f>
        <v>101042.40522</v>
      </c>
      <c r="AW24" s="30">
        <f>Inventory[[#This Row],[UpprFn]]*Lookups!$B$91</f>
        <v>0</v>
      </c>
      <c r="AX24" s="30">
        <f>Inventory[[#This Row],[Bsmt Area]]*Lookups!$B$95</f>
        <v>0</v>
      </c>
      <c r="AY24" s="30">
        <f>Inventory[[#This Row],[AttGar]]*Lookups!$B$93</f>
        <v>14120.412400000001</v>
      </c>
      <c r="AZ24" s="30">
        <f>ROUND(Inventory[[#This Row],[25Det]],-2)</f>
        <v>0</v>
      </c>
      <c r="BA24" s="30">
        <f>ROUND(SUM(Inventory[[#This Row],[Mdl Qlty]:[Mdl Garage Area]])+Inventory[[#This Row],[Mdl Res Intercept]],-2)</f>
        <v>332000</v>
      </c>
      <c r="BB24" s="30">
        <f>ROUND(Inventory[[#This Row],[Mdl Land Intercept]]+Inventory[[#This Row],[Mdl LnAcres]],-2)</f>
        <v>64400</v>
      </c>
      <c r="BC24" s="30">
        <f>Inventory[[#This Row],[Unadj Res Value]]+Inventory[[#This Row],[Unadj Det Value]]+Inventory[[#This Row],[Unadj Land Value]]</f>
        <v>396400</v>
      </c>
      <c r="BD24" s="30">
        <f>(Inventory[[#This Row],[Unadj Total Value]]-Inventory[[#This Row],[24Final]])/Inventory[[#This Row],[24Final]]</f>
        <v>4.3070686597415763E-3</v>
      </c>
      <c r="BE24" s="30">
        <f>VLOOKUP(Inventory[[#This Row],[Nbhd]],Lookups!$M$3:$P$5,4,FALSE)</f>
        <v>0.99970000000000003</v>
      </c>
      <c r="BF24" s="30">
        <f>VLOOKUP(Inventory[[#This Row],[Qlty]],Lookups!$M$8:$P$22,4,FALSE)</f>
        <v>0.99819999999999998</v>
      </c>
      <c r="BG24" s="30">
        <f>VLOOKUP(Inventory[[#This Row],[Cnd]],Lookups!$R$8:$U$17,4,FALSE)</f>
        <v>1.0012000000000001</v>
      </c>
      <c r="BH24" s="30">
        <f>VLOOKUP(Inventory[[#This Row],[LivArea Range]],Lookups!$R$25:$U$43,4,FALSE)</f>
        <v>1.0007999999999999</v>
      </c>
      <c r="BI24" s="30">
        <f>VLOOKUP(Inventory[[#This Row],[Decade]],Lookups!$M$24:$P$40,4,FALSE)</f>
        <v>1</v>
      </c>
      <c r="BJ24" s="30">
        <f>Inventory[[#This Row],[Nbhd Adj]]*0.95</f>
        <v>0.94971499999999998</v>
      </c>
      <c r="BK24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24" s="30">
        <f>ROUND((SUM(Inventory[[#This Row],[Mdl Qlty]:[Mdl Garage Area]])+Inventory[[#This Row],[Mdl Res Intercept]])*Inventory[[#This Row],[Res Adj ]],-2)</f>
        <v>315400</v>
      </c>
      <c r="BM24" s="30">
        <f>ROUND(Inventory[[#This Row],[25Det]]*Inventory[[#This Row],[Det/Nbhd Adj]],-2)</f>
        <v>0</v>
      </c>
      <c r="BN24" s="30">
        <f>Inventory[[#This Row],[Adjusted Res]]+Inventory[[#This Row],[Adj Det ]]</f>
        <v>315400</v>
      </c>
      <c r="BO24" s="30">
        <f>ROUND((Inventory[[#This Row],[Mdl Land Intercept]]+Inventory[[#This Row],[Mdl LnAcres]])*Inventory[[#This Row],[Det/Nbhd Adj]],-2)</f>
        <v>61100</v>
      </c>
      <c r="BP24" s="30">
        <f>Inventory[[#This Row],[Adjusted Impr Total]]+Inventory[[#This Row],[Adjusted Land Total]]</f>
        <v>376500</v>
      </c>
      <c r="BQ24" s="30">
        <f>IFERROR((Inventory[[#This Row],[Adjusted Impr Total]]-Inventory[[#This Row],[24Bldg]])/Inventory[[#This Row],[24Bldg]],0)</f>
        <v>-5.5405810122791256E-2</v>
      </c>
      <c r="BR24" s="43">
        <f>(Inventory[[#This Row],[Adjusted Land Total]]-Inventory[[#This Row],[24Lnd]])/Inventory[[#This Row],[24Lnd]]</f>
        <v>4.9342105263157892E-3</v>
      </c>
      <c r="BS24" s="43">
        <f>(Inventory[[#This Row],[Adjusted Total]]-Inventory[[#This Row],[24Final]])/Inventory[[#This Row],[24Final]]</f>
        <v>-4.6110970357233341E-2</v>
      </c>
    </row>
    <row r="25" spans="1:71">
      <c r="A25" s="30">
        <v>2025</v>
      </c>
      <c r="B25" s="31" t="s">
        <v>532</v>
      </c>
      <c r="C25" s="31">
        <f>LN(Inventory[[#This Row],[Acres]])</f>
        <v>-1.8263509139976741</v>
      </c>
      <c r="D25" s="37">
        <f>ROUND(Inventory[[#This Row],[Sqft]]/43560,3)</f>
        <v>0.161</v>
      </c>
      <c r="E25" s="30">
        <v>7001</v>
      </c>
      <c r="F25" s="31" t="s">
        <v>505</v>
      </c>
      <c r="G25" s="31" t="s">
        <v>155</v>
      </c>
      <c r="H25" s="31" t="s">
        <v>5</v>
      </c>
      <c r="I25" s="31" t="s">
        <v>506</v>
      </c>
      <c r="J25" s="31" t="s">
        <v>507</v>
      </c>
      <c r="K25" s="31" t="s">
        <v>157</v>
      </c>
      <c r="L25" s="31" t="s">
        <v>19</v>
      </c>
      <c r="M25" s="31" t="s">
        <v>24</v>
      </c>
      <c r="N25" s="31">
        <v>0</v>
      </c>
      <c r="O25" s="31">
        <f>2024-Inventory[[#This Row],[YrBlt]]</f>
        <v>2</v>
      </c>
      <c r="P25" s="31">
        <f>2024-Inventory[[#This Row],[EffYr]]</f>
        <v>2</v>
      </c>
      <c r="Q25" s="30">
        <v>2022</v>
      </c>
      <c r="R25" s="30">
        <v>2022</v>
      </c>
      <c r="S25" s="30">
        <v>1631</v>
      </c>
      <c r="T25" s="37"/>
      <c r="U25" s="37"/>
      <c r="V25" s="32"/>
      <c r="W25" s="32"/>
      <c r="X25" s="32">
        <f>Inventory[[#This Row],[Bsmt Area]]-Inventory[[#This Row],[FnBsmt]]</f>
        <v>0</v>
      </c>
      <c r="Y25" s="32">
        <f>Inventory[[#This Row],[MainFn]]+Inventory[[#This Row],[UpprFn]]+Inventory[[#This Row],[AddFn]]+Inventory[[#This Row],[FnBsmt]]</f>
        <v>1631</v>
      </c>
      <c r="Z25" s="32">
        <v>2000</v>
      </c>
      <c r="AA25" s="31" t="s">
        <v>56</v>
      </c>
      <c r="AB25" s="38">
        <v>1</v>
      </c>
      <c r="AC25" s="38">
        <v>400</v>
      </c>
      <c r="AD25" s="32"/>
      <c r="AE25" s="32"/>
      <c r="AF25" s="32"/>
      <c r="AG25" s="32"/>
      <c r="AH25" s="32"/>
      <c r="AI25" s="30">
        <v>323809</v>
      </c>
      <c r="AJ25" s="30">
        <v>317333</v>
      </c>
      <c r="AK25" s="30">
        <v>0</v>
      </c>
      <c r="AL25" s="30">
        <v>0</v>
      </c>
      <c r="AM25" s="30">
        <v>60800</v>
      </c>
      <c r="AN25" s="30">
        <v>334500</v>
      </c>
      <c r="AO25" s="30">
        <v>395300</v>
      </c>
      <c r="AP25" s="30">
        <f>Lookups!$B$58*0.6</f>
        <v>132535.48800000001</v>
      </c>
      <c r="AQ25" s="30">
        <f>Lookups!$B$58*0.4</f>
        <v>88356.992000000013</v>
      </c>
      <c r="AR25" s="30">
        <f>Lookups!$B$59*Inventory[[#This Row],[LnAcres]]</f>
        <v>-23969.615653948869</v>
      </c>
      <c r="AS25" s="30">
        <f>VLOOKUP(Inventory[[#This Row],[Qlty]],Lookups!$A$66:$E$79,2,FALSE)</f>
        <v>37154.252388000001</v>
      </c>
      <c r="AT25" s="30">
        <f>VLOOKUP(Inventory[[#This Row],[Cnd]],Lookups!$A$80:$E$88,2,FALSE)</f>
        <v>47371.278778200001</v>
      </c>
      <c r="AU25" s="30">
        <f>Inventory[[#This Row],[EffAge]]*Lookups!$B$65</f>
        <v>-217.48220000000001</v>
      </c>
      <c r="AV25" s="30">
        <f>Inventory[[#This Row],[MainFn]]*Lookups!$B$90</f>
        <v>101791.32978</v>
      </c>
      <c r="AW25" s="30">
        <f>Inventory[[#This Row],[UpprFn]]*Lookups!$B$91</f>
        <v>0</v>
      </c>
      <c r="AX25" s="30">
        <f>Inventory[[#This Row],[Bsmt Area]]*Lookups!$B$95</f>
        <v>0</v>
      </c>
      <c r="AY25" s="30">
        <f>Inventory[[#This Row],[AttGar]]*Lookups!$B$93</f>
        <v>14120.412400000001</v>
      </c>
      <c r="AZ25" s="30">
        <f>ROUND(Inventory[[#This Row],[25Det]],-2)</f>
        <v>0</v>
      </c>
      <c r="BA25" s="30">
        <f>ROUND(SUM(Inventory[[#This Row],[Mdl Qlty]:[Mdl Garage Area]])+Inventory[[#This Row],[Mdl Res Intercept]],-2)</f>
        <v>332800</v>
      </c>
      <c r="BB25" s="30">
        <f>ROUND(Inventory[[#This Row],[Mdl Land Intercept]]+Inventory[[#This Row],[Mdl LnAcres]],-2)</f>
        <v>64400</v>
      </c>
      <c r="BC25" s="30">
        <f>Inventory[[#This Row],[Unadj Res Value]]+Inventory[[#This Row],[Unadj Det Value]]+Inventory[[#This Row],[Unadj Land Value]]</f>
        <v>397200</v>
      </c>
      <c r="BD25" s="30">
        <f>(Inventory[[#This Row],[Unadj Total Value]]-Inventory[[#This Row],[24Final]])/Inventory[[#This Row],[24Final]]</f>
        <v>4.8064760941057428E-3</v>
      </c>
      <c r="BE25" s="30">
        <f>VLOOKUP(Inventory[[#This Row],[Nbhd]],Lookups!$M$3:$P$5,4,FALSE)</f>
        <v>0.99970000000000003</v>
      </c>
      <c r="BF25" s="30">
        <f>VLOOKUP(Inventory[[#This Row],[Qlty]],Lookups!$M$8:$P$22,4,FALSE)</f>
        <v>0.99819999999999998</v>
      </c>
      <c r="BG25" s="30">
        <f>VLOOKUP(Inventory[[#This Row],[Cnd]],Lookups!$R$8:$U$17,4,FALSE)</f>
        <v>1.0012000000000001</v>
      </c>
      <c r="BH25" s="30">
        <f>VLOOKUP(Inventory[[#This Row],[LivArea Range]],Lookups!$R$25:$U$43,4,FALSE)</f>
        <v>1.0007999999999999</v>
      </c>
      <c r="BI25" s="30">
        <f>VLOOKUP(Inventory[[#This Row],[Decade]],Lookups!$M$24:$P$40,4,FALSE)</f>
        <v>1</v>
      </c>
      <c r="BJ25" s="30">
        <f>Inventory[[#This Row],[Nbhd Adj]]*0.95</f>
        <v>0.94971499999999998</v>
      </c>
      <c r="BK25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25" s="30">
        <f>ROUND((SUM(Inventory[[#This Row],[Mdl Qlty]:[Mdl Garage Area]])+Inventory[[#This Row],[Mdl Res Intercept]])*Inventory[[#This Row],[Res Adj ]],-2)</f>
        <v>316100</v>
      </c>
      <c r="BM25" s="30">
        <f>ROUND(Inventory[[#This Row],[25Det]]*Inventory[[#This Row],[Det/Nbhd Adj]],-2)</f>
        <v>0</v>
      </c>
      <c r="BN25" s="30">
        <f>Inventory[[#This Row],[Adjusted Res]]+Inventory[[#This Row],[Adj Det ]]</f>
        <v>316100</v>
      </c>
      <c r="BO25" s="30">
        <f>ROUND((Inventory[[#This Row],[Mdl Land Intercept]]+Inventory[[#This Row],[Mdl LnAcres]])*Inventory[[#This Row],[Det/Nbhd Adj]],-2)</f>
        <v>61100</v>
      </c>
      <c r="BP25" s="30">
        <f>Inventory[[#This Row],[Adjusted Impr Total]]+Inventory[[#This Row],[Adjusted Land Total]]</f>
        <v>377200</v>
      </c>
      <c r="BQ25" s="30">
        <f>IFERROR((Inventory[[#This Row],[Adjusted Impr Total]]-Inventory[[#This Row],[24Bldg]])/Inventory[[#This Row],[24Bldg]],0)</f>
        <v>-5.5007473841554556E-2</v>
      </c>
      <c r="BR25" s="43">
        <f>(Inventory[[#This Row],[Adjusted Land Total]]-Inventory[[#This Row],[24Lnd]])/Inventory[[#This Row],[24Lnd]]</f>
        <v>4.9342105263157892E-3</v>
      </c>
      <c r="BS25" s="43">
        <f>(Inventory[[#This Row],[Adjusted Total]]-Inventory[[#This Row],[24Final]])/Inventory[[#This Row],[24Final]]</f>
        <v>-4.5788009107007338E-2</v>
      </c>
    </row>
    <row r="26" spans="1:71">
      <c r="A26" s="30">
        <v>2025</v>
      </c>
      <c r="B26" s="31" t="s">
        <v>533</v>
      </c>
      <c r="C26" s="31">
        <f>LN(Inventory[[#This Row],[Acres]])</f>
        <v>-1.8263509139976741</v>
      </c>
      <c r="D26" s="37">
        <f>ROUND(Inventory[[#This Row],[Sqft]]/43560,3)</f>
        <v>0.161</v>
      </c>
      <c r="E26" s="30">
        <v>7002</v>
      </c>
      <c r="F26" s="31" t="s">
        <v>505</v>
      </c>
      <c r="G26" s="31" t="s">
        <v>155</v>
      </c>
      <c r="H26" s="31" t="s">
        <v>5</v>
      </c>
      <c r="I26" s="31" t="s">
        <v>506</v>
      </c>
      <c r="J26" s="31" t="s">
        <v>507</v>
      </c>
      <c r="K26" s="31" t="s">
        <v>157</v>
      </c>
      <c r="L26" s="31" t="s">
        <v>21</v>
      </c>
      <c r="M26" s="31" t="s">
        <v>24</v>
      </c>
      <c r="N26" s="31">
        <v>0</v>
      </c>
      <c r="O26" s="31">
        <f>2024-Inventory[[#This Row],[YrBlt]]</f>
        <v>2</v>
      </c>
      <c r="P26" s="31">
        <f>2024-Inventory[[#This Row],[EffYr]]</f>
        <v>2</v>
      </c>
      <c r="Q26" s="30">
        <v>2022</v>
      </c>
      <c r="R26" s="30">
        <v>2022</v>
      </c>
      <c r="S26" s="30">
        <v>1842</v>
      </c>
      <c r="T26" s="37"/>
      <c r="U26" s="32"/>
      <c r="V26" s="32"/>
      <c r="W26" s="32"/>
      <c r="X26" s="32">
        <f>Inventory[[#This Row],[Bsmt Area]]-Inventory[[#This Row],[FnBsmt]]</f>
        <v>0</v>
      </c>
      <c r="Y26" s="32">
        <f>Inventory[[#This Row],[MainFn]]+Inventory[[#This Row],[UpprFn]]+Inventory[[#This Row],[AddFn]]+Inventory[[#This Row],[FnBsmt]]</f>
        <v>1842</v>
      </c>
      <c r="Z26" s="32">
        <v>2000</v>
      </c>
      <c r="AA26" s="31" t="s">
        <v>56</v>
      </c>
      <c r="AB26" s="38">
        <v>1</v>
      </c>
      <c r="AC26" s="38">
        <v>420</v>
      </c>
      <c r="AD26" s="32"/>
      <c r="AE26" s="32"/>
      <c r="AF26" s="32"/>
      <c r="AG26" s="32"/>
      <c r="AH26" s="32"/>
      <c r="AI26" s="30">
        <v>400279</v>
      </c>
      <c r="AJ26" s="30">
        <v>392273</v>
      </c>
      <c r="AK26" s="30">
        <v>0</v>
      </c>
      <c r="AL26" s="30">
        <v>0</v>
      </c>
      <c r="AM26" s="30">
        <v>60800</v>
      </c>
      <c r="AN26" s="30">
        <v>342200</v>
      </c>
      <c r="AO26" s="30">
        <v>403000</v>
      </c>
      <c r="AP26" s="30">
        <f>Lookups!$B$58*0.6</f>
        <v>132535.48800000001</v>
      </c>
      <c r="AQ26" s="30">
        <f>Lookups!$B$58*0.4</f>
        <v>88356.992000000013</v>
      </c>
      <c r="AR26" s="30">
        <f>Lookups!$B$59*Inventory[[#This Row],[LnAcres]]</f>
        <v>-23969.615653948869</v>
      </c>
      <c r="AS26" s="30">
        <f>VLOOKUP(Inventory[[#This Row],[Qlty]],Lookups!$A$66:$E$79,2,FALSE)</f>
        <v>32917.849192000001</v>
      </c>
      <c r="AT26" s="30">
        <f>VLOOKUP(Inventory[[#This Row],[Cnd]],Lookups!$A$80:$E$88,2,FALSE)</f>
        <v>47371.278778200001</v>
      </c>
      <c r="AU26" s="30">
        <f>Inventory[[#This Row],[EffAge]]*Lookups!$B$65</f>
        <v>-217.48220000000001</v>
      </c>
      <c r="AV26" s="30">
        <f>Inventory[[#This Row],[MainFn]]*Lookups!$B$90</f>
        <v>114959.91996</v>
      </c>
      <c r="AW26" s="30">
        <f>Inventory[[#This Row],[UpprFn]]*Lookups!$B$91</f>
        <v>0</v>
      </c>
      <c r="AX26" s="30">
        <f>Inventory[[#This Row],[Bsmt Area]]*Lookups!$B$95</f>
        <v>0</v>
      </c>
      <c r="AY26" s="30">
        <f>Inventory[[#This Row],[AttGar]]*Lookups!$B$93</f>
        <v>14826.43302</v>
      </c>
      <c r="AZ26" s="30">
        <f>ROUND(Inventory[[#This Row],[25Det]],-2)</f>
        <v>0</v>
      </c>
      <c r="BA26" s="30">
        <f>ROUND(SUM(Inventory[[#This Row],[Mdl Qlty]:[Mdl Garage Area]])+Inventory[[#This Row],[Mdl Res Intercept]],-2)</f>
        <v>342400</v>
      </c>
      <c r="BB26" s="30">
        <f>ROUND(Inventory[[#This Row],[Mdl Land Intercept]]+Inventory[[#This Row],[Mdl LnAcres]],-2)</f>
        <v>64400</v>
      </c>
      <c r="BC26" s="30">
        <f>Inventory[[#This Row],[Unadj Res Value]]+Inventory[[#This Row],[Unadj Det Value]]+Inventory[[#This Row],[Unadj Land Value]]</f>
        <v>406800</v>
      </c>
      <c r="BD26" s="30">
        <f>(Inventory[[#This Row],[Unadj Total Value]]-Inventory[[#This Row],[24Final]])/Inventory[[#This Row],[24Final]]</f>
        <v>9.4292803970223334E-3</v>
      </c>
      <c r="BE26" s="30">
        <f>VLOOKUP(Inventory[[#This Row],[Nbhd]],Lookups!$M$3:$P$5,4,FALSE)</f>
        <v>0.99970000000000003</v>
      </c>
      <c r="BF26" s="30">
        <f>VLOOKUP(Inventory[[#This Row],[Qlty]],Lookups!$M$8:$P$22,4,FALSE)</f>
        <v>1.0019</v>
      </c>
      <c r="BG26" s="30">
        <f>VLOOKUP(Inventory[[#This Row],[Cnd]],Lookups!$R$8:$U$17,4,FALSE)</f>
        <v>1.0012000000000001</v>
      </c>
      <c r="BH26" s="30">
        <f>VLOOKUP(Inventory[[#This Row],[LivArea Range]],Lookups!$R$25:$U$43,4,FALSE)</f>
        <v>1.0007999999999999</v>
      </c>
      <c r="BI26" s="30">
        <f>VLOOKUP(Inventory[[#This Row],[Decade]],Lookups!$M$24:$P$40,4,FALSE)</f>
        <v>1</v>
      </c>
      <c r="BJ26" s="30">
        <f>Inventory[[#This Row],[Nbhd Adj]]*0.95</f>
        <v>0.94971499999999998</v>
      </c>
      <c r="BK26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26" s="30">
        <f>ROUND((SUM(Inventory[[#This Row],[Mdl Qlty]:[Mdl Garage Area]])+Inventory[[#This Row],[Mdl Res Intercept]])*Inventory[[#This Row],[Res Adj ]],-2)</f>
        <v>325500</v>
      </c>
      <c r="BM26" s="30">
        <f>ROUND(Inventory[[#This Row],[25Det]]*Inventory[[#This Row],[Det/Nbhd Adj]],-2)</f>
        <v>0</v>
      </c>
      <c r="BN26" s="30">
        <f>Inventory[[#This Row],[Adjusted Res]]+Inventory[[#This Row],[Adj Det ]]</f>
        <v>325500</v>
      </c>
      <c r="BO26" s="30">
        <f>ROUND((Inventory[[#This Row],[Mdl Land Intercept]]+Inventory[[#This Row],[Mdl LnAcres]])*Inventory[[#This Row],[Det/Nbhd Adj]],-2)</f>
        <v>61100</v>
      </c>
      <c r="BP26" s="30">
        <f>Inventory[[#This Row],[Adjusted Impr Total]]+Inventory[[#This Row],[Adjusted Land Total]]</f>
        <v>386600</v>
      </c>
      <c r="BQ26" s="30">
        <f>IFERROR((Inventory[[#This Row],[Adjusted Impr Total]]-Inventory[[#This Row],[24Bldg]])/Inventory[[#This Row],[24Bldg]],0)</f>
        <v>-4.8801870251315022E-2</v>
      </c>
      <c r="BR26" s="43">
        <f>(Inventory[[#This Row],[Adjusted Land Total]]-Inventory[[#This Row],[24Lnd]])/Inventory[[#This Row],[24Lnd]]</f>
        <v>4.9342105263157892E-3</v>
      </c>
      <c r="BS26" s="43">
        <f>(Inventory[[#This Row],[Adjusted Total]]-Inventory[[#This Row],[24Final]])/Inventory[[#This Row],[24Final]]</f>
        <v>-4.0694789081885854E-2</v>
      </c>
    </row>
    <row r="27" spans="1:71">
      <c r="A27" s="30">
        <v>2025</v>
      </c>
      <c r="B27" s="31" t="s">
        <v>534</v>
      </c>
      <c r="C27" s="31">
        <f>LN(Inventory[[#This Row],[Acres]])</f>
        <v>-1.8263509139976741</v>
      </c>
      <c r="D27" s="37">
        <f>ROUND(Inventory[[#This Row],[Sqft]]/43560,3)</f>
        <v>0.161</v>
      </c>
      <c r="E27" s="30">
        <v>7002</v>
      </c>
      <c r="F27" s="31" t="s">
        <v>505</v>
      </c>
      <c r="G27" s="31" t="s">
        <v>155</v>
      </c>
      <c r="H27" s="31" t="s">
        <v>5</v>
      </c>
      <c r="I27" s="31" t="s">
        <v>506</v>
      </c>
      <c r="J27" s="31" t="s">
        <v>507</v>
      </c>
      <c r="K27" s="31" t="s">
        <v>157</v>
      </c>
      <c r="L27" s="31" t="s">
        <v>19</v>
      </c>
      <c r="M27" s="31" t="s">
        <v>24</v>
      </c>
      <c r="N27" s="31">
        <v>0</v>
      </c>
      <c r="O27" s="31">
        <f>2024-Inventory[[#This Row],[YrBlt]]</f>
        <v>2</v>
      </c>
      <c r="P27" s="31">
        <f>2024-Inventory[[#This Row],[EffYr]]</f>
        <v>2</v>
      </c>
      <c r="Q27" s="30">
        <v>2022</v>
      </c>
      <c r="R27" s="30">
        <v>2022</v>
      </c>
      <c r="S27" s="30">
        <v>1592</v>
      </c>
      <c r="T27" s="37"/>
      <c r="U27" s="37"/>
      <c r="V27" s="32"/>
      <c r="W27" s="32"/>
      <c r="X27" s="32">
        <f>Inventory[[#This Row],[Bsmt Area]]-Inventory[[#This Row],[FnBsmt]]</f>
        <v>0</v>
      </c>
      <c r="Y27" s="32">
        <f>Inventory[[#This Row],[MainFn]]+Inventory[[#This Row],[UpprFn]]+Inventory[[#This Row],[AddFn]]+Inventory[[#This Row],[FnBsmt]]</f>
        <v>1592</v>
      </c>
      <c r="Z27" s="32">
        <v>2000</v>
      </c>
      <c r="AA27" s="31" t="s">
        <v>56</v>
      </c>
      <c r="AB27" s="38">
        <v>1</v>
      </c>
      <c r="AC27" s="38">
        <v>616</v>
      </c>
      <c r="AD27" s="32"/>
      <c r="AE27" s="32"/>
      <c r="AF27" s="32"/>
      <c r="AG27" s="32"/>
      <c r="AH27" s="32"/>
      <c r="AI27" s="30">
        <v>326547</v>
      </c>
      <c r="AJ27" s="30">
        <v>320016</v>
      </c>
      <c r="AK27" s="30">
        <v>0</v>
      </c>
      <c r="AL27" s="30">
        <v>0</v>
      </c>
      <c r="AM27" s="30">
        <v>60800</v>
      </c>
      <c r="AN27" s="30">
        <v>336000</v>
      </c>
      <c r="AO27" s="30">
        <v>396800</v>
      </c>
      <c r="AP27" s="30">
        <f>Lookups!$B$58*0.6</f>
        <v>132535.48800000001</v>
      </c>
      <c r="AQ27" s="30">
        <f>Lookups!$B$58*0.4</f>
        <v>88356.992000000013</v>
      </c>
      <c r="AR27" s="30">
        <f>Lookups!$B$59*Inventory[[#This Row],[LnAcres]]</f>
        <v>-23969.615653948869</v>
      </c>
      <c r="AS27" s="30">
        <f>VLOOKUP(Inventory[[#This Row],[Qlty]],Lookups!$A$66:$E$79,2,FALSE)</f>
        <v>37154.252388000001</v>
      </c>
      <c r="AT27" s="30">
        <f>VLOOKUP(Inventory[[#This Row],[Cnd]],Lookups!$A$80:$E$88,2,FALSE)</f>
        <v>47371.278778200001</v>
      </c>
      <c r="AU27" s="30">
        <f>Inventory[[#This Row],[EffAge]]*Lookups!$B$65</f>
        <v>-217.48220000000001</v>
      </c>
      <c r="AV27" s="30">
        <f>Inventory[[#This Row],[MainFn]]*Lookups!$B$90</f>
        <v>99357.324960000013</v>
      </c>
      <c r="AW27" s="30">
        <f>Inventory[[#This Row],[UpprFn]]*Lookups!$B$91</f>
        <v>0</v>
      </c>
      <c r="AX27" s="30">
        <f>Inventory[[#This Row],[Bsmt Area]]*Lookups!$B$95</f>
        <v>0</v>
      </c>
      <c r="AY27" s="30">
        <f>Inventory[[#This Row],[AttGar]]*Lookups!$B$93</f>
        <v>21745.435096000001</v>
      </c>
      <c r="AZ27" s="30">
        <f>ROUND(Inventory[[#This Row],[25Det]],-2)</f>
        <v>0</v>
      </c>
      <c r="BA27" s="30">
        <f>ROUND(SUM(Inventory[[#This Row],[Mdl Qlty]:[Mdl Garage Area]])+Inventory[[#This Row],[Mdl Res Intercept]],-2)</f>
        <v>337900</v>
      </c>
      <c r="BB27" s="30">
        <f>ROUND(Inventory[[#This Row],[Mdl Land Intercept]]+Inventory[[#This Row],[Mdl LnAcres]],-2)</f>
        <v>64400</v>
      </c>
      <c r="BC27" s="30">
        <f>Inventory[[#This Row],[Unadj Res Value]]+Inventory[[#This Row],[Unadj Det Value]]+Inventory[[#This Row],[Unadj Land Value]]</f>
        <v>402300</v>
      </c>
      <c r="BD27" s="30">
        <f>(Inventory[[#This Row],[Unadj Total Value]]-Inventory[[#This Row],[24Final]])/Inventory[[#This Row],[24Final]]</f>
        <v>1.3860887096774193E-2</v>
      </c>
      <c r="BE27" s="30">
        <f>VLOOKUP(Inventory[[#This Row],[Nbhd]],Lookups!$M$3:$P$5,4,FALSE)</f>
        <v>0.99970000000000003</v>
      </c>
      <c r="BF27" s="30">
        <f>VLOOKUP(Inventory[[#This Row],[Qlty]],Lookups!$M$8:$P$22,4,FALSE)</f>
        <v>0.99819999999999998</v>
      </c>
      <c r="BG27" s="30">
        <f>VLOOKUP(Inventory[[#This Row],[Cnd]],Lookups!$R$8:$U$17,4,FALSE)</f>
        <v>1.0012000000000001</v>
      </c>
      <c r="BH27" s="30">
        <f>VLOOKUP(Inventory[[#This Row],[LivArea Range]],Lookups!$R$25:$U$43,4,FALSE)</f>
        <v>1.0007999999999999</v>
      </c>
      <c r="BI27" s="30">
        <f>VLOOKUP(Inventory[[#This Row],[Decade]],Lookups!$M$24:$P$40,4,FALSE)</f>
        <v>1</v>
      </c>
      <c r="BJ27" s="30">
        <f>Inventory[[#This Row],[Nbhd Adj]]*0.95</f>
        <v>0.94971499999999998</v>
      </c>
      <c r="BK27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27" s="30">
        <f>ROUND((SUM(Inventory[[#This Row],[Mdl Qlty]:[Mdl Garage Area]])+Inventory[[#This Row],[Mdl Res Intercept]])*Inventory[[#This Row],[Res Adj ]],-2)</f>
        <v>321000</v>
      </c>
      <c r="BM27" s="30">
        <f>ROUND(Inventory[[#This Row],[25Det]]*Inventory[[#This Row],[Det/Nbhd Adj]],-2)</f>
        <v>0</v>
      </c>
      <c r="BN27" s="30">
        <f>Inventory[[#This Row],[Adjusted Res]]+Inventory[[#This Row],[Adj Det ]]</f>
        <v>321000</v>
      </c>
      <c r="BO27" s="30">
        <f>ROUND((Inventory[[#This Row],[Mdl Land Intercept]]+Inventory[[#This Row],[Mdl LnAcres]])*Inventory[[#This Row],[Det/Nbhd Adj]],-2)</f>
        <v>61100</v>
      </c>
      <c r="BP27" s="30">
        <f>Inventory[[#This Row],[Adjusted Impr Total]]+Inventory[[#This Row],[Adjusted Land Total]]</f>
        <v>382100</v>
      </c>
      <c r="BQ27" s="30">
        <f>IFERROR((Inventory[[#This Row],[Adjusted Impr Total]]-Inventory[[#This Row],[24Bldg]])/Inventory[[#This Row],[24Bldg]],0)</f>
        <v>-4.4642857142857144E-2</v>
      </c>
      <c r="BR27" s="43">
        <f>(Inventory[[#This Row],[Adjusted Land Total]]-Inventory[[#This Row],[24Lnd]])/Inventory[[#This Row],[24Lnd]]</f>
        <v>4.9342105263157892E-3</v>
      </c>
      <c r="BS27" s="43">
        <f>(Inventory[[#This Row],[Adjusted Total]]-Inventory[[#This Row],[24Final]])/Inventory[[#This Row],[24Final]]</f>
        <v>-3.7046370967741937E-2</v>
      </c>
    </row>
    <row r="28" spans="1:71">
      <c r="A28" s="30">
        <v>2025</v>
      </c>
      <c r="B28" s="31" t="s">
        <v>535</v>
      </c>
      <c r="C28" s="31">
        <f>LN(Inventory[[#This Row],[Acres]])</f>
        <v>-1.8263509139976741</v>
      </c>
      <c r="D28" s="37">
        <f>ROUND(Inventory[[#This Row],[Sqft]]/43560,3)</f>
        <v>0.161</v>
      </c>
      <c r="E28" s="30">
        <v>7004</v>
      </c>
      <c r="F28" s="31" t="s">
        <v>505</v>
      </c>
      <c r="G28" s="31" t="s">
        <v>155</v>
      </c>
      <c r="H28" s="31" t="s">
        <v>5</v>
      </c>
      <c r="I28" s="31" t="s">
        <v>506</v>
      </c>
      <c r="J28" s="31" t="s">
        <v>507</v>
      </c>
      <c r="K28" s="31" t="s">
        <v>157</v>
      </c>
      <c r="L28" s="31" t="s">
        <v>19</v>
      </c>
      <c r="M28" s="31" t="s">
        <v>24</v>
      </c>
      <c r="N28" s="31">
        <v>0</v>
      </c>
      <c r="O28" s="31">
        <f>2024-Inventory[[#This Row],[YrBlt]]</f>
        <v>2</v>
      </c>
      <c r="P28" s="31">
        <f>2024-Inventory[[#This Row],[EffYr]]</f>
        <v>2</v>
      </c>
      <c r="Q28" s="30">
        <v>2022</v>
      </c>
      <c r="R28" s="30">
        <v>2022</v>
      </c>
      <c r="S28" s="30">
        <v>1592</v>
      </c>
      <c r="T28" s="37"/>
      <c r="U28" s="32"/>
      <c r="V28" s="32"/>
      <c r="W28" s="32"/>
      <c r="X28" s="32">
        <f>Inventory[[#This Row],[Bsmt Area]]-Inventory[[#This Row],[FnBsmt]]</f>
        <v>0</v>
      </c>
      <c r="Y28" s="32">
        <f>Inventory[[#This Row],[MainFn]]+Inventory[[#This Row],[UpprFn]]+Inventory[[#This Row],[AddFn]]+Inventory[[#This Row],[FnBsmt]]</f>
        <v>1592</v>
      </c>
      <c r="Z28" s="32">
        <v>2000</v>
      </c>
      <c r="AA28" s="31" t="s">
        <v>56</v>
      </c>
      <c r="AB28" s="38">
        <v>1</v>
      </c>
      <c r="AC28" s="38">
        <v>480</v>
      </c>
      <c r="AD28" s="32"/>
      <c r="AE28" s="32"/>
      <c r="AF28" s="32"/>
      <c r="AG28" s="32"/>
      <c r="AH28" s="32"/>
      <c r="AI28" s="30">
        <v>319281</v>
      </c>
      <c r="AJ28" s="30">
        <v>312895</v>
      </c>
      <c r="AK28" s="30">
        <v>0</v>
      </c>
      <c r="AL28" s="30">
        <v>0</v>
      </c>
      <c r="AM28" s="30">
        <v>60800</v>
      </c>
      <c r="AN28" s="30">
        <v>330200</v>
      </c>
      <c r="AO28" s="30">
        <v>391000</v>
      </c>
      <c r="AP28" s="30">
        <f>Lookups!$B$58*0.6</f>
        <v>132535.48800000001</v>
      </c>
      <c r="AQ28" s="30">
        <f>Lookups!$B$58*0.4</f>
        <v>88356.992000000013</v>
      </c>
      <c r="AR28" s="30">
        <f>Lookups!$B$59*Inventory[[#This Row],[LnAcres]]</f>
        <v>-23969.615653948869</v>
      </c>
      <c r="AS28" s="30">
        <f>VLOOKUP(Inventory[[#This Row],[Qlty]],Lookups!$A$66:$E$79,2,FALSE)</f>
        <v>37154.252388000001</v>
      </c>
      <c r="AT28" s="30">
        <f>VLOOKUP(Inventory[[#This Row],[Cnd]],Lookups!$A$80:$E$88,2,FALSE)</f>
        <v>47371.278778200001</v>
      </c>
      <c r="AU28" s="30">
        <f>Inventory[[#This Row],[EffAge]]*Lookups!$B$65</f>
        <v>-217.48220000000001</v>
      </c>
      <c r="AV28" s="30">
        <f>Inventory[[#This Row],[MainFn]]*Lookups!$B$90</f>
        <v>99357.324960000013</v>
      </c>
      <c r="AW28" s="30">
        <f>Inventory[[#This Row],[UpprFn]]*Lookups!$B$91</f>
        <v>0</v>
      </c>
      <c r="AX28" s="30">
        <f>Inventory[[#This Row],[Bsmt Area]]*Lookups!$B$95</f>
        <v>0</v>
      </c>
      <c r="AY28" s="30">
        <f>Inventory[[#This Row],[AttGar]]*Lookups!$B$93</f>
        <v>16944.494880000002</v>
      </c>
      <c r="AZ28" s="30">
        <f>ROUND(Inventory[[#This Row],[25Det]],-2)</f>
        <v>0</v>
      </c>
      <c r="BA28" s="30">
        <f>ROUND(SUM(Inventory[[#This Row],[Mdl Qlty]:[Mdl Garage Area]])+Inventory[[#This Row],[Mdl Res Intercept]],-2)</f>
        <v>333100</v>
      </c>
      <c r="BB28" s="30">
        <f>ROUND(Inventory[[#This Row],[Mdl Land Intercept]]+Inventory[[#This Row],[Mdl LnAcres]],-2)</f>
        <v>64400</v>
      </c>
      <c r="BC28" s="30">
        <f>Inventory[[#This Row],[Unadj Res Value]]+Inventory[[#This Row],[Unadj Det Value]]+Inventory[[#This Row],[Unadj Land Value]]</f>
        <v>397500</v>
      </c>
      <c r="BD28" s="30">
        <f>(Inventory[[#This Row],[Unadj Total Value]]-Inventory[[#This Row],[24Final]])/Inventory[[#This Row],[24Final]]</f>
        <v>1.6624040920716114E-2</v>
      </c>
      <c r="BE28" s="30">
        <f>VLOOKUP(Inventory[[#This Row],[Nbhd]],Lookups!$M$3:$P$5,4,FALSE)</f>
        <v>0.99970000000000003</v>
      </c>
      <c r="BF28" s="30">
        <f>VLOOKUP(Inventory[[#This Row],[Qlty]],Lookups!$M$8:$P$22,4,FALSE)</f>
        <v>0.99819999999999998</v>
      </c>
      <c r="BG28" s="30">
        <f>VLOOKUP(Inventory[[#This Row],[Cnd]],Lookups!$R$8:$U$17,4,FALSE)</f>
        <v>1.0012000000000001</v>
      </c>
      <c r="BH28" s="30">
        <f>VLOOKUP(Inventory[[#This Row],[LivArea Range]],Lookups!$R$25:$U$43,4,FALSE)</f>
        <v>1.0007999999999999</v>
      </c>
      <c r="BI28" s="30">
        <f>VLOOKUP(Inventory[[#This Row],[Decade]],Lookups!$M$24:$P$40,4,FALSE)</f>
        <v>1</v>
      </c>
      <c r="BJ28" s="30">
        <f>Inventory[[#This Row],[Nbhd Adj]]*0.95</f>
        <v>0.94971499999999998</v>
      </c>
      <c r="BK28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28" s="30">
        <f>ROUND((SUM(Inventory[[#This Row],[Mdl Qlty]:[Mdl Garage Area]])+Inventory[[#This Row],[Mdl Res Intercept]])*Inventory[[#This Row],[Res Adj ]],-2)</f>
        <v>316500</v>
      </c>
      <c r="BM28" s="30">
        <f>ROUND(Inventory[[#This Row],[25Det]]*Inventory[[#This Row],[Det/Nbhd Adj]],-2)</f>
        <v>0</v>
      </c>
      <c r="BN28" s="30">
        <f>Inventory[[#This Row],[Adjusted Res]]+Inventory[[#This Row],[Adj Det ]]</f>
        <v>316500</v>
      </c>
      <c r="BO28" s="30">
        <f>ROUND((Inventory[[#This Row],[Mdl Land Intercept]]+Inventory[[#This Row],[Mdl LnAcres]])*Inventory[[#This Row],[Det/Nbhd Adj]],-2)</f>
        <v>61100</v>
      </c>
      <c r="BP28" s="30">
        <f>Inventory[[#This Row],[Adjusted Impr Total]]+Inventory[[#This Row],[Adjusted Land Total]]</f>
        <v>377600</v>
      </c>
      <c r="BQ28" s="30">
        <f>IFERROR((Inventory[[#This Row],[Adjusted Impr Total]]-Inventory[[#This Row],[24Bldg]])/Inventory[[#This Row],[24Bldg]],0)</f>
        <v>-4.1490006056935189E-2</v>
      </c>
      <c r="BR28" s="43">
        <f>(Inventory[[#This Row],[Adjusted Land Total]]-Inventory[[#This Row],[24Lnd]])/Inventory[[#This Row],[24Lnd]]</f>
        <v>4.9342105263157892E-3</v>
      </c>
      <c r="BS28" s="43">
        <f>(Inventory[[#This Row],[Adjusted Total]]-Inventory[[#This Row],[24Final]])/Inventory[[#This Row],[24Final]]</f>
        <v>-3.4271099744245526E-2</v>
      </c>
    </row>
    <row r="29" spans="1:71">
      <c r="A29" s="30">
        <v>2025</v>
      </c>
      <c r="B29" s="31" t="s">
        <v>536</v>
      </c>
      <c r="C29" s="31">
        <f>LN(Inventory[[#This Row],[Acres]])</f>
        <v>-1.8263509139976741</v>
      </c>
      <c r="D29" s="37">
        <f>ROUND(Inventory[[#This Row],[Sqft]]/43560,3)</f>
        <v>0.161</v>
      </c>
      <c r="E29" s="30">
        <v>7001</v>
      </c>
      <c r="F29" s="31" t="s">
        <v>505</v>
      </c>
      <c r="G29" s="31" t="s">
        <v>155</v>
      </c>
      <c r="H29" s="31" t="s">
        <v>5</v>
      </c>
      <c r="I29" s="31" t="s">
        <v>506</v>
      </c>
      <c r="J29" s="31" t="s">
        <v>507</v>
      </c>
      <c r="K29" s="31" t="s">
        <v>157</v>
      </c>
      <c r="L29" s="31" t="s">
        <v>19</v>
      </c>
      <c r="M29" s="31" t="s">
        <v>24</v>
      </c>
      <c r="N29" s="31">
        <v>0</v>
      </c>
      <c r="O29" s="31">
        <f>2024-Inventory[[#This Row],[YrBlt]]</f>
        <v>2</v>
      </c>
      <c r="P29" s="31">
        <f>2024-Inventory[[#This Row],[EffYr]]</f>
        <v>2</v>
      </c>
      <c r="Q29" s="30">
        <v>2022</v>
      </c>
      <c r="R29" s="30">
        <v>2022</v>
      </c>
      <c r="S29" s="30">
        <v>1580</v>
      </c>
      <c r="T29" s="37"/>
      <c r="U29" s="32"/>
      <c r="V29" s="32"/>
      <c r="W29" s="32"/>
      <c r="X29" s="32">
        <f>Inventory[[#This Row],[Bsmt Area]]-Inventory[[#This Row],[FnBsmt]]</f>
        <v>0</v>
      </c>
      <c r="Y29" s="32">
        <f>Inventory[[#This Row],[MainFn]]+Inventory[[#This Row],[UpprFn]]+Inventory[[#This Row],[AddFn]]+Inventory[[#This Row],[FnBsmt]]</f>
        <v>1580</v>
      </c>
      <c r="Z29" s="32">
        <v>2000</v>
      </c>
      <c r="AA29" s="31" t="s">
        <v>56</v>
      </c>
      <c r="AB29" s="32"/>
      <c r="AC29" s="38">
        <v>400</v>
      </c>
      <c r="AD29" s="32"/>
      <c r="AE29" s="32"/>
      <c r="AF29" s="32"/>
      <c r="AG29" s="32"/>
      <c r="AH29" s="32"/>
      <c r="AI29" s="30">
        <v>309994</v>
      </c>
      <c r="AJ29" s="30">
        <v>303794</v>
      </c>
      <c r="AK29" s="30">
        <v>0</v>
      </c>
      <c r="AL29" s="30">
        <v>0</v>
      </c>
      <c r="AM29" s="30">
        <v>60800</v>
      </c>
      <c r="AN29" s="30">
        <v>326100</v>
      </c>
      <c r="AO29" s="30">
        <v>386900</v>
      </c>
      <c r="AP29" s="30">
        <f>Lookups!$B$58*0.6</f>
        <v>132535.48800000001</v>
      </c>
      <c r="AQ29" s="30">
        <f>Lookups!$B$58*0.4</f>
        <v>88356.992000000013</v>
      </c>
      <c r="AR29" s="30">
        <f>Lookups!$B$59*Inventory[[#This Row],[LnAcres]]</f>
        <v>-23969.615653948869</v>
      </c>
      <c r="AS29" s="30">
        <f>VLOOKUP(Inventory[[#This Row],[Qlty]],Lookups!$A$66:$E$79,2,FALSE)</f>
        <v>37154.252388000001</v>
      </c>
      <c r="AT29" s="30">
        <f>VLOOKUP(Inventory[[#This Row],[Cnd]],Lookups!$A$80:$E$88,2,FALSE)</f>
        <v>47371.278778200001</v>
      </c>
      <c r="AU29" s="30">
        <f>Inventory[[#This Row],[EffAge]]*Lookups!$B$65</f>
        <v>-217.48220000000001</v>
      </c>
      <c r="AV29" s="30">
        <f>Inventory[[#This Row],[MainFn]]*Lookups!$B$90</f>
        <v>98608.400399999999</v>
      </c>
      <c r="AW29" s="30">
        <f>Inventory[[#This Row],[UpprFn]]*Lookups!$B$91</f>
        <v>0</v>
      </c>
      <c r="AX29" s="30">
        <f>Inventory[[#This Row],[Bsmt Area]]*Lookups!$B$95</f>
        <v>0</v>
      </c>
      <c r="AY29" s="30">
        <f>Inventory[[#This Row],[AttGar]]*Lookups!$B$93</f>
        <v>14120.412400000001</v>
      </c>
      <c r="AZ29" s="30">
        <f>ROUND(Inventory[[#This Row],[25Det]],-2)</f>
        <v>0</v>
      </c>
      <c r="BA29" s="30">
        <f>ROUND(SUM(Inventory[[#This Row],[Mdl Qlty]:[Mdl Garage Area]])+Inventory[[#This Row],[Mdl Res Intercept]],-2)</f>
        <v>329600</v>
      </c>
      <c r="BB29" s="30">
        <f>ROUND(Inventory[[#This Row],[Mdl Land Intercept]]+Inventory[[#This Row],[Mdl LnAcres]],-2)</f>
        <v>64400</v>
      </c>
      <c r="BC29" s="30">
        <f>Inventory[[#This Row],[Unadj Res Value]]+Inventory[[#This Row],[Unadj Det Value]]+Inventory[[#This Row],[Unadj Land Value]]</f>
        <v>394000</v>
      </c>
      <c r="BD29" s="30">
        <f>(Inventory[[#This Row],[Unadj Total Value]]-Inventory[[#This Row],[24Final]])/Inventory[[#This Row],[24Final]]</f>
        <v>1.8350995089170329E-2</v>
      </c>
      <c r="BE29" s="30">
        <f>VLOOKUP(Inventory[[#This Row],[Nbhd]],Lookups!$M$3:$P$5,4,FALSE)</f>
        <v>0.99970000000000003</v>
      </c>
      <c r="BF29" s="30">
        <f>VLOOKUP(Inventory[[#This Row],[Qlty]],Lookups!$M$8:$P$22,4,FALSE)</f>
        <v>0.99819999999999998</v>
      </c>
      <c r="BG29" s="30">
        <f>VLOOKUP(Inventory[[#This Row],[Cnd]],Lookups!$R$8:$U$17,4,FALSE)</f>
        <v>1.0012000000000001</v>
      </c>
      <c r="BH29" s="30">
        <f>VLOOKUP(Inventory[[#This Row],[LivArea Range]],Lookups!$R$25:$U$43,4,FALSE)</f>
        <v>1.0007999999999999</v>
      </c>
      <c r="BI29" s="30">
        <f>VLOOKUP(Inventory[[#This Row],[Decade]],Lookups!$M$24:$P$40,4,FALSE)</f>
        <v>1</v>
      </c>
      <c r="BJ29" s="30">
        <f>Inventory[[#This Row],[Nbhd Adj]]*0.95</f>
        <v>0.94971499999999998</v>
      </c>
      <c r="BK29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29" s="30">
        <f>ROUND((SUM(Inventory[[#This Row],[Mdl Qlty]:[Mdl Garage Area]])+Inventory[[#This Row],[Mdl Res Intercept]])*Inventory[[#This Row],[Res Adj ]],-2)</f>
        <v>313100</v>
      </c>
      <c r="BM29" s="30">
        <f>ROUND(Inventory[[#This Row],[25Det]]*Inventory[[#This Row],[Det/Nbhd Adj]],-2)</f>
        <v>0</v>
      </c>
      <c r="BN29" s="30">
        <f>Inventory[[#This Row],[Adjusted Res]]+Inventory[[#This Row],[Adj Det ]]</f>
        <v>313100</v>
      </c>
      <c r="BO29" s="30">
        <f>ROUND((Inventory[[#This Row],[Mdl Land Intercept]]+Inventory[[#This Row],[Mdl LnAcres]])*Inventory[[#This Row],[Det/Nbhd Adj]],-2)</f>
        <v>61100</v>
      </c>
      <c r="BP29" s="30">
        <f>Inventory[[#This Row],[Adjusted Impr Total]]+Inventory[[#This Row],[Adjusted Land Total]]</f>
        <v>374200</v>
      </c>
      <c r="BQ29" s="30">
        <f>IFERROR((Inventory[[#This Row],[Adjusted Impr Total]]-Inventory[[#This Row],[24Bldg]])/Inventory[[#This Row],[24Bldg]],0)</f>
        <v>-3.9865072063784118E-2</v>
      </c>
      <c r="BR29" s="43">
        <f>(Inventory[[#This Row],[Adjusted Land Total]]-Inventory[[#This Row],[24Lnd]])/Inventory[[#This Row],[24Lnd]]</f>
        <v>4.9342105263157892E-3</v>
      </c>
      <c r="BS29" s="43">
        <f>(Inventory[[#This Row],[Adjusted Total]]-Inventory[[#This Row],[24Final]])/Inventory[[#This Row],[24Final]]</f>
        <v>-3.2825019384853965E-2</v>
      </c>
    </row>
    <row r="30" spans="1:71">
      <c r="A30" s="30">
        <v>2025</v>
      </c>
      <c r="B30" s="31" t="s">
        <v>537</v>
      </c>
      <c r="C30" s="31">
        <f>LN(Inventory[[#This Row],[Acres]])</f>
        <v>-1.8263509139976741</v>
      </c>
      <c r="D30" s="37">
        <f>ROUND(Inventory[[#This Row],[Sqft]]/43560,3)</f>
        <v>0.161</v>
      </c>
      <c r="E30" s="30">
        <v>7002</v>
      </c>
      <c r="F30" s="31" t="s">
        <v>505</v>
      </c>
      <c r="G30" s="31" t="s">
        <v>155</v>
      </c>
      <c r="H30" s="31" t="s">
        <v>5</v>
      </c>
      <c r="I30" s="31" t="s">
        <v>506</v>
      </c>
      <c r="J30" s="31" t="s">
        <v>507</v>
      </c>
      <c r="K30" s="31" t="s">
        <v>157</v>
      </c>
      <c r="L30" s="31" t="s">
        <v>19</v>
      </c>
      <c r="M30" s="31" t="s">
        <v>24</v>
      </c>
      <c r="N30" s="31">
        <v>0</v>
      </c>
      <c r="O30" s="31">
        <f>2024-Inventory[[#This Row],[YrBlt]]</f>
        <v>2</v>
      </c>
      <c r="P30" s="31">
        <f>2024-Inventory[[#This Row],[EffYr]]</f>
        <v>2</v>
      </c>
      <c r="Q30" s="30">
        <v>2022</v>
      </c>
      <c r="R30" s="30">
        <v>2022</v>
      </c>
      <c r="S30" s="30">
        <v>1621</v>
      </c>
      <c r="T30" s="37"/>
      <c r="U30" s="32"/>
      <c r="V30" s="32"/>
      <c r="W30" s="32"/>
      <c r="X30" s="32">
        <f>Inventory[[#This Row],[Bsmt Area]]-Inventory[[#This Row],[FnBsmt]]</f>
        <v>0</v>
      </c>
      <c r="Y30" s="32">
        <f>Inventory[[#This Row],[MainFn]]+Inventory[[#This Row],[UpprFn]]+Inventory[[#This Row],[AddFn]]+Inventory[[#This Row],[FnBsmt]]</f>
        <v>1621</v>
      </c>
      <c r="Z30" s="32">
        <v>2000</v>
      </c>
      <c r="AA30" s="31" t="s">
        <v>56</v>
      </c>
      <c r="AB30" s="32"/>
      <c r="AC30" s="38">
        <v>480</v>
      </c>
      <c r="AD30" s="32"/>
      <c r="AE30" s="32"/>
      <c r="AF30" s="32"/>
      <c r="AG30" s="32"/>
      <c r="AH30" s="32"/>
      <c r="AI30" s="30">
        <v>319293</v>
      </c>
      <c r="AJ30" s="30">
        <v>312907</v>
      </c>
      <c r="AK30" s="30">
        <v>0</v>
      </c>
      <c r="AL30" s="30">
        <v>0</v>
      </c>
      <c r="AM30" s="30">
        <v>60800</v>
      </c>
      <c r="AN30" s="30">
        <v>330800</v>
      </c>
      <c r="AO30" s="30">
        <v>391600</v>
      </c>
      <c r="AP30" s="30">
        <f>Lookups!$B$58*0.6</f>
        <v>132535.48800000001</v>
      </c>
      <c r="AQ30" s="30">
        <f>Lookups!$B$58*0.4</f>
        <v>88356.992000000013</v>
      </c>
      <c r="AR30" s="30">
        <f>Lookups!$B$59*Inventory[[#This Row],[LnAcres]]</f>
        <v>-23969.615653948869</v>
      </c>
      <c r="AS30" s="30">
        <f>VLOOKUP(Inventory[[#This Row],[Qlty]],Lookups!$A$66:$E$79,2,FALSE)</f>
        <v>37154.252388000001</v>
      </c>
      <c r="AT30" s="30">
        <f>VLOOKUP(Inventory[[#This Row],[Cnd]],Lookups!$A$80:$E$88,2,FALSE)</f>
        <v>47371.278778200001</v>
      </c>
      <c r="AU30" s="30">
        <f>Inventory[[#This Row],[EffAge]]*Lookups!$B$65</f>
        <v>-217.48220000000001</v>
      </c>
      <c r="AV30" s="30">
        <f>Inventory[[#This Row],[MainFn]]*Lookups!$B$90</f>
        <v>101167.22598</v>
      </c>
      <c r="AW30" s="30">
        <f>Inventory[[#This Row],[UpprFn]]*Lookups!$B$91</f>
        <v>0</v>
      </c>
      <c r="AX30" s="30">
        <f>Inventory[[#This Row],[Bsmt Area]]*Lookups!$B$95</f>
        <v>0</v>
      </c>
      <c r="AY30" s="30">
        <f>Inventory[[#This Row],[AttGar]]*Lookups!$B$93</f>
        <v>16944.494880000002</v>
      </c>
      <c r="AZ30" s="30">
        <f>ROUND(Inventory[[#This Row],[25Det]],-2)</f>
        <v>0</v>
      </c>
      <c r="BA30" s="30">
        <f>ROUND(SUM(Inventory[[#This Row],[Mdl Qlty]:[Mdl Garage Area]])+Inventory[[#This Row],[Mdl Res Intercept]],-2)</f>
        <v>335000</v>
      </c>
      <c r="BB30" s="30">
        <f>ROUND(Inventory[[#This Row],[Mdl Land Intercept]]+Inventory[[#This Row],[Mdl LnAcres]],-2)</f>
        <v>64400</v>
      </c>
      <c r="BC30" s="30">
        <f>Inventory[[#This Row],[Unadj Res Value]]+Inventory[[#This Row],[Unadj Det Value]]+Inventory[[#This Row],[Unadj Land Value]]</f>
        <v>399400</v>
      </c>
      <c r="BD30" s="30">
        <f>(Inventory[[#This Row],[Unadj Total Value]]-Inventory[[#This Row],[24Final]])/Inventory[[#This Row],[24Final]]</f>
        <v>1.9918283963227784E-2</v>
      </c>
      <c r="BE30" s="30">
        <f>VLOOKUP(Inventory[[#This Row],[Nbhd]],Lookups!$M$3:$P$5,4,FALSE)</f>
        <v>0.99970000000000003</v>
      </c>
      <c r="BF30" s="30">
        <f>VLOOKUP(Inventory[[#This Row],[Qlty]],Lookups!$M$8:$P$22,4,FALSE)</f>
        <v>0.99819999999999998</v>
      </c>
      <c r="BG30" s="30">
        <f>VLOOKUP(Inventory[[#This Row],[Cnd]],Lookups!$R$8:$U$17,4,FALSE)</f>
        <v>1.0012000000000001</v>
      </c>
      <c r="BH30" s="30">
        <f>VLOOKUP(Inventory[[#This Row],[LivArea Range]],Lookups!$R$25:$U$43,4,FALSE)</f>
        <v>1.0007999999999999</v>
      </c>
      <c r="BI30" s="30">
        <f>VLOOKUP(Inventory[[#This Row],[Decade]],Lookups!$M$24:$P$40,4,FALSE)</f>
        <v>1</v>
      </c>
      <c r="BJ30" s="30">
        <f>Inventory[[#This Row],[Nbhd Adj]]*0.95</f>
        <v>0.94971499999999998</v>
      </c>
      <c r="BK30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30" s="30">
        <f>ROUND((SUM(Inventory[[#This Row],[Mdl Qlty]:[Mdl Garage Area]])+Inventory[[#This Row],[Mdl Res Intercept]])*Inventory[[#This Row],[Res Adj ]],-2)</f>
        <v>318200</v>
      </c>
      <c r="BM30" s="30">
        <f>ROUND(Inventory[[#This Row],[25Det]]*Inventory[[#This Row],[Det/Nbhd Adj]],-2)</f>
        <v>0</v>
      </c>
      <c r="BN30" s="30">
        <f>Inventory[[#This Row],[Adjusted Res]]+Inventory[[#This Row],[Adj Det ]]</f>
        <v>318200</v>
      </c>
      <c r="BO30" s="30">
        <f>ROUND((Inventory[[#This Row],[Mdl Land Intercept]]+Inventory[[#This Row],[Mdl LnAcres]])*Inventory[[#This Row],[Det/Nbhd Adj]],-2)</f>
        <v>61100</v>
      </c>
      <c r="BP30" s="30">
        <f>Inventory[[#This Row],[Adjusted Impr Total]]+Inventory[[#This Row],[Adjusted Land Total]]</f>
        <v>379300</v>
      </c>
      <c r="BQ30" s="30">
        <f>IFERROR((Inventory[[#This Row],[Adjusted Impr Total]]-Inventory[[#This Row],[24Bldg]])/Inventory[[#This Row],[24Bldg]],0)</f>
        <v>-3.8089480048367597E-2</v>
      </c>
      <c r="BR30" s="43">
        <f>(Inventory[[#This Row],[Adjusted Land Total]]-Inventory[[#This Row],[24Lnd]])/Inventory[[#This Row],[24Lnd]]</f>
        <v>4.9342105263157892E-3</v>
      </c>
      <c r="BS30" s="43">
        <f>(Inventory[[#This Row],[Adjusted Total]]-Inventory[[#This Row],[24Final]])/Inventory[[#This Row],[24Final]]</f>
        <v>-3.1409601634320737E-2</v>
      </c>
    </row>
    <row r="31" spans="1:71">
      <c r="A31" s="30">
        <v>2025</v>
      </c>
      <c r="B31" s="31" t="s">
        <v>538</v>
      </c>
      <c r="C31" s="31">
        <f>LN(Inventory[[#This Row],[Acres]])</f>
        <v>-1.8263509139976741</v>
      </c>
      <c r="D31" s="37">
        <f>ROUND(Inventory[[#This Row],[Sqft]]/43560,3)</f>
        <v>0.161</v>
      </c>
      <c r="E31" s="30">
        <v>7001</v>
      </c>
      <c r="F31" s="31" t="s">
        <v>505</v>
      </c>
      <c r="G31" s="31" t="s">
        <v>155</v>
      </c>
      <c r="H31" s="31" t="s">
        <v>5</v>
      </c>
      <c r="I31" s="31" t="s">
        <v>506</v>
      </c>
      <c r="J31" s="31" t="s">
        <v>507</v>
      </c>
      <c r="K31" s="31" t="s">
        <v>157</v>
      </c>
      <c r="L31" s="31" t="s">
        <v>19</v>
      </c>
      <c r="M31" s="31" t="s">
        <v>24</v>
      </c>
      <c r="N31" s="31">
        <v>0</v>
      </c>
      <c r="O31" s="31">
        <f>2024-Inventory[[#This Row],[YrBlt]]</f>
        <v>2</v>
      </c>
      <c r="P31" s="31">
        <f>2024-Inventory[[#This Row],[EffYr]]</f>
        <v>2</v>
      </c>
      <c r="Q31" s="30">
        <v>2022</v>
      </c>
      <c r="R31" s="30">
        <v>2022</v>
      </c>
      <c r="S31" s="30">
        <v>1240</v>
      </c>
      <c r="T31" s="37"/>
      <c r="U31" s="32"/>
      <c r="V31" s="32"/>
      <c r="W31" s="32"/>
      <c r="X31" s="32">
        <f>Inventory[[#This Row],[Bsmt Area]]-Inventory[[#This Row],[FnBsmt]]</f>
        <v>0</v>
      </c>
      <c r="Y31" s="32">
        <f>Inventory[[#This Row],[MainFn]]+Inventory[[#This Row],[UpprFn]]+Inventory[[#This Row],[AddFn]]+Inventory[[#This Row],[FnBsmt]]</f>
        <v>1240</v>
      </c>
      <c r="Z31" s="32">
        <v>1500</v>
      </c>
      <c r="AA31" s="31" t="s">
        <v>56</v>
      </c>
      <c r="AB31" s="32"/>
      <c r="AC31" s="38">
        <v>484</v>
      </c>
      <c r="AD31" s="32"/>
      <c r="AE31" s="32"/>
      <c r="AF31" s="32"/>
      <c r="AG31" s="32"/>
      <c r="AH31" s="32"/>
      <c r="AI31" s="30">
        <v>256372</v>
      </c>
      <c r="AJ31" s="30">
        <v>251245</v>
      </c>
      <c r="AK31" s="30">
        <v>0</v>
      </c>
      <c r="AL31" s="30">
        <v>0</v>
      </c>
      <c r="AM31" s="30">
        <v>60800</v>
      </c>
      <c r="AN31" s="30">
        <v>305500</v>
      </c>
      <c r="AO31" s="30">
        <v>366300</v>
      </c>
      <c r="AP31" s="30">
        <f>Lookups!$B$58*0.6</f>
        <v>132535.48800000001</v>
      </c>
      <c r="AQ31" s="30">
        <f>Lookups!$B$58*0.4</f>
        <v>88356.992000000013</v>
      </c>
      <c r="AR31" s="30">
        <f>Lookups!$B$59*Inventory[[#This Row],[LnAcres]]</f>
        <v>-23969.615653948869</v>
      </c>
      <c r="AS31" s="30">
        <f>VLOOKUP(Inventory[[#This Row],[Qlty]],Lookups!$A$66:$E$79,2,FALSE)</f>
        <v>37154.252388000001</v>
      </c>
      <c r="AT31" s="30">
        <f>VLOOKUP(Inventory[[#This Row],[Cnd]],Lookups!$A$80:$E$88,2,FALSE)</f>
        <v>47371.278778200001</v>
      </c>
      <c r="AU31" s="30">
        <f>Inventory[[#This Row],[EffAge]]*Lookups!$B$65</f>
        <v>-217.48220000000001</v>
      </c>
      <c r="AV31" s="30">
        <f>Inventory[[#This Row],[MainFn]]*Lookups!$B$90</f>
        <v>77388.871200000009</v>
      </c>
      <c r="AW31" s="30">
        <f>Inventory[[#This Row],[UpprFn]]*Lookups!$B$91</f>
        <v>0</v>
      </c>
      <c r="AX31" s="30">
        <f>Inventory[[#This Row],[Bsmt Area]]*Lookups!$B$95</f>
        <v>0</v>
      </c>
      <c r="AY31" s="30">
        <f>Inventory[[#This Row],[AttGar]]*Lookups!$B$93</f>
        <v>17085.699004000002</v>
      </c>
      <c r="AZ31" s="30">
        <f>ROUND(Inventory[[#This Row],[25Det]],-2)</f>
        <v>0</v>
      </c>
      <c r="BA31" s="30">
        <f>ROUND(SUM(Inventory[[#This Row],[Mdl Qlty]:[Mdl Garage Area]])+Inventory[[#This Row],[Mdl Res Intercept]],-2)</f>
        <v>311300</v>
      </c>
      <c r="BB31" s="30">
        <f>ROUND(Inventory[[#This Row],[Mdl Land Intercept]]+Inventory[[#This Row],[Mdl LnAcres]],-2)</f>
        <v>64400</v>
      </c>
      <c r="BC31" s="30">
        <f>Inventory[[#This Row],[Unadj Res Value]]+Inventory[[#This Row],[Unadj Det Value]]+Inventory[[#This Row],[Unadj Land Value]]</f>
        <v>375700</v>
      </c>
      <c r="BD31" s="30">
        <f>(Inventory[[#This Row],[Unadj Total Value]]-Inventory[[#This Row],[24Final]])/Inventory[[#This Row],[24Final]]</f>
        <v>2.5662025662025661E-2</v>
      </c>
      <c r="BE31" s="30">
        <f>VLOOKUP(Inventory[[#This Row],[Nbhd]],Lookups!$M$3:$P$5,4,FALSE)</f>
        <v>0.99970000000000003</v>
      </c>
      <c r="BF31" s="30">
        <f>VLOOKUP(Inventory[[#This Row],[Qlty]],Lookups!$M$8:$P$22,4,FALSE)</f>
        <v>0.99819999999999998</v>
      </c>
      <c r="BG31" s="30">
        <f>VLOOKUP(Inventory[[#This Row],[Cnd]],Lookups!$R$8:$U$17,4,FALSE)</f>
        <v>1.0012000000000001</v>
      </c>
      <c r="BH31" s="30">
        <f>VLOOKUP(Inventory[[#This Row],[LivArea Range]],Lookups!$R$25:$U$43,4,FALSE)</f>
        <v>0.99519999999999997</v>
      </c>
      <c r="BI31" s="30">
        <f>VLOOKUP(Inventory[[#This Row],[Decade]],Lookups!$M$24:$P$40,4,FALSE)</f>
        <v>1</v>
      </c>
      <c r="BJ31" s="30">
        <f>Inventory[[#This Row],[Nbhd Adj]]*0.95</f>
        <v>0.94971499999999998</v>
      </c>
      <c r="BK31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31" s="30">
        <f>ROUND((SUM(Inventory[[#This Row],[Mdl Qlty]:[Mdl Garage Area]])+Inventory[[#This Row],[Mdl Res Intercept]])*Inventory[[#This Row],[Res Adj ]],-2)</f>
        <v>295400</v>
      </c>
      <c r="BM31" s="30">
        <f>ROUND(Inventory[[#This Row],[25Det]]*Inventory[[#This Row],[Det/Nbhd Adj]],-2)</f>
        <v>0</v>
      </c>
      <c r="BN31" s="30">
        <f>Inventory[[#This Row],[Adjusted Res]]+Inventory[[#This Row],[Adj Det ]]</f>
        <v>295400</v>
      </c>
      <c r="BO31" s="30">
        <f>ROUND((Inventory[[#This Row],[Mdl Land Intercept]]+Inventory[[#This Row],[Mdl LnAcres]])*Inventory[[#This Row],[Det/Nbhd Adj]],-2)</f>
        <v>61100</v>
      </c>
      <c r="BP31" s="30">
        <f>Inventory[[#This Row],[Adjusted Impr Total]]+Inventory[[#This Row],[Adjusted Land Total]]</f>
        <v>356500</v>
      </c>
      <c r="BQ31" s="30">
        <f>IFERROR((Inventory[[#This Row],[Adjusted Impr Total]]-Inventory[[#This Row],[24Bldg]])/Inventory[[#This Row],[24Bldg]],0)</f>
        <v>-3.3060556464811784E-2</v>
      </c>
      <c r="BR31" s="43">
        <f>(Inventory[[#This Row],[Adjusted Land Total]]-Inventory[[#This Row],[24Lnd]])/Inventory[[#This Row],[24Lnd]]</f>
        <v>4.9342105263157892E-3</v>
      </c>
      <c r="BS31" s="43">
        <f>(Inventory[[#This Row],[Adjusted Total]]-Inventory[[#This Row],[24Final]])/Inventory[[#This Row],[24Final]]</f>
        <v>-2.6754026754026754E-2</v>
      </c>
    </row>
    <row r="32" spans="1:71">
      <c r="A32" s="30">
        <v>2025</v>
      </c>
      <c r="B32" s="31" t="s">
        <v>539</v>
      </c>
      <c r="C32" s="31">
        <f>LN(Inventory[[#This Row],[Acres]])</f>
        <v>-1.8263509139976741</v>
      </c>
      <c r="D32" s="37">
        <f>ROUND(Inventory[[#This Row],[Sqft]]/43560,3)</f>
        <v>0.161</v>
      </c>
      <c r="E32" s="30">
        <v>7002</v>
      </c>
      <c r="F32" s="31" t="s">
        <v>505</v>
      </c>
      <c r="G32" s="31" t="s">
        <v>155</v>
      </c>
      <c r="H32" s="31" t="s">
        <v>5</v>
      </c>
      <c r="I32" s="31" t="s">
        <v>506</v>
      </c>
      <c r="J32" s="31" t="s">
        <v>507</v>
      </c>
      <c r="K32" s="31" t="s">
        <v>157</v>
      </c>
      <c r="L32" s="31" t="s">
        <v>19</v>
      </c>
      <c r="M32" s="31" t="s">
        <v>24</v>
      </c>
      <c r="N32" s="31">
        <v>0</v>
      </c>
      <c r="O32" s="31">
        <f>2024-Inventory[[#This Row],[YrBlt]]</f>
        <v>2</v>
      </c>
      <c r="P32" s="31">
        <f>2024-Inventory[[#This Row],[EffYr]]</f>
        <v>2</v>
      </c>
      <c r="Q32" s="30">
        <v>2022</v>
      </c>
      <c r="R32" s="30">
        <v>2022</v>
      </c>
      <c r="S32" s="30">
        <v>1240</v>
      </c>
      <c r="T32" s="37"/>
      <c r="U32" s="32"/>
      <c r="V32" s="32"/>
      <c r="W32" s="32"/>
      <c r="X32" s="32">
        <f>Inventory[[#This Row],[Bsmt Area]]-Inventory[[#This Row],[FnBsmt]]</f>
        <v>0</v>
      </c>
      <c r="Y32" s="32">
        <f>Inventory[[#This Row],[MainFn]]+Inventory[[#This Row],[UpprFn]]+Inventory[[#This Row],[AddFn]]+Inventory[[#This Row],[FnBsmt]]</f>
        <v>1240</v>
      </c>
      <c r="Z32" s="32">
        <v>1500</v>
      </c>
      <c r="AA32" s="31" t="s">
        <v>56</v>
      </c>
      <c r="AB32" s="32"/>
      <c r="AC32" s="38">
        <v>404</v>
      </c>
      <c r="AD32" s="32"/>
      <c r="AE32" s="32"/>
      <c r="AF32" s="32"/>
      <c r="AG32" s="32"/>
      <c r="AH32" s="32"/>
      <c r="AI32" s="30">
        <v>253124</v>
      </c>
      <c r="AJ32" s="30">
        <v>248062</v>
      </c>
      <c r="AK32" s="30">
        <v>0</v>
      </c>
      <c r="AL32" s="30">
        <v>0</v>
      </c>
      <c r="AM32" s="30">
        <v>60800</v>
      </c>
      <c r="AN32" s="30">
        <v>302100</v>
      </c>
      <c r="AO32" s="30">
        <v>362900</v>
      </c>
      <c r="AP32" s="30">
        <f>Lookups!$B$58*0.6</f>
        <v>132535.48800000001</v>
      </c>
      <c r="AQ32" s="30">
        <f>Lookups!$B$58*0.4</f>
        <v>88356.992000000013</v>
      </c>
      <c r="AR32" s="30">
        <f>Lookups!$B$59*Inventory[[#This Row],[LnAcres]]</f>
        <v>-23969.615653948869</v>
      </c>
      <c r="AS32" s="30">
        <f>VLOOKUP(Inventory[[#This Row],[Qlty]],Lookups!$A$66:$E$79,2,FALSE)</f>
        <v>37154.252388000001</v>
      </c>
      <c r="AT32" s="30">
        <f>VLOOKUP(Inventory[[#This Row],[Cnd]],Lookups!$A$80:$E$88,2,FALSE)</f>
        <v>47371.278778200001</v>
      </c>
      <c r="AU32" s="30">
        <f>Inventory[[#This Row],[EffAge]]*Lookups!$B$65</f>
        <v>-217.48220000000001</v>
      </c>
      <c r="AV32" s="30">
        <f>Inventory[[#This Row],[MainFn]]*Lookups!$B$90</f>
        <v>77388.871200000009</v>
      </c>
      <c r="AW32" s="30">
        <f>Inventory[[#This Row],[UpprFn]]*Lookups!$B$91</f>
        <v>0</v>
      </c>
      <c r="AX32" s="30">
        <f>Inventory[[#This Row],[Bsmt Area]]*Lookups!$B$95</f>
        <v>0</v>
      </c>
      <c r="AY32" s="30">
        <f>Inventory[[#This Row],[AttGar]]*Lookups!$B$93</f>
        <v>14261.616524000001</v>
      </c>
      <c r="AZ32" s="30">
        <f>ROUND(Inventory[[#This Row],[25Det]],-2)</f>
        <v>0</v>
      </c>
      <c r="BA32" s="30">
        <f>ROUND(SUM(Inventory[[#This Row],[Mdl Qlty]:[Mdl Garage Area]])+Inventory[[#This Row],[Mdl Res Intercept]],-2)</f>
        <v>308500</v>
      </c>
      <c r="BB32" s="30">
        <f>ROUND(Inventory[[#This Row],[Mdl Land Intercept]]+Inventory[[#This Row],[Mdl LnAcres]],-2)</f>
        <v>64400</v>
      </c>
      <c r="BC32" s="30">
        <f>Inventory[[#This Row],[Unadj Res Value]]+Inventory[[#This Row],[Unadj Det Value]]+Inventory[[#This Row],[Unadj Land Value]]</f>
        <v>372900</v>
      </c>
      <c r="BD32" s="30">
        <f>(Inventory[[#This Row],[Unadj Total Value]]-Inventory[[#This Row],[24Final]])/Inventory[[#This Row],[24Final]]</f>
        <v>2.755580049600441E-2</v>
      </c>
      <c r="BE32" s="30">
        <f>VLOOKUP(Inventory[[#This Row],[Nbhd]],Lookups!$M$3:$P$5,4,FALSE)</f>
        <v>0.99970000000000003</v>
      </c>
      <c r="BF32" s="30">
        <f>VLOOKUP(Inventory[[#This Row],[Qlty]],Lookups!$M$8:$P$22,4,FALSE)</f>
        <v>0.99819999999999998</v>
      </c>
      <c r="BG32" s="30">
        <f>VLOOKUP(Inventory[[#This Row],[Cnd]],Lookups!$R$8:$U$17,4,FALSE)</f>
        <v>1.0012000000000001</v>
      </c>
      <c r="BH32" s="30">
        <f>VLOOKUP(Inventory[[#This Row],[LivArea Range]],Lookups!$R$25:$U$43,4,FALSE)</f>
        <v>0.99519999999999997</v>
      </c>
      <c r="BI32" s="30">
        <f>VLOOKUP(Inventory[[#This Row],[Decade]],Lookups!$M$24:$P$40,4,FALSE)</f>
        <v>1</v>
      </c>
      <c r="BJ32" s="30">
        <f>Inventory[[#This Row],[Nbhd Adj]]*0.95</f>
        <v>0.94971499999999998</v>
      </c>
      <c r="BK32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32" s="30">
        <f>ROUND((SUM(Inventory[[#This Row],[Mdl Qlty]:[Mdl Garage Area]])+Inventory[[#This Row],[Mdl Res Intercept]])*Inventory[[#This Row],[Res Adj ]],-2)</f>
        <v>292700</v>
      </c>
      <c r="BM32" s="30">
        <f>ROUND(Inventory[[#This Row],[25Det]]*Inventory[[#This Row],[Det/Nbhd Adj]],-2)</f>
        <v>0</v>
      </c>
      <c r="BN32" s="30">
        <f>Inventory[[#This Row],[Adjusted Res]]+Inventory[[#This Row],[Adj Det ]]</f>
        <v>292700</v>
      </c>
      <c r="BO32" s="30">
        <f>ROUND((Inventory[[#This Row],[Mdl Land Intercept]]+Inventory[[#This Row],[Mdl LnAcres]])*Inventory[[#This Row],[Det/Nbhd Adj]],-2)</f>
        <v>61100</v>
      </c>
      <c r="BP32" s="30">
        <f>Inventory[[#This Row],[Adjusted Impr Total]]+Inventory[[#This Row],[Adjusted Land Total]]</f>
        <v>353800</v>
      </c>
      <c r="BQ32" s="30">
        <f>IFERROR((Inventory[[#This Row],[Adjusted Impr Total]]-Inventory[[#This Row],[24Bldg]])/Inventory[[#This Row],[24Bldg]],0)</f>
        <v>-3.1115524660708375E-2</v>
      </c>
      <c r="BR32" s="43">
        <f>(Inventory[[#This Row],[Adjusted Land Total]]-Inventory[[#This Row],[24Lnd]])/Inventory[[#This Row],[24Lnd]]</f>
        <v>4.9342105263157892E-3</v>
      </c>
      <c r="BS32" s="43">
        <f>(Inventory[[#This Row],[Adjusted Total]]-Inventory[[#This Row],[24Final]])/Inventory[[#This Row],[24Final]]</f>
        <v>-2.5075778451364012E-2</v>
      </c>
    </row>
    <row r="33" spans="1:71">
      <c r="A33" s="30">
        <v>2025</v>
      </c>
      <c r="B33" s="31" t="s">
        <v>540</v>
      </c>
      <c r="C33" s="31">
        <f>LN(Inventory[[#This Row],[Acres]])</f>
        <v>-1.8263509139976741</v>
      </c>
      <c r="D33" s="37">
        <f>ROUND(Inventory[[#This Row],[Sqft]]/43560,3)</f>
        <v>0.161</v>
      </c>
      <c r="E33" s="38">
        <v>7001</v>
      </c>
      <c r="F33" s="31" t="s">
        <v>505</v>
      </c>
      <c r="G33" s="31" t="s">
        <v>155</v>
      </c>
      <c r="H33" s="31" t="s">
        <v>5</v>
      </c>
      <c r="I33" s="31" t="s">
        <v>506</v>
      </c>
      <c r="J33" s="31" t="s">
        <v>507</v>
      </c>
      <c r="K33" s="31" t="s">
        <v>157</v>
      </c>
      <c r="L33" s="31" t="s">
        <v>19</v>
      </c>
      <c r="M33" s="31" t="s">
        <v>24</v>
      </c>
      <c r="N33" s="31">
        <v>0</v>
      </c>
      <c r="O33" s="31">
        <f>2024-Inventory[[#This Row],[YrBlt]]</f>
        <v>2</v>
      </c>
      <c r="P33" s="31">
        <f>2024-Inventory[[#This Row],[EffYr]]</f>
        <v>2</v>
      </c>
      <c r="Q33" s="30">
        <v>2022</v>
      </c>
      <c r="R33" s="30">
        <v>2022</v>
      </c>
      <c r="S33" s="30">
        <v>1452</v>
      </c>
      <c r="T33" s="32"/>
      <c r="U33" s="32"/>
      <c r="V33" s="32"/>
      <c r="W33" s="32"/>
      <c r="X33" s="32">
        <f>Inventory[[#This Row],[Bsmt Area]]-Inventory[[#This Row],[FnBsmt]]</f>
        <v>0</v>
      </c>
      <c r="Y33" s="32">
        <f>Inventory[[#This Row],[MainFn]]+Inventory[[#This Row],[UpprFn]]+Inventory[[#This Row],[AddFn]]+Inventory[[#This Row],[FnBsmt]]</f>
        <v>1452</v>
      </c>
      <c r="Z33" s="32">
        <v>1500</v>
      </c>
      <c r="AA33" s="31" t="s">
        <v>56</v>
      </c>
      <c r="AB33" s="32"/>
      <c r="AC33" s="38">
        <v>616</v>
      </c>
      <c r="AD33" s="32"/>
      <c r="AE33" s="32"/>
      <c r="AF33" s="32"/>
      <c r="AG33" s="32"/>
      <c r="AH33" s="32"/>
      <c r="AI33" s="30">
        <v>293832</v>
      </c>
      <c r="AJ33" s="30">
        <v>287955</v>
      </c>
      <c r="AK33" s="30">
        <v>0</v>
      </c>
      <c r="AL33" s="30">
        <v>0</v>
      </c>
      <c r="AM33" s="30">
        <v>60800</v>
      </c>
      <c r="AN33" s="30">
        <v>321800</v>
      </c>
      <c r="AO33" s="30">
        <v>382600</v>
      </c>
      <c r="AP33" s="30">
        <f>Lookups!$B$58*0.6</f>
        <v>132535.48800000001</v>
      </c>
      <c r="AQ33" s="30">
        <f>Lookups!$B$58*0.4</f>
        <v>88356.992000000013</v>
      </c>
      <c r="AR33" s="30">
        <f>Lookups!$B$59*Inventory[[#This Row],[LnAcres]]</f>
        <v>-23969.615653948869</v>
      </c>
      <c r="AS33" s="30">
        <f>VLOOKUP(Inventory[[#This Row],[Qlty]],Lookups!$A$66:$E$79,2,FALSE)</f>
        <v>37154.252388000001</v>
      </c>
      <c r="AT33" s="30">
        <f>VLOOKUP(Inventory[[#This Row],[Cnd]],Lookups!$A$80:$E$88,2,FALSE)</f>
        <v>47371.278778200001</v>
      </c>
      <c r="AU33" s="30">
        <f>Inventory[[#This Row],[EffAge]]*Lookups!$B$65</f>
        <v>-217.48220000000001</v>
      </c>
      <c r="AV33" s="30">
        <f>Inventory[[#This Row],[MainFn]]*Lookups!$B$90</f>
        <v>90619.871760000009</v>
      </c>
      <c r="AW33" s="30">
        <f>Inventory[[#This Row],[UpprFn]]*Lookups!$B$91</f>
        <v>0</v>
      </c>
      <c r="AX33" s="30">
        <f>Inventory[[#This Row],[Bsmt Area]]*Lookups!$B$95</f>
        <v>0</v>
      </c>
      <c r="AY33" s="30">
        <f>Inventory[[#This Row],[AttGar]]*Lookups!$B$93</f>
        <v>21745.435096000001</v>
      </c>
      <c r="AZ33" s="30">
        <f>ROUND(Inventory[[#This Row],[25Det]],-2)</f>
        <v>0</v>
      </c>
      <c r="BA33" s="30">
        <f>ROUND(SUM(Inventory[[#This Row],[Mdl Qlty]:[Mdl Garage Area]])+Inventory[[#This Row],[Mdl Res Intercept]],-2)</f>
        <v>329200</v>
      </c>
      <c r="BB33" s="30">
        <f>ROUND(Inventory[[#This Row],[Mdl Land Intercept]]+Inventory[[#This Row],[Mdl LnAcres]],-2)</f>
        <v>64400</v>
      </c>
      <c r="BC33" s="30">
        <f>Inventory[[#This Row],[Unadj Res Value]]+Inventory[[#This Row],[Unadj Det Value]]+Inventory[[#This Row],[Unadj Land Value]]</f>
        <v>393600</v>
      </c>
      <c r="BD33" s="30">
        <f>(Inventory[[#This Row],[Unadj Total Value]]-Inventory[[#This Row],[24Final]])/Inventory[[#This Row],[24Final]]</f>
        <v>2.8750653423941452E-2</v>
      </c>
      <c r="BE33" s="30">
        <f>VLOOKUP(Inventory[[#This Row],[Nbhd]],Lookups!$M$3:$P$5,4,FALSE)</f>
        <v>0.99970000000000003</v>
      </c>
      <c r="BF33" s="30">
        <f>VLOOKUP(Inventory[[#This Row],[Qlty]],Lookups!$M$8:$P$22,4,FALSE)</f>
        <v>0.99819999999999998</v>
      </c>
      <c r="BG33" s="30">
        <f>VLOOKUP(Inventory[[#This Row],[Cnd]],Lookups!$R$8:$U$17,4,FALSE)</f>
        <v>1.0012000000000001</v>
      </c>
      <c r="BH33" s="30">
        <f>VLOOKUP(Inventory[[#This Row],[LivArea Range]],Lookups!$R$25:$U$43,4,FALSE)</f>
        <v>0.99519999999999997</v>
      </c>
      <c r="BI33" s="30">
        <f>VLOOKUP(Inventory[[#This Row],[Decade]],Lookups!$M$24:$P$40,4,FALSE)</f>
        <v>1</v>
      </c>
      <c r="BJ33" s="30">
        <f>Inventory[[#This Row],[Nbhd Adj]]*0.95</f>
        <v>0.94971499999999998</v>
      </c>
      <c r="BK33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33" s="30">
        <f>ROUND((SUM(Inventory[[#This Row],[Mdl Qlty]:[Mdl Garage Area]])+Inventory[[#This Row],[Mdl Res Intercept]])*Inventory[[#This Row],[Res Adj ]],-2)</f>
        <v>312400</v>
      </c>
      <c r="BM33" s="30">
        <f>ROUND(Inventory[[#This Row],[25Det]]*Inventory[[#This Row],[Det/Nbhd Adj]],-2)</f>
        <v>0</v>
      </c>
      <c r="BN33" s="30">
        <f>Inventory[[#This Row],[Adjusted Res]]+Inventory[[#This Row],[Adj Det ]]</f>
        <v>312400</v>
      </c>
      <c r="BO33" s="30">
        <f>ROUND((Inventory[[#This Row],[Mdl Land Intercept]]+Inventory[[#This Row],[Mdl LnAcres]])*Inventory[[#This Row],[Det/Nbhd Adj]],-2)</f>
        <v>61100</v>
      </c>
      <c r="BP33" s="30">
        <f>Inventory[[#This Row],[Adjusted Impr Total]]+Inventory[[#This Row],[Adjusted Land Total]]</f>
        <v>373500</v>
      </c>
      <c r="BQ33" s="30">
        <f>IFERROR((Inventory[[#This Row],[Adjusted Impr Total]]-Inventory[[#This Row],[24Bldg]])/Inventory[[#This Row],[24Bldg]],0)</f>
        <v>-2.9210689869484153E-2</v>
      </c>
      <c r="BR33" s="43">
        <f>(Inventory[[#This Row],[Adjusted Land Total]]-Inventory[[#This Row],[24Lnd]])/Inventory[[#This Row],[24Lnd]]</f>
        <v>4.9342105263157892E-3</v>
      </c>
      <c r="BS33" s="43">
        <f>(Inventory[[#This Row],[Adjusted Total]]-Inventory[[#This Row],[24Final]])/Inventory[[#This Row],[24Final]]</f>
        <v>-2.3784631468897019E-2</v>
      </c>
    </row>
    <row r="34" spans="1:71">
      <c r="A34" s="30">
        <v>2025</v>
      </c>
      <c r="B34" s="31" t="s">
        <v>541</v>
      </c>
      <c r="C34" s="31">
        <f>LN(Inventory[[#This Row],[Acres]])</f>
        <v>-1.8263509139976741</v>
      </c>
      <c r="D34" s="37">
        <f>ROUND(Inventory[[#This Row],[Sqft]]/43560,3)</f>
        <v>0.161</v>
      </c>
      <c r="E34" s="30">
        <v>7002</v>
      </c>
      <c r="F34" s="31" t="s">
        <v>505</v>
      </c>
      <c r="G34" s="31" t="s">
        <v>155</v>
      </c>
      <c r="H34" s="31" t="s">
        <v>5</v>
      </c>
      <c r="I34" s="31" t="s">
        <v>506</v>
      </c>
      <c r="J34" s="31" t="s">
        <v>507</v>
      </c>
      <c r="K34" s="31" t="s">
        <v>157</v>
      </c>
      <c r="L34" s="31" t="s">
        <v>19</v>
      </c>
      <c r="M34" s="31" t="s">
        <v>24</v>
      </c>
      <c r="N34" s="31">
        <v>0</v>
      </c>
      <c r="O34" s="31">
        <f>2024-Inventory[[#This Row],[YrBlt]]</f>
        <v>2</v>
      </c>
      <c r="P34" s="31">
        <f>2024-Inventory[[#This Row],[EffYr]]</f>
        <v>2</v>
      </c>
      <c r="Q34" s="30">
        <v>2022</v>
      </c>
      <c r="R34" s="30">
        <v>2022</v>
      </c>
      <c r="S34" s="30">
        <v>1592</v>
      </c>
      <c r="T34" s="32"/>
      <c r="U34" s="32"/>
      <c r="V34" s="32"/>
      <c r="W34" s="32"/>
      <c r="X34" s="32">
        <f>Inventory[[#This Row],[Bsmt Area]]-Inventory[[#This Row],[FnBsmt]]</f>
        <v>0</v>
      </c>
      <c r="Y34" s="32">
        <f>Inventory[[#This Row],[MainFn]]+Inventory[[#This Row],[UpprFn]]+Inventory[[#This Row],[AddFn]]+Inventory[[#This Row],[FnBsmt]]</f>
        <v>1592</v>
      </c>
      <c r="Z34" s="32">
        <v>2000</v>
      </c>
      <c r="AA34" s="31" t="s">
        <v>56</v>
      </c>
      <c r="AB34" s="38">
        <v>1</v>
      </c>
      <c r="AC34" s="38">
        <v>616</v>
      </c>
      <c r="AD34" s="32"/>
      <c r="AE34" s="32"/>
      <c r="AF34" s="32"/>
      <c r="AG34" s="32"/>
      <c r="AH34" s="32"/>
      <c r="AI34" s="30">
        <v>322580</v>
      </c>
      <c r="AJ34" s="30">
        <v>316128</v>
      </c>
      <c r="AK34" s="30">
        <v>0</v>
      </c>
      <c r="AL34" s="30">
        <v>0</v>
      </c>
      <c r="AM34" s="30">
        <v>60800</v>
      </c>
      <c r="AN34" s="30">
        <v>330700</v>
      </c>
      <c r="AO34" s="30">
        <v>391500</v>
      </c>
      <c r="AP34" s="30">
        <f>Lookups!$B$58*0.6</f>
        <v>132535.48800000001</v>
      </c>
      <c r="AQ34" s="30">
        <f>Lookups!$B$58*0.4</f>
        <v>88356.992000000013</v>
      </c>
      <c r="AR34" s="30">
        <f>Lookups!$B$59*Inventory[[#This Row],[LnAcres]]</f>
        <v>-23969.615653948869</v>
      </c>
      <c r="AS34" s="30">
        <f>VLOOKUP(Inventory[[#This Row],[Qlty]],Lookups!$A$66:$E$79,2,FALSE)</f>
        <v>37154.252388000001</v>
      </c>
      <c r="AT34" s="30">
        <f>VLOOKUP(Inventory[[#This Row],[Cnd]],Lookups!$A$80:$E$88,2,FALSE)</f>
        <v>47371.278778200001</v>
      </c>
      <c r="AU34" s="30">
        <f>Inventory[[#This Row],[EffAge]]*Lookups!$B$65</f>
        <v>-217.48220000000001</v>
      </c>
      <c r="AV34" s="30">
        <f>Inventory[[#This Row],[MainFn]]*Lookups!$B$90</f>
        <v>99357.324960000013</v>
      </c>
      <c r="AW34" s="30">
        <f>Inventory[[#This Row],[UpprFn]]*Lookups!$B$91</f>
        <v>0</v>
      </c>
      <c r="AX34" s="30">
        <f>Inventory[[#This Row],[Bsmt Area]]*Lookups!$B$95</f>
        <v>0</v>
      </c>
      <c r="AY34" s="30">
        <f>Inventory[[#This Row],[AttGar]]*Lookups!$B$93</f>
        <v>21745.435096000001</v>
      </c>
      <c r="AZ34" s="30">
        <f>ROUND(Inventory[[#This Row],[25Det]],-2)</f>
        <v>0</v>
      </c>
      <c r="BA34" s="30">
        <f>ROUND(SUM(Inventory[[#This Row],[Mdl Qlty]:[Mdl Garage Area]])+Inventory[[#This Row],[Mdl Res Intercept]],-2)</f>
        <v>337900</v>
      </c>
      <c r="BB34" s="30">
        <f>ROUND(Inventory[[#This Row],[Mdl Land Intercept]]+Inventory[[#This Row],[Mdl LnAcres]],-2)</f>
        <v>64400</v>
      </c>
      <c r="BC34" s="30">
        <f>Inventory[[#This Row],[Unadj Res Value]]+Inventory[[#This Row],[Unadj Det Value]]+Inventory[[#This Row],[Unadj Land Value]]</f>
        <v>402300</v>
      </c>
      <c r="BD34" s="30">
        <f>(Inventory[[#This Row],[Unadj Total Value]]-Inventory[[#This Row],[24Final]])/Inventory[[#This Row],[24Final]]</f>
        <v>2.7586206896551724E-2</v>
      </c>
      <c r="BE34" s="30">
        <f>VLOOKUP(Inventory[[#This Row],[Nbhd]],Lookups!$M$3:$P$5,4,FALSE)</f>
        <v>0.99970000000000003</v>
      </c>
      <c r="BF34" s="30">
        <f>VLOOKUP(Inventory[[#This Row],[Qlty]],Lookups!$M$8:$P$22,4,FALSE)</f>
        <v>0.99819999999999998</v>
      </c>
      <c r="BG34" s="30">
        <f>VLOOKUP(Inventory[[#This Row],[Cnd]],Lookups!$R$8:$U$17,4,FALSE)</f>
        <v>1.0012000000000001</v>
      </c>
      <c r="BH34" s="30">
        <f>VLOOKUP(Inventory[[#This Row],[LivArea Range]],Lookups!$R$25:$U$43,4,FALSE)</f>
        <v>1.0007999999999999</v>
      </c>
      <c r="BI34" s="30">
        <f>VLOOKUP(Inventory[[#This Row],[Decade]],Lookups!$M$24:$P$40,4,FALSE)</f>
        <v>1</v>
      </c>
      <c r="BJ34" s="30">
        <f>Inventory[[#This Row],[Nbhd Adj]]*0.95</f>
        <v>0.94971499999999998</v>
      </c>
      <c r="BK34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34" s="30">
        <f>ROUND((SUM(Inventory[[#This Row],[Mdl Qlty]:[Mdl Garage Area]])+Inventory[[#This Row],[Mdl Res Intercept]])*Inventory[[#This Row],[Res Adj ]],-2)</f>
        <v>321000</v>
      </c>
      <c r="BM34" s="30">
        <f>ROUND(Inventory[[#This Row],[25Det]]*Inventory[[#This Row],[Det/Nbhd Adj]],-2)</f>
        <v>0</v>
      </c>
      <c r="BN34" s="30">
        <f>Inventory[[#This Row],[Adjusted Res]]+Inventory[[#This Row],[Adj Det ]]</f>
        <v>321000</v>
      </c>
      <c r="BO34" s="30">
        <f>ROUND((Inventory[[#This Row],[Mdl Land Intercept]]+Inventory[[#This Row],[Mdl LnAcres]])*Inventory[[#This Row],[Det/Nbhd Adj]],-2)</f>
        <v>61100</v>
      </c>
      <c r="BP34" s="30">
        <f>Inventory[[#This Row],[Adjusted Impr Total]]+Inventory[[#This Row],[Adjusted Land Total]]</f>
        <v>382100</v>
      </c>
      <c r="BQ34" s="30">
        <f>IFERROR((Inventory[[#This Row],[Adjusted Impr Total]]-Inventory[[#This Row],[24Bldg]])/Inventory[[#This Row],[24Bldg]],0)</f>
        <v>-2.933172059268219E-2</v>
      </c>
      <c r="BR34" s="43">
        <f>(Inventory[[#This Row],[Adjusted Land Total]]-Inventory[[#This Row],[24Lnd]])/Inventory[[#This Row],[24Lnd]]</f>
        <v>4.9342105263157892E-3</v>
      </c>
      <c r="BS34" s="43">
        <f>(Inventory[[#This Row],[Adjusted Total]]-Inventory[[#This Row],[24Final]])/Inventory[[#This Row],[24Final]]</f>
        <v>-2.401021711366539E-2</v>
      </c>
    </row>
    <row r="35" spans="1:71">
      <c r="A35" s="30">
        <v>2025</v>
      </c>
      <c r="B35" s="31" t="s">
        <v>542</v>
      </c>
      <c r="C35" s="31">
        <f>LN(Inventory[[#This Row],[Acres]])</f>
        <v>-1.8263509139976741</v>
      </c>
      <c r="D35" s="37">
        <f>ROUND(Inventory[[#This Row],[Sqft]]/43560,3)</f>
        <v>0.161</v>
      </c>
      <c r="E35" s="30">
        <v>7004</v>
      </c>
      <c r="F35" s="31" t="s">
        <v>505</v>
      </c>
      <c r="G35" s="31" t="s">
        <v>155</v>
      </c>
      <c r="H35" s="31" t="s">
        <v>5</v>
      </c>
      <c r="I35" s="31" t="s">
        <v>506</v>
      </c>
      <c r="J35" s="31" t="s">
        <v>507</v>
      </c>
      <c r="K35" s="31" t="s">
        <v>157</v>
      </c>
      <c r="L35" s="31" t="s">
        <v>19</v>
      </c>
      <c r="M35" s="31" t="s">
        <v>24</v>
      </c>
      <c r="N35" s="31">
        <v>0</v>
      </c>
      <c r="O35" s="31">
        <f>2024-Inventory[[#This Row],[YrBlt]]</f>
        <v>2</v>
      </c>
      <c r="P35" s="31">
        <f>2024-Inventory[[#This Row],[EffYr]]</f>
        <v>2</v>
      </c>
      <c r="Q35" s="30">
        <v>2022</v>
      </c>
      <c r="R35" s="30">
        <v>2022</v>
      </c>
      <c r="S35" s="30">
        <v>1580</v>
      </c>
      <c r="T35" s="37"/>
      <c r="U35" s="32"/>
      <c r="V35" s="32"/>
      <c r="W35" s="32"/>
      <c r="X35" s="32">
        <f>Inventory[[#This Row],[Bsmt Area]]-Inventory[[#This Row],[FnBsmt]]</f>
        <v>0</v>
      </c>
      <c r="Y35" s="32">
        <f>Inventory[[#This Row],[MainFn]]+Inventory[[#This Row],[UpprFn]]+Inventory[[#This Row],[AddFn]]+Inventory[[#This Row],[FnBsmt]]</f>
        <v>1580</v>
      </c>
      <c r="Z35" s="32">
        <v>2000</v>
      </c>
      <c r="AA35" s="31" t="s">
        <v>56</v>
      </c>
      <c r="AB35" s="32"/>
      <c r="AC35" s="38">
        <v>480</v>
      </c>
      <c r="AD35" s="32"/>
      <c r="AE35" s="32"/>
      <c r="AF35" s="32"/>
      <c r="AG35" s="32"/>
      <c r="AH35" s="32"/>
      <c r="AI35" s="30">
        <v>309298</v>
      </c>
      <c r="AJ35" s="30">
        <v>303112</v>
      </c>
      <c r="AK35" s="30">
        <v>0</v>
      </c>
      <c r="AL35" s="30">
        <v>0</v>
      </c>
      <c r="AM35" s="30">
        <v>60800</v>
      </c>
      <c r="AN35" s="30">
        <v>324200</v>
      </c>
      <c r="AO35" s="30">
        <v>385000</v>
      </c>
      <c r="AP35" s="30">
        <f>Lookups!$B$58*0.6</f>
        <v>132535.48800000001</v>
      </c>
      <c r="AQ35" s="30">
        <f>Lookups!$B$58*0.4</f>
        <v>88356.992000000013</v>
      </c>
      <c r="AR35" s="30">
        <f>Lookups!$B$59*Inventory[[#This Row],[LnAcres]]</f>
        <v>-23969.615653948869</v>
      </c>
      <c r="AS35" s="30">
        <f>VLOOKUP(Inventory[[#This Row],[Qlty]],Lookups!$A$66:$E$79,2,FALSE)</f>
        <v>37154.252388000001</v>
      </c>
      <c r="AT35" s="30">
        <f>VLOOKUP(Inventory[[#This Row],[Cnd]],Lookups!$A$80:$E$88,2,FALSE)</f>
        <v>47371.278778200001</v>
      </c>
      <c r="AU35" s="30">
        <f>Inventory[[#This Row],[EffAge]]*Lookups!$B$65</f>
        <v>-217.48220000000001</v>
      </c>
      <c r="AV35" s="30">
        <f>Inventory[[#This Row],[MainFn]]*Lookups!$B$90</f>
        <v>98608.400399999999</v>
      </c>
      <c r="AW35" s="30">
        <f>Inventory[[#This Row],[UpprFn]]*Lookups!$B$91</f>
        <v>0</v>
      </c>
      <c r="AX35" s="30">
        <f>Inventory[[#This Row],[Bsmt Area]]*Lookups!$B$95</f>
        <v>0</v>
      </c>
      <c r="AY35" s="30">
        <f>Inventory[[#This Row],[AttGar]]*Lookups!$B$93</f>
        <v>16944.494880000002</v>
      </c>
      <c r="AZ35" s="30">
        <f>ROUND(Inventory[[#This Row],[25Det]],-2)</f>
        <v>0</v>
      </c>
      <c r="BA35" s="30">
        <f>ROUND(SUM(Inventory[[#This Row],[Mdl Qlty]:[Mdl Garage Area]])+Inventory[[#This Row],[Mdl Res Intercept]],-2)</f>
        <v>332400</v>
      </c>
      <c r="BB35" s="30">
        <f>ROUND(Inventory[[#This Row],[Mdl Land Intercept]]+Inventory[[#This Row],[Mdl LnAcres]],-2)</f>
        <v>64400</v>
      </c>
      <c r="BC35" s="30">
        <f>Inventory[[#This Row],[Unadj Res Value]]+Inventory[[#This Row],[Unadj Det Value]]+Inventory[[#This Row],[Unadj Land Value]]</f>
        <v>396800</v>
      </c>
      <c r="BD35" s="30">
        <f>(Inventory[[#This Row],[Unadj Total Value]]-Inventory[[#This Row],[24Final]])/Inventory[[#This Row],[24Final]]</f>
        <v>3.0649350649350648E-2</v>
      </c>
      <c r="BE35" s="30">
        <f>VLOOKUP(Inventory[[#This Row],[Nbhd]],Lookups!$M$3:$P$5,4,FALSE)</f>
        <v>0.99970000000000003</v>
      </c>
      <c r="BF35" s="30">
        <f>VLOOKUP(Inventory[[#This Row],[Qlty]],Lookups!$M$8:$P$22,4,FALSE)</f>
        <v>0.99819999999999998</v>
      </c>
      <c r="BG35" s="30">
        <f>VLOOKUP(Inventory[[#This Row],[Cnd]],Lookups!$R$8:$U$17,4,FALSE)</f>
        <v>1.0012000000000001</v>
      </c>
      <c r="BH35" s="30">
        <f>VLOOKUP(Inventory[[#This Row],[LivArea Range]],Lookups!$R$25:$U$43,4,FALSE)</f>
        <v>1.0007999999999999</v>
      </c>
      <c r="BI35" s="30">
        <f>VLOOKUP(Inventory[[#This Row],[Decade]],Lookups!$M$24:$P$40,4,FALSE)</f>
        <v>1</v>
      </c>
      <c r="BJ35" s="30">
        <f>Inventory[[#This Row],[Nbhd Adj]]*0.95</f>
        <v>0.94971499999999998</v>
      </c>
      <c r="BK35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35" s="30">
        <f>ROUND((SUM(Inventory[[#This Row],[Mdl Qlty]:[Mdl Garage Area]])+Inventory[[#This Row],[Mdl Res Intercept]])*Inventory[[#This Row],[Res Adj ]],-2)</f>
        <v>315800</v>
      </c>
      <c r="BM35" s="30">
        <f>ROUND(Inventory[[#This Row],[25Det]]*Inventory[[#This Row],[Det/Nbhd Adj]],-2)</f>
        <v>0</v>
      </c>
      <c r="BN35" s="30">
        <f>Inventory[[#This Row],[Adjusted Res]]+Inventory[[#This Row],[Adj Det ]]</f>
        <v>315800</v>
      </c>
      <c r="BO35" s="30">
        <f>ROUND((Inventory[[#This Row],[Mdl Land Intercept]]+Inventory[[#This Row],[Mdl LnAcres]])*Inventory[[#This Row],[Det/Nbhd Adj]],-2)</f>
        <v>61100</v>
      </c>
      <c r="BP35" s="30">
        <f>Inventory[[#This Row],[Adjusted Impr Total]]+Inventory[[#This Row],[Adjusted Land Total]]</f>
        <v>376900</v>
      </c>
      <c r="BQ35" s="30">
        <f>IFERROR((Inventory[[#This Row],[Adjusted Impr Total]]-Inventory[[#This Row],[24Bldg]])/Inventory[[#This Row],[24Bldg]],0)</f>
        <v>-2.5909932140653916E-2</v>
      </c>
      <c r="BR35" s="43">
        <f>(Inventory[[#This Row],[Adjusted Land Total]]-Inventory[[#This Row],[24Lnd]])/Inventory[[#This Row],[24Lnd]]</f>
        <v>4.9342105263157892E-3</v>
      </c>
      <c r="BS35" s="43">
        <f>(Inventory[[#This Row],[Adjusted Total]]-Inventory[[#This Row],[24Final]])/Inventory[[#This Row],[24Final]]</f>
        <v>-2.1038961038961038E-2</v>
      </c>
    </row>
    <row r="36" spans="1:71">
      <c r="A36" s="30">
        <v>2025</v>
      </c>
      <c r="B36" s="31" t="s">
        <v>543</v>
      </c>
      <c r="C36" s="31">
        <f>LN(Inventory[[#This Row],[Acres]])</f>
        <v>-1.8263509139976741</v>
      </c>
      <c r="D36" s="37">
        <f>ROUND(Inventory[[#This Row],[Sqft]]/43560,3)</f>
        <v>0.161</v>
      </c>
      <c r="E36" s="30">
        <v>7001</v>
      </c>
      <c r="F36" s="31" t="s">
        <v>505</v>
      </c>
      <c r="G36" s="31" t="s">
        <v>155</v>
      </c>
      <c r="H36" s="31" t="s">
        <v>5</v>
      </c>
      <c r="I36" s="31" t="s">
        <v>506</v>
      </c>
      <c r="J36" s="31" t="s">
        <v>507</v>
      </c>
      <c r="K36" s="31" t="s">
        <v>157</v>
      </c>
      <c r="L36" s="31" t="s">
        <v>19</v>
      </c>
      <c r="M36" s="31" t="s">
        <v>24</v>
      </c>
      <c r="N36" s="31">
        <v>0</v>
      </c>
      <c r="O36" s="31">
        <f>2024-Inventory[[#This Row],[YrBlt]]</f>
        <v>2</v>
      </c>
      <c r="P36" s="31">
        <f>2024-Inventory[[#This Row],[EffYr]]</f>
        <v>2</v>
      </c>
      <c r="Q36" s="30">
        <v>2022</v>
      </c>
      <c r="R36" s="30">
        <v>2022</v>
      </c>
      <c r="S36" s="30">
        <v>1452</v>
      </c>
      <c r="T36" s="32"/>
      <c r="U36" s="32"/>
      <c r="V36" s="32"/>
      <c r="W36" s="32"/>
      <c r="X36" s="32">
        <f>Inventory[[#This Row],[Bsmt Area]]-Inventory[[#This Row],[FnBsmt]]</f>
        <v>0</v>
      </c>
      <c r="Y36" s="32">
        <f>Inventory[[#This Row],[MainFn]]+Inventory[[#This Row],[UpprFn]]+Inventory[[#This Row],[AddFn]]+Inventory[[#This Row],[FnBsmt]]</f>
        <v>1452</v>
      </c>
      <c r="Z36" s="32">
        <v>1500</v>
      </c>
      <c r="AA36" s="31" t="s">
        <v>56</v>
      </c>
      <c r="AB36" s="32"/>
      <c r="AC36" s="30">
        <v>400</v>
      </c>
      <c r="AD36" s="32"/>
      <c r="AE36" s="32"/>
      <c r="AF36" s="32"/>
      <c r="AG36" s="32"/>
      <c r="AH36" s="32"/>
      <c r="AI36" s="30">
        <v>285695</v>
      </c>
      <c r="AJ36" s="30">
        <v>279981</v>
      </c>
      <c r="AK36" s="30">
        <v>0</v>
      </c>
      <c r="AL36" s="30">
        <v>0</v>
      </c>
      <c r="AM36" s="30">
        <v>60800</v>
      </c>
      <c r="AN36" s="30">
        <v>312500</v>
      </c>
      <c r="AO36" s="30">
        <v>373300</v>
      </c>
      <c r="AP36" s="30">
        <f>Lookups!$B$58*0.6</f>
        <v>132535.48800000001</v>
      </c>
      <c r="AQ36" s="30">
        <f>Lookups!$B$58*0.4</f>
        <v>88356.992000000013</v>
      </c>
      <c r="AR36" s="30">
        <f>Lookups!$B$59*Inventory[[#This Row],[LnAcres]]</f>
        <v>-23969.615653948869</v>
      </c>
      <c r="AS36" s="30">
        <f>VLOOKUP(Inventory[[#This Row],[Qlty]],Lookups!$A$66:$E$79,2,FALSE)</f>
        <v>37154.252388000001</v>
      </c>
      <c r="AT36" s="30">
        <f>VLOOKUP(Inventory[[#This Row],[Cnd]],Lookups!$A$80:$E$88,2,FALSE)</f>
        <v>47371.278778200001</v>
      </c>
      <c r="AU36" s="30">
        <f>Inventory[[#This Row],[EffAge]]*Lookups!$B$65</f>
        <v>-217.48220000000001</v>
      </c>
      <c r="AV36" s="30">
        <f>Inventory[[#This Row],[MainFn]]*Lookups!$B$90</f>
        <v>90619.871760000009</v>
      </c>
      <c r="AW36" s="30">
        <f>Inventory[[#This Row],[UpprFn]]*Lookups!$B$91</f>
        <v>0</v>
      </c>
      <c r="AX36" s="30">
        <f>Inventory[[#This Row],[Bsmt Area]]*Lookups!$B$95</f>
        <v>0</v>
      </c>
      <c r="AY36" s="30">
        <f>Inventory[[#This Row],[AttGar]]*Lookups!$B$93</f>
        <v>14120.412400000001</v>
      </c>
      <c r="AZ36" s="30">
        <f>ROUND(Inventory[[#This Row],[25Det]],-2)</f>
        <v>0</v>
      </c>
      <c r="BA36" s="30">
        <f>ROUND(SUM(Inventory[[#This Row],[Mdl Qlty]:[Mdl Garage Area]])+Inventory[[#This Row],[Mdl Res Intercept]],-2)</f>
        <v>321600</v>
      </c>
      <c r="BB36" s="30">
        <f>ROUND(Inventory[[#This Row],[Mdl Land Intercept]]+Inventory[[#This Row],[Mdl LnAcres]],-2)</f>
        <v>64400</v>
      </c>
      <c r="BC36" s="30">
        <f>Inventory[[#This Row],[Unadj Res Value]]+Inventory[[#This Row],[Unadj Det Value]]+Inventory[[#This Row],[Unadj Land Value]]</f>
        <v>386000</v>
      </c>
      <c r="BD36" s="30">
        <f>(Inventory[[#This Row],[Unadj Total Value]]-Inventory[[#This Row],[24Final]])/Inventory[[#This Row],[24Final]]</f>
        <v>3.4020894722743104E-2</v>
      </c>
      <c r="BE36" s="30">
        <f>VLOOKUP(Inventory[[#This Row],[Nbhd]],Lookups!$M$3:$P$5,4,FALSE)</f>
        <v>0.99970000000000003</v>
      </c>
      <c r="BF36" s="30">
        <f>VLOOKUP(Inventory[[#This Row],[Qlty]],Lookups!$M$8:$P$22,4,FALSE)</f>
        <v>0.99819999999999998</v>
      </c>
      <c r="BG36" s="30">
        <f>VLOOKUP(Inventory[[#This Row],[Cnd]],Lookups!$R$8:$U$17,4,FALSE)</f>
        <v>1.0012000000000001</v>
      </c>
      <c r="BH36" s="30">
        <f>VLOOKUP(Inventory[[#This Row],[LivArea Range]],Lookups!$R$25:$U$43,4,FALSE)</f>
        <v>0.99519999999999997</v>
      </c>
      <c r="BI36" s="30">
        <f>VLOOKUP(Inventory[[#This Row],[Decade]],Lookups!$M$24:$P$40,4,FALSE)</f>
        <v>1</v>
      </c>
      <c r="BJ36" s="30">
        <f>Inventory[[#This Row],[Nbhd Adj]]*0.95</f>
        <v>0.94971499999999998</v>
      </c>
      <c r="BK36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36" s="30">
        <f>ROUND((SUM(Inventory[[#This Row],[Mdl Qlty]:[Mdl Garage Area]])+Inventory[[#This Row],[Mdl Res Intercept]])*Inventory[[#This Row],[Res Adj ]],-2)</f>
        <v>305200</v>
      </c>
      <c r="BM36" s="30">
        <f>ROUND(Inventory[[#This Row],[25Det]]*Inventory[[#This Row],[Det/Nbhd Adj]],-2)</f>
        <v>0</v>
      </c>
      <c r="BN36" s="30">
        <f>Inventory[[#This Row],[Adjusted Res]]+Inventory[[#This Row],[Adj Det ]]</f>
        <v>305200</v>
      </c>
      <c r="BO36" s="30">
        <f>ROUND((Inventory[[#This Row],[Mdl Land Intercept]]+Inventory[[#This Row],[Mdl LnAcres]])*Inventory[[#This Row],[Det/Nbhd Adj]],-2)</f>
        <v>61100</v>
      </c>
      <c r="BP36" s="30">
        <f>Inventory[[#This Row],[Adjusted Impr Total]]+Inventory[[#This Row],[Adjusted Land Total]]</f>
        <v>366300</v>
      </c>
      <c r="BQ36" s="30">
        <f>IFERROR((Inventory[[#This Row],[Adjusted Impr Total]]-Inventory[[#This Row],[24Bldg]])/Inventory[[#This Row],[24Bldg]],0)</f>
        <v>-2.3359999999999999E-2</v>
      </c>
      <c r="BR36" s="43">
        <f>(Inventory[[#This Row],[Adjusted Land Total]]-Inventory[[#This Row],[24Lnd]])/Inventory[[#This Row],[24Lnd]]</f>
        <v>4.9342105263157892E-3</v>
      </c>
      <c r="BS36" s="43">
        <f>(Inventory[[#This Row],[Adjusted Total]]-Inventory[[#This Row],[24Final]])/Inventory[[#This Row],[24Final]]</f>
        <v>-1.8751674256630057E-2</v>
      </c>
    </row>
    <row r="37" spans="1:71">
      <c r="A37" s="30">
        <v>2025</v>
      </c>
      <c r="B37" s="31" t="s">
        <v>544</v>
      </c>
      <c r="C37" s="31">
        <f>LN(Inventory[[#This Row],[Acres]])</f>
        <v>-1.8263509139976741</v>
      </c>
      <c r="D37" s="37">
        <f>ROUND(Inventory[[#This Row],[Sqft]]/43560,3)</f>
        <v>0.161</v>
      </c>
      <c r="E37" s="38">
        <v>7001</v>
      </c>
      <c r="F37" s="31" t="s">
        <v>505</v>
      </c>
      <c r="G37" s="31" t="s">
        <v>155</v>
      </c>
      <c r="H37" s="31" t="s">
        <v>5</v>
      </c>
      <c r="I37" s="31" t="s">
        <v>506</v>
      </c>
      <c r="J37" s="31" t="s">
        <v>507</v>
      </c>
      <c r="K37" s="31" t="s">
        <v>157</v>
      </c>
      <c r="L37" s="31" t="s">
        <v>19</v>
      </c>
      <c r="M37" s="31" t="s">
        <v>24</v>
      </c>
      <c r="N37" s="31">
        <v>0</v>
      </c>
      <c r="O37" s="31">
        <f>2024-Inventory[[#This Row],[YrBlt]]</f>
        <v>2</v>
      </c>
      <c r="P37" s="31">
        <f>2024-Inventory[[#This Row],[EffYr]]</f>
        <v>2</v>
      </c>
      <c r="Q37" s="30">
        <v>2022</v>
      </c>
      <c r="R37" s="30">
        <v>2022</v>
      </c>
      <c r="S37" s="30">
        <v>1464</v>
      </c>
      <c r="T37" s="37"/>
      <c r="U37" s="32"/>
      <c r="V37" s="32"/>
      <c r="W37" s="32"/>
      <c r="X37" s="32">
        <f>Inventory[[#This Row],[Bsmt Area]]-Inventory[[#This Row],[FnBsmt]]</f>
        <v>0</v>
      </c>
      <c r="Y37" s="32">
        <f>Inventory[[#This Row],[MainFn]]+Inventory[[#This Row],[UpprFn]]+Inventory[[#This Row],[AddFn]]+Inventory[[#This Row],[FnBsmt]]</f>
        <v>1464</v>
      </c>
      <c r="Z37" s="32">
        <v>1500</v>
      </c>
      <c r="AA37" s="31" t="s">
        <v>56</v>
      </c>
      <c r="AB37" s="38">
        <v>1</v>
      </c>
      <c r="AC37" s="38">
        <v>400</v>
      </c>
      <c r="AD37" s="32"/>
      <c r="AE37" s="32"/>
      <c r="AF37" s="32"/>
      <c r="AG37" s="32"/>
      <c r="AH37" s="32"/>
      <c r="AI37" s="30">
        <v>291156</v>
      </c>
      <c r="AJ37" s="30">
        <v>285333</v>
      </c>
      <c r="AK37" s="30">
        <v>0</v>
      </c>
      <c r="AL37" s="30">
        <v>0</v>
      </c>
      <c r="AM37" s="30">
        <v>60800</v>
      </c>
      <c r="AN37" s="30">
        <v>313100</v>
      </c>
      <c r="AO37" s="30">
        <v>373900</v>
      </c>
      <c r="AP37" s="30">
        <f>Lookups!$B$58*0.6</f>
        <v>132535.48800000001</v>
      </c>
      <c r="AQ37" s="30">
        <f>Lookups!$B$58*0.4</f>
        <v>88356.992000000013</v>
      </c>
      <c r="AR37" s="30">
        <f>Lookups!$B$59*Inventory[[#This Row],[LnAcres]]</f>
        <v>-23969.615653948869</v>
      </c>
      <c r="AS37" s="30">
        <f>VLOOKUP(Inventory[[#This Row],[Qlty]],Lookups!$A$66:$E$79,2,FALSE)</f>
        <v>37154.252388000001</v>
      </c>
      <c r="AT37" s="30">
        <f>VLOOKUP(Inventory[[#This Row],[Cnd]],Lookups!$A$80:$E$88,2,FALSE)</f>
        <v>47371.278778200001</v>
      </c>
      <c r="AU37" s="30">
        <f>Inventory[[#This Row],[EffAge]]*Lookups!$B$65</f>
        <v>-217.48220000000001</v>
      </c>
      <c r="AV37" s="30">
        <f>Inventory[[#This Row],[MainFn]]*Lookups!$B$90</f>
        <v>91368.796320000009</v>
      </c>
      <c r="AW37" s="30">
        <f>Inventory[[#This Row],[UpprFn]]*Lookups!$B$91</f>
        <v>0</v>
      </c>
      <c r="AX37" s="30">
        <f>Inventory[[#This Row],[Bsmt Area]]*Lookups!$B$95</f>
        <v>0</v>
      </c>
      <c r="AY37" s="30">
        <f>Inventory[[#This Row],[AttGar]]*Lookups!$B$93</f>
        <v>14120.412400000001</v>
      </c>
      <c r="AZ37" s="30">
        <f>ROUND(Inventory[[#This Row],[25Det]],-2)</f>
        <v>0</v>
      </c>
      <c r="BA37" s="30">
        <f>ROUND(SUM(Inventory[[#This Row],[Mdl Qlty]:[Mdl Garage Area]])+Inventory[[#This Row],[Mdl Res Intercept]],-2)</f>
        <v>322300</v>
      </c>
      <c r="BB37" s="30">
        <f>ROUND(Inventory[[#This Row],[Mdl Land Intercept]]+Inventory[[#This Row],[Mdl LnAcres]],-2)</f>
        <v>64400</v>
      </c>
      <c r="BC37" s="30">
        <f>Inventory[[#This Row],[Unadj Res Value]]+Inventory[[#This Row],[Unadj Det Value]]+Inventory[[#This Row],[Unadj Land Value]]</f>
        <v>386700</v>
      </c>
      <c r="BD37" s="30">
        <f>(Inventory[[#This Row],[Unadj Total Value]]-Inventory[[#This Row],[24Final]])/Inventory[[#This Row],[24Final]]</f>
        <v>3.4233752340197911E-2</v>
      </c>
      <c r="BE37" s="30">
        <f>VLOOKUP(Inventory[[#This Row],[Nbhd]],Lookups!$M$3:$P$5,4,FALSE)</f>
        <v>0.99970000000000003</v>
      </c>
      <c r="BF37" s="30">
        <f>VLOOKUP(Inventory[[#This Row],[Qlty]],Lookups!$M$8:$P$22,4,FALSE)</f>
        <v>0.99819999999999998</v>
      </c>
      <c r="BG37" s="30">
        <f>VLOOKUP(Inventory[[#This Row],[Cnd]],Lookups!$R$8:$U$17,4,FALSE)</f>
        <v>1.0012000000000001</v>
      </c>
      <c r="BH37" s="30">
        <f>VLOOKUP(Inventory[[#This Row],[LivArea Range]],Lookups!$R$25:$U$43,4,FALSE)</f>
        <v>0.99519999999999997</v>
      </c>
      <c r="BI37" s="30">
        <f>VLOOKUP(Inventory[[#This Row],[Decade]],Lookups!$M$24:$P$40,4,FALSE)</f>
        <v>1</v>
      </c>
      <c r="BJ37" s="30">
        <f>Inventory[[#This Row],[Nbhd Adj]]*0.95</f>
        <v>0.94971499999999998</v>
      </c>
      <c r="BK37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37" s="30">
        <f>ROUND((SUM(Inventory[[#This Row],[Mdl Qlty]:[Mdl Garage Area]])+Inventory[[#This Row],[Mdl Res Intercept]])*Inventory[[#This Row],[Res Adj ]],-2)</f>
        <v>305900</v>
      </c>
      <c r="BM37" s="30">
        <f>ROUND(Inventory[[#This Row],[25Det]]*Inventory[[#This Row],[Det/Nbhd Adj]],-2)</f>
        <v>0</v>
      </c>
      <c r="BN37" s="30">
        <f>Inventory[[#This Row],[Adjusted Res]]+Inventory[[#This Row],[Adj Det ]]</f>
        <v>305900</v>
      </c>
      <c r="BO37" s="30">
        <f>ROUND((Inventory[[#This Row],[Mdl Land Intercept]]+Inventory[[#This Row],[Mdl LnAcres]])*Inventory[[#This Row],[Det/Nbhd Adj]],-2)</f>
        <v>61100</v>
      </c>
      <c r="BP37" s="30">
        <f>Inventory[[#This Row],[Adjusted Impr Total]]+Inventory[[#This Row],[Adjusted Land Total]]</f>
        <v>367000</v>
      </c>
      <c r="BQ37" s="30">
        <f>IFERROR((Inventory[[#This Row],[Adjusted Impr Total]]-Inventory[[#This Row],[24Bldg]])/Inventory[[#This Row],[24Bldg]],0)</f>
        <v>-2.2995847971893964E-2</v>
      </c>
      <c r="BR37" s="43">
        <f>(Inventory[[#This Row],[Adjusted Land Total]]-Inventory[[#This Row],[24Lnd]])/Inventory[[#This Row],[24Lnd]]</f>
        <v>4.9342105263157892E-3</v>
      </c>
      <c r="BS37" s="43">
        <f>(Inventory[[#This Row],[Adjusted Total]]-Inventory[[#This Row],[24Final]])/Inventory[[#This Row],[24Final]]</f>
        <v>-1.8454132120887937E-2</v>
      </c>
    </row>
    <row r="38" spans="1:71">
      <c r="A38" s="30">
        <v>2025</v>
      </c>
      <c r="B38" s="31" t="s">
        <v>545</v>
      </c>
      <c r="C38" s="31">
        <f>LN(Inventory[[#This Row],[Acres]])</f>
        <v>-1.8263509139976741</v>
      </c>
      <c r="D38" s="37">
        <f>ROUND(Inventory[[#This Row],[Sqft]]/43560,3)</f>
        <v>0.161</v>
      </c>
      <c r="E38" s="38">
        <v>7002</v>
      </c>
      <c r="F38" s="31" t="s">
        <v>505</v>
      </c>
      <c r="G38" s="31" t="s">
        <v>155</v>
      </c>
      <c r="H38" s="31" t="s">
        <v>5</v>
      </c>
      <c r="I38" s="31" t="s">
        <v>506</v>
      </c>
      <c r="J38" s="31" t="s">
        <v>507</v>
      </c>
      <c r="K38" s="31" t="s">
        <v>157</v>
      </c>
      <c r="L38" s="31" t="s">
        <v>19</v>
      </c>
      <c r="M38" s="31" t="s">
        <v>24</v>
      </c>
      <c r="N38" s="31">
        <v>0</v>
      </c>
      <c r="O38" s="31">
        <f>2024-Inventory[[#This Row],[YrBlt]]</f>
        <v>2</v>
      </c>
      <c r="P38" s="31">
        <f>2024-Inventory[[#This Row],[EffYr]]</f>
        <v>2</v>
      </c>
      <c r="Q38" s="30">
        <v>2022</v>
      </c>
      <c r="R38" s="30">
        <v>2022</v>
      </c>
      <c r="S38" s="30">
        <v>1464</v>
      </c>
      <c r="T38" s="32"/>
      <c r="U38" s="32"/>
      <c r="V38" s="32"/>
      <c r="W38" s="32"/>
      <c r="X38" s="32">
        <f>Inventory[[#This Row],[Bsmt Area]]-Inventory[[#This Row],[FnBsmt]]</f>
        <v>0</v>
      </c>
      <c r="Y38" s="32">
        <f>Inventory[[#This Row],[MainFn]]+Inventory[[#This Row],[UpprFn]]+Inventory[[#This Row],[AddFn]]+Inventory[[#This Row],[FnBsmt]]</f>
        <v>1464</v>
      </c>
      <c r="Z38" s="32">
        <v>1500</v>
      </c>
      <c r="AA38" s="31" t="s">
        <v>56</v>
      </c>
      <c r="AB38" s="38">
        <v>1</v>
      </c>
      <c r="AC38" s="38">
        <v>400</v>
      </c>
      <c r="AD38" s="32"/>
      <c r="AE38" s="32"/>
      <c r="AF38" s="32"/>
      <c r="AG38" s="32"/>
      <c r="AH38" s="32"/>
      <c r="AI38" s="30">
        <v>291156</v>
      </c>
      <c r="AJ38" s="30">
        <v>285333</v>
      </c>
      <c r="AK38" s="30">
        <v>0</v>
      </c>
      <c r="AL38" s="30">
        <v>0</v>
      </c>
      <c r="AM38" s="30">
        <v>60800</v>
      </c>
      <c r="AN38" s="30">
        <v>313100</v>
      </c>
      <c r="AO38" s="30">
        <v>373900</v>
      </c>
      <c r="AP38" s="30">
        <f>Lookups!$B$58*0.6</f>
        <v>132535.48800000001</v>
      </c>
      <c r="AQ38" s="30">
        <f>Lookups!$B$58*0.4</f>
        <v>88356.992000000013</v>
      </c>
      <c r="AR38" s="30">
        <f>Lookups!$B$59*Inventory[[#This Row],[LnAcres]]</f>
        <v>-23969.615653948869</v>
      </c>
      <c r="AS38" s="30">
        <f>VLOOKUP(Inventory[[#This Row],[Qlty]],Lookups!$A$66:$E$79,2,FALSE)</f>
        <v>37154.252388000001</v>
      </c>
      <c r="AT38" s="30">
        <f>VLOOKUP(Inventory[[#This Row],[Cnd]],Lookups!$A$80:$E$88,2,FALSE)</f>
        <v>47371.278778200001</v>
      </c>
      <c r="AU38" s="30">
        <f>Inventory[[#This Row],[EffAge]]*Lookups!$B$65</f>
        <v>-217.48220000000001</v>
      </c>
      <c r="AV38" s="30">
        <f>Inventory[[#This Row],[MainFn]]*Lookups!$B$90</f>
        <v>91368.796320000009</v>
      </c>
      <c r="AW38" s="30">
        <f>Inventory[[#This Row],[UpprFn]]*Lookups!$B$91</f>
        <v>0</v>
      </c>
      <c r="AX38" s="30">
        <f>Inventory[[#This Row],[Bsmt Area]]*Lookups!$B$95</f>
        <v>0</v>
      </c>
      <c r="AY38" s="30">
        <f>Inventory[[#This Row],[AttGar]]*Lookups!$B$93</f>
        <v>14120.412400000001</v>
      </c>
      <c r="AZ38" s="30">
        <f>ROUND(Inventory[[#This Row],[25Det]],-2)</f>
        <v>0</v>
      </c>
      <c r="BA38" s="30">
        <f>ROUND(SUM(Inventory[[#This Row],[Mdl Qlty]:[Mdl Garage Area]])+Inventory[[#This Row],[Mdl Res Intercept]],-2)</f>
        <v>322300</v>
      </c>
      <c r="BB38" s="30">
        <f>ROUND(Inventory[[#This Row],[Mdl Land Intercept]]+Inventory[[#This Row],[Mdl LnAcres]],-2)</f>
        <v>64400</v>
      </c>
      <c r="BC38" s="30">
        <f>Inventory[[#This Row],[Unadj Res Value]]+Inventory[[#This Row],[Unadj Det Value]]+Inventory[[#This Row],[Unadj Land Value]]</f>
        <v>386700</v>
      </c>
      <c r="BD38" s="30">
        <f>(Inventory[[#This Row],[Unadj Total Value]]-Inventory[[#This Row],[24Final]])/Inventory[[#This Row],[24Final]]</f>
        <v>3.4233752340197911E-2</v>
      </c>
      <c r="BE38" s="30">
        <f>VLOOKUP(Inventory[[#This Row],[Nbhd]],Lookups!$M$3:$P$5,4,FALSE)</f>
        <v>0.99970000000000003</v>
      </c>
      <c r="BF38" s="30">
        <f>VLOOKUP(Inventory[[#This Row],[Qlty]],Lookups!$M$8:$P$22,4,FALSE)</f>
        <v>0.99819999999999998</v>
      </c>
      <c r="BG38" s="30">
        <f>VLOOKUP(Inventory[[#This Row],[Cnd]],Lookups!$R$8:$U$17,4,FALSE)</f>
        <v>1.0012000000000001</v>
      </c>
      <c r="BH38" s="30">
        <f>VLOOKUP(Inventory[[#This Row],[LivArea Range]],Lookups!$R$25:$U$43,4,FALSE)</f>
        <v>0.99519999999999997</v>
      </c>
      <c r="BI38" s="30">
        <f>VLOOKUP(Inventory[[#This Row],[Decade]],Lookups!$M$24:$P$40,4,FALSE)</f>
        <v>1</v>
      </c>
      <c r="BJ38" s="30">
        <f>Inventory[[#This Row],[Nbhd Adj]]*0.95</f>
        <v>0.94971499999999998</v>
      </c>
      <c r="BK38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38" s="30">
        <f>ROUND((SUM(Inventory[[#This Row],[Mdl Qlty]:[Mdl Garage Area]])+Inventory[[#This Row],[Mdl Res Intercept]])*Inventory[[#This Row],[Res Adj ]],-2)</f>
        <v>305900</v>
      </c>
      <c r="BM38" s="30">
        <f>ROUND(Inventory[[#This Row],[25Det]]*Inventory[[#This Row],[Det/Nbhd Adj]],-2)</f>
        <v>0</v>
      </c>
      <c r="BN38" s="30">
        <f>Inventory[[#This Row],[Adjusted Res]]+Inventory[[#This Row],[Adj Det ]]</f>
        <v>305900</v>
      </c>
      <c r="BO38" s="30">
        <f>ROUND((Inventory[[#This Row],[Mdl Land Intercept]]+Inventory[[#This Row],[Mdl LnAcres]])*Inventory[[#This Row],[Det/Nbhd Adj]],-2)</f>
        <v>61100</v>
      </c>
      <c r="BP38" s="30">
        <f>Inventory[[#This Row],[Adjusted Impr Total]]+Inventory[[#This Row],[Adjusted Land Total]]</f>
        <v>367000</v>
      </c>
      <c r="BQ38" s="30">
        <f>IFERROR((Inventory[[#This Row],[Adjusted Impr Total]]-Inventory[[#This Row],[24Bldg]])/Inventory[[#This Row],[24Bldg]],0)</f>
        <v>-2.2995847971893964E-2</v>
      </c>
      <c r="BR38" s="43">
        <f>(Inventory[[#This Row],[Adjusted Land Total]]-Inventory[[#This Row],[24Lnd]])/Inventory[[#This Row],[24Lnd]]</f>
        <v>4.9342105263157892E-3</v>
      </c>
      <c r="BS38" s="43">
        <f>(Inventory[[#This Row],[Adjusted Total]]-Inventory[[#This Row],[24Final]])/Inventory[[#This Row],[24Final]]</f>
        <v>-1.8454132120887937E-2</v>
      </c>
    </row>
    <row r="39" spans="1:71">
      <c r="A39" s="30">
        <v>2025</v>
      </c>
      <c r="B39" s="31" t="s">
        <v>546</v>
      </c>
      <c r="C39" s="31">
        <f>LN(Inventory[[#This Row],[Acres]])</f>
        <v>-1.8263509139976741</v>
      </c>
      <c r="D39" s="37">
        <f>ROUND(Inventory[[#This Row],[Sqft]]/43560,3)</f>
        <v>0.161</v>
      </c>
      <c r="E39" s="30">
        <v>7001</v>
      </c>
      <c r="F39" s="31" t="s">
        <v>505</v>
      </c>
      <c r="G39" s="31" t="s">
        <v>155</v>
      </c>
      <c r="H39" s="31" t="s">
        <v>5</v>
      </c>
      <c r="I39" s="31" t="s">
        <v>506</v>
      </c>
      <c r="J39" s="31" t="s">
        <v>507</v>
      </c>
      <c r="K39" s="31" t="s">
        <v>157</v>
      </c>
      <c r="L39" s="31" t="s">
        <v>19</v>
      </c>
      <c r="M39" s="31" t="s">
        <v>24</v>
      </c>
      <c r="N39" s="31">
        <v>0</v>
      </c>
      <c r="O39" s="31">
        <f>2024-Inventory[[#This Row],[YrBlt]]</f>
        <v>2</v>
      </c>
      <c r="P39" s="31">
        <f>2024-Inventory[[#This Row],[EffYr]]</f>
        <v>2</v>
      </c>
      <c r="Q39" s="30">
        <v>2022</v>
      </c>
      <c r="R39" s="30">
        <v>2022</v>
      </c>
      <c r="S39" s="30">
        <v>1580</v>
      </c>
      <c r="T39" s="32"/>
      <c r="U39" s="32"/>
      <c r="V39" s="32"/>
      <c r="W39" s="32"/>
      <c r="X39" s="32">
        <f>Inventory[[#This Row],[Bsmt Area]]-Inventory[[#This Row],[FnBsmt]]</f>
        <v>0</v>
      </c>
      <c r="Y39" s="32">
        <f>Inventory[[#This Row],[MainFn]]+Inventory[[#This Row],[UpprFn]]+Inventory[[#This Row],[AddFn]]+Inventory[[#This Row],[FnBsmt]]</f>
        <v>1580</v>
      </c>
      <c r="Z39" s="32">
        <v>2000</v>
      </c>
      <c r="AA39" s="31" t="s">
        <v>56</v>
      </c>
      <c r="AB39" s="32"/>
      <c r="AC39" s="38">
        <v>400</v>
      </c>
      <c r="AD39" s="32"/>
      <c r="AE39" s="32"/>
      <c r="AF39" s="32"/>
      <c r="AG39" s="32"/>
      <c r="AH39" s="32"/>
      <c r="AI39" s="30">
        <v>306027</v>
      </c>
      <c r="AJ39" s="30">
        <v>299906</v>
      </c>
      <c r="AK39" s="30">
        <v>0</v>
      </c>
      <c r="AL39" s="30">
        <v>0</v>
      </c>
      <c r="AM39" s="30">
        <v>60800</v>
      </c>
      <c r="AN39" s="30">
        <v>320800</v>
      </c>
      <c r="AO39" s="30">
        <v>381600</v>
      </c>
      <c r="AP39" s="30">
        <f>Lookups!$B$58*0.6</f>
        <v>132535.48800000001</v>
      </c>
      <c r="AQ39" s="30">
        <f>Lookups!$B$58*0.4</f>
        <v>88356.992000000013</v>
      </c>
      <c r="AR39" s="30">
        <f>Lookups!$B$59*Inventory[[#This Row],[LnAcres]]</f>
        <v>-23969.615653948869</v>
      </c>
      <c r="AS39" s="30">
        <f>VLOOKUP(Inventory[[#This Row],[Qlty]],Lookups!$A$66:$E$79,2,FALSE)</f>
        <v>37154.252388000001</v>
      </c>
      <c r="AT39" s="30">
        <f>VLOOKUP(Inventory[[#This Row],[Cnd]],Lookups!$A$80:$E$88,2,FALSE)</f>
        <v>47371.278778200001</v>
      </c>
      <c r="AU39" s="30">
        <f>Inventory[[#This Row],[EffAge]]*Lookups!$B$65</f>
        <v>-217.48220000000001</v>
      </c>
      <c r="AV39" s="30">
        <f>Inventory[[#This Row],[MainFn]]*Lookups!$B$90</f>
        <v>98608.400399999999</v>
      </c>
      <c r="AW39" s="30">
        <f>Inventory[[#This Row],[UpprFn]]*Lookups!$B$91</f>
        <v>0</v>
      </c>
      <c r="AX39" s="30">
        <f>Inventory[[#This Row],[Bsmt Area]]*Lookups!$B$95</f>
        <v>0</v>
      </c>
      <c r="AY39" s="30">
        <f>Inventory[[#This Row],[AttGar]]*Lookups!$B$93</f>
        <v>14120.412400000001</v>
      </c>
      <c r="AZ39" s="30">
        <f>ROUND(Inventory[[#This Row],[25Det]],-2)</f>
        <v>0</v>
      </c>
      <c r="BA39" s="30">
        <f>ROUND(SUM(Inventory[[#This Row],[Mdl Qlty]:[Mdl Garage Area]])+Inventory[[#This Row],[Mdl Res Intercept]],-2)</f>
        <v>329600</v>
      </c>
      <c r="BB39" s="30">
        <f>ROUND(Inventory[[#This Row],[Mdl Land Intercept]]+Inventory[[#This Row],[Mdl LnAcres]],-2)</f>
        <v>64400</v>
      </c>
      <c r="BC39" s="30">
        <f>Inventory[[#This Row],[Unadj Res Value]]+Inventory[[#This Row],[Unadj Det Value]]+Inventory[[#This Row],[Unadj Land Value]]</f>
        <v>394000</v>
      </c>
      <c r="BD39" s="30">
        <f>(Inventory[[#This Row],[Unadj Total Value]]-Inventory[[#This Row],[24Final]])/Inventory[[#This Row],[24Final]]</f>
        <v>3.2494758909853247E-2</v>
      </c>
      <c r="BE39" s="30">
        <f>VLOOKUP(Inventory[[#This Row],[Nbhd]],Lookups!$M$3:$P$5,4,FALSE)</f>
        <v>0.99970000000000003</v>
      </c>
      <c r="BF39" s="30">
        <f>VLOOKUP(Inventory[[#This Row],[Qlty]],Lookups!$M$8:$P$22,4,FALSE)</f>
        <v>0.99819999999999998</v>
      </c>
      <c r="BG39" s="30">
        <f>VLOOKUP(Inventory[[#This Row],[Cnd]],Lookups!$R$8:$U$17,4,FALSE)</f>
        <v>1.0012000000000001</v>
      </c>
      <c r="BH39" s="30">
        <f>VLOOKUP(Inventory[[#This Row],[LivArea Range]],Lookups!$R$25:$U$43,4,FALSE)</f>
        <v>1.0007999999999999</v>
      </c>
      <c r="BI39" s="30">
        <f>VLOOKUP(Inventory[[#This Row],[Decade]],Lookups!$M$24:$P$40,4,FALSE)</f>
        <v>1</v>
      </c>
      <c r="BJ39" s="30">
        <f>Inventory[[#This Row],[Nbhd Adj]]*0.95</f>
        <v>0.94971499999999998</v>
      </c>
      <c r="BK39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39" s="30">
        <f>ROUND((SUM(Inventory[[#This Row],[Mdl Qlty]:[Mdl Garage Area]])+Inventory[[#This Row],[Mdl Res Intercept]])*Inventory[[#This Row],[Res Adj ]],-2)</f>
        <v>313100</v>
      </c>
      <c r="BM39" s="30">
        <f>ROUND(Inventory[[#This Row],[25Det]]*Inventory[[#This Row],[Det/Nbhd Adj]],-2)</f>
        <v>0</v>
      </c>
      <c r="BN39" s="30">
        <f>Inventory[[#This Row],[Adjusted Res]]+Inventory[[#This Row],[Adj Det ]]</f>
        <v>313100</v>
      </c>
      <c r="BO39" s="30">
        <f>ROUND((Inventory[[#This Row],[Mdl Land Intercept]]+Inventory[[#This Row],[Mdl LnAcres]])*Inventory[[#This Row],[Det/Nbhd Adj]],-2)</f>
        <v>61100</v>
      </c>
      <c r="BP39" s="30">
        <f>Inventory[[#This Row],[Adjusted Impr Total]]+Inventory[[#This Row],[Adjusted Land Total]]</f>
        <v>374200</v>
      </c>
      <c r="BQ39" s="30">
        <f>IFERROR((Inventory[[#This Row],[Adjusted Impr Total]]-Inventory[[#This Row],[24Bldg]])/Inventory[[#This Row],[24Bldg]],0)</f>
        <v>-2.4002493765586035E-2</v>
      </c>
      <c r="BR39" s="43">
        <f>(Inventory[[#This Row],[Adjusted Land Total]]-Inventory[[#This Row],[24Lnd]])/Inventory[[#This Row],[24Lnd]]</f>
        <v>4.9342105263157892E-3</v>
      </c>
      <c r="BS39" s="43">
        <f>(Inventory[[#This Row],[Adjusted Total]]-Inventory[[#This Row],[24Final]])/Inventory[[#This Row],[24Final]]</f>
        <v>-1.9392033542976941E-2</v>
      </c>
    </row>
    <row r="40" spans="1:71">
      <c r="A40" s="30">
        <v>2025</v>
      </c>
      <c r="B40" s="31" t="s">
        <v>547</v>
      </c>
      <c r="C40" s="31">
        <f>LN(Inventory[[#This Row],[Acres]])</f>
        <v>-1.8263509139976741</v>
      </c>
      <c r="D40" s="37">
        <f>ROUND(Inventory[[#This Row],[Sqft]]/43560,3)</f>
        <v>0.161</v>
      </c>
      <c r="E40" s="30">
        <v>7001</v>
      </c>
      <c r="F40" s="31" t="s">
        <v>505</v>
      </c>
      <c r="G40" s="31" t="s">
        <v>155</v>
      </c>
      <c r="H40" s="31" t="s">
        <v>5</v>
      </c>
      <c r="I40" s="31" t="s">
        <v>506</v>
      </c>
      <c r="J40" s="31" t="s">
        <v>507</v>
      </c>
      <c r="K40" s="31" t="s">
        <v>157</v>
      </c>
      <c r="L40" s="31" t="s">
        <v>19</v>
      </c>
      <c r="M40" s="31" t="s">
        <v>24</v>
      </c>
      <c r="N40" s="31">
        <v>0</v>
      </c>
      <c r="O40" s="31">
        <f>2024-Inventory[[#This Row],[YrBlt]]</f>
        <v>2</v>
      </c>
      <c r="P40" s="31">
        <f>2024-Inventory[[#This Row],[EffYr]]</f>
        <v>2</v>
      </c>
      <c r="Q40" s="30">
        <v>2022</v>
      </c>
      <c r="R40" s="30">
        <v>2022</v>
      </c>
      <c r="S40" s="30">
        <v>1592</v>
      </c>
      <c r="T40" s="32"/>
      <c r="U40" s="32"/>
      <c r="V40" s="32"/>
      <c r="W40" s="32"/>
      <c r="X40" s="32">
        <f>Inventory[[#This Row],[Bsmt Area]]-Inventory[[#This Row],[FnBsmt]]</f>
        <v>0</v>
      </c>
      <c r="Y40" s="32">
        <f>Inventory[[#This Row],[MainFn]]+Inventory[[#This Row],[UpprFn]]+Inventory[[#This Row],[AddFn]]+Inventory[[#This Row],[FnBsmt]]</f>
        <v>1592</v>
      </c>
      <c r="Z40" s="32">
        <v>2000</v>
      </c>
      <c r="AA40" s="31" t="s">
        <v>56</v>
      </c>
      <c r="AB40" s="38">
        <v>1</v>
      </c>
      <c r="AC40" s="30">
        <v>400</v>
      </c>
      <c r="AD40" s="32"/>
      <c r="AE40" s="32"/>
      <c r="AF40" s="32"/>
      <c r="AG40" s="32"/>
      <c r="AH40" s="32"/>
      <c r="AI40" s="30">
        <v>314443</v>
      </c>
      <c r="AJ40" s="30">
        <v>308154</v>
      </c>
      <c r="AK40" s="30">
        <v>0</v>
      </c>
      <c r="AL40" s="30">
        <v>0</v>
      </c>
      <c r="AM40" s="30">
        <v>60800</v>
      </c>
      <c r="AN40" s="30">
        <v>321400</v>
      </c>
      <c r="AO40" s="30">
        <v>382200</v>
      </c>
      <c r="AP40" s="30">
        <f>Lookups!$B$58*0.6</f>
        <v>132535.48800000001</v>
      </c>
      <c r="AQ40" s="30">
        <f>Lookups!$B$58*0.4</f>
        <v>88356.992000000013</v>
      </c>
      <c r="AR40" s="30">
        <f>Lookups!$B$59*Inventory[[#This Row],[LnAcres]]</f>
        <v>-23969.615653948869</v>
      </c>
      <c r="AS40" s="30">
        <f>VLOOKUP(Inventory[[#This Row],[Qlty]],Lookups!$A$66:$E$79,2,FALSE)</f>
        <v>37154.252388000001</v>
      </c>
      <c r="AT40" s="30">
        <f>VLOOKUP(Inventory[[#This Row],[Cnd]],Lookups!$A$80:$E$88,2,FALSE)</f>
        <v>47371.278778200001</v>
      </c>
      <c r="AU40" s="30">
        <f>Inventory[[#This Row],[EffAge]]*Lookups!$B$65</f>
        <v>-217.48220000000001</v>
      </c>
      <c r="AV40" s="30">
        <f>Inventory[[#This Row],[MainFn]]*Lookups!$B$90</f>
        <v>99357.324960000013</v>
      </c>
      <c r="AW40" s="30">
        <f>Inventory[[#This Row],[UpprFn]]*Lookups!$B$91</f>
        <v>0</v>
      </c>
      <c r="AX40" s="30">
        <f>Inventory[[#This Row],[Bsmt Area]]*Lookups!$B$95</f>
        <v>0</v>
      </c>
      <c r="AY40" s="30">
        <f>Inventory[[#This Row],[AttGar]]*Lookups!$B$93</f>
        <v>14120.412400000001</v>
      </c>
      <c r="AZ40" s="30">
        <f>ROUND(Inventory[[#This Row],[25Det]],-2)</f>
        <v>0</v>
      </c>
      <c r="BA40" s="30">
        <f>ROUND(SUM(Inventory[[#This Row],[Mdl Qlty]:[Mdl Garage Area]])+Inventory[[#This Row],[Mdl Res Intercept]],-2)</f>
        <v>330300</v>
      </c>
      <c r="BB40" s="30">
        <f>ROUND(Inventory[[#This Row],[Mdl Land Intercept]]+Inventory[[#This Row],[Mdl LnAcres]],-2)</f>
        <v>64400</v>
      </c>
      <c r="BC40" s="30">
        <f>Inventory[[#This Row],[Unadj Res Value]]+Inventory[[#This Row],[Unadj Det Value]]+Inventory[[#This Row],[Unadj Land Value]]</f>
        <v>394700</v>
      </c>
      <c r="BD40" s="30">
        <f>(Inventory[[#This Row],[Unadj Total Value]]-Inventory[[#This Row],[24Final]])/Inventory[[#This Row],[24Final]]</f>
        <v>3.2705389848246988E-2</v>
      </c>
      <c r="BE40" s="30">
        <f>VLOOKUP(Inventory[[#This Row],[Nbhd]],Lookups!$M$3:$P$5,4,FALSE)</f>
        <v>0.99970000000000003</v>
      </c>
      <c r="BF40" s="30">
        <f>VLOOKUP(Inventory[[#This Row],[Qlty]],Lookups!$M$8:$P$22,4,FALSE)</f>
        <v>0.99819999999999998</v>
      </c>
      <c r="BG40" s="30">
        <f>VLOOKUP(Inventory[[#This Row],[Cnd]],Lookups!$R$8:$U$17,4,FALSE)</f>
        <v>1.0012000000000001</v>
      </c>
      <c r="BH40" s="30">
        <f>VLOOKUP(Inventory[[#This Row],[LivArea Range]],Lookups!$R$25:$U$43,4,FALSE)</f>
        <v>1.0007999999999999</v>
      </c>
      <c r="BI40" s="30">
        <f>VLOOKUP(Inventory[[#This Row],[Decade]],Lookups!$M$24:$P$40,4,FALSE)</f>
        <v>1</v>
      </c>
      <c r="BJ40" s="30">
        <f>Inventory[[#This Row],[Nbhd Adj]]*0.95</f>
        <v>0.94971499999999998</v>
      </c>
      <c r="BK40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40" s="30">
        <f>ROUND((SUM(Inventory[[#This Row],[Mdl Qlty]:[Mdl Garage Area]])+Inventory[[#This Row],[Mdl Res Intercept]])*Inventory[[#This Row],[Res Adj ]],-2)</f>
        <v>313800</v>
      </c>
      <c r="BM40" s="30">
        <f>ROUND(Inventory[[#This Row],[25Det]]*Inventory[[#This Row],[Det/Nbhd Adj]],-2)</f>
        <v>0</v>
      </c>
      <c r="BN40" s="30">
        <f>Inventory[[#This Row],[Adjusted Res]]+Inventory[[#This Row],[Adj Det ]]</f>
        <v>313800</v>
      </c>
      <c r="BO40" s="30">
        <f>ROUND((Inventory[[#This Row],[Mdl Land Intercept]]+Inventory[[#This Row],[Mdl LnAcres]])*Inventory[[#This Row],[Det/Nbhd Adj]],-2)</f>
        <v>61100</v>
      </c>
      <c r="BP40" s="30">
        <f>Inventory[[#This Row],[Adjusted Impr Total]]+Inventory[[#This Row],[Adjusted Land Total]]</f>
        <v>374900</v>
      </c>
      <c r="BQ40" s="30">
        <f>IFERROR((Inventory[[#This Row],[Adjusted Impr Total]]-Inventory[[#This Row],[24Bldg]])/Inventory[[#This Row],[24Bldg]],0)</f>
        <v>-2.3646546359676415E-2</v>
      </c>
      <c r="BR40" s="43">
        <f>(Inventory[[#This Row],[Adjusted Land Total]]-Inventory[[#This Row],[24Lnd]])/Inventory[[#This Row],[24Lnd]]</f>
        <v>4.9342105263157892E-3</v>
      </c>
      <c r="BS40" s="43">
        <f>(Inventory[[#This Row],[Adjusted Total]]-Inventory[[#This Row],[24Final]])/Inventory[[#This Row],[24Final]]</f>
        <v>-1.9099947671376242E-2</v>
      </c>
    </row>
    <row r="41" spans="1:71">
      <c r="A41" s="30">
        <v>2025</v>
      </c>
      <c r="B41" s="31" t="s">
        <v>548</v>
      </c>
      <c r="C41" s="31">
        <f>LN(Inventory[[#This Row],[Acres]])</f>
        <v>-1.8140050781753747</v>
      </c>
      <c r="D41" s="37">
        <f>ROUND(Inventory[[#This Row],[Sqft]]/43560,3)</f>
        <v>0.16300000000000001</v>
      </c>
      <c r="E41" s="30">
        <v>7087</v>
      </c>
      <c r="F41" s="31" t="s">
        <v>505</v>
      </c>
      <c r="G41" s="31" t="s">
        <v>155</v>
      </c>
      <c r="H41" s="31" t="s">
        <v>5</v>
      </c>
      <c r="I41" s="31" t="s">
        <v>506</v>
      </c>
      <c r="J41" s="31" t="s">
        <v>507</v>
      </c>
      <c r="K41" s="31" t="s">
        <v>157</v>
      </c>
      <c r="L41" s="31" t="s">
        <v>19</v>
      </c>
      <c r="M41" s="31" t="s">
        <v>24</v>
      </c>
      <c r="N41" s="31">
        <v>0</v>
      </c>
      <c r="O41" s="31">
        <f>2024-Inventory[[#This Row],[YrBlt]]</f>
        <v>2</v>
      </c>
      <c r="P41" s="31">
        <f>2024-Inventory[[#This Row],[EffYr]]</f>
        <v>2</v>
      </c>
      <c r="Q41" s="30">
        <v>2022</v>
      </c>
      <c r="R41" s="30">
        <v>2022</v>
      </c>
      <c r="S41" s="30">
        <v>1592</v>
      </c>
      <c r="T41" s="32"/>
      <c r="U41" s="32"/>
      <c r="V41" s="32"/>
      <c r="W41" s="32"/>
      <c r="X41" s="32">
        <f>Inventory[[#This Row],[Bsmt Area]]-Inventory[[#This Row],[FnBsmt]]</f>
        <v>0</v>
      </c>
      <c r="Y41" s="32">
        <f>Inventory[[#This Row],[MainFn]]+Inventory[[#This Row],[UpprFn]]+Inventory[[#This Row],[AddFn]]+Inventory[[#This Row],[FnBsmt]]</f>
        <v>1592</v>
      </c>
      <c r="Z41" s="32">
        <v>2000</v>
      </c>
      <c r="AA41" s="31" t="s">
        <v>56</v>
      </c>
      <c r="AB41" s="38">
        <v>1</v>
      </c>
      <c r="AC41" s="38">
        <v>400</v>
      </c>
      <c r="AD41" s="32"/>
      <c r="AE41" s="32"/>
      <c r="AF41" s="32"/>
      <c r="AG41" s="32"/>
      <c r="AH41" s="32"/>
      <c r="AI41" s="30">
        <v>321049</v>
      </c>
      <c r="AJ41" s="30">
        <v>314628</v>
      </c>
      <c r="AK41" s="30">
        <v>0</v>
      </c>
      <c r="AL41" s="30">
        <v>0</v>
      </c>
      <c r="AM41" s="30">
        <v>60800</v>
      </c>
      <c r="AN41" s="30">
        <v>332400</v>
      </c>
      <c r="AO41" s="30">
        <v>393200</v>
      </c>
      <c r="AP41" s="30">
        <f>Lookups!$B$58*0.6</f>
        <v>132535.48800000001</v>
      </c>
      <c r="AQ41" s="30">
        <f>Lookups!$B$58*0.4</f>
        <v>88356.992000000013</v>
      </c>
      <c r="AR41" s="30">
        <f>Lookups!$B$59*Inventory[[#This Row],[LnAcres]]</f>
        <v>-23807.584941603713</v>
      </c>
      <c r="AS41" s="30">
        <f>VLOOKUP(Inventory[[#This Row],[Qlty]],Lookups!$A$66:$E$79,2,FALSE)</f>
        <v>37154.252388000001</v>
      </c>
      <c r="AT41" s="30">
        <f>VLOOKUP(Inventory[[#This Row],[Cnd]],Lookups!$A$80:$E$88,2,FALSE)</f>
        <v>47371.278778200001</v>
      </c>
      <c r="AU41" s="30">
        <f>Inventory[[#This Row],[EffAge]]*Lookups!$B$65</f>
        <v>-217.48220000000001</v>
      </c>
      <c r="AV41" s="30">
        <f>Inventory[[#This Row],[MainFn]]*Lookups!$B$90</f>
        <v>99357.324960000013</v>
      </c>
      <c r="AW41" s="30">
        <f>Inventory[[#This Row],[UpprFn]]*Lookups!$B$91</f>
        <v>0</v>
      </c>
      <c r="AX41" s="30">
        <f>Inventory[[#This Row],[Bsmt Area]]*Lookups!$B$95</f>
        <v>0</v>
      </c>
      <c r="AY41" s="30">
        <f>Inventory[[#This Row],[AttGar]]*Lookups!$B$93</f>
        <v>14120.412400000001</v>
      </c>
      <c r="AZ41" s="30">
        <f>ROUND(Inventory[[#This Row],[25Det]],-2)</f>
        <v>0</v>
      </c>
      <c r="BA41" s="30">
        <f>ROUND(SUM(Inventory[[#This Row],[Mdl Qlty]:[Mdl Garage Area]])+Inventory[[#This Row],[Mdl Res Intercept]],-2)</f>
        <v>330300</v>
      </c>
      <c r="BB41" s="30">
        <f>ROUND(Inventory[[#This Row],[Mdl Land Intercept]]+Inventory[[#This Row],[Mdl LnAcres]],-2)</f>
        <v>64500</v>
      </c>
      <c r="BC41" s="30">
        <f>Inventory[[#This Row],[Unadj Res Value]]+Inventory[[#This Row],[Unadj Det Value]]+Inventory[[#This Row],[Unadj Land Value]]</f>
        <v>394800</v>
      </c>
      <c r="BD41" s="30">
        <f>(Inventory[[#This Row],[Unadj Total Value]]-Inventory[[#This Row],[24Final]])/Inventory[[#This Row],[24Final]]</f>
        <v>4.0691759918616479E-3</v>
      </c>
      <c r="BE41" s="30">
        <f>VLOOKUP(Inventory[[#This Row],[Nbhd]],Lookups!$M$3:$P$5,4,FALSE)</f>
        <v>0.99970000000000003</v>
      </c>
      <c r="BF41" s="30">
        <f>VLOOKUP(Inventory[[#This Row],[Qlty]],Lookups!$M$8:$P$22,4,FALSE)</f>
        <v>0.99819999999999998</v>
      </c>
      <c r="BG41" s="30">
        <f>VLOOKUP(Inventory[[#This Row],[Cnd]],Lookups!$R$8:$U$17,4,FALSE)</f>
        <v>1.0012000000000001</v>
      </c>
      <c r="BH41" s="30">
        <f>VLOOKUP(Inventory[[#This Row],[LivArea Range]],Lookups!$R$25:$U$43,4,FALSE)</f>
        <v>1.0007999999999999</v>
      </c>
      <c r="BI41" s="30">
        <f>VLOOKUP(Inventory[[#This Row],[Decade]],Lookups!$M$24:$P$40,4,FALSE)</f>
        <v>1</v>
      </c>
      <c r="BJ41" s="30">
        <f>Inventory[[#This Row],[Nbhd Adj]]*0.95</f>
        <v>0.94971499999999998</v>
      </c>
      <c r="BK41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41" s="30">
        <f>ROUND((SUM(Inventory[[#This Row],[Mdl Qlty]:[Mdl Garage Area]])+Inventory[[#This Row],[Mdl Res Intercept]])*Inventory[[#This Row],[Res Adj ]],-2)</f>
        <v>313800</v>
      </c>
      <c r="BM41" s="30">
        <f>ROUND(Inventory[[#This Row],[25Det]]*Inventory[[#This Row],[Det/Nbhd Adj]],-2)</f>
        <v>0</v>
      </c>
      <c r="BN41" s="30">
        <f>Inventory[[#This Row],[Adjusted Res]]+Inventory[[#This Row],[Adj Det ]]</f>
        <v>313800</v>
      </c>
      <c r="BO41" s="30">
        <f>ROUND((Inventory[[#This Row],[Mdl Land Intercept]]+Inventory[[#This Row],[Mdl LnAcres]])*Inventory[[#This Row],[Det/Nbhd Adj]],-2)</f>
        <v>61300</v>
      </c>
      <c r="BP41" s="30">
        <f>Inventory[[#This Row],[Adjusted Impr Total]]+Inventory[[#This Row],[Adjusted Land Total]]</f>
        <v>375100</v>
      </c>
      <c r="BQ41" s="30">
        <f>IFERROR((Inventory[[#This Row],[Adjusted Impr Total]]-Inventory[[#This Row],[24Bldg]])/Inventory[[#This Row],[24Bldg]],0)</f>
        <v>-5.5956678700361008E-2</v>
      </c>
      <c r="BR41" s="43">
        <f>(Inventory[[#This Row],[Adjusted Land Total]]-Inventory[[#This Row],[24Lnd]])/Inventory[[#This Row],[24Lnd]]</f>
        <v>8.2236842105263153E-3</v>
      </c>
      <c r="BS41" s="43">
        <f>(Inventory[[#This Row],[Adjusted Total]]-Inventory[[#This Row],[24Final]])/Inventory[[#This Row],[24Final]]</f>
        <v>-4.6032553407934891E-2</v>
      </c>
    </row>
    <row r="42" spans="1:71">
      <c r="A42" s="30">
        <v>2025</v>
      </c>
      <c r="B42" s="31" t="s">
        <v>549</v>
      </c>
      <c r="C42" s="31">
        <f>LN(Inventory[[#This Row],[Acres]])</f>
        <v>-1.8140050781753747</v>
      </c>
      <c r="D42" s="37">
        <f>ROUND(Inventory[[#This Row],[Sqft]]/43560,3)</f>
        <v>0.16300000000000001</v>
      </c>
      <c r="E42" s="30">
        <v>7081</v>
      </c>
      <c r="F42" s="31" t="s">
        <v>505</v>
      </c>
      <c r="G42" s="31" t="s">
        <v>155</v>
      </c>
      <c r="H42" s="31" t="s">
        <v>5</v>
      </c>
      <c r="I42" s="31" t="s">
        <v>506</v>
      </c>
      <c r="J42" s="31" t="s">
        <v>507</v>
      </c>
      <c r="K42" s="31" t="s">
        <v>157</v>
      </c>
      <c r="L42" s="31" t="s">
        <v>19</v>
      </c>
      <c r="M42" s="31" t="s">
        <v>24</v>
      </c>
      <c r="N42" s="31">
        <v>0</v>
      </c>
      <c r="O42" s="31">
        <f>2024-Inventory[[#This Row],[YrBlt]]</f>
        <v>2</v>
      </c>
      <c r="P42" s="31">
        <f>2024-Inventory[[#This Row],[EffYr]]</f>
        <v>2</v>
      </c>
      <c r="Q42" s="30">
        <v>2022</v>
      </c>
      <c r="R42" s="30">
        <v>2022</v>
      </c>
      <c r="S42" s="30">
        <v>1464</v>
      </c>
      <c r="T42" s="32"/>
      <c r="U42" s="37"/>
      <c r="V42" s="32"/>
      <c r="W42" s="37"/>
      <c r="X42" s="37">
        <f>Inventory[[#This Row],[Bsmt Area]]-Inventory[[#This Row],[FnBsmt]]</f>
        <v>0</v>
      </c>
      <c r="Y42" s="37">
        <f>Inventory[[#This Row],[MainFn]]+Inventory[[#This Row],[UpprFn]]+Inventory[[#This Row],[AddFn]]+Inventory[[#This Row],[FnBsmt]]</f>
        <v>1464</v>
      </c>
      <c r="Z42" s="32">
        <v>1500</v>
      </c>
      <c r="AA42" s="31" t="s">
        <v>56</v>
      </c>
      <c r="AB42" s="38">
        <v>1</v>
      </c>
      <c r="AC42" s="38">
        <v>400</v>
      </c>
      <c r="AD42" s="32"/>
      <c r="AE42" s="32"/>
      <c r="AF42" s="32"/>
      <c r="AG42" s="32"/>
      <c r="AH42" s="32"/>
      <c r="AI42" s="30">
        <v>291156</v>
      </c>
      <c r="AJ42" s="30">
        <v>285333</v>
      </c>
      <c r="AK42" s="30">
        <v>0</v>
      </c>
      <c r="AL42" s="30">
        <v>0</v>
      </c>
      <c r="AM42" s="30">
        <v>60800</v>
      </c>
      <c r="AN42" s="30">
        <v>313100</v>
      </c>
      <c r="AO42" s="30">
        <v>373900</v>
      </c>
      <c r="AP42" s="30">
        <f>Lookups!$B$58*0.6</f>
        <v>132535.48800000001</v>
      </c>
      <c r="AQ42" s="30">
        <f>Lookups!$B$58*0.4</f>
        <v>88356.992000000013</v>
      </c>
      <c r="AR42" s="30">
        <f>Lookups!$B$59*Inventory[[#This Row],[LnAcres]]</f>
        <v>-23807.584941603713</v>
      </c>
      <c r="AS42" s="30">
        <f>VLOOKUP(Inventory[[#This Row],[Qlty]],Lookups!$A$66:$E$79,2,FALSE)</f>
        <v>37154.252388000001</v>
      </c>
      <c r="AT42" s="30">
        <f>VLOOKUP(Inventory[[#This Row],[Cnd]],Lookups!$A$80:$E$88,2,FALSE)</f>
        <v>47371.278778200001</v>
      </c>
      <c r="AU42" s="30">
        <f>Inventory[[#This Row],[EffAge]]*Lookups!$B$65</f>
        <v>-217.48220000000001</v>
      </c>
      <c r="AV42" s="30">
        <f>Inventory[[#This Row],[MainFn]]*Lookups!$B$90</f>
        <v>91368.796320000009</v>
      </c>
      <c r="AW42" s="30">
        <f>Inventory[[#This Row],[UpprFn]]*Lookups!$B$91</f>
        <v>0</v>
      </c>
      <c r="AX42" s="30">
        <f>Inventory[[#This Row],[Bsmt Area]]*Lookups!$B$95</f>
        <v>0</v>
      </c>
      <c r="AY42" s="30">
        <f>Inventory[[#This Row],[AttGar]]*Lookups!$B$93</f>
        <v>14120.412400000001</v>
      </c>
      <c r="AZ42" s="30">
        <f>ROUND(Inventory[[#This Row],[25Det]],-2)</f>
        <v>0</v>
      </c>
      <c r="BA42" s="30">
        <f>ROUND(SUM(Inventory[[#This Row],[Mdl Qlty]:[Mdl Garage Area]])+Inventory[[#This Row],[Mdl Res Intercept]],-2)</f>
        <v>322300</v>
      </c>
      <c r="BB42" s="30">
        <f>ROUND(Inventory[[#This Row],[Mdl Land Intercept]]+Inventory[[#This Row],[Mdl LnAcres]],-2)</f>
        <v>64500</v>
      </c>
      <c r="BC42" s="30">
        <f>Inventory[[#This Row],[Unadj Res Value]]+Inventory[[#This Row],[Unadj Det Value]]+Inventory[[#This Row],[Unadj Land Value]]</f>
        <v>386800</v>
      </c>
      <c r="BD42" s="30">
        <f>(Inventory[[#This Row],[Unadj Total Value]]-Inventory[[#This Row],[24Final]])/Inventory[[#This Row],[24Final]]</f>
        <v>3.4501203530355712E-2</v>
      </c>
      <c r="BE42" s="30">
        <f>VLOOKUP(Inventory[[#This Row],[Nbhd]],Lookups!$M$3:$P$5,4,FALSE)</f>
        <v>0.99970000000000003</v>
      </c>
      <c r="BF42" s="30">
        <f>VLOOKUP(Inventory[[#This Row],[Qlty]],Lookups!$M$8:$P$22,4,FALSE)</f>
        <v>0.99819999999999998</v>
      </c>
      <c r="BG42" s="30">
        <f>VLOOKUP(Inventory[[#This Row],[Cnd]],Lookups!$R$8:$U$17,4,FALSE)</f>
        <v>1.0012000000000001</v>
      </c>
      <c r="BH42" s="30">
        <f>VLOOKUP(Inventory[[#This Row],[LivArea Range]],Lookups!$R$25:$U$43,4,FALSE)</f>
        <v>0.99519999999999997</v>
      </c>
      <c r="BI42" s="30">
        <f>VLOOKUP(Inventory[[#This Row],[Decade]],Lookups!$M$24:$P$40,4,FALSE)</f>
        <v>1</v>
      </c>
      <c r="BJ42" s="30">
        <f>Inventory[[#This Row],[Nbhd Adj]]*0.95</f>
        <v>0.94971499999999998</v>
      </c>
      <c r="BK42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42" s="30">
        <f>ROUND((SUM(Inventory[[#This Row],[Mdl Qlty]:[Mdl Garage Area]])+Inventory[[#This Row],[Mdl Res Intercept]])*Inventory[[#This Row],[Res Adj ]],-2)</f>
        <v>305900</v>
      </c>
      <c r="BM42" s="30">
        <f>ROUND(Inventory[[#This Row],[25Det]]*Inventory[[#This Row],[Det/Nbhd Adj]],-2)</f>
        <v>0</v>
      </c>
      <c r="BN42" s="30">
        <f>Inventory[[#This Row],[Adjusted Res]]+Inventory[[#This Row],[Adj Det ]]</f>
        <v>305900</v>
      </c>
      <c r="BO42" s="30">
        <f>ROUND((Inventory[[#This Row],[Mdl Land Intercept]]+Inventory[[#This Row],[Mdl LnAcres]])*Inventory[[#This Row],[Det/Nbhd Adj]],-2)</f>
        <v>61300</v>
      </c>
      <c r="BP42" s="30">
        <f>Inventory[[#This Row],[Adjusted Impr Total]]+Inventory[[#This Row],[Adjusted Land Total]]</f>
        <v>367200</v>
      </c>
      <c r="BQ42" s="30">
        <f>IFERROR((Inventory[[#This Row],[Adjusted Impr Total]]-Inventory[[#This Row],[24Bldg]])/Inventory[[#This Row],[24Bldg]],0)</f>
        <v>-2.2995847971893964E-2</v>
      </c>
      <c r="BR42" s="43">
        <f>(Inventory[[#This Row],[Adjusted Land Total]]-Inventory[[#This Row],[24Lnd]])/Inventory[[#This Row],[24Lnd]]</f>
        <v>8.2236842105263153E-3</v>
      </c>
      <c r="BS42" s="43">
        <f>(Inventory[[#This Row],[Adjusted Total]]-Inventory[[#This Row],[24Final]])/Inventory[[#This Row],[24Final]]</f>
        <v>-1.7919229740572345E-2</v>
      </c>
    </row>
    <row r="43" spans="1:71">
      <c r="A43" s="30">
        <v>2025</v>
      </c>
      <c r="B43" s="31" t="s">
        <v>550</v>
      </c>
      <c r="C43" s="31">
        <f>LN(Inventory[[#This Row],[Acres]])</f>
        <v>-1.7147984280919266</v>
      </c>
      <c r="D43" s="30">
        <v>0.18</v>
      </c>
      <c r="E43" s="38">
        <v>7800</v>
      </c>
      <c r="F43" s="31" t="s">
        <v>505</v>
      </c>
      <c r="G43" s="31" t="s">
        <v>155</v>
      </c>
      <c r="H43" s="31" t="s">
        <v>5</v>
      </c>
      <c r="I43" s="31" t="s">
        <v>506</v>
      </c>
      <c r="J43" s="31" t="s">
        <v>507</v>
      </c>
      <c r="K43" s="31" t="s">
        <v>157</v>
      </c>
      <c r="L43" s="31" t="s">
        <v>17</v>
      </c>
      <c r="M43" s="31" t="s">
        <v>24</v>
      </c>
      <c r="N43" s="31">
        <v>0</v>
      </c>
      <c r="O43" s="31">
        <f>2024-Inventory[[#This Row],[YrBlt]]</f>
        <v>2</v>
      </c>
      <c r="P43" s="31">
        <f>2024-Inventory[[#This Row],[EffYr]]</f>
        <v>2</v>
      </c>
      <c r="Q43" s="30">
        <v>2022</v>
      </c>
      <c r="R43" s="30">
        <v>2022</v>
      </c>
      <c r="S43" s="30">
        <v>1320</v>
      </c>
      <c r="T43" s="32"/>
      <c r="U43" s="32"/>
      <c r="V43" s="32"/>
      <c r="W43" s="32"/>
      <c r="X43" s="32">
        <f>Inventory[[#This Row],[Bsmt Area]]-Inventory[[#This Row],[FnBsmt]]</f>
        <v>0</v>
      </c>
      <c r="Y43" s="32">
        <f>Inventory[[#This Row],[MainFn]]+Inventory[[#This Row],[UpprFn]]+Inventory[[#This Row],[AddFn]]+Inventory[[#This Row],[FnBsmt]]</f>
        <v>1320</v>
      </c>
      <c r="Z43" s="32">
        <v>1500</v>
      </c>
      <c r="AA43" s="31" t="s">
        <v>56</v>
      </c>
      <c r="AB43" s="32"/>
      <c r="AC43" s="38">
        <v>440</v>
      </c>
      <c r="AD43" s="32"/>
      <c r="AE43" s="32"/>
      <c r="AF43" s="32"/>
      <c r="AG43" s="32"/>
      <c r="AH43" s="32"/>
      <c r="AI43" s="30">
        <v>236482</v>
      </c>
      <c r="AJ43" s="30">
        <v>231752</v>
      </c>
      <c r="AK43" s="30">
        <v>0</v>
      </c>
      <c r="AL43" s="30">
        <v>0</v>
      </c>
      <c r="AM43" s="30">
        <v>62500</v>
      </c>
      <c r="AN43" s="30">
        <v>297200</v>
      </c>
      <c r="AO43" s="30">
        <v>359700</v>
      </c>
      <c r="AP43" s="30">
        <f>Lookups!$B$58*0.6</f>
        <v>132535.48800000001</v>
      </c>
      <c r="AQ43" s="30">
        <f>Lookups!$B$58*0.4</f>
        <v>88356.992000000013</v>
      </c>
      <c r="AR43" s="30">
        <f>Lookups!$B$59*Inventory[[#This Row],[LnAcres]]</f>
        <v>-22505.565020573864</v>
      </c>
      <c r="AS43" s="30">
        <f>VLOOKUP(Inventory[[#This Row],[Qlty]],Lookups!$A$66:$E$79,2,FALSE)</f>
        <v>24371.765965999999</v>
      </c>
      <c r="AT43" s="30">
        <f>VLOOKUP(Inventory[[#This Row],[Cnd]],Lookups!$A$80:$E$88,2,FALSE)</f>
        <v>47371.278778200001</v>
      </c>
      <c r="AU43" s="30">
        <f>Inventory[[#This Row],[EffAge]]*Lookups!$B$65</f>
        <v>-217.48220000000001</v>
      </c>
      <c r="AV43" s="30">
        <f>Inventory[[#This Row],[MainFn]]*Lookups!$B$90</f>
        <v>82381.7016</v>
      </c>
      <c r="AW43" s="30">
        <f>Inventory[[#This Row],[UpprFn]]*Lookups!$B$91</f>
        <v>0</v>
      </c>
      <c r="AX43" s="30">
        <f>Inventory[[#This Row],[Bsmt Area]]*Lookups!$B$95</f>
        <v>0</v>
      </c>
      <c r="AY43" s="30">
        <f>Inventory[[#This Row],[AttGar]]*Lookups!$B$93</f>
        <v>15532.453640000002</v>
      </c>
      <c r="AZ43" s="30">
        <f>ROUND(Inventory[[#This Row],[25Det]],-2)</f>
        <v>0</v>
      </c>
      <c r="BA43" s="30">
        <f>ROUND(SUM(Inventory[[#This Row],[Mdl Qlty]:[Mdl Garage Area]])+Inventory[[#This Row],[Mdl Res Intercept]],-2)</f>
        <v>302000</v>
      </c>
      <c r="BB43" s="30">
        <f>ROUND(Inventory[[#This Row],[Mdl Land Intercept]]+Inventory[[#This Row],[Mdl LnAcres]],-2)</f>
        <v>65900</v>
      </c>
      <c r="BC43" s="30">
        <f>Inventory[[#This Row],[Unadj Res Value]]+Inventory[[#This Row],[Unadj Det Value]]+Inventory[[#This Row],[Unadj Land Value]]</f>
        <v>367900</v>
      </c>
      <c r="BD43" s="30">
        <f>(Inventory[[#This Row],[Unadj Total Value]]-Inventory[[#This Row],[24Final]])/Inventory[[#This Row],[24Final]]</f>
        <v>2.2796775090353071E-2</v>
      </c>
      <c r="BE43" s="30">
        <f>VLOOKUP(Inventory[[#This Row],[Nbhd]],Lookups!$M$3:$P$5,4,FALSE)</f>
        <v>0.99970000000000003</v>
      </c>
      <c r="BF43" s="30">
        <f>VLOOKUP(Inventory[[#This Row],[Qlty]],Lookups!$M$8:$P$22,4,FALSE)</f>
        <v>0.99199999999999999</v>
      </c>
      <c r="BG43" s="30">
        <f>VLOOKUP(Inventory[[#This Row],[Cnd]],Lookups!$R$8:$U$17,4,FALSE)</f>
        <v>1.0012000000000001</v>
      </c>
      <c r="BH43" s="30">
        <f>VLOOKUP(Inventory[[#This Row],[LivArea Range]],Lookups!$R$25:$U$43,4,FALSE)</f>
        <v>0.99519999999999997</v>
      </c>
      <c r="BI43" s="30">
        <f>VLOOKUP(Inventory[[#This Row],[Decade]],Lookups!$M$24:$P$40,4,FALSE)</f>
        <v>1</v>
      </c>
      <c r="BJ43" s="30">
        <f>Inventory[[#This Row],[Nbhd Adj]]*0.95</f>
        <v>0.94971499999999998</v>
      </c>
      <c r="BK43" s="30">
        <f>AVERAGE(Inventory[[#This Row],[Nbhd Adj]],Inventory[[#This Row],[Quality Adj]],Inventory[[#This Row],[Condition Adj]],Inventory[[#This Row],[Living Area Adj]],Inventory[[#This Row],[Decade Adj]])*0.95</f>
        <v>0.947739</v>
      </c>
      <c r="BL43" s="30">
        <f>ROUND((SUM(Inventory[[#This Row],[Mdl Qlty]:[Mdl Garage Area]])+Inventory[[#This Row],[Mdl Res Intercept]])*Inventory[[#This Row],[Res Adj ]],-2)</f>
        <v>286200</v>
      </c>
      <c r="BM43" s="30">
        <f>ROUND(Inventory[[#This Row],[25Det]]*Inventory[[#This Row],[Det/Nbhd Adj]],-2)</f>
        <v>0</v>
      </c>
      <c r="BN43" s="30">
        <f>Inventory[[#This Row],[Adjusted Res]]+Inventory[[#This Row],[Adj Det ]]</f>
        <v>286200</v>
      </c>
      <c r="BO43" s="30">
        <f>ROUND((Inventory[[#This Row],[Mdl Land Intercept]]+Inventory[[#This Row],[Mdl LnAcres]])*Inventory[[#This Row],[Det/Nbhd Adj]],-2)</f>
        <v>62500</v>
      </c>
      <c r="BP43" s="30">
        <f>Inventory[[#This Row],[Adjusted Impr Total]]+Inventory[[#This Row],[Adjusted Land Total]]</f>
        <v>348700</v>
      </c>
      <c r="BQ43" s="30">
        <f>IFERROR((Inventory[[#This Row],[Adjusted Impr Total]]-Inventory[[#This Row],[24Bldg]])/Inventory[[#This Row],[24Bldg]],0)</f>
        <v>-3.7012113055181699E-2</v>
      </c>
      <c r="BR43" s="43">
        <f>(Inventory[[#This Row],[Adjusted Land Total]]-Inventory[[#This Row],[24Lnd]])/Inventory[[#This Row],[24Lnd]]</f>
        <v>0</v>
      </c>
      <c r="BS43" s="43">
        <f>(Inventory[[#This Row],[Adjusted Total]]-Inventory[[#This Row],[24Final]])/Inventory[[#This Row],[24Final]]</f>
        <v>-3.0581039755351681E-2</v>
      </c>
    </row>
    <row r="44" spans="1:71">
      <c r="A44" s="30">
        <v>2025</v>
      </c>
      <c r="B44" s="31" t="s">
        <v>551</v>
      </c>
      <c r="C44" s="31">
        <f>LN(Inventory[[#This Row],[Acres]])</f>
        <v>-1.6982691261407161</v>
      </c>
      <c r="D44" s="37">
        <f>ROUND(Inventory[[#This Row],[Sqft]]/43560,3)</f>
        <v>0.183</v>
      </c>
      <c r="E44" s="30">
        <v>7992</v>
      </c>
      <c r="F44" s="31" t="s">
        <v>505</v>
      </c>
      <c r="G44" s="31" t="s">
        <v>155</v>
      </c>
      <c r="H44" s="31" t="s">
        <v>5</v>
      </c>
      <c r="I44" s="31" t="s">
        <v>506</v>
      </c>
      <c r="J44" s="31" t="s">
        <v>507</v>
      </c>
      <c r="K44" s="31" t="s">
        <v>157</v>
      </c>
      <c r="L44" s="31" t="s">
        <v>19</v>
      </c>
      <c r="M44" s="31" t="s">
        <v>24</v>
      </c>
      <c r="N44" s="31">
        <v>0</v>
      </c>
      <c r="O44" s="31">
        <f>2024-Inventory[[#This Row],[YrBlt]]</f>
        <v>2</v>
      </c>
      <c r="P44" s="31">
        <f>2024-Inventory[[#This Row],[EffYr]]</f>
        <v>2</v>
      </c>
      <c r="Q44" s="30">
        <v>2022</v>
      </c>
      <c r="R44" s="30">
        <v>2022</v>
      </c>
      <c r="S44" s="30">
        <v>1580</v>
      </c>
      <c r="T44" s="37"/>
      <c r="U44" s="32"/>
      <c r="V44" s="32"/>
      <c r="W44" s="32"/>
      <c r="X44" s="32">
        <f>Inventory[[#This Row],[Bsmt Area]]-Inventory[[#This Row],[FnBsmt]]</f>
        <v>0</v>
      </c>
      <c r="Y44" s="32">
        <f>Inventory[[#This Row],[MainFn]]+Inventory[[#This Row],[UpprFn]]+Inventory[[#This Row],[AddFn]]+Inventory[[#This Row],[FnBsmt]]</f>
        <v>1580</v>
      </c>
      <c r="Z44" s="32">
        <v>2000</v>
      </c>
      <c r="AA44" s="31" t="s">
        <v>56</v>
      </c>
      <c r="AB44" s="32"/>
      <c r="AC44" s="38">
        <v>616</v>
      </c>
      <c r="AD44" s="32"/>
      <c r="AE44" s="32"/>
      <c r="AF44" s="32"/>
      <c r="AG44" s="32"/>
      <c r="AH44" s="32"/>
      <c r="AI44" s="30">
        <v>314679</v>
      </c>
      <c r="AJ44" s="30">
        <v>308385</v>
      </c>
      <c r="AK44" s="30">
        <v>0</v>
      </c>
      <c r="AL44" s="30">
        <v>0</v>
      </c>
      <c r="AM44" s="30">
        <v>62500</v>
      </c>
      <c r="AN44" s="30">
        <v>330100</v>
      </c>
      <c r="AO44" s="30">
        <v>392600</v>
      </c>
      <c r="AP44" s="30">
        <f>Lookups!$B$58*0.6</f>
        <v>132535.48800000001</v>
      </c>
      <c r="AQ44" s="30">
        <f>Lookups!$B$58*0.4</f>
        <v>88356.992000000013</v>
      </c>
      <c r="AR44" s="30">
        <f>Lookups!$B$59*Inventory[[#This Row],[LnAcres]]</f>
        <v>-22288.62915586025</v>
      </c>
      <c r="AS44" s="30">
        <f>VLOOKUP(Inventory[[#This Row],[Qlty]],Lookups!$A$66:$E$79,2,FALSE)</f>
        <v>37154.252388000001</v>
      </c>
      <c r="AT44" s="30">
        <f>VLOOKUP(Inventory[[#This Row],[Cnd]],Lookups!$A$80:$E$88,2,FALSE)</f>
        <v>47371.278778200001</v>
      </c>
      <c r="AU44" s="30">
        <f>Inventory[[#This Row],[EffAge]]*Lookups!$B$65</f>
        <v>-217.48220000000001</v>
      </c>
      <c r="AV44" s="30">
        <f>Inventory[[#This Row],[MainFn]]*Lookups!$B$90</f>
        <v>98608.400399999999</v>
      </c>
      <c r="AW44" s="30">
        <f>Inventory[[#This Row],[UpprFn]]*Lookups!$B$91</f>
        <v>0</v>
      </c>
      <c r="AX44" s="30">
        <f>Inventory[[#This Row],[Bsmt Area]]*Lookups!$B$95</f>
        <v>0</v>
      </c>
      <c r="AY44" s="30">
        <f>Inventory[[#This Row],[AttGar]]*Lookups!$B$93</f>
        <v>21745.435096000001</v>
      </c>
      <c r="AZ44" s="30">
        <f>ROUND(Inventory[[#This Row],[25Det]],-2)</f>
        <v>0</v>
      </c>
      <c r="BA44" s="30">
        <f>ROUND(SUM(Inventory[[#This Row],[Mdl Qlty]:[Mdl Garage Area]])+Inventory[[#This Row],[Mdl Res Intercept]],-2)</f>
        <v>337200</v>
      </c>
      <c r="BB44" s="30">
        <f>ROUND(Inventory[[#This Row],[Mdl Land Intercept]]+Inventory[[#This Row],[Mdl LnAcres]],-2)</f>
        <v>66100</v>
      </c>
      <c r="BC44" s="30">
        <f>Inventory[[#This Row],[Unadj Res Value]]+Inventory[[#This Row],[Unadj Det Value]]+Inventory[[#This Row],[Unadj Land Value]]</f>
        <v>403300</v>
      </c>
      <c r="BD44" s="30">
        <f>(Inventory[[#This Row],[Unadj Total Value]]-Inventory[[#This Row],[24Final]])/Inventory[[#This Row],[24Final]]</f>
        <v>2.7254202750891493E-2</v>
      </c>
      <c r="BE44" s="30">
        <f>VLOOKUP(Inventory[[#This Row],[Nbhd]],Lookups!$M$3:$P$5,4,FALSE)</f>
        <v>0.99970000000000003</v>
      </c>
      <c r="BF44" s="30">
        <f>VLOOKUP(Inventory[[#This Row],[Qlty]],Lookups!$M$8:$P$22,4,FALSE)</f>
        <v>0.99819999999999998</v>
      </c>
      <c r="BG44" s="30">
        <f>VLOOKUP(Inventory[[#This Row],[Cnd]],Lookups!$R$8:$U$17,4,FALSE)</f>
        <v>1.0012000000000001</v>
      </c>
      <c r="BH44" s="30">
        <f>VLOOKUP(Inventory[[#This Row],[LivArea Range]],Lookups!$R$25:$U$43,4,FALSE)</f>
        <v>1.0007999999999999</v>
      </c>
      <c r="BI44" s="30">
        <f>VLOOKUP(Inventory[[#This Row],[Decade]],Lookups!$M$24:$P$40,4,FALSE)</f>
        <v>1</v>
      </c>
      <c r="BJ44" s="30">
        <f>Inventory[[#This Row],[Nbhd Adj]]*0.95</f>
        <v>0.94971499999999998</v>
      </c>
      <c r="BK44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44" s="30">
        <f>ROUND((SUM(Inventory[[#This Row],[Mdl Qlty]:[Mdl Garage Area]])+Inventory[[#This Row],[Mdl Res Intercept]])*Inventory[[#This Row],[Res Adj ]],-2)</f>
        <v>320300</v>
      </c>
      <c r="BM44" s="30">
        <f>ROUND(Inventory[[#This Row],[25Det]]*Inventory[[#This Row],[Det/Nbhd Adj]],-2)</f>
        <v>0</v>
      </c>
      <c r="BN44" s="30">
        <f>Inventory[[#This Row],[Adjusted Res]]+Inventory[[#This Row],[Adj Det ]]</f>
        <v>320300</v>
      </c>
      <c r="BO44" s="30">
        <f>ROUND((Inventory[[#This Row],[Mdl Land Intercept]]+Inventory[[#This Row],[Mdl LnAcres]])*Inventory[[#This Row],[Det/Nbhd Adj]],-2)</f>
        <v>62700</v>
      </c>
      <c r="BP44" s="30">
        <f>Inventory[[#This Row],[Adjusted Impr Total]]+Inventory[[#This Row],[Adjusted Land Total]]</f>
        <v>383000</v>
      </c>
      <c r="BQ44" s="30">
        <f>IFERROR((Inventory[[#This Row],[Adjusted Impr Total]]-Inventory[[#This Row],[24Bldg]])/Inventory[[#This Row],[24Bldg]],0)</f>
        <v>-2.9687973341411694E-2</v>
      </c>
      <c r="BR44" s="43">
        <f>(Inventory[[#This Row],[Adjusted Land Total]]-Inventory[[#This Row],[24Lnd]])/Inventory[[#This Row],[24Lnd]]</f>
        <v>3.2000000000000002E-3</v>
      </c>
      <c r="BS44" s="43">
        <f>(Inventory[[#This Row],[Adjusted Total]]-Inventory[[#This Row],[24Final]])/Inventory[[#This Row],[24Final]]</f>
        <v>-2.445236882322975E-2</v>
      </c>
    </row>
    <row r="45" spans="1:71">
      <c r="A45" s="30">
        <v>2025</v>
      </c>
      <c r="B45" s="31" t="s">
        <v>552</v>
      </c>
      <c r="C45" s="31">
        <f>LN(Inventory[[#This Row],[Acres]])</f>
        <v>-1.6766466621275504</v>
      </c>
      <c r="D45" s="37">
        <f>ROUND(Inventory[[#This Row],[Sqft]]/43560,3)</f>
        <v>0.187</v>
      </c>
      <c r="E45" s="30">
        <v>8138</v>
      </c>
      <c r="F45" s="31" t="s">
        <v>505</v>
      </c>
      <c r="G45" s="31" t="s">
        <v>155</v>
      </c>
      <c r="H45" s="31" t="s">
        <v>5</v>
      </c>
      <c r="I45" s="31" t="s">
        <v>506</v>
      </c>
      <c r="J45" s="31" t="s">
        <v>507</v>
      </c>
      <c r="K45" s="31" t="s">
        <v>157</v>
      </c>
      <c r="L45" s="31" t="s">
        <v>21</v>
      </c>
      <c r="M45" s="31" t="s">
        <v>24</v>
      </c>
      <c r="N45" s="31">
        <v>0</v>
      </c>
      <c r="O45" s="31">
        <f>2024-Inventory[[#This Row],[YrBlt]]</f>
        <v>2</v>
      </c>
      <c r="P45" s="31">
        <f>2024-Inventory[[#This Row],[EffYr]]</f>
        <v>2</v>
      </c>
      <c r="Q45" s="30">
        <v>2022</v>
      </c>
      <c r="R45" s="30">
        <v>2022</v>
      </c>
      <c r="S45" s="30">
        <v>1316</v>
      </c>
      <c r="T45" s="30">
        <v>1686</v>
      </c>
      <c r="U45" s="32"/>
      <c r="V45" s="32"/>
      <c r="W45" s="32"/>
      <c r="X45" s="32">
        <f>Inventory[[#This Row],[Bsmt Area]]-Inventory[[#This Row],[FnBsmt]]</f>
        <v>0</v>
      </c>
      <c r="Y45" s="32">
        <f>Inventory[[#This Row],[MainFn]]+Inventory[[#This Row],[UpprFn]]+Inventory[[#This Row],[AddFn]]+Inventory[[#This Row],[FnBsmt]]</f>
        <v>3002</v>
      </c>
      <c r="Z45" s="32">
        <v>3500</v>
      </c>
      <c r="AA45" s="31" t="s">
        <v>56</v>
      </c>
      <c r="AB45" s="32"/>
      <c r="AC45" s="32"/>
      <c r="AD45" s="38">
        <v>460</v>
      </c>
      <c r="AE45" s="32"/>
      <c r="AF45" s="32"/>
      <c r="AG45" s="32"/>
      <c r="AH45" s="32"/>
      <c r="AI45" s="30">
        <v>564067</v>
      </c>
      <c r="AJ45" s="30">
        <v>552786</v>
      </c>
      <c r="AK45" s="30">
        <v>0</v>
      </c>
      <c r="AL45" s="30">
        <v>0</v>
      </c>
      <c r="AM45" s="30">
        <v>63200</v>
      </c>
      <c r="AN45" s="30">
        <v>417000</v>
      </c>
      <c r="AO45" s="30">
        <v>480200</v>
      </c>
      <c r="AP45" s="30">
        <f>Lookups!$B$58*0.6</f>
        <v>132535.48800000001</v>
      </c>
      <c r="AQ45" s="30">
        <f>Lookups!$B$58*0.4</f>
        <v>88356.992000000013</v>
      </c>
      <c r="AR45" s="30">
        <f>Lookups!$B$59*Inventory[[#This Row],[LnAcres]]</f>
        <v>-22004.848997340516</v>
      </c>
      <c r="AS45" s="30">
        <f>VLOOKUP(Inventory[[#This Row],[Qlty]],Lookups!$A$66:$E$79,2,FALSE)</f>
        <v>32917.849192000001</v>
      </c>
      <c r="AT45" s="30">
        <f>VLOOKUP(Inventory[[#This Row],[Cnd]],Lookups!$A$80:$E$88,2,FALSE)</f>
        <v>47371.278778200001</v>
      </c>
      <c r="AU45" s="30">
        <f>Inventory[[#This Row],[EffAge]]*Lookups!$B$65</f>
        <v>-217.48220000000001</v>
      </c>
      <c r="AV45" s="30">
        <f>Inventory[[#This Row],[MainFn]]*Lookups!$B$90</f>
        <v>82132.06008000001</v>
      </c>
      <c r="AW45" s="30">
        <f>Inventory[[#This Row],[UpprFn]]*Lookups!$B$91</f>
        <v>100452.525738</v>
      </c>
      <c r="AX45" s="30">
        <f>Inventory[[#This Row],[Bsmt Area]]*Lookups!$B$95</f>
        <v>0</v>
      </c>
      <c r="AY45" s="30">
        <f>Inventory[[#This Row],[AttGar]]*Lookups!$B$93</f>
        <v>0</v>
      </c>
      <c r="AZ45" s="30">
        <f>ROUND(Inventory[[#This Row],[25Det]],-2)</f>
        <v>0</v>
      </c>
      <c r="BA45" s="30">
        <f>ROUND(SUM(Inventory[[#This Row],[Mdl Qlty]:[Mdl Garage Area]])+Inventory[[#This Row],[Mdl Res Intercept]],-2)</f>
        <v>395200</v>
      </c>
      <c r="BB45" s="30">
        <f>ROUND(Inventory[[#This Row],[Mdl Land Intercept]]+Inventory[[#This Row],[Mdl LnAcres]],-2)</f>
        <v>66400</v>
      </c>
      <c r="BC45" s="30">
        <f>Inventory[[#This Row],[Unadj Res Value]]+Inventory[[#This Row],[Unadj Det Value]]+Inventory[[#This Row],[Unadj Land Value]]</f>
        <v>461600</v>
      </c>
      <c r="BD45" s="30">
        <f>(Inventory[[#This Row],[Unadj Total Value]]-Inventory[[#This Row],[24Final]])/Inventory[[#This Row],[24Final]]</f>
        <v>-3.8733860891295296E-2</v>
      </c>
      <c r="BE45" s="30">
        <f>VLOOKUP(Inventory[[#This Row],[Nbhd]],Lookups!$M$3:$P$5,4,FALSE)</f>
        <v>0.99970000000000003</v>
      </c>
      <c r="BF45" s="30">
        <f>VLOOKUP(Inventory[[#This Row],[Qlty]],Lookups!$M$8:$P$22,4,FALSE)</f>
        <v>1.0019</v>
      </c>
      <c r="BG45" s="30">
        <f>VLOOKUP(Inventory[[#This Row],[Cnd]],Lookups!$R$8:$U$17,4,FALSE)</f>
        <v>1.0012000000000001</v>
      </c>
      <c r="BH45" s="30">
        <f>VLOOKUP(Inventory[[#This Row],[LivArea Range]],Lookups!$R$25:$U$43,4,FALSE)</f>
        <v>0.98509999999999998</v>
      </c>
      <c r="BI45" s="30">
        <f>VLOOKUP(Inventory[[#This Row],[Decade]],Lookups!$M$24:$P$40,4,FALSE)</f>
        <v>1</v>
      </c>
      <c r="BJ45" s="30">
        <f>Inventory[[#This Row],[Nbhd Adj]]*0.95</f>
        <v>0.94971499999999998</v>
      </c>
      <c r="BK45" s="30">
        <f>AVERAGE(Inventory[[#This Row],[Nbhd Adj]],Inventory[[#This Row],[Quality Adj]],Inventory[[#This Row],[Condition Adj]],Inventory[[#This Row],[Living Area Adj]],Inventory[[#This Row],[Decade Adj]])*0.95</f>
        <v>0.9477009999999999</v>
      </c>
      <c r="BL45" s="30">
        <f>ROUND((SUM(Inventory[[#This Row],[Mdl Qlty]:[Mdl Garage Area]])+Inventory[[#This Row],[Mdl Res Intercept]])*Inventory[[#This Row],[Res Adj ]],-2)</f>
        <v>374500</v>
      </c>
      <c r="BM45" s="30">
        <f>ROUND(Inventory[[#This Row],[25Det]]*Inventory[[#This Row],[Det/Nbhd Adj]],-2)</f>
        <v>0</v>
      </c>
      <c r="BN45" s="30">
        <f>Inventory[[#This Row],[Adjusted Res]]+Inventory[[#This Row],[Adj Det ]]</f>
        <v>374500</v>
      </c>
      <c r="BO45" s="30">
        <f>ROUND((Inventory[[#This Row],[Mdl Land Intercept]]+Inventory[[#This Row],[Mdl LnAcres]])*Inventory[[#This Row],[Det/Nbhd Adj]],-2)</f>
        <v>63000</v>
      </c>
      <c r="BP45" s="30">
        <f>Inventory[[#This Row],[Adjusted Impr Total]]+Inventory[[#This Row],[Adjusted Land Total]]</f>
        <v>437500</v>
      </c>
      <c r="BQ45" s="30">
        <f>IFERROR((Inventory[[#This Row],[Adjusted Impr Total]]-Inventory[[#This Row],[24Bldg]])/Inventory[[#This Row],[24Bldg]],0)</f>
        <v>-0.10191846522781775</v>
      </c>
      <c r="BR45" s="43">
        <f>(Inventory[[#This Row],[Adjusted Land Total]]-Inventory[[#This Row],[24Lnd]])/Inventory[[#This Row],[24Lnd]]</f>
        <v>-3.1645569620253164E-3</v>
      </c>
      <c r="BS45" s="43">
        <f>(Inventory[[#This Row],[Adjusted Total]]-Inventory[[#This Row],[24Final]])/Inventory[[#This Row],[24Final]]</f>
        <v>-8.8921282798833823E-2</v>
      </c>
    </row>
    <row r="46" spans="1:71">
      <c r="A46" s="30">
        <v>2025</v>
      </c>
      <c r="B46" s="31" t="s">
        <v>553</v>
      </c>
      <c r="C46" s="31">
        <f>LN(Inventory[[#This Row],[Acres]])</f>
        <v>-1.6766466621275504</v>
      </c>
      <c r="D46" s="37">
        <f>ROUND(Inventory[[#This Row],[Sqft]]/43560,3)</f>
        <v>0.187</v>
      </c>
      <c r="E46" s="30">
        <v>8131</v>
      </c>
      <c r="F46" s="31" t="s">
        <v>505</v>
      </c>
      <c r="G46" s="31" t="s">
        <v>155</v>
      </c>
      <c r="H46" s="31" t="s">
        <v>5</v>
      </c>
      <c r="I46" s="31" t="s">
        <v>506</v>
      </c>
      <c r="J46" s="31" t="s">
        <v>507</v>
      </c>
      <c r="K46" s="31" t="s">
        <v>157</v>
      </c>
      <c r="L46" s="31" t="s">
        <v>21</v>
      </c>
      <c r="M46" s="31" t="s">
        <v>24</v>
      </c>
      <c r="N46" s="31">
        <v>0</v>
      </c>
      <c r="O46" s="31">
        <f>2024-Inventory[[#This Row],[YrBlt]]</f>
        <v>2</v>
      </c>
      <c r="P46" s="31">
        <f>2024-Inventory[[#This Row],[EffYr]]</f>
        <v>2</v>
      </c>
      <c r="Q46" s="30">
        <v>2022</v>
      </c>
      <c r="R46" s="30">
        <v>2022</v>
      </c>
      <c r="S46" s="30">
        <v>1830</v>
      </c>
      <c r="T46" s="32"/>
      <c r="U46" s="37"/>
      <c r="V46" s="32"/>
      <c r="W46" s="32"/>
      <c r="X46" s="32">
        <f>Inventory[[#This Row],[Bsmt Area]]-Inventory[[#This Row],[FnBsmt]]</f>
        <v>0</v>
      </c>
      <c r="Y46" s="32">
        <f>Inventory[[#This Row],[MainFn]]+Inventory[[#This Row],[UpprFn]]+Inventory[[#This Row],[AddFn]]+Inventory[[#This Row],[FnBsmt]]</f>
        <v>1830</v>
      </c>
      <c r="Z46" s="32">
        <v>2000</v>
      </c>
      <c r="AA46" s="31" t="s">
        <v>56</v>
      </c>
      <c r="AB46" s="32"/>
      <c r="AC46" s="38">
        <v>680</v>
      </c>
      <c r="AD46" s="32"/>
      <c r="AE46" s="32"/>
      <c r="AF46" s="32"/>
      <c r="AG46" s="32"/>
      <c r="AH46" s="32"/>
      <c r="AI46" s="30">
        <v>406194</v>
      </c>
      <c r="AJ46" s="30">
        <v>398070</v>
      </c>
      <c r="AK46" s="30">
        <v>0</v>
      </c>
      <c r="AL46" s="30">
        <v>0</v>
      </c>
      <c r="AM46" s="30">
        <v>63200</v>
      </c>
      <c r="AN46" s="30">
        <v>353700</v>
      </c>
      <c r="AO46" s="30">
        <v>416900</v>
      </c>
      <c r="AP46" s="30">
        <f>Lookups!$B$58*0.6</f>
        <v>132535.48800000001</v>
      </c>
      <c r="AQ46" s="30">
        <f>Lookups!$B$58*0.4</f>
        <v>88356.992000000013</v>
      </c>
      <c r="AR46" s="30">
        <f>Lookups!$B$59*Inventory[[#This Row],[LnAcres]]</f>
        <v>-22004.848997340516</v>
      </c>
      <c r="AS46" s="30">
        <f>VLOOKUP(Inventory[[#This Row],[Qlty]],Lookups!$A$66:$E$79,2,FALSE)</f>
        <v>32917.849192000001</v>
      </c>
      <c r="AT46" s="30">
        <f>VLOOKUP(Inventory[[#This Row],[Cnd]],Lookups!$A$80:$E$88,2,FALSE)</f>
        <v>47371.278778200001</v>
      </c>
      <c r="AU46" s="30">
        <f>Inventory[[#This Row],[EffAge]]*Lookups!$B$65</f>
        <v>-217.48220000000001</v>
      </c>
      <c r="AV46" s="30">
        <f>Inventory[[#This Row],[MainFn]]*Lookups!$B$90</f>
        <v>114210.9954</v>
      </c>
      <c r="AW46" s="30">
        <f>Inventory[[#This Row],[UpprFn]]*Lookups!$B$91</f>
        <v>0</v>
      </c>
      <c r="AX46" s="30">
        <f>Inventory[[#This Row],[Bsmt Area]]*Lookups!$B$95</f>
        <v>0</v>
      </c>
      <c r="AY46" s="30">
        <f>Inventory[[#This Row],[AttGar]]*Lookups!$B$93</f>
        <v>24004.701080000003</v>
      </c>
      <c r="AZ46" s="30">
        <f>ROUND(Inventory[[#This Row],[25Det]],-2)</f>
        <v>0</v>
      </c>
      <c r="BA46" s="30">
        <f>ROUND(SUM(Inventory[[#This Row],[Mdl Qlty]:[Mdl Garage Area]])+Inventory[[#This Row],[Mdl Res Intercept]],-2)</f>
        <v>350800</v>
      </c>
      <c r="BB46" s="30">
        <f>ROUND(Inventory[[#This Row],[Mdl Land Intercept]]+Inventory[[#This Row],[Mdl LnAcres]],-2)</f>
        <v>66400</v>
      </c>
      <c r="BC46" s="30">
        <f>Inventory[[#This Row],[Unadj Res Value]]+Inventory[[#This Row],[Unadj Det Value]]+Inventory[[#This Row],[Unadj Land Value]]</f>
        <v>417200</v>
      </c>
      <c r="BD46" s="30">
        <f>(Inventory[[#This Row],[Unadj Total Value]]-Inventory[[#This Row],[24Final]])/Inventory[[#This Row],[24Final]]</f>
        <v>7.1959702566562727E-4</v>
      </c>
      <c r="BE46" s="30">
        <f>VLOOKUP(Inventory[[#This Row],[Nbhd]],Lookups!$M$3:$P$5,4,FALSE)</f>
        <v>0.99970000000000003</v>
      </c>
      <c r="BF46" s="30">
        <f>VLOOKUP(Inventory[[#This Row],[Qlty]],Lookups!$M$8:$P$22,4,FALSE)</f>
        <v>1.0019</v>
      </c>
      <c r="BG46" s="30">
        <f>VLOOKUP(Inventory[[#This Row],[Cnd]],Lookups!$R$8:$U$17,4,FALSE)</f>
        <v>1.0012000000000001</v>
      </c>
      <c r="BH46" s="30">
        <f>VLOOKUP(Inventory[[#This Row],[LivArea Range]],Lookups!$R$25:$U$43,4,FALSE)</f>
        <v>1.0007999999999999</v>
      </c>
      <c r="BI46" s="30">
        <f>VLOOKUP(Inventory[[#This Row],[Decade]],Lookups!$M$24:$P$40,4,FALSE)</f>
        <v>1</v>
      </c>
      <c r="BJ46" s="30">
        <f>Inventory[[#This Row],[Nbhd Adj]]*0.95</f>
        <v>0.94971499999999998</v>
      </c>
      <c r="BK46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46" s="30">
        <f>ROUND((SUM(Inventory[[#This Row],[Mdl Qlty]:[Mdl Garage Area]])+Inventory[[#This Row],[Mdl Res Intercept]])*Inventory[[#This Row],[Res Adj ]],-2)</f>
        <v>333500</v>
      </c>
      <c r="BM46" s="30">
        <f>ROUND(Inventory[[#This Row],[25Det]]*Inventory[[#This Row],[Det/Nbhd Adj]],-2)</f>
        <v>0</v>
      </c>
      <c r="BN46" s="30">
        <f>Inventory[[#This Row],[Adjusted Res]]+Inventory[[#This Row],[Adj Det ]]</f>
        <v>333500</v>
      </c>
      <c r="BO46" s="30">
        <f>ROUND((Inventory[[#This Row],[Mdl Land Intercept]]+Inventory[[#This Row],[Mdl LnAcres]])*Inventory[[#This Row],[Det/Nbhd Adj]],-2)</f>
        <v>63000</v>
      </c>
      <c r="BP46" s="30">
        <f>Inventory[[#This Row],[Adjusted Impr Total]]+Inventory[[#This Row],[Adjusted Land Total]]</f>
        <v>396500</v>
      </c>
      <c r="BQ46" s="30">
        <f>IFERROR((Inventory[[#This Row],[Adjusted Impr Total]]-Inventory[[#This Row],[24Bldg]])/Inventory[[#This Row],[24Bldg]],0)</f>
        <v>-5.7110545660163978E-2</v>
      </c>
      <c r="BR46" s="43">
        <f>(Inventory[[#This Row],[Adjusted Land Total]]-Inventory[[#This Row],[24Lnd]])/Inventory[[#This Row],[24Lnd]]</f>
        <v>-3.1645569620253164E-3</v>
      </c>
      <c r="BS46" s="43">
        <f>(Inventory[[#This Row],[Adjusted Total]]-Inventory[[#This Row],[24Final]])/Inventory[[#This Row],[24Final]]</f>
        <v>-4.8932597745262651E-2</v>
      </c>
    </row>
    <row r="47" spans="1:71">
      <c r="A47" s="30">
        <v>2025</v>
      </c>
      <c r="B47" s="31" t="s">
        <v>554</v>
      </c>
      <c r="C47" s="31">
        <f>LN(Inventory[[#This Row],[Acres]])</f>
        <v>-1.6713133161521878</v>
      </c>
      <c r="D47" s="37">
        <f>ROUND(Inventory[[#This Row],[Sqft]]/43560,3)</f>
        <v>0.188</v>
      </c>
      <c r="E47" s="30">
        <v>8207</v>
      </c>
      <c r="F47" s="31" t="s">
        <v>505</v>
      </c>
      <c r="G47" s="31" t="s">
        <v>155</v>
      </c>
      <c r="H47" s="31" t="s">
        <v>5</v>
      </c>
      <c r="I47" s="31" t="s">
        <v>506</v>
      </c>
      <c r="J47" s="31" t="s">
        <v>507</v>
      </c>
      <c r="K47" s="31" t="s">
        <v>157</v>
      </c>
      <c r="L47" s="31" t="s">
        <v>21</v>
      </c>
      <c r="M47" s="31" t="s">
        <v>24</v>
      </c>
      <c r="N47" s="31">
        <v>0</v>
      </c>
      <c r="O47" s="31">
        <f>2024-Inventory[[#This Row],[YrBlt]]</f>
        <v>2</v>
      </c>
      <c r="P47" s="31">
        <f>2024-Inventory[[#This Row],[EffYr]]</f>
        <v>2</v>
      </c>
      <c r="Q47" s="30">
        <v>2022</v>
      </c>
      <c r="R47" s="30">
        <v>2022</v>
      </c>
      <c r="S47" s="30">
        <v>1592</v>
      </c>
      <c r="T47" s="37"/>
      <c r="U47" s="37"/>
      <c r="V47" s="32"/>
      <c r="W47" s="37"/>
      <c r="X47" s="37">
        <f>Inventory[[#This Row],[Bsmt Area]]-Inventory[[#This Row],[FnBsmt]]</f>
        <v>0</v>
      </c>
      <c r="Y47" s="37">
        <f>Inventory[[#This Row],[MainFn]]+Inventory[[#This Row],[UpprFn]]+Inventory[[#This Row],[AddFn]]+Inventory[[#This Row],[FnBsmt]]</f>
        <v>1592</v>
      </c>
      <c r="Z47" s="32">
        <v>2000</v>
      </c>
      <c r="AA47" s="31" t="s">
        <v>57</v>
      </c>
      <c r="AB47" s="38">
        <v>1</v>
      </c>
      <c r="AC47" s="38">
        <v>616</v>
      </c>
      <c r="AD47" s="32"/>
      <c r="AE47" s="32"/>
      <c r="AF47" s="32"/>
      <c r="AG47" s="32"/>
      <c r="AH47" s="32"/>
      <c r="AI47" s="30">
        <v>373646</v>
      </c>
      <c r="AJ47" s="30">
        <v>366173</v>
      </c>
      <c r="AK47" s="30">
        <v>0</v>
      </c>
      <c r="AL47" s="30">
        <v>0</v>
      </c>
      <c r="AM47" s="30">
        <v>63200</v>
      </c>
      <c r="AN47" s="30">
        <v>337300</v>
      </c>
      <c r="AO47" s="30">
        <v>400500</v>
      </c>
      <c r="AP47" s="30">
        <f>Lookups!$B$58*0.6</f>
        <v>132535.48800000001</v>
      </c>
      <c r="AQ47" s="30">
        <f>Lookups!$B$58*0.4</f>
        <v>88356.992000000013</v>
      </c>
      <c r="AR47" s="30">
        <f>Lookups!$B$59*Inventory[[#This Row],[LnAcres]]</f>
        <v>-21934.852452755797</v>
      </c>
      <c r="AS47" s="30">
        <f>VLOOKUP(Inventory[[#This Row],[Qlty]],Lookups!$A$66:$E$79,2,FALSE)</f>
        <v>32917.849192000001</v>
      </c>
      <c r="AT47" s="30">
        <f>VLOOKUP(Inventory[[#This Row],[Cnd]],Lookups!$A$80:$E$88,2,FALSE)</f>
        <v>47371.278778200001</v>
      </c>
      <c r="AU47" s="30">
        <f>Inventory[[#This Row],[EffAge]]*Lookups!$B$65</f>
        <v>-217.48220000000001</v>
      </c>
      <c r="AV47" s="30">
        <f>Inventory[[#This Row],[MainFn]]*Lookups!$B$90</f>
        <v>99357.324960000013</v>
      </c>
      <c r="AW47" s="30">
        <f>Inventory[[#This Row],[UpprFn]]*Lookups!$B$91</f>
        <v>0</v>
      </c>
      <c r="AX47" s="30">
        <f>Inventory[[#This Row],[Bsmt Area]]*Lookups!$B$95</f>
        <v>0</v>
      </c>
      <c r="AY47" s="30">
        <f>Inventory[[#This Row],[AttGar]]*Lookups!$B$93</f>
        <v>21745.435096000001</v>
      </c>
      <c r="AZ47" s="30">
        <f>ROUND(Inventory[[#This Row],[25Det]],-2)</f>
        <v>0</v>
      </c>
      <c r="BA47" s="30">
        <f>ROUND(SUM(Inventory[[#This Row],[Mdl Qlty]:[Mdl Garage Area]])+Inventory[[#This Row],[Mdl Res Intercept]],-2)</f>
        <v>333700</v>
      </c>
      <c r="BB47" s="30">
        <f>ROUND(Inventory[[#This Row],[Mdl Land Intercept]]+Inventory[[#This Row],[Mdl LnAcres]],-2)</f>
        <v>66400</v>
      </c>
      <c r="BC47" s="30">
        <f>Inventory[[#This Row],[Unadj Res Value]]+Inventory[[#This Row],[Unadj Det Value]]+Inventory[[#This Row],[Unadj Land Value]]</f>
        <v>400100</v>
      </c>
      <c r="BD47" s="30">
        <f>(Inventory[[#This Row],[Unadj Total Value]]-Inventory[[#This Row],[24Final]])/Inventory[[#This Row],[24Final]]</f>
        <v>-9.9875156054931333E-4</v>
      </c>
      <c r="BE47" s="30">
        <f>VLOOKUP(Inventory[[#This Row],[Nbhd]],Lookups!$M$3:$P$5,4,FALSE)</f>
        <v>0.99970000000000003</v>
      </c>
      <c r="BF47" s="30">
        <f>VLOOKUP(Inventory[[#This Row],[Qlty]],Lookups!$M$8:$P$22,4,FALSE)</f>
        <v>1.0019</v>
      </c>
      <c r="BG47" s="30">
        <f>VLOOKUP(Inventory[[#This Row],[Cnd]],Lookups!$R$8:$U$17,4,FALSE)</f>
        <v>1.0012000000000001</v>
      </c>
      <c r="BH47" s="30">
        <f>VLOOKUP(Inventory[[#This Row],[LivArea Range]],Lookups!$R$25:$U$43,4,FALSE)</f>
        <v>1.0007999999999999</v>
      </c>
      <c r="BI47" s="30">
        <f>VLOOKUP(Inventory[[#This Row],[Decade]],Lookups!$M$24:$P$40,4,FALSE)</f>
        <v>1</v>
      </c>
      <c r="BJ47" s="30">
        <f>Inventory[[#This Row],[Nbhd Adj]]*0.95</f>
        <v>0.94971499999999998</v>
      </c>
      <c r="BK47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47" s="30">
        <f>ROUND((SUM(Inventory[[#This Row],[Mdl Qlty]:[Mdl Garage Area]])+Inventory[[#This Row],[Mdl Res Intercept]])*Inventory[[#This Row],[Res Adj ]],-2)</f>
        <v>317300</v>
      </c>
      <c r="BM47" s="30">
        <f>ROUND(Inventory[[#This Row],[25Det]]*Inventory[[#This Row],[Det/Nbhd Adj]],-2)</f>
        <v>0</v>
      </c>
      <c r="BN47" s="30">
        <f>Inventory[[#This Row],[Adjusted Res]]+Inventory[[#This Row],[Adj Det ]]</f>
        <v>317300</v>
      </c>
      <c r="BO47" s="30">
        <f>ROUND((Inventory[[#This Row],[Mdl Land Intercept]]+Inventory[[#This Row],[Mdl LnAcres]])*Inventory[[#This Row],[Det/Nbhd Adj]],-2)</f>
        <v>63100</v>
      </c>
      <c r="BP47" s="30">
        <f>Inventory[[#This Row],[Adjusted Impr Total]]+Inventory[[#This Row],[Adjusted Land Total]]</f>
        <v>380400</v>
      </c>
      <c r="BQ47" s="30">
        <f>IFERROR((Inventory[[#This Row],[Adjusted Impr Total]]-Inventory[[#This Row],[24Bldg]])/Inventory[[#This Row],[24Bldg]],0)</f>
        <v>-5.9294396679513785E-2</v>
      </c>
      <c r="BR47" s="43">
        <f>(Inventory[[#This Row],[Adjusted Land Total]]-Inventory[[#This Row],[24Lnd]])/Inventory[[#This Row],[24Lnd]]</f>
        <v>-1.5822784810126582E-3</v>
      </c>
      <c r="BS47" s="43">
        <f>(Inventory[[#This Row],[Adjusted Total]]-Inventory[[#This Row],[24Final]])/Inventory[[#This Row],[24Final]]</f>
        <v>-5.0187265917602995E-2</v>
      </c>
    </row>
    <row r="48" spans="1:71">
      <c r="A48" s="30">
        <v>2025</v>
      </c>
      <c r="B48" s="31" t="s">
        <v>555</v>
      </c>
      <c r="C48" s="31">
        <f>LN(Inventory[[#This Row],[Acres]])</f>
        <v>-1.6660082639224947</v>
      </c>
      <c r="D48" s="37">
        <f>ROUND(Inventory[[#This Row],[Sqft]]/43560,3)</f>
        <v>0.189</v>
      </c>
      <c r="E48" s="30">
        <v>8222</v>
      </c>
      <c r="F48" s="31" t="s">
        <v>505</v>
      </c>
      <c r="G48" s="31" t="s">
        <v>155</v>
      </c>
      <c r="H48" s="31" t="s">
        <v>5</v>
      </c>
      <c r="I48" s="31" t="s">
        <v>506</v>
      </c>
      <c r="J48" s="31" t="s">
        <v>507</v>
      </c>
      <c r="K48" s="31" t="s">
        <v>157</v>
      </c>
      <c r="L48" s="31" t="s">
        <v>19</v>
      </c>
      <c r="M48" s="31" t="s">
        <v>24</v>
      </c>
      <c r="N48" s="31">
        <v>0</v>
      </c>
      <c r="O48" s="31">
        <f>2024-Inventory[[#This Row],[YrBlt]]</f>
        <v>2</v>
      </c>
      <c r="P48" s="31">
        <f>2024-Inventory[[#This Row],[EffYr]]</f>
        <v>2</v>
      </c>
      <c r="Q48" s="30">
        <v>2022</v>
      </c>
      <c r="R48" s="30">
        <v>2022</v>
      </c>
      <c r="S48" s="30">
        <v>1403</v>
      </c>
      <c r="T48" s="37"/>
      <c r="U48" s="32"/>
      <c r="V48" s="32"/>
      <c r="W48" s="32"/>
      <c r="X48" s="32">
        <f>Inventory[[#This Row],[Bsmt Area]]-Inventory[[#This Row],[FnBsmt]]</f>
        <v>0</v>
      </c>
      <c r="Y48" s="32">
        <f>Inventory[[#This Row],[MainFn]]+Inventory[[#This Row],[UpprFn]]+Inventory[[#This Row],[AddFn]]+Inventory[[#This Row],[FnBsmt]]</f>
        <v>1403</v>
      </c>
      <c r="Z48" s="32">
        <v>1500</v>
      </c>
      <c r="AA48" s="31" t="s">
        <v>57</v>
      </c>
      <c r="AB48" s="32"/>
      <c r="AC48" s="30">
        <v>640</v>
      </c>
      <c r="AD48" s="32"/>
      <c r="AE48" s="32"/>
      <c r="AF48" s="32"/>
      <c r="AG48" s="32"/>
      <c r="AH48" s="32"/>
      <c r="AI48" s="30">
        <v>292311</v>
      </c>
      <c r="AJ48" s="30">
        <v>286465</v>
      </c>
      <c r="AK48" s="30">
        <v>0</v>
      </c>
      <c r="AL48" s="30">
        <v>0</v>
      </c>
      <c r="AM48" s="30">
        <v>63200</v>
      </c>
      <c r="AN48" s="30">
        <v>322500</v>
      </c>
      <c r="AO48" s="30">
        <v>385700</v>
      </c>
      <c r="AP48" s="30">
        <f>Lookups!$B$58*0.6</f>
        <v>132535.48800000001</v>
      </c>
      <c r="AQ48" s="30">
        <f>Lookups!$B$58*0.4</f>
        <v>88356.992000000013</v>
      </c>
      <c r="AR48" s="30">
        <f>Lookups!$B$59*Inventory[[#This Row],[LnAcres]]</f>
        <v>-21865.227244371537</v>
      </c>
      <c r="AS48" s="30">
        <f>VLOOKUP(Inventory[[#This Row],[Qlty]],Lookups!$A$66:$E$79,2,FALSE)</f>
        <v>37154.252388000001</v>
      </c>
      <c r="AT48" s="30">
        <f>VLOOKUP(Inventory[[#This Row],[Cnd]],Lookups!$A$80:$E$88,2,FALSE)</f>
        <v>47371.278778200001</v>
      </c>
      <c r="AU48" s="30">
        <f>Inventory[[#This Row],[EffAge]]*Lookups!$B$65</f>
        <v>-217.48220000000001</v>
      </c>
      <c r="AV48" s="30">
        <f>Inventory[[#This Row],[MainFn]]*Lookups!$B$90</f>
        <v>87561.76314000001</v>
      </c>
      <c r="AW48" s="30">
        <f>Inventory[[#This Row],[UpprFn]]*Lookups!$B$91</f>
        <v>0</v>
      </c>
      <c r="AX48" s="30">
        <f>Inventory[[#This Row],[Bsmt Area]]*Lookups!$B$95</f>
        <v>0</v>
      </c>
      <c r="AY48" s="30">
        <f>Inventory[[#This Row],[AttGar]]*Lookups!$B$93</f>
        <v>22592.65984</v>
      </c>
      <c r="AZ48" s="30">
        <f>ROUND(Inventory[[#This Row],[25Det]],-2)</f>
        <v>0</v>
      </c>
      <c r="BA48" s="30">
        <f>ROUND(SUM(Inventory[[#This Row],[Mdl Qlty]:[Mdl Garage Area]])+Inventory[[#This Row],[Mdl Res Intercept]],-2)</f>
        <v>327000</v>
      </c>
      <c r="BB48" s="30">
        <f>ROUND(Inventory[[#This Row],[Mdl Land Intercept]]+Inventory[[#This Row],[Mdl LnAcres]],-2)</f>
        <v>66500</v>
      </c>
      <c r="BC48" s="30">
        <f>Inventory[[#This Row],[Unadj Res Value]]+Inventory[[#This Row],[Unadj Det Value]]+Inventory[[#This Row],[Unadj Land Value]]</f>
        <v>393500</v>
      </c>
      <c r="BD48" s="30">
        <f>(Inventory[[#This Row],[Unadj Total Value]]-Inventory[[#This Row],[24Final]])/Inventory[[#This Row],[24Final]]</f>
        <v>2.0222971221156339E-2</v>
      </c>
      <c r="BE48" s="30">
        <f>VLOOKUP(Inventory[[#This Row],[Nbhd]],Lookups!$M$3:$P$5,4,FALSE)</f>
        <v>0.99970000000000003</v>
      </c>
      <c r="BF48" s="30">
        <f>VLOOKUP(Inventory[[#This Row],[Qlty]],Lookups!$M$8:$P$22,4,FALSE)</f>
        <v>0.99819999999999998</v>
      </c>
      <c r="BG48" s="30">
        <f>VLOOKUP(Inventory[[#This Row],[Cnd]],Lookups!$R$8:$U$17,4,FALSE)</f>
        <v>1.0012000000000001</v>
      </c>
      <c r="BH48" s="30">
        <f>VLOOKUP(Inventory[[#This Row],[LivArea Range]],Lookups!$R$25:$U$43,4,FALSE)</f>
        <v>0.99519999999999997</v>
      </c>
      <c r="BI48" s="30">
        <f>VLOOKUP(Inventory[[#This Row],[Decade]],Lookups!$M$24:$P$40,4,FALSE)</f>
        <v>1</v>
      </c>
      <c r="BJ48" s="30">
        <f>Inventory[[#This Row],[Nbhd Adj]]*0.95</f>
        <v>0.94971499999999998</v>
      </c>
      <c r="BK48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48" s="30">
        <f>ROUND((SUM(Inventory[[#This Row],[Mdl Qlty]:[Mdl Garage Area]])+Inventory[[#This Row],[Mdl Res Intercept]])*Inventory[[#This Row],[Res Adj ]],-2)</f>
        <v>310300</v>
      </c>
      <c r="BM48" s="30">
        <f>ROUND(Inventory[[#This Row],[25Det]]*Inventory[[#This Row],[Det/Nbhd Adj]],-2)</f>
        <v>0</v>
      </c>
      <c r="BN48" s="30">
        <f>Inventory[[#This Row],[Adjusted Res]]+Inventory[[#This Row],[Adj Det ]]</f>
        <v>310300</v>
      </c>
      <c r="BO48" s="30">
        <f>ROUND((Inventory[[#This Row],[Mdl Land Intercept]]+Inventory[[#This Row],[Mdl LnAcres]])*Inventory[[#This Row],[Det/Nbhd Adj]],-2)</f>
        <v>63100</v>
      </c>
      <c r="BP48" s="30">
        <f>Inventory[[#This Row],[Adjusted Impr Total]]+Inventory[[#This Row],[Adjusted Land Total]]</f>
        <v>373400</v>
      </c>
      <c r="BQ48" s="30">
        <f>IFERROR((Inventory[[#This Row],[Adjusted Impr Total]]-Inventory[[#This Row],[24Bldg]])/Inventory[[#This Row],[24Bldg]],0)</f>
        <v>-3.7829457364341082E-2</v>
      </c>
      <c r="BR48" s="43">
        <f>(Inventory[[#This Row],[Adjusted Land Total]]-Inventory[[#This Row],[24Lnd]])/Inventory[[#This Row],[24Lnd]]</f>
        <v>-1.5822784810126582E-3</v>
      </c>
      <c r="BS48" s="43">
        <f>(Inventory[[#This Row],[Adjusted Total]]-Inventory[[#This Row],[24Final]])/Inventory[[#This Row],[24Final]]</f>
        <v>-3.1890070002592689E-2</v>
      </c>
    </row>
    <row r="49" spans="1:71">
      <c r="A49" s="30">
        <v>2025</v>
      </c>
      <c r="B49" s="31" t="s">
        <v>556</v>
      </c>
      <c r="C49" s="31">
        <f>LN(Inventory[[#This Row],[Acres]])</f>
        <v>-1.6660082639224947</v>
      </c>
      <c r="D49" s="37">
        <f>ROUND(Inventory[[#This Row],[Sqft]]/43560,3)</f>
        <v>0.189</v>
      </c>
      <c r="E49" s="30">
        <v>8228</v>
      </c>
      <c r="F49" s="31" t="s">
        <v>505</v>
      </c>
      <c r="G49" s="31" t="s">
        <v>155</v>
      </c>
      <c r="H49" s="31" t="s">
        <v>5</v>
      </c>
      <c r="I49" s="31" t="s">
        <v>506</v>
      </c>
      <c r="J49" s="31" t="s">
        <v>507</v>
      </c>
      <c r="K49" s="31" t="s">
        <v>157</v>
      </c>
      <c r="L49" s="31" t="s">
        <v>21</v>
      </c>
      <c r="M49" s="31" t="s">
        <v>24</v>
      </c>
      <c r="N49" s="31">
        <v>0</v>
      </c>
      <c r="O49" s="31">
        <f>2024-Inventory[[#This Row],[YrBlt]]</f>
        <v>2</v>
      </c>
      <c r="P49" s="31">
        <f>2024-Inventory[[#This Row],[EffYr]]</f>
        <v>2</v>
      </c>
      <c r="Q49" s="30">
        <v>2022</v>
      </c>
      <c r="R49" s="30">
        <v>2022</v>
      </c>
      <c r="S49" s="30">
        <v>1830</v>
      </c>
      <c r="T49" s="32"/>
      <c r="U49" s="32"/>
      <c r="V49" s="37"/>
      <c r="W49" s="32"/>
      <c r="X49" s="32">
        <f>Inventory[[#This Row],[Bsmt Area]]-Inventory[[#This Row],[FnBsmt]]</f>
        <v>0</v>
      </c>
      <c r="Y49" s="32">
        <f>Inventory[[#This Row],[MainFn]]+Inventory[[#This Row],[UpprFn]]+Inventory[[#This Row],[AddFn]]+Inventory[[#This Row],[FnBsmt]]</f>
        <v>1830</v>
      </c>
      <c r="Z49" s="32">
        <v>2000</v>
      </c>
      <c r="AA49" s="31" t="s">
        <v>57</v>
      </c>
      <c r="AB49" s="37"/>
      <c r="AC49" s="38">
        <v>808</v>
      </c>
      <c r="AD49" s="32"/>
      <c r="AE49" s="32"/>
      <c r="AF49" s="32"/>
      <c r="AG49" s="32"/>
      <c r="AH49" s="32"/>
      <c r="AI49" s="30">
        <v>402064</v>
      </c>
      <c r="AJ49" s="30">
        <v>394023</v>
      </c>
      <c r="AK49" s="30">
        <v>0</v>
      </c>
      <c r="AL49" s="30">
        <v>0</v>
      </c>
      <c r="AM49" s="30">
        <v>63200</v>
      </c>
      <c r="AN49" s="30">
        <v>344200</v>
      </c>
      <c r="AO49" s="30">
        <v>407400</v>
      </c>
      <c r="AP49" s="30">
        <f>Lookups!$B$58*0.6</f>
        <v>132535.48800000001</v>
      </c>
      <c r="AQ49" s="30">
        <f>Lookups!$B$58*0.4</f>
        <v>88356.992000000013</v>
      </c>
      <c r="AR49" s="30">
        <f>Lookups!$B$59*Inventory[[#This Row],[LnAcres]]</f>
        <v>-21865.227244371537</v>
      </c>
      <c r="AS49" s="30">
        <f>VLOOKUP(Inventory[[#This Row],[Qlty]],Lookups!$A$66:$E$79,2,FALSE)</f>
        <v>32917.849192000001</v>
      </c>
      <c r="AT49" s="30">
        <f>VLOOKUP(Inventory[[#This Row],[Cnd]],Lookups!$A$80:$E$88,2,FALSE)</f>
        <v>47371.278778200001</v>
      </c>
      <c r="AU49" s="30">
        <f>Inventory[[#This Row],[EffAge]]*Lookups!$B$65</f>
        <v>-217.48220000000001</v>
      </c>
      <c r="AV49" s="30">
        <f>Inventory[[#This Row],[MainFn]]*Lookups!$B$90</f>
        <v>114210.9954</v>
      </c>
      <c r="AW49" s="30">
        <f>Inventory[[#This Row],[UpprFn]]*Lookups!$B$91</f>
        <v>0</v>
      </c>
      <c r="AX49" s="30">
        <f>Inventory[[#This Row],[Bsmt Area]]*Lookups!$B$95</f>
        <v>0</v>
      </c>
      <c r="AY49" s="30">
        <f>Inventory[[#This Row],[AttGar]]*Lookups!$B$93</f>
        <v>28523.233048000002</v>
      </c>
      <c r="AZ49" s="30">
        <f>ROUND(Inventory[[#This Row],[25Det]],-2)</f>
        <v>0</v>
      </c>
      <c r="BA49" s="30">
        <f>ROUND(SUM(Inventory[[#This Row],[Mdl Qlty]:[Mdl Garage Area]])+Inventory[[#This Row],[Mdl Res Intercept]],-2)</f>
        <v>355300</v>
      </c>
      <c r="BB49" s="30">
        <f>ROUND(Inventory[[#This Row],[Mdl Land Intercept]]+Inventory[[#This Row],[Mdl LnAcres]],-2)</f>
        <v>66500</v>
      </c>
      <c r="BC49" s="30">
        <f>Inventory[[#This Row],[Unadj Res Value]]+Inventory[[#This Row],[Unadj Det Value]]+Inventory[[#This Row],[Unadj Land Value]]</f>
        <v>421800</v>
      </c>
      <c r="BD49" s="30">
        <f>(Inventory[[#This Row],[Unadj Total Value]]-Inventory[[#This Row],[24Final]])/Inventory[[#This Row],[24Final]]</f>
        <v>3.5346097201767304E-2</v>
      </c>
      <c r="BE49" s="30">
        <f>VLOOKUP(Inventory[[#This Row],[Nbhd]],Lookups!$M$3:$P$5,4,FALSE)</f>
        <v>0.99970000000000003</v>
      </c>
      <c r="BF49" s="30">
        <f>VLOOKUP(Inventory[[#This Row],[Qlty]],Lookups!$M$8:$P$22,4,FALSE)</f>
        <v>1.0019</v>
      </c>
      <c r="BG49" s="30">
        <f>VLOOKUP(Inventory[[#This Row],[Cnd]],Lookups!$R$8:$U$17,4,FALSE)</f>
        <v>1.0012000000000001</v>
      </c>
      <c r="BH49" s="30">
        <f>VLOOKUP(Inventory[[#This Row],[LivArea Range]],Lookups!$R$25:$U$43,4,FALSE)</f>
        <v>1.0007999999999999</v>
      </c>
      <c r="BI49" s="30">
        <f>VLOOKUP(Inventory[[#This Row],[Decade]],Lookups!$M$24:$P$40,4,FALSE)</f>
        <v>1</v>
      </c>
      <c r="BJ49" s="30">
        <f>Inventory[[#This Row],[Nbhd Adj]]*0.95</f>
        <v>0.94971499999999998</v>
      </c>
      <c r="BK49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49" s="30">
        <f>ROUND((SUM(Inventory[[#This Row],[Mdl Qlty]:[Mdl Garage Area]])+Inventory[[#This Row],[Mdl Res Intercept]])*Inventory[[#This Row],[Res Adj ]],-2)</f>
        <v>337800</v>
      </c>
      <c r="BM49" s="30">
        <f>ROUND(Inventory[[#This Row],[25Det]]*Inventory[[#This Row],[Det/Nbhd Adj]],-2)</f>
        <v>0</v>
      </c>
      <c r="BN49" s="30">
        <f>Inventory[[#This Row],[Adjusted Res]]+Inventory[[#This Row],[Adj Det ]]</f>
        <v>337800</v>
      </c>
      <c r="BO49" s="30">
        <f>ROUND((Inventory[[#This Row],[Mdl Land Intercept]]+Inventory[[#This Row],[Mdl LnAcres]])*Inventory[[#This Row],[Det/Nbhd Adj]],-2)</f>
        <v>63100</v>
      </c>
      <c r="BP49" s="30">
        <f>Inventory[[#This Row],[Adjusted Impr Total]]+Inventory[[#This Row],[Adjusted Land Total]]</f>
        <v>400900</v>
      </c>
      <c r="BQ49" s="30">
        <f>IFERROR((Inventory[[#This Row],[Adjusted Impr Total]]-Inventory[[#This Row],[24Bldg]])/Inventory[[#This Row],[24Bldg]],0)</f>
        <v>-1.8593840790238233E-2</v>
      </c>
      <c r="BR49" s="43">
        <f>(Inventory[[#This Row],[Adjusted Land Total]]-Inventory[[#This Row],[24Lnd]])/Inventory[[#This Row],[24Lnd]]</f>
        <v>-1.5822784810126582E-3</v>
      </c>
      <c r="BS49" s="43">
        <f>(Inventory[[#This Row],[Adjusted Total]]-Inventory[[#This Row],[24Final]])/Inventory[[#This Row],[24Final]]</f>
        <v>-1.5954835542464407E-2</v>
      </c>
    </row>
    <row r="50" spans="1:71">
      <c r="A50" s="30">
        <v>2025</v>
      </c>
      <c r="B50" s="31" t="s">
        <v>557</v>
      </c>
      <c r="C50" s="31">
        <f>LN(Inventory[[#This Row],[Acres]])</f>
        <v>-1.6660082639224947</v>
      </c>
      <c r="D50" s="37">
        <f>ROUND(Inventory[[#This Row],[Sqft]]/43560,3)</f>
        <v>0.189</v>
      </c>
      <c r="E50" s="30">
        <v>8220</v>
      </c>
      <c r="F50" s="31" t="s">
        <v>505</v>
      </c>
      <c r="G50" s="31" t="s">
        <v>155</v>
      </c>
      <c r="H50" s="31" t="s">
        <v>5</v>
      </c>
      <c r="I50" s="31" t="s">
        <v>506</v>
      </c>
      <c r="J50" s="31" t="s">
        <v>507</v>
      </c>
      <c r="K50" s="31" t="s">
        <v>193</v>
      </c>
      <c r="L50" s="31" t="s">
        <v>17</v>
      </c>
      <c r="M50" s="31" t="s">
        <v>24</v>
      </c>
      <c r="N50" s="31">
        <v>0</v>
      </c>
      <c r="O50" s="31">
        <f>2024-Inventory[[#This Row],[YrBlt]]</f>
        <v>2</v>
      </c>
      <c r="P50" s="31">
        <f>2024-Inventory[[#This Row],[EffYr]]</f>
        <v>2</v>
      </c>
      <c r="Q50" s="30">
        <v>2022</v>
      </c>
      <c r="R50" s="30">
        <v>2022</v>
      </c>
      <c r="S50" s="30">
        <v>1240</v>
      </c>
      <c r="T50" s="32"/>
      <c r="U50" s="32"/>
      <c r="V50" s="32"/>
      <c r="W50" s="32"/>
      <c r="X50" s="32">
        <f>Inventory[[#This Row],[Bsmt Area]]-Inventory[[#This Row],[FnBsmt]]</f>
        <v>0</v>
      </c>
      <c r="Y50" s="32">
        <f>Inventory[[#This Row],[MainFn]]+Inventory[[#This Row],[UpprFn]]+Inventory[[#This Row],[AddFn]]+Inventory[[#This Row],[FnBsmt]]</f>
        <v>1240</v>
      </c>
      <c r="Z50" s="32">
        <v>1500</v>
      </c>
      <c r="AA50" s="31" t="s">
        <v>56</v>
      </c>
      <c r="AB50" s="32"/>
      <c r="AC50" s="38">
        <v>404</v>
      </c>
      <c r="AD50" s="32"/>
      <c r="AE50" s="32"/>
      <c r="AF50" s="32"/>
      <c r="AG50" s="32"/>
      <c r="AH50" s="32"/>
      <c r="AI50" s="30">
        <v>223614</v>
      </c>
      <c r="AJ50" s="30">
        <v>219142</v>
      </c>
      <c r="AK50" s="30">
        <v>0</v>
      </c>
      <c r="AL50" s="30">
        <v>0</v>
      </c>
      <c r="AM50" s="30">
        <v>63200</v>
      </c>
      <c r="AN50" s="30">
        <v>285000</v>
      </c>
      <c r="AO50" s="30">
        <v>348200</v>
      </c>
      <c r="AP50" s="30">
        <f>Lookups!$B$58*0.6</f>
        <v>132535.48800000001</v>
      </c>
      <c r="AQ50" s="30">
        <f>Lookups!$B$58*0.4</f>
        <v>88356.992000000013</v>
      </c>
      <c r="AR50" s="30">
        <f>Lookups!$B$59*Inventory[[#This Row],[LnAcres]]</f>
        <v>-21865.227244371537</v>
      </c>
      <c r="AS50" s="30">
        <f>VLOOKUP(Inventory[[#This Row],[Qlty]],Lookups!$A$66:$E$79,2,FALSE)</f>
        <v>24371.765965999999</v>
      </c>
      <c r="AT50" s="30">
        <f>VLOOKUP(Inventory[[#This Row],[Cnd]],Lookups!$A$80:$E$88,2,FALSE)</f>
        <v>47371.278778200001</v>
      </c>
      <c r="AU50" s="30">
        <f>Inventory[[#This Row],[EffAge]]*Lookups!$B$65</f>
        <v>-217.48220000000001</v>
      </c>
      <c r="AV50" s="30">
        <f>Inventory[[#This Row],[MainFn]]*Lookups!$B$90</f>
        <v>77388.871200000009</v>
      </c>
      <c r="AW50" s="30">
        <f>Inventory[[#This Row],[UpprFn]]*Lookups!$B$91</f>
        <v>0</v>
      </c>
      <c r="AX50" s="30">
        <f>Inventory[[#This Row],[Bsmt Area]]*Lookups!$B$95</f>
        <v>0</v>
      </c>
      <c r="AY50" s="30">
        <f>Inventory[[#This Row],[AttGar]]*Lookups!$B$93</f>
        <v>14261.616524000001</v>
      </c>
      <c r="AZ50" s="30">
        <f>ROUND(Inventory[[#This Row],[25Det]],-2)</f>
        <v>0</v>
      </c>
      <c r="BA50" s="30">
        <f>ROUND(SUM(Inventory[[#This Row],[Mdl Qlty]:[Mdl Garage Area]])+Inventory[[#This Row],[Mdl Res Intercept]],-2)</f>
        <v>295700</v>
      </c>
      <c r="BB50" s="30">
        <f>ROUND(Inventory[[#This Row],[Mdl Land Intercept]]+Inventory[[#This Row],[Mdl LnAcres]],-2)</f>
        <v>66500</v>
      </c>
      <c r="BC50" s="30">
        <f>Inventory[[#This Row],[Unadj Res Value]]+Inventory[[#This Row],[Unadj Det Value]]+Inventory[[#This Row],[Unadj Land Value]]</f>
        <v>362200</v>
      </c>
      <c r="BD50" s="30">
        <f>(Inventory[[#This Row],[Unadj Total Value]]-Inventory[[#This Row],[24Final]])/Inventory[[#This Row],[24Final]]</f>
        <v>4.0206777713957496E-2</v>
      </c>
      <c r="BE50" s="30">
        <f>VLOOKUP(Inventory[[#This Row],[Nbhd]],Lookups!$M$3:$P$5,4,FALSE)</f>
        <v>0.99970000000000003</v>
      </c>
      <c r="BF50" s="30">
        <f>VLOOKUP(Inventory[[#This Row],[Qlty]],Lookups!$M$8:$P$22,4,FALSE)</f>
        <v>0.99199999999999999</v>
      </c>
      <c r="BG50" s="30">
        <f>VLOOKUP(Inventory[[#This Row],[Cnd]],Lookups!$R$8:$U$17,4,FALSE)</f>
        <v>1.0012000000000001</v>
      </c>
      <c r="BH50" s="30">
        <f>VLOOKUP(Inventory[[#This Row],[LivArea Range]],Lookups!$R$25:$U$43,4,FALSE)</f>
        <v>0.99519999999999997</v>
      </c>
      <c r="BI50" s="30">
        <f>VLOOKUP(Inventory[[#This Row],[Decade]],Lookups!$M$24:$P$40,4,FALSE)</f>
        <v>1</v>
      </c>
      <c r="BJ50" s="30">
        <f>Inventory[[#This Row],[Nbhd Adj]]*0.95</f>
        <v>0.94971499999999998</v>
      </c>
      <c r="BK50" s="30">
        <f>AVERAGE(Inventory[[#This Row],[Nbhd Adj]],Inventory[[#This Row],[Quality Adj]],Inventory[[#This Row],[Condition Adj]],Inventory[[#This Row],[Living Area Adj]],Inventory[[#This Row],[Decade Adj]])*0.95</f>
        <v>0.947739</v>
      </c>
      <c r="BL50" s="30">
        <f>ROUND((SUM(Inventory[[#This Row],[Mdl Qlty]:[Mdl Garage Area]])+Inventory[[#This Row],[Mdl Res Intercept]])*Inventory[[#This Row],[Res Adj ]],-2)</f>
        <v>280300</v>
      </c>
      <c r="BM50" s="30">
        <f>ROUND(Inventory[[#This Row],[25Det]]*Inventory[[#This Row],[Det/Nbhd Adj]],-2)</f>
        <v>0</v>
      </c>
      <c r="BN50" s="30">
        <f>Inventory[[#This Row],[Adjusted Res]]+Inventory[[#This Row],[Adj Det ]]</f>
        <v>280300</v>
      </c>
      <c r="BO50" s="30">
        <f>ROUND((Inventory[[#This Row],[Mdl Land Intercept]]+Inventory[[#This Row],[Mdl LnAcres]])*Inventory[[#This Row],[Det/Nbhd Adj]],-2)</f>
        <v>63100</v>
      </c>
      <c r="BP50" s="30">
        <f>Inventory[[#This Row],[Adjusted Impr Total]]+Inventory[[#This Row],[Adjusted Land Total]]</f>
        <v>343400</v>
      </c>
      <c r="BQ50" s="30">
        <f>IFERROR((Inventory[[#This Row],[Adjusted Impr Total]]-Inventory[[#This Row],[24Bldg]])/Inventory[[#This Row],[24Bldg]],0)</f>
        <v>-1.6491228070175439E-2</v>
      </c>
      <c r="BR50" s="43">
        <f>(Inventory[[#This Row],[Adjusted Land Total]]-Inventory[[#This Row],[24Lnd]])/Inventory[[#This Row],[24Lnd]]</f>
        <v>-1.5822784810126582E-3</v>
      </c>
      <c r="BS50" s="43">
        <f>(Inventory[[#This Row],[Adjusted Total]]-Inventory[[#This Row],[24Final]])/Inventory[[#This Row],[24Final]]</f>
        <v>-1.3785180930499713E-2</v>
      </c>
    </row>
    <row r="51" spans="1:71">
      <c r="A51" s="30">
        <v>2025</v>
      </c>
      <c r="B51" s="31" t="s">
        <v>558</v>
      </c>
      <c r="C51" s="31">
        <f>LN(Inventory[[#This Row],[Acres]])</f>
        <v>-1.6554818509355071</v>
      </c>
      <c r="D51" s="37">
        <f>ROUND(Inventory[[#This Row],[Sqft]]/43560,3)</f>
        <v>0.191</v>
      </c>
      <c r="E51" s="30">
        <v>8323</v>
      </c>
      <c r="F51" s="31" t="s">
        <v>505</v>
      </c>
      <c r="G51" s="31" t="s">
        <v>155</v>
      </c>
      <c r="H51" s="31" t="s">
        <v>5</v>
      </c>
      <c r="I51" s="31" t="s">
        <v>506</v>
      </c>
      <c r="J51" s="31" t="s">
        <v>507</v>
      </c>
      <c r="K51" s="31" t="s">
        <v>157</v>
      </c>
      <c r="L51" s="31" t="s">
        <v>21</v>
      </c>
      <c r="M51" s="31" t="s">
        <v>24</v>
      </c>
      <c r="N51" s="31">
        <v>0</v>
      </c>
      <c r="O51" s="31">
        <f>2024-Inventory[[#This Row],[YrBlt]]</f>
        <v>2</v>
      </c>
      <c r="P51" s="31">
        <f>2024-Inventory[[#This Row],[EffYr]]</f>
        <v>2</v>
      </c>
      <c r="Q51" s="30">
        <v>2022</v>
      </c>
      <c r="R51" s="30">
        <v>2022</v>
      </c>
      <c r="S51" s="30">
        <v>1842</v>
      </c>
      <c r="T51" s="37"/>
      <c r="U51" s="37"/>
      <c r="V51" s="32"/>
      <c r="W51" s="32"/>
      <c r="X51" s="32">
        <f>Inventory[[#This Row],[Bsmt Area]]-Inventory[[#This Row],[FnBsmt]]</f>
        <v>0</v>
      </c>
      <c r="Y51" s="32">
        <f>Inventory[[#This Row],[MainFn]]+Inventory[[#This Row],[UpprFn]]+Inventory[[#This Row],[AddFn]]+Inventory[[#This Row],[FnBsmt]]</f>
        <v>1842</v>
      </c>
      <c r="Z51" s="32">
        <v>2000</v>
      </c>
      <c r="AA51" s="31" t="s">
        <v>56</v>
      </c>
      <c r="AB51" s="38">
        <v>1</v>
      </c>
      <c r="AC51" s="38">
        <v>656</v>
      </c>
      <c r="AD51" s="32"/>
      <c r="AE51" s="32"/>
      <c r="AF51" s="32"/>
      <c r="AG51" s="32"/>
      <c r="AH51" s="32"/>
      <c r="AI51" s="30">
        <v>405628</v>
      </c>
      <c r="AJ51" s="30">
        <v>397515</v>
      </c>
      <c r="AK51" s="30">
        <v>0</v>
      </c>
      <c r="AL51" s="30">
        <v>0</v>
      </c>
      <c r="AM51" s="30">
        <v>63200</v>
      </c>
      <c r="AN51" s="30">
        <v>338200</v>
      </c>
      <c r="AO51" s="30">
        <v>401400</v>
      </c>
      <c r="AP51" s="30">
        <f>Lookups!$B$58*0.6</f>
        <v>132535.48800000001</v>
      </c>
      <c r="AQ51" s="30">
        <f>Lookups!$B$58*0.4</f>
        <v>88356.992000000013</v>
      </c>
      <c r="AR51" s="30">
        <f>Lookups!$B$59*Inventory[[#This Row],[LnAcres]]</f>
        <v>-21727.075221351744</v>
      </c>
      <c r="AS51" s="30">
        <f>VLOOKUP(Inventory[[#This Row],[Qlty]],Lookups!$A$66:$E$79,2,FALSE)</f>
        <v>32917.849192000001</v>
      </c>
      <c r="AT51" s="30">
        <f>VLOOKUP(Inventory[[#This Row],[Cnd]],Lookups!$A$80:$E$88,2,FALSE)</f>
        <v>47371.278778200001</v>
      </c>
      <c r="AU51" s="30">
        <f>Inventory[[#This Row],[EffAge]]*Lookups!$B$65</f>
        <v>-217.48220000000001</v>
      </c>
      <c r="AV51" s="30">
        <f>Inventory[[#This Row],[MainFn]]*Lookups!$B$90</f>
        <v>114959.91996</v>
      </c>
      <c r="AW51" s="30">
        <f>Inventory[[#This Row],[UpprFn]]*Lookups!$B$91</f>
        <v>0</v>
      </c>
      <c r="AX51" s="30">
        <f>Inventory[[#This Row],[Bsmt Area]]*Lookups!$B$95</f>
        <v>0</v>
      </c>
      <c r="AY51" s="30">
        <f>Inventory[[#This Row],[AttGar]]*Lookups!$B$93</f>
        <v>23157.476336</v>
      </c>
      <c r="AZ51" s="30">
        <f>ROUND(Inventory[[#This Row],[25Det]],-2)</f>
        <v>0</v>
      </c>
      <c r="BA51" s="30">
        <f>ROUND(SUM(Inventory[[#This Row],[Mdl Qlty]:[Mdl Garage Area]])+Inventory[[#This Row],[Mdl Res Intercept]],-2)</f>
        <v>350700</v>
      </c>
      <c r="BB51" s="30">
        <f>ROUND(Inventory[[#This Row],[Mdl Land Intercept]]+Inventory[[#This Row],[Mdl LnAcres]],-2)</f>
        <v>66600</v>
      </c>
      <c r="BC51" s="30">
        <f>Inventory[[#This Row],[Unadj Res Value]]+Inventory[[#This Row],[Unadj Det Value]]+Inventory[[#This Row],[Unadj Land Value]]</f>
        <v>417300</v>
      </c>
      <c r="BD51" s="30">
        <f>(Inventory[[#This Row],[Unadj Total Value]]-Inventory[[#This Row],[24Final]])/Inventory[[#This Row],[24Final]]</f>
        <v>3.9611360239162931E-2</v>
      </c>
      <c r="BE51" s="30">
        <f>VLOOKUP(Inventory[[#This Row],[Nbhd]],Lookups!$M$3:$P$5,4,FALSE)</f>
        <v>0.99970000000000003</v>
      </c>
      <c r="BF51" s="30">
        <f>VLOOKUP(Inventory[[#This Row],[Qlty]],Lookups!$M$8:$P$22,4,FALSE)</f>
        <v>1.0019</v>
      </c>
      <c r="BG51" s="30">
        <f>VLOOKUP(Inventory[[#This Row],[Cnd]],Lookups!$R$8:$U$17,4,FALSE)</f>
        <v>1.0012000000000001</v>
      </c>
      <c r="BH51" s="30">
        <f>VLOOKUP(Inventory[[#This Row],[LivArea Range]],Lookups!$R$25:$U$43,4,FALSE)</f>
        <v>1.0007999999999999</v>
      </c>
      <c r="BI51" s="30">
        <f>VLOOKUP(Inventory[[#This Row],[Decade]],Lookups!$M$24:$P$40,4,FALSE)</f>
        <v>1</v>
      </c>
      <c r="BJ51" s="30">
        <f>Inventory[[#This Row],[Nbhd Adj]]*0.95</f>
        <v>0.94971499999999998</v>
      </c>
      <c r="BK51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51" s="30">
        <f>ROUND((SUM(Inventory[[#This Row],[Mdl Qlty]:[Mdl Garage Area]])+Inventory[[#This Row],[Mdl Res Intercept]])*Inventory[[#This Row],[Res Adj ]],-2)</f>
        <v>333400</v>
      </c>
      <c r="BM51" s="30">
        <f>ROUND(Inventory[[#This Row],[25Det]]*Inventory[[#This Row],[Det/Nbhd Adj]],-2)</f>
        <v>0</v>
      </c>
      <c r="BN51" s="30">
        <f>Inventory[[#This Row],[Adjusted Res]]+Inventory[[#This Row],[Adj Det ]]</f>
        <v>333400</v>
      </c>
      <c r="BO51" s="30">
        <f>ROUND((Inventory[[#This Row],[Mdl Land Intercept]]+Inventory[[#This Row],[Mdl LnAcres]])*Inventory[[#This Row],[Det/Nbhd Adj]],-2)</f>
        <v>63300</v>
      </c>
      <c r="BP51" s="30">
        <f>Inventory[[#This Row],[Adjusted Impr Total]]+Inventory[[#This Row],[Adjusted Land Total]]</f>
        <v>396700</v>
      </c>
      <c r="BQ51" s="30">
        <f>IFERROR((Inventory[[#This Row],[Adjusted Impr Total]]-Inventory[[#This Row],[24Bldg]])/Inventory[[#This Row],[24Bldg]],0)</f>
        <v>-1.4192785334121822E-2</v>
      </c>
      <c r="BR51" s="43">
        <f>(Inventory[[#This Row],[Adjusted Land Total]]-Inventory[[#This Row],[24Lnd]])/Inventory[[#This Row],[24Lnd]]</f>
        <v>1.5822784810126582E-3</v>
      </c>
      <c r="BS51" s="43">
        <f>(Inventory[[#This Row],[Adjusted Total]]-Inventory[[#This Row],[24Final]])/Inventory[[#This Row],[24Final]]</f>
        <v>-1.1709018435475834E-2</v>
      </c>
    </row>
    <row r="52" spans="1:71">
      <c r="A52" s="30">
        <v>2025</v>
      </c>
      <c r="B52" s="31" t="s">
        <v>559</v>
      </c>
      <c r="C52" s="31">
        <f>LN(Inventory[[#This Row],[Acres]])</f>
        <v>-1.6450650900772514</v>
      </c>
      <c r="D52" s="37">
        <f>ROUND(Inventory[[#This Row],[Sqft]]/43560,3)</f>
        <v>0.193</v>
      </c>
      <c r="E52" s="30">
        <v>8387</v>
      </c>
      <c r="F52" s="31" t="s">
        <v>505</v>
      </c>
      <c r="G52" s="31" t="s">
        <v>155</v>
      </c>
      <c r="H52" s="31" t="s">
        <v>5</v>
      </c>
      <c r="I52" s="31" t="s">
        <v>506</v>
      </c>
      <c r="J52" s="31" t="s">
        <v>507</v>
      </c>
      <c r="K52" s="31" t="s">
        <v>157</v>
      </c>
      <c r="L52" s="31" t="s">
        <v>19</v>
      </c>
      <c r="M52" s="31" t="s">
        <v>24</v>
      </c>
      <c r="N52" s="31">
        <v>0</v>
      </c>
      <c r="O52" s="31">
        <f>2024-Inventory[[#This Row],[YrBlt]]</f>
        <v>2</v>
      </c>
      <c r="P52" s="31">
        <f>2024-Inventory[[#This Row],[EffYr]]</f>
        <v>2</v>
      </c>
      <c r="Q52" s="30">
        <v>2022</v>
      </c>
      <c r="R52" s="30">
        <v>2022</v>
      </c>
      <c r="S52" s="30">
        <v>1580</v>
      </c>
      <c r="T52" s="32"/>
      <c r="U52" s="37"/>
      <c r="V52" s="32"/>
      <c r="W52" s="37"/>
      <c r="X52" s="37">
        <f>Inventory[[#This Row],[Bsmt Area]]-Inventory[[#This Row],[FnBsmt]]</f>
        <v>0</v>
      </c>
      <c r="Y52" s="37">
        <f>Inventory[[#This Row],[MainFn]]+Inventory[[#This Row],[UpprFn]]+Inventory[[#This Row],[AddFn]]+Inventory[[#This Row],[FnBsmt]]</f>
        <v>1580</v>
      </c>
      <c r="Z52" s="32">
        <v>2000</v>
      </c>
      <c r="AA52" s="31" t="s">
        <v>56</v>
      </c>
      <c r="AB52" s="38">
        <v>1</v>
      </c>
      <c r="AC52" s="38">
        <v>598</v>
      </c>
      <c r="AD52" s="32"/>
      <c r="AE52" s="32"/>
      <c r="AF52" s="32"/>
      <c r="AG52" s="32"/>
      <c r="AH52" s="32"/>
      <c r="AI52" s="30">
        <v>324106</v>
      </c>
      <c r="AJ52" s="30">
        <v>317624</v>
      </c>
      <c r="AK52" s="30">
        <v>0</v>
      </c>
      <c r="AL52" s="30">
        <v>0</v>
      </c>
      <c r="AM52" s="30">
        <v>63200</v>
      </c>
      <c r="AN52" s="30">
        <v>334700</v>
      </c>
      <c r="AO52" s="30">
        <v>397900</v>
      </c>
      <c r="AP52" s="30">
        <f>Lookups!$B$58*0.6</f>
        <v>132535.48800000001</v>
      </c>
      <c r="AQ52" s="30">
        <f>Lookups!$B$58*0.4</f>
        <v>88356.992000000013</v>
      </c>
      <c r="AR52" s="30">
        <f>Lookups!$B$59*Inventory[[#This Row],[LnAcres]]</f>
        <v>-21590.362308067761</v>
      </c>
      <c r="AS52" s="30">
        <f>VLOOKUP(Inventory[[#This Row],[Qlty]],Lookups!$A$66:$E$79,2,FALSE)</f>
        <v>37154.252388000001</v>
      </c>
      <c r="AT52" s="30">
        <f>VLOOKUP(Inventory[[#This Row],[Cnd]],Lookups!$A$80:$E$88,2,FALSE)</f>
        <v>47371.278778200001</v>
      </c>
      <c r="AU52" s="30">
        <f>Inventory[[#This Row],[EffAge]]*Lookups!$B$65</f>
        <v>-217.48220000000001</v>
      </c>
      <c r="AV52" s="30">
        <f>Inventory[[#This Row],[MainFn]]*Lookups!$B$90</f>
        <v>98608.400399999999</v>
      </c>
      <c r="AW52" s="30">
        <f>Inventory[[#This Row],[UpprFn]]*Lookups!$B$91</f>
        <v>0</v>
      </c>
      <c r="AX52" s="30">
        <f>Inventory[[#This Row],[Bsmt Area]]*Lookups!$B$95</f>
        <v>0</v>
      </c>
      <c r="AY52" s="30">
        <f>Inventory[[#This Row],[AttGar]]*Lookups!$B$93</f>
        <v>21110.016538</v>
      </c>
      <c r="AZ52" s="30">
        <f>ROUND(Inventory[[#This Row],[25Det]],-2)</f>
        <v>0</v>
      </c>
      <c r="BA52" s="30">
        <f>ROUND(SUM(Inventory[[#This Row],[Mdl Qlty]:[Mdl Garage Area]])+Inventory[[#This Row],[Mdl Res Intercept]],-2)</f>
        <v>336600</v>
      </c>
      <c r="BB52" s="30">
        <f>ROUND(Inventory[[#This Row],[Mdl Land Intercept]]+Inventory[[#This Row],[Mdl LnAcres]],-2)</f>
        <v>66800</v>
      </c>
      <c r="BC52" s="30">
        <f>Inventory[[#This Row],[Unadj Res Value]]+Inventory[[#This Row],[Unadj Det Value]]+Inventory[[#This Row],[Unadj Land Value]]</f>
        <v>403400</v>
      </c>
      <c r="BD52" s="30">
        <f>(Inventory[[#This Row],[Unadj Total Value]]-Inventory[[#This Row],[24Final]])/Inventory[[#This Row],[24Final]]</f>
        <v>1.3822568484543855E-2</v>
      </c>
      <c r="BE52" s="30">
        <f>VLOOKUP(Inventory[[#This Row],[Nbhd]],Lookups!$M$3:$P$5,4,FALSE)</f>
        <v>0.99970000000000003</v>
      </c>
      <c r="BF52" s="30">
        <f>VLOOKUP(Inventory[[#This Row],[Qlty]],Lookups!$M$8:$P$22,4,FALSE)</f>
        <v>0.99819999999999998</v>
      </c>
      <c r="BG52" s="30">
        <f>VLOOKUP(Inventory[[#This Row],[Cnd]],Lookups!$R$8:$U$17,4,FALSE)</f>
        <v>1.0012000000000001</v>
      </c>
      <c r="BH52" s="30">
        <f>VLOOKUP(Inventory[[#This Row],[LivArea Range]],Lookups!$R$25:$U$43,4,FALSE)</f>
        <v>1.0007999999999999</v>
      </c>
      <c r="BI52" s="30">
        <f>VLOOKUP(Inventory[[#This Row],[Decade]],Lookups!$M$24:$P$40,4,FALSE)</f>
        <v>1</v>
      </c>
      <c r="BJ52" s="30">
        <f>Inventory[[#This Row],[Nbhd Adj]]*0.95</f>
        <v>0.94971499999999998</v>
      </c>
      <c r="BK52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52" s="30">
        <f>ROUND((SUM(Inventory[[#This Row],[Mdl Qlty]:[Mdl Garage Area]])+Inventory[[#This Row],[Mdl Res Intercept]])*Inventory[[#This Row],[Res Adj ]],-2)</f>
        <v>319700</v>
      </c>
      <c r="BM52" s="30">
        <f>ROUND(Inventory[[#This Row],[25Det]]*Inventory[[#This Row],[Det/Nbhd Adj]],-2)</f>
        <v>0</v>
      </c>
      <c r="BN52" s="30">
        <f>Inventory[[#This Row],[Adjusted Res]]+Inventory[[#This Row],[Adj Det ]]</f>
        <v>319700</v>
      </c>
      <c r="BO52" s="30">
        <f>ROUND((Inventory[[#This Row],[Mdl Land Intercept]]+Inventory[[#This Row],[Mdl LnAcres]])*Inventory[[#This Row],[Det/Nbhd Adj]],-2)</f>
        <v>63400</v>
      </c>
      <c r="BP52" s="30">
        <f>Inventory[[#This Row],[Adjusted Impr Total]]+Inventory[[#This Row],[Adjusted Land Total]]</f>
        <v>383100</v>
      </c>
      <c r="BQ52" s="30">
        <f>IFERROR((Inventory[[#This Row],[Adjusted Impr Total]]-Inventory[[#This Row],[24Bldg]])/Inventory[[#This Row],[24Bldg]],0)</f>
        <v>-4.4816253361218999E-2</v>
      </c>
      <c r="BR52" s="43">
        <f>(Inventory[[#This Row],[Adjusted Land Total]]-Inventory[[#This Row],[24Lnd]])/Inventory[[#This Row],[24Lnd]]</f>
        <v>3.1645569620253164E-3</v>
      </c>
      <c r="BS52" s="43">
        <f>(Inventory[[#This Row],[Adjusted Total]]-Inventory[[#This Row],[24Final]])/Inventory[[#This Row],[24Final]]</f>
        <v>-3.7195275194772559E-2</v>
      </c>
    </row>
    <row r="53" spans="1:71">
      <c r="A53" s="30">
        <v>2025</v>
      </c>
      <c r="B53" s="31" t="s">
        <v>560</v>
      </c>
      <c r="C53" s="31">
        <f>LN(Inventory[[#This Row],[Acres]])</f>
        <v>-1.6398971199188088</v>
      </c>
      <c r="D53" s="37">
        <f>ROUND(Inventory[[#This Row],[Sqft]]/43560,3)</f>
        <v>0.19400000000000001</v>
      </c>
      <c r="E53" s="30">
        <v>8461</v>
      </c>
      <c r="F53" s="31" t="s">
        <v>505</v>
      </c>
      <c r="G53" s="31" t="s">
        <v>155</v>
      </c>
      <c r="H53" s="31" t="s">
        <v>5</v>
      </c>
      <c r="I53" s="31" t="s">
        <v>506</v>
      </c>
      <c r="J53" s="31" t="s">
        <v>507</v>
      </c>
      <c r="K53" s="31" t="s">
        <v>157</v>
      </c>
      <c r="L53" s="31" t="s">
        <v>21</v>
      </c>
      <c r="M53" s="31" t="s">
        <v>24</v>
      </c>
      <c r="N53" s="31">
        <v>0</v>
      </c>
      <c r="O53" s="31">
        <f>2024-Inventory[[#This Row],[YrBlt]]</f>
        <v>2</v>
      </c>
      <c r="P53" s="31">
        <f>2024-Inventory[[#This Row],[EffYr]]</f>
        <v>2</v>
      </c>
      <c r="Q53" s="30">
        <v>2022</v>
      </c>
      <c r="R53" s="30">
        <v>2022</v>
      </c>
      <c r="S53" s="30">
        <v>1328</v>
      </c>
      <c r="T53" s="38">
        <v>1686</v>
      </c>
      <c r="U53" s="32"/>
      <c r="V53" s="32"/>
      <c r="W53" s="32"/>
      <c r="X53" s="32">
        <f>Inventory[[#This Row],[Bsmt Area]]-Inventory[[#This Row],[FnBsmt]]</f>
        <v>0</v>
      </c>
      <c r="Y53" s="32">
        <f>Inventory[[#This Row],[MainFn]]+Inventory[[#This Row],[UpprFn]]+Inventory[[#This Row],[AddFn]]+Inventory[[#This Row],[FnBsmt]]</f>
        <v>3014</v>
      </c>
      <c r="Z53" s="32">
        <v>3500</v>
      </c>
      <c r="AA53" s="31" t="s">
        <v>57</v>
      </c>
      <c r="AB53" s="38">
        <v>1</v>
      </c>
      <c r="AC53" s="32"/>
      <c r="AD53" s="38">
        <v>460</v>
      </c>
      <c r="AE53" s="32"/>
      <c r="AF53" s="32"/>
      <c r="AG53" s="32"/>
      <c r="AH53" s="32"/>
      <c r="AI53" s="30">
        <v>569336</v>
      </c>
      <c r="AJ53" s="30">
        <v>557949</v>
      </c>
      <c r="AK53" s="30">
        <v>0</v>
      </c>
      <c r="AL53" s="30">
        <v>0</v>
      </c>
      <c r="AM53" s="30">
        <v>63200</v>
      </c>
      <c r="AN53" s="30">
        <v>415200</v>
      </c>
      <c r="AO53" s="30">
        <v>478400</v>
      </c>
      <c r="AP53" s="30">
        <f>Lookups!$B$58*0.6</f>
        <v>132535.48800000001</v>
      </c>
      <c r="AQ53" s="30">
        <f>Lookups!$B$58*0.4</f>
        <v>88356.992000000013</v>
      </c>
      <c r="AR53" s="30">
        <f>Lookups!$B$59*Inventory[[#This Row],[LnAcres]]</f>
        <v>-21522.536208789941</v>
      </c>
      <c r="AS53" s="30">
        <f>VLOOKUP(Inventory[[#This Row],[Qlty]],Lookups!$A$66:$E$79,2,FALSE)</f>
        <v>32917.849192000001</v>
      </c>
      <c r="AT53" s="30">
        <f>VLOOKUP(Inventory[[#This Row],[Cnd]],Lookups!$A$80:$E$88,2,FALSE)</f>
        <v>47371.278778200001</v>
      </c>
      <c r="AU53" s="30">
        <f>Inventory[[#This Row],[EffAge]]*Lookups!$B$65</f>
        <v>-217.48220000000001</v>
      </c>
      <c r="AV53" s="30">
        <f>Inventory[[#This Row],[MainFn]]*Lookups!$B$90</f>
        <v>82880.98464000001</v>
      </c>
      <c r="AW53" s="30">
        <f>Inventory[[#This Row],[UpprFn]]*Lookups!$B$91</f>
        <v>100452.525738</v>
      </c>
      <c r="AX53" s="30">
        <f>Inventory[[#This Row],[Bsmt Area]]*Lookups!$B$95</f>
        <v>0</v>
      </c>
      <c r="AY53" s="30">
        <f>Inventory[[#This Row],[AttGar]]*Lookups!$B$93</f>
        <v>0</v>
      </c>
      <c r="AZ53" s="30">
        <f>ROUND(Inventory[[#This Row],[25Det]],-2)</f>
        <v>0</v>
      </c>
      <c r="BA53" s="30">
        <f>ROUND(SUM(Inventory[[#This Row],[Mdl Qlty]:[Mdl Garage Area]])+Inventory[[#This Row],[Mdl Res Intercept]],-2)</f>
        <v>395900</v>
      </c>
      <c r="BB53" s="30">
        <f>ROUND(Inventory[[#This Row],[Mdl Land Intercept]]+Inventory[[#This Row],[Mdl LnAcres]],-2)</f>
        <v>66800</v>
      </c>
      <c r="BC53" s="30">
        <f>Inventory[[#This Row],[Unadj Res Value]]+Inventory[[#This Row],[Unadj Det Value]]+Inventory[[#This Row],[Unadj Land Value]]</f>
        <v>462700</v>
      </c>
      <c r="BD53" s="30">
        <f>(Inventory[[#This Row],[Unadj Total Value]]-Inventory[[#This Row],[24Final]])/Inventory[[#This Row],[24Final]]</f>
        <v>-3.281772575250836E-2</v>
      </c>
      <c r="BE53" s="30">
        <f>VLOOKUP(Inventory[[#This Row],[Nbhd]],Lookups!$M$3:$P$5,4,FALSE)</f>
        <v>0.99970000000000003</v>
      </c>
      <c r="BF53" s="30">
        <f>VLOOKUP(Inventory[[#This Row],[Qlty]],Lookups!$M$8:$P$22,4,FALSE)</f>
        <v>1.0019</v>
      </c>
      <c r="BG53" s="30">
        <f>VLOOKUP(Inventory[[#This Row],[Cnd]],Lookups!$R$8:$U$17,4,FALSE)</f>
        <v>1.0012000000000001</v>
      </c>
      <c r="BH53" s="30">
        <f>VLOOKUP(Inventory[[#This Row],[LivArea Range]],Lookups!$R$25:$U$43,4,FALSE)</f>
        <v>0.98509999999999998</v>
      </c>
      <c r="BI53" s="30">
        <f>VLOOKUP(Inventory[[#This Row],[Decade]],Lookups!$M$24:$P$40,4,FALSE)</f>
        <v>1</v>
      </c>
      <c r="BJ53" s="30">
        <f>Inventory[[#This Row],[Nbhd Adj]]*0.95</f>
        <v>0.94971499999999998</v>
      </c>
      <c r="BK53" s="30">
        <f>AVERAGE(Inventory[[#This Row],[Nbhd Adj]],Inventory[[#This Row],[Quality Adj]],Inventory[[#This Row],[Condition Adj]],Inventory[[#This Row],[Living Area Adj]],Inventory[[#This Row],[Decade Adj]])*0.95</f>
        <v>0.9477009999999999</v>
      </c>
      <c r="BL53" s="30">
        <f>ROUND((SUM(Inventory[[#This Row],[Mdl Qlty]:[Mdl Garage Area]])+Inventory[[#This Row],[Mdl Res Intercept]])*Inventory[[#This Row],[Res Adj ]],-2)</f>
        <v>375200</v>
      </c>
      <c r="BM53" s="30">
        <f>ROUND(Inventory[[#This Row],[25Det]]*Inventory[[#This Row],[Det/Nbhd Adj]],-2)</f>
        <v>0</v>
      </c>
      <c r="BN53" s="30">
        <f>Inventory[[#This Row],[Adjusted Res]]+Inventory[[#This Row],[Adj Det ]]</f>
        <v>375200</v>
      </c>
      <c r="BO53" s="30">
        <f>ROUND((Inventory[[#This Row],[Mdl Land Intercept]]+Inventory[[#This Row],[Mdl LnAcres]])*Inventory[[#This Row],[Det/Nbhd Adj]],-2)</f>
        <v>63500</v>
      </c>
      <c r="BP53" s="30">
        <f>Inventory[[#This Row],[Adjusted Impr Total]]+Inventory[[#This Row],[Adjusted Land Total]]</f>
        <v>438700</v>
      </c>
      <c r="BQ53" s="30">
        <f>IFERROR((Inventory[[#This Row],[Adjusted Impr Total]]-Inventory[[#This Row],[24Bldg]])/Inventory[[#This Row],[24Bldg]],0)</f>
        <v>-9.6339113680154145E-2</v>
      </c>
      <c r="BR53" s="43">
        <f>(Inventory[[#This Row],[Adjusted Land Total]]-Inventory[[#This Row],[24Lnd]])/Inventory[[#This Row],[24Lnd]]</f>
        <v>4.7468354430379748E-3</v>
      </c>
      <c r="BS53" s="43">
        <f>(Inventory[[#This Row],[Adjusted Total]]-Inventory[[#This Row],[24Final]])/Inventory[[#This Row],[24Final]]</f>
        <v>-8.298494983277592E-2</v>
      </c>
    </row>
    <row r="54" spans="1:71">
      <c r="A54" s="30">
        <v>2025</v>
      </c>
      <c r="B54" s="31" t="s">
        <v>561</v>
      </c>
      <c r="C54" s="31">
        <f>LN(Inventory[[#This Row],[Acres]])</f>
        <v>-1.6245515502441485</v>
      </c>
      <c r="D54" s="37">
        <f>ROUND(Inventory[[#This Row],[Sqft]]/43560,3)</f>
        <v>0.19700000000000001</v>
      </c>
      <c r="E54" s="30">
        <v>8561</v>
      </c>
      <c r="F54" s="31" t="s">
        <v>505</v>
      </c>
      <c r="G54" s="31" t="s">
        <v>155</v>
      </c>
      <c r="H54" s="31" t="s">
        <v>5</v>
      </c>
      <c r="I54" s="31" t="s">
        <v>506</v>
      </c>
      <c r="J54" s="31" t="s">
        <v>507</v>
      </c>
      <c r="K54" s="31" t="s">
        <v>157</v>
      </c>
      <c r="L54" s="31" t="s">
        <v>21</v>
      </c>
      <c r="M54" s="31" t="s">
        <v>24</v>
      </c>
      <c r="N54" s="31">
        <v>0</v>
      </c>
      <c r="O54" s="31">
        <f>2024-Inventory[[#This Row],[YrBlt]]</f>
        <v>2</v>
      </c>
      <c r="P54" s="31">
        <f>2024-Inventory[[#This Row],[EffYr]]</f>
        <v>2</v>
      </c>
      <c r="Q54" s="30">
        <v>2022</v>
      </c>
      <c r="R54" s="30">
        <v>2022</v>
      </c>
      <c r="S54" s="30">
        <v>1842</v>
      </c>
      <c r="T54" s="37"/>
      <c r="U54" s="32"/>
      <c r="V54" s="32"/>
      <c r="W54" s="32"/>
      <c r="X54" s="32">
        <f>Inventory[[#This Row],[Bsmt Area]]-Inventory[[#This Row],[FnBsmt]]</f>
        <v>0</v>
      </c>
      <c r="Y54" s="32">
        <f>Inventory[[#This Row],[MainFn]]+Inventory[[#This Row],[UpprFn]]+Inventory[[#This Row],[AddFn]]+Inventory[[#This Row],[FnBsmt]]</f>
        <v>1842</v>
      </c>
      <c r="Z54" s="32">
        <v>2000</v>
      </c>
      <c r="AA54" s="31" t="s">
        <v>56</v>
      </c>
      <c r="AB54" s="38">
        <v>1</v>
      </c>
      <c r="AC54" s="38">
        <v>808</v>
      </c>
      <c r="AD54" s="32"/>
      <c r="AE54" s="32"/>
      <c r="AF54" s="32"/>
      <c r="AG54" s="32"/>
      <c r="AH54" s="32"/>
      <c r="AI54" s="30">
        <v>408393</v>
      </c>
      <c r="AJ54" s="30">
        <v>400225</v>
      </c>
      <c r="AK54" s="30">
        <v>0</v>
      </c>
      <c r="AL54" s="30">
        <v>0</v>
      </c>
      <c r="AM54" s="30">
        <v>64000</v>
      </c>
      <c r="AN54" s="30">
        <v>344800</v>
      </c>
      <c r="AO54" s="30">
        <v>408800</v>
      </c>
      <c r="AP54" s="30">
        <f>Lookups!$B$58*0.6</f>
        <v>132535.48800000001</v>
      </c>
      <c r="AQ54" s="30">
        <f>Lookups!$B$58*0.4</f>
        <v>88356.992000000013</v>
      </c>
      <c r="AR54" s="30">
        <f>Lookups!$B$59*Inventory[[#This Row],[LnAcres]]</f>
        <v>-21321.136026451833</v>
      </c>
      <c r="AS54" s="30">
        <f>VLOOKUP(Inventory[[#This Row],[Qlty]],Lookups!$A$66:$E$79,2,FALSE)</f>
        <v>32917.849192000001</v>
      </c>
      <c r="AT54" s="30">
        <f>VLOOKUP(Inventory[[#This Row],[Cnd]],Lookups!$A$80:$E$88,2,FALSE)</f>
        <v>47371.278778200001</v>
      </c>
      <c r="AU54" s="30">
        <f>Inventory[[#This Row],[EffAge]]*Lookups!$B$65</f>
        <v>-217.48220000000001</v>
      </c>
      <c r="AV54" s="30">
        <f>Inventory[[#This Row],[MainFn]]*Lookups!$B$90</f>
        <v>114959.91996</v>
      </c>
      <c r="AW54" s="30">
        <f>Inventory[[#This Row],[UpprFn]]*Lookups!$B$91</f>
        <v>0</v>
      </c>
      <c r="AX54" s="30">
        <f>Inventory[[#This Row],[Bsmt Area]]*Lookups!$B$95</f>
        <v>0</v>
      </c>
      <c r="AY54" s="30">
        <f>Inventory[[#This Row],[AttGar]]*Lookups!$B$93</f>
        <v>28523.233048000002</v>
      </c>
      <c r="AZ54" s="30">
        <f>ROUND(Inventory[[#This Row],[25Det]],-2)</f>
        <v>0</v>
      </c>
      <c r="BA54" s="30">
        <f>ROUND(SUM(Inventory[[#This Row],[Mdl Qlty]:[Mdl Garage Area]])+Inventory[[#This Row],[Mdl Res Intercept]],-2)</f>
        <v>356100</v>
      </c>
      <c r="BB54" s="30">
        <f>ROUND(Inventory[[#This Row],[Mdl Land Intercept]]+Inventory[[#This Row],[Mdl LnAcres]],-2)</f>
        <v>67000</v>
      </c>
      <c r="BC54" s="30">
        <f>Inventory[[#This Row],[Unadj Res Value]]+Inventory[[#This Row],[Unadj Det Value]]+Inventory[[#This Row],[Unadj Land Value]]</f>
        <v>423100</v>
      </c>
      <c r="BD54" s="30">
        <f>(Inventory[[#This Row],[Unadj Total Value]]-Inventory[[#This Row],[24Final]])/Inventory[[#This Row],[24Final]]</f>
        <v>3.4980430528375732E-2</v>
      </c>
      <c r="BE54" s="30">
        <f>VLOOKUP(Inventory[[#This Row],[Nbhd]],Lookups!$M$3:$P$5,4,FALSE)</f>
        <v>0.99970000000000003</v>
      </c>
      <c r="BF54" s="30">
        <f>VLOOKUP(Inventory[[#This Row],[Qlty]],Lookups!$M$8:$P$22,4,FALSE)</f>
        <v>1.0019</v>
      </c>
      <c r="BG54" s="30">
        <f>VLOOKUP(Inventory[[#This Row],[Cnd]],Lookups!$R$8:$U$17,4,FALSE)</f>
        <v>1.0012000000000001</v>
      </c>
      <c r="BH54" s="30">
        <f>VLOOKUP(Inventory[[#This Row],[LivArea Range]],Lookups!$R$25:$U$43,4,FALSE)</f>
        <v>1.0007999999999999</v>
      </c>
      <c r="BI54" s="30">
        <f>VLOOKUP(Inventory[[#This Row],[Decade]],Lookups!$M$24:$P$40,4,FALSE)</f>
        <v>1</v>
      </c>
      <c r="BJ54" s="30">
        <f>Inventory[[#This Row],[Nbhd Adj]]*0.95</f>
        <v>0.94971499999999998</v>
      </c>
      <c r="BK54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54" s="30">
        <f>ROUND((SUM(Inventory[[#This Row],[Mdl Qlty]:[Mdl Garage Area]])+Inventory[[#This Row],[Mdl Res Intercept]])*Inventory[[#This Row],[Res Adj ]],-2)</f>
        <v>338500</v>
      </c>
      <c r="BM54" s="30">
        <f>ROUND(Inventory[[#This Row],[25Det]]*Inventory[[#This Row],[Det/Nbhd Adj]],-2)</f>
        <v>0</v>
      </c>
      <c r="BN54" s="30">
        <f>Inventory[[#This Row],[Adjusted Res]]+Inventory[[#This Row],[Adj Det ]]</f>
        <v>338500</v>
      </c>
      <c r="BO54" s="30">
        <f>ROUND((Inventory[[#This Row],[Mdl Land Intercept]]+Inventory[[#This Row],[Mdl LnAcres]])*Inventory[[#This Row],[Det/Nbhd Adj]],-2)</f>
        <v>63700</v>
      </c>
      <c r="BP54" s="30">
        <f>Inventory[[#This Row],[Adjusted Impr Total]]+Inventory[[#This Row],[Adjusted Land Total]]</f>
        <v>402200</v>
      </c>
      <c r="BQ54" s="30">
        <f>IFERROR((Inventory[[#This Row],[Adjusted Impr Total]]-Inventory[[#This Row],[24Bldg]])/Inventory[[#This Row],[24Bldg]],0)</f>
        <v>-1.8271461716937356E-2</v>
      </c>
      <c r="BR54" s="43">
        <f>(Inventory[[#This Row],[Adjusted Land Total]]-Inventory[[#This Row],[24Lnd]])/Inventory[[#This Row],[24Lnd]]</f>
        <v>-4.6874999999999998E-3</v>
      </c>
      <c r="BS54" s="43">
        <f>(Inventory[[#This Row],[Adjusted Total]]-Inventory[[#This Row],[24Final]])/Inventory[[#This Row],[24Final]]</f>
        <v>-1.6144814090019569E-2</v>
      </c>
    </row>
    <row r="55" spans="1:71">
      <c r="A55" s="30">
        <v>2025</v>
      </c>
      <c r="B55" s="31" t="s">
        <v>562</v>
      </c>
      <c r="C55" s="31">
        <f>LN(Inventory[[#This Row],[Acres]])</f>
        <v>-1.5702171992808192</v>
      </c>
      <c r="D55" s="37">
        <f>ROUND(Inventory[[#This Row],[Sqft]]/43560,3)</f>
        <v>0.20799999999999999</v>
      </c>
      <c r="E55" s="30">
        <v>9068</v>
      </c>
      <c r="F55" s="31" t="s">
        <v>505</v>
      </c>
      <c r="G55" s="31" t="s">
        <v>155</v>
      </c>
      <c r="H55" s="31" t="s">
        <v>5</v>
      </c>
      <c r="I55" s="31" t="s">
        <v>506</v>
      </c>
      <c r="J55" s="31" t="s">
        <v>507</v>
      </c>
      <c r="K55" s="31" t="s">
        <v>157</v>
      </c>
      <c r="L55" s="31" t="s">
        <v>21</v>
      </c>
      <c r="M55" s="31" t="s">
        <v>24</v>
      </c>
      <c r="N55" s="31">
        <v>0</v>
      </c>
      <c r="O55" s="31">
        <f>2024-Inventory[[#This Row],[YrBlt]]</f>
        <v>2</v>
      </c>
      <c r="P55" s="31">
        <f>2024-Inventory[[#This Row],[EffYr]]</f>
        <v>2</v>
      </c>
      <c r="Q55" s="30">
        <v>2022</v>
      </c>
      <c r="R55" s="30">
        <v>2022</v>
      </c>
      <c r="S55" s="30">
        <v>918</v>
      </c>
      <c r="T55" s="30">
        <v>1296</v>
      </c>
      <c r="U55" s="37"/>
      <c r="V55" s="32"/>
      <c r="W55" s="32"/>
      <c r="X55" s="32">
        <f>Inventory[[#This Row],[Bsmt Area]]-Inventory[[#This Row],[FnBsmt]]</f>
        <v>0</v>
      </c>
      <c r="Y55" s="32">
        <f>Inventory[[#This Row],[MainFn]]+Inventory[[#This Row],[UpprFn]]+Inventory[[#This Row],[AddFn]]+Inventory[[#This Row],[FnBsmt]]</f>
        <v>2214</v>
      </c>
      <c r="Z55" s="32">
        <v>2500</v>
      </c>
      <c r="AA55" s="31" t="s">
        <v>57</v>
      </c>
      <c r="AB55" s="32"/>
      <c r="AC55" s="32"/>
      <c r="AD55" s="38">
        <v>400</v>
      </c>
      <c r="AE55" s="32"/>
      <c r="AF55" s="32"/>
      <c r="AG55" s="32"/>
      <c r="AH55" s="32"/>
      <c r="AI55" s="30">
        <v>444317</v>
      </c>
      <c r="AJ55" s="30">
        <v>435431</v>
      </c>
      <c r="AK55" s="30">
        <v>0</v>
      </c>
      <c r="AL55" s="30">
        <v>0</v>
      </c>
      <c r="AM55" s="30">
        <v>64600</v>
      </c>
      <c r="AN55" s="30">
        <v>366500</v>
      </c>
      <c r="AO55" s="30">
        <v>431100</v>
      </c>
      <c r="AP55" s="30">
        <f>Lookups!$B$58*0.6</f>
        <v>132535.48800000001</v>
      </c>
      <c r="AQ55" s="30">
        <f>Lookups!$B$58*0.4</f>
        <v>88356.992000000013</v>
      </c>
      <c r="AR55" s="30">
        <f>Lookups!$B$59*Inventory[[#This Row],[LnAcres]]</f>
        <v>-20608.034563082441</v>
      </c>
      <c r="AS55" s="30">
        <f>VLOOKUP(Inventory[[#This Row],[Qlty]],Lookups!$A$66:$E$79,2,FALSE)</f>
        <v>32917.849192000001</v>
      </c>
      <c r="AT55" s="30">
        <f>VLOOKUP(Inventory[[#This Row],[Cnd]],Lookups!$A$80:$E$88,2,FALSE)</f>
        <v>47371.278778200001</v>
      </c>
      <c r="AU55" s="30">
        <f>Inventory[[#This Row],[EffAge]]*Lookups!$B$65</f>
        <v>-217.48220000000001</v>
      </c>
      <c r="AV55" s="30">
        <f>Inventory[[#This Row],[MainFn]]*Lookups!$B$90</f>
        <v>57292.728840000003</v>
      </c>
      <c r="AW55" s="30">
        <f>Inventory[[#This Row],[UpprFn]]*Lookups!$B$91</f>
        <v>77216.176368</v>
      </c>
      <c r="AX55" s="30">
        <f>Inventory[[#This Row],[Bsmt Area]]*Lookups!$B$95</f>
        <v>0</v>
      </c>
      <c r="AY55" s="30">
        <f>Inventory[[#This Row],[AttGar]]*Lookups!$B$93</f>
        <v>0</v>
      </c>
      <c r="AZ55" s="30">
        <f>ROUND(Inventory[[#This Row],[25Det]],-2)</f>
        <v>0</v>
      </c>
      <c r="BA55" s="30">
        <f>ROUND(SUM(Inventory[[#This Row],[Mdl Qlty]:[Mdl Garage Area]])+Inventory[[#This Row],[Mdl Res Intercept]],-2)</f>
        <v>347100</v>
      </c>
      <c r="BB55" s="30">
        <f>ROUND(Inventory[[#This Row],[Mdl Land Intercept]]+Inventory[[#This Row],[Mdl LnAcres]],-2)</f>
        <v>67700</v>
      </c>
      <c r="BC55" s="30">
        <f>Inventory[[#This Row],[Unadj Res Value]]+Inventory[[#This Row],[Unadj Det Value]]+Inventory[[#This Row],[Unadj Land Value]]</f>
        <v>414800</v>
      </c>
      <c r="BD55" s="30">
        <f>(Inventory[[#This Row],[Unadj Total Value]]-Inventory[[#This Row],[24Final]])/Inventory[[#This Row],[24Final]]</f>
        <v>-3.7810252841568082E-2</v>
      </c>
      <c r="BE55" s="30">
        <f>VLOOKUP(Inventory[[#This Row],[Nbhd]],Lookups!$M$3:$P$5,4,FALSE)</f>
        <v>0.99970000000000003</v>
      </c>
      <c r="BF55" s="30">
        <f>VLOOKUP(Inventory[[#This Row],[Qlty]],Lookups!$M$8:$P$22,4,FALSE)</f>
        <v>1.0019</v>
      </c>
      <c r="BG55" s="30">
        <f>VLOOKUP(Inventory[[#This Row],[Cnd]],Lookups!$R$8:$U$17,4,FALSE)</f>
        <v>1.0012000000000001</v>
      </c>
      <c r="BH55" s="30">
        <f>VLOOKUP(Inventory[[#This Row],[LivArea Range]],Lookups!$R$25:$U$43,4,FALSE)</f>
        <v>1.0008999999999999</v>
      </c>
      <c r="BI55" s="30">
        <f>VLOOKUP(Inventory[[#This Row],[Decade]],Lookups!$M$24:$P$40,4,FALSE)</f>
        <v>1</v>
      </c>
      <c r="BJ55" s="30">
        <f>Inventory[[#This Row],[Nbhd Adj]]*0.95</f>
        <v>0.94971499999999998</v>
      </c>
      <c r="BK55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55" s="30">
        <f>ROUND((SUM(Inventory[[#This Row],[Mdl Qlty]:[Mdl Garage Area]])+Inventory[[#This Row],[Mdl Res Intercept]])*Inventory[[#This Row],[Res Adj ]],-2)</f>
        <v>330000</v>
      </c>
      <c r="BM55" s="30">
        <f>ROUND(Inventory[[#This Row],[25Det]]*Inventory[[#This Row],[Det/Nbhd Adj]],-2)</f>
        <v>0</v>
      </c>
      <c r="BN55" s="30">
        <f>Inventory[[#This Row],[Adjusted Res]]+Inventory[[#This Row],[Adj Det ]]</f>
        <v>330000</v>
      </c>
      <c r="BO55" s="30">
        <f>ROUND((Inventory[[#This Row],[Mdl Land Intercept]]+Inventory[[#This Row],[Mdl LnAcres]])*Inventory[[#This Row],[Det/Nbhd Adj]],-2)</f>
        <v>64300</v>
      </c>
      <c r="BP55" s="30">
        <f>Inventory[[#This Row],[Adjusted Impr Total]]+Inventory[[#This Row],[Adjusted Land Total]]</f>
        <v>394300</v>
      </c>
      <c r="BQ55" s="30">
        <f>IFERROR((Inventory[[#This Row],[Adjusted Impr Total]]-Inventory[[#This Row],[24Bldg]])/Inventory[[#This Row],[24Bldg]],0)</f>
        <v>-9.9590723055934513E-2</v>
      </c>
      <c r="BR55" s="43">
        <f>(Inventory[[#This Row],[Adjusted Land Total]]-Inventory[[#This Row],[24Lnd]])/Inventory[[#This Row],[24Lnd]]</f>
        <v>-4.6439628482972135E-3</v>
      </c>
      <c r="BS55" s="43">
        <f>(Inventory[[#This Row],[Adjusted Total]]-Inventory[[#This Row],[24Final]])/Inventory[[#This Row],[24Final]]</f>
        <v>-8.5363024820227326E-2</v>
      </c>
    </row>
    <row r="56" spans="1:71">
      <c r="A56" s="30">
        <v>2025</v>
      </c>
      <c r="B56" s="31" t="s">
        <v>563</v>
      </c>
      <c r="C56" s="31">
        <f>LN(Inventory[[#This Row],[Acres]])</f>
        <v>-1.5095925774643841</v>
      </c>
      <c r="D56" s="37">
        <f>ROUND(Inventory[[#This Row],[Sqft]]/43560,3)</f>
        <v>0.221</v>
      </c>
      <c r="E56" s="30">
        <v>9619</v>
      </c>
      <c r="F56" s="31" t="s">
        <v>505</v>
      </c>
      <c r="G56" s="31" t="s">
        <v>155</v>
      </c>
      <c r="H56" s="31" t="s">
        <v>5</v>
      </c>
      <c r="I56" s="31" t="s">
        <v>506</v>
      </c>
      <c r="J56" s="31" t="s">
        <v>507</v>
      </c>
      <c r="K56" s="31" t="s">
        <v>157</v>
      </c>
      <c r="L56" s="31" t="s">
        <v>21</v>
      </c>
      <c r="M56" s="31" t="s">
        <v>24</v>
      </c>
      <c r="N56" s="31">
        <v>0</v>
      </c>
      <c r="O56" s="31">
        <f>2024-Inventory[[#This Row],[YrBlt]]</f>
        <v>2</v>
      </c>
      <c r="P56" s="31">
        <f>2024-Inventory[[#This Row],[EffYr]]</f>
        <v>2</v>
      </c>
      <c r="Q56" s="30">
        <v>2022</v>
      </c>
      <c r="R56" s="30">
        <v>2022</v>
      </c>
      <c r="S56" s="30">
        <v>2010</v>
      </c>
      <c r="T56" s="32"/>
      <c r="U56" s="32"/>
      <c r="V56" s="32"/>
      <c r="W56" s="32"/>
      <c r="X56" s="32">
        <f>Inventory[[#This Row],[Bsmt Area]]-Inventory[[#This Row],[FnBsmt]]</f>
        <v>0</v>
      </c>
      <c r="Y56" s="32">
        <f>Inventory[[#This Row],[MainFn]]+Inventory[[#This Row],[UpprFn]]+Inventory[[#This Row],[AddFn]]+Inventory[[#This Row],[FnBsmt]]</f>
        <v>2010</v>
      </c>
      <c r="Z56" s="32">
        <v>2500</v>
      </c>
      <c r="AA56" s="31" t="s">
        <v>57</v>
      </c>
      <c r="AB56" s="32"/>
      <c r="AC56" s="38">
        <v>664</v>
      </c>
      <c r="AD56" s="32"/>
      <c r="AE56" s="32"/>
      <c r="AF56" s="32"/>
      <c r="AG56" s="32"/>
      <c r="AH56" s="32"/>
      <c r="AI56" s="30">
        <v>439033</v>
      </c>
      <c r="AJ56" s="30">
        <v>430252</v>
      </c>
      <c r="AK56" s="30">
        <v>0</v>
      </c>
      <c r="AL56" s="30">
        <v>0</v>
      </c>
      <c r="AM56" s="30">
        <v>65300</v>
      </c>
      <c r="AN56" s="30">
        <v>350500</v>
      </c>
      <c r="AO56" s="30">
        <v>415800</v>
      </c>
      <c r="AP56" s="30">
        <f>Lookups!$B$58*0.6</f>
        <v>132535.48800000001</v>
      </c>
      <c r="AQ56" s="30">
        <f>Lookups!$B$58*0.4</f>
        <v>88356.992000000013</v>
      </c>
      <c r="AR56" s="30">
        <f>Lookups!$B$59*Inventory[[#This Row],[LnAcres]]</f>
        <v>-19812.377565859944</v>
      </c>
      <c r="AS56" s="30">
        <f>VLOOKUP(Inventory[[#This Row],[Qlty]],Lookups!$A$66:$E$79,2,FALSE)</f>
        <v>32917.849192000001</v>
      </c>
      <c r="AT56" s="30">
        <f>VLOOKUP(Inventory[[#This Row],[Cnd]],Lookups!$A$80:$E$88,2,FALSE)</f>
        <v>47371.278778200001</v>
      </c>
      <c r="AU56" s="30">
        <f>Inventory[[#This Row],[EffAge]]*Lookups!$B$65</f>
        <v>-217.48220000000001</v>
      </c>
      <c r="AV56" s="30">
        <f>Inventory[[#This Row],[MainFn]]*Lookups!$B$90</f>
        <v>125444.86380000001</v>
      </c>
      <c r="AW56" s="30">
        <f>Inventory[[#This Row],[UpprFn]]*Lookups!$B$91</f>
        <v>0</v>
      </c>
      <c r="AX56" s="30">
        <f>Inventory[[#This Row],[Bsmt Area]]*Lookups!$B$95</f>
        <v>0</v>
      </c>
      <c r="AY56" s="30">
        <f>Inventory[[#This Row],[AttGar]]*Lookups!$B$93</f>
        <v>23439.884583999999</v>
      </c>
      <c r="AZ56" s="30">
        <f>ROUND(Inventory[[#This Row],[25Det]],-2)</f>
        <v>0</v>
      </c>
      <c r="BA56" s="30">
        <f>ROUND(SUM(Inventory[[#This Row],[Mdl Qlty]:[Mdl Garage Area]])+Inventory[[#This Row],[Mdl Res Intercept]],-2)</f>
        <v>361500</v>
      </c>
      <c r="BB56" s="30">
        <f>ROUND(Inventory[[#This Row],[Mdl Land Intercept]]+Inventory[[#This Row],[Mdl LnAcres]],-2)</f>
        <v>68500</v>
      </c>
      <c r="BC56" s="30">
        <f>Inventory[[#This Row],[Unadj Res Value]]+Inventory[[#This Row],[Unadj Det Value]]+Inventory[[#This Row],[Unadj Land Value]]</f>
        <v>430000</v>
      </c>
      <c r="BD56" s="30">
        <f>(Inventory[[#This Row],[Unadj Total Value]]-Inventory[[#This Row],[24Final]])/Inventory[[#This Row],[24Final]]</f>
        <v>3.4151034151034154E-2</v>
      </c>
      <c r="BE56" s="30">
        <f>VLOOKUP(Inventory[[#This Row],[Nbhd]],Lookups!$M$3:$P$5,4,FALSE)</f>
        <v>0.99970000000000003</v>
      </c>
      <c r="BF56" s="30">
        <f>VLOOKUP(Inventory[[#This Row],[Qlty]],Lookups!$M$8:$P$22,4,FALSE)</f>
        <v>1.0019</v>
      </c>
      <c r="BG56" s="30">
        <f>VLOOKUP(Inventory[[#This Row],[Cnd]],Lookups!$R$8:$U$17,4,FALSE)</f>
        <v>1.0012000000000001</v>
      </c>
      <c r="BH56" s="30">
        <f>VLOOKUP(Inventory[[#This Row],[LivArea Range]],Lookups!$R$25:$U$43,4,FALSE)</f>
        <v>1.0008999999999999</v>
      </c>
      <c r="BI56" s="30">
        <f>VLOOKUP(Inventory[[#This Row],[Decade]],Lookups!$M$24:$P$40,4,FALSE)</f>
        <v>1</v>
      </c>
      <c r="BJ56" s="30">
        <f>Inventory[[#This Row],[Nbhd Adj]]*0.95</f>
        <v>0.94971499999999998</v>
      </c>
      <c r="BK56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56" s="30">
        <f>ROUND((SUM(Inventory[[#This Row],[Mdl Qlty]:[Mdl Garage Area]])+Inventory[[#This Row],[Mdl Res Intercept]])*Inventory[[#This Row],[Res Adj ]],-2)</f>
        <v>343700</v>
      </c>
      <c r="BM56" s="30">
        <f>ROUND(Inventory[[#This Row],[25Det]]*Inventory[[#This Row],[Det/Nbhd Adj]],-2)</f>
        <v>0</v>
      </c>
      <c r="BN56" s="30">
        <f>Inventory[[#This Row],[Adjusted Res]]+Inventory[[#This Row],[Adj Det ]]</f>
        <v>343700</v>
      </c>
      <c r="BO56" s="30">
        <f>ROUND((Inventory[[#This Row],[Mdl Land Intercept]]+Inventory[[#This Row],[Mdl LnAcres]])*Inventory[[#This Row],[Det/Nbhd Adj]],-2)</f>
        <v>65100</v>
      </c>
      <c r="BP56" s="30">
        <f>Inventory[[#This Row],[Adjusted Impr Total]]+Inventory[[#This Row],[Adjusted Land Total]]</f>
        <v>408800</v>
      </c>
      <c r="BQ56" s="30">
        <f>IFERROR((Inventory[[#This Row],[Adjusted Impr Total]]-Inventory[[#This Row],[24Bldg]])/Inventory[[#This Row],[24Bldg]],0)</f>
        <v>-1.9400855920114122E-2</v>
      </c>
      <c r="BR56" s="43">
        <f>(Inventory[[#This Row],[Adjusted Land Total]]-Inventory[[#This Row],[24Lnd]])/Inventory[[#This Row],[24Lnd]]</f>
        <v>-3.0627871362940277E-3</v>
      </c>
      <c r="BS56" s="43">
        <f>(Inventory[[#This Row],[Adjusted Total]]-Inventory[[#This Row],[24Final]])/Inventory[[#This Row],[24Final]]</f>
        <v>-1.6835016835016835E-2</v>
      </c>
    </row>
    <row r="57" spans="1:71">
      <c r="A57" s="30">
        <v>2025</v>
      </c>
      <c r="B57" s="31" t="s">
        <v>564</v>
      </c>
      <c r="C57" s="31">
        <f>LN(Inventory[[#This Row],[Acres]])</f>
        <v>-1.5095925774643841</v>
      </c>
      <c r="D57" s="37">
        <f>ROUND(Inventory[[#This Row],[Sqft]]/43560,3)</f>
        <v>0.221</v>
      </c>
      <c r="E57" s="30">
        <v>9614</v>
      </c>
      <c r="F57" s="31" t="s">
        <v>505</v>
      </c>
      <c r="G57" s="31" t="s">
        <v>155</v>
      </c>
      <c r="H57" s="31" t="s">
        <v>5</v>
      </c>
      <c r="I57" s="31" t="s">
        <v>506</v>
      </c>
      <c r="J57" s="31" t="s">
        <v>507</v>
      </c>
      <c r="K57" s="31" t="s">
        <v>157</v>
      </c>
      <c r="L57" s="31" t="s">
        <v>21</v>
      </c>
      <c r="M57" s="31" t="s">
        <v>24</v>
      </c>
      <c r="N57" s="31">
        <v>0</v>
      </c>
      <c r="O57" s="31">
        <f>2024-Inventory[[#This Row],[YrBlt]]</f>
        <v>2</v>
      </c>
      <c r="P57" s="31">
        <f>2024-Inventory[[#This Row],[EffYr]]</f>
        <v>2</v>
      </c>
      <c r="Q57" s="30">
        <v>2022</v>
      </c>
      <c r="R57" s="30">
        <v>2022</v>
      </c>
      <c r="S57" s="30">
        <v>1842</v>
      </c>
      <c r="T57" s="37"/>
      <c r="U57" s="32"/>
      <c r="V57" s="32"/>
      <c r="W57" s="32"/>
      <c r="X57" s="32">
        <f>Inventory[[#This Row],[Bsmt Area]]-Inventory[[#This Row],[FnBsmt]]</f>
        <v>0</v>
      </c>
      <c r="Y57" s="32">
        <f>Inventory[[#This Row],[MainFn]]+Inventory[[#This Row],[UpprFn]]+Inventory[[#This Row],[AddFn]]+Inventory[[#This Row],[FnBsmt]]</f>
        <v>1842</v>
      </c>
      <c r="Z57" s="32">
        <v>2000</v>
      </c>
      <c r="AA57" s="31" t="s">
        <v>56</v>
      </c>
      <c r="AB57" s="38">
        <v>1</v>
      </c>
      <c r="AC57" s="38">
        <v>500</v>
      </c>
      <c r="AD57" s="32"/>
      <c r="AE57" s="32"/>
      <c r="AF57" s="32"/>
      <c r="AG57" s="32"/>
      <c r="AH57" s="32"/>
      <c r="AI57" s="30">
        <v>404051</v>
      </c>
      <c r="AJ57" s="30">
        <v>395970</v>
      </c>
      <c r="AK57" s="30">
        <v>0</v>
      </c>
      <c r="AL57" s="30">
        <v>0</v>
      </c>
      <c r="AM57" s="30">
        <v>65300</v>
      </c>
      <c r="AN57" s="30">
        <v>345600</v>
      </c>
      <c r="AO57" s="30">
        <v>410900</v>
      </c>
      <c r="AP57" s="30">
        <f>Lookups!$B$58*0.6</f>
        <v>132535.48800000001</v>
      </c>
      <c r="AQ57" s="30">
        <f>Lookups!$B$58*0.4</f>
        <v>88356.992000000013</v>
      </c>
      <c r="AR57" s="30">
        <f>Lookups!$B$59*Inventory[[#This Row],[LnAcres]]</f>
        <v>-19812.377565859944</v>
      </c>
      <c r="AS57" s="30">
        <f>VLOOKUP(Inventory[[#This Row],[Qlty]],Lookups!$A$66:$E$79,2,FALSE)</f>
        <v>32917.849192000001</v>
      </c>
      <c r="AT57" s="30">
        <f>VLOOKUP(Inventory[[#This Row],[Cnd]],Lookups!$A$80:$E$88,2,FALSE)</f>
        <v>47371.278778200001</v>
      </c>
      <c r="AU57" s="30">
        <f>Inventory[[#This Row],[EffAge]]*Lookups!$B$65</f>
        <v>-217.48220000000001</v>
      </c>
      <c r="AV57" s="30">
        <f>Inventory[[#This Row],[MainFn]]*Lookups!$B$90</f>
        <v>114959.91996</v>
      </c>
      <c r="AW57" s="30">
        <f>Inventory[[#This Row],[UpprFn]]*Lookups!$B$91</f>
        <v>0</v>
      </c>
      <c r="AX57" s="30">
        <f>Inventory[[#This Row],[Bsmt Area]]*Lookups!$B$95</f>
        <v>0</v>
      </c>
      <c r="AY57" s="30">
        <f>Inventory[[#This Row],[AttGar]]*Lookups!$B$93</f>
        <v>17650.515500000001</v>
      </c>
      <c r="AZ57" s="30">
        <f>ROUND(Inventory[[#This Row],[25Det]],-2)</f>
        <v>0</v>
      </c>
      <c r="BA57" s="30">
        <f>ROUND(SUM(Inventory[[#This Row],[Mdl Qlty]:[Mdl Garage Area]])+Inventory[[#This Row],[Mdl Res Intercept]],-2)</f>
        <v>345200</v>
      </c>
      <c r="BB57" s="30">
        <f>ROUND(Inventory[[#This Row],[Mdl Land Intercept]]+Inventory[[#This Row],[Mdl LnAcres]],-2)</f>
        <v>68500</v>
      </c>
      <c r="BC57" s="30">
        <f>Inventory[[#This Row],[Unadj Res Value]]+Inventory[[#This Row],[Unadj Det Value]]+Inventory[[#This Row],[Unadj Land Value]]</f>
        <v>413700</v>
      </c>
      <c r="BD57" s="30">
        <f>(Inventory[[#This Row],[Unadj Total Value]]-Inventory[[#This Row],[24Final]])/Inventory[[#This Row],[24Final]]</f>
        <v>6.8143100511073255E-3</v>
      </c>
      <c r="BE57" s="30">
        <f>VLOOKUP(Inventory[[#This Row],[Nbhd]],Lookups!$M$3:$P$5,4,FALSE)</f>
        <v>0.99970000000000003</v>
      </c>
      <c r="BF57" s="30">
        <f>VLOOKUP(Inventory[[#This Row],[Qlty]],Lookups!$M$8:$P$22,4,FALSE)</f>
        <v>1.0019</v>
      </c>
      <c r="BG57" s="30">
        <f>VLOOKUP(Inventory[[#This Row],[Cnd]],Lookups!$R$8:$U$17,4,FALSE)</f>
        <v>1.0012000000000001</v>
      </c>
      <c r="BH57" s="30">
        <f>VLOOKUP(Inventory[[#This Row],[LivArea Range]],Lookups!$R$25:$U$43,4,FALSE)</f>
        <v>1.0007999999999999</v>
      </c>
      <c r="BI57" s="30">
        <f>VLOOKUP(Inventory[[#This Row],[Decade]],Lookups!$M$24:$P$40,4,FALSE)</f>
        <v>1</v>
      </c>
      <c r="BJ57" s="30">
        <f>Inventory[[#This Row],[Nbhd Adj]]*0.95</f>
        <v>0.94971499999999998</v>
      </c>
      <c r="BK57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57" s="30">
        <f>ROUND((SUM(Inventory[[#This Row],[Mdl Qlty]:[Mdl Garage Area]])+Inventory[[#This Row],[Mdl Res Intercept]])*Inventory[[#This Row],[Res Adj ]],-2)</f>
        <v>328200</v>
      </c>
      <c r="BM57" s="30">
        <f>ROUND(Inventory[[#This Row],[25Det]]*Inventory[[#This Row],[Det/Nbhd Adj]],-2)</f>
        <v>0</v>
      </c>
      <c r="BN57" s="30">
        <f>Inventory[[#This Row],[Adjusted Res]]+Inventory[[#This Row],[Adj Det ]]</f>
        <v>328200</v>
      </c>
      <c r="BO57" s="30">
        <f>ROUND((Inventory[[#This Row],[Mdl Land Intercept]]+Inventory[[#This Row],[Mdl LnAcres]])*Inventory[[#This Row],[Det/Nbhd Adj]],-2)</f>
        <v>65100</v>
      </c>
      <c r="BP57" s="30">
        <f>Inventory[[#This Row],[Adjusted Impr Total]]+Inventory[[#This Row],[Adjusted Land Total]]</f>
        <v>393300</v>
      </c>
      <c r="BQ57" s="30">
        <f>IFERROR((Inventory[[#This Row],[Adjusted Impr Total]]-Inventory[[#This Row],[24Bldg]])/Inventory[[#This Row],[24Bldg]],0)</f>
        <v>-5.0347222222222224E-2</v>
      </c>
      <c r="BR57" s="43">
        <f>(Inventory[[#This Row],[Adjusted Land Total]]-Inventory[[#This Row],[24Lnd]])/Inventory[[#This Row],[24Lnd]]</f>
        <v>-3.0627871362940277E-3</v>
      </c>
      <c r="BS57" s="43">
        <f>(Inventory[[#This Row],[Adjusted Total]]-Inventory[[#This Row],[24Final]])/Inventory[[#This Row],[24Final]]</f>
        <v>-4.2832806035531759E-2</v>
      </c>
    </row>
    <row r="58" spans="1:71">
      <c r="A58" s="30">
        <v>2025</v>
      </c>
      <c r="B58" s="31" t="s">
        <v>565</v>
      </c>
      <c r="C58" s="31">
        <f>LN(Inventory[[#This Row],[Acres]])</f>
        <v>0.3148107398400336</v>
      </c>
      <c r="D58" s="30">
        <v>1.37</v>
      </c>
      <c r="E58" s="37"/>
      <c r="F58" s="31" t="s">
        <v>505</v>
      </c>
      <c r="G58" s="31" t="s">
        <v>155</v>
      </c>
      <c r="H58" s="31" t="s">
        <v>5</v>
      </c>
      <c r="I58" s="31" t="s">
        <v>506</v>
      </c>
      <c r="J58" s="31" t="s">
        <v>507</v>
      </c>
      <c r="K58" s="31" t="s">
        <v>157</v>
      </c>
      <c r="L58" s="31" t="s">
        <v>21</v>
      </c>
      <c r="M58" s="31" t="s">
        <v>24</v>
      </c>
      <c r="N58" s="31">
        <v>0</v>
      </c>
      <c r="O58" s="31">
        <f>2024-Inventory[[#This Row],[YrBlt]]</f>
        <v>2</v>
      </c>
      <c r="P58" s="31">
        <f>2024-Inventory[[#This Row],[EffYr]]</f>
        <v>2</v>
      </c>
      <c r="Q58" s="30">
        <v>2022</v>
      </c>
      <c r="R58" s="30">
        <v>2022</v>
      </c>
      <c r="S58" s="30">
        <v>2552</v>
      </c>
      <c r="T58" s="37"/>
      <c r="U58" s="32"/>
      <c r="V58" s="32"/>
      <c r="W58" s="32"/>
      <c r="X58" s="32">
        <f>Inventory[[#This Row],[Bsmt Area]]-Inventory[[#This Row],[FnBsmt]]</f>
        <v>0</v>
      </c>
      <c r="Y58" s="32">
        <f>Inventory[[#This Row],[MainFn]]+Inventory[[#This Row],[UpprFn]]+Inventory[[#This Row],[AddFn]]+Inventory[[#This Row],[FnBsmt]]</f>
        <v>2552</v>
      </c>
      <c r="Z58" s="32">
        <v>3000</v>
      </c>
      <c r="AA58" s="31" t="s">
        <v>56</v>
      </c>
      <c r="AB58" s="38">
        <v>1</v>
      </c>
      <c r="AC58" s="38">
        <v>876</v>
      </c>
      <c r="AD58" s="32"/>
      <c r="AE58" s="32"/>
      <c r="AF58" s="32"/>
      <c r="AG58" s="32"/>
      <c r="AH58" s="32"/>
      <c r="AI58" s="30">
        <v>623679</v>
      </c>
      <c r="AJ58" s="30">
        <v>611205</v>
      </c>
      <c r="AK58" s="30">
        <v>0</v>
      </c>
      <c r="AL58" s="30">
        <v>0</v>
      </c>
      <c r="AM58" s="30">
        <v>90900</v>
      </c>
      <c r="AN58" s="30">
        <v>505500</v>
      </c>
      <c r="AO58" s="30">
        <v>596400</v>
      </c>
      <c r="AP58" s="30">
        <f>Lookups!$B$58*0.6</f>
        <v>132535.48800000001</v>
      </c>
      <c r="AQ58" s="30">
        <f>Lookups!$B$58*0.4</f>
        <v>88356.992000000013</v>
      </c>
      <c r="AR58" s="30">
        <f>Lookups!$B$59*Inventory[[#This Row],[LnAcres]]</f>
        <v>4131.6772039080897</v>
      </c>
      <c r="AS58" s="30">
        <f>VLOOKUP(Inventory[[#This Row],[Qlty]],Lookups!$A$66:$E$79,2,FALSE)</f>
        <v>32917.849192000001</v>
      </c>
      <c r="AT58" s="30">
        <f>VLOOKUP(Inventory[[#This Row],[Cnd]],Lookups!$A$80:$E$88,2,FALSE)</f>
        <v>47371.278778200001</v>
      </c>
      <c r="AU58" s="30">
        <f>Inventory[[#This Row],[EffAge]]*Lookups!$B$65</f>
        <v>-217.48220000000001</v>
      </c>
      <c r="AV58" s="30">
        <f>Inventory[[#This Row],[MainFn]]*Lookups!$B$90</f>
        <v>159271.28976000001</v>
      </c>
      <c r="AW58" s="30">
        <f>Inventory[[#This Row],[UpprFn]]*Lookups!$B$91</f>
        <v>0</v>
      </c>
      <c r="AX58" s="30">
        <f>Inventory[[#This Row],[Bsmt Area]]*Lookups!$B$95</f>
        <v>0</v>
      </c>
      <c r="AY58" s="30">
        <f>Inventory[[#This Row],[AttGar]]*Lookups!$B$93</f>
        <v>30923.703156000003</v>
      </c>
      <c r="AZ58" s="30">
        <f>ROUND(Inventory[[#This Row],[25Det]],-2)</f>
        <v>0</v>
      </c>
      <c r="BA58" s="30">
        <f>ROUND(SUM(Inventory[[#This Row],[Mdl Qlty]:[Mdl Garage Area]])+Inventory[[#This Row],[Mdl Res Intercept]],-2)</f>
        <v>402800</v>
      </c>
      <c r="BB58" s="30">
        <f>ROUND(Inventory[[#This Row],[Mdl Land Intercept]]+Inventory[[#This Row],[Mdl LnAcres]],-2)</f>
        <v>92500</v>
      </c>
      <c r="BC58" s="30">
        <f>Inventory[[#This Row],[Unadj Res Value]]+Inventory[[#This Row],[Unadj Det Value]]+Inventory[[#This Row],[Unadj Land Value]]</f>
        <v>495300</v>
      </c>
      <c r="BD58" s="30">
        <f>(Inventory[[#This Row],[Unadj Total Value]]-Inventory[[#This Row],[24Final]])/Inventory[[#This Row],[24Final]]</f>
        <v>-0.16951710261569417</v>
      </c>
      <c r="BE58" s="30">
        <f>VLOOKUP(Inventory[[#This Row],[Nbhd]],Lookups!$M$3:$P$5,4,FALSE)</f>
        <v>0.99970000000000003</v>
      </c>
      <c r="BF58" s="30">
        <f>VLOOKUP(Inventory[[#This Row],[Qlty]],Lookups!$M$8:$P$22,4,FALSE)</f>
        <v>1.0019</v>
      </c>
      <c r="BG58" s="30">
        <f>VLOOKUP(Inventory[[#This Row],[Cnd]],Lookups!$R$8:$U$17,4,FALSE)</f>
        <v>1.0012000000000001</v>
      </c>
      <c r="BH58" s="30">
        <f>VLOOKUP(Inventory[[#This Row],[LivArea Range]],Lookups!$R$25:$U$43,4,FALSE)</f>
        <v>1.0099</v>
      </c>
      <c r="BI58" s="30">
        <f>VLOOKUP(Inventory[[#This Row],[Decade]],Lookups!$M$24:$P$40,4,FALSE)</f>
        <v>1</v>
      </c>
      <c r="BJ58" s="30">
        <f>Inventory[[#This Row],[Nbhd Adj]]*0.95</f>
        <v>0.94971499999999998</v>
      </c>
      <c r="BK58" s="30">
        <f>AVERAGE(Inventory[[#This Row],[Nbhd Adj]],Inventory[[#This Row],[Quality Adj]],Inventory[[#This Row],[Condition Adj]],Inventory[[#This Row],[Living Area Adj]],Inventory[[#This Row],[Decade Adj]])*0.95</f>
        <v>0.95241299999999995</v>
      </c>
      <c r="BL58" s="30">
        <f>ROUND((SUM(Inventory[[#This Row],[Mdl Qlty]:[Mdl Garage Area]])+Inventory[[#This Row],[Mdl Res Intercept]])*Inventory[[#This Row],[Res Adj ]],-2)</f>
        <v>383600</v>
      </c>
      <c r="BM58" s="30">
        <f>ROUND(Inventory[[#This Row],[25Det]]*Inventory[[#This Row],[Det/Nbhd Adj]],-2)</f>
        <v>0</v>
      </c>
      <c r="BN58" s="30">
        <f>Inventory[[#This Row],[Adjusted Res]]+Inventory[[#This Row],[Adj Det ]]</f>
        <v>383600</v>
      </c>
      <c r="BO58" s="30">
        <f>ROUND((Inventory[[#This Row],[Mdl Land Intercept]]+Inventory[[#This Row],[Mdl LnAcres]])*Inventory[[#This Row],[Det/Nbhd Adj]],-2)</f>
        <v>87800</v>
      </c>
      <c r="BP58" s="30">
        <f>Inventory[[#This Row],[Adjusted Impr Total]]+Inventory[[#This Row],[Adjusted Land Total]]</f>
        <v>471400</v>
      </c>
      <c r="BQ58" s="30">
        <f>IFERROR((Inventory[[#This Row],[Adjusted Impr Total]]-Inventory[[#This Row],[24Bldg]])/Inventory[[#This Row],[24Bldg]],0)</f>
        <v>-0.24114737883283877</v>
      </c>
      <c r="BR58" s="43">
        <f>(Inventory[[#This Row],[Adjusted Land Total]]-Inventory[[#This Row],[24Lnd]])/Inventory[[#This Row],[24Lnd]]</f>
        <v>-3.4103410341034104E-2</v>
      </c>
      <c r="BS58" s="43">
        <f>(Inventory[[#This Row],[Adjusted Total]]-Inventory[[#This Row],[24Final]])/Inventory[[#This Row],[24Final]]</f>
        <v>-0.20959087860496312</v>
      </c>
    </row>
    <row r="59" spans="1:71">
      <c r="A59" s="30">
        <v>2025</v>
      </c>
      <c r="B59" s="31" t="s">
        <v>566</v>
      </c>
      <c r="C59" s="31">
        <f>LN(Inventory[[#This Row],[Acres]])</f>
        <v>0.87546873735389985</v>
      </c>
      <c r="D59" s="30">
        <v>2.4</v>
      </c>
      <c r="E59" s="32"/>
      <c r="F59" s="31" t="s">
        <v>505</v>
      </c>
      <c r="G59" s="31" t="s">
        <v>155</v>
      </c>
      <c r="H59" s="31" t="s">
        <v>5</v>
      </c>
      <c r="I59" s="31" t="s">
        <v>506</v>
      </c>
      <c r="J59" s="31" t="s">
        <v>567</v>
      </c>
      <c r="K59" s="31" t="s">
        <v>568</v>
      </c>
      <c r="L59" s="31" t="s">
        <v>26</v>
      </c>
      <c r="M59" s="31" t="s">
        <v>24</v>
      </c>
      <c r="N59" s="31">
        <v>0</v>
      </c>
      <c r="O59" s="31">
        <f>2024-Inventory[[#This Row],[YrBlt]]</f>
        <v>2</v>
      </c>
      <c r="P59" s="31">
        <f>2024-Inventory[[#This Row],[EffYr]]</f>
        <v>2</v>
      </c>
      <c r="Q59" s="30">
        <v>2022</v>
      </c>
      <c r="R59" s="30">
        <v>2022</v>
      </c>
      <c r="S59" s="30">
        <v>3300</v>
      </c>
      <c r="T59" s="38">
        <v>1623</v>
      </c>
      <c r="U59" s="32"/>
      <c r="V59" s="32"/>
      <c r="W59" s="32"/>
      <c r="X59" s="32">
        <f>Inventory[[#This Row],[Bsmt Area]]-Inventory[[#This Row],[FnBsmt]]</f>
        <v>0</v>
      </c>
      <c r="Y59" s="32">
        <f>Inventory[[#This Row],[MainFn]]+Inventory[[#This Row],[UpprFn]]+Inventory[[#This Row],[AddFn]]+Inventory[[#This Row],[FnBsmt]]</f>
        <v>4923</v>
      </c>
      <c r="Z59" s="32">
        <v>5000</v>
      </c>
      <c r="AA59" s="31" t="s">
        <v>57</v>
      </c>
      <c r="AB59" s="38">
        <v>1</v>
      </c>
      <c r="AC59" s="38">
        <v>956</v>
      </c>
      <c r="AD59" s="32"/>
      <c r="AE59" s="32"/>
      <c r="AF59" s="32"/>
      <c r="AG59" s="32"/>
      <c r="AH59" s="32"/>
      <c r="AI59" s="30">
        <v>1293944</v>
      </c>
      <c r="AJ59" s="30">
        <v>1293944</v>
      </c>
      <c r="AK59" s="30">
        <v>67511</v>
      </c>
      <c r="AL59" s="30">
        <v>0</v>
      </c>
      <c r="AM59" s="30">
        <v>98800</v>
      </c>
      <c r="AN59" s="30">
        <v>637900</v>
      </c>
      <c r="AO59" s="30">
        <v>736700</v>
      </c>
      <c r="AP59" s="30">
        <f>Lookups!$B$58*0.6</f>
        <v>132535.48800000001</v>
      </c>
      <c r="AQ59" s="30">
        <f>Lookups!$B$58*0.4</f>
        <v>88356.992000000013</v>
      </c>
      <c r="AR59" s="30">
        <f>Lookups!$B$59*Inventory[[#This Row],[LnAcres]]</f>
        <v>11489.932734497272</v>
      </c>
      <c r="AS59" s="30">
        <f>VLOOKUP(Inventory[[#This Row],[Qlty]],Lookups!$A$66:$E$79,2,FALSE)</f>
        <v>62220.902449590503</v>
      </c>
      <c r="AT59" s="30">
        <f>VLOOKUP(Inventory[[#This Row],[Cnd]],Lookups!$A$80:$E$88,2,FALSE)</f>
        <v>47371.278778200001</v>
      </c>
      <c r="AU59" s="30">
        <f>Inventory[[#This Row],[EffAge]]*Lookups!$B$65</f>
        <v>-217.48220000000001</v>
      </c>
      <c r="AV59" s="30">
        <f>Inventory[[#This Row],[MainFn]]*Lookups!$B$90</f>
        <v>205954.25400000002</v>
      </c>
      <c r="AW59" s="30">
        <f>Inventory[[#This Row],[UpprFn]]*Lookups!$B$91</f>
        <v>96698.961608999991</v>
      </c>
      <c r="AX59" s="30">
        <f>Inventory[[#This Row],[Bsmt Area]]*Lookups!$B$95</f>
        <v>0</v>
      </c>
      <c r="AY59" s="30">
        <f>Inventory[[#This Row],[AttGar]]*Lookups!$B$93</f>
        <v>33747.785636000001</v>
      </c>
      <c r="AZ59" s="30">
        <f>ROUND(Inventory[[#This Row],[25Det]],-2)</f>
        <v>67500</v>
      </c>
      <c r="BA59" s="30">
        <f>ROUND(SUM(Inventory[[#This Row],[Mdl Qlty]:[Mdl Garage Area]])+Inventory[[#This Row],[Mdl Res Intercept]],-2)</f>
        <v>578300</v>
      </c>
      <c r="BB59" s="30">
        <f>ROUND(Inventory[[#This Row],[Mdl Land Intercept]]+Inventory[[#This Row],[Mdl LnAcres]],-2)</f>
        <v>99800</v>
      </c>
      <c r="BC59" s="30">
        <f>Inventory[[#This Row],[Unadj Res Value]]+Inventory[[#This Row],[Unadj Det Value]]+Inventory[[#This Row],[Unadj Land Value]]</f>
        <v>745600</v>
      </c>
      <c r="BD59" s="30">
        <f>(Inventory[[#This Row],[Unadj Total Value]]-Inventory[[#This Row],[24Final]])/Inventory[[#This Row],[24Final]]</f>
        <v>1.2080901316682503E-2</v>
      </c>
      <c r="BE59" s="30">
        <f>VLOOKUP(Inventory[[#This Row],[Nbhd]],Lookups!$M$3:$P$5,4,FALSE)</f>
        <v>0.99970000000000003</v>
      </c>
      <c r="BF59" s="30">
        <f>VLOOKUP(Inventory[[#This Row],[Qlty]],Lookups!$M$8:$P$22,4,FALSE)</f>
        <v>1</v>
      </c>
      <c r="BG59" s="30">
        <f>VLOOKUP(Inventory[[#This Row],[Cnd]],Lookups!$R$8:$U$17,4,FALSE)</f>
        <v>1.0012000000000001</v>
      </c>
      <c r="BH59" s="30">
        <f>VLOOKUP(Inventory[[#This Row],[LivArea Range]],Lookups!$R$25:$U$43,4,FALSE)</f>
        <v>1</v>
      </c>
      <c r="BI59" s="30">
        <f>VLOOKUP(Inventory[[#This Row],[Decade]],Lookups!$M$24:$P$40,4,FALSE)</f>
        <v>1</v>
      </c>
      <c r="BJ59" s="30">
        <f>Inventory[[#This Row],[Nbhd Adj]]*0.95</f>
        <v>0.94971499999999998</v>
      </c>
      <c r="BK59" s="30">
        <f>AVERAGE(Inventory[[#This Row],[Nbhd Adj]],Inventory[[#This Row],[Quality Adj]],Inventory[[#This Row],[Condition Adj]],Inventory[[#This Row],[Living Area Adj]],Inventory[[#This Row],[Decade Adj]])*0.95</f>
        <v>0.95017099999999977</v>
      </c>
      <c r="BL59" s="30">
        <f>ROUND((SUM(Inventory[[#This Row],[Mdl Qlty]:[Mdl Garage Area]])+Inventory[[#This Row],[Mdl Res Intercept]])*Inventory[[#This Row],[Res Adj ]],-2)</f>
        <v>549500</v>
      </c>
      <c r="BM59" s="30">
        <f>ROUND(Inventory[[#This Row],[25Det]]*Inventory[[#This Row],[Det/Nbhd Adj]],-2)</f>
        <v>64100</v>
      </c>
      <c r="BN59" s="30">
        <f>Inventory[[#This Row],[Adjusted Res]]+Inventory[[#This Row],[Adj Det ]]</f>
        <v>613600</v>
      </c>
      <c r="BO59" s="30">
        <f>ROUND((Inventory[[#This Row],[Mdl Land Intercept]]+Inventory[[#This Row],[Mdl LnAcres]])*Inventory[[#This Row],[Det/Nbhd Adj]],-2)</f>
        <v>94800</v>
      </c>
      <c r="BP59" s="30">
        <f>Inventory[[#This Row],[Adjusted Impr Total]]+Inventory[[#This Row],[Adjusted Land Total]]</f>
        <v>708400</v>
      </c>
      <c r="BQ59" s="30">
        <f>IFERROR((Inventory[[#This Row],[Adjusted Impr Total]]-Inventory[[#This Row],[24Bldg]])/Inventory[[#This Row],[24Bldg]],0)</f>
        <v>-3.8093745101113026E-2</v>
      </c>
      <c r="BR59" s="43">
        <f>(Inventory[[#This Row],[Adjusted Land Total]]-Inventory[[#This Row],[24Lnd]])/Inventory[[#This Row],[24Lnd]]</f>
        <v>-4.048582995951417E-2</v>
      </c>
      <c r="BS59" s="43">
        <f>(Inventory[[#This Row],[Adjusted Total]]-Inventory[[#This Row],[24Final]])/Inventory[[#This Row],[24Final]]</f>
        <v>-3.8414551377765713E-2</v>
      </c>
    </row>
    <row r="60" spans="1:71">
      <c r="A60" s="30">
        <v>2025</v>
      </c>
      <c r="B60" s="31" t="s">
        <v>569</v>
      </c>
      <c r="C60" s="31">
        <f>LN(Inventory[[#This Row],[Acres]])</f>
        <v>-1.8263509139976741</v>
      </c>
      <c r="D60" s="37">
        <f>ROUND(Inventory[[#This Row],[Sqft]]/43560,3)</f>
        <v>0.161</v>
      </c>
      <c r="E60" s="30">
        <v>7001</v>
      </c>
      <c r="F60" s="31" t="s">
        <v>505</v>
      </c>
      <c r="G60" s="31" t="s">
        <v>155</v>
      </c>
      <c r="H60" s="31" t="s">
        <v>5</v>
      </c>
      <c r="I60" s="31" t="s">
        <v>506</v>
      </c>
      <c r="J60" s="31" t="s">
        <v>507</v>
      </c>
      <c r="K60" s="31" t="s">
        <v>157</v>
      </c>
      <c r="L60" s="31" t="s">
        <v>21</v>
      </c>
      <c r="M60" s="31" t="s">
        <v>24</v>
      </c>
      <c r="N60" s="31">
        <v>0</v>
      </c>
      <c r="O60" s="31">
        <f>2024-Inventory[[#This Row],[YrBlt]]</f>
        <v>3</v>
      </c>
      <c r="P60" s="31">
        <f>2024-Inventory[[#This Row],[EffYr]]</f>
        <v>3</v>
      </c>
      <c r="Q60" s="30">
        <v>2021</v>
      </c>
      <c r="R60" s="30">
        <v>2021</v>
      </c>
      <c r="S60" s="30">
        <v>918</v>
      </c>
      <c r="T60" s="38">
        <v>1296</v>
      </c>
      <c r="U60" s="32"/>
      <c r="V60" s="32"/>
      <c r="W60" s="32"/>
      <c r="X60" s="32">
        <f>Inventory[[#This Row],[Bsmt Area]]-Inventory[[#This Row],[FnBsmt]]</f>
        <v>0</v>
      </c>
      <c r="Y60" s="32">
        <f>Inventory[[#This Row],[MainFn]]+Inventory[[#This Row],[UpprFn]]+Inventory[[#This Row],[AddFn]]+Inventory[[#This Row],[FnBsmt]]</f>
        <v>2214</v>
      </c>
      <c r="Z60" s="32">
        <v>2500</v>
      </c>
      <c r="AA60" s="31" t="s">
        <v>57</v>
      </c>
      <c r="AB60" s="32"/>
      <c r="AC60" s="38">
        <v>288</v>
      </c>
      <c r="AD60" s="38">
        <v>480</v>
      </c>
      <c r="AE60" s="32"/>
      <c r="AF60" s="32"/>
      <c r="AG60" s="32"/>
      <c r="AH60" s="32"/>
      <c r="AI60" s="30">
        <v>466036</v>
      </c>
      <c r="AJ60" s="30">
        <v>452055</v>
      </c>
      <c r="AK60" s="30">
        <v>0</v>
      </c>
      <c r="AL60" s="30">
        <v>0</v>
      </c>
      <c r="AM60" s="30">
        <v>60800</v>
      </c>
      <c r="AN60" s="30">
        <v>381100</v>
      </c>
      <c r="AO60" s="30">
        <v>441900</v>
      </c>
      <c r="AP60" s="30">
        <f>Lookups!$B$58*0.6</f>
        <v>132535.48800000001</v>
      </c>
      <c r="AQ60" s="30">
        <f>Lookups!$B$58*0.4</f>
        <v>88356.992000000013</v>
      </c>
      <c r="AR60" s="30">
        <f>Lookups!$B$59*Inventory[[#This Row],[LnAcres]]</f>
        <v>-23969.615653948869</v>
      </c>
      <c r="AS60" s="30">
        <f>VLOOKUP(Inventory[[#This Row],[Qlty]],Lookups!$A$66:$E$79,2,FALSE)</f>
        <v>32917.849192000001</v>
      </c>
      <c r="AT60" s="30">
        <f>VLOOKUP(Inventory[[#This Row],[Cnd]],Lookups!$A$80:$E$88,2,FALSE)</f>
        <v>47371.278778200001</v>
      </c>
      <c r="AU60" s="30">
        <f>Inventory[[#This Row],[EffAge]]*Lookups!$B$65</f>
        <v>-326.22329999999999</v>
      </c>
      <c r="AV60" s="30">
        <f>Inventory[[#This Row],[MainFn]]*Lookups!$B$90</f>
        <v>57292.728840000003</v>
      </c>
      <c r="AW60" s="30">
        <f>Inventory[[#This Row],[UpprFn]]*Lookups!$B$91</f>
        <v>77216.176368</v>
      </c>
      <c r="AX60" s="30">
        <f>Inventory[[#This Row],[Bsmt Area]]*Lookups!$B$95</f>
        <v>0</v>
      </c>
      <c r="AY60" s="30">
        <f>Inventory[[#This Row],[AttGar]]*Lookups!$B$93</f>
        <v>10166.696928000001</v>
      </c>
      <c r="AZ60" s="30">
        <f>ROUND(Inventory[[#This Row],[25Det]],-2)</f>
        <v>0</v>
      </c>
      <c r="BA60" s="30">
        <f>ROUND(SUM(Inventory[[#This Row],[Mdl Qlty]:[Mdl Garage Area]])+Inventory[[#This Row],[Mdl Res Intercept]],-2)</f>
        <v>357200</v>
      </c>
      <c r="BB60" s="30">
        <f>ROUND(Inventory[[#This Row],[Mdl Land Intercept]]+Inventory[[#This Row],[Mdl LnAcres]],-2)</f>
        <v>64400</v>
      </c>
      <c r="BC60" s="30">
        <f>Inventory[[#This Row],[Unadj Res Value]]+Inventory[[#This Row],[Unadj Det Value]]+Inventory[[#This Row],[Unadj Land Value]]</f>
        <v>421600</v>
      </c>
      <c r="BD60" s="30">
        <f>(Inventory[[#This Row],[Unadj Total Value]]-Inventory[[#This Row],[24Final]])/Inventory[[#This Row],[24Final]]</f>
        <v>-4.5937995021498076E-2</v>
      </c>
      <c r="BE60" s="30">
        <f>VLOOKUP(Inventory[[#This Row],[Nbhd]],Lookups!$M$3:$P$5,4,FALSE)</f>
        <v>0.99970000000000003</v>
      </c>
      <c r="BF60" s="30">
        <f>VLOOKUP(Inventory[[#This Row],[Qlty]],Lookups!$M$8:$P$22,4,FALSE)</f>
        <v>1.0019</v>
      </c>
      <c r="BG60" s="30">
        <f>VLOOKUP(Inventory[[#This Row],[Cnd]],Lookups!$R$8:$U$17,4,FALSE)</f>
        <v>1.0012000000000001</v>
      </c>
      <c r="BH60" s="30">
        <f>VLOOKUP(Inventory[[#This Row],[LivArea Range]],Lookups!$R$25:$U$43,4,FALSE)</f>
        <v>1.0008999999999999</v>
      </c>
      <c r="BI60" s="30">
        <f>VLOOKUP(Inventory[[#This Row],[Decade]],Lookups!$M$24:$P$40,4,FALSE)</f>
        <v>1</v>
      </c>
      <c r="BJ60" s="30">
        <f>Inventory[[#This Row],[Nbhd Adj]]*0.95</f>
        <v>0.94971499999999998</v>
      </c>
      <c r="BK60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60" s="30">
        <f>ROUND((SUM(Inventory[[#This Row],[Mdl Qlty]:[Mdl Garage Area]])+Inventory[[#This Row],[Mdl Res Intercept]])*Inventory[[#This Row],[Res Adj ]],-2)</f>
        <v>339600</v>
      </c>
      <c r="BM60" s="30">
        <f>ROUND(Inventory[[#This Row],[25Det]]*Inventory[[#This Row],[Det/Nbhd Adj]],-2)</f>
        <v>0</v>
      </c>
      <c r="BN60" s="30">
        <f>Inventory[[#This Row],[Adjusted Res]]+Inventory[[#This Row],[Adj Det ]]</f>
        <v>339600</v>
      </c>
      <c r="BO60" s="30">
        <f>ROUND((Inventory[[#This Row],[Mdl Land Intercept]]+Inventory[[#This Row],[Mdl LnAcres]])*Inventory[[#This Row],[Det/Nbhd Adj]],-2)</f>
        <v>61100</v>
      </c>
      <c r="BP60" s="30">
        <f>Inventory[[#This Row],[Adjusted Impr Total]]+Inventory[[#This Row],[Adjusted Land Total]]</f>
        <v>400700</v>
      </c>
      <c r="BQ60" s="30">
        <f>IFERROR((Inventory[[#This Row],[Adjusted Impr Total]]-Inventory[[#This Row],[24Bldg]])/Inventory[[#This Row],[24Bldg]],0)</f>
        <v>-0.10889530307006035</v>
      </c>
      <c r="BR60" s="43">
        <f>(Inventory[[#This Row],[Adjusted Land Total]]-Inventory[[#This Row],[24Lnd]])/Inventory[[#This Row],[24Lnd]]</f>
        <v>4.9342105263157892E-3</v>
      </c>
      <c r="BS60" s="43">
        <f>(Inventory[[#This Row],[Adjusted Total]]-Inventory[[#This Row],[24Final]])/Inventory[[#This Row],[24Final]]</f>
        <v>-9.323376329486309E-2</v>
      </c>
    </row>
    <row r="61" spans="1:71">
      <c r="A61" s="30">
        <v>2025</v>
      </c>
      <c r="B61" s="31" t="s">
        <v>570</v>
      </c>
      <c r="C61" s="31">
        <f>LN(Inventory[[#This Row],[Acres]])</f>
        <v>-1.8263509139976741</v>
      </c>
      <c r="D61" s="37">
        <f>ROUND(Inventory[[#This Row],[Sqft]]/43560,3)</f>
        <v>0.161</v>
      </c>
      <c r="E61" s="38">
        <v>7016</v>
      </c>
      <c r="F61" s="31" t="s">
        <v>505</v>
      </c>
      <c r="G61" s="31" t="s">
        <v>155</v>
      </c>
      <c r="H61" s="31" t="s">
        <v>5</v>
      </c>
      <c r="I61" s="31" t="s">
        <v>506</v>
      </c>
      <c r="J61" s="31" t="s">
        <v>507</v>
      </c>
      <c r="K61" s="31" t="s">
        <v>157</v>
      </c>
      <c r="L61" s="31" t="s">
        <v>21</v>
      </c>
      <c r="M61" s="31" t="s">
        <v>24</v>
      </c>
      <c r="N61" s="31">
        <v>0</v>
      </c>
      <c r="O61" s="31">
        <f>2024-Inventory[[#This Row],[YrBlt]]</f>
        <v>3</v>
      </c>
      <c r="P61" s="31">
        <f>2024-Inventory[[#This Row],[EffYr]]</f>
        <v>3</v>
      </c>
      <c r="Q61" s="30">
        <v>2021</v>
      </c>
      <c r="R61" s="30">
        <v>2021</v>
      </c>
      <c r="S61" s="30">
        <v>918</v>
      </c>
      <c r="T61" s="38">
        <v>1296</v>
      </c>
      <c r="U61" s="32"/>
      <c r="V61" s="32"/>
      <c r="W61" s="32"/>
      <c r="X61" s="32">
        <f>Inventory[[#This Row],[Bsmt Area]]-Inventory[[#This Row],[FnBsmt]]</f>
        <v>0</v>
      </c>
      <c r="Y61" s="32">
        <f>Inventory[[#This Row],[MainFn]]+Inventory[[#This Row],[UpprFn]]+Inventory[[#This Row],[AddFn]]+Inventory[[#This Row],[FnBsmt]]</f>
        <v>2214</v>
      </c>
      <c r="Z61" s="32">
        <v>2500</v>
      </c>
      <c r="AA61" s="31" t="s">
        <v>57</v>
      </c>
      <c r="AB61" s="32"/>
      <c r="AC61" s="38">
        <v>288</v>
      </c>
      <c r="AD61" s="38">
        <v>480</v>
      </c>
      <c r="AE61" s="32"/>
      <c r="AF61" s="32"/>
      <c r="AG61" s="32"/>
      <c r="AH61" s="32"/>
      <c r="AI61" s="30">
        <v>466215</v>
      </c>
      <c r="AJ61" s="30">
        <v>452229</v>
      </c>
      <c r="AK61" s="30">
        <v>0</v>
      </c>
      <c r="AL61" s="30">
        <v>0</v>
      </c>
      <c r="AM61" s="30">
        <v>60800</v>
      </c>
      <c r="AN61" s="30">
        <v>377800</v>
      </c>
      <c r="AO61" s="30">
        <v>438600</v>
      </c>
      <c r="AP61" s="30">
        <f>Lookups!$B$58*0.6</f>
        <v>132535.48800000001</v>
      </c>
      <c r="AQ61" s="30">
        <f>Lookups!$B$58*0.4</f>
        <v>88356.992000000013</v>
      </c>
      <c r="AR61" s="30">
        <f>Lookups!$B$59*Inventory[[#This Row],[LnAcres]]</f>
        <v>-23969.615653948869</v>
      </c>
      <c r="AS61" s="30">
        <f>VLOOKUP(Inventory[[#This Row],[Qlty]],Lookups!$A$66:$E$79,2,FALSE)</f>
        <v>32917.849192000001</v>
      </c>
      <c r="AT61" s="30">
        <f>VLOOKUP(Inventory[[#This Row],[Cnd]],Lookups!$A$80:$E$88,2,FALSE)</f>
        <v>47371.278778200001</v>
      </c>
      <c r="AU61" s="30">
        <f>Inventory[[#This Row],[EffAge]]*Lookups!$B$65</f>
        <v>-326.22329999999999</v>
      </c>
      <c r="AV61" s="30">
        <f>Inventory[[#This Row],[MainFn]]*Lookups!$B$90</f>
        <v>57292.728840000003</v>
      </c>
      <c r="AW61" s="30">
        <f>Inventory[[#This Row],[UpprFn]]*Lookups!$B$91</f>
        <v>77216.176368</v>
      </c>
      <c r="AX61" s="30">
        <f>Inventory[[#This Row],[Bsmt Area]]*Lookups!$B$95</f>
        <v>0</v>
      </c>
      <c r="AY61" s="30">
        <f>Inventory[[#This Row],[AttGar]]*Lookups!$B$93</f>
        <v>10166.696928000001</v>
      </c>
      <c r="AZ61" s="30">
        <f>ROUND(Inventory[[#This Row],[25Det]],-2)</f>
        <v>0</v>
      </c>
      <c r="BA61" s="30">
        <f>ROUND(SUM(Inventory[[#This Row],[Mdl Qlty]:[Mdl Garage Area]])+Inventory[[#This Row],[Mdl Res Intercept]],-2)</f>
        <v>357200</v>
      </c>
      <c r="BB61" s="30">
        <f>ROUND(Inventory[[#This Row],[Mdl Land Intercept]]+Inventory[[#This Row],[Mdl LnAcres]],-2)</f>
        <v>64400</v>
      </c>
      <c r="BC61" s="30">
        <f>Inventory[[#This Row],[Unadj Res Value]]+Inventory[[#This Row],[Unadj Det Value]]+Inventory[[#This Row],[Unadj Land Value]]</f>
        <v>421600</v>
      </c>
      <c r="BD61" s="30">
        <f>(Inventory[[#This Row],[Unadj Total Value]]-Inventory[[#This Row],[24Final]])/Inventory[[#This Row],[24Final]]</f>
        <v>-3.875968992248062E-2</v>
      </c>
      <c r="BE61" s="30">
        <f>VLOOKUP(Inventory[[#This Row],[Nbhd]],Lookups!$M$3:$P$5,4,FALSE)</f>
        <v>0.99970000000000003</v>
      </c>
      <c r="BF61" s="30">
        <f>VLOOKUP(Inventory[[#This Row],[Qlty]],Lookups!$M$8:$P$22,4,FALSE)</f>
        <v>1.0019</v>
      </c>
      <c r="BG61" s="30">
        <f>VLOOKUP(Inventory[[#This Row],[Cnd]],Lookups!$R$8:$U$17,4,FALSE)</f>
        <v>1.0012000000000001</v>
      </c>
      <c r="BH61" s="30">
        <f>VLOOKUP(Inventory[[#This Row],[LivArea Range]],Lookups!$R$25:$U$43,4,FALSE)</f>
        <v>1.0008999999999999</v>
      </c>
      <c r="BI61" s="30">
        <f>VLOOKUP(Inventory[[#This Row],[Decade]],Lookups!$M$24:$P$40,4,FALSE)</f>
        <v>1</v>
      </c>
      <c r="BJ61" s="30">
        <f>Inventory[[#This Row],[Nbhd Adj]]*0.95</f>
        <v>0.94971499999999998</v>
      </c>
      <c r="BK61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61" s="30">
        <f>ROUND((SUM(Inventory[[#This Row],[Mdl Qlty]:[Mdl Garage Area]])+Inventory[[#This Row],[Mdl Res Intercept]])*Inventory[[#This Row],[Res Adj ]],-2)</f>
        <v>339600</v>
      </c>
      <c r="BM61" s="30">
        <f>ROUND(Inventory[[#This Row],[25Det]]*Inventory[[#This Row],[Det/Nbhd Adj]],-2)</f>
        <v>0</v>
      </c>
      <c r="BN61" s="30">
        <f>Inventory[[#This Row],[Adjusted Res]]+Inventory[[#This Row],[Adj Det ]]</f>
        <v>339600</v>
      </c>
      <c r="BO61" s="30">
        <f>ROUND((Inventory[[#This Row],[Mdl Land Intercept]]+Inventory[[#This Row],[Mdl LnAcres]])*Inventory[[#This Row],[Det/Nbhd Adj]],-2)</f>
        <v>61100</v>
      </c>
      <c r="BP61" s="30">
        <f>Inventory[[#This Row],[Adjusted Impr Total]]+Inventory[[#This Row],[Adjusted Land Total]]</f>
        <v>400700</v>
      </c>
      <c r="BQ61" s="30">
        <f>IFERROR((Inventory[[#This Row],[Adjusted Impr Total]]-Inventory[[#This Row],[24Bldg]])/Inventory[[#This Row],[24Bldg]],0)</f>
        <v>-0.10111169931180519</v>
      </c>
      <c r="BR61" s="43">
        <f>(Inventory[[#This Row],[Adjusted Land Total]]-Inventory[[#This Row],[24Lnd]])/Inventory[[#This Row],[24Lnd]]</f>
        <v>4.9342105263157892E-3</v>
      </c>
      <c r="BS61" s="43">
        <f>(Inventory[[#This Row],[Adjusted Total]]-Inventory[[#This Row],[24Final]])/Inventory[[#This Row],[24Final]]</f>
        <v>-8.6411308709530329E-2</v>
      </c>
    </row>
    <row r="62" spans="1:71">
      <c r="A62" s="30">
        <v>2025</v>
      </c>
      <c r="B62" s="31" t="s">
        <v>571</v>
      </c>
      <c r="C62" s="31">
        <f>LN(Inventory[[#This Row],[Acres]])</f>
        <v>-1.8263509139976741</v>
      </c>
      <c r="D62" s="37">
        <f>ROUND(Inventory[[#This Row],[Sqft]]/43560,3)</f>
        <v>0.161</v>
      </c>
      <c r="E62" s="30">
        <v>7004</v>
      </c>
      <c r="F62" s="31" t="s">
        <v>505</v>
      </c>
      <c r="G62" s="31" t="s">
        <v>155</v>
      </c>
      <c r="H62" s="31" t="s">
        <v>5</v>
      </c>
      <c r="I62" s="31" t="s">
        <v>506</v>
      </c>
      <c r="J62" s="31" t="s">
        <v>507</v>
      </c>
      <c r="K62" s="31" t="s">
        <v>157</v>
      </c>
      <c r="L62" s="31" t="s">
        <v>21</v>
      </c>
      <c r="M62" s="31" t="s">
        <v>24</v>
      </c>
      <c r="N62" s="31">
        <v>0</v>
      </c>
      <c r="O62" s="31">
        <f>2024-Inventory[[#This Row],[YrBlt]]</f>
        <v>3</v>
      </c>
      <c r="P62" s="31">
        <f>2024-Inventory[[#This Row],[EffYr]]</f>
        <v>3</v>
      </c>
      <c r="Q62" s="30">
        <v>2021</v>
      </c>
      <c r="R62" s="30">
        <v>2021</v>
      </c>
      <c r="S62" s="30">
        <v>1316</v>
      </c>
      <c r="T62" s="38">
        <v>1686</v>
      </c>
      <c r="U62" s="32"/>
      <c r="V62" s="32"/>
      <c r="W62" s="32"/>
      <c r="X62" s="32">
        <f>Inventory[[#This Row],[Bsmt Area]]-Inventory[[#This Row],[FnBsmt]]</f>
        <v>0</v>
      </c>
      <c r="Y62" s="32">
        <f>Inventory[[#This Row],[MainFn]]+Inventory[[#This Row],[UpprFn]]+Inventory[[#This Row],[AddFn]]+Inventory[[#This Row],[FnBsmt]]</f>
        <v>3002</v>
      </c>
      <c r="Z62" s="32">
        <v>3500</v>
      </c>
      <c r="AA62" s="31" t="s">
        <v>57</v>
      </c>
      <c r="AB62" s="32"/>
      <c r="AC62" s="32"/>
      <c r="AD62" s="38">
        <v>460</v>
      </c>
      <c r="AE62" s="32"/>
      <c r="AF62" s="32"/>
      <c r="AG62" s="32"/>
      <c r="AH62" s="32"/>
      <c r="AI62" s="30">
        <v>561151</v>
      </c>
      <c r="AJ62" s="30">
        <v>544316</v>
      </c>
      <c r="AK62" s="30">
        <v>0</v>
      </c>
      <c r="AL62" s="30">
        <v>0</v>
      </c>
      <c r="AM62" s="30">
        <v>60800</v>
      </c>
      <c r="AN62" s="30">
        <v>411800</v>
      </c>
      <c r="AO62" s="30">
        <v>472600</v>
      </c>
      <c r="AP62" s="30">
        <f>Lookups!$B$58*0.6</f>
        <v>132535.48800000001</v>
      </c>
      <c r="AQ62" s="30">
        <f>Lookups!$B$58*0.4</f>
        <v>88356.992000000013</v>
      </c>
      <c r="AR62" s="30">
        <f>Lookups!$B$59*Inventory[[#This Row],[LnAcres]]</f>
        <v>-23969.615653948869</v>
      </c>
      <c r="AS62" s="30">
        <f>VLOOKUP(Inventory[[#This Row],[Qlty]],Lookups!$A$66:$E$79,2,FALSE)</f>
        <v>32917.849192000001</v>
      </c>
      <c r="AT62" s="30">
        <f>VLOOKUP(Inventory[[#This Row],[Cnd]],Lookups!$A$80:$E$88,2,FALSE)</f>
        <v>47371.278778200001</v>
      </c>
      <c r="AU62" s="30">
        <f>Inventory[[#This Row],[EffAge]]*Lookups!$B$65</f>
        <v>-326.22329999999999</v>
      </c>
      <c r="AV62" s="30">
        <f>Inventory[[#This Row],[MainFn]]*Lookups!$B$90</f>
        <v>82132.06008000001</v>
      </c>
      <c r="AW62" s="30">
        <f>Inventory[[#This Row],[UpprFn]]*Lookups!$B$91</f>
        <v>100452.525738</v>
      </c>
      <c r="AX62" s="30">
        <f>Inventory[[#This Row],[Bsmt Area]]*Lookups!$B$95</f>
        <v>0</v>
      </c>
      <c r="AY62" s="30">
        <f>Inventory[[#This Row],[AttGar]]*Lookups!$B$93</f>
        <v>0</v>
      </c>
      <c r="AZ62" s="30">
        <f>ROUND(Inventory[[#This Row],[25Det]],-2)</f>
        <v>0</v>
      </c>
      <c r="BA62" s="30">
        <f>ROUND(SUM(Inventory[[#This Row],[Mdl Qlty]:[Mdl Garage Area]])+Inventory[[#This Row],[Mdl Res Intercept]],-2)</f>
        <v>395100</v>
      </c>
      <c r="BB62" s="30">
        <f>ROUND(Inventory[[#This Row],[Mdl Land Intercept]]+Inventory[[#This Row],[Mdl LnAcres]],-2)</f>
        <v>64400</v>
      </c>
      <c r="BC62" s="30">
        <f>Inventory[[#This Row],[Unadj Res Value]]+Inventory[[#This Row],[Unadj Det Value]]+Inventory[[#This Row],[Unadj Land Value]]</f>
        <v>459500</v>
      </c>
      <c r="BD62" s="30">
        <f>(Inventory[[#This Row],[Unadj Total Value]]-Inventory[[#This Row],[24Final]])/Inventory[[#This Row],[24Final]]</f>
        <v>-2.7719001269572576E-2</v>
      </c>
      <c r="BE62" s="30">
        <f>VLOOKUP(Inventory[[#This Row],[Nbhd]],Lookups!$M$3:$P$5,4,FALSE)</f>
        <v>0.99970000000000003</v>
      </c>
      <c r="BF62" s="30">
        <f>VLOOKUP(Inventory[[#This Row],[Qlty]],Lookups!$M$8:$P$22,4,FALSE)</f>
        <v>1.0019</v>
      </c>
      <c r="BG62" s="30">
        <f>VLOOKUP(Inventory[[#This Row],[Cnd]],Lookups!$R$8:$U$17,4,FALSE)</f>
        <v>1.0012000000000001</v>
      </c>
      <c r="BH62" s="30">
        <f>VLOOKUP(Inventory[[#This Row],[LivArea Range]],Lookups!$R$25:$U$43,4,FALSE)</f>
        <v>0.98509999999999998</v>
      </c>
      <c r="BI62" s="30">
        <f>VLOOKUP(Inventory[[#This Row],[Decade]],Lookups!$M$24:$P$40,4,FALSE)</f>
        <v>1</v>
      </c>
      <c r="BJ62" s="30">
        <f>Inventory[[#This Row],[Nbhd Adj]]*0.95</f>
        <v>0.94971499999999998</v>
      </c>
      <c r="BK62" s="30">
        <f>AVERAGE(Inventory[[#This Row],[Nbhd Adj]],Inventory[[#This Row],[Quality Adj]],Inventory[[#This Row],[Condition Adj]],Inventory[[#This Row],[Living Area Adj]],Inventory[[#This Row],[Decade Adj]])*0.95</f>
        <v>0.9477009999999999</v>
      </c>
      <c r="BL62" s="30">
        <f>ROUND((SUM(Inventory[[#This Row],[Mdl Qlty]:[Mdl Garage Area]])+Inventory[[#This Row],[Mdl Res Intercept]])*Inventory[[#This Row],[Res Adj ]],-2)</f>
        <v>374400</v>
      </c>
      <c r="BM62" s="30">
        <f>ROUND(Inventory[[#This Row],[25Det]]*Inventory[[#This Row],[Det/Nbhd Adj]],-2)</f>
        <v>0</v>
      </c>
      <c r="BN62" s="30">
        <f>Inventory[[#This Row],[Adjusted Res]]+Inventory[[#This Row],[Adj Det ]]</f>
        <v>374400</v>
      </c>
      <c r="BO62" s="30">
        <f>ROUND((Inventory[[#This Row],[Mdl Land Intercept]]+Inventory[[#This Row],[Mdl LnAcres]])*Inventory[[#This Row],[Det/Nbhd Adj]],-2)</f>
        <v>61100</v>
      </c>
      <c r="BP62" s="30">
        <f>Inventory[[#This Row],[Adjusted Impr Total]]+Inventory[[#This Row],[Adjusted Land Total]]</f>
        <v>435500</v>
      </c>
      <c r="BQ62" s="30">
        <f>IFERROR((Inventory[[#This Row],[Adjusted Impr Total]]-Inventory[[#This Row],[24Bldg]])/Inventory[[#This Row],[24Bldg]],0)</f>
        <v>-9.0820786789703734E-2</v>
      </c>
      <c r="BR62" s="43">
        <f>(Inventory[[#This Row],[Adjusted Land Total]]-Inventory[[#This Row],[24Lnd]])/Inventory[[#This Row],[24Lnd]]</f>
        <v>4.9342105263157892E-3</v>
      </c>
      <c r="BS62" s="43">
        <f>(Inventory[[#This Row],[Adjusted Total]]-Inventory[[#This Row],[24Final]])/Inventory[[#This Row],[24Final]]</f>
        <v>-7.8501904358865851E-2</v>
      </c>
    </row>
    <row r="63" spans="1:71">
      <c r="A63" s="30">
        <v>2025</v>
      </c>
      <c r="B63" s="31" t="s">
        <v>572</v>
      </c>
      <c r="C63" s="31">
        <f>LN(Inventory[[#This Row],[Acres]])</f>
        <v>-1.8263509139976741</v>
      </c>
      <c r="D63" s="37">
        <f>ROUND(Inventory[[#This Row],[Sqft]]/43560,3)</f>
        <v>0.161</v>
      </c>
      <c r="E63" s="30">
        <v>7001</v>
      </c>
      <c r="F63" s="31" t="s">
        <v>505</v>
      </c>
      <c r="G63" s="31" t="s">
        <v>155</v>
      </c>
      <c r="H63" s="31" t="s">
        <v>5</v>
      </c>
      <c r="I63" s="31" t="s">
        <v>506</v>
      </c>
      <c r="J63" s="31" t="s">
        <v>507</v>
      </c>
      <c r="K63" s="31" t="s">
        <v>157</v>
      </c>
      <c r="L63" s="31" t="s">
        <v>21</v>
      </c>
      <c r="M63" s="31" t="s">
        <v>24</v>
      </c>
      <c r="N63" s="31">
        <v>0</v>
      </c>
      <c r="O63" s="31">
        <f>2024-Inventory[[#This Row],[YrBlt]]</f>
        <v>3</v>
      </c>
      <c r="P63" s="31">
        <f>2024-Inventory[[#This Row],[EffYr]]</f>
        <v>3</v>
      </c>
      <c r="Q63" s="30">
        <v>2021</v>
      </c>
      <c r="R63" s="30">
        <v>2021</v>
      </c>
      <c r="S63" s="30">
        <v>930</v>
      </c>
      <c r="T63" s="38">
        <v>1296</v>
      </c>
      <c r="U63" s="32"/>
      <c r="V63" s="32"/>
      <c r="W63" s="32"/>
      <c r="X63" s="32">
        <f>Inventory[[#This Row],[Bsmt Area]]-Inventory[[#This Row],[FnBsmt]]</f>
        <v>0</v>
      </c>
      <c r="Y63" s="32">
        <f>Inventory[[#This Row],[MainFn]]+Inventory[[#This Row],[UpprFn]]+Inventory[[#This Row],[AddFn]]+Inventory[[#This Row],[FnBsmt]]</f>
        <v>2226</v>
      </c>
      <c r="Z63" s="32">
        <v>2500</v>
      </c>
      <c r="AA63" s="31" t="s">
        <v>57</v>
      </c>
      <c r="AB63" s="38">
        <v>1</v>
      </c>
      <c r="AC63" s="32"/>
      <c r="AD63" s="38">
        <v>480</v>
      </c>
      <c r="AE63" s="32"/>
      <c r="AF63" s="32"/>
      <c r="AG63" s="32"/>
      <c r="AH63" s="32"/>
      <c r="AI63" s="30">
        <v>445110</v>
      </c>
      <c r="AJ63" s="30">
        <v>431757</v>
      </c>
      <c r="AK63" s="30">
        <v>0</v>
      </c>
      <c r="AL63" s="30">
        <v>0</v>
      </c>
      <c r="AM63" s="30">
        <v>60800</v>
      </c>
      <c r="AN63" s="30">
        <v>358300</v>
      </c>
      <c r="AO63" s="30">
        <v>419100</v>
      </c>
      <c r="AP63" s="30">
        <f>Lookups!$B$58*0.6</f>
        <v>132535.48800000001</v>
      </c>
      <c r="AQ63" s="30">
        <f>Lookups!$B$58*0.4</f>
        <v>88356.992000000013</v>
      </c>
      <c r="AR63" s="30">
        <f>Lookups!$B$59*Inventory[[#This Row],[LnAcres]]</f>
        <v>-23969.615653948869</v>
      </c>
      <c r="AS63" s="30">
        <f>VLOOKUP(Inventory[[#This Row],[Qlty]],Lookups!$A$66:$E$79,2,FALSE)</f>
        <v>32917.849192000001</v>
      </c>
      <c r="AT63" s="30">
        <f>VLOOKUP(Inventory[[#This Row],[Cnd]],Lookups!$A$80:$E$88,2,FALSE)</f>
        <v>47371.278778200001</v>
      </c>
      <c r="AU63" s="30">
        <f>Inventory[[#This Row],[EffAge]]*Lookups!$B$65</f>
        <v>-326.22329999999999</v>
      </c>
      <c r="AV63" s="30">
        <f>Inventory[[#This Row],[MainFn]]*Lookups!$B$90</f>
        <v>58041.653400000003</v>
      </c>
      <c r="AW63" s="30">
        <f>Inventory[[#This Row],[UpprFn]]*Lookups!$B$91</f>
        <v>77216.176368</v>
      </c>
      <c r="AX63" s="30">
        <f>Inventory[[#This Row],[Bsmt Area]]*Lookups!$B$95</f>
        <v>0</v>
      </c>
      <c r="AY63" s="30">
        <f>Inventory[[#This Row],[AttGar]]*Lookups!$B$93</f>
        <v>0</v>
      </c>
      <c r="AZ63" s="30">
        <f>ROUND(Inventory[[#This Row],[25Det]],-2)</f>
        <v>0</v>
      </c>
      <c r="BA63" s="30">
        <f>ROUND(SUM(Inventory[[#This Row],[Mdl Qlty]:[Mdl Garage Area]])+Inventory[[#This Row],[Mdl Res Intercept]],-2)</f>
        <v>347800</v>
      </c>
      <c r="BB63" s="30">
        <f>ROUND(Inventory[[#This Row],[Mdl Land Intercept]]+Inventory[[#This Row],[Mdl LnAcres]],-2)</f>
        <v>64400</v>
      </c>
      <c r="BC63" s="30">
        <f>Inventory[[#This Row],[Unadj Res Value]]+Inventory[[#This Row],[Unadj Det Value]]+Inventory[[#This Row],[Unadj Land Value]]</f>
        <v>412200</v>
      </c>
      <c r="BD63" s="30">
        <f>(Inventory[[#This Row],[Unadj Total Value]]-Inventory[[#This Row],[24Final]])/Inventory[[#This Row],[24Final]]</f>
        <v>-1.6463851109520401E-2</v>
      </c>
      <c r="BE63" s="30">
        <f>VLOOKUP(Inventory[[#This Row],[Nbhd]],Lookups!$M$3:$P$5,4,FALSE)</f>
        <v>0.99970000000000003</v>
      </c>
      <c r="BF63" s="30">
        <f>VLOOKUP(Inventory[[#This Row],[Qlty]],Lookups!$M$8:$P$22,4,FALSE)</f>
        <v>1.0019</v>
      </c>
      <c r="BG63" s="30">
        <f>VLOOKUP(Inventory[[#This Row],[Cnd]],Lookups!$R$8:$U$17,4,FALSE)</f>
        <v>1.0012000000000001</v>
      </c>
      <c r="BH63" s="30">
        <f>VLOOKUP(Inventory[[#This Row],[LivArea Range]],Lookups!$R$25:$U$43,4,FALSE)</f>
        <v>1.0008999999999999</v>
      </c>
      <c r="BI63" s="30">
        <f>VLOOKUP(Inventory[[#This Row],[Decade]],Lookups!$M$24:$P$40,4,FALSE)</f>
        <v>1</v>
      </c>
      <c r="BJ63" s="30">
        <f>Inventory[[#This Row],[Nbhd Adj]]*0.95</f>
        <v>0.94971499999999998</v>
      </c>
      <c r="BK63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63" s="30">
        <f>ROUND((SUM(Inventory[[#This Row],[Mdl Qlty]:[Mdl Garage Area]])+Inventory[[#This Row],[Mdl Res Intercept]])*Inventory[[#This Row],[Res Adj ]],-2)</f>
        <v>330600</v>
      </c>
      <c r="BM63" s="30">
        <f>ROUND(Inventory[[#This Row],[25Det]]*Inventory[[#This Row],[Det/Nbhd Adj]],-2)</f>
        <v>0</v>
      </c>
      <c r="BN63" s="30">
        <f>Inventory[[#This Row],[Adjusted Res]]+Inventory[[#This Row],[Adj Det ]]</f>
        <v>330600</v>
      </c>
      <c r="BO63" s="30">
        <f>ROUND((Inventory[[#This Row],[Mdl Land Intercept]]+Inventory[[#This Row],[Mdl LnAcres]])*Inventory[[#This Row],[Det/Nbhd Adj]],-2)</f>
        <v>61100</v>
      </c>
      <c r="BP63" s="30">
        <f>Inventory[[#This Row],[Adjusted Impr Total]]+Inventory[[#This Row],[Adjusted Land Total]]</f>
        <v>391700</v>
      </c>
      <c r="BQ63" s="30">
        <f>IFERROR((Inventory[[#This Row],[Adjusted Impr Total]]-Inventory[[#This Row],[24Bldg]])/Inventory[[#This Row],[24Bldg]],0)</f>
        <v>-7.7309517164387387E-2</v>
      </c>
      <c r="BR63" s="43">
        <f>(Inventory[[#This Row],[Adjusted Land Total]]-Inventory[[#This Row],[24Lnd]])/Inventory[[#This Row],[24Lnd]]</f>
        <v>4.9342105263157892E-3</v>
      </c>
      <c r="BS63" s="43">
        <f>(Inventory[[#This Row],[Adjusted Total]]-Inventory[[#This Row],[24Final]])/Inventory[[#This Row],[24Final]]</f>
        <v>-6.5378191362443328E-2</v>
      </c>
    </row>
    <row r="64" spans="1:71">
      <c r="A64" s="30">
        <v>2025</v>
      </c>
      <c r="B64" s="31" t="s">
        <v>573</v>
      </c>
      <c r="C64" s="31">
        <f>LN(Inventory[[#This Row],[Acres]])</f>
        <v>-1.8263509139976741</v>
      </c>
      <c r="D64" s="37">
        <f>ROUND(Inventory[[#This Row],[Sqft]]/43560,3)</f>
        <v>0.161</v>
      </c>
      <c r="E64" s="38">
        <v>7002</v>
      </c>
      <c r="F64" s="31" t="s">
        <v>505</v>
      </c>
      <c r="G64" s="31" t="s">
        <v>155</v>
      </c>
      <c r="H64" s="31" t="s">
        <v>5</v>
      </c>
      <c r="I64" s="31" t="s">
        <v>506</v>
      </c>
      <c r="J64" s="31" t="s">
        <v>507</v>
      </c>
      <c r="K64" s="31" t="s">
        <v>157</v>
      </c>
      <c r="L64" s="31" t="s">
        <v>21</v>
      </c>
      <c r="M64" s="31" t="s">
        <v>24</v>
      </c>
      <c r="N64" s="31">
        <v>0</v>
      </c>
      <c r="O64" s="31">
        <f>2024-Inventory[[#This Row],[YrBlt]]</f>
        <v>3</v>
      </c>
      <c r="P64" s="31">
        <f>2024-Inventory[[#This Row],[EffYr]]</f>
        <v>3</v>
      </c>
      <c r="Q64" s="30">
        <v>2021</v>
      </c>
      <c r="R64" s="30">
        <v>2021</v>
      </c>
      <c r="S64" s="30">
        <v>930</v>
      </c>
      <c r="T64" s="38">
        <v>1296</v>
      </c>
      <c r="U64" s="37"/>
      <c r="V64" s="32"/>
      <c r="W64" s="37"/>
      <c r="X64" s="37">
        <f>Inventory[[#This Row],[Bsmt Area]]-Inventory[[#This Row],[FnBsmt]]</f>
        <v>0</v>
      </c>
      <c r="Y64" s="37">
        <f>Inventory[[#This Row],[MainFn]]+Inventory[[#This Row],[UpprFn]]+Inventory[[#This Row],[AddFn]]+Inventory[[#This Row],[FnBsmt]]</f>
        <v>2226</v>
      </c>
      <c r="Z64" s="32">
        <v>2500</v>
      </c>
      <c r="AA64" s="31" t="s">
        <v>57</v>
      </c>
      <c r="AB64" s="38">
        <v>1</v>
      </c>
      <c r="AC64" s="32"/>
      <c r="AD64" s="38">
        <v>480</v>
      </c>
      <c r="AE64" s="32"/>
      <c r="AF64" s="32"/>
      <c r="AG64" s="32"/>
      <c r="AH64" s="32"/>
      <c r="AI64" s="30">
        <v>445110</v>
      </c>
      <c r="AJ64" s="30">
        <v>431757</v>
      </c>
      <c r="AK64" s="30">
        <v>0</v>
      </c>
      <c r="AL64" s="30">
        <v>0</v>
      </c>
      <c r="AM64" s="30">
        <v>60800</v>
      </c>
      <c r="AN64" s="30">
        <v>358300</v>
      </c>
      <c r="AO64" s="30">
        <v>419100</v>
      </c>
      <c r="AP64" s="30">
        <f>Lookups!$B$58*0.6</f>
        <v>132535.48800000001</v>
      </c>
      <c r="AQ64" s="30">
        <f>Lookups!$B$58*0.4</f>
        <v>88356.992000000013</v>
      </c>
      <c r="AR64" s="30">
        <f>Lookups!$B$59*Inventory[[#This Row],[LnAcres]]</f>
        <v>-23969.615653948869</v>
      </c>
      <c r="AS64" s="30">
        <f>VLOOKUP(Inventory[[#This Row],[Qlty]],Lookups!$A$66:$E$79,2,FALSE)</f>
        <v>32917.849192000001</v>
      </c>
      <c r="AT64" s="30">
        <f>VLOOKUP(Inventory[[#This Row],[Cnd]],Lookups!$A$80:$E$88,2,FALSE)</f>
        <v>47371.278778200001</v>
      </c>
      <c r="AU64" s="30">
        <f>Inventory[[#This Row],[EffAge]]*Lookups!$B$65</f>
        <v>-326.22329999999999</v>
      </c>
      <c r="AV64" s="30">
        <f>Inventory[[#This Row],[MainFn]]*Lookups!$B$90</f>
        <v>58041.653400000003</v>
      </c>
      <c r="AW64" s="30">
        <f>Inventory[[#This Row],[UpprFn]]*Lookups!$B$91</f>
        <v>77216.176368</v>
      </c>
      <c r="AX64" s="30">
        <f>Inventory[[#This Row],[Bsmt Area]]*Lookups!$B$95</f>
        <v>0</v>
      </c>
      <c r="AY64" s="30">
        <f>Inventory[[#This Row],[AttGar]]*Lookups!$B$93</f>
        <v>0</v>
      </c>
      <c r="AZ64" s="30">
        <f>ROUND(Inventory[[#This Row],[25Det]],-2)</f>
        <v>0</v>
      </c>
      <c r="BA64" s="30">
        <f>ROUND(SUM(Inventory[[#This Row],[Mdl Qlty]:[Mdl Garage Area]])+Inventory[[#This Row],[Mdl Res Intercept]],-2)</f>
        <v>347800</v>
      </c>
      <c r="BB64" s="30">
        <f>ROUND(Inventory[[#This Row],[Mdl Land Intercept]]+Inventory[[#This Row],[Mdl LnAcres]],-2)</f>
        <v>64400</v>
      </c>
      <c r="BC64" s="30">
        <f>Inventory[[#This Row],[Unadj Res Value]]+Inventory[[#This Row],[Unadj Det Value]]+Inventory[[#This Row],[Unadj Land Value]]</f>
        <v>412200</v>
      </c>
      <c r="BD64" s="30">
        <f>(Inventory[[#This Row],[Unadj Total Value]]-Inventory[[#This Row],[24Final]])/Inventory[[#This Row],[24Final]]</f>
        <v>-1.6463851109520401E-2</v>
      </c>
      <c r="BE64" s="30">
        <f>VLOOKUP(Inventory[[#This Row],[Nbhd]],Lookups!$M$3:$P$5,4,FALSE)</f>
        <v>0.99970000000000003</v>
      </c>
      <c r="BF64" s="30">
        <f>VLOOKUP(Inventory[[#This Row],[Qlty]],Lookups!$M$8:$P$22,4,FALSE)</f>
        <v>1.0019</v>
      </c>
      <c r="BG64" s="30">
        <f>VLOOKUP(Inventory[[#This Row],[Cnd]],Lookups!$R$8:$U$17,4,FALSE)</f>
        <v>1.0012000000000001</v>
      </c>
      <c r="BH64" s="30">
        <f>VLOOKUP(Inventory[[#This Row],[LivArea Range]],Lookups!$R$25:$U$43,4,FALSE)</f>
        <v>1.0008999999999999</v>
      </c>
      <c r="BI64" s="30">
        <f>VLOOKUP(Inventory[[#This Row],[Decade]],Lookups!$M$24:$P$40,4,FALSE)</f>
        <v>1</v>
      </c>
      <c r="BJ64" s="30">
        <f>Inventory[[#This Row],[Nbhd Adj]]*0.95</f>
        <v>0.94971499999999998</v>
      </c>
      <c r="BK64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64" s="30">
        <f>ROUND((SUM(Inventory[[#This Row],[Mdl Qlty]:[Mdl Garage Area]])+Inventory[[#This Row],[Mdl Res Intercept]])*Inventory[[#This Row],[Res Adj ]],-2)</f>
        <v>330600</v>
      </c>
      <c r="BM64" s="30">
        <f>ROUND(Inventory[[#This Row],[25Det]]*Inventory[[#This Row],[Det/Nbhd Adj]],-2)</f>
        <v>0</v>
      </c>
      <c r="BN64" s="30">
        <f>Inventory[[#This Row],[Adjusted Res]]+Inventory[[#This Row],[Adj Det ]]</f>
        <v>330600</v>
      </c>
      <c r="BO64" s="30">
        <f>ROUND((Inventory[[#This Row],[Mdl Land Intercept]]+Inventory[[#This Row],[Mdl LnAcres]])*Inventory[[#This Row],[Det/Nbhd Adj]],-2)</f>
        <v>61100</v>
      </c>
      <c r="BP64" s="30">
        <f>Inventory[[#This Row],[Adjusted Impr Total]]+Inventory[[#This Row],[Adjusted Land Total]]</f>
        <v>391700</v>
      </c>
      <c r="BQ64" s="30">
        <f>IFERROR((Inventory[[#This Row],[Adjusted Impr Total]]-Inventory[[#This Row],[24Bldg]])/Inventory[[#This Row],[24Bldg]],0)</f>
        <v>-7.7309517164387387E-2</v>
      </c>
      <c r="BR64" s="43">
        <f>(Inventory[[#This Row],[Adjusted Land Total]]-Inventory[[#This Row],[24Lnd]])/Inventory[[#This Row],[24Lnd]]</f>
        <v>4.9342105263157892E-3</v>
      </c>
      <c r="BS64" s="43">
        <f>(Inventory[[#This Row],[Adjusted Total]]-Inventory[[#This Row],[24Final]])/Inventory[[#This Row],[24Final]]</f>
        <v>-6.5378191362443328E-2</v>
      </c>
    </row>
    <row r="65" spans="1:71">
      <c r="A65" s="30">
        <v>2025</v>
      </c>
      <c r="B65" s="31" t="s">
        <v>574</v>
      </c>
      <c r="C65" s="31">
        <f>LN(Inventory[[#This Row],[Acres]])</f>
        <v>-1.8263509139976741</v>
      </c>
      <c r="D65" s="37">
        <f>ROUND(Inventory[[#This Row],[Sqft]]/43560,3)</f>
        <v>0.161</v>
      </c>
      <c r="E65" s="38">
        <v>7001</v>
      </c>
      <c r="F65" s="31" t="s">
        <v>505</v>
      </c>
      <c r="G65" s="31" t="s">
        <v>155</v>
      </c>
      <c r="H65" s="31" t="s">
        <v>5</v>
      </c>
      <c r="I65" s="31" t="s">
        <v>506</v>
      </c>
      <c r="J65" s="31" t="s">
        <v>507</v>
      </c>
      <c r="K65" s="31" t="s">
        <v>157</v>
      </c>
      <c r="L65" s="31" t="s">
        <v>21</v>
      </c>
      <c r="M65" s="31" t="s">
        <v>24</v>
      </c>
      <c r="N65" s="31">
        <v>0</v>
      </c>
      <c r="O65" s="31">
        <f>2024-Inventory[[#This Row],[YrBlt]]</f>
        <v>3</v>
      </c>
      <c r="P65" s="31">
        <f>2024-Inventory[[#This Row],[EffYr]]</f>
        <v>3</v>
      </c>
      <c r="Q65" s="30">
        <v>2021</v>
      </c>
      <c r="R65" s="30">
        <v>2021</v>
      </c>
      <c r="S65" s="30">
        <v>1830</v>
      </c>
      <c r="T65" s="37"/>
      <c r="U65" s="37"/>
      <c r="V65" s="32"/>
      <c r="W65" s="32"/>
      <c r="X65" s="32">
        <f>Inventory[[#This Row],[Bsmt Area]]-Inventory[[#This Row],[FnBsmt]]</f>
        <v>0</v>
      </c>
      <c r="Y65" s="32">
        <f>Inventory[[#This Row],[MainFn]]+Inventory[[#This Row],[UpprFn]]+Inventory[[#This Row],[AddFn]]+Inventory[[#This Row],[FnBsmt]]</f>
        <v>1830</v>
      </c>
      <c r="Z65" s="32">
        <v>2000</v>
      </c>
      <c r="AA65" s="31" t="s">
        <v>57</v>
      </c>
      <c r="AB65" s="32"/>
      <c r="AC65" s="38">
        <v>500</v>
      </c>
      <c r="AD65" s="32"/>
      <c r="AE65" s="32"/>
      <c r="AF65" s="32"/>
      <c r="AG65" s="32"/>
      <c r="AH65" s="32"/>
      <c r="AI65" s="30">
        <v>398433</v>
      </c>
      <c r="AJ65" s="30">
        <v>386480</v>
      </c>
      <c r="AK65" s="30">
        <v>0</v>
      </c>
      <c r="AL65" s="30">
        <v>0</v>
      </c>
      <c r="AM65" s="30">
        <v>60800</v>
      </c>
      <c r="AN65" s="30">
        <v>345100</v>
      </c>
      <c r="AO65" s="30">
        <v>405900</v>
      </c>
      <c r="AP65" s="30">
        <f>Lookups!$B$58*0.6</f>
        <v>132535.48800000001</v>
      </c>
      <c r="AQ65" s="30">
        <f>Lookups!$B$58*0.4</f>
        <v>88356.992000000013</v>
      </c>
      <c r="AR65" s="30">
        <f>Lookups!$B$59*Inventory[[#This Row],[LnAcres]]</f>
        <v>-23969.615653948869</v>
      </c>
      <c r="AS65" s="30">
        <f>VLOOKUP(Inventory[[#This Row],[Qlty]],Lookups!$A$66:$E$79,2,FALSE)</f>
        <v>32917.849192000001</v>
      </c>
      <c r="AT65" s="30">
        <f>VLOOKUP(Inventory[[#This Row],[Cnd]],Lookups!$A$80:$E$88,2,FALSE)</f>
        <v>47371.278778200001</v>
      </c>
      <c r="AU65" s="30">
        <f>Inventory[[#This Row],[EffAge]]*Lookups!$B$65</f>
        <v>-326.22329999999999</v>
      </c>
      <c r="AV65" s="30">
        <f>Inventory[[#This Row],[MainFn]]*Lookups!$B$90</f>
        <v>114210.9954</v>
      </c>
      <c r="AW65" s="30">
        <f>Inventory[[#This Row],[UpprFn]]*Lookups!$B$91</f>
        <v>0</v>
      </c>
      <c r="AX65" s="30">
        <f>Inventory[[#This Row],[Bsmt Area]]*Lookups!$B$95</f>
        <v>0</v>
      </c>
      <c r="AY65" s="30">
        <f>Inventory[[#This Row],[AttGar]]*Lookups!$B$93</f>
        <v>17650.515500000001</v>
      </c>
      <c r="AZ65" s="30">
        <f>ROUND(Inventory[[#This Row],[25Det]],-2)</f>
        <v>0</v>
      </c>
      <c r="BA65" s="30">
        <f>ROUND(SUM(Inventory[[#This Row],[Mdl Qlty]:[Mdl Garage Area]])+Inventory[[#This Row],[Mdl Res Intercept]],-2)</f>
        <v>344400</v>
      </c>
      <c r="BB65" s="30">
        <f>ROUND(Inventory[[#This Row],[Mdl Land Intercept]]+Inventory[[#This Row],[Mdl LnAcres]],-2)</f>
        <v>64400</v>
      </c>
      <c r="BC65" s="30">
        <f>Inventory[[#This Row],[Unadj Res Value]]+Inventory[[#This Row],[Unadj Det Value]]+Inventory[[#This Row],[Unadj Land Value]]</f>
        <v>408800</v>
      </c>
      <c r="BD65" s="30">
        <f>(Inventory[[#This Row],[Unadj Total Value]]-Inventory[[#This Row],[24Final]])/Inventory[[#This Row],[24Final]]</f>
        <v>7.1446169007144617E-3</v>
      </c>
      <c r="BE65" s="30">
        <f>VLOOKUP(Inventory[[#This Row],[Nbhd]],Lookups!$M$3:$P$5,4,FALSE)</f>
        <v>0.99970000000000003</v>
      </c>
      <c r="BF65" s="30">
        <f>VLOOKUP(Inventory[[#This Row],[Qlty]],Lookups!$M$8:$P$22,4,FALSE)</f>
        <v>1.0019</v>
      </c>
      <c r="BG65" s="30">
        <f>VLOOKUP(Inventory[[#This Row],[Cnd]],Lookups!$R$8:$U$17,4,FALSE)</f>
        <v>1.0012000000000001</v>
      </c>
      <c r="BH65" s="30">
        <f>VLOOKUP(Inventory[[#This Row],[LivArea Range]],Lookups!$R$25:$U$43,4,FALSE)</f>
        <v>1.0007999999999999</v>
      </c>
      <c r="BI65" s="30">
        <f>VLOOKUP(Inventory[[#This Row],[Decade]],Lookups!$M$24:$P$40,4,FALSE)</f>
        <v>1</v>
      </c>
      <c r="BJ65" s="30">
        <f>Inventory[[#This Row],[Nbhd Adj]]*0.95</f>
        <v>0.94971499999999998</v>
      </c>
      <c r="BK65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65" s="30">
        <f>ROUND((SUM(Inventory[[#This Row],[Mdl Qlty]:[Mdl Garage Area]])+Inventory[[#This Row],[Mdl Res Intercept]])*Inventory[[#This Row],[Res Adj ]],-2)</f>
        <v>327400</v>
      </c>
      <c r="BM65" s="30">
        <f>ROUND(Inventory[[#This Row],[25Det]]*Inventory[[#This Row],[Det/Nbhd Adj]],-2)</f>
        <v>0</v>
      </c>
      <c r="BN65" s="30">
        <f>Inventory[[#This Row],[Adjusted Res]]+Inventory[[#This Row],[Adj Det ]]</f>
        <v>327400</v>
      </c>
      <c r="BO65" s="30">
        <f>ROUND((Inventory[[#This Row],[Mdl Land Intercept]]+Inventory[[#This Row],[Mdl LnAcres]])*Inventory[[#This Row],[Det/Nbhd Adj]],-2)</f>
        <v>61100</v>
      </c>
      <c r="BP65" s="30">
        <f>Inventory[[#This Row],[Adjusted Impr Total]]+Inventory[[#This Row],[Adjusted Land Total]]</f>
        <v>388500</v>
      </c>
      <c r="BQ65" s="30">
        <f>IFERROR((Inventory[[#This Row],[Adjusted Impr Total]]-Inventory[[#This Row],[24Bldg]])/Inventory[[#This Row],[24Bldg]],0)</f>
        <v>-5.1289481309765288E-2</v>
      </c>
      <c r="BR65" s="43">
        <f>(Inventory[[#This Row],[Adjusted Land Total]]-Inventory[[#This Row],[24Lnd]])/Inventory[[#This Row],[24Lnd]]</f>
        <v>4.9342105263157892E-3</v>
      </c>
      <c r="BS65" s="43">
        <f>(Inventory[[#This Row],[Adjusted Total]]-Inventory[[#This Row],[24Final]])/Inventory[[#This Row],[24Final]]</f>
        <v>-4.2867701404286772E-2</v>
      </c>
    </row>
    <row r="66" spans="1:71">
      <c r="A66" s="30">
        <v>2025</v>
      </c>
      <c r="B66" s="31" t="s">
        <v>575</v>
      </c>
      <c r="C66" s="31">
        <f>LN(Inventory[[#This Row],[Acres]])</f>
        <v>-1.8263509139976741</v>
      </c>
      <c r="D66" s="37">
        <f>ROUND(Inventory[[#This Row],[Sqft]]/43560,3)</f>
        <v>0.161</v>
      </c>
      <c r="E66" s="38">
        <v>7002</v>
      </c>
      <c r="F66" s="31" t="s">
        <v>505</v>
      </c>
      <c r="G66" s="31" t="s">
        <v>155</v>
      </c>
      <c r="H66" s="31" t="s">
        <v>5</v>
      </c>
      <c r="I66" s="31" t="s">
        <v>506</v>
      </c>
      <c r="J66" s="31" t="s">
        <v>507</v>
      </c>
      <c r="K66" s="31" t="s">
        <v>157</v>
      </c>
      <c r="L66" s="31" t="s">
        <v>19</v>
      </c>
      <c r="M66" s="31" t="s">
        <v>24</v>
      </c>
      <c r="N66" s="31">
        <v>0</v>
      </c>
      <c r="O66" s="31">
        <f>2024-Inventory[[#This Row],[YrBlt]]</f>
        <v>3</v>
      </c>
      <c r="P66" s="31">
        <f>2024-Inventory[[#This Row],[EffYr]]</f>
        <v>3</v>
      </c>
      <c r="Q66" s="30">
        <v>2021</v>
      </c>
      <c r="R66" s="30">
        <v>2021</v>
      </c>
      <c r="S66" s="30">
        <v>1592</v>
      </c>
      <c r="T66" s="37"/>
      <c r="U66" s="37"/>
      <c r="V66" s="32"/>
      <c r="W66" s="32"/>
      <c r="X66" s="32">
        <f>Inventory[[#This Row],[Bsmt Area]]-Inventory[[#This Row],[FnBsmt]]</f>
        <v>0</v>
      </c>
      <c r="Y66" s="32">
        <f>Inventory[[#This Row],[MainFn]]+Inventory[[#This Row],[UpprFn]]+Inventory[[#This Row],[AddFn]]+Inventory[[#This Row],[FnBsmt]]</f>
        <v>1592</v>
      </c>
      <c r="Z66" s="32">
        <v>2000</v>
      </c>
      <c r="AA66" s="31" t="s">
        <v>57</v>
      </c>
      <c r="AB66" s="38">
        <v>1</v>
      </c>
      <c r="AC66" s="38">
        <v>400</v>
      </c>
      <c r="AD66" s="32"/>
      <c r="AE66" s="32"/>
      <c r="AF66" s="32"/>
      <c r="AG66" s="32"/>
      <c r="AH66" s="32"/>
      <c r="AI66" s="30">
        <v>320710</v>
      </c>
      <c r="AJ66" s="30">
        <v>311089</v>
      </c>
      <c r="AK66" s="30">
        <v>0</v>
      </c>
      <c r="AL66" s="30">
        <v>0</v>
      </c>
      <c r="AM66" s="30">
        <v>60800</v>
      </c>
      <c r="AN66" s="30">
        <v>328100</v>
      </c>
      <c r="AO66" s="30">
        <v>388900</v>
      </c>
      <c r="AP66" s="30">
        <f>Lookups!$B$58*0.6</f>
        <v>132535.48800000001</v>
      </c>
      <c r="AQ66" s="30">
        <f>Lookups!$B$58*0.4</f>
        <v>88356.992000000013</v>
      </c>
      <c r="AR66" s="30">
        <f>Lookups!$B$59*Inventory[[#This Row],[LnAcres]]</f>
        <v>-23969.615653948869</v>
      </c>
      <c r="AS66" s="30">
        <f>VLOOKUP(Inventory[[#This Row],[Qlty]],Lookups!$A$66:$E$79,2,FALSE)</f>
        <v>37154.252388000001</v>
      </c>
      <c r="AT66" s="30">
        <f>VLOOKUP(Inventory[[#This Row],[Cnd]],Lookups!$A$80:$E$88,2,FALSE)</f>
        <v>47371.278778200001</v>
      </c>
      <c r="AU66" s="30">
        <f>Inventory[[#This Row],[EffAge]]*Lookups!$B$65</f>
        <v>-326.22329999999999</v>
      </c>
      <c r="AV66" s="30">
        <f>Inventory[[#This Row],[MainFn]]*Lookups!$B$90</f>
        <v>99357.324960000013</v>
      </c>
      <c r="AW66" s="30">
        <f>Inventory[[#This Row],[UpprFn]]*Lookups!$B$91</f>
        <v>0</v>
      </c>
      <c r="AX66" s="30">
        <f>Inventory[[#This Row],[Bsmt Area]]*Lookups!$B$95</f>
        <v>0</v>
      </c>
      <c r="AY66" s="30">
        <f>Inventory[[#This Row],[AttGar]]*Lookups!$B$93</f>
        <v>14120.412400000001</v>
      </c>
      <c r="AZ66" s="30">
        <f>ROUND(Inventory[[#This Row],[25Det]],-2)</f>
        <v>0</v>
      </c>
      <c r="BA66" s="30">
        <f>ROUND(SUM(Inventory[[#This Row],[Mdl Qlty]:[Mdl Garage Area]])+Inventory[[#This Row],[Mdl Res Intercept]],-2)</f>
        <v>330200</v>
      </c>
      <c r="BB66" s="30">
        <f>ROUND(Inventory[[#This Row],[Mdl Land Intercept]]+Inventory[[#This Row],[Mdl LnAcres]],-2)</f>
        <v>64400</v>
      </c>
      <c r="BC66" s="30">
        <f>Inventory[[#This Row],[Unadj Res Value]]+Inventory[[#This Row],[Unadj Det Value]]+Inventory[[#This Row],[Unadj Land Value]]</f>
        <v>394600</v>
      </c>
      <c r="BD66" s="30">
        <f>(Inventory[[#This Row],[Unadj Total Value]]-Inventory[[#This Row],[24Final]])/Inventory[[#This Row],[24Final]]</f>
        <v>1.4656724093597326E-2</v>
      </c>
      <c r="BE66" s="30">
        <f>VLOOKUP(Inventory[[#This Row],[Nbhd]],Lookups!$M$3:$P$5,4,FALSE)</f>
        <v>0.99970000000000003</v>
      </c>
      <c r="BF66" s="30">
        <f>VLOOKUP(Inventory[[#This Row],[Qlty]],Lookups!$M$8:$P$22,4,FALSE)</f>
        <v>0.99819999999999998</v>
      </c>
      <c r="BG66" s="30">
        <f>VLOOKUP(Inventory[[#This Row],[Cnd]],Lookups!$R$8:$U$17,4,FALSE)</f>
        <v>1.0012000000000001</v>
      </c>
      <c r="BH66" s="30">
        <f>VLOOKUP(Inventory[[#This Row],[LivArea Range]],Lookups!$R$25:$U$43,4,FALSE)</f>
        <v>1.0007999999999999</v>
      </c>
      <c r="BI66" s="30">
        <f>VLOOKUP(Inventory[[#This Row],[Decade]],Lookups!$M$24:$P$40,4,FALSE)</f>
        <v>1</v>
      </c>
      <c r="BJ66" s="30">
        <f>Inventory[[#This Row],[Nbhd Adj]]*0.95</f>
        <v>0.94971499999999998</v>
      </c>
      <c r="BK66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66" s="30">
        <f>ROUND((SUM(Inventory[[#This Row],[Mdl Qlty]:[Mdl Garage Area]])+Inventory[[#This Row],[Mdl Res Intercept]])*Inventory[[#This Row],[Res Adj ]],-2)</f>
        <v>313700</v>
      </c>
      <c r="BM66" s="30">
        <f>ROUND(Inventory[[#This Row],[25Det]]*Inventory[[#This Row],[Det/Nbhd Adj]],-2)</f>
        <v>0</v>
      </c>
      <c r="BN66" s="30">
        <f>Inventory[[#This Row],[Adjusted Res]]+Inventory[[#This Row],[Adj Det ]]</f>
        <v>313700</v>
      </c>
      <c r="BO66" s="30">
        <f>ROUND((Inventory[[#This Row],[Mdl Land Intercept]]+Inventory[[#This Row],[Mdl LnAcres]])*Inventory[[#This Row],[Det/Nbhd Adj]],-2)</f>
        <v>61100</v>
      </c>
      <c r="BP66" s="30">
        <f>Inventory[[#This Row],[Adjusted Impr Total]]+Inventory[[#This Row],[Adjusted Land Total]]</f>
        <v>374800</v>
      </c>
      <c r="BQ66" s="30">
        <f>IFERROR((Inventory[[#This Row],[Adjusted Impr Total]]-Inventory[[#This Row],[24Bldg]])/Inventory[[#This Row],[24Bldg]],0)</f>
        <v>-4.3889058213959158E-2</v>
      </c>
      <c r="BR66" s="43">
        <f>(Inventory[[#This Row],[Adjusted Land Total]]-Inventory[[#This Row],[24Lnd]])/Inventory[[#This Row],[24Lnd]]</f>
        <v>4.9342105263157892E-3</v>
      </c>
      <c r="BS66" s="43">
        <f>(Inventory[[#This Row],[Adjusted Total]]-Inventory[[#This Row],[24Final]])/Inventory[[#This Row],[24Final]]</f>
        <v>-3.625610696837233E-2</v>
      </c>
    </row>
    <row r="67" spans="1:71">
      <c r="A67" s="30">
        <v>2025</v>
      </c>
      <c r="B67" s="31" t="s">
        <v>576</v>
      </c>
      <c r="C67" s="31">
        <f>LN(Inventory[[#This Row],[Acres]])</f>
        <v>-1.8263509139976741</v>
      </c>
      <c r="D67" s="37">
        <f>ROUND(Inventory[[#This Row],[Sqft]]/43560,3)</f>
        <v>0.161</v>
      </c>
      <c r="E67" s="30">
        <v>7001</v>
      </c>
      <c r="F67" s="31" t="s">
        <v>505</v>
      </c>
      <c r="G67" s="31" t="s">
        <v>155</v>
      </c>
      <c r="H67" s="31" t="s">
        <v>5</v>
      </c>
      <c r="I67" s="31" t="s">
        <v>506</v>
      </c>
      <c r="J67" s="31" t="s">
        <v>507</v>
      </c>
      <c r="K67" s="31" t="s">
        <v>157</v>
      </c>
      <c r="L67" s="31" t="s">
        <v>19</v>
      </c>
      <c r="M67" s="31" t="s">
        <v>24</v>
      </c>
      <c r="N67" s="31">
        <v>0</v>
      </c>
      <c r="O67" s="31">
        <f>2024-Inventory[[#This Row],[YrBlt]]</f>
        <v>3</v>
      </c>
      <c r="P67" s="31">
        <f>2024-Inventory[[#This Row],[EffYr]]</f>
        <v>3</v>
      </c>
      <c r="Q67" s="30">
        <v>2021</v>
      </c>
      <c r="R67" s="30">
        <v>2021</v>
      </c>
      <c r="S67" s="30">
        <v>1240</v>
      </c>
      <c r="T67" s="37"/>
      <c r="U67" s="32"/>
      <c r="V67" s="32"/>
      <c r="W67" s="32"/>
      <c r="X67" s="32">
        <f>Inventory[[#This Row],[Bsmt Area]]-Inventory[[#This Row],[FnBsmt]]</f>
        <v>0</v>
      </c>
      <c r="Y67" s="32">
        <f>Inventory[[#This Row],[MainFn]]+Inventory[[#This Row],[UpprFn]]+Inventory[[#This Row],[AddFn]]+Inventory[[#This Row],[FnBsmt]]</f>
        <v>1240</v>
      </c>
      <c r="Z67" s="32">
        <v>1500</v>
      </c>
      <c r="AA67" s="31" t="s">
        <v>57</v>
      </c>
      <c r="AB67" s="32"/>
      <c r="AC67" s="38">
        <v>404</v>
      </c>
      <c r="AD67" s="32"/>
      <c r="AE67" s="32"/>
      <c r="AF67" s="32"/>
      <c r="AG67" s="32"/>
      <c r="AH67" s="32"/>
      <c r="AI67" s="30">
        <v>253357</v>
      </c>
      <c r="AJ67" s="30">
        <v>245756</v>
      </c>
      <c r="AK67" s="30">
        <v>0</v>
      </c>
      <c r="AL67" s="30">
        <v>0</v>
      </c>
      <c r="AM67" s="30">
        <v>60800</v>
      </c>
      <c r="AN67" s="30">
        <v>301200</v>
      </c>
      <c r="AO67" s="30">
        <v>362000</v>
      </c>
      <c r="AP67" s="30">
        <f>Lookups!$B$58*0.6</f>
        <v>132535.48800000001</v>
      </c>
      <c r="AQ67" s="30">
        <f>Lookups!$B$58*0.4</f>
        <v>88356.992000000013</v>
      </c>
      <c r="AR67" s="30">
        <f>Lookups!$B$59*Inventory[[#This Row],[LnAcres]]</f>
        <v>-23969.615653948869</v>
      </c>
      <c r="AS67" s="30">
        <f>VLOOKUP(Inventory[[#This Row],[Qlty]],Lookups!$A$66:$E$79,2,FALSE)</f>
        <v>37154.252388000001</v>
      </c>
      <c r="AT67" s="30">
        <f>VLOOKUP(Inventory[[#This Row],[Cnd]],Lookups!$A$80:$E$88,2,FALSE)</f>
        <v>47371.278778200001</v>
      </c>
      <c r="AU67" s="30">
        <f>Inventory[[#This Row],[EffAge]]*Lookups!$B$65</f>
        <v>-326.22329999999999</v>
      </c>
      <c r="AV67" s="30">
        <f>Inventory[[#This Row],[MainFn]]*Lookups!$B$90</f>
        <v>77388.871200000009</v>
      </c>
      <c r="AW67" s="30">
        <f>Inventory[[#This Row],[UpprFn]]*Lookups!$B$91</f>
        <v>0</v>
      </c>
      <c r="AX67" s="30">
        <f>Inventory[[#This Row],[Bsmt Area]]*Lookups!$B$95</f>
        <v>0</v>
      </c>
      <c r="AY67" s="30">
        <f>Inventory[[#This Row],[AttGar]]*Lookups!$B$93</f>
        <v>14261.616524000001</v>
      </c>
      <c r="AZ67" s="30">
        <f>ROUND(Inventory[[#This Row],[25Det]],-2)</f>
        <v>0</v>
      </c>
      <c r="BA67" s="30">
        <f>ROUND(SUM(Inventory[[#This Row],[Mdl Qlty]:[Mdl Garage Area]])+Inventory[[#This Row],[Mdl Res Intercept]],-2)</f>
        <v>308400</v>
      </c>
      <c r="BB67" s="30">
        <f>ROUND(Inventory[[#This Row],[Mdl Land Intercept]]+Inventory[[#This Row],[Mdl LnAcres]],-2)</f>
        <v>64400</v>
      </c>
      <c r="BC67" s="30">
        <f>Inventory[[#This Row],[Unadj Res Value]]+Inventory[[#This Row],[Unadj Det Value]]+Inventory[[#This Row],[Unadj Land Value]]</f>
        <v>372800</v>
      </c>
      <c r="BD67" s="30">
        <f>(Inventory[[#This Row],[Unadj Total Value]]-Inventory[[#This Row],[24Final]])/Inventory[[#This Row],[24Final]]</f>
        <v>2.9834254143646408E-2</v>
      </c>
      <c r="BE67" s="30">
        <f>VLOOKUP(Inventory[[#This Row],[Nbhd]],Lookups!$M$3:$P$5,4,FALSE)</f>
        <v>0.99970000000000003</v>
      </c>
      <c r="BF67" s="30">
        <f>VLOOKUP(Inventory[[#This Row],[Qlty]],Lookups!$M$8:$P$22,4,FALSE)</f>
        <v>0.99819999999999998</v>
      </c>
      <c r="BG67" s="30">
        <f>VLOOKUP(Inventory[[#This Row],[Cnd]],Lookups!$R$8:$U$17,4,FALSE)</f>
        <v>1.0012000000000001</v>
      </c>
      <c r="BH67" s="30">
        <f>VLOOKUP(Inventory[[#This Row],[LivArea Range]],Lookups!$R$25:$U$43,4,FALSE)</f>
        <v>0.99519999999999997</v>
      </c>
      <c r="BI67" s="30">
        <f>VLOOKUP(Inventory[[#This Row],[Decade]],Lookups!$M$24:$P$40,4,FALSE)</f>
        <v>1</v>
      </c>
      <c r="BJ67" s="30">
        <f>Inventory[[#This Row],[Nbhd Adj]]*0.95</f>
        <v>0.94971499999999998</v>
      </c>
      <c r="BK67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67" s="30">
        <f>ROUND((SUM(Inventory[[#This Row],[Mdl Qlty]:[Mdl Garage Area]])+Inventory[[#This Row],[Mdl Res Intercept]])*Inventory[[#This Row],[Res Adj ]],-2)</f>
        <v>292600</v>
      </c>
      <c r="BM67" s="30">
        <f>ROUND(Inventory[[#This Row],[25Det]]*Inventory[[#This Row],[Det/Nbhd Adj]],-2)</f>
        <v>0</v>
      </c>
      <c r="BN67" s="30">
        <f>Inventory[[#This Row],[Adjusted Res]]+Inventory[[#This Row],[Adj Det ]]</f>
        <v>292600</v>
      </c>
      <c r="BO67" s="30">
        <f>ROUND((Inventory[[#This Row],[Mdl Land Intercept]]+Inventory[[#This Row],[Mdl LnAcres]])*Inventory[[#This Row],[Det/Nbhd Adj]],-2)</f>
        <v>61100</v>
      </c>
      <c r="BP67" s="30">
        <f>Inventory[[#This Row],[Adjusted Impr Total]]+Inventory[[#This Row],[Adjusted Land Total]]</f>
        <v>353700</v>
      </c>
      <c r="BQ67" s="30">
        <f>IFERROR((Inventory[[#This Row],[Adjusted Impr Total]]-Inventory[[#This Row],[24Bldg]])/Inventory[[#This Row],[24Bldg]],0)</f>
        <v>-2.8552456839309428E-2</v>
      </c>
      <c r="BR67" s="43">
        <f>(Inventory[[#This Row],[Adjusted Land Total]]-Inventory[[#This Row],[24Lnd]])/Inventory[[#This Row],[24Lnd]]</f>
        <v>4.9342105263157892E-3</v>
      </c>
      <c r="BS67" s="43">
        <f>(Inventory[[#This Row],[Adjusted Total]]-Inventory[[#This Row],[24Final]])/Inventory[[#This Row],[24Final]]</f>
        <v>-2.292817679558011E-2</v>
      </c>
    </row>
    <row r="68" spans="1:71">
      <c r="A68" s="30">
        <v>2025</v>
      </c>
      <c r="B68" s="31" t="s">
        <v>577</v>
      </c>
      <c r="C68" s="31">
        <f>LN(Inventory[[#This Row],[Acres]])</f>
        <v>-1.8263509139976741</v>
      </c>
      <c r="D68" s="37">
        <f>ROUND(Inventory[[#This Row],[Sqft]]/43560,3)</f>
        <v>0.161</v>
      </c>
      <c r="E68" s="30">
        <v>7002</v>
      </c>
      <c r="F68" s="31" t="s">
        <v>505</v>
      </c>
      <c r="G68" s="31" t="s">
        <v>155</v>
      </c>
      <c r="H68" s="31" t="s">
        <v>5</v>
      </c>
      <c r="I68" s="31" t="s">
        <v>506</v>
      </c>
      <c r="J68" s="31" t="s">
        <v>507</v>
      </c>
      <c r="K68" s="31" t="s">
        <v>157</v>
      </c>
      <c r="L68" s="31" t="s">
        <v>19</v>
      </c>
      <c r="M68" s="31" t="s">
        <v>24</v>
      </c>
      <c r="N68" s="31">
        <v>0</v>
      </c>
      <c r="O68" s="31">
        <f>2024-Inventory[[#This Row],[YrBlt]]</f>
        <v>3</v>
      </c>
      <c r="P68" s="31">
        <f>2024-Inventory[[#This Row],[EffYr]]</f>
        <v>3</v>
      </c>
      <c r="Q68" s="30">
        <v>2021</v>
      </c>
      <c r="R68" s="30">
        <v>2021</v>
      </c>
      <c r="S68" s="30">
        <v>1464</v>
      </c>
      <c r="T68" s="32"/>
      <c r="U68" s="32"/>
      <c r="V68" s="32"/>
      <c r="W68" s="32"/>
      <c r="X68" s="32">
        <f>Inventory[[#This Row],[Bsmt Area]]-Inventory[[#This Row],[FnBsmt]]</f>
        <v>0</v>
      </c>
      <c r="Y68" s="32">
        <f>Inventory[[#This Row],[MainFn]]+Inventory[[#This Row],[UpprFn]]+Inventory[[#This Row],[AddFn]]+Inventory[[#This Row],[FnBsmt]]</f>
        <v>1464</v>
      </c>
      <c r="Z68" s="32">
        <v>1500</v>
      </c>
      <c r="AA68" s="31" t="s">
        <v>57</v>
      </c>
      <c r="AB68" s="38">
        <v>1</v>
      </c>
      <c r="AC68" s="38">
        <v>400</v>
      </c>
      <c r="AD68" s="32"/>
      <c r="AE68" s="32"/>
      <c r="AF68" s="32"/>
      <c r="AG68" s="32"/>
      <c r="AH68" s="32"/>
      <c r="AI68" s="30">
        <v>291156</v>
      </c>
      <c r="AJ68" s="30">
        <v>282421</v>
      </c>
      <c r="AK68" s="30">
        <v>0</v>
      </c>
      <c r="AL68" s="30">
        <v>0</v>
      </c>
      <c r="AM68" s="30">
        <v>60800</v>
      </c>
      <c r="AN68" s="30">
        <v>312200</v>
      </c>
      <c r="AO68" s="30">
        <v>373000</v>
      </c>
      <c r="AP68" s="30">
        <f>Lookups!$B$58*0.6</f>
        <v>132535.48800000001</v>
      </c>
      <c r="AQ68" s="30">
        <f>Lookups!$B$58*0.4</f>
        <v>88356.992000000013</v>
      </c>
      <c r="AR68" s="30">
        <f>Lookups!$B$59*Inventory[[#This Row],[LnAcres]]</f>
        <v>-23969.615653948869</v>
      </c>
      <c r="AS68" s="30">
        <f>VLOOKUP(Inventory[[#This Row],[Qlty]],Lookups!$A$66:$E$79,2,FALSE)</f>
        <v>37154.252388000001</v>
      </c>
      <c r="AT68" s="30">
        <f>VLOOKUP(Inventory[[#This Row],[Cnd]],Lookups!$A$80:$E$88,2,FALSE)</f>
        <v>47371.278778200001</v>
      </c>
      <c r="AU68" s="30">
        <f>Inventory[[#This Row],[EffAge]]*Lookups!$B$65</f>
        <v>-326.22329999999999</v>
      </c>
      <c r="AV68" s="30">
        <f>Inventory[[#This Row],[MainFn]]*Lookups!$B$90</f>
        <v>91368.796320000009</v>
      </c>
      <c r="AW68" s="30">
        <f>Inventory[[#This Row],[UpprFn]]*Lookups!$B$91</f>
        <v>0</v>
      </c>
      <c r="AX68" s="30">
        <f>Inventory[[#This Row],[Bsmt Area]]*Lookups!$B$95</f>
        <v>0</v>
      </c>
      <c r="AY68" s="30">
        <f>Inventory[[#This Row],[AttGar]]*Lookups!$B$93</f>
        <v>14120.412400000001</v>
      </c>
      <c r="AZ68" s="30">
        <f>ROUND(Inventory[[#This Row],[25Det]],-2)</f>
        <v>0</v>
      </c>
      <c r="BA68" s="30">
        <f>ROUND(SUM(Inventory[[#This Row],[Mdl Qlty]:[Mdl Garage Area]])+Inventory[[#This Row],[Mdl Res Intercept]],-2)</f>
        <v>322200</v>
      </c>
      <c r="BB68" s="30">
        <f>ROUND(Inventory[[#This Row],[Mdl Land Intercept]]+Inventory[[#This Row],[Mdl LnAcres]],-2)</f>
        <v>64400</v>
      </c>
      <c r="BC68" s="30">
        <f>Inventory[[#This Row],[Unadj Res Value]]+Inventory[[#This Row],[Unadj Det Value]]+Inventory[[#This Row],[Unadj Land Value]]</f>
        <v>386600</v>
      </c>
      <c r="BD68" s="30">
        <f>(Inventory[[#This Row],[Unadj Total Value]]-Inventory[[#This Row],[24Final]])/Inventory[[#This Row],[24Final]]</f>
        <v>3.646112600536193E-2</v>
      </c>
      <c r="BE68" s="30">
        <f>VLOOKUP(Inventory[[#This Row],[Nbhd]],Lookups!$M$3:$P$5,4,FALSE)</f>
        <v>0.99970000000000003</v>
      </c>
      <c r="BF68" s="30">
        <f>VLOOKUP(Inventory[[#This Row],[Qlty]],Lookups!$M$8:$P$22,4,FALSE)</f>
        <v>0.99819999999999998</v>
      </c>
      <c r="BG68" s="30">
        <f>VLOOKUP(Inventory[[#This Row],[Cnd]],Lookups!$R$8:$U$17,4,FALSE)</f>
        <v>1.0012000000000001</v>
      </c>
      <c r="BH68" s="30">
        <f>VLOOKUP(Inventory[[#This Row],[LivArea Range]],Lookups!$R$25:$U$43,4,FALSE)</f>
        <v>0.99519999999999997</v>
      </c>
      <c r="BI68" s="30">
        <f>VLOOKUP(Inventory[[#This Row],[Decade]],Lookups!$M$24:$P$40,4,FALSE)</f>
        <v>1</v>
      </c>
      <c r="BJ68" s="30">
        <f>Inventory[[#This Row],[Nbhd Adj]]*0.95</f>
        <v>0.94971499999999998</v>
      </c>
      <c r="BK68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68" s="30">
        <f>ROUND((SUM(Inventory[[#This Row],[Mdl Qlty]:[Mdl Garage Area]])+Inventory[[#This Row],[Mdl Res Intercept]])*Inventory[[#This Row],[Res Adj ]],-2)</f>
        <v>305800</v>
      </c>
      <c r="BM68" s="30">
        <f>ROUND(Inventory[[#This Row],[25Det]]*Inventory[[#This Row],[Det/Nbhd Adj]],-2)</f>
        <v>0</v>
      </c>
      <c r="BN68" s="30">
        <f>Inventory[[#This Row],[Adjusted Res]]+Inventory[[#This Row],[Adj Det ]]</f>
        <v>305800</v>
      </c>
      <c r="BO68" s="30">
        <f>ROUND((Inventory[[#This Row],[Mdl Land Intercept]]+Inventory[[#This Row],[Mdl LnAcres]])*Inventory[[#This Row],[Det/Nbhd Adj]],-2)</f>
        <v>61100</v>
      </c>
      <c r="BP68" s="30">
        <f>Inventory[[#This Row],[Adjusted Impr Total]]+Inventory[[#This Row],[Adjusted Land Total]]</f>
        <v>366900</v>
      </c>
      <c r="BQ68" s="30">
        <f>IFERROR((Inventory[[#This Row],[Adjusted Impr Total]]-Inventory[[#This Row],[24Bldg]])/Inventory[[#This Row],[24Bldg]],0)</f>
        <v>-2.0499679692504803E-2</v>
      </c>
      <c r="BR68" s="43">
        <f>(Inventory[[#This Row],[Adjusted Land Total]]-Inventory[[#This Row],[24Lnd]])/Inventory[[#This Row],[24Lnd]]</f>
        <v>4.9342105263157892E-3</v>
      </c>
      <c r="BS68" s="43">
        <f>(Inventory[[#This Row],[Adjusted Total]]-Inventory[[#This Row],[24Final]])/Inventory[[#This Row],[24Final]]</f>
        <v>-1.6353887399463807E-2</v>
      </c>
    </row>
    <row r="69" spans="1:71">
      <c r="A69" s="30">
        <v>2025</v>
      </c>
      <c r="B69" s="31" t="s">
        <v>578</v>
      </c>
      <c r="C69" s="31">
        <f>LN(Inventory[[#This Row],[Acres]])</f>
        <v>-1.8263509139976741</v>
      </c>
      <c r="D69" s="37">
        <f>ROUND(Inventory[[#This Row],[Sqft]]/43560,3)</f>
        <v>0.161</v>
      </c>
      <c r="E69" s="30">
        <v>7002</v>
      </c>
      <c r="F69" s="31" t="s">
        <v>505</v>
      </c>
      <c r="G69" s="31" t="s">
        <v>155</v>
      </c>
      <c r="H69" s="31" t="s">
        <v>5</v>
      </c>
      <c r="I69" s="31" t="s">
        <v>506</v>
      </c>
      <c r="J69" s="31" t="s">
        <v>507</v>
      </c>
      <c r="K69" s="31" t="s">
        <v>157</v>
      </c>
      <c r="L69" s="31" t="s">
        <v>21</v>
      </c>
      <c r="M69" s="31" t="s">
        <v>24</v>
      </c>
      <c r="N69" s="31">
        <v>0</v>
      </c>
      <c r="O69" s="31">
        <f>2024-Inventory[[#This Row],[YrBlt]]</f>
        <v>3</v>
      </c>
      <c r="P69" s="31">
        <f>2024-Inventory[[#This Row],[EffYr]]</f>
        <v>3</v>
      </c>
      <c r="Q69" s="30">
        <v>2021</v>
      </c>
      <c r="R69" s="30">
        <v>2021</v>
      </c>
      <c r="S69" s="30">
        <v>930</v>
      </c>
      <c r="T69" s="30">
        <v>1296</v>
      </c>
      <c r="U69" s="37"/>
      <c r="V69" s="32"/>
      <c r="W69" s="32"/>
      <c r="X69" s="32">
        <f>Inventory[[#This Row],[Bsmt Area]]-Inventory[[#This Row],[FnBsmt]]</f>
        <v>0</v>
      </c>
      <c r="Y69" s="32">
        <f>Inventory[[#This Row],[MainFn]]+Inventory[[#This Row],[UpprFn]]+Inventory[[#This Row],[AddFn]]+Inventory[[#This Row],[FnBsmt]]</f>
        <v>2226</v>
      </c>
      <c r="Z69" s="32">
        <v>2500</v>
      </c>
      <c r="AA69" s="31" t="s">
        <v>55</v>
      </c>
      <c r="AB69" s="30">
        <v>1</v>
      </c>
      <c r="AC69" s="38">
        <v>288</v>
      </c>
      <c r="AD69" s="38">
        <v>480</v>
      </c>
      <c r="AE69" s="32"/>
      <c r="AF69" s="32"/>
      <c r="AG69" s="32"/>
      <c r="AH69" s="32"/>
      <c r="AI69" s="30">
        <v>470734</v>
      </c>
      <c r="AJ69" s="30">
        <v>456612</v>
      </c>
      <c r="AK69" s="30">
        <v>0</v>
      </c>
      <c r="AL69" s="30">
        <v>0</v>
      </c>
      <c r="AM69" s="30">
        <v>60800</v>
      </c>
      <c r="AN69" s="30">
        <v>378400</v>
      </c>
      <c r="AO69" s="30">
        <v>439200</v>
      </c>
      <c r="AP69" s="30">
        <f>Lookups!$B$58*0.6</f>
        <v>132535.48800000001</v>
      </c>
      <c r="AQ69" s="30">
        <f>Lookups!$B$58*0.4</f>
        <v>88356.992000000013</v>
      </c>
      <c r="AR69" s="30">
        <f>Lookups!$B$59*Inventory[[#This Row],[LnAcres]]</f>
        <v>-23969.615653948869</v>
      </c>
      <c r="AS69" s="30">
        <f>VLOOKUP(Inventory[[#This Row],[Qlty]],Lookups!$A$66:$E$79,2,FALSE)</f>
        <v>32917.849192000001</v>
      </c>
      <c r="AT69" s="30">
        <f>VLOOKUP(Inventory[[#This Row],[Cnd]],Lookups!$A$80:$E$88,2,FALSE)</f>
        <v>47371.278778200001</v>
      </c>
      <c r="AU69" s="30">
        <f>Inventory[[#This Row],[EffAge]]*Lookups!$B$65</f>
        <v>-326.22329999999999</v>
      </c>
      <c r="AV69" s="30">
        <f>Inventory[[#This Row],[MainFn]]*Lookups!$B$90</f>
        <v>58041.653400000003</v>
      </c>
      <c r="AW69" s="30">
        <f>Inventory[[#This Row],[UpprFn]]*Lookups!$B$91</f>
        <v>77216.176368</v>
      </c>
      <c r="AX69" s="30">
        <f>Inventory[[#This Row],[Bsmt Area]]*Lookups!$B$95</f>
        <v>0</v>
      </c>
      <c r="AY69" s="30">
        <f>Inventory[[#This Row],[AttGar]]*Lookups!$B$93</f>
        <v>10166.696928000001</v>
      </c>
      <c r="AZ69" s="30">
        <f>ROUND(Inventory[[#This Row],[25Det]],-2)</f>
        <v>0</v>
      </c>
      <c r="BA69" s="30">
        <f>ROUND(SUM(Inventory[[#This Row],[Mdl Qlty]:[Mdl Garage Area]])+Inventory[[#This Row],[Mdl Res Intercept]],-2)</f>
        <v>357900</v>
      </c>
      <c r="BB69" s="30">
        <f>ROUND(Inventory[[#This Row],[Mdl Land Intercept]]+Inventory[[#This Row],[Mdl LnAcres]],-2)</f>
        <v>64400</v>
      </c>
      <c r="BC69" s="30">
        <f>Inventory[[#This Row],[Unadj Res Value]]+Inventory[[#This Row],[Unadj Det Value]]+Inventory[[#This Row],[Unadj Land Value]]</f>
        <v>422300</v>
      </c>
      <c r="BD69" s="30">
        <f>(Inventory[[#This Row],[Unadj Total Value]]-Inventory[[#This Row],[24Final]])/Inventory[[#This Row],[24Final]]</f>
        <v>-3.8479052823315117E-2</v>
      </c>
      <c r="BE69" s="30">
        <f>VLOOKUP(Inventory[[#This Row],[Nbhd]],Lookups!$M$3:$P$5,4,FALSE)</f>
        <v>0.99970000000000003</v>
      </c>
      <c r="BF69" s="30">
        <f>VLOOKUP(Inventory[[#This Row],[Qlty]],Lookups!$M$8:$P$22,4,FALSE)</f>
        <v>1.0019</v>
      </c>
      <c r="BG69" s="30">
        <f>VLOOKUP(Inventory[[#This Row],[Cnd]],Lookups!$R$8:$U$17,4,FALSE)</f>
        <v>1.0012000000000001</v>
      </c>
      <c r="BH69" s="30">
        <f>VLOOKUP(Inventory[[#This Row],[LivArea Range]],Lookups!$R$25:$U$43,4,FALSE)</f>
        <v>1.0008999999999999</v>
      </c>
      <c r="BI69" s="30">
        <f>VLOOKUP(Inventory[[#This Row],[Decade]],Lookups!$M$24:$P$40,4,FALSE)</f>
        <v>1</v>
      </c>
      <c r="BJ69" s="30">
        <f>Inventory[[#This Row],[Nbhd Adj]]*0.95</f>
        <v>0.94971499999999998</v>
      </c>
      <c r="BK69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69" s="30">
        <f>ROUND((SUM(Inventory[[#This Row],[Mdl Qlty]:[Mdl Garage Area]])+Inventory[[#This Row],[Mdl Res Intercept]])*Inventory[[#This Row],[Res Adj ]],-2)</f>
        <v>340300</v>
      </c>
      <c r="BM69" s="30">
        <f>ROUND(Inventory[[#This Row],[25Det]]*Inventory[[#This Row],[Det/Nbhd Adj]],-2)</f>
        <v>0</v>
      </c>
      <c r="BN69" s="30">
        <f>Inventory[[#This Row],[Adjusted Res]]+Inventory[[#This Row],[Adj Det ]]</f>
        <v>340300</v>
      </c>
      <c r="BO69" s="30">
        <f>ROUND((Inventory[[#This Row],[Mdl Land Intercept]]+Inventory[[#This Row],[Mdl LnAcres]])*Inventory[[#This Row],[Det/Nbhd Adj]],-2)</f>
        <v>61100</v>
      </c>
      <c r="BP69" s="30">
        <f>Inventory[[#This Row],[Adjusted Impr Total]]+Inventory[[#This Row],[Adjusted Land Total]]</f>
        <v>401400</v>
      </c>
      <c r="BQ69" s="30">
        <f>IFERROR((Inventory[[#This Row],[Adjusted Impr Total]]-Inventory[[#This Row],[24Bldg]])/Inventory[[#This Row],[24Bldg]],0)</f>
        <v>-0.10068710359408034</v>
      </c>
      <c r="BR69" s="43">
        <f>(Inventory[[#This Row],[Adjusted Land Total]]-Inventory[[#This Row],[24Lnd]])/Inventory[[#This Row],[24Lnd]]</f>
        <v>4.9342105263157892E-3</v>
      </c>
      <c r="BS69" s="43">
        <f>(Inventory[[#This Row],[Adjusted Total]]-Inventory[[#This Row],[24Final]])/Inventory[[#This Row],[24Final]]</f>
        <v>-8.6065573770491802E-2</v>
      </c>
    </row>
    <row r="70" spans="1:71">
      <c r="A70" s="30">
        <v>2025</v>
      </c>
      <c r="B70" s="31" t="s">
        <v>579</v>
      </c>
      <c r="C70" s="31">
        <f>LN(Inventory[[#This Row],[Acres]])</f>
        <v>-1.8263509139976741</v>
      </c>
      <c r="D70" s="37">
        <f>ROUND(Inventory[[#This Row],[Sqft]]/43560,3)</f>
        <v>0.161</v>
      </c>
      <c r="E70" s="30">
        <v>7002</v>
      </c>
      <c r="F70" s="31" t="s">
        <v>505</v>
      </c>
      <c r="G70" s="31" t="s">
        <v>155</v>
      </c>
      <c r="H70" s="31" t="s">
        <v>5</v>
      </c>
      <c r="I70" s="31" t="s">
        <v>506</v>
      </c>
      <c r="J70" s="31" t="s">
        <v>507</v>
      </c>
      <c r="K70" s="31" t="s">
        <v>157</v>
      </c>
      <c r="L70" s="31" t="s">
        <v>19</v>
      </c>
      <c r="M70" s="31" t="s">
        <v>24</v>
      </c>
      <c r="N70" s="31">
        <v>0</v>
      </c>
      <c r="O70" s="31">
        <f>2024-Inventory[[#This Row],[YrBlt]]</f>
        <v>3</v>
      </c>
      <c r="P70" s="31">
        <f>2024-Inventory[[#This Row],[EffYr]]</f>
        <v>3</v>
      </c>
      <c r="Q70" s="30">
        <v>2021</v>
      </c>
      <c r="R70" s="30">
        <v>2021</v>
      </c>
      <c r="S70" s="30">
        <v>1452</v>
      </c>
      <c r="T70" s="37"/>
      <c r="U70" s="37"/>
      <c r="V70" s="32"/>
      <c r="W70" s="32"/>
      <c r="X70" s="32">
        <f>Inventory[[#This Row],[Bsmt Area]]-Inventory[[#This Row],[FnBsmt]]</f>
        <v>0</v>
      </c>
      <c r="Y70" s="32">
        <f>Inventory[[#This Row],[MainFn]]+Inventory[[#This Row],[UpprFn]]+Inventory[[#This Row],[AddFn]]+Inventory[[#This Row],[FnBsmt]]</f>
        <v>1452</v>
      </c>
      <c r="Z70" s="32">
        <v>1500</v>
      </c>
      <c r="AA70" s="31" t="s">
        <v>55</v>
      </c>
      <c r="AB70" s="32"/>
      <c r="AC70" s="38">
        <v>400</v>
      </c>
      <c r="AD70" s="32"/>
      <c r="AE70" s="32"/>
      <c r="AF70" s="32"/>
      <c r="AG70" s="32"/>
      <c r="AH70" s="32"/>
      <c r="AI70" s="30">
        <v>285471</v>
      </c>
      <c r="AJ70" s="30">
        <v>276907</v>
      </c>
      <c r="AK70" s="30">
        <v>0</v>
      </c>
      <c r="AL70" s="30">
        <v>0</v>
      </c>
      <c r="AM70" s="30">
        <v>60800</v>
      </c>
      <c r="AN70" s="30">
        <v>311600</v>
      </c>
      <c r="AO70" s="30">
        <v>372400</v>
      </c>
      <c r="AP70" s="30">
        <f>Lookups!$B$58*0.6</f>
        <v>132535.48800000001</v>
      </c>
      <c r="AQ70" s="30">
        <f>Lookups!$B$58*0.4</f>
        <v>88356.992000000013</v>
      </c>
      <c r="AR70" s="30">
        <f>Lookups!$B$59*Inventory[[#This Row],[LnAcres]]</f>
        <v>-23969.615653948869</v>
      </c>
      <c r="AS70" s="30">
        <f>VLOOKUP(Inventory[[#This Row],[Qlty]],Lookups!$A$66:$E$79,2,FALSE)</f>
        <v>37154.252388000001</v>
      </c>
      <c r="AT70" s="30">
        <f>VLOOKUP(Inventory[[#This Row],[Cnd]],Lookups!$A$80:$E$88,2,FALSE)</f>
        <v>47371.278778200001</v>
      </c>
      <c r="AU70" s="30">
        <f>Inventory[[#This Row],[EffAge]]*Lookups!$B$65</f>
        <v>-326.22329999999999</v>
      </c>
      <c r="AV70" s="30">
        <f>Inventory[[#This Row],[MainFn]]*Lookups!$B$90</f>
        <v>90619.871760000009</v>
      </c>
      <c r="AW70" s="30">
        <f>Inventory[[#This Row],[UpprFn]]*Lookups!$B$91</f>
        <v>0</v>
      </c>
      <c r="AX70" s="30">
        <f>Inventory[[#This Row],[Bsmt Area]]*Lookups!$B$95</f>
        <v>0</v>
      </c>
      <c r="AY70" s="30">
        <f>Inventory[[#This Row],[AttGar]]*Lookups!$B$93</f>
        <v>14120.412400000001</v>
      </c>
      <c r="AZ70" s="30">
        <f>ROUND(Inventory[[#This Row],[25Det]],-2)</f>
        <v>0</v>
      </c>
      <c r="BA70" s="30">
        <f>ROUND(SUM(Inventory[[#This Row],[Mdl Qlty]:[Mdl Garage Area]])+Inventory[[#This Row],[Mdl Res Intercept]],-2)</f>
        <v>321500</v>
      </c>
      <c r="BB70" s="30">
        <f>ROUND(Inventory[[#This Row],[Mdl Land Intercept]]+Inventory[[#This Row],[Mdl LnAcres]],-2)</f>
        <v>64400</v>
      </c>
      <c r="BC70" s="30">
        <f>Inventory[[#This Row],[Unadj Res Value]]+Inventory[[#This Row],[Unadj Det Value]]+Inventory[[#This Row],[Unadj Land Value]]</f>
        <v>385900</v>
      </c>
      <c r="BD70" s="30">
        <f>(Inventory[[#This Row],[Unadj Total Value]]-Inventory[[#This Row],[24Final]])/Inventory[[#This Row],[24Final]]</f>
        <v>3.6251342642320085E-2</v>
      </c>
      <c r="BE70" s="30">
        <f>VLOOKUP(Inventory[[#This Row],[Nbhd]],Lookups!$M$3:$P$5,4,FALSE)</f>
        <v>0.99970000000000003</v>
      </c>
      <c r="BF70" s="30">
        <f>VLOOKUP(Inventory[[#This Row],[Qlty]],Lookups!$M$8:$P$22,4,FALSE)</f>
        <v>0.99819999999999998</v>
      </c>
      <c r="BG70" s="30">
        <f>VLOOKUP(Inventory[[#This Row],[Cnd]],Lookups!$R$8:$U$17,4,FALSE)</f>
        <v>1.0012000000000001</v>
      </c>
      <c r="BH70" s="30">
        <f>VLOOKUP(Inventory[[#This Row],[LivArea Range]],Lookups!$R$25:$U$43,4,FALSE)</f>
        <v>0.99519999999999997</v>
      </c>
      <c r="BI70" s="30">
        <f>VLOOKUP(Inventory[[#This Row],[Decade]],Lookups!$M$24:$P$40,4,FALSE)</f>
        <v>1</v>
      </c>
      <c r="BJ70" s="30">
        <f>Inventory[[#This Row],[Nbhd Adj]]*0.95</f>
        <v>0.94971499999999998</v>
      </c>
      <c r="BK70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70" s="30">
        <f>ROUND((SUM(Inventory[[#This Row],[Mdl Qlty]:[Mdl Garage Area]])+Inventory[[#This Row],[Mdl Res Intercept]])*Inventory[[#This Row],[Res Adj ]],-2)</f>
        <v>305100</v>
      </c>
      <c r="BM70" s="30">
        <f>ROUND(Inventory[[#This Row],[25Det]]*Inventory[[#This Row],[Det/Nbhd Adj]],-2)</f>
        <v>0</v>
      </c>
      <c r="BN70" s="30">
        <f>Inventory[[#This Row],[Adjusted Res]]+Inventory[[#This Row],[Adj Det ]]</f>
        <v>305100</v>
      </c>
      <c r="BO70" s="30">
        <f>ROUND((Inventory[[#This Row],[Mdl Land Intercept]]+Inventory[[#This Row],[Mdl LnAcres]])*Inventory[[#This Row],[Det/Nbhd Adj]],-2)</f>
        <v>61100</v>
      </c>
      <c r="BP70" s="30">
        <f>Inventory[[#This Row],[Adjusted Impr Total]]+Inventory[[#This Row],[Adjusted Land Total]]</f>
        <v>366200</v>
      </c>
      <c r="BQ70" s="30">
        <f>IFERROR((Inventory[[#This Row],[Adjusted Impr Total]]-Inventory[[#This Row],[24Bldg]])/Inventory[[#This Row],[24Bldg]],0)</f>
        <v>-2.086007702182285E-2</v>
      </c>
      <c r="BR70" s="43">
        <f>(Inventory[[#This Row],[Adjusted Land Total]]-Inventory[[#This Row],[24Lnd]])/Inventory[[#This Row],[24Lnd]]</f>
        <v>4.9342105263157892E-3</v>
      </c>
      <c r="BS70" s="43">
        <f>(Inventory[[#This Row],[Adjusted Total]]-Inventory[[#This Row],[24Final]])/Inventory[[#This Row],[24Final]]</f>
        <v>-1.664876476906552E-2</v>
      </c>
    </row>
    <row r="71" spans="1:71">
      <c r="A71" s="30">
        <v>2025</v>
      </c>
      <c r="B71" s="31" t="s">
        <v>580</v>
      </c>
      <c r="C71" s="31">
        <f>LN(Inventory[[#This Row],[Acres]])</f>
        <v>-1.8263509139976741</v>
      </c>
      <c r="D71" s="37">
        <f>ROUND(Inventory[[#This Row],[Sqft]]/43560,3)</f>
        <v>0.161</v>
      </c>
      <c r="E71" s="30">
        <v>7001</v>
      </c>
      <c r="F71" s="31" t="s">
        <v>505</v>
      </c>
      <c r="G71" s="31" t="s">
        <v>155</v>
      </c>
      <c r="H71" s="31" t="s">
        <v>5</v>
      </c>
      <c r="I71" s="31" t="s">
        <v>506</v>
      </c>
      <c r="J71" s="31" t="s">
        <v>507</v>
      </c>
      <c r="K71" s="31" t="s">
        <v>157</v>
      </c>
      <c r="L71" s="31" t="s">
        <v>21</v>
      </c>
      <c r="M71" s="31" t="s">
        <v>24</v>
      </c>
      <c r="N71" s="31">
        <v>0</v>
      </c>
      <c r="O71" s="31">
        <f>2024-Inventory[[#This Row],[YrBlt]]</f>
        <v>3</v>
      </c>
      <c r="P71" s="31">
        <f>2024-Inventory[[#This Row],[EffYr]]</f>
        <v>3</v>
      </c>
      <c r="Q71" s="30">
        <v>2021</v>
      </c>
      <c r="R71" s="30">
        <v>2021</v>
      </c>
      <c r="S71" s="30">
        <v>1316</v>
      </c>
      <c r="T71" s="38">
        <v>1686</v>
      </c>
      <c r="U71" s="32"/>
      <c r="V71" s="32"/>
      <c r="W71" s="32"/>
      <c r="X71" s="32">
        <f>Inventory[[#This Row],[Bsmt Area]]-Inventory[[#This Row],[FnBsmt]]</f>
        <v>0</v>
      </c>
      <c r="Y71" s="32">
        <f>Inventory[[#This Row],[MainFn]]+Inventory[[#This Row],[UpprFn]]+Inventory[[#This Row],[AddFn]]+Inventory[[#This Row],[FnBsmt]]</f>
        <v>3002</v>
      </c>
      <c r="Z71" s="32">
        <v>3500</v>
      </c>
      <c r="AA71" s="31" t="s">
        <v>56</v>
      </c>
      <c r="AB71" s="32"/>
      <c r="AC71" s="32"/>
      <c r="AD71" s="38">
        <v>540</v>
      </c>
      <c r="AE71" s="32"/>
      <c r="AF71" s="32"/>
      <c r="AG71" s="32"/>
      <c r="AH71" s="32"/>
      <c r="AI71" s="30">
        <v>567256</v>
      </c>
      <c r="AJ71" s="30">
        <v>550238</v>
      </c>
      <c r="AK71" s="30">
        <v>0</v>
      </c>
      <c r="AL71" s="30">
        <v>0</v>
      </c>
      <c r="AM71" s="30">
        <v>60800</v>
      </c>
      <c r="AN71" s="30">
        <v>419300</v>
      </c>
      <c r="AO71" s="30">
        <v>480100</v>
      </c>
      <c r="AP71" s="30">
        <f>Lookups!$B$58*0.6</f>
        <v>132535.48800000001</v>
      </c>
      <c r="AQ71" s="30">
        <f>Lookups!$B$58*0.4</f>
        <v>88356.992000000013</v>
      </c>
      <c r="AR71" s="30">
        <f>Lookups!$B$59*Inventory[[#This Row],[LnAcres]]</f>
        <v>-23969.615653948869</v>
      </c>
      <c r="AS71" s="30">
        <f>VLOOKUP(Inventory[[#This Row],[Qlty]],Lookups!$A$66:$E$79,2,FALSE)</f>
        <v>32917.849192000001</v>
      </c>
      <c r="AT71" s="30">
        <f>VLOOKUP(Inventory[[#This Row],[Cnd]],Lookups!$A$80:$E$88,2,FALSE)</f>
        <v>47371.278778200001</v>
      </c>
      <c r="AU71" s="30">
        <f>Inventory[[#This Row],[EffAge]]*Lookups!$B$65</f>
        <v>-326.22329999999999</v>
      </c>
      <c r="AV71" s="30">
        <f>Inventory[[#This Row],[MainFn]]*Lookups!$B$90</f>
        <v>82132.06008000001</v>
      </c>
      <c r="AW71" s="30">
        <f>Inventory[[#This Row],[UpprFn]]*Lookups!$B$91</f>
        <v>100452.525738</v>
      </c>
      <c r="AX71" s="30">
        <f>Inventory[[#This Row],[Bsmt Area]]*Lookups!$B$95</f>
        <v>0</v>
      </c>
      <c r="AY71" s="30">
        <f>Inventory[[#This Row],[AttGar]]*Lookups!$B$93</f>
        <v>0</v>
      </c>
      <c r="AZ71" s="30">
        <f>ROUND(Inventory[[#This Row],[25Det]],-2)</f>
        <v>0</v>
      </c>
      <c r="BA71" s="30">
        <f>ROUND(SUM(Inventory[[#This Row],[Mdl Qlty]:[Mdl Garage Area]])+Inventory[[#This Row],[Mdl Res Intercept]],-2)</f>
        <v>395100</v>
      </c>
      <c r="BB71" s="30">
        <f>ROUND(Inventory[[#This Row],[Mdl Land Intercept]]+Inventory[[#This Row],[Mdl LnAcres]],-2)</f>
        <v>64400</v>
      </c>
      <c r="BC71" s="30">
        <f>Inventory[[#This Row],[Unadj Res Value]]+Inventory[[#This Row],[Unadj Det Value]]+Inventory[[#This Row],[Unadj Land Value]]</f>
        <v>459500</v>
      </c>
      <c r="BD71" s="30">
        <f>(Inventory[[#This Row],[Unadj Total Value]]-Inventory[[#This Row],[24Final]])/Inventory[[#This Row],[24Final]]</f>
        <v>-4.2907727556759007E-2</v>
      </c>
      <c r="BE71" s="30">
        <f>VLOOKUP(Inventory[[#This Row],[Nbhd]],Lookups!$M$3:$P$5,4,FALSE)</f>
        <v>0.99970000000000003</v>
      </c>
      <c r="BF71" s="30">
        <f>VLOOKUP(Inventory[[#This Row],[Qlty]],Lookups!$M$8:$P$22,4,FALSE)</f>
        <v>1.0019</v>
      </c>
      <c r="BG71" s="30">
        <f>VLOOKUP(Inventory[[#This Row],[Cnd]],Lookups!$R$8:$U$17,4,FALSE)</f>
        <v>1.0012000000000001</v>
      </c>
      <c r="BH71" s="30">
        <f>VLOOKUP(Inventory[[#This Row],[LivArea Range]],Lookups!$R$25:$U$43,4,FALSE)</f>
        <v>0.98509999999999998</v>
      </c>
      <c r="BI71" s="30">
        <f>VLOOKUP(Inventory[[#This Row],[Decade]],Lookups!$M$24:$P$40,4,FALSE)</f>
        <v>1</v>
      </c>
      <c r="BJ71" s="30">
        <f>Inventory[[#This Row],[Nbhd Adj]]*0.95</f>
        <v>0.94971499999999998</v>
      </c>
      <c r="BK71" s="30">
        <f>AVERAGE(Inventory[[#This Row],[Nbhd Adj]],Inventory[[#This Row],[Quality Adj]],Inventory[[#This Row],[Condition Adj]],Inventory[[#This Row],[Living Area Adj]],Inventory[[#This Row],[Decade Adj]])*0.95</f>
        <v>0.9477009999999999</v>
      </c>
      <c r="BL71" s="30">
        <f>ROUND((SUM(Inventory[[#This Row],[Mdl Qlty]:[Mdl Garage Area]])+Inventory[[#This Row],[Mdl Res Intercept]])*Inventory[[#This Row],[Res Adj ]],-2)</f>
        <v>374400</v>
      </c>
      <c r="BM71" s="30">
        <f>ROUND(Inventory[[#This Row],[25Det]]*Inventory[[#This Row],[Det/Nbhd Adj]],-2)</f>
        <v>0</v>
      </c>
      <c r="BN71" s="30">
        <f>Inventory[[#This Row],[Adjusted Res]]+Inventory[[#This Row],[Adj Det ]]</f>
        <v>374400</v>
      </c>
      <c r="BO71" s="30">
        <f>ROUND((Inventory[[#This Row],[Mdl Land Intercept]]+Inventory[[#This Row],[Mdl LnAcres]])*Inventory[[#This Row],[Det/Nbhd Adj]],-2)</f>
        <v>61100</v>
      </c>
      <c r="BP71" s="30">
        <f>Inventory[[#This Row],[Adjusted Impr Total]]+Inventory[[#This Row],[Adjusted Land Total]]</f>
        <v>435500</v>
      </c>
      <c r="BQ71" s="30">
        <f>IFERROR((Inventory[[#This Row],[Adjusted Impr Total]]-Inventory[[#This Row],[24Bldg]])/Inventory[[#This Row],[24Bldg]],0)</f>
        <v>-0.10708323396136418</v>
      </c>
      <c r="BR71" s="43">
        <f>(Inventory[[#This Row],[Adjusted Land Total]]-Inventory[[#This Row],[24Lnd]])/Inventory[[#This Row],[24Lnd]]</f>
        <v>4.9342105263157892E-3</v>
      </c>
      <c r="BS71" s="43">
        <f>(Inventory[[#This Row],[Adjusted Total]]-Inventory[[#This Row],[24Final]])/Inventory[[#This Row],[24Final]]</f>
        <v>-9.2897313059779218E-2</v>
      </c>
    </row>
    <row r="72" spans="1:71">
      <c r="A72" s="30">
        <v>2025</v>
      </c>
      <c r="B72" s="31" t="s">
        <v>581</v>
      </c>
      <c r="C72" s="31">
        <f>LN(Inventory[[#This Row],[Acres]])</f>
        <v>-1.8263509139976741</v>
      </c>
      <c r="D72" s="37">
        <f>ROUND(Inventory[[#This Row],[Sqft]]/43560,3)</f>
        <v>0.161</v>
      </c>
      <c r="E72" s="30">
        <v>7002</v>
      </c>
      <c r="F72" s="31" t="s">
        <v>505</v>
      </c>
      <c r="G72" s="31" t="s">
        <v>155</v>
      </c>
      <c r="H72" s="31" t="s">
        <v>5</v>
      </c>
      <c r="I72" s="31" t="s">
        <v>506</v>
      </c>
      <c r="J72" s="31" t="s">
        <v>507</v>
      </c>
      <c r="K72" s="31" t="s">
        <v>157</v>
      </c>
      <c r="L72" s="31" t="s">
        <v>21</v>
      </c>
      <c r="M72" s="31" t="s">
        <v>24</v>
      </c>
      <c r="N72" s="31">
        <v>0</v>
      </c>
      <c r="O72" s="31">
        <f>2024-Inventory[[#This Row],[YrBlt]]</f>
        <v>3</v>
      </c>
      <c r="P72" s="31">
        <f>2024-Inventory[[#This Row],[EffYr]]</f>
        <v>3</v>
      </c>
      <c r="Q72" s="30">
        <v>2021</v>
      </c>
      <c r="R72" s="30">
        <v>2021</v>
      </c>
      <c r="S72" s="30">
        <v>930</v>
      </c>
      <c r="T72" s="38">
        <v>1296</v>
      </c>
      <c r="U72" s="32"/>
      <c r="V72" s="32"/>
      <c r="W72" s="32"/>
      <c r="X72" s="32">
        <f>Inventory[[#This Row],[Bsmt Area]]-Inventory[[#This Row],[FnBsmt]]</f>
        <v>0</v>
      </c>
      <c r="Y72" s="32">
        <f>Inventory[[#This Row],[MainFn]]+Inventory[[#This Row],[UpprFn]]+Inventory[[#This Row],[AddFn]]+Inventory[[#This Row],[FnBsmt]]</f>
        <v>2226</v>
      </c>
      <c r="Z72" s="32">
        <v>2500</v>
      </c>
      <c r="AA72" s="31" t="s">
        <v>56</v>
      </c>
      <c r="AB72" s="38">
        <v>1</v>
      </c>
      <c r="AC72" s="38">
        <v>240</v>
      </c>
      <c r="AD72" s="38">
        <v>400</v>
      </c>
      <c r="AE72" s="32"/>
      <c r="AF72" s="32"/>
      <c r="AG72" s="32"/>
      <c r="AH72" s="32"/>
      <c r="AI72" s="30">
        <v>465989</v>
      </c>
      <c r="AJ72" s="30">
        <v>452009</v>
      </c>
      <c r="AK72" s="30">
        <v>0</v>
      </c>
      <c r="AL72" s="30">
        <v>0</v>
      </c>
      <c r="AM72" s="30">
        <v>60800</v>
      </c>
      <c r="AN72" s="30">
        <v>370100</v>
      </c>
      <c r="AO72" s="30">
        <v>430900</v>
      </c>
      <c r="AP72" s="30">
        <f>Lookups!$B$58*0.6</f>
        <v>132535.48800000001</v>
      </c>
      <c r="AQ72" s="30">
        <f>Lookups!$B$58*0.4</f>
        <v>88356.992000000013</v>
      </c>
      <c r="AR72" s="30">
        <f>Lookups!$B$59*Inventory[[#This Row],[LnAcres]]</f>
        <v>-23969.615653948869</v>
      </c>
      <c r="AS72" s="30">
        <f>VLOOKUP(Inventory[[#This Row],[Qlty]],Lookups!$A$66:$E$79,2,FALSE)</f>
        <v>32917.849192000001</v>
      </c>
      <c r="AT72" s="30">
        <f>VLOOKUP(Inventory[[#This Row],[Cnd]],Lookups!$A$80:$E$88,2,FALSE)</f>
        <v>47371.278778200001</v>
      </c>
      <c r="AU72" s="30">
        <f>Inventory[[#This Row],[EffAge]]*Lookups!$B$65</f>
        <v>-326.22329999999999</v>
      </c>
      <c r="AV72" s="30">
        <f>Inventory[[#This Row],[MainFn]]*Lookups!$B$90</f>
        <v>58041.653400000003</v>
      </c>
      <c r="AW72" s="30">
        <f>Inventory[[#This Row],[UpprFn]]*Lookups!$B$91</f>
        <v>77216.176368</v>
      </c>
      <c r="AX72" s="30">
        <f>Inventory[[#This Row],[Bsmt Area]]*Lookups!$B$95</f>
        <v>0</v>
      </c>
      <c r="AY72" s="30">
        <f>Inventory[[#This Row],[AttGar]]*Lookups!$B$93</f>
        <v>8472.247440000001</v>
      </c>
      <c r="AZ72" s="30">
        <f>ROUND(Inventory[[#This Row],[25Det]],-2)</f>
        <v>0</v>
      </c>
      <c r="BA72" s="30">
        <f>ROUND(SUM(Inventory[[#This Row],[Mdl Qlty]:[Mdl Garage Area]])+Inventory[[#This Row],[Mdl Res Intercept]],-2)</f>
        <v>356200</v>
      </c>
      <c r="BB72" s="30">
        <f>ROUND(Inventory[[#This Row],[Mdl Land Intercept]]+Inventory[[#This Row],[Mdl LnAcres]],-2)</f>
        <v>64400</v>
      </c>
      <c r="BC72" s="30">
        <f>Inventory[[#This Row],[Unadj Res Value]]+Inventory[[#This Row],[Unadj Det Value]]+Inventory[[#This Row],[Unadj Land Value]]</f>
        <v>420600</v>
      </c>
      <c r="BD72" s="30">
        <f>(Inventory[[#This Row],[Unadj Total Value]]-Inventory[[#This Row],[24Final]])/Inventory[[#This Row],[24Final]]</f>
        <v>-2.3903457878858204E-2</v>
      </c>
      <c r="BE72" s="30">
        <f>VLOOKUP(Inventory[[#This Row],[Nbhd]],Lookups!$M$3:$P$5,4,FALSE)</f>
        <v>0.99970000000000003</v>
      </c>
      <c r="BF72" s="30">
        <f>VLOOKUP(Inventory[[#This Row],[Qlty]],Lookups!$M$8:$P$22,4,FALSE)</f>
        <v>1.0019</v>
      </c>
      <c r="BG72" s="30">
        <f>VLOOKUP(Inventory[[#This Row],[Cnd]],Lookups!$R$8:$U$17,4,FALSE)</f>
        <v>1.0012000000000001</v>
      </c>
      <c r="BH72" s="30">
        <f>VLOOKUP(Inventory[[#This Row],[LivArea Range]],Lookups!$R$25:$U$43,4,FALSE)</f>
        <v>1.0008999999999999</v>
      </c>
      <c r="BI72" s="30">
        <f>VLOOKUP(Inventory[[#This Row],[Decade]],Lookups!$M$24:$P$40,4,FALSE)</f>
        <v>1</v>
      </c>
      <c r="BJ72" s="30">
        <f>Inventory[[#This Row],[Nbhd Adj]]*0.95</f>
        <v>0.94971499999999998</v>
      </c>
      <c r="BK72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72" s="30">
        <f>ROUND((SUM(Inventory[[#This Row],[Mdl Qlty]:[Mdl Garage Area]])+Inventory[[#This Row],[Mdl Res Intercept]])*Inventory[[#This Row],[Res Adj ]],-2)</f>
        <v>338700</v>
      </c>
      <c r="BM72" s="30">
        <f>ROUND(Inventory[[#This Row],[25Det]]*Inventory[[#This Row],[Det/Nbhd Adj]],-2)</f>
        <v>0</v>
      </c>
      <c r="BN72" s="30">
        <f>Inventory[[#This Row],[Adjusted Res]]+Inventory[[#This Row],[Adj Det ]]</f>
        <v>338700</v>
      </c>
      <c r="BO72" s="30">
        <f>ROUND((Inventory[[#This Row],[Mdl Land Intercept]]+Inventory[[#This Row],[Mdl LnAcres]])*Inventory[[#This Row],[Det/Nbhd Adj]],-2)</f>
        <v>61100</v>
      </c>
      <c r="BP72" s="30">
        <f>Inventory[[#This Row],[Adjusted Impr Total]]+Inventory[[#This Row],[Adjusted Land Total]]</f>
        <v>399800</v>
      </c>
      <c r="BQ72" s="30">
        <f>IFERROR((Inventory[[#This Row],[Adjusted Impr Total]]-Inventory[[#This Row],[24Bldg]])/Inventory[[#This Row],[24Bldg]],0)</f>
        <v>-8.4841934612266953E-2</v>
      </c>
      <c r="BR72" s="43">
        <f>(Inventory[[#This Row],[Adjusted Land Total]]-Inventory[[#This Row],[24Lnd]])/Inventory[[#This Row],[24Lnd]]</f>
        <v>4.9342105263157892E-3</v>
      </c>
      <c r="BS72" s="43">
        <f>(Inventory[[#This Row],[Adjusted Total]]-Inventory[[#This Row],[24Final]])/Inventory[[#This Row],[24Final]]</f>
        <v>-7.2174518449756322E-2</v>
      </c>
    </row>
    <row r="73" spans="1:71">
      <c r="A73" s="30">
        <v>2025</v>
      </c>
      <c r="B73" s="31" t="s">
        <v>582</v>
      </c>
      <c r="C73" s="31">
        <f>LN(Inventory[[#This Row],[Acres]])</f>
        <v>-1.8263509139976741</v>
      </c>
      <c r="D73" s="37">
        <f>ROUND(Inventory[[#This Row],[Sqft]]/43560,3)</f>
        <v>0.161</v>
      </c>
      <c r="E73" s="30">
        <v>7001</v>
      </c>
      <c r="F73" s="31" t="s">
        <v>505</v>
      </c>
      <c r="G73" s="31" t="s">
        <v>155</v>
      </c>
      <c r="H73" s="31" t="s">
        <v>5</v>
      </c>
      <c r="I73" s="31" t="s">
        <v>506</v>
      </c>
      <c r="J73" s="31" t="s">
        <v>507</v>
      </c>
      <c r="K73" s="31" t="s">
        <v>157</v>
      </c>
      <c r="L73" s="31" t="s">
        <v>21</v>
      </c>
      <c r="M73" s="31" t="s">
        <v>24</v>
      </c>
      <c r="N73" s="31">
        <v>0</v>
      </c>
      <c r="O73" s="31">
        <f>2024-Inventory[[#This Row],[YrBlt]]</f>
        <v>3</v>
      </c>
      <c r="P73" s="31">
        <f>2024-Inventory[[#This Row],[EffYr]]</f>
        <v>3</v>
      </c>
      <c r="Q73" s="30">
        <v>2021</v>
      </c>
      <c r="R73" s="30">
        <v>2021</v>
      </c>
      <c r="S73" s="30">
        <v>930</v>
      </c>
      <c r="T73" s="38">
        <v>1296</v>
      </c>
      <c r="U73" s="32"/>
      <c r="V73" s="32"/>
      <c r="W73" s="32"/>
      <c r="X73" s="32">
        <f>Inventory[[#This Row],[Bsmt Area]]-Inventory[[#This Row],[FnBsmt]]</f>
        <v>0</v>
      </c>
      <c r="Y73" s="32">
        <f>Inventory[[#This Row],[MainFn]]+Inventory[[#This Row],[UpprFn]]+Inventory[[#This Row],[AddFn]]+Inventory[[#This Row],[FnBsmt]]</f>
        <v>2226</v>
      </c>
      <c r="Z73" s="32">
        <v>2500</v>
      </c>
      <c r="AA73" s="31" t="s">
        <v>56</v>
      </c>
      <c r="AB73" s="38">
        <v>1</v>
      </c>
      <c r="AC73" s="32"/>
      <c r="AD73" s="38">
        <v>480</v>
      </c>
      <c r="AE73" s="32"/>
      <c r="AF73" s="32"/>
      <c r="AG73" s="32"/>
      <c r="AH73" s="32"/>
      <c r="AI73" s="30">
        <v>445110</v>
      </c>
      <c r="AJ73" s="30">
        <v>431757</v>
      </c>
      <c r="AK73" s="30">
        <v>0</v>
      </c>
      <c r="AL73" s="30">
        <v>0</v>
      </c>
      <c r="AM73" s="30">
        <v>60800</v>
      </c>
      <c r="AN73" s="30">
        <v>358300</v>
      </c>
      <c r="AO73" s="30">
        <v>419100</v>
      </c>
      <c r="AP73" s="30">
        <f>Lookups!$B$58*0.6</f>
        <v>132535.48800000001</v>
      </c>
      <c r="AQ73" s="30">
        <f>Lookups!$B$58*0.4</f>
        <v>88356.992000000013</v>
      </c>
      <c r="AR73" s="30">
        <f>Lookups!$B$59*Inventory[[#This Row],[LnAcres]]</f>
        <v>-23969.615653948869</v>
      </c>
      <c r="AS73" s="30">
        <f>VLOOKUP(Inventory[[#This Row],[Qlty]],Lookups!$A$66:$E$79,2,FALSE)</f>
        <v>32917.849192000001</v>
      </c>
      <c r="AT73" s="30">
        <f>VLOOKUP(Inventory[[#This Row],[Cnd]],Lookups!$A$80:$E$88,2,FALSE)</f>
        <v>47371.278778200001</v>
      </c>
      <c r="AU73" s="30">
        <f>Inventory[[#This Row],[EffAge]]*Lookups!$B$65</f>
        <v>-326.22329999999999</v>
      </c>
      <c r="AV73" s="30">
        <f>Inventory[[#This Row],[MainFn]]*Lookups!$B$90</f>
        <v>58041.653400000003</v>
      </c>
      <c r="AW73" s="30">
        <f>Inventory[[#This Row],[UpprFn]]*Lookups!$B$91</f>
        <v>77216.176368</v>
      </c>
      <c r="AX73" s="30">
        <f>Inventory[[#This Row],[Bsmt Area]]*Lookups!$B$95</f>
        <v>0</v>
      </c>
      <c r="AY73" s="30">
        <f>Inventory[[#This Row],[AttGar]]*Lookups!$B$93</f>
        <v>0</v>
      </c>
      <c r="AZ73" s="30">
        <f>ROUND(Inventory[[#This Row],[25Det]],-2)</f>
        <v>0</v>
      </c>
      <c r="BA73" s="30">
        <f>ROUND(SUM(Inventory[[#This Row],[Mdl Qlty]:[Mdl Garage Area]])+Inventory[[#This Row],[Mdl Res Intercept]],-2)</f>
        <v>347800</v>
      </c>
      <c r="BB73" s="30">
        <f>ROUND(Inventory[[#This Row],[Mdl Land Intercept]]+Inventory[[#This Row],[Mdl LnAcres]],-2)</f>
        <v>64400</v>
      </c>
      <c r="BC73" s="30">
        <f>Inventory[[#This Row],[Unadj Res Value]]+Inventory[[#This Row],[Unadj Det Value]]+Inventory[[#This Row],[Unadj Land Value]]</f>
        <v>412200</v>
      </c>
      <c r="BD73" s="30">
        <f>(Inventory[[#This Row],[Unadj Total Value]]-Inventory[[#This Row],[24Final]])/Inventory[[#This Row],[24Final]]</f>
        <v>-1.6463851109520401E-2</v>
      </c>
      <c r="BE73" s="30">
        <f>VLOOKUP(Inventory[[#This Row],[Nbhd]],Lookups!$M$3:$P$5,4,FALSE)</f>
        <v>0.99970000000000003</v>
      </c>
      <c r="BF73" s="30">
        <f>VLOOKUP(Inventory[[#This Row],[Qlty]],Lookups!$M$8:$P$22,4,FALSE)</f>
        <v>1.0019</v>
      </c>
      <c r="BG73" s="30">
        <f>VLOOKUP(Inventory[[#This Row],[Cnd]],Lookups!$R$8:$U$17,4,FALSE)</f>
        <v>1.0012000000000001</v>
      </c>
      <c r="BH73" s="30">
        <f>VLOOKUP(Inventory[[#This Row],[LivArea Range]],Lookups!$R$25:$U$43,4,FALSE)</f>
        <v>1.0008999999999999</v>
      </c>
      <c r="BI73" s="30">
        <f>VLOOKUP(Inventory[[#This Row],[Decade]],Lookups!$M$24:$P$40,4,FALSE)</f>
        <v>1</v>
      </c>
      <c r="BJ73" s="30">
        <f>Inventory[[#This Row],[Nbhd Adj]]*0.95</f>
        <v>0.94971499999999998</v>
      </c>
      <c r="BK73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73" s="30">
        <f>ROUND((SUM(Inventory[[#This Row],[Mdl Qlty]:[Mdl Garage Area]])+Inventory[[#This Row],[Mdl Res Intercept]])*Inventory[[#This Row],[Res Adj ]],-2)</f>
        <v>330600</v>
      </c>
      <c r="BM73" s="30">
        <f>ROUND(Inventory[[#This Row],[25Det]]*Inventory[[#This Row],[Det/Nbhd Adj]],-2)</f>
        <v>0</v>
      </c>
      <c r="BN73" s="30">
        <f>Inventory[[#This Row],[Adjusted Res]]+Inventory[[#This Row],[Adj Det ]]</f>
        <v>330600</v>
      </c>
      <c r="BO73" s="30">
        <f>ROUND((Inventory[[#This Row],[Mdl Land Intercept]]+Inventory[[#This Row],[Mdl LnAcres]])*Inventory[[#This Row],[Det/Nbhd Adj]],-2)</f>
        <v>61100</v>
      </c>
      <c r="BP73" s="30">
        <f>Inventory[[#This Row],[Adjusted Impr Total]]+Inventory[[#This Row],[Adjusted Land Total]]</f>
        <v>391700</v>
      </c>
      <c r="BQ73" s="30">
        <f>IFERROR((Inventory[[#This Row],[Adjusted Impr Total]]-Inventory[[#This Row],[24Bldg]])/Inventory[[#This Row],[24Bldg]],0)</f>
        <v>-7.7309517164387387E-2</v>
      </c>
      <c r="BR73" s="43">
        <f>(Inventory[[#This Row],[Adjusted Land Total]]-Inventory[[#This Row],[24Lnd]])/Inventory[[#This Row],[24Lnd]]</f>
        <v>4.9342105263157892E-3</v>
      </c>
      <c r="BS73" s="43">
        <f>(Inventory[[#This Row],[Adjusted Total]]-Inventory[[#This Row],[24Final]])/Inventory[[#This Row],[24Final]]</f>
        <v>-6.5378191362443328E-2</v>
      </c>
    </row>
    <row r="74" spans="1:71">
      <c r="A74" s="30">
        <v>2025</v>
      </c>
      <c r="B74" s="31" t="s">
        <v>583</v>
      </c>
      <c r="C74" s="31">
        <f>LN(Inventory[[#This Row],[Acres]])</f>
        <v>-1.8263509139976741</v>
      </c>
      <c r="D74" s="37">
        <f>ROUND(Inventory[[#This Row],[Sqft]]/43560,3)</f>
        <v>0.161</v>
      </c>
      <c r="E74" s="38">
        <v>7002</v>
      </c>
      <c r="F74" s="31" t="s">
        <v>505</v>
      </c>
      <c r="G74" s="31" t="s">
        <v>155</v>
      </c>
      <c r="H74" s="31" t="s">
        <v>5</v>
      </c>
      <c r="I74" s="31" t="s">
        <v>506</v>
      </c>
      <c r="J74" s="31" t="s">
        <v>507</v>
      </c>
      <c r="K74" s="31" t="s">
        <v>157</v>
      </c>
      <c r="L74" s="31" t="s">
        <v>21</v>
      </c>
      <c r="M74" s="31" t="s">
        <v>24</v>
      </c>
      <c r="N74" s="31">
        <v>0</v>
      </c>
      <c r="O74" s="31">
        <f>2024-Inventory[[#This Row],[YrBlt]]</f>
        <v>3</v>
      </c>
      <c r="P74" s="31">
        <f>2024-Inventory[[#This Row],[EffYr]]</f>
        <v>3</v>
      </c>
      <c r="Q74" s="30">
        <v>2021</v>
      </c>
      <c r="R74" s="30">
        <v>2021</v>
      </c>
      <c r="S74" s="30">
        <v>930</v>
      </c>
      <c r="T74" s="38">
        <v>1296</v>
      </c>
      <c r="U74" s="37"/>
      <c r="V74" s="32"/>
      <c r="W74" s="32"/>
      <c r="X74" s="32">
        <f>Inventory[[#This Row],[Bsmt Area]]-Inventory[[#This Row],[FnBsmt]]</f>
        <v>0</v>
      </c>
      <c r="Y74" s="32">
        <f>Inventory[[#This Row],[MainFn]]+Inventory[[#This Row],[UpprFn]]+Inventory[[#This Row],[AddFn]]+Inventory[[#This Row],[FnBsmt]]</f>
        <v>2226</v>
      </c>
      <c r="Z74" s="32">
        <v>2500</v>
      </c>
      <c r="AA74" s="31" t="s">
        <v>56</v>
      </c>
      <c r="AB74" s="38">
        <v>1</v>
      </c>
      <c r="AC74" s="32"/>
      <c r="AD74" s="38">
        <v>400</v>
      </c>
      <c r="AE74" s="32"/>
      <c r="AF74" s="32"/>
      <c r="AG74" s="32"/>
      <c r="AH74" s="32"/>
      <c r="AI74" s="30">
        <v>442308</v>
      </c>
      <c r="AJ74" s="30">
        <v>429039</v>
      </c>
      <c r="AK74" s="30">
        <v>0</v>
      </c>
      <c r="AL74" s="30">
        <v>0</v>
      </c>
      <c r="AM74" s="30">
        <v>60800</v>
      </c>
      <c r="AN74" s="30">
        <v>355200</v>
      </c>
      <c r="AO74" s="30">
        <v>416000</v>
      </c>
      <c r="AP74" s="30">
        <f>Lookups!$B$58*0.6</f>
        <v>132535.48800000001</v>
      </c>
      <c r="AQ74" s="30">
        <f>Lookups!$B$58*0.4</f>
        <v>88356.992000000013</v>
      </c>
      <c r="AR74" s="30">
        <f>Lookups!$B$59*Inventory[[#This Row],[LnAcres]]</f>
        <v>-23969.615653948869</v>
      </c>
      <c r="AS74" s="30">
        <f>VLOOKUP(Inventory[[#This Row],[Qlty]],Lookups!$A$66:$E$79,2,FALSE)</f>
        <v>32917.849192000001</v>
      </c>
      <c r="AT74" s="30">
        <f>VLOOKUP(Inventory[[#This Row],[Cnd]],Lookups!$A$80:$E$88,2,FALSE)</f>
        <v>47371.278778200001</v>
      </c>
      <c r="AU74" s="30">
        <f>Inventory[[#This Row],[EffAge]]*Lookups!$B$65</f>
        <v>-326.22329999999999</v>
      </c>
      <c r="AV74" s="30">
        <f>Inventory[[#This Row],[MainFn]]*Lookups!$B$90</f>
        <v>58041.653400000003</v>
      </c>
      <c r="AW74" s="30">
        <f>Inventory[[#This Row],[UpprFn]]*Lookups!$B$91</f>
        <v>77216.176368</v>
      </c>
      <c r="AX74" s="30">
        <f>Inventory[[#This Row],[Bsmt Area]]*Lookups!$B$95</f>
        <v>0</v>
      </c>
      <c r="AY74" s="30">
        <f>Inventory[[#This Row],[AttGar]]*Lookups!$B$93</f>
        <v>0</v>
      </c>
      <c r="AZ74" s="30">
        <f>ROUND(Inventory[[#This Row],[25Det]],-2)</f>
        <v>0</v>
      </c>
      <c r="BA74" s="30">
        <f>ROUND(SUM(Inventory[[#This Row],[Mdl Qlty]:[Mdl Garage Area]])+Inventory[[#This Row],[Mdl Res Intercept]],-2)</f>
        <v>347800</v>
      </c>
      <c r="BB74" s="30">
        <f>ROUND(Inventory[[#This Row],[Mdl Land Intercept]]+Inventory[[#This Row],[Mdl LnAcres]],-2)</f>
        <v>64400</v>
      </c>
      <c r="BC74" s="30">
        <f>Inventory[[#This Row],[Unadj Res Value]]+Inventory[[#This Row],[Unadj Det Value]]+Inventory[[#This Row],[Unadj Land Value]]</f>
        <v>412200</v>
      </c>
      <c r="BD74" s="30">
        <f>(Inventory[[#This Row],[Unadj Total Value]]-Inventory[[#This Row],[24Final]])/Inventory[[#This Row],[24Final]]</f>
        <v>-9.1346153846153851E-3</v>
      </c>
      <c r="BE74" s="30">
        <f>VLOOKUP(Inventory[[#This Row],[Nbhd]],Lookups!$M$3:$P$5,4,FALSE)</f>
        <v>0.99970000000000003</v>
      </c>
      <c r="BF74" s="30">
        <f>VLOOKUP(Inventory[[#This Row],[Qlty]],Lookups!$M$8:$P$22,4,FALSE)</f>
        <v>1.0019</v>
      </c>
      <c r="BG74" s="30">
        <f>VLOOKUP(Inventory[[#This Row],[Cnd]],Lookups!$R$8:$U$17,4,FALSE)</f>
        <v>1.0012000000000001</v>
      </c>
      <c r="BH74" s="30">
        <f>VLOOKUP(Inventory[[#This Row],[LivArea Range]],Lookups!$R$25:$U$43,4,FALSE)</f>
        <v>1.0008999999999999</v>
      </c>
      <c r="BI74" s="30">
        <f>VLOOKUP(Inventory[[#This Row],[Decade]],Lookups!$M$24:$P$40,4,FALSE)</f>
        <v>1</v>
      </c>
      <c r="BJ74" s="30">
        <f>Inventory[[#This Row],[Nbhd Adj]]*0.95</f>
        <v>0.94971499999999998</v>
      </c>
      <c r="BK74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74" s="30">
        <f>ROUND((SUM(Inventory[[#This Row],[Mdl Qlty]:[Mdl Garage Area]])+Inventory[[#This Row],[Mdl Res Intercept]])*Inventory[[#This Row],[Res Adj ]],-2)</f>
        <v>330600</v>
      </c>
      <c r="BM74" s="30">
        <f>ROUND(Inventory[[#This Row],[25Det]]*Inventory[[#This Row],[Det/Nbhd Adj]],-2)</f>
        <v>0</v>
      </c>
      <c r="BN74" s="30">
        <f>Inventory[[#This Row],[Adjusted Res]]+Inventory[[#This Row],[Adj Det ]]</f>
        <v>330600</v>
      </c>
      <c r="BO74" s="30">
        <f>ROUND((Inventory[[#This Row],[Mdl Land Intercept]]+Inventory[[#This Row],[Mdl LnAcres]])*Inventory[[#This Row],[Det/Nbhd Adj]],-2)</f>
        <v>61100</v>
      </c>
      <c r="BP74" s="30">
        <f>Inventory[[#This Row],[Adjusted Impr Total]]+Inventory[[#This Row],[Adjusted Land Total]]</f>
        <v>391700</v>
      </c>
      <c r="BQ74" s="30">
        <f>IFERROR((Inventory[[#This Row],[Adjusted Impr Total]]-Inventory[[#This Row],[24Bldg]])/Inventory[[#This Row],[24Bldg]],0)</f>
        <v>-6.9256756756756757E-2</v>
      </c>
      <c r="BR74" s="43">
        <f>(Inventory[[#This Row],[Adjusted Land Total]]-Inventory[[#This Row],[24Lnd]])/Inventory[[#This Row],[24Lnd]]</f>
        <v>4.9342105263157892E-3</v>
      </c>
      <c r="BS74" s="43">
        <f>(Inventory[[#This Row],[Adjusted Total]]-Inventory[[#This Row],[24Final]])/Inventory[[#This Row],[24Final]]</f>
        <v>-5.8413461538461539E-2</v>
      </c>
    </row>
    <row r="75" spans="1:71">
      <c r="A75" s="30">
        <v>2025</v>
      </c>
      <c r="B75" s="31" t="s">
        <v>584</v>
      </c>
      <c r="C75" s="31">
        <f>LN(Inventory[[#This Row],[Acres]])</f>
        <v>-1.8263509139976741</v>
      </c>
      <c r="D75" s="37">
        <f>ROUND(Inventory[[#This Row],[Sqft]]/43560,3)</f>
        <v>0.161</v>
      </c>
      <c r="E75" s="30">
        <v>7001</v>
      </c>
      <c r="F75" s="31" t="s">
        <v>505</v>
      </c>
      <c r="G75" s="31" t="s">
        <v>155</v>
      </c>
      <c r="H75" s="31" t="s">
        <v>5</v>
      </c>
      <c r="I75" s="31" t="s">
        <v>506</v>
      </c>
      <c r="J75" s="31" t="s">
        <v>507</v>
      </c>
      <c r="K75" s="31" t="s">
        <v>157</v>
      </c>
      <c r="L75" s="31" t="s">
        <v>19</v>
      </c>
      <c r="M75" s="31" t="s">
        <v>24</v>
      </c>
      <c r="N75" s="31">
        <v>0</v>
      </c>
      <c r="O75" s="31">
        <f>2024-Inventory[[#This Row],[YrBlt]]</f>
        <v>3</v>
      </c>
      <c r="P75" s="31">
        <f>2024-Inventory[[#This Row],[EffYr]]</f>
        <v>3</v>
      </c>
      <c r="Q75" s="30">
        <v>2021</v>
      </c>
      <c r="R75" s="30">
        <v>2021</v>
      </c>
      <c r="S75" s="30">
        <v>1580</v>
      </c>
      <c r="T75" s="32"/>
      <c r="U75" s="37"/>
      <c r="V75" s="32"/>
      <c r="W75" s="32"/>
      <c r="X75" s="32">
        <f>Inventory[[#This Row],[Bsmt Area]]-Inventory[[#This Row],[FnBsmt]]</f>
        <v>0</v>
      </c>
      <c r="Y75" s="32">
        <f>Inventory[[#This Row],[MainFn]]+Inventory[[#This Row],[UpprFn]]+Inventory[[#This Row],[AddFn]]+Inventory[[#This Row],[FnBsmt]]</f>
        <v>1580</v>
      </c>
      <c r="Z75" s="32">
        <v>2000</v>
      </c>
      <c r="AA75" s="31" t="s">
        <v>56</v>
      </c>
      <c r="AB75" s="32"/>
      <c r="AC75" s="38">
        <v>400</v>
      </c>
      <c r="AD75" s="32"/>
      <c r="AE75" s="32"/>
      <c r="AF75" s="32"/>
      <c r="AG75" s="32"/>
      <c r="AH75" s="32"/>
      <c r="AI75" s="30">
        <v>313869</v>
      </c>
      <c r="AJ75" s="30">
        <v>304453</v>
      </c>
      <c r="AK75" s="30">
        <v>0</v>
      </c>
      <c r="AL75" s="30">
        <v>0</v>
      </c>
      <c r="AM75" s="30">
        <v>60800</v>
      </c>
      <c r="AN75" s="30">
        <v>332900</v>
      </c>
      <c r="AO75" s="30">
        <v>393700</v>
      </c>
      <c r="AP75" s="30">
        <f>Lookups!$B$58*0.6</f>
        <v>132535.48800000001</v>
      </c>
      <c r="AQ75" s="30">
        <f>Lookups!$B$58*0.4</f>
        <v>88356.992000000013</v>
      </c>
      <c r="AR75" s="30">
        <f>Lookups!$B$59*Inventory[[#This Row],[LnAcres]]</f>
        <v>-23969.615653948869</v>
      </c>
      <c r="AS75" s="30">
        <f>VLOOKUP(Inventory[[#This Row],[Qlty]],Lookups!$A$66:$E$79,2,FALSE)</f>
        <v>37154.252388000001</v>
      </c>
      <c r="AT75" s="30">
        <f>VLOOKUP(Inventory[[#This Row],[Cnd]],Lookups!$A$80:$E$88,2,FALSE)</f>
        <v>47371.278778200001</v>
      </c>
      <c r="AU75" s="30">
        <f>Inventory[[#This Row],[EffAge]]*Lookups!$B$65</f>
        <v>-326.22329999999999</v>
      </c>
      <c r="AV75" s="30">
        <f>Inventory[[#This Row],[MainFn]]*Lookups!$B$90</f>
        <v>98608.400399999999</v>
      </c>
      <c r="AW75" s="30">
        <f>Inventory[[#This Row],[UpprFn]]*Lookups!$B$91</f>
        <v>0</v>
      </c>
      <c r="AX75" s="30">
        <f>Inventory[[#This Row],[Bsmt Area]]*Lookups!$B$95</f>
        <v>0</v>
      </c>
      <c r="AY75" s="30">
        <f>Inventory[[#This Row],[AttGar]]*Lookups!$B$93</f>
        <v>14120.412400000001</v>
      </c>
      <c r="AZ75" s="30">
        <f>ROUND(Inventory[[#This Row],[25Det]],-2)</f>
        <v>0</v>
      </c>
      <c r="BA75" s="30">
        <f>ROUND(SUM(Inventory[[#This Row],[Mdl Qlty]:[Mdl Garage Area]])+Inventory[[#This Row],[Mdl Res Intercept]],-2)</f>
        <v>329500</v>
      </c>
      <c r="BB75" s="30">
        <f>ROUND(Inventory[[#This Row],[Mdl Land Intercept]]+Inventory[[#This Row],[Mdl LnAcres]],-2)</f>
        <v>64400</v>
      </c>
      <c r="BC75" s="30">
        <f>Inventory[[#This Row],[Unadj Res Value]]+Inventory[[#This Row],[Unadj Det Value]]+Inventory[[#This Row],[Unadj Land Value]]</f>
        <v>393900</v>
      </c>
      <c r="BD75" s="30">
        <f>(Inventory[[#This Row],[Unadj Total Value]]-Inventory[[#This Row],[24Final]])/Inventory[[#This Row],[24Final]]</f>
        <v>5.0800101600203195E-4</v>
      </c>
      <c r="BE75" s="30">
        <f>VLOOKUP(Inventory[[#This Row],[Nbhd]],Lookups!$M$3:$P$5,4,FALSE)</f>
        <v>0.99970000000000003</v>
      </c>
      <c r="BF75" s="30">
        <f>VLOOKUP(Inventory[[#This Row],[Qlty]],Lookups!$M$8:$P$22,4,FALSE)</f>
        <v>0.99819999999999998</v>
      </c>
      <c r="BG75" s="30">
        <f>VLOOKUP(Inventory[[#This Row],[Cnd]],Lookups!$R$8:$U$17,4,FALSE)</f>
        <v>1.0012000000000001</v>
      </c>
      <c r="BH75" s="30">
        <f>VLOOKUP(Inventory[[#This Row],[LivArea Range]],Lookups!$R$25:$U$43,4,FALSE)</f>
        <v>1.0007999999999999</v>
      </c>
      <c r="BI75" s="30">
        <f>VLOOKUP(Inventory[[#This Row],[Decade]],Lookups!$M$24:$P$40,4,FALSE)</f>
        <v>1</v>
      </c>
      <c r="BJ75" s="30">
        <f>Inventory[[#This Row],[Nbhd Adj]]*0.95</f>
        <v>0.94971499999999998</v>
      </c>
      <c r="BK75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75" s="30">
        <f>ROUND((SUM(Inventory[[#This Row],[Mdl Qlty]:[Mdl Garage Area]])+Inventory[[#This Row],[Mdl Res Intercept]])*Inventory[[#This Row],[Res Adj ]],-2)</f>
        <v>313000</v>
      </c>
      <c r="BM75" s="30">
        <f>ROUND(Inventory[[#This Row],[25Det]]*Inventory[[#This Row],[Det/Nbhd Adj]],-2)</f>
        <v>0</v>
      </c>
      <c r="BN75" s="30">
        <f>Inventory[[#This Row],[Adjusted Res]]+Inventory[[#This Row],[Adj Det ]]</f>
        <v>313000</v>
      </c>
      <c r="BO75" s="30">
        <f>ROUND((Inventory[[#This Row],[Mdl Land Intercept]]+Inventory[[#This Row],[Mdl LnAcres]])*Inventory[[#This Row],[Det/Nbhd Adj]],-2)</f>
        <v>61100</v>
      </c>
      <c r="BP75" s="30">
        <f>Inventory[[#This Row],[Adjusted Impr Total]]+Inventory[[#This Row],[Adjusted Land Total]]</f>
        <v>374100</v>
      </c>
      <c r="BQ75" s="30">
        <f>IFERROR((Inventory[[#This Row],[Adjusted Impr Total]]-Inventory[[#This Row],[24Bldg]])/Inventory[[#This Row],[24Bldg]],0)</f>
        <v>-5.9777711024331631E-2</v>
      </c>
      <c r="BR75" s="43">
        <f>(Inventory[[#This Row],[Adjusted Land Total]]-Inventory[[#This Row],[24Lnd]])/Inventory[[#This Row],[24Lnd]]</f>
        <v>4.9342105263157892E-3</v>
      </c>
      <c r="BS75" s="43">
        <f>(Inventory[[#This Row],[Adjusted Total]]-Inventory[[#This Row],[24Final]])/Inventory[[#This Row],[24Final]]</f>
        <v>-4.9784099568199139E-2</v>
      </c>
    </row>
    <row r="76" spans="1:71">
      <c r="A76" s="30">
        <v>2025</v>
      </c>
      <c r="B76" s="31" t="s">
        <v>585</v>
      </c>
      <c r="C76" s="31">
        <f>LN(Inventory[[#This Row],[Acres]])</f>
        <v>-1.8263509139976741</v>
      </c>
      <c r="D76" s="37">
        <f>ROUND(Inventory[[#This Row],[Sqft]]/43560,3)</f>
        <v>0.161</v>
      </c>
      <c r="E76" s="30">
        <v>7002</v>
      </c>
      <c r="F76" s="31" t="s">
        <v>505</v>
      </c>
      <c r="G76" s="31" t="s">
        <v>155</v>
      </c>
      <c r="H76" s="31" t="s">
        <v>5</v>
      </c>
      <c r="I76" s="31" t="s">
        <v>506</v>
      </c>
      <c r="J76" s="31" t="s">
        <v>507</v>
      </c>
      <c r="K76" s="31" t="s">
        <v>157</v>
      </c>
      <c r="L76" s="31" t="s">
        <v>19</v>
      </c>
      <c r="M76" s="31" t="s">
        <v>24</v>
      </c>
      <c r="N76" s="31">
        <v>0</v>
      </c>
      <c r="O76" s="31">
        <f>2024-Inventory[[#This Row],[YrBlt]]</f>
        <v>3</v>
      </c>
      <c r="P76" s="31">
        <f>2024-Inventory[[#This Row],[EffYr]]</f>
        <v>3</v>
      </c>
      <c r="Q76" s="30">
        <v>2021</v>
      </c>
      <c r="R76" s="30">
        <v>2021</v>
      </c>
      <c r="S76" s="30">
        <v>1388</v>
      </c>
      <c r="T76" s="37"/>
      <c r="U76" s="32"/>
      <c r="V76" s="32"/>
      <c r="W76" s="32"/>
      <c r="X76" s="32">
        <f>Inventory[[#This Row],[Bsmt Area]]-Inventory[[#This Row],[FnBsmt]]</f>
        <v>0</v>
      </c>
      <c r="Y76" s="32">
        <f>Inventory[[#This Row],[MainFn]]+Inventory[[#This Row],[UpprFn]]+Inventory[[#This Row],[AddFn]]+Inventory[[#This Row],[FnBsmt]]</f>
        <v>1388</v>
      </c>
      <c r="Z76" s="32">
        <v>1500</v>
      </c>
      <c r="AA76" s="31" t="s">
        <v>56</v>
      </c>
      <c r="AB76" s="32"/>
      <c r="AC76" s="38">
        <v>400</v>
      </c>
      <c r="AD76" s="32"/>
      <c r="AE76" s="32"/>
      <c r="AF76" s="32"/>
      <c r="AG76" s="32"/>
      <c r="AH76" s="32"/>
      <c r="AI76" s="30">
        <v>283020</v>
      </c>
      <c r="AJ76" s="30">
        <v>274529</v>
      </c>
      <c r="AK76" s="30">
        <v>0</v>
      </c>
      <c r="AL76" s="30">
        <v>0</v>
      </c>
      <c r="AM76" s="30">
        <v>60800</v>
      </c>
      <c r="AN76" s="30">
        <v>319600</v>
      </c>
      <c r="AO76" s="30">
        <v>380400</v>
      </c>
      <c r="AP76" s="30">
        <f>Lookups!$B$58*0.6</f>
        <v>132535.48800000001</v>
      </c>
      <c r="AQ76" s="30">
        <f>Lookups!$B$58*0.4</f>
        <v>88356.992000000013</v>
      </c>
      <c r="AR76" s="30">
        <f>Lookups!$B$59*Inventory[[#This Row],[LnAcres]]</f>
        <v>-23969.615653948869</v>
      </c>
      <c r="AS76" s="30">
        <f>VLOOKUP(Inventory[[#This Row],[Qlty]],Lookups!$A$66:$E$79,2,FALSE)</f>
        <v>37154.252388000001</v>
      </c>
      <c r="AT76" s="30">
        <f>VLOOKUP(Inventory[[#This Row],[Cnd]],Lookups!$A$80:$E$88,2,FALSE)</f>
        <v>47371.278778200001</v>
      </c>
      <c r="AU76" s="30">
        <f>Inventory[[#This Row],[EffAge]]*Lookups!$B$65</f>
        <v>-326.22329999999999</v>
      </c>
      <c r="AV76" s="30">
        <f>Inventory[[#This Row],[MainFn]]*Lookups!$B$90</f>
        <v>86625.607440000007</v>
      </c>
      <c r="AW76" s="30">
        <f>Inventory[[#This Row],[UpprFn]]*Lookups!$B$91</f>
        <v>0</v>
      </c>
      <c r="AX76" s="30">
        <f>Inventory[[#This Row],[Bsmt Area]]*Lookups!$B$95</f>
        <v>0</v>
      </c>
      <c r="AY76" s="30">
        <f>Inventory[[#This Row],[AttGar]]*Lookups!$B$93</f>
        <v>14120.412400000001</v>
      </c>
      <c r="AZ76" s="30">
        <f>ROUND(Inventory[[#This Row],[25Det]],-2)</f>
        <v>0</v>
      </c>
      <c r="BA76" s="30">
        <f>ROUND(SUM(Inventory[[#This Row],[Mdl Qlty]:[Mdl Garage Area]])+Inventory[[#This Row],[Mdl Res Intercept]],-2)</f>
        <v>317500</v>
      </c>
      <c r="BB76" s="30">
        <f>ROUND(Inventory[[#This Row],[Mdl Land Intercept]]+Inventory[[#This Row],[Mdl LnAcres]],-2)</f>
        <v>64400</v>
      </c>
      <c r="BC76" s="30">
        <f>Inventory[[#This Row],[Unadj Res Value]]+Inventory[[#This Row],[Unadj Det Value]]+Inventory[[#This Row],[Unadj Land Value]]</f>
        <v>381900</v>
      </c>
      <c r="BD76" s="30">
        <f>(Inventory[[#This Row],[Unadj Total Value]]-Inventory[[#This Row],[24Final]])/Inventory[[#This Row],[24Final]]</f>
        <v>3.9432176656151417E-3</v>
      </c>
      <c r="BE76" s="30">
        <f>VLOOKUP(Inventory[[#This Row],[Nbhd]],Lookups!$M$3:$P$5,4,FALSE)</f>
        <v>0.99970000000000003</v>
      </c>
      <c r="BF76" s="30">
        <f>VLOOKUP(Inventory[[#This Row],[Qlty]],Lookups!$M$8:$P$22,4,FALSE)</f>
        <v>0.99819999999999998</v>
      </c>
      <c r="BG76" s="30">
        <f>VLOOKUP(Inventory[[#This Row],[Cnd]],Lookups!$R$8:$U$17,4,FALSE)</f>
        <v>1.0012000000000001</v>
      </c>
      <c r="BH76" s="30">
        <f>VLOOKUP(Inventory[[#This Row],[LivArea Range]],Lookups!$R$25:$U$43,4,FALSE)</f>
        <v>0.99519999999999997</v>
      </c>
      <c r="BI76" s="30">
        <f>VLOOKUP(Inventory[[#This Row],[Decade]],Lookups!$M$24:$P$40,4,FALSE)</f>
        <v>1</v>
      </c>
      <c r="BJ76" s="30">
        <f>Inventory[[#This Row],[Nbhd Adj]]*0.95</f>
        <v>0.94971499999999998</v>
      </c>
      <c r="BK76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76" s="30">
        <f>ROUND((SUM(Inventory[[#This Row],[Mdl Qlty]:[Mdl Garage Area]])+Inventory[[#This Row],[Mdl Res Intercept]])*Inventory[[#This Row],[Res Adj ]],-2)</f>
        <v>301300</v>
      </c>
      <c r="BM76" s="30">
        <f>ROUND(Inventory[[#This Row],[25Det]]*Inventory[[#This Row],[Det/Nbhd Adj]],-2)</f>
        <v>0</v>
      </c>
      <c r="BN76" s="30">
        <f>Inventory[[#This Row],[Adjusted Res]]+Inventory[[#This Row],[Adj Det ]]</f>
        <v>301300</v>
      </c>
      <c r="BO76" s="30">
        <f>ROUND((Inventory[[#This Row],[Mdl Land Intercept]]+Inventory[[#This Row],[Mdl LnAcres]])*Inventory[[#This Row],[Det/Nbhd Adj]],-2)</f>
        <v>61100</v>
      </c>
      <c r="BP76" s="30">
        <f>Inventory[[#This Row],[Adjusted Impr Total]]+Inventory[[#This Row],[Adjusted Land Total]]</f>
        <v>362400</v>
      </c>
      <c r="BQ76" s="30">
        <f>IFERROR((Inventory[[#This Row],[Adjusted Impr Total]]-Inventory[[#This Row],[24Bldg]])/Inventory[[#This Row],[24Bldg]],0)</f>
        <v>-5.7259073842302881E-2</v>
      </c>
      <c r="BR76" s="43">
        <f>(Inventory[[#This Row],[Adjusted Land Total]]-Inventory[[#This Row],[24Lnd]])/Inventory[[#This Row],[24Lnd]]</f>
        <v>4.9342105263157892E-3</v>
      </c>
      <c r="BS76" s="43">
        <f>(Inventory[[#This Row],[Adjusted Total]]-Inventory[[#This Row],[24Final]])/Inventory[[#This Row],[24Final]]</f>
        <v>-4.7318611987381701E-2</v>
      </c>
    </row>
    <row r="77" spans="1:71">
      <c r="A77" s="30">
        <v>2025</v>
      </c>
      <c r="B77" s="31" t="s">
        <v>586</v>
      </c>
      <c r="C77" s="31">
        <f>LN(Inventory[[#This Row],[Acres]])</f>
        <v>-1.8263509139976741</v>
      </c>
      <c r="D77" s="37">
        <f>ROUND(Inventory[[#This Row],[Sqft]]/43560,3)</f>
        <v>0.161</v>
      </c>
      <c r="E77" s="30">
        <v>7002</v>
      </c>
      <c r="F77" s="31" t="s">
        <v>505</v>
      </c>
      <c r="G77" s="31" t="s">
        <v>155</v>
      </c>
      <c r="H77" s="31" t="s">
        <v>5</v>
      </c>
      <c r="I77" s="31" t="s">
        <v>506</v>
      </c>
      <c r="J77" s="31" t="s">
        <v>507</v>
      </c>
      <c r="K77" s="31" t="s">
        <v>157</v>
      </c>
      <c r="L77" s="31" t="s">
        <v>19</v>
      </c>
      <c r="M77" s="31" t="s">
        <v>24</v>
      </c>
      <c r="N77" s="31">
        <v>0</v>
      </c>
      <c r="O77" s="31">
        <f>2024-Inventory[[#This Row],[YrBlt]]</f>
        <v>3</v>
      </c>
      <c r="P77" s="31">
        <f>2024-Inventory[[#This Row],[EffYr]]</f>
        <v>3</v>
      </c>
      <c r="Q77" s="30">
        <v>2021</v>
      </c>
      <c r="R77" s="30">
        <v>2021</v>
      </c>
      <c r="S77" s="30">
        <v>1388</v>
      </c>
      <c r="T77" s="32"/>
      <c r="U77" s="32"/>
      <c r="V77" s="32"/>
      <c r="W77" s="32"/>
      <c r="X77" s="32">
        <f>Inventory[[#This Row],[Bsmt Area]]-Inventory[[#This Row],[FnBsmt]]</f>
        <v>0</v>
      </c>
      <c r="Y77" s="32">
        <f>Inventory[[#This Row],[MainFn]]+Inventory[[#This Row],[UpprFn]]+Inventory[[#This Row],[AddFn]]+Inventory[[#This Row],[FnBsmt]]</f>
        <v>1388</v>
      </c>
      <c r="Z77" s="32">
        <v>1500</v>
      </c>
      <c r="AA77" s="31" t="s">
        <v>56</v>
      </c>
      <c r="AB77" s="32"/>
      <c r="AC77" s="38">
        <v>400</v>
      </c>
      <c r="AD77" s="32"/>
      <c r="AE77" s="32"/>
      <c r="AF77" s="32"/>
      <c r="AG77" s="32"/>
      <c r="AH77" s="32"/>
      <c r="AI77" s="30">
        <v>283020</v>
      </c>
      <c r="AJ77" s="30">
        <v>274529</v>
      </c>
      <c r="AK77" s="30">
        <v>0</v>
      </c>
      <c r="AL77" s="30">
        <v>0</v>
      </c>
      <c r="AM77" s="30">
        <v>60800</v>
      </c>
      <c r="AN77" s="30">
        <v>319600</v>
      </c>
      <c r="AO77" s="30">
        <v>380400</v>
      </c>
      <c r="AP77" s="30">
        <f>Lookups!$B$58*0.6</f>
        <v>132535.48800000001</v>
      </c>
      <c r="AQ77" s="30">
        <f>Lookups!$B$58*0.4</f>
        <v>88356.992000000013</v>
      </c>
      <c r="AR77" s="30">
        <f>Lookups!$B$59*Inventory[[#This Row],[LnAcres]]</f>
        <v>-23969.615653948869</v>
      </c>
      <c r="AS77" s="30">
        <f>VLOOKUP(Inventory[[#This Row],[Qlty]],Lookups!$A$66:$E$79,2,FALSE)</f>
        <v>37154.252388000001</v>
      </c>
      <c r="AT77" s="30">
        <f>VLOOKUP(Inventory[[#This Row],[Cnd]],Lookups!$A$80:$E$88,2,FALSE)</f>
        <v>47371.278778200001</v>
      </c>
      <c r="AU77" s="30">
        <f>Inventory[[#This Row],[EffAge]]*Lookups!$B$65</f>
        <v>-326.22329999999999</v>
      </c>
      <c r="AV77" s="30">
        <f>Inventory[[#This Row],[MainFn]]*Lookups!$B$90</f>
        <v>86625.607440000007</v>
      </c>
      <c r="AW77" s="30">
        <f>Inventory[[#This Row],[UpprFn]]*Lookups!$B$91</f>
        <v>0</v>
      </c>
      <c r="AX77" s="30">
        <f>Inventory[[#This Row],[Bsmt Area]]*Lookups!$B$95</f>
        <v>0</v>
      </c>
      <c r="AY77" s="30">
        <f>Inventory[[#This Row],[AttGar]]*Lookups!$B$93</f>
        <v>14120.412400000001</v>
      </c>
      <c r="AZ77" s="30">
        <f>ROUND(Inventory[[#This Row],[25Det]],-2)</f>
        <v>0</v>
      </c>
      <c r="BA77" s="30">
        <f>ROUND(SUM(Inventory[[#This Row],[Mdl Qlty]:[Mdl Garage Area]])+Inventory[[#This Row],[Mdl Res Intercept]],-2)</f>
        <v>317500</v>
      </c>
      <c r="BB77" s="30">
        <f>ROUND(Inventory[[#This Row],[Mdl Land Intercept]]+Inventory[[#This Row],[Mdl LnAcres]],-2)</f>
        <v>64400</v>
      </c>
      <c r="BC77" s="30">
        <f>Inventory[[#This Row],[Unadj Res Value]]+Inventory[[#This Row],[Unadj Det Value]]+Inventory[[#This Row],[Unadj Land Value]]</f>
        <v>381900</v>
      </c>
      <c r="BD77" s="30">
        <f>(Inventory[[#This Row],[Unadj Total Value]]-Inventory[[#This Row],[24Final]])/Inventory[[#This Row],[24Final]]</f>
        <v>3.9432176656151417E-3</v>
      </c>
      <c r="BE77" s="30">
        <f>VLOOKUP(Inventory[[#This Row],[Nbhd]],Lookups!$M$3:$P$5,4,FALSE)</f>
        <v>0.99970000000000003</v>
      </c>
      <c r="BF77" s="30">
        <f>VLOOKUP(Inventory[[#This Row],[Qlty]],Lookups!$M$8:$P$22,4,FALSE)</f>
        <v>0.99819999999999998</v>
      </c>
      <c r="BG77" s="30">
        <f>VLOOKUP(Inventory[[#This Row],[Cnd]],Lookups!$R$8:$U$17,4,FALSE)</f>
        <v>1.0012000000000001</v>
      </c>
      <c r="BH77" s="30">
        <f>VLOOKUP(Inventory[[#This Row],[LivArea Range]],Lookups!$R$25:$U$43,4,FALSE)</f>
        <v>0.99519999999999997</v>
      </c>
      <c r="BI77" s="30">
        <f>VLOOKUP(Inventory[[#This Row],[Decade]],Lookups!$M$24:$P$40,4,FALSE)</f>
        <v>1</v>
      </c>
      <c r="BJ77" s="30">
        <f>Inventory[[#This Row],[Nbhd Adj]]*0.95</f>
        <v>0.94971499999999998</v>
      </c>
      <c r="BK77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77" s="30">
        <f>ROUND((SUM(Inventory[[#This Row],[Mdl Qlty]:[Mdl Garage Area]])+Inventory[[#This Row],[Mdl Res Intercept]])*Inventory[[#This Row],[Res Adj ]],-2)</f>
        <v>301300</v>
      </c>
      <c r="BM77" s="30">
        <f>ROUND(Inventory[[#This Row],[25Det]]*Inventory[[#This Row],[Det/Nbhd Adj]],-2)</f>
        <v>0</v>
      </c>
      <c r="BN77" s="30">
        <f>Inventory[[#This Row],[Adjusted Res]]+Inventory[[#This Row],[Adj Det ]]</f>
        <v>301300</v>
      </c>
      <c r="BO77" s="30">
        <f>ROUND((Inventory[[#This Row],[Mdl Land Intercept]]+Inventory[[#This Row],[Mdl LnAcres]])*Inventory[[#This Row],[Det/Nbhd Adj]],-2)</f>
        <v>61100</v>
      </c>
      <c r="BP77" s="30">
        <f>Inventory[[#This Row],[Adjusted Impr Total]]+Inventory[[#This Row],[Adjusted Land Total]]</f>
        <v>362400</v>
      </c>
      <c r="BQ77" s="30">
        <f>IFERROR((Inventory[[#This Row],[Adjusted Impr Total]]-Inventory[[#This Row],[24Bldg]])/Inventory[[#This Row],[24Bldg]],0)</f>
        <v>-5.7259073842302881E-2</v>
      </c>
      <c r="BR77" s="43">
        <f>(Inventory[[#This Row],[Adjusted Land Total]]-Inventory[[#This Row],[24Lnd]])/Inventory[[#This Row],[24Lnd]]</f>
        <v>4.9342105263157892E-3</v>
      </c>
      <c r="BS77" s="43">
        <f>(Inventory[[#This Row],[Adjusted Total]]-Inventory[[#This Row],[24Final]])/Inventory[[#This Row],[24Final]]</f>
        <v>-4.7318611987381701E-2</v>
      </c>
    </row>
    <row r="78" spans="1:71">
      <c r="A78" s="30">
        <v>2025</v>
      </c>
      <c r="B78" s="31" t="s">
        <v>587</v>
      </c>
      <c r="C78" s="31">
        <f>LN(Inventory[[#This Row],[Acres]])</f>
        <v>-1.8263509139976741</v>
      </c>
      <c r="D78" s="37">
        <f>ROUND(Inventory[[#This Row],[Sqft]]/43560,3)</f>
        <v>0.161</v>
      </c>
      <c r="E78" s="30">
        <v>7002</v>
      </c>
      <c r="F78" s="31" t="s">
        <v>505</v>
      </c>
      <c r="G78" s="31" t="s">
        <v>155</v>
      </c>
      <c r="H78" s="31" t="s">
        <v>5</v>
      </c>
      <c r="I78" s="31" t="s">
        <v>506</v>
      </c>
      <c r="J78" s="31" t="s">
        <v>507</v>
      </c>
      <c r="K78" s="31" t="s">
        <v>157</v>
      </c>
      <c r="L78" s="31" t="s">
        <v>19</v>
      </c>
      <c r="M78" s="31" t="s">
        <v>24</v>
      </c>
      <c r="N78" s="31">
        <v>0</v>
      </c>
      <c r="O78" s="31">
        <f>2024-Inventory[[#This Row],[YrBlt]]</f>
        <v>3</v>
      </c>
      <c r="P78" s="31">
        <f>2024-Inventory[[#This Row],[EffYr]]</f>
        <v>3</v>
      </c>
      <c r="Q78" s="30">
        <v>2021</v>
      </c>
      <c r="R78" s="30">
        <v>2021</v>
      </c>
      <c r="S78" s="30">
        <v>1452</v>
      </c>
      <c r="T78" s="32"/>
      <c r="U78" s="32"/>
      <c r="V78" s="32"/>
      <c r="W78" s="32"/>
      <c r="X78" s="32">
        <f>Inventory[[#This Row],[Bsmt Area]]-Inventory[[#This Row],[FnBsmt]]</f>
        <v>0</v>
      </c>
      <c r="Y78" s="32">
        <f>Inventory[[#This Row],[MainFn]]+Inventory[[#This Row],[UpprFn]]+Inventory[[#This Row],[AddFn]]+Inventory[[#This Row],[FnBsmt]]</f>
        <v>1452</v>
      </c>
      <c r="Z78" s="32">
        <v>1500</v>
      </c>
      <c r="AA78" s="31" t="s">
        <v>56</v>
      </c>
      <c r="AB78" s="32"/>
      <c r="AC78" s="38">
        <v>400</v>
      </c>
      <c r="AD78" s="32"/>
      <c r="AE78" s="32"/>
      <c r="AF78" s="32"/>
      <c r="AG78" s="32"/>
      <c r="AH78" s="32"/>
      <c r="AI78" s="30">
        <v>292579</v>
      </c>
      <c r="AJ78" s="30">
        <v>283802</v>
      </c>
      <c r="AK78" s="30">
        <v>0</v>
      </c>
      <c r="AL78" s="30">
        <v>0</v>
      </c>
      <c r="AM78" s="30">
        <v>60800</v>
      </c>
      <c r="AN78" s="30">
        <v>322700</v>
      </c>
      <c r="AO78" s="30">
        <v>383500</v>
      </c>
      <c r="AP78" s="30">
        <f>Lookups!$B$58*0.6</f>
        <v>132535.48800000001</v>
      </c>
      <c r="AQ78" s="30">
        <f>Lookups!$B$58*0.4</f>
        <v>88356.992000000013</v>
      </c>
      <c r="AR78" s="30">
        <f>Lookups!$B$59*Inventory[[#This Row],[LnAcres]]</f>
        <v>-23969.615653948869</v>
      </c>
      <c r="AS78" s="30">
        <f>VLOOKUP(Inventory[[#This Row],[Qlty]],Lookups!$A$66:$E$79,2,FALSE)</f>
        <v>37154.252388000001</v>
      </c>
      <c r="AT78" s="30">
        <f>VLOOKUP(Inventory[[#This Row],[Cnd]],Lookups!$A$80:$E$88,2,FALSE)</f>
        <v>47371.278778200001</v>
      </c>
      <c r="AU78" s="30">
        <f>Inventory[[#This Row],[EffAge]]*Lookups!$B$65</f>
        <v>-326.22329999999999</v>
      </c>
      <c r="AV78" s="30">
        <f>Inventory[[#This Row],[MainFn]]*Lookups!$B$90</f>
        <v>90619.871760000009</v>
      </c>
      <c r="AW78" s="30">
        <f>Inventory[[#This Row],[UpprFn]]*Lookups!$B$91</f>
        <v>0</v>
      </c>
      <c r="AX78" s="30">
        <f>Inventory[[#This Row],[Bsmt Area]]*Lookups!$B$95</f>
        <v>0</v>
      </c>
      <c r="AY78" s="30">
        <f>Inventory[[#This Row],[AttGar]]*Lookups!$B$93</f>
        <v>14120.412400000001</v>
      </c>
      <c r="AZ78" s="30">
        <f>ROUND(Inventory[[#This Row],[25Det]],-2)</f>
        <v>0</v>
      </c>
      <c r="BA78" s="30">
        <f>ROUND(SUM(Inventory[[#This Row],[Mdl Qlty]:[Mdl Garage Area]])+Inventory[[#This Row],[Mdl Res Intercept]],-2)</f>
        <v>321500</v>
      </c>
      <c r="BB78" s="30">
        <f>ROUND(Inventory[[#This Row],[Mdl Land Intercept]]+Inventory[[#This Row],[Mdl LnAcres]],-2)</f>
        <v>64400</v>
      </c>
      <c r="BC78" s="30">
        <f>Inventory[[#This Row],[Unadj Res Value]]+Inventory[[#This Row],[Unadj Det Value]]+Inventory[[#This Row],[Unadj Land Value]]</f>
        <v>385900</v>
      </c>
      <c r="BD78" s="30">
        <f>(Inventory[[#This Row],[Unadj Total Value]]-Inventory[[#This Row],[24Final]])/Inventory[[#This Row],[24Final]]</f>
        <v>6.2581486310299868E-3</v>
      </c>
      <c r="BE78" s="30">
        <f>VLOOKUP(Inventory[[#This Row],[Nbhd]],Lookups!$M$3:$P$5,4,FALSE)</f>
        <v>0.99970000000000003</v>
      </c>
      <c r="BF78" s="30">
        <f>VLOOKUP(Inventory[[#This Row],[Qlty]],Lookups!$M$8:$P$22,4,FALSE)</f>
        <v>0.99819999999999998</v>
      </c>
      <c r="BG78" s="30">
        <f>VLOOKUP(Inventory[[#This Row],[Cnd]],Lookups!$R$8:$U$17,4,FALSE)</f>
        <v>1.0012000000000001</v>
      </c>
      <c r="BH78" s="30">
        <f>VLOOKUP(Inventory[[#This Row],[LivArea Range]],Lookups!$R$25:$U$43,4,FALSE)</f>
        <v>0.99519999999999997</v>
      </c>
      <c r="BI78" s="30">
        <f>VLOOKUP(Inventory[[#This Row],[Decade]],Lookups!$M$24:$P$40,4,FALSE)</f>
        <v>1</v>
      </c>
      <c r="BJ78" s="30">
        <f>Inventory[[#This Row],[Nbhd Adj]]*0.95</f>
        <v>0.94971499999999998</v>
      </c>
      <c r="BK78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78" s="30">
        <f>ROUND((SUM(Inventory[[#This Row],[Mdl Qlty]:[Mdl Garage Area]])+Inventory[[#This Row],[Mdl Res Intercept]])*Inventory[[#This Row],[Res Adj ]],-2)</f>
        <v>305100</v>
      </c>
      <c r="BM78" s="30">
        <f>ROUND(Inventory[[#This Row],[25Det]]*Inventory[[#This Row],[Det/Nbhd Adj]],-2)</f>
        <v>0</v>
      </c>
      <c r="BN78" s="30">
        <f>Inventory[[#This Row],[Adjusted Res]]+Inventory[[#This Row],[Adj Det ]]</f>
        <v>305100</v>
      </c>
      <c r="BO78" s="30">
        <f>ROUND((Inventory[[#This Row],[Mdl Land Intercept]]+Inventory[[#This Row],[Mdl LnAcres]])*Inventory[[#This Row],[Det/Nbhd Adj]],-2)</f>
        <v>61100</v>
      </c>
      <c r="BP78" s="30">
        <f>Inventory[[#This Row],[Adjusted Impr Total]]+Inventory[[#This Row],[Adjusted Land Total]]</f>
        <v>366200</v>
      </c>
      <c r="BQ78" s="30">
        <f>IFERROR((Inventory[[#This Row],[Adjusted Impr Total]]-Inventory[[#This Row],[24Bldg]])/Inventory[[#This Row],[24Bldg]],0)</f>
        <v>-5.4539820266501393E-2</v>
      </c>
      <c r="BR78" s="43">
        <f>(Inventory[[#This Row],[Adjusted Land Total]]-Inventory[[#This Row],[24Lnd]])/Inventory[[#This Row],[24Lnd]]</f>
        <v>4.9342105263157892E-3</v>
      </c>
      <c r="BS78" s="43">
        <f>(Inventory[[#This Row],[Adjusted Total]]-Inventory[[#This Row],[24Final]])/Inventory[[#This Row],[24Final]]</f>
        <v>-4.5110821382007824E-2</v>
      </c>
    </row>
    <row r="79" spans="1:71">
      <c r="A79" s="30">
        <v>2025</v>
      </c>
      <c r="B79" s="31" t="s">
        <v>588</v>
      </c>
      <c r="C79" s="31">
        <f>LN(Inventory[[#This Row],[Acres]])</f>
        <v>-1.8263509139976741</v>
      </c>
      <c r="D79" s="37">
        <f>ROUND(Inventory[[#This Row],[Sqft]]/43560,3)</f>
        <v>0.161</v>
      </c>
      <c r="E79" s="30">
        <v>7002</v>
      </c>
      <c r="F79" s="31" t="s">
        <v>505</v>
      </c>
      <c r="G79" s="31" t="s">
        <v>155</v>
      </c>
      <c r="H79" s="31" t="s">
        <v>5</v>
      </c>
      <c r="I79" s="31" t="s">
        <v>506</v>
      </c>
      <c r="J79" s="31" t="s">
        <v>507</v>
      </c>
      <c r="K79" s="31" t="s">
        <v>157</v>
      </c>
      <c r="L79" s="31" t="s">
        <v>19</v>
      </c>
      <c r="M79" s="31" t="s">
        <v>24</v>
      </c>
      <c r="N79" s="31">
        <v>0</v>
      </c>
      <c r="O79" s="31">
        <f>2024-Inventory[[#This Row],[YrBlt]]</f>
        <v>3</v>
      </c>
      <c r="P79" s="31">
        <f>2024-Inventory[[#This Row],[EffYr]]</f>
        <v>3</v>
      </c>
      <c r="Q79" s="30">
        <v>2021</v>
      </c>
      <c r="R79" s="30">
        <v>2021</v>
      </c>
      <c r="S79" s="30">
        <v>1619</v>
      </c>
      <c r="T79" s="32"/>
      <c r="U79" s="32"/>
      <c r="V79" s="32"/>
      <c r="W79" s="32"/>
      <c r="X79" s="32">
        <f>Inventory[[#This Row],[Bsmt Area]]-Inventory[[#This Row],[FnBsmt]]</f>
        <v>0</v>
      </c>
      <c r="Y79" s="32">
        <f>Inventory[[#This Row],[MainFn]]+Inventory[[#This Row],[UpprFn]]+Inventory[[#This Row],[AddFn]]+Inventory[[#This Row],[FnBsmt]]</f>
        <v>1619</v>
      </c>
      <c r="Z79" s="32">
        <v>2000</v>
      </c>
      <c r="AA79" s="31" t="s">
        <v>56</v>
      </c>
      <c r="AB79" s="32"/>
      <c r="AC79" s="38">
        <v>480</v>
      </c>
      <c r="AD79" s="32"/>
      <c r="AE79" s="32"/>
      <c r="AF79" s="32"/>
      <c r="AG79" s="32"/>
      <c r="AH79" s="32"/>
      <c r="AI79" s="30">
        <v>321656</v>
      </c>
      <c r="AJ79" s="30">
        <v>312006</v>
      </c>
      <c r="AK79" s="30">
        <v>0</v>
      </c>
      <c r="AL79" s="30">
        <v>0</v>
      </c>
      <c r="AM79" s="30">
        <v>60800</v>
      </c>
      <c r="AN79" s="30">
        <v>336400</v>
      </c>
      <c r="AO79" s="30">
        <v>397200</v>
      </c>
      <c r="AP79" s="30">
        <f>Lookups!$B$58*0.6</f>
        <v>132535.48800000001</v>
      </c>
      <c r="AQ79" s="30">
        <f>Lookups!$B$58*0.4</f>
        <v>88356.992000000013</v>
      </c>
      <c r="AR79" s="30">
        <f>Lookups!$B$59*Inventory[[#This Row],[LnAcres]]</f>
        <v>-23969.615653948869</v>
      </c>
      <c r="AS79" s="30">
        <f>VLOOKUP(Inventory[[#This Row],[Qlty]],Lookups!$A$66:$E$79,2,FALSE)</f>
        <v>37154.252388000001</v>
      </c>
      <c r="AT79" s="30">
        <f>VLOOKUP(Inventory[[#This Row],[Cnd]],Lookups!$A$80:$E$88,2,FALSE)</f>
        <v>47371.278778200001</v>
      </c>
      <c r="AU79" s="30">
        <f>Inventory[[#This Row],[EffAge]]*Lookups!$B$65</f>
        <v>-326.22329999999999</v>
      </c>
      <c r="AV79" s="30">
        <f>Inventory[[#This Row],[MainFn]]*Lookups!$B$90</f>
        <v>101042.40522</v>
      </c>
      <c r="AW79" s="30">
        <f>Inventory[[#This Row],[UpprFn]]*Lookups!$B$91</f>
        <v>0</v>
      </c>
      <c r="AX79" s="30">
        <f>Inventory[[#This Row],[Bsmt Area]]*Lookups!$B$95</f>
        <v>0</v>
      </c>
      <c r="AY79" s="30">
        <f>Inventory[[#This Row],[AttGar]]*Lookups!$B$93</f>
        <v>16944.494880000002</v>
      </c>
      <c r="AZ79" s="30">
        <f>ROUND(Inventory[[#This Row],[25Det]],-2)</f>
        <v>0</v>
      </c>
      <c r="BA79" s="30">
        <f>ROUND(SUM(Inventory[[#This Row],[Mdl Qlty]:[Mdl Garage Area]])+Inventory[[#This Row],[Mdl Res Intercept]],-2)</f>
        <v>334700</v>
      </c>
      <c r="BB79" s="30">
        <f>ROUND(Inventory[[#This Row],[Mdl Land Intercept]]+Inventory[[#This Row],[Mdl LnAcres]],-2)</f>
        <v>64400</v>
      </c>
      <c r="BC79" s="30">
        <f>Inventory[[#This Row],[Unadj Res Value]]+Inventory[[#This Row],[Unadj Det Value]]+Inventory[[#This Row],[Unadj Land Value]]</f>
        <v>399100</v>
      </c>
      <c r="BD79" s="30">
        <f>(Inventory[[#This Row],[Unadj Total Value]]-Inventory[[#This Row],[24Final]])/Inventory[[#This Row],[24Final]]</f>
        <v>4.7834843907351458E-3</v>
      </c>
      <c r="BE79" s="30">
        <f>VLOOKUP(Inventory[[#This Row],[Nbhd]],Lookups!$M$3:$P$5,4,FALSE)</f>
        <v>0.99970000000000003</v>
      </c>
      <c r="BF79" s="30">
        <f>VLOOKUP(Inventory[[#This Row],[Qlty]],Lookups!$M$8:$P$22,4,FALSE)</f>
        <v>0.99819999999999998</v>
      </c>
      <c r="BG79" s="30">
        <f>VLOOKUP(Inventory[[#This Row],[Cnd]],Lookups!$R$8:$U$17,4,FALSE)</f>
        <v>1.0012000000000001</v>
      </c>
      <c r="BH79" s="30">
        <f>VLOOKUP(Inventory[[#This Row],[LivArea Range]],Lookups!$R$25:$U$43,4,FALSE)</f>
        <v>1.0007999999999999</v>
      </c>
      <c r="BI79" s="30">
        <f>VLOOKUP(Inventory[[#This Row],[Decade]],Lookups!$M$24:$P$40,4,FALSE)</f>
        <v>1</v>
      </c>
      <c r="BJ79" s="30">
        <f>Inventory[[#This Row],[Nbhd Adj]]*0.95</f>
        <v>0.94971499999999998</v>
      </c>
      <c r="BK79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79" s="30">
        <f>ROUND((SUM(Inventory[[#This Row],[Mdl Qlty]:[Mdl Garage Area]])+Inventory[[#This Row],[Mdl Res Intercept]])*Inventory[[#This Row],[Res Adj ]],-2)</f>
        <v>318000</v>
      </c>
      <c r="BM79" s="30">
        <f>ROUND(Inventory[[#This Row],[25Det]]*Inventory[[#This Row],[Det/Nbhd Adj]],-2)</f>
        <v>0</v>
      </c>
      <c r="BN79" s="30">
        <f>Inventory[[#This Row],[Adjusted Res]]+Inventory[[#This Row],[Adj Det ]]</f>
        <v>318000</v>
      </c>
      <c r="BO79" s="30">
        <f>ROUND((Inventory[[#This Row],[Mdl Land Intercept]]+Inventory[[#This Row],[Mdl LnAcres]])*Inventory[[#This Row],[Det/Nbhd Adj]],-2)</f>
        <v>61100</v>
      </c>
      <c r="BP79" s="30">
        <f>Inventory[[#This Row],[Adjusted Impr Total]]+Inventory[[#This Row],[Adjusted Land Total]]</f>
        <v>379100</v>
      </c>
      <c r="BQ79" s="30">
        <f>IFERROR((Inventory[[#This Row],[Adjusted Impr Total]]-Inventory[[#This Row],[24Bldg]])/Inventory[[#This Row],[24Bldg]],0)</f>
        <v>-5.4696789536266346E-2</v>
      </c>
      <c r="BR79" s="43">
        <f>(Inventory[[#This Row],[Adjusted Land Total]]-Inventory[[#This Row],[24Lnd]])/Inventory[[#This Row],[24Lnd]]</f>
        <v>4.9342105263157892E-3</v>
      </c>
      <c r="BS79" s="43">
        <f>(Inventory[[#This Row],[Adjusted Total]]-Inventory[[#This Row],[24Final]])/Inventory[[#This Row],[24Final]]</f>
        <v>-4.5568982880161125E-2</v>
      </c>
    </row>
    <row r="80" spans="1:71">
      <c r="A80" s="30">
        <v>2025</v>
      </c>
      <c r="B80" s="31" t="s">
        <v>589</v>
      </c>
      <c r="C80" s="31">
        <f>LN(Inventory[[#This Row],[Acres]])</f>
        <v>-1.8263509139976741</v>
      </c>
      <c r="D80" s="37">
        <f>ROUND(Inventory[[#This Row],[Sqft]]/43560,3)</f>
        <v>0.161</v>
      </c>
      <c r="E80" s="30">
        <v>7002</v>
      </c>
      <c r="F80" s="31" t="s">
        <v>505</v>
      </c>
      <c r="G80" s="31" t="s">
        <v>155</v>
      </c>
      <c r="H80" s="31" t="s">
        <v>5</v>
      </c>
      <c r="I80" s="31" t="s">
        <v>506</v>
      </c>
      <c r="J80" s="31" t="s">
        <v>507</v>
      </c>
      <c r="K80" s="31" t="s">
        <v>157</v>
      </c>
      <c r="L80" s="31" t="s">
        <v>19</v>
      </c>
      <c r="M80" s="31" t="s">
        <v>24</v>
      </c>
      <c r="N80" s="31">
        <v>0</v>
      </c>
      <c r="O80" s="31">
        <f>2024-Inventory[[#This Row],[YrBlt]]</f>
        <v>3</v>
      </c>
      <c r="P80" s="31">
        <f>2024-Inventory[[#This Row],[EffYr]]</f>
        <v>3</v>
      </c>
      <c r="Q80" s="30">
        <v>2021</v>
      </c>
      <c r="R80" s="30">
        <v>2021</v>
      </c>
      <c r="S80" s="30">
        <v>1580</v>
      </c>
      <c r="T80" s="32"/>
      <c r="U80" s="32"/>
      <c r="V80" s="32"/>
      <c r="W80" s="32"/>
      <c r="X80" s="32">
        <f>Inventory[[#This Row],[Bsmt Area]]-Inventory[[#This Row],[FnBsmt]]</f>
        <v>0</v>
      </c>
      <c r="Y80" s="32">
        <f>Inventory[[#This Row],[MainFn]]+Inventory[[#This Row],[UpprFn]]+Inventory[[#This Row],[AddFn]]+Inventory[[#This Row],[FnBsmt]]</f>
        <v>1580</v>
      </c>
      <c r="Z80" s="32">
        <v>2000</v>
      </c>
      <c r="AA80" s="31" t="s">
        <v>56</v>
      </c>
      <c r="AB80" s="32"/>
      <c r="AC80" s="38">
        <v>400</v>
      </c>
      <c r="AD80" s="32"/>
      <c r="AE80" s="32"/>
      <c r="AF80" s="32"/>
      <c r="AG80" s="32"/>
      <c r="AH80" s="32"/>
      <c r="AI80" s="30">
        <v>309994</v>
      </c>
      <c r="AJ80" s="30">
        <v>300694</v>
      </c>
      <c r="AK80" s="30">
        <v>0</v>
      </c>
      <c r="AL80" s="30">
        <v>0</v>
      </c>
      <c r="AM80" s="30">
        <v>60800</v>
      </c>
      <c r="AN80" s="30">
        <v>325300</v>
      </c>
      <c r="AO80" s="30">
        <v>386100</v>
      </c>
      <c r="AP80" s="30">
        <f>Lookups!$B$58*0.6</f>
        <v>132535.48800000001</v>
      </c>
      <c r="AQ80" s="30">
        <f>Lookups!$B$58*0.4</f>
        <v>88356.992000000013</v>
      </c>
      <c r="AR80" s="30">
        <f>Lookups!$B$59*Inventory[[#This Row],[LnAcres]]</f>
        <v>-23969.615653948869</v>
      </c>
      <c r="AS80" s="30">
        <f>VLOOKUP(Inventory[[#This Row],[Qlty]],Lookups!$A$66:$E$79,2,FALSE)</f>
        <v>37154.252388000001</v>
      </c>
      <c r="AT80" s="30">
        <f>VLOOKUP(Inventory[[#This Row],[Cnd]],Lookups!$A$80:$E$88,2,FALSE)</f>
        <v>47371.278778200001</v>
      </c>
      <c r="AU80" s="30">
        <f>Inventory[[#This Row],[EffAge]]*Lookups!$B$65</f>
        <v>-326.22329999999999</v>
      </c>
      <c r="AV80" s="30">
        <f>Inventory[[#This Row],[MainFn]]*Lookups!$B$90</f>
        <v>98608.400399999999</v>
      </c>
      <c r="AW80" s="30">
        <f>Inventory[[#This Row],[UpprFn]]*Lookups!$B$91</f>
        <v>0</v>
      </c>
      <c r="AX80" s="30">
        <f>Inventory[[#This Row],[Bsmt Area]]*Lookups!$B$95</f>
        <v>0</v>
      </c>
      <c r="AY80" s="30">
        <f>Inventory[[#This Row],[AttGar]]*Lookups!$B$93</f>
        <v>14120.412400000001</v>
      </c>
      <c r="AZ80" s="30">
        <f>ROUND(Inventory[[#This Row],[25Det]],-2)</f>
        <v>0</v>
      </c>
      <c r="BA80" s="30">
        <f>ROUND(SUM(Inventory[[#This Row],[Mdl Qlty]:[Mdl Garage Area]])+Inventory[[#This Row],[Mdl Res Intercept]],-2)</f>
        <v>329500</v>
      </c>
      <c r="BB80" s="30">
        <f>ROUND(Inventory[[#This Row],[Mdl Land Intercept]]+Inventory[[#This Row],[Mdl LnAcres]],-2)</f>
        <v>64400</v>
      </c>
      <c r="BC80" s="30">
        <f>Inventory[[#This Row],[Unadj Res Value]]+Inventory[[#This Row],[Unadj Det Value]]+Inventory[[#This Row],[Unadj Land Value]]</f>
        <v>393900</v>
      </c>
      <c r="BD80" s="30">
        <f>(Inventory[[#This Row],[Unadj Total Value]]-Inventory[[#This Row],[24Final]])/Inventory[[#This Row],[24Final]]</f>
        <v>2.0202020202020204E-2</v>
      </c>
      <c r="BE80" s="30">
        <f>VLOOKUP(Inventory[[#This Row],[Nbhd]],Lookups!$M$3:$P$5,4,FALSE)</f>
        <v>0.99970000000000003</v>
      </c>
      <c r="BF80" s="30">
        <f>VLOOKUP(Inventory[[#This Row],[Qlty]],Lookups!$M$8:$P$22,4,FALSE)</f>
        <v>0.99819999999999998</v>
      </c>
      <c r="BG80" s="30">
        <f>VLOOKUP(Inventory[[#This Row],[Cnd]],Lookups!$R$8:$U$17,4,FALSE)</f>
        <v>1.0012000000000001</v>
      </c>
      <c r="BH80" s="30">
        <f>VLOOKUP(Inventory[[#This Row],[LivArea Range]],Lookups!$R$25:$U$43,4,FALSE)</f>
        <v>1.0007999999999999</v>
      </c>
      <c r="BI80" s="30">
        <f>VLOOKUP(Inventory[[#This Row],[Decade]],Lookups!$M$24:$P$40,4,FALSE)</f>
        <v>1</v>
      </c>
      <c r="BJ80" s="30">
        <f>Inventory[[#This Row],[Nbhd Adj]]*0.95</f>
        <v>0.94971499999999998</v>
      </c>
      <c r="BK80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80" s="30">
        <f>ROUND((SUM(Inventory[[#This Row],[Mdl Qlty]:[Mdl Garage Area]])+Inventory[[#This Row],[Mdl Res Intercept]])*Inventory[[#This Row],[Res Adj ]],-2)</f>
        <v>313000</v>
      </c>
      <c r="BM80" s="30">
        <f>ROUND(Inventory[[#This Row],[25Det]]*Inventory[[#This Row],[Det/Nbhd Adj]],-2)</f>
        <v>0</v>
      </c>
      <c r="BN80" s="30">
        <f>Inventory[[#This Row],[Adjusted Res]]+Inventory[[#This Row],[Adj Det ]]</f>
        <v>313000</v>
      </c>
      <c r="BO80" s="30">
        <f>ROUND((Inventory[[#This Row],[Mdl Land Intercept]]+Inventory[[#This Row],[Mdl LnAcres]])*Inventory[[#This Row],[Det/Nbhd Adj]],-2)</f>
        <v>61100</v>
      </c>
      <c r="BP80" s="30">
        <f>Inventory[[#This Row],[Adjusted Impr Total]]+Inventory[[#This Row],[Adjusted Land Total]]</f>
        <v>374100</v>
      </c>
      <c r="BQ80" s="30">
        <f>IFERROR((Inventory[[#This Row],[Adjusted Impr Total]]-Inventory[[#This Row],[24Bldg]])/Inventory[[#This Row],[24Bldg]],0)</f>
        <v>-3.7811251152782048E-2</v>
      </c>
      <c r="BR80" s="43">
        <f>(Inventory[[#This Row],[Adjusted Land Total]]-Inventory[[#This Row],[24Lnd]])/Inventory[[#This Row],[24Lnd]]</f>
        <v>4.9342105263157892E-3</v>
      </c>
      <c r="BS80" s="43">
        <f>(Inventory[[#This Row],[Adjusted Total]]-Inventory[[#This Row],[24Final]])/Inventory[[#This Row],[24Final]]</f>
        <v>-3.108003108003108E-2</v>
      </c>
    </row>
    <row r="81" spans="1:71">
      <c r="A81" s="30">
        <v>2025</v>
      </c>
      <c r="B81" s="31" t="s">
        <v>590</v>
      </c>
      <c r="C81" s="31">
        <f>LN(Inventory[[#This Row],[Acres]])</f>
        <v>-1.8263509139976741</v>
      </c>
      <c r="D81" s="37">
        <f>ROUND(Inventory[[#This Row],[Sqft]]/43560,3)</f>
        <v>0.161</v>
      </c>
      <c r="E81" s="30">
        <v>7002</v>
      </c>
      <c r="F81" s="31" t="s">
        <v>505</v>
      </c>
      <c r="G81" s="31" t="s">
        <v>155</v>
      </c>
      <c r="H81" s="31" t="s">
        <v>5</v>
      </c>
      <c r="I81" s="31" t="s">
        <v>506</v>
      </c>
      <c r="J81" s="31" t="s">
        <v>507</v>
      </c>
      <c r="K81" s="31" t="s">
        <v>157</v>
      </c>
      <c r="L81" s="31" t="s">
        <v>19</v>
      </c>
      <c r="M81" s="31" t="s">
        <v>24</v>
      </c>
      <c r="N81" s="31">
        <v>0</v>
      </c>
      <c r="O81" s="31">
        <f>2024-Inventory[[#This Row],[YrBlt]]</f>
        <v>3</v>
      </c>
      <c r="P81" s="31">
        <f>2024-Inventory[[#This Row],[EffYr]]</f>
        <v>3</v>
      </c>
      <c r="Q81" s="30">
        <v>2021</v>
      </c>
      <c r="R81" s="30">
        <v>2021</v>
      </c>
      <c r="S81" s="30">
        <v>1580</v>
      </c>
      <c r="T81" s="32"/>
      <c r="U81" s="37"/>
      <c r="V81" s="32"/>
      <c r="W81" s="32"/>
      <c r="X81" s="32">
        <f>Inventory[[#This Row],[Bsmt Area]]-Inventory[[#This Row],[FnBsmt]]</f>
        <v>0</v>
      </c>
      <c r="Y81" s="32">
        <f>Inventory[[#This Row],[MainFn]]+Inventory[[#This Row],[UpprFn]]+Inventory[[#This Row],[AddFn]]+Inventory[[#This Row],[FnBsmt]]</f>
        <v>1580</v>
      </c>
      <c r="Z81" s="32">
        <v>2000</v>
      </c>
      <c r="AA81" s="31" t="s">
        <v>56</v>
      </c>
      <c r="AB81" s="32"/>
      <c r="AC81" s="38">
        <v>400</v>
      </c>
      <c r="AD81" s="32"/>
      <c r="AE81" s="32"/>
      <c r="AF81" s="32"/>
      <c r="AG81" s="32"/>
      <c r="AH81" s="32"/>
      <c r="AI81" s="30">
        <v>309994</v>
      </c>
      <c r="AJ81" s="30">
        <v>300694</v>
      </c>
      <c r="AK81" s="30">
        <v>0</v>
      </c>
      <c r="AL81" s="30">
        <v>0</v>
      </c>
      <c r="AM81" s="30">
        <v>60800</v>
      </c>
      <c r="AN81" s="30">
        <v>325300</v>
      </c>
      <c r="AO81" s="30">
        <v>386100</v>
      </c>
      <c r="AP81" s="30">
        <f>Lookups!$B$58*0.6</f>
        <v>132535.48800000001</v>
      </c>
      <c r="AQ81" s="30">
        <f>Lookups!$B$58*0.4</f>
        <v>88356.992000000013</v>
      </c>
      <c r="AR81" s="30">
        <f>Lookups!$B$59*Inventory[[#This Row],[LnAcres]]</f>
        <v>-23969.615653948869</v>
      </c>
      <c r="AS81" s="30">
        <f>VLOOKUP(Inventory[[#This Row],[Qlty]],Lookups!$A$66:$E$79,2,FALSE)</f>
        <v>37154.252388000001</v>
      </c>
      <c r="AT81" s="30">
        <f>VLOOKUP(Inventory[[#This Row],[Cnd]],Lookups!$A$80:$E$88,2,FALSE)</f>
        <v>47371.278778200001</v>
      </c>
      <c r="AU81" s="30">
        <f>Inventory[[#This Row],[EffAge]]*Lookups!$B$65</f>
        <v>-326.22329999999999</v>
      </c>
      <c r="AV81" s="30">
        <f>Inventory[[#This Row],[MainFn]]*Lookups!$B$90</f>
        <v>98608.400399999999</v>
      </c>
      <c r="AW81" s="30">
        <f>Inventory[[#This Row],[UpprFn]]*Lookups!$B$91</f>
        <v>0</v>
      </c>
      <c r="AX81" s="30">
        <f>Inventory[[#This Row],[Bsmt Area]]*Lookups!$B$95</f>
        <v>0</v>
      </c>
      <c r="AY81" s="30">
        <f>Inventory[[#This Row],[AttGar]]*Lookups!$B$93</f>
        <v>14120.412400000001</v>
      </c>
      <c r="AZ81" s="30">
        <f>ROUND(Inventory[[#This Row],[25Det]],-2)</f>
        <v>0</v>
      </c>
      <c r="BA81" s="30">
        <f>ROUND(SUM(Inventory[[#This Row],[Mdl Qlty]:[Mdl Garage Area]])+Inventory[[#This Row],[Mdl Res Intercept]],-2)</f>
        <v>329500</v>
      </c>
      <c r="BB81" s="30">
        <f>ROUND(Inventory[[#This Row],[Mdl Land Intercept]]+Inventory[[#This Row],[Mdl LnAcres]],-2)</f>
        <v>64400</v>
      </c>
      <c r="BC81" s="30">
        <f>Inventory[[#This Row],[Unadj Res Value]]+Inventory[[#This Row],[Unadj Det Value]]+Inventory[[#This Row],[Unadj Land Value]]</f>
        <v>393900</v>
      </c>
      <c r="BD81" s="30">
        <f>(Inventory[[#This Row],[Unadj Total Value]]-Inventory[[#This Row],[24Final]])/Inventory[[#This Row],[24Final]]</f>
        <v>2.0202020202020204E-2</v>
      </c>
      <c r="BE81" s="30">
        <f>VLOOKUP(Inventory[[#This Row],[Nbhd]],Lookups!$M$3:$P$5,4,FALSE)</f>
        <v>0.99970000000000003</v>
      </c>
      <c r="BF81" s="30">
        <f>VLOOKUP(Inventory[[#This Row],[Qlty]],Lookups!$M$8:$P$22,4,FALSE)</f>
        <v>0.99819999999999998</v>
      </c>
      <c r="BG81" s="30">
        <f>VLOOKUP(Inventory[[#This Row],[Cnd]],Lookups!$R$8:$U$17,4,FALSE)</f>
        <v>1.0012000000000001</v>
      </c>
      <c r="BH81" s="30">
        <f>VLOOKUP(Inventory[[#This Row],[LivArea Range]],Lookups!$R$25:$U$43,4,FALSE)</f>
        <v>1.0007999999999999</v>
      </c>
      <c r="BI81" s="30">
        <f>VLOOKUP(Inventory[[#This Row],[Decade]],Lookups!$M$24:$P$40,4,FALSE)</f>
        <v>1</v>
      </c>
      <c r="BJ81" s="30">
        <f>Inventory[[#This Row],[Nbhd Adj]]*0.95</f>
        <v>0.94971499999999998</v>
      </c>
      <c r="BK81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81" s="30">
        <f>ROUND((SUM(Inventory[[#This Row],[Mdl Qlty]:[Mdl Garage Area]])+Inventory[[#This Row],[Mdl Res Intercept]])*Inventory[[#This Row],[Res Adj ]],-2)</f>
        <v>313000</v>
      </c>
      <c r="BM81" s="30">
        <f>ROUND(Inventory[[#This Row],[25Det]]*Inventory[[#This Row],[Det/Nbhd Adj]],-2)</f>
        <v>0</v>
      </c>
      <c r="BN81" s="30">
        <f>Inventory[[#This Row],[Adjusted Res]]+Inventory[[#This Row],[Adj Det ]]</f>
        <v>313000</v>
      </c>
      <c r="BO81" s="30">
        <f>ROUND((Inventory[[#This Row],[Mdl Land Intercept]]+Inventory[[#This Row],[Mdl LnAcres]])*Inventory[[#This Row],[Det/Nbhd Adj]],-2)</f>
        <v>61100</v>
      </c>
      <c r="BP81" s="30">
        <f>Inventory[[#This Row],[Adjusted Impr Total]]+Inventory[[#This Row],[Adjusted Land Total]]</f>
        <v>374100</v>
      </c>
      <c r="BQ81" s="30">
        <f>IFERROR((Inventory[[#This Row],[Adjusted Impr Total]]-Inventory[[#This Row],[24Bldg]])/Inventory[[#This Row],[24Bldg]],0)</f>
        <v>-3.7811251152782048E-2</v>
      </c>
      <c r="BR81" s="43">
        <f>(Inventory[[#This Row],[Adjusted Land Total]]-Inventory[[#This Row],[24Lnd]])/Inventory[[#This Row],[24Lnd]]</f>
        <v>4.9342105263157892E-3</v>
      </c>
      <c r="BS81" s="43">
        <f>(Inventory[[#This Row],[Adjusted Total]]-Inventory[[#This Row],[24Final]])/Inventory[[#This Row],[24Final]]</f>
        <v>-3.108003108003108E-2</v>
      </c>
    </row>
    <row r="82" spans="1:71">
      <c r="A82" s="30">
        <v>2025</v>
      </c>
      <c r="B82" s="31" t="s">
        <v>591</v>
      </c>
      <c r="C82" s="31">
        <f>LN(Inventory[[#This Row],[Acres]])</f>
        <v>-1.8263509139976741</v>
      </c>
      <c r="D82" s="37">
        <f>ROUND(Inventory[[#This Row],[Sqft]]/43560,3)</f>
        <v>0.161</v>
      </c>
      <c r="E82" s="38">
        <v>7002</v>
      </c>
      <c r="F82" s="31" t="s">
        <v>505</v>
      </c>
      <c r="G82" s="31" t="s">
        <v>155</v>
      </c>
      <c r="H82" s="31" t="s">
        <v>5</v>
      </c>
      <c r="I82" s="31" t="s">
        <v>506</v>
      </c>
      <c r="J82" s="31" t="s">
        <v>507</v>
      </c>
      <c r="K82" s="31" t="s">
        <v>330</v>
      </c>
      <c r="L82" s="31" t="s">
        <v>19</v>
      </c>
      <c r="M82" s="31" t="s">
        <v>24</v>
      </c>
      <c r="N82" s="31">
        <v>0</v>
      </c>
      <c r="O82" s="31">
        <f>2024-Inventory[[#This Row],[YrBlt]]</f>
        <v>3</v>
      </c>
      <c r="P82" s="31">
        <f>2024-Inventory[[#This Row],[EffYr]]</f>
        <v>3</v>
      </c>
      <c r="Q82" s="30">
        <v>2021</v>
      </c>
      <c r="R82" s="30">
        <v>2021</v>
      </c>
      <c r="S82" s="30">
        <v>1240</v>
      </c>
      <c r="T82" s="32"/>
      <c r="U82" s="32"/>
      <c r="V82" s="32"/>
      <c r="W82" s="32"/>
      <c r="X82" s="32">
        <f>Inventory[[#This Row],[Bsmt Area]]-Inventory[[#This Row],[FnBsmt]]</f>
        <v>0</v>
      </c>
      <c r="Y82" s="32">
        <f>Inventory[[#This Row],[MainFn]]+Inventory[[#This Row],[UpprFn]]+Inventory[[#This Row],[AddFn]]+Inventory[[#This Row],[FnBsmt]]</f>
        <v>1240</v>
      </c>
      <c r="Z82" s="32">
        <v>1500</v>
      </c>
      <c r="AA82" s="31" t="s">
        <v>56</v>
      </c>
      <c r="AB82" s="37"/>
      <c r="AC82" s="30">
        <v>484</v>
      </c>
      <c r="AD82" s="32"/>
      <c r="AE82" s="32"/>
      <c r="AF82" s="32"/>
      <c r="AG82" s="32"/>
      <c r="AH82" s="32"/>
      <c r="AI82" s="30">
        <v>256372</v>
      </c>
      <c r="AJ82" s="30">
        <v>248681</v>
      </c>
      <c r="AK82" s="30">
        <v>0</v>
      </c>
      <c r="AL82" s="30">
        <v>0</v>
      </c>
      <c r="AM82" s="30">
        <v>60800</v>
      </c>
      <c r="AN82" s="30">
        <v>304600</v>
      </c>
      <c r="AO82" s="30">
        <v>365400</v>
      </c>
      <c r="AP82" s="30">
        <f>Lookups!$B$58*0.6</f>
        <v>132535.48800000001</v>
      </c>
      <c r="AQ82" s="30">
        <f>Lookups!$B$58*0.4</f>
        <v>88356.992000000013</v>
      </c>
      <c r="AR82" s="30">
        <f>Lookups!$B$59*Inventory[[#This Row],[LnAcres]]</f>
        <v>-23969.615653948869</v>
      </c>
      <c r="AS82" s="30">
        <f>VLOOKUP(Inventory[[#This Row],[Qlty]],Lookups!$A$66:$E$79,2,FALSE)</f>
        <v>37154.252388000001</v>
      </c>
      <c r="AT82" s="30">
        <f>VLOOKUP(Inventory[[#This Row],[Cnd]],Lookups!$A$80:$E$88,2,FALSE)</f>
        <v>47371.278778200001</v>
      </c>
      <c r="AU82" s="30">
        <f>Inventory[[#This Row],[EffAge]]*Lookups!$B$65</f>
        <v>-326.22329999999999</v>
      </c>
      <c r="AV82" s="30">
        <f>Inventory[[#This Row],[MainFn]]*Lookups!$B$90</f>
        <v>77388.871200000009</v>
      </c>
      <c r="AW82" s="30">
        <f>Inventory[[#This Row],[UpprFn]]*Lookups!$B$91</f>
        <v>0</v>
      </c>
      <c r="AX82" s="30">
        <f>Inventory[[#This Row],[Bsmt Area]]*Lookups!$B$95</f>
        <v>0</v>
      </c>
      <c r="AY82" s="30">
        <f>Inventory[[#This Row],[AttGar]]*Lookups!$B$93</f>
        <v>17085.699004000002</v>
      </c>
      <c r="AZ82" s="30">
        <f>ROUND(Inventory[[#This Row],[25Det]],-2)</f>
        <v>0</v>
      </c>
      <c r="BA82" s="30">
        <f>ROUND(SUM(Inventory[[#This Row],[Mdl Qlty]:[Mdl Garage Area]])+Inventory[[#This Row],[Mdl Res Intercept]],-2)</f>
        <v>311200</v>
      </c>
      <c r="BB82" s="30">
        <f>ROUND(Inventory[[#This Row],[Mdl Land Intercept]]+Inventory[[#This Row],[Mdl LnAcres]],-2)</f>
        <v>64400</v>
      </c>
      <c r="BC82" s="30">
        <f>Inventory[[#This Row],[Unadj Res Value]]+Inventory[[#This Row],[Unadj Det Value]]+Inventory[[#This Row],[Unadj Land Value]]</f>
        <v>375600</v>
      </c>
      <c r="BD82" s="30">
        <f>(Inventory[[#This Row],[Unadj Total Value]]-Inventory[[#This Row],[24Final]])/Inventory[[#This Row],[24Final]]</f>
        <v>2.7914614121510674E-2</v>
      </c>
      <c r="BE82" s="30">
        <f>VLOOKUP(Inventory[[#This Row],[Nbhd]],Lookups!$M$3:$P$5,4,FALSE)</f>
        <v>0.99970000000000003</v>
      </c>
      <c r="BF82" s="30">
        <f>VLOOKUP(Inventory[[#This Row],[Qlty]],Lookups!$M$8:$P$22,4,FALSE)</f>
        <v>0.99819999999999998</v>
      </c>
      <c r="BG82" s="30">
        <f>VLOOKUP(Inventory[[#This Row],[Cnd]],Lookups!$R$8:$U$17,4,FALSE)</f>
        <v>1.0012000000000001</v>
      </c>
      <c r="BH82" s="30">
        <f>VLOOKUP(Inventory[[#This Row],[LivArea Range]],Lookups!$R$25:$U$43,4,FALSE)</f>
        <v>0.99519999999999997</v>
      </c>
      <c r="BI82" s="30">
        <f>VLOOKUP(Inventory[[#This Row],[Decade]],Lookups!$M$24:$P$40,4,FALSE)</f>
        <v>1</v>
      </c>
      <c r="BJ82" s="30">
        <f>Inventory[[#This Row],[Nbhd Adj]]*0.95</f>
        <v>0.94971499999999998</v>
      </c>
      <c r="BK82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82" s="30">
        <f>ROUND((SUM(Inventory[[#This Row],[Mdl Qlty]:[Mdl Garage Area]])+Inventory[[#This Row],[Mdl Res Intercept]])*Inventory[[#This Row],[Res Adj ]],-2)</f>
        <v>295300</v>
      </c>
      <c r="BM82" s="30">
        <f>ROUND(Inventory[[#This Row],[25Det]]*Inventory[[#This Row],[Det/Nbhd Adj]],-2)</f>
        <v>0</v>
      </c>
      <c r="BN82" s="30">
        <f>Inventory[[#This Row],[Adjusted Res]]+Inventory[[#This Row],[Adj Det ]]</f>
        <v>295300</v>
      </c>
      <c r="BO82" s="30">
        <f>ROUND((Inventory[[#This Row],[Mdl Land Intercept]]+Inventory[[#This Row],[Mdl LnAcres]])*Inventory[[#This Row],[Det/Nbhd Adj]],-2)</f>
        <v>61100</v>
      </c>
      <c r="BP82" s="30">
        <f>Inventory[[#This Row],[Adjusted Impr Total]]+Inventory[[#This Row],[Adjusted Land Total]]</f>
        <v>356400</v>
      </c>
      <c r="BQ82" s="30">
        <f>IFERROR((Inventory[[#This Row],[Adjusted Impr Total]]-Inventory[[#This Row],[24Bldg]])/Inventory[[#This Row],[24Bldg]],0)</f>
        <v>-3.0531845042678925E-2</v>
      </c>
      <c r="BR82" s="43">
        <f>(Inventory[[#This Row],[Adjusted Land Total]]-Inventory[[#This Row],[24Lnd]])/Inventory[[#This Row],[24Lnd]]</f>
        <v>4.9342105263157892E-3</v>
      </c>
      <c r="BS82" s="43">
        <f>(Inventory[[#This Row],[Adjusted Total]]-Inventory[[#This Row],[24Final]])/Inventory[[#This Row],[24Final]]</f>
        <v>-2.4630541871921183E-2</v>
      </c>
    </row>
    <row r="83" spans="1:71">
      <c r="A83" s="30">
        <v>2025</v>
      </c>
      <c r="B83" s="31" t="s">
        <v>592</v>
      </c>
      <c r="C83" s="31">
        <f>LN(Inventory[[#This Row],[Acres]])</f>
        <v>-1.8263509139976741</v>
      </c>
      <c r="D83" s="37">
        <f>ROUND(Inventory[[#This Row],[Sqft]]/43560,3)</f>
        <v>0.161</v>
      </c>
      <c r="E83" s="30">
        <v>7002</v>
      </c>
      <c r="F83" s="31" t="s">
        <v>505</v>
      </c>
      <c r="G83" s="31" t="s">
        <v>155</v>
      </c>
      <c r="H83" s="31" t="s">
        <v>5</v>
      </c>
      <c r="I83" s="31" t="s">
        <v>506</v>
      </c>
      <c r="J83" s="31" t="s">
        <v>507</v>
      </c>
      <c r="K83" s="31" t="s">
        <v>157</v>
      </c>
      <c r="L83" s="31" t="s">
        <v>19</v>
      </c>
      <c r="M83" s="31" t="s">
        <v>24</v>
      </c>
      <c r="N83" s="31">
        <v>0</v>
      </c>
      <c r="O83" s="31">
        <f>2024-Inventory[[#This Row],[YrBlt]]</f>
        <v>3</v>
      </c>
      <c r="P83" s="31">
        <f>2024-Inventory[[#This Row],[EffYr]]</f>
        <v>3</v>
      </c>
      <c r="Q83" s="30">
        <v>2021</v>
      </c>
      <c r="R83" s="30">
        <v>2021</v>
      </c>
      <c r="S83" s="30">
        <v>1240</v>
      </c>
      <c r="T83" s="32"/>
      <c r="U83" s="32"/>
      <c r="V83" s="32"/>
      <c r="W83" s="32"/>
      <c r="X83" s="32">
        <f>Inventory[[#This Row],[Bsmt Area]]-Inventory[[#This Row],[FnBsmt]]</f>
        <v>0</v>
      </c>
      <c r="Y83" s="32">
        <f>Inventory[[#This Row],[MainFn]]+Inventory[[#This Row],[UpprFn]]+Inventory[[#This Row],[AddFn]]+Inventory[[#This Row],[FnBsmt]]</f>
        <v>1240</v>
      </c>
      <c r="Z83" s="32">
        <v>1500</v>
      </c>
      <c r="AA83" s="31" t="s">
        <v>56</v>
      </c>
      <c r="AB83" s="32"/>
      <c r="AC83" s="38">
        <v>484</v>
      </c>
      <c r="AD83" s="32"/>
      <c r="AE83" s="32"/>
      <c r="AF83" s="32"/>
      <c r="AG83" s="32"/>
      <c r="AH83" s="32"/>
      <c r="AI83" s="30">
        <v>259738</v>
      </c>
      <c r="AJ83" s="30">
        <v>251946</v>
      </c>
      <c r="AK83" s="30">
        <v>0</v>
      </c>
      <c r="AL83" s="30">
        <v>0</v>
      </c>
      <c r="AM83" s="30">
        <v>60800</v>
      </c>
      <c r="AN83" s="30">
        <v>304600</v>
      </c>
      <c r="AO83" s="30">
        <v>365400</v>
      </c>
      <c r="AP83" s="30">
        <f>Lookups!$B$58*0.6</f>
        <v>132535.48800000001</v>
      </c>
      <c r="AQ83" s="30">
        <f>Lookups!$B$58*0.4</f>
        <v>88356.992000000013</v>
      </c>
      <c r="AR83" s="30">
        <f>Lookups!$B$59*Inventory[[#This Row],[LnAcres]]</f>
        <v>-23969.615653948869</v>
      </c>
      <c r="AS83" s="30">
        <f>VLOOKUP(Inventory[[#This Row],[Qlty]],Lookups!$A$66:$E$79,2,FALSE)</f>
        <v>37154.252388000001</v>
      </c>
      <c r="AT83" s="30">
        <f>VLOOKUP(Inventory[[#This Row],[Cnd]],Lookups!$A$80:$E$88,2,FALSE)</f>
        <v>47371.278778200001</v>
      </c>
      <c r="AU83" s="30">
        <f>Inventory[[#This Row],[EffAge]]*Lookups!$B$65</f>
        <v>-326.22329999999999</v>
      </c>
      <c r="AV83" s="30">
        <f>Inventory[[#This Row],[MainFn]]*Lookups!$B$90</f>
        <v>77388.871200000009</v>
      </c>
      <c r="AW83" s="30">
        <f>Inventory[[#This Row],[UpprFn]]*Lookups!$B$91</f>
        <v>0</v>
      </c>
      <c r="AX83" s="30">
        <f>Inventory[[#This Row],[Bsmt Area]]*Lookups!$B$95</f>
        <v>0</v>
      </c>
      <c r="AY83" s="30">
        <f>Inventory[[#This Row],[AttGar]]*Lookups!$B$93</f>
        <v>17085.699004000002</v>
      </c>
      <c r="AZ83" s="30">
        <f>ROUND(Inventory[[#This Row],[25Det]],-2)</f>
        <v>0</v>
      </c>
      <c r="BA83" s="30">
        <f>ROUND(SUM(Inventory[[#This Row],[Mdl Qlty]:[Mdl Garage Area]])+Inventory[[#This Row],[Mdl Res Intercept]],-2)</f>
        <v>311200</v>
      </c>
      <c r="BB83" s="30">
        <f>ROUND(Inventory[[#This Row],[Mdl Land Intercept]]+Inventory[[#This Row],[Mdl LnAcres]],-2)</f>
        <v>64400</v>
      </c>
      <c r="BC83" s="30">
        <f>Inventory[[#This Row],[Unadj Res Value]]+Inventory[[#This Row],[Unadj Det Value]]+Inventory[[#This Row],[Unadj Land Value]]</f>
        <v>375600</v>
      </c>
      <c r="BD83" s="30">
        <f>(Inventory[[#This Row],[Unadj Total Value]]-Inventory[[#This Row],[24Final]])/Inventory[[#This Row],[24Final]]</f>
        <v>2.7914614121510674E-2</v>
      </c>
      <c r="BE83" s="30">
        <f>VLOOKUP(Inventory[[#This Row],[Nbhd]],Lookups!$M$3:$P$5,4,FALSE)</f>
        <v>0.99970000000000003</v>
      </c>
      <c r="BF83" s="30">
        <f>VLOOKUP(Inventory[[#This Row],[Qlty]],Lookups!$M$8:$P$22,4,FALSE)</f>
        <v>0.99819999999999998</v>
      </c>
      <c r="BG83" s="30">
        <f>VLOOKUP(Inventory[[#This Row],[Cnd]],Lookups!$R$8:$U$17,4,FALSE)</f>
        <v>1.0012000000000001</v>
      </c>
      <c r="BH83" s="30">
        <f>VLOOKUP(Inventory[[#This Row],[LivArea Range]],Lookups!$R$25:$U$43,4,FALSE)</f>
        <v>0.99519999999999997</v>
      </c>
      <c r="BI83" s="30">
        <f>VLOOKUP(Inventory[[#This Row],[Decade]],Lookups!$M$24:$P$40,4,FALSE)</f>
        <v>1</v>
      </c>
      <c r="BJ83" s="30">
        <f>Inventory[[#This Row],[Nbhd Adj]]*0.95</f>
        <v>0.94971499999999998</v>
      </c>
      <c r="BK83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83" s="30">
        <f>ROUND((SUM(Inventory[[#This Row],[Mdl Qlty]:[Mdl Garage Area]])+Inventory[[#This Row],[Mdl Res Intercept]])*Inventory[[#This Row],[Res Adj ]],-2)</f>
        <v>295300</v>
      </c>
      <c r="BM83" s="30">
        <f>ROUND(Inventory[[#This Row],[25Det]]*Inventory[[#This Row],[Det/Nbhd Adj]],-2)</f>
        <v>0</v>
      </c>
      <c r="BN83" s="30">
        <f>Inventory[[#This Row],[Adjusted Res]]+Inventory[[#This Row],[Adj Det ]]</f>
        <v>295300</v>
      </c>
      <c r="BO83" s="30">
        <f>ROUND((Inventory[[#This Row],[Mdl Land Intercept]]+Inventory[[#This Row],[Mdl LnAcres]])*Inventory[[#This Row],[Det/Nbhd Adj]],-2)</f>
        <v>61100</v>
      </c>
      <c r="BP83" s="30">
        <f>Inventory[[#This Row],[Adjusted Impr Total]]+Inventory[[#This Row],[Adjusted Land Total]]</f>
        <v>356400</v>
      </c>
      <c r="BQ83" s="30">
        <f>IFERROR((Inventory[[#This Row],[Adjusted Impr Total]]-Inventory[[#This Row],[24Bldg]])/Inventory[[#This Row],[24Bldg]],0)</f>
        <v>-3.0531845042678925E-2</v>
      </c>
      <c r="BR83" s="43">
        <f>(Inventory[[#This Row],[Adjusted Land Total]]-Inventory[[#This Row],[24Lnd]])/Inventory[[#This Row],[24Lnd]]</f>
        <v>4.9342105263157892E-3</v>
      </c>
      <c r="BS83" s="43">
        <f>(Inventory[[#This Row],[Adjusted Total]]-Inventory[[#This Row],[24Final]])/Inventory[[#This Row],[24Final]]</f>
        <v>-2.4630541871921183E-2</v>
      </c>
    </row>
    <row r="84" spans="1:71">
      <c r="A84" s="30">
        <v>2025</v>
      </c>
      <c r="B84" s="31" t="s">
        <v>593</v>
      </c>
      <c r="C84" s="31">
        <f>LN(Inventory[[#This Row],[Acres]])</f>
        <v>-1.8263509139976741</v>
      </c>
      <c r="D84" s="37">
        <f>ROUND(Inventory[[#This Row],[Sqft]]/43560,3)</f>
        <v>0.161</v>
      </c>
      <c r="E84" s="30">
        <v>7003</v>
      </c>
      <c r="F84" s="31" t="s">
        <v>505</v>
      </c>
      <c r="G84" s="31" t="s">
        <v>155</v>
      </c>
      <c r="H84" s="31" t="s">
        <v>5</v>
      </c>
      <c r="I84" s="31" t="s">
        <v>506</v>
      </c>
      <c r="J84" s="31" t="s">
        <v>507</v>
      </c>
      <c r="K84" s="31" t="s">
        <v>157</v>
      </c>
      <c r="L84" s="31" t="s">
        <v>19</v>
      </c>
      <c r="M84" s="31" t="s">
        <v>24</v>
      </c>
      <c r="N84" s="31">
        <v>0</v>
      </c>
      <c r="O84" s="31">
        <f>2024-Inventory[[#This Row],[YrBlt]]</f>
        <v>3</v>
      </c>
      <c r="P84" s="31">
        <f>2024-Inventory[[#This Row],[EffYr]]</f>
        <v>3</v>
      </c>
      <c r="Q84" s="30">
        <v>2021</v>
      </c>
      <c r="R84" s="30">
        <v>2021</v>
      </c>
      <c r="S84" s="30">
        <v>1240</v>
      </c>
      <c r="T84" s="37"/>
      <c r="U84" s="32"/>
      <c r="V84" s="32"/>
      <c r="W84" s="32"/>
      <c r="X84" s="32">
        <f>Inventory[[#This Row],[Bsmt Area]]-Inventory[[#This Row],[FnBsmt]]</f>
        <v>0</v>
      </c>
      <c r="Y84" s="32">
        <f>Inventory[[#This Row],[MainFn]]+Inventory[[#This Row],[UpprFn]]+Inventory[[#This Row],[AddFn]]+Inventory[[#This Row],[FnBsmt]]</f>
        <v>1240</v>
      </c>
      <c r="Z84" s="32">
        <v>1500</v>
      </c>
      <c r="AA84" s="31" t="s">
        <v>56</v>
      </c>
      <c r="AB84" s="37"/>
      <c r="AC84" s="38">
        <v>404</v>
      </c>
      <c r="AD84" s="32"/>
      <c r="AE84" s="32"/>
      <c r="AF84" s="32"/>
      <c r="AG84" s="32"/>
      <c r="AH84" s="32"/>
      <c r="AI84" s="30">
        <v>253357</v>
      </c>
      <c r="AJ84" s="30">
        <v>245756</v>
      </c>
      <c r="AK84" s="30">
        <v>0</v>
      </c>
      <c r="AL84" s="30">
        <v>0</v>
      </c>
      <c r="AM84" s="30">
        <v>60800</v>
      </c>
      <c r="AN84" s="30">
        <v>301200</v>
      </c>
      <c r="AO84" s="30">
        <v>362000</v>
      </c>
      <c r="AP84" s="30">
        <f>Lookups!$B$58*0.6</f>
        <v>132535.48800000001</v>
      </c>
      <c r="AQ84" s="30">
        <f>Lookups!$B$58*0.4</f>
        <v>88356.992000000013</v>
      </c>
      <c r="AR84" s="30">
        <f>Lookups!$B$59*Inventory[[#This Row],[LnAcres]]</f>
        <v>-23969.615653948869</v>
      </c>
      <c r="AS84" s="30">
        <f>VLOOKUP(Inventory[[#This Row],[Qlty]],Lookups!$A$66:$E$79,2,FALSE)</f>
        <v>37154.252388000001</v>
      </c>
      <c r="AT84" s="30">
        <f>VLOOKUP(Inventory[[#This Row],[Cnd]],Lookups!$A$80:$E$88,2,FALSE)</f>
        <v>47371.278778200001</v>
      </c>
      <c r="AU84" s="30">
        <f>Inventory[[#This Row],[EffAge]]*Lookups!$B$65</f>
        <v>-326.22329999999999</v>
      </c>
      <c r="AV84" s="30">
        <f>Inventory[[#This Row],[MainFn]]*Lookups!$B$90</f>
        <v>77388.871200000009</v>
      </c>
      <c r="AW84" s="30">
        <f>Inventory[[#This Row],[UpprFn]]*Lookups!$B$91</f>
        <v>0</v>
      </c>
      <c r="AX84" s="30">
        <f>Inventory[[#This Row],[Bsmt Area]]*Lookups!$B$95</f>
        <v>0</v>
      </c>
      <c r="AY84" s="30">
        <f>Inventory[[#This Row],[AttGar]]*Lookups!$B$93</f>
        <v>14261.616524000001</v>
      </c>
      <c r="AZ84" s="30">
        <f>ROUND(Inventory[[#This Row],[25Det]],-2)</f>
        <v>0</v>
      </c>
      <c r="BA84" s="30">
        <f>ROUND(SUM(Inventory[[#This Row],[Mdl Qlty]:[Mdl Garage Area]])+Inventory[[#This Row],[Mdl Res Intercept]],-2)</f>
        <v>308400</v>
      </c>
      <c r="BB84" s="30">
        <f>ROUND(Inventory[[#This Row],[Mdl Land Intercept]]+Inventory[[#This Row],[Mdl LnAcres]],-2)</f>
        <v>64400</v>
      </c>
      <c r="BC84" s="30">
        <f>Inventory[[#This Row],[Unadj Res Value]]+Inventory[[#This Row],[Unadj Det Value]]+Inventory[[#This Row],[Unadj Land Value]]</f>
        <v>372800</v>
      </c>
      <c r="BD84" s="30">
        <f>(Inventory[[#This Row],[Unadj Total Value]]-Inventory[[#This Row],[24Final]])/Inventory[[#This Row],[24Final]]</f>
        <v>2.9834254143646408E-2</v>
      </c>
      <c r="BE84" s="30">
        <f>VLOOKUP(Inventory[[#This Row],[Nbhd]],Lookups!$M$3:$P$5,4,FALSE)</f>
        <v>0.99970000000000003</v>
      </c>
      <c r="BF84" s="30">
        <f>VLOOKUP(Inventory[[#This Row],[Qlty]],Lookups!$M$8:$P$22,4,FALSE)</f>
        <v>0.99819999999999998</v>
      </c>
      <c r="BG84" s="30">
        <f>VLOOKUP(Inventory[[#This Row],[Cnd]],Lookups!$R$8:$U$17,4,FALSE)</f>
        <v>1.0012000000000001</v>
      </c>
      <c r="BH84" s="30">
        <f>VLOOKUP(Inventory[[#This Row],[LivArea Range]],Lookups!$R$25:$U$43,4,FALSE)</f>
        <v>0.99519999999999997</v>
      </c>
      <c r="BI84" s="30">
        <f>VLOOKUP(Inventory[[#This Row],[Decade]],Lookups!$M$24:$P$40,4,FALSE)</f>
        <v>1</v>
      </c>
      <c r="BJ84" s="30">
        <f>Inventory[[#This Row],[Nbhd Adj]]*0.95</f>
        <v>0.94971499999999998</v>
      </c>
      <c r="BK84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84" s="30">
        <f>ROUND((SUM(Inventory[[#This Row],[Mdl Qlty]:[Mdl Garage Area]])+Inventory[[#This Row],[Mdl Res Intercept]])*Inventory[[#This Row],[Res Adj ]],-2)</f>
        <v>292600</v>
      </c>
      <c r="BM84" s="30">
        <f>ROUND(Inventory[[#This Row],[25Det]]*Inventory[[#This Row],[Det/Nbhd Adj]],-2)</f>
        <v>0</v>
      </c>
      <c r="BN84" s="30">
        <f>Inventory[[#This Row],[Adjusted Res]]+Inventory[[#This Row],[Adj Det ]]</f>
        <v>292600</v>
      </c>
      <c r="BO84" s="30">
        <f>ROUND((Inventory[[#This Row],[Mdl Land Intercept]]+Inventory[[#This Row],[Mdl LnAcres]])*Inventory[[#This Row],[Det/Nbhd Adj]],-2)</f>
        <v>61100</v>
      </c>
      <c r="BP84" s="30">
        <f>Inventory[[#This Row],[Adjusted Impr Total]]+Inventory[[#This Row],[Adjusted Land Total]]</f>
        <v>353700</v>
      </c>
      <c r="BQ84" s="30">
        <f>IFERROR((Inventory[[#This Row],[Adjusted Impr Total]]-Inventory[[#This Row],[24Bldg]])/Inventory[[#This Row],[24Bldg]],0)</f>
        <v>-2.8552456839309428E-2</v>
      </c>
      <c r="BR84" s="43">
        <f>(Inventory[[#This Row],[Adjusted Land Total]]-Inventory[[#This Row],[24Lnd]])/Inventory[[#This Row],[24Lnd]]</f>
        <v>4.9342105263157892E-3</v>
      </c>
      <c r="BS84" s="43">
        <f>(Inventory[[#This Row],[Adjusted Total]]-Inventory[[#This Row],[24Final]])/Inventory[[#This Row],[24Final]]</f>
        <v>-2.292817679558011E-2</v>
      </c>
    </row>
    <row r="85" spans="1:71">
      <c r="A85" s="30">
        <v>2025</v>
      </c>
      <c r="B85" s="31" t="s">
        <v>594</v>
      </c>
      <c r="C85" s="31">
        <f>LN(Inventory[[#This Row],[Acres]])</f>
        <v>-1.8263509139976741</v>
      </c>
      <c r="D85" s="37">
        <f>ROUND(Inventory[[#This Row],[Sqft]]/43560,3)</f>
        <v>0.161</v>
      </c>
      <c r="E85" s="30">
        <v>7002</v>
      </c>
      <c r="F85" s="31" t="s">
        <v>505</v>
      </c>
      <c r="G85" s="31" t="s">
        <v>155</v>
      </c>
      <c r="H85" s="31" t="s">
        <v>5</v>
      </c>
      <c r="I85" s="31" t="s">
        <v>506</v>
      </c>
      <c r="J85" s="31" t="s">
        <v>507</v>
      </c>
      <c r="K85" s="31" t="s">
        <v>157</v>
      </c>
      <c r="L85" s="31" t="s">
        <v>19</v>
      </c>
      <c r="M85" s="31" t="s">
        <v>24</v>
      </c>
      <c r="N85" s="31">
        <v>0</v>
      </c>
      <c r="O85" s="31">
        <f>2024-Inventory[[#This Row],[YrBlt]]</f>
        <v>3</v>
      </c>
      <c r="P85" s="31">
        <f>2024-Inventory[[#This Row],[EffYr]]</f>
        <v>3</v>
      </c>
      <c r="Q85" s="30">
        <v>2021</v>
      </c>
      <c r="R85" s="30">
        <v>2021</v>
      </c>
      <c r="S85" s="30">
        <v>1452</v>
      </c>
      <c r="T85" s="37"/>
      <c r="U85" s="32"/>
      <c r="V85" s="32"/>
      <c r="W85" s="32"/>
      <c r="X85" s="32">
        <f>Inventory[[#This Row],[Bsmt Area]]-Inventory[[#This Row],[FnBsmt]]</f>
        <v>0</v>
      </c>
      <c r="Y85" s="32">
        <f>Inventory[[#This Row],[MainFn]]+Inventory[[#This Row],[UpprFn]]+Inventory[[#This Row],[AddFn]]+Inventory[[#This Row],[FnBsmt]]</f>
        <v>1452</v>
      </c>
      <c r="Z85" s="32">
        <v>1500</v>
      </c>
      <c r="AA85" s="31" t="s">
        <v>56</v>
      </c>
      <c r="AB85" s="32"/>
      <c r="AC85" s="38">
        <v>616</v>
      </c>
      <c r="AD85" s="32"/>
      <c r="AE85" s="32"/>
      <c r="AF85" s="32"/>
      <c r="AG85" s="32"/>
      <c r="AH85" s="32"/>
      <c r="AI85" s="30">
        <v>296539</v>
      </c>
      <c r="AJ85" s="30">
        <v>287643</v>
      </c>
      <c r="AK85" s="30">
        <v>0</v>
      </c>
      <c r="AL85" s="30">
        <v>0</v>
      </c>
      <c r="AM85" s="30">
        <v>60800</v>
      </c>
      <c r="AN85" s="30">
        <v>320900</v>
      </c>
      <c r="AO85" s="30">
        <v>381700</v>
      </c>
      <c r="AP85" s="30">
        <f>Lookups!$B$58*0.6</f>
        <v>132535.48800000001</v>
      </c>
      <c r="AQ85" s="30">
        <f>Lookups!$B$58*0.4</f>
        <v>88356.992000000013</v>
      </c>
      <c r="AR85" s="30">
        <f>Lookups!$B$59*Inventory[[#This Row],[LnAcres]]</f>
        <v>-23969.615653948869</v>
      </c>
      <c r="AS85" s="30">
        <f>VLOOKUP(Inventory[[#This Row],[Qlty]],Lookups!$A$66:$E$79,2,FALSE)</f>
        <v>37154.252388000001</v>
      </c>
      <c r="AT85" s="30">
        <f>VLOOKUP(Inventory[[#This Row],[Cnd]],Lookups!$A$80:$E$88,2,FALSE)</f>
        <v>47371.278778200001</v>
      </c>
      <c r="AU85" s="30">
        <f>Inventory[[#This Row],[EffAge]]*Lookups!$B$65</f>
        <v>-326.22329999999999</v>
      </c>
      <c r="AV85" s="30">
        <f>Inventory[[#This Row],[MainFn]]*Lookups!$B$90</f>
        <v>90619.871760000009</v>
      </c>
      <c r="AW85" s="30">
        <f>Inventory[[#This Row],[UpprFn]]*Lookups!$B$91</f>
        <v>0</v>
      </c>
      <c r="AX85" s="30">
        <f>Inventory[[#This Row],[Bsmt Area]]*Lookups!$B$95</f>
        <v>0</v>
      </c>
      <c r="AY85" s="30">
        <f>Inventory[[#This Row],[AttGar]]*Lookups!$B$93</f>
        <v>21745.435096000001</v>
      </c>
      <c r="AZ85" s="30">
        <f>ROUND(Inventory[[#This Row],[25Det]],-2)</f>
        <v>0</v>
      </c>
      <c r="BA85" s="30">
        <f>ROUND(SUM(Inventory[[#This Row],[Mdl Qlty]:[Mdl Garage Area]])+Inventory[[#This Row],[Mdl Res Intercept]],-2)</f>
        <v>329100</v>
      </c>
      <c r="BB85" s="30">
        <f>ROUND(Inventory[[#This Row],[Mdl Land Intercept]]+Inventory[[#This Row],[Mdl LnAcres]],-2)</f>
        <v>64400</v>
      </c>
      <c r="BC85" s="30">
        <f>Inventory[[#This Row],[Unadj Res Value]]+Inventory[[#This Row],[Unadj Det Value]]+Inventory[[#This Row],[Unadj Land Value]]</f>
        <v>393500</v>
      </c>
      <c r="BD85" s="30">
        <f>(Inventory[[#This Row],[Unadj Total Value]]-Inventory[[#This Row],[24Final]])/Inventory[[#This Row],[24Final]]</f>
        <v>3.0914330626146187E-2</v>
      </c>
      <c r="BE85" s="30">
        <f>VLOOKUP(Inventory[[#This Row],[Nbhd]],Lookups!$M$3:$P$5,4,FALSE)</f>
        <v>0.99970000000000003</v>
      </c>
      <c r="BF85" s="30">
        <f>VLOOKUP(Inventory[[#This Row],[Qlty]],Lookups!$M$8:$P$22,4,FALSE)</f>
        <v>0.99819999999999998</v>
      </c>
      <c r="BG85" s="30">
        <f>VLOOKUP(Inventory[[#This Row],[Cnd]],Lookups!$R$8:$U$17,4,FALSE)</f>
        <v>1.0012000000000001</v>
      </c>
      <c r="BH85" s="30">
        <f>VLOOKUP(Inventory[[#This Row],[LivArea Range]],Lookups!$R$25:$U$43,4,FALSE)</f>
        <v>0.99519999999999997</v>
      </c>
      <c r="BI85" s="30">
        <f>VLOOKUP(Inventory[[#This Row],[Decade]],Lookups!$M$24:$P$40,4,FALSE)</f>
        <v>1</v>
      </c>
      <c r="BJ85" s="30">
        <f>Inventory[[#This Row],[Nbhd Adj]]*0.95</f>
        <v>0.94971499999999998</v>
      </c>
      <c r="BK85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85" s="30">
        <f>ROUND((SUM(Inventory[[#This Row],[Mdl Qlty]:[Mdl Garage Area]])+Inventory[[#This Row],[Mdl Res Intercept]])*Inventory[[#This Row],[Res Adj ]],-2)</f>
        <v>312300</v>
      </c>
      <c r="BM85" s="30">
        <f>ROUND(Inventory[[#This Row],[25Det]]*Inventory[[#This Row],[Det/Nbhd Adj]],-2)</f>
        <v>0</v>
      </c>
      <c r="BN85" s="30">
        <f>Inventory[[#This Row],[Adjusted Res]]+Inventory[[#This Row],[Adj Det ]]</f>
        <v>312300</v>
      </c>
      <c r="BO85" s="30">
        <f>ROUND((Inventory[[#This Row],[Mdl Land Intercept]]+Inventory[[#This Row],[Mdl LnAcres]])*Inventory[[#This Row],[Det/Nbhd Adj]],-2)</f>
        <v>61100</v>
      </c>
      <c r="BP85" s="30">
        <f>Inventory[[#This Row],[Adjusted Impr Total]]+Inventory[[#This Row],[Adjusted Land Total]]</f>
        <v>373400</v>
      </c>
      <c r="BQ85" s="30">
        <f>IFERROR((Inventory[[#This Row],[Adjusted Impr Total]]-Inventory[[#This Row],[24Bldg]])/Inventory[[#This Row],[24Bldg]],0)</f>
        <v>-2.679962605172951E-2</v>
      </c>
      <c r="BR85" s="43">
        <f>(Inventory[[#This Row],[Adjusted Land Total]]-Inventory[[#This Row],[24Lnd]])/Inventory[[#This Row],[24Lnd]]</f>
        <v>4.9342105263157892E-3</v>
      </c>
      <c r="BS85" s="43">
        <f>(Inventory[[#This Row],[Adjusted Total]]-Inventory[[#This Row],[24Final]])/Inventory[[#This Row],[24Final]]</f>
        <v>-2.1744825779407912E-2</v>
      </c>
    </row>
    <row r="86" spans="1:71">
      <c r="A86" s="30">
        <v>2025</v>
      </c>
      <c r="B86" s="31" t="s">
        <v>595</v>
      </c>
      <c r="C86" s="31">
        <f>LN(Inventory[[#This Row],[Acres]])</f>
        <v>-1.8263509139976741</v>
      </c>
      <c r="D86" s="37">
        <f>ROUND(Inventory[[#This Row],[Sqft]]/43560,3)</f>
        <v>0.161</v>
      </c>
      <c r="E86" s="30">
        <v>7001</v>
      </c>
      <c r="F86" s="31" t="s">
        <v>505</v>
      </c>
      <c r="G86" s="31" t="s">
        <v>155</v>
      </c>
      <c r="H86" s="31" t="s">
        <v>5</v>
      </c>
      <c r="I86" s="31" t="s">
        <v>506</v>
      </c>
      <c r="J86" s="31" t="s">
        <v>507</v>
      </c>
      <c r="K86" s="31" t="s">
        <v>157</v>
      </c>
      <c r="L86" s="31" t="s">
        <v>19</v>
      </c>
      <c r="M86" s="31" t="s">
        <v>24</v>
      </c>
      <c r="N86" s="31">
        <v>0</v>
      </c>
      <c r="O86" s="31">
        <f>2024-Inventory[[#This Row],[YrBlt]]</f>
        <v>3</v>
      </c>
      <c r="P86" s="31">
        <f>2024-Inventory[[#This Row],[EffYr]]</f>
        <v>3</v>
      </c>
      <c r="Q86" s="30">
        <v>2021</v>
      </c>
      <c r="R86" s="30">
        <v>2021</v>
      </c>
      <c r="S86" s="30">
        <v>1452</v>
      </c>
      <c r="T86" s="32"/>
      <c r="U86" s="32"/>
      <c r="V86" s="32"/>
      <c r="W86" s="32"/>
      <c r="X86" s="32">
        <f>Inventory[[#This Row],[Bsmt Area]]-Inventory[[#This Row],[FnBsmt]]</f>
        <v>0</v>
      </c>
      <c r="Y86" s="32">
        <f>Inventory[[#This Row],[MainFn]]+Inventory[[#This Row],[UpprFn]]+Inventory[[#This Row],[AddFn]]+Inventory[[#This Row],[FnBsmt]]</f>
        <v>1452</v>
      </c>
      <c r="Z86" s="32">
        <v>1500</v>
      </c>
      <c r="AA86" s="31" t="s">
        <v>56</v>
      </c>
      <c r="AB86" s="32"/>
      <c r="AC86" s="38">
        <v>480</v>
      </c>
      <c r="AD86" s="32"/>
      <c r="AE86" s="32"/>
      <c r="AF86" s="32"/>
      <c r="AG86" s="32"/>
      <c r="AH86" s="32"/>
      <c r="AI86" s="30">
        <v>289201</v>
      </c>
      <c r="AJ86" s="30">
        <v>280525</v>
      </c>
      <c r="AK86" s="30">
        <v>0</v>
      </c>
      <c r="AL86" s="30">
        <v>0</v>
      </c>
      <c r="AM86" s="30">
        <v>60800</v>
      </c>
      <c r="AN86" s="30">
        <v>315100</v>
      </c>
      <c r="AO86" s="30">
        <v>375900</v>
      </c>
      <c r="AP86" s="30">
        <f>Lookups!$B$58*0.6</f>
        <v>132535.48800000001</v>
      </c>
      <c r="AQ86" s="30">
        <f>Lookups!$B$58*0.4</f>
        <v>88356.992000000013</v>
      </c>
      <c r="AR86" s="30">
        <f>Lookups!$B$59*Inventory[[#This Row],[LnAcres]]</f>
        <v>-23969.615653948869</v>
      </c>
      <c r="AS86" s="30">
        <f>VLOOKUP(Inventory[[#This Row],[Qlty]],Lookups!$A$66:$E$79,2,FALSE)</f>
        <v>37154.252388000001</v>
      </c>
      <c r="AT86" s="30">
        <f>VLOOKUP(Inventory[[#This Row],[Cnd]],Lookups!$A$80:$E$88,2,FALSE)</f>
        <v>47371.278778200001</v>
      </c>
      <c r="AU86" s="30">
        <f>Inventory[[#This Row],[EffAge]]*Lookups!$B$65</f>
        <v>-326.22329999999999</v>
      </c>
      <c r="AV86" s="30">
        <f>Inventory[[#This Row],[MainFn]]*Lookups!$B$90</f>
        <v>90619.871760000009</v>
      </c>
      <c r="AW86" s="30">
        <f>Inventory[[#This Row],[UpprFn]]*Lookups!$B$91</f>
        <v>0</v>
      </c>
      <c r="AX86" s="30">
        <f>Inventory[[#This Row],[Bsmt Area]]*Lookups!$B$95</f>
        <v>0</v>
      </c>
      <c r="AY86" s="30">
        <f>Inventory[[#This Row],[AttGar]]*Lookups!$B$93</f>
        <v>16944.494880000002</v>
      </c>
      <c r="AZ86" s="30">
        <f>ROUND(Inventory[[#This Row],[25Det]],-2)</f>
        <v>0</v>
      </c>
      <c r="BA86" s="30">
        <f>ROUND(SUM(Inventory[[#This Row],[Mdl Qlty]:[Mdl Garage Area]])+Inventory[[#This Row],[Mdl Res Intercept]],-2)</f>
        <v>324300</v>
      </c>
      <c r="BB86" s="30">
        <f>ROUND(Inventory[[#This Row],[Mdl Land Intercept]]+Inventory[[#This Row],[Mdl LnAcres]],-2)</f>
        <v>64400</v>
      </c>
      <c r="BC86" s="30">
        <f>Inventory[[#This Row],[Unadj Res Value]]+Inventory[[#This Row],[Unadj Det Value]]+Inventory[[#This Row],[Unadj Land Value]]</f>
        <v>388700</v>
      </c>
      <c r="BD86" s="30">
        <f>(Inventory[[#This Row],[Unadj Total Value]]-Inventory[[#This Row],[24Final]])/Inventory[[#This Row],[24Final]]</f>
        <v>3.4051609470603886E-2</v>
      </c>
      <c r="BE86" s="30">
        <f>VLOOKUP(Inventory[[#This Row],[Nbhd]],Lookups!$M$3:$P$5,4,FALSE)</f>
        <v>0.99970000000000003</v>
      </c>
      <c r="BF86" s="30">
        <f>VLOOKUP(Inventory[[#This Row],[Qlty]],Lookups!$M$8:$P$22,4,FALSE)</f>
        <v>0.99819999999999998</v>
      </c>
      <c r="BG86" s="30">
        <f>VLOOKUP(Inventory[[#This Row],[Cnd]],Lookups!$R$8:$U$17,4,FALSE)</f>
        <v>1.0012000000000001</v>
      </c>
      <c r="BH86" s="30">
        <f>VLOOKUP(Inventory[[#This Row],[LivArea Range]],Lookups!$R$25:$U$43,4,FALSE)</f>
        <v>0.99519999999999997</v>
      </c>
      <c r="BI86" s="30">
        <f>VLOOKUP(Inventory[[#This Row],[Decade]],Lookups!$M$24:$P$40,4,FALSE)</f>
        <v>1</v>
      </c>
      <c r="BJ86" s="30">
        <f>Inventory[[#This Row],[Nbhd Adj]]*0.95</f>
        <v>0.94971499999999998</v>
      </c>
      <c r="BK86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86" s="30">
        <f>ROUND((SUM(Inventory[[#This Row],[Mdl Qlty]:[Mdl Garage Area]])+Inventory[[#This Row],[Mdl Res Intercept]])*Inventory[[#This Row],[Res Adj ]],-2)</f>
        <v>307700</v>
      </c>
      <c r="BM86" s="30">
        <f>ROUND(Inventory[[#This Row],[25Det]]*Inventory[[#This Row],[Det/Nbhd Adj]],-2)</f>
        <v>0</v>
      </c>
      <c r="BN86" s="30">
        <f>Inventory[[#This Row],[Adjusted Res]]+Inventory[[#This Row],[Adj Det ]]</f>
        <v>307700</v>
      </c>
      <c r="BO86" s="30">
        <f>ROUND((Inventory[[#This Row],[Mdl Land Intercept]]+Inventory[[#This Row],[Mdl LnAcres]])*Inventory[[#This Row],[Det/Nbhd Adj]],-2)</f>
        <v>61100</v>
      </c>
      <c r="BP86" s="30">
        <f>Inventory[[#This Row],[Adjusted Impr Total]]+Inventory[[#This Row],[Adjusted Land Total]]</f>
        <v>368800</v>
      </c>
      <c r="BQ86" s="30">
        <f>IFERROR((Inventory[[#This Row],[Adjusted Impr Total]]-Inventory[[#This Row],[24Bldg]])/Inventory[[#This Row],[24Bldg]],0)</f>
        <v>-2.3484608060933037E-2</v>
      </c>
      <c r="BR86" s="43">
        <f>(Inventory[[#This Row],[Adjusted Land Total]]-Inventory[[#This Row],[24Lnd]])/Inventory[[#This Row],[24Lnd]]</f>
        <v>4.9342105263157892E-3</v>
      </c>
      <c r="BS86" s="43">
        <f>(Inventory[[#This Row],[Adjusted Total]]-Inventory[[#This Row],[24Final]])/Inventory[[#This Row],[24Final]]</f>
        <v>-1.8888002128225591E-2</v>
      </c>
    </row>
    <row r="87" spans="1:71">
      <c r="A87" s="30">
        <v>2025</v>
      </c>
      <c r="B87" s="31" t="s">
        <v>596</v>
      </c>
      <c r="C87" s="31">
        <f>LN(Inventory[[#This Row],[Acres]])</f>
        <v>-1.8263509139976741</v>
      </c>
      <c r="D87" s="37">
        <f>ROUND(Inventory[[#This Row],[Sqft]]/43560,3)</f>
        <v>0.161</v>
      </c>
      <c r="E87" s="30">
        <v>7002</v>
      </c>
      <c r="F87" s="31" t="s">
        <v>505</v>
      </c>
      <c r="G87" s="31" t="s">
        <v>155</v>
      </c>
      <c r="H87" s="31" t="s">
        <v>5</v>
      </c>
      <c r="I87" s="31" t="s">
        <v>506</v>
      </c>
      <c r="J87" s="31" t="s">
        <v>507</v>
      </c>
      <c r="K87" s="31" t="s">
        <v>157</v>
      </c>
      <c r="L87" s="31" t="s">
        <v>19</v>
      </c>
      <c r="M87" s="31" t="s">
        <v>24</v>
      </c>
      <c r="N87" s="31">
        <v>0</v>
      </c>
      <c r="O87" s="31">
        <f>2024-Inventory[[#This Row],[YrBlt]]</f>
        <v>3</v>
      </c>
      <c r="P87" s="31">
        <f>2024-Inventory[[#This Row],[EffYr]]</f>
        <v>3</v>
      </c>
      <c r="Q87" s="30">
        <v>2021</v>
      </c>
      <c r="R87" s="30">
        <v>2021</v>
      </c>
      <c r="S87" s="30">
        <v>1580</v>
      </c>
      <c r="T87" s="32"/>
      <c r="U87" s="37"/>
      <c r="V87" s="32"/>
      <c r="W87" s="32"/>
      <c r="X87" s="32">
        <f>Inventory[[#This Row],[Bsmt Area]]-Inventory[[#This Row],[FnBsmt]]</f>
        <v>0</v>
      </c>
      <c r="Y87" s="32">
        <f>Inventory[[#This Row],[MainFn]]+Inventory[[#This Row],[UpprFn]]+Inventory[[#This Row],[AddFn]]+Inventory[[#This Row],[FnBsmt]]</f>
        <v>1580</v>
      </c>
      <c r="Z87" s="32">
        <v>2000</v>
      </c>
      <c r="AA87" s="31" t="s">
        <v>56</v>
      </c>
      <c r="AB87" s="32"/>
      <c r="AC87" s="38">
        <v>480</v>
      </c>
      <c r="AD87" s="32"/>
      <c r="AE87" s="32"/>
      <c r="AF87" s="32"/>
      <c r="AG87" s="32"/>
      <c r="AH87" s="32"/>
      <c r="AI87" s="30">
        <v>309298</v>
      </c>
      <c r="AJ87" s="30">
        <v>300019</v>
      </c>
      <c r="AK87" s="30">
        <v>0</v>
      </c>
      <c r="AL87" s="30">
        <v>0</v>
      </c>
      <c r="AM87" s="30">
        <v>60800</v>
      </c>
      <c r="AN87" s="30">
        <v>323300</v>
      </c>
      <c r="AO87" s="30">
        <v>384100</v>
      </c>
      <c r="AP87" s="30">
        <f>Lookups!$B$58*0.6</f>
        <v>132535.48800000001</v>
      </c>
      <c r="AQ87" s="30">
        <f>Lookups!$B$58*0.4</f>
        <v>88356.992000000013</v>
      </c>
      <c r="AR87" s="30">
        <f>Lookups!$B$59*Inventory[[#This Row],[LnAcres]]</f>
        <v>-23969.615653948869</v>
      </c>
      <c r="AS87" s="30">
        <f>VLOOKUP(Inventory[[#This Row],[Qlty]],Lookups!$A$66:$E$79,2,FALSE)</f>
        <v>37154.252388000001</v>
      </c>
      <c r="AT87" s="30">
        <f>VLOOKUP(Inventory[[#This Row],[Cnd]],Lookups!$A$80:$E$88,2,FALSE)</f>
        <v>47371.278778200001</v>
      </c>
      <c r="AU87" s="30">
        <f>Inventory[[#This Row],[EffAge]]*Lookups!$B$65</f>
        <v>-326.22329999999999</v>
      </c>
      <c r="AV87" s="30">
        <f>Inventory[[#This Row],[MainFn]]*Lookups!$B$90</f>
        <v>98608.400399999999</v>
      </c>
      <c r="AW87" s="30">
        <f>Inventory[[#This Row],[UpprFn]]*Lookups!$B$91</f>
        <v>0</v>
      </c>
      <c r="AX87" s="30">
        <f>Inventory[[#This Row],[Bsmt Area]]*Lookups!$B$95</f>
        <v>0</v>
      </c>
      <c r="AY87" s="30">
        <f>Inventory[[#This Row],[AttGar]]*Lookups!$B$93</f>
        <v>16944.494880000002</v>
      </c>
      <c r="AZ87" s="30">
        <f>ROUND(Inventory[[#This Row],[25Det]],-2)</f>
        <v>0</v>
      </c>
      <c r="BA87" s="30">
        <f>ROUND(SUM(Inventory[[#This Row],[Mdl Qlty]:[Mdl Garage Area]])+Inventory[[#This Row],[Mdl Res Intercept]],-2)</f>
        <v>332300</v>
      </c>
      <c r="BB87" s="30">
        <f>ROUND(Inventory[[#This Row],[Mdl Land Intercept]]+Inventory[[#This Row],[Mdl LnAcres]],-2)</f>
        <v>64400</v>
      </c>
      <c r="BC87" s="30">
        <f>Inventory[[#This Row],[Unadj Res Value]]+Inventory[[#This Row],[Unadj Det Value]]+Inventory[[#This Row],[Unadj Land Value]]</f>
        <v>396700</v>
      </c>
      <c r="BD87" s="30">
        <f>(Inventory[[#This Row],[Unadj Total Value]]-Inventory[[#This Row],[24Final]])/Inventory[[#This Row],[24Final]]</f>
        <v>3.2803957302785736E-2</v>
      </c>
      <c r="BE87" s="30">
        <f>VLOOKUP(Inventory[[#This Row],[Nbhd]],Lookups!$M$3:$P$5,4,FALSE)</f>
        <v>0.99970000000000003</v>
      </c>
      <c r="BF87" s="30">
        <f>VLOOKUP(Inventory[[#This Row],[Qlty]],Lookups!$M$8:$P$22,4,FALSE)</f>
        <v>0.99819999999999998</v>
      </c>
      <c r="BG87" s="30">
        <f>VLOOKUP(Inventory[[#This Row],[Cnd]],Lookups!$R$8:$U$17,4,FALSE)</f>
        <v>1.0012000000000001</v>
      </c>
      <c r="BH87" s="30">
        <f>VLOOKUP(Inventory[[#This Row],[LivArea Range]],Lookups!$R$25:$U$43,4,FALSE)</f>
        <v>1.0007999999999999</v>
      </c>
      <c r="BI87" s="30">
        <f>VLOOKUP(Inventory[[#This Row],[Decade]],Lookups!$M$24:$P$40,4,FALSE)</f>
        <v>1</v>
      </c>
      <c r="BJ87" s="30">
        <f>Inventory[[#This Row],[Nbhd Adj]]*0.95</f>
        <v>0.94971499999999998</v>
      </c>
      <c r="BK87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87" s="30">
        <f>ROUND((SUM(Inventory[[#This Row],[Mdl Qlty]:[Mdl Garage Area]])+Inventory[[#This Row],[Mdl Res Intercept]])*Inventory[[#This Row],[Res Adj ]],-2)</f>
        <v>315700</v>
      </c>
      <c r="BM87" s="30">
        <f>ROUND(Inventory[[#This Row],[25Det]]*Inventory[[#This Row],[Det/Nbhd Adj]],-2)</f>
        <v>0</v>
      </c>
      <c r="BN87" s="30">
        <f>Inventory[[#This Row],[Adjusted Res]]+Inventory[[#This Row],[Adj Det ]]</f>
        <v>315700</v>
      </c>
      <c r="BO87" s="30">
        <f>ROUND((Inventory[[#This Row],[Mdl Land Intercept]]+Inventory[[#This Row],[Mdl LnAcres]])*Inventory[[#This Row],[Det/Nbhd Adj]],-2)</f>
        <v>61100</v>
      </c>
      <c r="BP87" s="30">
        <f>Inventory[[#This Row],[Adjusted Impr Total]]+Inventory[[#This Row],[Adjusted Land Total]]</f>
        <v>376800</v>
      </c>
      <c r="BQ87" s="30">
        <f>IFERROR((Inventory[[#This Row],[Adjusted Impr Total]]-Inventory[[#This Row],[24Bldg]])/Inventory[[#This Row],[24Bldg]],0)</f>
        <v>-2.3507578100835137E-2</v>
      </c>
      <c r="BR87" s="43">
        <f>(Inventory[[#This Row],[Adjusted Land Total]]-Inventory[[#This Row],[24Lnd]])/Inventory[[#This Row],[24Lnd]]</f>
        <v>4.9342105263157892E-3</v>
      </c>
      <c r="BS87" s="43">
        <f>(Inventory[[#This Row],[Adjusted Total]]-Inventory[[#This Row],[24Final]])/Inventory[[#This Row],[24Final]]</f>
        <v>-1.9005467326217131E-2</v>
      </c>
    </row>
    <row r="88" spans="1:71">
      <c r="A88" s="30">
        <v>2025</v>
      </c>
      <c r="B88" s="31" t="s">
        <v>597</v>
      </c>
      <c r="C88" s="31">
        <f>LN(Inventory[[#This Row],[Acres]])</f>
        <v>-1.8263509139976741</v>
      </c>
      <c r="D88" s="37">
        <f>ROUND(Inventory[[#This Row],[Sqft]]/43560,3)</f>
        <v>0.161</v>
      </c>
      <c r="E88" s="30">
        <v>7001</v>
      </c>
      <c r="F88" s="31" t="s">
        <v>505</v>
      </c>
      <c r="G88" s="31" t="s">
        <v>155</v>
      </c>
      <c r="H88" s="31" t="s">
        <v>5</v>
      </c>
      <c r="I88" s="31" t="s">
        <v>506</v>
      </c>
      <c r="J88" s="31" t="s">
        <v>507</v>
      </c>
      <c r="K88" s="31" t="s">
        <v>157</v>
      </c>
      <c r="L88" s="31" t="s">
        <v>19</v>
      </c>
      <c r="M88" s="31" t="s">
        <v>24</v>
      </c>
      <c r="N88" s="31">
        <v>0</v>
      </c>
      <c r="O88" s="31">
        <f>2024-Inventory[[#This Row],[YrBlt]]</f>
        <v>3</v>
      </c>
      <c r="P88" s="31">
        <f>2024-Inventory[[#This Row],[EffYr]]</f>
        <v>3</v>
      </c>
      <c r="Q88" s="30">
        <v>2021</v>
      </c>
      <c r="R88" s="30">
        <v>2021</v>
      </c>
      <c r="S88" s="30">
        <v>1388</v>
      </c>
      <c r="T88" s="32"/>
      <c r="U88" s="32"/>
      <c r="V88" s="32"/>
      <c r="W88" s="32"/>
      <c r="X88" s="32">
        <f>Inventory[[#This Row],[Bsmt Area]]-Inventory[[#This Row],[FnBsmt]]</f>
        <v>0</v>
      </c>
      <c r="Y88" s="32">
        <f>Inventory[[#This Row],[MainFn]]+Inventory[[#This Row],[UpprFn]]+Inventory[[#This Row],[AddFn]]+Inventory[[#This Row],[FnBsmt]]</f>
        <v>1388</v>
      </c>
      <c r="Z88" s="32">
        <v>1500</v>
      </c>
      <c r="AA88" s="31" t="s">
        <v>56</v>
      </c>
      <c r="AB88" s="32"/>
      <c r="AC88" s="38">
        <v>400</v>
      </c>
      <c r="AD88" s="32"/>
      <c r="AE88" s="32"/>
      <c r="AF88" s="32"/>
      <c r="AG88" s="32"/>
      <c r="AH88" s="32"/>
      <c r="AI88" s="30">
        <v>275470</v>
      </c>
      <c r="AJ88" s="30">
        <v>267206</v>
      </c>
      <c r="AK88" s="30">
        <v>0</v>
      </c>
      <c r="AL88" s="30">
        <v>0</v>
      </c>
      <c r="AM88" s="30">
        <v>60800</v>
      </c>
      <c r="AN88" s="30">
        <v>307900</v>
      </c>
      <c r="AO88" s="30">
        <v>368700</v>
      </c>
      <c r="AP88" s="30">
        <f>Lookups!$B$58*0.6</f>
        <v>132535.48800000001</v>
      </c>
      <c r="AQ88" s="30">
        <f>Lookups!$B$58*0.4</f>
        <v>88356.992000000013</v>
      </c>
      <c r="AR88" s="30">
        <f>Lookups!$B$59*Inventory[[#This Row],[LnAcres]]</f>
        <v>-23969.615653948869</v>
      </c>
      <c r="AS88" s="30">
        <f>VLOOKUP(Inventory[[#This Row],[Qlty]],Lookups!$A$66:$E$79,2,FALSE)</f>
        <v>37154.252388000001</v>
      </c>
      <c r="AT88" s="30">
        <f>VLOOKUP(Inventory[[#This Row],[Cnd]],Lookups!$A$80:$E$88,2,FALSE)</f>
        <v>47371.278778200001</v>
      </c>
      <c r="AU88" s="30">
        <f>Inventory[[#This Row],[EffAge]]*Lookups!$B$65</f>
        <v>-326.22329999999999</v>
      </c>
      <c r="AV88" s="30">
        <f>Inventory[[#This Row],[MainFn]]*Lookups!$B$90</f>
        <v>86625.607440000007</v>
      </c>
      <c r="AW88" s="30">
        <f>Inventory[[#This Row],[UpprFn]]*Lookups!$B$91</f>
        <v>0</v>
      </c>
      <c r="AX88" s="30">
        <f>Inventory[[#This Row],[Bsmt Area]]*Lookups!$B$95</f>
        <v>0</v>
      </c>
      <c r="AY88" s="30">
        <f>Inventory[[#This Row],[AttGar]]*Lookups!$B$93</f>
        <v>14120.412400000001</v>
      </c>
      <c r="AZ88" s="30">
        <f>ROUND(Inventory[[#This Row],[25Det]],-2)</f>
        <v>0</v>
      </c>
      <c r="BA88" s="30">
        <f>ROUND(SUM(Inventory[[#This Row],[Mdl Qlty]:[Mdl Garage Area]])+Inventory[[#This Row],[Mdl Res Intercept]],-2)</f>
        <v>317500</v>
      </c>
      <c r="BB88" s="30">
        <f>ROUND(Inventory[[#This Row],[Mdl Land Intercept]]+Inventory[[#This Row],[Mdl LnAcres]],-2)</f>
        <v>64400</v>
      </c>
      <c r="BC88" s="30">
        <f>Inventory[[#This Row],[Unadj Res Value]]+Inventory[[#This Row],[Unadj Det Value]]+Inventory[[#This Row],[Unadj Land Value]]</f>
        <v>381900</v>
      </c>
      <c r="BD88" s="30">
        <f>(Inventory[[#This Row],[Unadj Total Value]]-Inventory[[#This Row],[24Final]])/Inventory[[#This Row],[24Final]]</f>
        <v>3.5801464605370217E-2</v>
      </c>
      <c r="BE88" s="30">
        <f>VLOOKUP(Inventory[[#This Row],[Nbhd]],Lookups!$M$3:$P$5,4,FALSE)</f>
        <v>0.99970000000000003</v>
      </c>
      <c r="BF88" s="30">
        <f>VLOOKUP(Inventory[[#This Row],[Qlty]],Lookups!$M$8:$P$22,4,FALSE)</f>
        <v>0.99819999999999998</v>
      </c>
      <c r="BG88" s="30">
        <f>VLOOKUP(Inventory[[#This Row],[Cnd]],Lookups!$R$8:$U$17,4,FALSE)</f>
        <v>1.0012000000000001</v>
      </c>
      <c r="BH88" s="30">
        <f>VLOOKUP(Inventory[[#This Row],[LivArea Range]],Lookups!$R$25:$U$43,4,FALSE)</f>
        <v>0.99519999999999997</v>
      </c>
      <c r="BI88" s="30">
        <f>VLOOKUP(Inventory[[#This Row],[Decade]],Lookups!$M$24:$P$40,4,FALSE)</f>
        <v>1</v>
      </c>
      <c r="BJ88" s="30">
        <f>Inventory[[#This Row],[Nbhd Adj]]*0.95</f>
        <v>0.94971499999999998</v>
      </c>
      <c r="BK88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88" s="30">
        <f>ROUND((SUM(Inventory[[#This Row],[Mdl Qlty]:[Mdl Garage Area]])+Inventory[[#This Row],[Mdl Res Intercept]])*Inventory[[#This Row],[Res Adj ]],-2)</f>
        <v>301300</v>
      </c>
      <c r="BM88" s="30">
        <f>ROUND(Inventory[[#This Row],[25Det]]*Inventory[[#This Row],[Det/Nbhd Adj]],-2)</f>
        <v>0</v>
      </c>
      <c r="BN88" s="30">
        <f>Inventory[[#This Row],[Adjusted Res]]+Inventory[[#This Row],[Adj Det ]]</f>
        <v>301300</v>
      </c>
      <c r="BO88" s="30">
        <f>ROUND((Inventory[[#This Row],[Mdl Land Intercept]]+Inventory[[#This Row],[Mdl LnAcres]])*Inventory[[#This Row],[Det/Nbhd Adj]],-2)</f>
        <v>61100</v>
      </c>
      <c r="BP88" s="30">
        <f>Inventory[[#This Row],[Adjusted Impr Total]]+Inventory[[#This Row],[Adjusted Land Total]]</f>
        <v>362400</v>
      </c>
      <c r="BQ88" s="30">
        <f>IFERROR((Inventory[[#This Row],[Adjusted Impr Total]]-Inventory[[#This Row],[24Bldg]])/Inventory[[#This Row],[24Bldg]],0)</f>
        <v>-2.143553101656382E-2</v>
      </c>
      <c r="BR88" s="43">
        <f>(Inventory[[#This Row],[Adjusted Land Total]]-Inventory[[#This Row],[24Lnd]])/Inventory[[#This Row],[24Lnd]]</f>
        <v>4.9342105263157892E-3</v>
      </c>
      <c r="BS88" s="43">
        <f>(Inventory[[#This Row],[Adjusted Total]]-Inventory[[#This Row],[24Final]])/Inventory[[#This Row],[24Final]]</f>
        <v>-1.7087062652563059E-2</v>
      </c>
    </row>
    <row r="89" spans="1:71">
      <c r="A89" s="30">
        <v>2025</v>
      </c>
      <c r="B89" s="31" t="s">
        <v>598</v>
      </c>
      <c r="C89" s="31">
        <f>LN(Inventory[[#This Row],[Acres]])</f>
        <v>-1.8263509139976741</v>
      </c>
      <c r="D89" s="37">
        <f>ROUND(Inventory[[#This Row],[Sqft]]/43560,3)</f>
        <v>0.161</v>
      </c>
      <c r="E89" s="30">
        <v>7021</v>
      </c>
      <c r="F89" s="31" t="s">
        <v>505</v>
      </c>
      <c r="G89" s="31" t="s">
        <v>155</v>
      </c>
      <c r="H89" s="31" t="s">
        <v>5</v>
      </c>
      <c r="I89" s="31" t="s">
        <v>506</v>
      </c>
      <c r="J89" s="31" t="s">
        <v>507</v>
      </c>
      <c r="K89" s="31" t="s">
        <v>157</v>
      </c>
      <c r="L89" s="31" t="s">
        <v>19</v>
      </c>
      <c r="M89" s="31" t="s">
        <v>24</v>
      </c>
      <c r="N89" s="31">
        <v>0</v>
      </c>
      <c r="O89" s="31">
        <f>2024-Inventory[[#This Row],[YrBlt]]</f>
        <v>3</v>
      </c>
      <c r="P89" s="31">
        <f>2024-Inventory[[#This Row],[EffYr]]</f>
        <v>3</v>
      </c>
      <c r="Q89" s="30">
        <v>2021</v>
      </c>
      <c r="R89" s="30">
        <v>2021</v>
      </c>
      <c r="S89" s="30">
        <v>1592</v>
      </c>
      <c r="T89" s="32"/>
      <c r="U89" s="32"/>
      <c r="V89" s="32"/>
      <c r="W89" s="32"/>
      <c r="X89" s="32">
        <f>Inventory[[#This Row],[Bsmt Area]]-Inventory[[#This Row],[FnBsmt]]</f>
        <v>0</v>
      </c>
      <c r="Y89" s="32">
        <f>Inventory[[#This Row],[MainFn]]+Inventory[[#This Row],[UpprFn]]+Inventory[[#This Row],[AddFn]]+Inventory[[#This Row],[FnBsmt]]</f>
        <v>1592</v>
      </c>
      <c r="Z89" s="32">
        <v>2000</v>
      </c>
      <c r="AA89" s="31" t="s">
        <v>56</v>
      </c>
      <c r="AB89" s="38">
        <v>1</v>
      </c>
      <c r="AC89" s="38">
        <v>480</v>
      </c>
      <c r="AD89" s="32"/>
      <c r="AE89" s="32"/>
      <c r="AF89" s="32"/>
      <c r="AG89" s="32"/>
      <c r="AH89" s="32"/>
      <c r="AI89" s="30">
        <v>317714</v>
      </c>
      <c r="AJ89" s="30">
        <v>308183</v>
      </c>
      <c r="AK89" s="30">
        <v>0</v>
      </c>
      <c r="AL89" s="30">
        <v>0</v>
      </c>
      <c r="AM89" s="30">
        <v>60800</v>
      </c>
      <c r="AN89" s="30">
        <v>323900</v>
      </c>
      <c r="AO89" s="30">
        <v>384700</v>
      </c>
      <c r="AP89" s="30">
        <f>Lookups!$B$58*0.6</f>
        <v>132535.48800000001</v>
      </c>
      <c r="AQ89" s="30">
        <f>Lookups!$B$58*0.4</f>
        <v>88356.992000000013</v>
      </c>
      <c r="AR89" s="30">
        <f>Lookups!$B$59*Inventory[[#This Row],[LnAcres]]</f>
        <v>-23969.615653948869</v>
      </c>
      <c r="AS89" s="30">
        <f>VLOOKUP(Inventory[[#This Row],[Qlty]],Lookups!$A$66:$E$79,2,FALSE)</f>
        <v>37154.252388000001</v>
      </c>
      <c r="AT89" s="30">
        <f>VLOOKUP(Inventory[[#This Row],[Cnd]],Lookups!$A$80:$E$88,2,FALSE)</f>
        <v>47371.278778200001</v>
      </c>
      <c r="AU89" s="30">
        <f>Inventory[[#This Row],[EffAge]]*Lookups!$B$65</f>
        <v>-326.22329999999999</v>
      </c>
      <c r="AV89" s="30">
        <f>Inventory[[#This Row],[MainFn]]*Lookups!$B$90</f>
        <v>99357.324960000013</v>
      </c>
      <c r="AW89" s="30">
        <f>Inventory[[#This Row],[UpprFn]]*Lookups!$B$91</f>
        <v>0</v>
      </c>
      <c r="AX89" s="30">
        <f>Inventory[[#This Row],[Bsmt Area]]*Lookups!$B$95</f>
        <v>0</v>
      </c>
      <c r="AY89" s="30">
        <f>Inventory[[#This Row],[AttGar]]*Lookups!$B$93</f>
        <v>16944.494880000002</v>
      </c>
      <c r="AZ89" s="30">
        <f>ROUND(Inventory[[#This Row],[25Det]],-2)</f>
        <v>0</v>
      </c>
      <c r="BA89" s="30">
        <f>ROUND(SUM(Inventory[[#This Row],[Mdl Qlty]:[Mdl Garage Area]])+Inventory[[#This Row],[Mdl Res Intercept]],-2)</f>
        <v>333000</v>
      </c>
      <c r="BB89" s="30">
        <f>ROUND(Inventory[[#This Row],[Mdl Land Intercept]]+Inventory[[#This Row],[Mdl LnAcres]],-2)</f>
        <v>64400</v>
      </c>
      <c r="BC89" s="30">
        <f>Inventory[[#This Row],[Unadj Res Value]]+Inventory[[#This Row],[Unadj Det Value]]+Inventory[[#This Row],[Unadj Land Value]]</f>
        <v>397400</v>
      </c>
      <c r="BD89" s="30">
        <f>(Inventory[[#This Row],[Unadj Total Value]]-Inventory[[#This Row],[24Final]])/Inventory[[#This Row],[24Final]]</f>
        <v>3.3012737197816479E-2</v>
      </c>
      <c r="BE89" s="30">
        <f>VLOOKUP(Inventory[[#This Row],[Nbhd]],Lookups!$M$3:$P$5,4,FALSE)</f>
        <v>0.99970000000000003</v>
      </c>
      <c r="BF89" s="30">
        <f>VLOOKUP(Inventory[[#This Row],[Qlty]],Lookups!$M$8:$P$22,4,FALSE)</f>
        <v>0.99819999999999998</v>
      </c>
      <c r="BG89" s="30">
        <f>VLOOKUP(Inventory[[#This Row],[Cnd]],Lookups!$R$8:$U$17,4,FALSE)</f>
        <v>1.0012000000000001</v>
      </c>
      <c r="BH89" s="30">
        <f>VLOOKUP(Inventory[[#This Row],[LivArea Range]],Lookups!$R$25:$U$43,4,FALSE)</f>
        <v>1.0007999999999999</v>
      </c>
      <c r="BI89" s="30">
        <f>VLOOKUP(Inventory[[#This Row],[Decade]],Lookups!$M$24:$P$40,4,FALSE)</f>
        <v>1</v>
      </c>
      <c r="BJ89" s="30">
        <f>Inventory[[#This Row],[Nbhd Adj]]*0.95</f>
        <v>0.94971499999999998</v>
      </c>
      <c r="BK89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89" s="30">
        <f>ROUND((SUM(Inventory[[#This Row],[Mdl Qlty]:[Mdl Garage Area]])+Inventory[[#This Row],[Mdl Res Intercept]])*Inventory[[#This Row],[Res Adj ]],-2)</f>
        <v>316400</v>
      </c>
      <c r="BM89" s="30">
        <f>ROUND(Inventory[[#This Row],[25Det]]*Inventory[[#This Row],[Det/Nbhd Adj]],-2)</f>
        <v>0</v>
      </c>
      <c r="BN89" s="30">
        <f>Inventory[[#This Row],[Adjusted Res]]+Inventory[[#This Row],[Adj Det ]]</f>
        <v>316400</v>
      </c>
      <c r="BO89" s="30">
        <f>ROUND((Inventory[[#This Row],[Mdl Land Intercept]]+Inventory[[#This Row],[Mdl LnAcres]])*Inventory[[#This Row],[Det/Nbhd Adj]],-2)</f>
        <v>61100</v>
      </c>
      <c r="BP89" s="30">
        <f>Inventory[[#This Row],[Adjusted Impr Total]]+Inventory[[#This Row],[Adjusted Land Total]]</f>
        <v>377500</v>
      </c>
      <c r="BQ89" s="30">
        <f>IFERROR((Inventory[[#This Row],[Adjusted Impr Total]]-Inventory[[#This Row],[24Bldg]])/Inventory[[#This Row],[24Bldg]],0)</f>
        <v>-2.3155294844087682E-2</v>
      </c>
      <c r="BR89" s="43">
        <f>(Inventory[[#This Row],[Adjusted Land Total]]-Inventory[[#This Row],[24Lnd]])/Inventory[[#This Row],[24Lnd]]</f>
        <v>4.9342105263157892E-3</v>
      </c>
      <c r="BS89" s="43">
        <f>(Inventory[[#This Row],[Adjusted Total]]-Inventory[[#This Row],[24Final]])/Inventory[[#This Row],[24Final]]</f>
        <v>-1.8715882505848713E-2</v>
      </c>
    </row>
    <row r="90" spans="1:71">
      <c r="A90" s="30">
        <v>2025</v>
      </c>
      <c r="B90" s="31" t="s">
        <v>599</v>
      </c>
      <c r="C90" s="31">
        <f>LN(Inventory[[#This Row],[Acres]])</f>
        <v>-1.8263509139976741</v>
      </c>
      <c r="D90" s="37">
        <f>ROUND(Inventory[[#This Row],[Sqft]]/43560,3)</f>
        <v>0.161</v>
      </c>
      <c r="E90" s="30">
        <v>7001</v>
      </c>
      <c r="F90" s="31" t="s">
        <v>505</v>
      </c>
      <c r="G90" s="31" t="s">
        <v>155</v>
      </c>
      <c r="H90" s="31" t="s">
        <v>5</v>
      </c>
      <c r="I90" s="31" t="s">
        <v>506</v>
      </c>
      <c r="J90" s="31" t="s">
        <v>507</v>
      </c>
      <c r="K90" s="31" t="s">
        <v>157</v>
      </c>
      <c r="L90" s="31" t="s">
        <v>19</v>
      </c>
      <c r="M90" s="31" t="s">
        <v>24</v>
      </c>
      <c r="N90" s="31">
        <v>0</v>
      </c>
      <c r="O90" s="31">
        <f>2024-Inventory[[#This Row],[YrBlt]]</f>
        <v>3</v>
      </c>
      <c r="P90" s="31">
        <f>2024-Inventory[[#This Row],[EffYr]]</f>
        <v>3</v>
      </c>
      <c r="Q90" s="30">
        <v>2021</v>
      </c>
      <c r="R90" s="30">
        <v>2021</v>
      </c>
      <c r="S90" s="30">
        <v>1452</v>
      </c>
      <c r="T90" s="32"/>
      <c r="U90" s="32"/>
      <c r="V90" s="32"/>
      <c r="W90" s="32"/>
      <c r="X90" s="32">
        <f>Inventory[[#This Row],[Bsmt Area]]-Inventory[[#This Row],[FnBsmt]]</f>
        <v>0</v>
      </c>
      <c r="Y90" s="32">
        <f>Inventory[[#This Row],[MainFn]]+Inventory[[#This Row],[UpprFn]]+Inventory[[#This Row],[AddFn]]+Inventory[[#This Row],[FnBsmt]]</f>
        <v>1452</v>
      </c>
      <c r="Z90" s="32">
        <v>1500</v>
      </c>
      <c r="AA90" s="31" t="s">
        <v>56</v>
      </c>
      <c r="AB90" s="32"/>
      <c r="AC90" s="38">
        <v>400</v>
      </c>
      <c r="AD90" s="32"/>
      <c r="AE90" s="32"/>
      <c r="AF90" s="32"/>
      <c r="AG90" s="32"/>
      <c r="AH90" s="32"/>
      <c r="AI90" s="30">
        <v>285695</v>
      </c>
      <c r="AJ90" s="30">
        <v>277124</v>
      </c>
      <c r="AK90" s="30">
        <v>0</v>
      </c>
      <c r="AL90" s="30">
        <v>0</v>
      </c>
      <c r="AM90" s="30">
        <v>60800</v>
      </c>
      <c r="AN90" s="30">
        <v>311600</v>
      </c>
      <c r="AO90" s="30">
        <v>372400</v>
      </c>
      <c r="AP90" s="30">
        <f>Lookups!$B$58*0.6</f>
        <v>132535.48800000001</v>
      </c>
      <c r="AQ90" s="30">
        <f>Lookups!$B$58*0.4</f>
        <v>88356.992000000013</v>
      </c>
      <c r="AR90" s="30">
        <f>Lookups!$B$59*Inventory[[#This Row],[LnAcres]]</f>
        <v>-23969.615653948869</v>
      </c>
      <c r="AS90" s="30">
        <f>VLOOKUP(Inventory[[#This Row],[Qlty]],Lookups!$A$66:$E$79,2,FALSE)</f>
        <v>37154.252388000001</v>
      </c>
      <c r="AT90" s="30">
        <f>VLOOKUP(Inventory[[#This Row],[Cnd]],Lookups!$A$80:$E$88,2,FALSE)</f>
        <v>47371.278778200001</v>
      </c>
      <c r="AU90" s="30">
        <f>Inventory[[#This Row],[EffAge]]*Lookups!$B$65</f>
        <v>-326.22329999999999</v>
      </c>
      <c r="AV90" s="30">
        <f>Inventory[[#This Row],[MainFn]]*Lookups!$B$90</f>
        <v>90619.871760000009</v>
      </c>
      <c r="AW90" s="30">
        <f>Inventory[[#This Row],[UpprFn]]*Lookups!$B$91</f>
        <v>0</v>
      </c>
      <c r="AX90" s="30">
        <f>Inventory[[#This Row],[Bsmt Area]]*Lookups!$B$95</f>
        <v>0</v>
      </c>
      <c r="AY90" s="30">
        <f>Inventory[[#This Row],[AttGar]]*Lookups!$B$93</f>
        <v>14120.412400000001</v>
      </c>
      <c r="AZ90" s="30">
        <f>ROUND(Inventory[[#This Row],[25Det]],-2)</f>
        <v>0</v>
      </c>
      <c r="BA90" s="30">
        <f>ROUND(SUM(Inventory[[#This Row],[Mdl Qlty]:[Mdl Garage Area]])+Inventory[[#This Row],[Mdl Res Intercept]],-2)</f>
        <v>321500</v>
      </c>
      <c r="BB90" s="30">
        <f>ROUND(Inventory[[#This Row],[Mdl Land Intercept]]+Inventory[[#This Row],[Mdl LnAcres]],-2)</f>
        <v>64400</v>
      </c>
      <c r="BC90" s="30">
        <f>Inventory[[#This Row],[Unadj Res Value]]+Inventory[[#This Row],[Unadj Det Value]]+Inventory[[#This Row],[Unadj Land Value]]</f>
        <v>385900</v>
      </c>
      <c r="BD90" s="30">
        <f>(Inventory[[#This Row],[Unadj Total Value]]-Inventory[[#This Row],[24Final]])/Inventory[[#This Row],[24Final]]</f>
        <v>3.6251342642320085E-2</v>
      </c>
      <c r="BE90" s="30">
        <f>VLOOKUP(Inventory[[#This Row],[Nbhd]],Lookups!$M$3:$P$5,4,FALSE)</f>
        <v>0.99970000000000003</v>
      </c>
      <c r="BF90" s="30">
        <f>VLOOKUP(Inventory[[#This Row],[Qlty]],Lookups!$M$8:$P$22,4,FALSE)</f>
        <v>0.99819999999999998</v>
      </c>
      <c r="BG90" s="30">
        <f>VLOOKUP(Inventory[[#This Row],[Cnd]],Lookups!$R$8:$U$17,4,FALSE)</f>
        <v>1.0012000000000001</v>
      </c>
      <c r="BH90" s="30">
        <f>VLOOKUP(Inventory[[#This Row],[LivArea Range]],Lookups!$R$25:$U$43,4,FALSE)</f>
        <v>0.99519999999999997</v>
      </c>
      <c r="BI90" s="30">
        <f>VLOOKUP(Inventory[[#This Row],[Decade]],Lookups!$M$24:$P$40,4,FALSE)</f>
        <v>1</v>
      </c>
      <c r="BJ90" s="30">
        <f>Inventory[[#This Row],[Nbhd Adj]]*0.95</f>
        <v>0.94971499999999998</v>
      </c>
      <c r="BK90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90" s="30">
        <f>ROUND((SUM(Inventory[[#This Row],[Mdl Qlty]:[Mdl Garage Area]])+Inventory[[#This Row],[Mdl Res Intercept]])*Inventory[[#This Row],[Res Adj ]],-2)</f>
        <v>305100</v>
      </c>
      <c r="BM90" s="30">
        <f>ROUND(Inventory[[#This Row],[25Det]]*Inventory[[#This Row],[Det/Nbhd Adj]],-2)</f>
        <v>0</v>
      </c>
      <c r="BN90" s="30">
        <f>Inventory[[#This Row],[Adjusted Res]]+Inventory[[#This Row],[Adj Det ]]</f>
        <v>305100</v>
      </c>
      <c r="BO90" s="30">
        <f>ROUND((Inventory[[#This Row],[Mdl Land Intercept]]+Inventory[[#This Row],[Mdl LnAcres]])*Inventory[[#This Row],[Det/Nbhd Adj]],-2)</f>
        <v>61100</v>
      </c>
      <c r="BP90" s="30">
        <f>Inventory[[#This Row],[Adjusted Impr Total]]+Inventory[[#This Row],[Adjusted Land Total]]</f>
        <v>366200</v>
      </c>
      <c r="BQ90" s="30">
        <f>IFERROR((Inventory[[#This Row],[Adjusted Impr Total]]-Inventory[[#This Row],[24Bldg]])/Inventory[[#This Row],[24Bldg]],0)</f>
        <v>-2.086007702182285E-2</v>
      </c>
      <c r="BR90" s="43">
        <f>(Inventory[[#This Row],[Adjusted Land Total]]-Inventory[[#This Row],[24Lnd]])/Inventory[[#This Row],[24Lnd]]</f>
        <v>4.9342105263157892E-3</v>
      </c>
      <c r="BS90" s="43">
        <f>(Inventory[[#This Row],[Adjusted Total]]-Inventory[[#This Row],[24Final]])/Inventory[[#This Row],[24Final]]</f>
        <v>-1.664876476906552E-2</v>
      </c>
    </row>
    <row r="91" spans="1:71">
      <c r="A91" s="30">
        <v>2025</v>
      </c>
      <c r="B91" s="31" t="s">
        <v>600</v>
      </c>
      <c r="C91" s="31">
        <f>LN(Inventory[[#This Row],[Acres]])</f>
        <v>-1.8263509139976741</v>
      </c>
      <c r="D91" s="37">
        <f>ROUND(Inventory[[#This Row],[Sqft]]/43560,3)</f>
        <v>0.161</v>
      </c>
      <c r="E91" s="30">
        <v>7001</v>
      </c>
      <c r="F91" s="31" t="s">
        <v>505</v>
      </c>
      <c r="G91" s="31" t="s">
        <v>155</v>
      </c>
      <c r="H91" s="31" t="s">
        <v>5</v>
      </c>
      <c r="I91" s="31" t="s">
        <v>506</v>
      </c>
      <c r="J91" s="31" t="s">
        <v>507</v>
      </c>
      <c r="K91" s="31" t="s">
        <v>157</v>
      </c>
      <c r="L91" s="31" t="s">
        <v>19</v>
      </c>
      <c r="M91" s="31" t="s">
        <v>24</v>
      </c>
      <c r="N91" s="31">
        <v>0</v>
      </c>
      <c r="O91" s="31">
        <f>2024-Inventory[[#This Row],[YrBlt]]</f>
        <v>3</v>
      </c>
      <c r="P91" s="31">
        <f>2024-Inventory[[#This Row],[EffYr]]</f>
        <v>3</v>
      </c>
      <c r="Q91" s="30">
        <v>2021</v>
      </c>
      <c r="R91" s="30">
        <v>2021</v>
      </c>
      <c r="S91" s="30">
        <v>1452</v>
      </c>
      <c r="T91" s="32"/>
      <c r="U91" s="32"/>
      <c r="V91" s="32"/>
      <c r="W91" s="32"/>
      <c r="X91" s="32">
        <f>Inventory[[#This Row],[Bsmt Area]]-Inventory[[#This Row],[FnBsmt]]</f>
        <v>0</v>
      </c>
      <c r="Y91" s="32">
        <f>Inventory[[#This Row],[MainFn]]+Inventory[[#This Row],[UpprFn]]+Inventory[[#This Row],[AddFn]]+Inventory[[#This Row],[FnBsmt]]</f>
        <v>1452</v>
      </c>
      <c r="Z91" s="32">
        <v>1500</v>
      </c>
      <c r="AA91" s="31" t="s">
        <v>56</v>
      </c>
      <c r="AB91" s="32"/>
      <c r="AC91" s="38">
        <v>400</v>
      </c>
      <c r="AD91" s="32"/>
      <c r="AE91" s="32"/>
      <c r="AF91" s="32"/>
      <c r="AG91" s="32"/>
      <c r="AH91" s="32"/>
      <c r="AI91" s="30">
        <v>285695</v>
      </c>
      <c r="AJ91" s="30">
        <v>277124</v>
      </c>
      <c r="AK91" s="30">
        <v>0</v>
      </c>
      <c r="AL91" s="30">
        <v>0</v>
      </c>
      <c r="AM91" s="30">
        <v>60800</v>
      </c>
      <c r="AN91" s="30">
        <v>311600</v>
      </c>
      <c r="AO91" s="30">
        <v>372400</v>
      </c>
      <c r="AP91" s="30">
        <f>Lookups!$B$58*0.6</f>
        <v>132535.48800000001</v>
      </c>
      <c r="AQ91" s="30">
        <f>Lookups!$B$58*0.4</f>
        <v>88356.992000000013</v>
      </c>
      <c r="AR91" s="30">
        <f>Lookups!$B$59*Inventory[[#This Row],[LnAcres]]</f>
        <v>-23969.615653948869</v>
      </c>
      <c r="AS91" s="30">
        <f>VLOOKUP(Inventory[[#This Row],[Qlty]],Lookups!$A$66:$E$79,2,FALSE)</f>
        <v>37154.252388000001</v>
      </c>
      <c r="AT91" s="30">
        <f>VLOOKUP(Inventory[[#This Row],[Cnd]],Lookups!$A$80:$E$88,2,FALSE)</f>
        <v>47371.278778200001</v>
      </c>
      <c r="AU91" s="30">
        <f>Inventory[[#This Row],[EffAge]]*Lookups!$B$65</f>
        <v>-326.22329999999999</v>
      </c>
      <c r="AV91" s="30">
        <f>Inventory[[#This Row],[MainFn]]*Lookups!$B$90</f>
        <v>90619.871760000009</v>
      </c>
      <c r="AW91" s="30">
        <f>Inventory[[#This Row],[UpprFn]]*Lookups!$B$91</f>
        <v>0</v>
      </c>
      <c r="AX91" s="30">
        <f>Inventory[[#This Row],[Bsmt Area]]*Lookups!$B$95</f>
        <v>0</v>
      </c>
      <c r="AY91" s="30">
        <f>Inventory[[#This Row],[AttGar]]*Lookups!$B$93</f>
        <v>14120.412400000001</v>
      </c>
      <c r="AZ91" s="30">
        <f>ROUND(Inventory[[#This Row],[25Det]],-2)</f>
        <v>0</v>
      </c>
      <c r="BA91" s="30">
        <f>ROUND(SUM(Inventory[[#This Row],[Mdl Qlty]:[Mdl Garage Area]])+Inventory[[#This Row],[Mdl Res Intercept]],-2)</f>
        <v>321500</v>
      </c>
      <c r="BB91" s="30">
        <f>ROUND(Inventory[[#This Row],[Mdl Land Intercept]]+Inventory[[#This Row],[Mdl LnAcres]],-2)</f>
        <v>64400</v>
      </c>
      <c r="BC91" s="30">
        <f>Inventory[[#This Row],[Unadj Res Value]]+Inventory[[#This Row],[Unadj Det Value]]+Inventory[[#This Row],[Unadj Land Value]]</f>
        <v>385900</v>
      </c>
      <c r="BD91" s="30">
        <f>(Inventory[[#This Row],[Unadj Total Value]]-Inventory[[#This Row],[24Final]])/Inventory[[#This Row],[24Final]]</f>
        <v>3.6251342642320085E-2</v>
      </c>
      <c r="BE91" s="30">
        <f>VLOOKUP(Inventory[[#This Row],[Nbhd]],Lookups!$M$3:$P$5,4,FALSE)</f>
        <v>0.99970000000000003</v>
      </c>
      <c r="BF91" s="30">
        <f>VLOOKUP(Inventory[[#This Row],[Qlty]],Lookups!$M$8:$P$22,4,FALSE)</f>
        <v>0.99819999999999998</v>
      </c>
      <c r="BG91" s="30">
        <f>VLOOKUP(Inventory[[#This Row],[Cnd]],Lookups!$R$8:$U$17,4,FALSE)</f>
        <v>1.0012000000000001</v>
      </c>
      <c r="BH91" s="30">
        <f>VLOOKUP(Inventory[[#This Row],[LivArea Range]],Lookups!$R$25:$U$43,4,FALSE)</f>
        <v>0.99519999999999997</v>
      </c>
      <c r="BI91" s="30">
        <f>VLOOKUP(Inventory[[#This Row],[Decade]],Lookups!$M$24:$P$40,4,FALSE)</f>
        <v>1</v>
      </c>
      <c r="BJ91" s="30">
        <f>Inventory[[#This Row],[Nbhd Adj]]*0.95</f>
        <v>0.94971499999999998</v>
      </c>
      <c r="BK91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91" s="30">
        <f>ROUND((SUM(Inventory[[#This Row],[Mdl Qlty]:[Mdl Garage Area]])+Inventory[[#This Row],[Mdl Res Intercept]])*Inventory[[#This Row],[Res Adj ]],-2)</f>
        <v>305100</v>
      </c>
      <c r="BM91" s="30">
        <f>ROUND(Inventory[[#This Row],[25Det]]*Inventory[[#This Row],[Det/Nbhd Adj]],-2)</f>
        <v>0</v>
      </c>
      <c r="BN91" s="30">
        <f>Inventory[[#This Row],[Adjusted Res]]+Inventory[[#This Row],[Adj Det ]]</f>
        <v>305100</v>
      </c>
      <c r="BO91" s="30">
        <f>ROUND((Inventory[[#This Row],[Mdl Land Intercept]]+Inventory[[#This Row],[Mdl LnAcres]])*Inventory[[#This Row],[Det/Nbhd Adj]],-2)</f>
        <v>61100</v>
      </c>
      <c r="BP91" s="30">
        <f>Inventory[[#This Row],[Adjusted Impr Total]]+Inventory[[#This Row],[Adjusted Land Total]]</f>
        <v>366200</v>
      </c>
      <c r="BQ91" s="30">
        <f>IFERROR((Inventory[[#This Row],[Adjusted Impr Total]]-Inventory[[#This Row],[24Bldg]])/Inventory[[#This Row],[24Bldg]],0)</f>
        <v>-2.086007702182285E-2</v>
      </c>
      <c r="BR91" s="43">
        <f>(Inventory[[#This Row],[Adjusted Land Total]]-Inventory[[#This Row],[24Lnd]])/Inventory[[#This Row],[24Lnd]]</f>
        <v>4.9342105263157892E-3</v>
      </c>
      <c r="BS91" s="43">
        <f>(Inventory[[#This Row],[Adjusted Total]]-Inventory[[#This Row],[24Final]])/Inventory[[#This Row],[24Final]]</f>
        <v>-1.664876476906552E-2</v>
      </c>
    </row>
    <row r="92" spans="1:71">
      <c r="A92" s="30">
        <v>2025</v>
      </c>
      <c r="B92" s="31" t="s">
        <v>601</v>
      </c>
      <c r="C92" s="31">
        <f>LN(Inventory[[#This Row],[Acres]])</f>
        <v>-1.8263509139976741</v>
      </c>
      <c r="D92" s="37">
        <f>ROUND(Inventory[[#This Row],[Sqft]]/43560,3)</f>
        <v>0.161</v>
      </c>
      <c r="E92" s="38">
        <v>7004</v>
      </c>
      <c r="F92" s="31" t="s">
        <v>505</v>
      </c>
      <c r="G92" s="31" t="s">
        <v>155</v>
      </c>
      <c r="H92" s="31" t="s">
        <v>5</v>
      </c>
      <c r="I92" s="31" t="s">
        <v>506</v>
      </c>
      <c r="J92" s="31" t="s">
        <v>507</v>
      </c>
      <c r="K92" s="31" t="s">
        <v>157</v>
      </c>
      <c r="L92" s="31" t="s">
        <v>19</v>
      </c>
      <c r="M92" s="31" t="s">
        <v>24</v>
      </c>
      <c r="N92" s="31">
        <v>0</v>
      </c>
      <c r="O92" s="31">
        <f>2024-Inventory[[#This Row],[YrBlt]]</f>
        <v>3</v>
      </c>
      <c r="P92" s="31">
        <f>2024-Inventory[[#This Row],[EffYr]]</f>
        <v>3</v>
      </c>
      <c r="Q92" s="30">
        <v>2021</v>
      </c>
      <c r="R92" s="30">
        <v>2021</v>
      </c>
      <c r="S92" s="30">
        <v>1452</v>
      </c>
      <c r="T92" s="32"/>
      <c r="U92" s="32"/>
      <c r="V92" s="32"/>
      <c r="W92" s="32"/>
      <c r="X92" s="32">
        <f>Inventory[[#This Row],[Bsmt Area]]-Inventory[[#This Row],[FnBsmt]]</f>
        <v>0</v>
      </c>
      <c r="Y92" s="32">
        <f>Inventory[[#This Row],[MainFn]]+Inventory[[#This Row],[UpprFn]]+Inventory[[#This Row],[AddFn]]+Inventory[[#This Row],[FnBsmt]]</f>
        <v>1452</v>
      </c>
      <c r="Z92" s="32">
        <v>1500</v>
      </c>
      <c r="AA92" s="31" t="s">
        <v>56</v>
      </c>
      <c r="AB92" s="32"/>
      <c r="AC92" s="38">
        <v>400</v>
      </c>
      <c r="AD92" s="32"/>
      <c r="AE92" s="32"/>
      <c r="AF92" s="32"/>
      <c r="AG92" s="32"/>
      <c r="AH92" s="32"/>
      <c r="AI92" s="30">
        <v>287791</v>
      </c>
      <c r="AJ92" s="30">
        <v>279157</v>
      </c>
      <c r="AK92" s="30">
        <v>0</v>
      </c>
      <c r="AL92" s="30">
        <v>0</v>
      </c>
      <c r="AM92" s="30">
        <v>60800</v>
      </c>
      <c r="AN92" s="30">
        <v>311600</v>
      </c>
      <c r="AO92" s="30">
        <v>372400</v>
      </c>
      <c r="AP92" s="30">
        <f>Lookups!$B$58*0.6</f>
        <v>132535.48800000001</v>
      </c>
      <c r="AQ92" s="30">
        <f>Lookups!$B$58*0.4</f>
        <v>88356.992000000013</v>
      </c>
      <c r="AR92" s="30">
        <f>Lookups!$B$59*Inventory[[#This Row],[LnAcres]]</f>
        <v>-23969.615653948869</v>
      </c>
      <c r="AS92" s="30">
        <f>VLOOKUP(Inventory[[#This Row],[Qlty]],Lookups!$A$66:$E$79,2,FALSE)</f>
        <v>37154.252388000001</v>
      </c>
      <c r="AT92" s="30">
        <f>VLOOKUP(Inventory[[#This Row],[Cnd]],Lookups!$A$80:$E$88,2,FALSE)</f>
        <v>47371.278778200001</v>
      </c>
      <c r="AU92" s="30">
        <f>Inventory[[#This Row],[EffAge]]*Lookups!$B$65</f>
        <v>-326.22329999999999</v>
      </c>
      <c r="AV92" s="30">
        <f>Inventory[[#This Row],[MainFn]]*Lookups!$B$90</f>
        <v>90619.871760000009</v>
      </c>
      <c r="AW92" s="30">
        <f>Inventory[[#This Row],[UpprFn]]*Lookups!$B$91</f>
        <v>0</v>
      </c>
      <c r="AX92" s="30">
        <f>Inventory[[#This Row],[Bsmt Area]]*Lookups!$B$95</f>
        <v>0</v>
      </c>
      <c r="AY92" s="30">
        <f>Inventory[[#This Row],[AttGar]]*Lookups!$B$93</f>
        <v>14120.412400000001</v>
      </c>
      <c r="AZ92" s="30">
        <f>ROUND(Inventory[[#This Row],[25Det]],-2)</f>
        <v>0</v>
      </c>
      <c r="BA92" s="30">
        <f>ROUND(SUM(Inventory[[#This Row],[Mdl Qlty]:[Mdl Garage Area]])+Inventory[[#This Row],[Mdl Res Intercept]],-2)</f>
        <v>321500</v>
      </c>
      <c r="BB92" s="30">
        <f>ROUND(Inventory[[#This Row],[Mdl Land Intercept]]+Inventory[[#This Row],[Mdl LnAcres]],-2)</f>
        <v>64400</v>
      </c>
      <c r="BC92" s="30">
        <f>Inventory[[#This Row],[Unadj Res Value]]+Inventory[[#This Row],[Unadj Det Value]]+Inventory[[#This Row],[Unadj Land Value]]</f>
        <v>385900</v>
      </c>
      <c r="BD92" s="30">
        <f>(Inventory[[#This Row],[Unadj Total Value]]-Inventory[[#This Row],[24Final]])/Inventory[[#This Row],[24Final]]</f>
        <v>3.6251342642320085E-2</v>
      </c>
      <c r="BE92" s="30">
        <f>VLOOKUP(Inventory[[#This Row],[Nbhd]],Lookups!$M$3:$P$5,4,FALSE)</f>
        <v>0.99970000000000003</v>
      </c>
      <c r="BF92" s="30">
        <f>VLOOKUP(Inventory[[#This Row],[Qlty]],Lookups!$M$8:$P$22,4,FALSE)</f>
        <v>0.99819999999999998</v>
      </c>
      <c r="BG92" s="30">
        <f>VLOOKUP(Inventory[[#This Row],[Cnd]],Lookups!$R$8:$U$17,4,FALSE)</f>
        <v>1.0012000000000001</v>
      </c>
      <c r="BH92" s="30">
        <f>VLOOKUP(Inventory[[#This Row],[LivArea Range]],Lookups!$R$25:$U$43,4,FALSE)</f>
        <v>0.99519999999999997</v>
      </c>
      <c r="BI92" s="30">
        <f>VLOOKUP(Inventory[[#This Row],[Decade]],Lookups!$M$24:$P$40,4,FALSE)</f>
        <v>1</v>
      </c>
      <c r="BJ92" s="30">
        <f>Inventory[[#This Row],[Nbhd Adj]]*0.95</f>
        <v>0.94971499999999998</v>
      </c>
      <c r="BK92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92" s="30">
        <f>ROUND((SUM(Inventory[[#This Row],[Mdl Qlty]:[Mdl Garage Area]])+Inventory[[#This Row],[Mdl Res Intercept]])*Inventory[[#This Row],[Res Adj ]],-2)</f>
        <v>305100</v>
      </c>
      <c r="BM92" s="30">
        <f>ROUND(Inventory[[#This Row],[25Det]]*Inventory[[#This Row],[Det/Nbhd Adj]],-2)</f>
        <v>0</v>
      </c>
      <c r="BN92" s="30">
        <f>Inventory[[#This Row],[Adjusted Res]]+Inventory[[#This Row],[Adj Det ]]</f>
        <v>305100</v>
      </c>
      <c r="BO92" s="30">
        <f>ROUND((Inventory[[#This Row],[Mdl Land Intercept]]+Inventory[[#This Row],[Mdl LnAcres]])*Inventory[[#This Row],[Det/Nbhd Adj]],-2)</f>
        <v>61100</v>
      </c>
      <c r="BP92" s="30">
        <f>Inventory[[#This Row],[Adjusted Impr Total]]+Inventory[[#This Row],[Adjusted Land Total]]</f>
        <v>366200</v>
      </c>
      <c r="BQ92" s="30">
        <f>IFERROR((Inventory[[#This Row],[Adjusted Impr Total]]-Inventory[[#This Row],[24Bldg]])/Inventory[[#This Row],[24Bldg]],0)</f>
        <v>-2.086007702182285E-2</v>
      </c>
      <c r="BR92" s="43">
        <f>(Inventory[[#This Row],[Adjusted Land Total]]-Inventory[[#This Row],[24Lnd]])/Inventory[[#This Row],[24Lnd]]</f>
        <v>4.9342105263157892E-3</v>
      </c>
      <c r="BS92" s="43">
        <f>(Inventory[[#This Row],[Adjusted Total]]-Inventory[[#This Row],[24Final]])/Inventory[[#This Row],[24Final]]</f>
        <v>-1.664876476906552E-2</v>
      </c>
    </row>
    <row r="93" spans="1:71">
      <c r="A93" s="30">
        <v>2025</v>
      </c>
      <c r="B93" s="31" t="s">
        <v>602</v>
      </c>
      <c r="C93" s="31">
        <f>LN(Inventory[[#This Row],[Acres]])</f>
        <v>-1.8263509139976741</v>
      </c>
      <c r="D93" s="37">
        <f>ROUND(Inventory[[#This Row],[Sqft]]/43560,3)</f>
        <v>0.161</v>
      </c>
      <c r="E93" s="38">
        <v>7002</v>
      </c>
      <c r="F93" s="31" t="s">
        <v>505</v>
      </c>
      <c r="G93" s="31" t="s">
        <v>155</v>
      </c>
      <c r="H93" s="31" t="s">
        <v>5</v>
      </c>
      <c r="I93" s="31" t="s">
        <v>506</v>
      </c>
      <c r="J93" s="31" t="s">
        <v>507</v>
      </c>
      <c r="K93" s="31" t="s">
        <v>157</v>
      </c>
      <c r="L93" s="31" t="s">
        <v>19</v>
      </c>
      <c r="M93" s="31" t="s">
        <v>24</v>
      </c>
      <c r="N93" s="31">
        <v>0</v>
      </c>
      <c r="O93" s="31">
        <f>2024-Inventory[[#This Row],[YrBlt]]</f>
        <v>3</v>
      </c>
      <c r="P93" s="31">
        <f>2024-Inventory[[#This Row],[EffYr]]</f>
        <v>3</v>
      </c>
      <c r="Q93" s="30">
        <v>2021</v>
      </c>
      <c r="R93" s="30">
        <v>2021</v>
      </c>
      <c r="S93" s="30">
        <v>1580</v>
      </c>
      <c r="T93" s="37"/>
      <c r="U93" s="32"/>
      <c r="V93" s="32"/>
      <c r="W93" s="32"/>
      <c r="X93" s="32">
        <f>Inventory[[#This Row],[Bsmt Area]]-Inventory[[#This Row],[FnBsmt]]</f>
        <v>0</v>
      </c>
      <c r="Y93" s="32">
        <f>Inventory[[#This Row],[MainFn]]+Inventory[[#This Row],[UpprFn]]+Inventory[[#This Row],[AddFn]]+Inventory[[#This Row],[FnBsmt]]</f>
        <v>1580</v>
      </c>
      <c r="Z93" s="32">
        <v>2000</v>
      </c>
      <c r="AA93" s="31" t="s">
        <v>56</v>
      </c>
      <c r="AB93" s="32"/>
      <c r="AC93" s="38">
        <v>400</v>
      </c>
      <c r="AD93" s="32"/>
      <c r="AE93" s="32"/>
      <c r="AF93" s="32"/>
      <c r="AG93" s="32"/>
      <c r="AH93" s="32"/>
      <c r="AI93" s="30">
        <v>306027</v>
      </c>
      <c r="AJ93" s="30">
        <v>296846</v>
      </c>
      <c r="AK93" s="30">
        <v>0</v>
      </c>
      <c r="AL93" s="30">
        <v>0</v>
      </c>
      <c r="AM93" s="30">
        <v>60800</v>
      </c>
      <c r="AN93" s="30">
        <v>319900</v>
      </c>
      <c r="AO93" s="30">
        <v>380700</v>
      </c>
      <c r="AP93" s="30">
        <f>Lookups!$B$58*0.6</f>
        <v>132535.48800000001</v>
      </c>
      <c r="AQ93" s="30">
        <f>Lookups!$B$58*0.4</f>
        <v>88356.992000000013</v>
      </c>
      <c r="AR93" s="30">
        <f>Lookups!$B$59*Inventory[[#This Row],[LnAcres]]</f>
        <v>-23969.615653948869</v>
      </c>
      <c r="AS93" s="30">
        <f>VLOOKUP(Inventory[[#This Row],[Qlty]],Lookups!$A$66:$E$79,2,FALSE)</f>
        <v>37154.252388000001</v>
      </c>
      <c r="AT93" s="30">
        <f>VLOOKUP(Inventory[[#This Row],[Cnd]],Lookups!$A$80:$E$88,2,FALSE)</f>
        <v>47371.278778200001</v>
      </c>
      <c r="AU93" s="30">
        <f>Inventory[[#This Row],[EffAge]]*Lookups!$B$65</f>
        <v>-326.22329999999999</v>
      </c>
      <c r="AV93" s="30">
        <f>Inventory[[#This Row],[MainFn]]*Lookups!$B$90</f>
        <v>98608.400399999999</v>
      </c>
      <c r="AW93" s="30">
        <f>Inventory[[#This Row],[UpprFn]]*Lookups!$B$91</f>
        <v>0</v>
      </c>
      <c r="AX93" s="30">
        <f>Inventory[[#This Row],[Bsmt Area]]*Lookups!$B$95</f>
        <v>0</v>
      </c>
      <c r="AY93" s="30">
        <f>Inventory[[#This Row],[AttGar]]*Lookups!$B$93</f>
        <v>14120.412400000001</v>
      </c>
      <c r="AZ93" s="30">
        <f>ROUND(Inventory[[#This Row],[25Det]],-2)</f>
        <v>0</v>
      </c>
      <c r="BA93" s="30">
        <f>ROUND(SUM(Inventory[[#This Row],[Mdl Qlty]:[Mdl Garage Area]])+Inventory[[#This Row],[Mdl Res Intercept]],-2)</f>
        <v>329500</v>
      </c>
      <c r="BB93" s="30">
        <f>ROUND(Inventory[[#This Row],[Mdl Land Intercept]]+Inventory[[#This Row],[Mdl LnAcres]],-2)</f>
        <v>64400</v>
      </c>
      <c r="BC93" s="30">
        <f>Inventory[[#This Row],[Unadj Res Value]]+Inventory[[#This Row],[Unadj Det Value]]+Inventory[[#This Row],[Unadj Land Value]]</f>
        <v>393900</v>
      </c>
      <c r="BD93" s="30">
        <f>(Inventory[[#This Row],[Unadj Total Value]]-Inventory[[#This Row],[24Final]])/Inventory[[#This Row],[24Final]]</f>
        <v>3.4672970843183611E-2</v>
      </c>
      <c r="BE93" s="30">
        <f>VLOOKUP(Inventory[[#This Row],[Nbhd]],Lookups!$M$3:$P$5,4,FALSE)</f>
        <v>0.99970000000000003</v>
      </c>
      <c r="BF93" s="30">
        <f>VLOOKUP(Inventory[[#This Row],[Qlty]],Lookups!$M$8:$P$22,4,FALSE)</f>
        <v>0.99819999999999998</v>
      </c>
      <c r="BG93" s="30">
        <f>VLOOKUP(Inventory[[#This Row],[Cnd]],Lookups!$R$8:$U$17,4,FALSE)</f>
        <v>1.0012000000000001</v>
      </c>
      <c r="BH93" s="30">
        <f>VLOOKUP(Inventory[[#This Row],[LivArea Range]],Lookups!$R$25:$U$43,4,FALSE)</f>
        <v>1.0007999999999999</v>
      </c>
      <c r="BI93" s="30">
        <f>VLOOKUP(Inventory[[#This Row],[Decade]],Lookups!$M$24:$P$40,4,FALSE)</f>
        <v>1</v>
      </c>
      <c r="BJ93" s="30">
        <f>Inventory[[#This Row],[Nbhd Adj]]*0.95</f>
        <v>0.94971499999999998</v>
      </c>
      <c r="BK93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93" s="30">
        <f>ROUND((SUM(Inventory[[#This Row],[Mdl Qlty]:[Mdl Garage Area]])+Inventory[[#This Row],[Mdl Res Intercept]])*Inventory[[#This Row],[Res Adj ]],-2)</f>
        <v>313000</v>
      </c>
      <c r="BM93" s="30">
        <f>ROUND(Inventory[[#This Row],[25Det]]*Inventory[[#This Row],[Det/Nbhd Adj]],-2)</f>
        <v>0</v>
      </c>
      <c r="BN93" s="30">
        <f>Inventory[[#This Row],[Adjusted Res]]+Inventory[[#This Row],[Adj Det ]]</f>
        <v>313000</v>
      </c>
      <c r="BO93" s="30">
        <f>ROUND((Inventory[[#This Row],[Mdl Land Intercept]]+Inventory[[#This Row],[Mdl LnAcres]])*Inventory[[#This Row],[Det/Nbhd Adj]],-2)</f>
        <v>61100</v>
      </c>
      <c r="BP93" s="30">
        <f>Inventory[[#This Row],[Adjusted Impr Total]]+Inventory[[#This Row],[Adjusted Land Total]]</f>
        <v>374100</v>
      </c>
      <c r="BQ93" s="30">
        <f>IFERROR((Inventory[[#This Row],[Adjusted Impr Total]]-Inventory[[#This Row],[24Bldg]])/Inventory[[#This Row],[24Bldg]],0)</f>
        <v>-2.1569240387621133E-2</v>
      </c>
      <c r="BR93" s="43">
        <f>(Inventory[[#This Row],[Adjusted Land Total]]-Inventory[[#This Row],[24Lnd]])/Inventory[[#This Row],[24Lnd]]</f>
        <v>4.9342105263157892E-3</v>
      </c>
      <c r="BS93" s="43">
        <f>(Inventory[[#This Row],[Adjusted Total]]-Inventory[[#This Row],[24Final]])/Inventory[[#This Row],[24Final]]</f>
        <v>-1.7336485421591805E-2</v>
      </c>
    </row>
    <row r="94" spans="1:71">
      <c r="A94" s="30">
        <v>2025</v>
      </c>
      <c r="B94" s="31" t="s">
        <v>603</v>
      </c>
      <c r="C94" s="31">
        <f>LN(Inventory[[#This Row],[Acres]])</f>
        <v>-1.8263509139976741</v>
      </c>
      <c r="D94" s="37">
        <f>ROUND(Inventory[[#This Row],[Sqft]]/43560,3)</f>
        <v>0.161</v>
      </c>
      <c r="E94" s="38">
        <v>7001</v>
      </c>
      <c r="F94" s="31" t="s">
        <v>505</v>
      </c>
      <c r="G94" s="31" t="s">
        <v>155</v>
      </c>
      <c r="H94" s="31" t="s">
        <v>5</v>
      </c>
      <c r="I94" s="31" t="s">
        <v>506</v>
      </c>
      <c r="J94" s="31" t="s">
        <v>507</v>
      </c>
      <c r="K94" s="31" t="s">
        <v>157</v>
      </c>
      <c r="L94" s="31" t="s">
        <v>19</v>
      </c>
      <c r="M94" s="31" t="s">
        <v>24</v>
      </c>
      <c r="N94" s="31">
        <v>0</v>
      </c>
      <c r="O94" s="31">
        <f>2024-Inventory[[#This Row],[YrBlt]]</f>
        <v>3</v>
      </c>
      <c r="P94" s="31">
        <f>2024-Inventory[[#This Row],[EffYr]]</f>
        <v>3</v>
      </c>
      <c r="Q94" s="30">
        <v>2021</v>
      </c>
      <c r="R94" s="30">
        <v>2021</v>
      </c>
      <c r="S94" s="30">
        <v>1592</v>
      </c>
      <c r="T94" s="32"/>
      <c r="U94" s="32"/>
      <c r="V94" s="32"/>
      <c r="W94" s="32"/>
      <c r="X94" s="32">
        <f>Inventory[[#This Row],[Bsmt Area]]-Inventory[[#This Row],[FnBsmt]]</f>
        <v>0</v>
      </c>
      <c r="Y94" s="32">
        <f>Inventory[[#This Row],[MainFn]]+Inventory[[#This Row],[UpprFn]]+Inventory[[#This Row],[AddFn]]+Inventory[[#This Row],[FnBsmt]]</f>
        <v>1592</v>
      </c>
      <c r="Z94" s="32">
        <v>2000</v>
      </c>
      <c r="AA94" s="31" t="s">
        <v>56</v>
      </c>
      <c r="AB94" s="38">
        <v>1</v>
      </c>
      <c r="AC94" s="38">
        <v>400</v>
      </c>
      <c r="AD94" s="32"/>
      <c r="AE94" s="32"/>
      <c r="AF94" s="32"/>
      <c r="AG94" s="32"/>
      <c r="AH94" s="32"/>
      <c r="AI94" s="30">
        <v>311459</v>
      </c>
      <c r="AJ94" s="30">
        <v>302115</v>
      </c>
      <c r="AK94" s="30">
        <v>0</v>
      </c>
      <c r="AL94" s="30">
        <v>0</v>
      </c>
      <c r="AM94" s="30">
        <v>60800</v>
      </c>
      <c r="AN94" s="30">
        <v>320500</v>
      </c>
      <c r="AO94" s="30">
        <v>381300</v>
      </c>
      <c r="AP94" s="30">
        <f>Lookups!$B$58*0.6</f>
        <v>132535.48800000001</v>
      </c>
      <c r="AQ94" s="30">
        <f>Lookups!$B$58*0.4</f>
        <v>88356.992000000013</v>
      </c>
      <c r="AR94" s="30">
        <f>Lookups!$B$59*Inventory[[#This Row],[LnAcres]]</f>
        <v>-23969.615653948869</v>
      </c>
      <c r="AS94" s="30">
        <f>VLOOKUP(Inventory[[#This Row],[Qlty]],Lookups!$A$66:$E$79,2,FALSE)</f>
        <v>37154.252388000001</v>
      </c>
      <c r="AT94" s="30">
        <f>VLOOKUP(Inventory[[#This Row],[Cnd]],Lookups!$A$80:$E$88,2,FALSE)</f>
        <v>47371.278778200001</v>
      </c>
      <c r="AU94" s="30">
        <f>Inventory[[#This Row],[EffAge]]*Lookups!$B$65</f>
        <v>-326.22329999999999</v>
      </c>
      <c r="AV94" s="30">
        <f>Inventory[[#This Row],[MainFn]]*Lookups!$B$90</f>
        <v>99357.324960000013</v>
      </c>
      <c r="AW94" s="30">
        <f>Inventory[[#This Row],[UpprFn]]*Lookups!$B$91</f>
        <v>0</v>
      </c>
      <c r="AX94" s="30">
        <f>Inventory[[#This Row],[Bsmt Area]]*Lookups!$B$95</f>
        <v>0</v>
      </c>
      <c r="AY94" s="30">
        <f>Inventory[[#This Row],[AttGar]]*Lookups!$B$93</f>
        <v>14120.412400000001</v>
      </c>
      <c r="AZ94" s="30">
        <f>ROUND(Inventory[[#This Row],[25Det]],-2)</f>
        <v>0</v>
      </c>
      <c r="BA94" s="30">
        <f>ROUND(SUM(Inventory[[#This Row],[Mdl Qlty]:[Mdl Garage Area]])+Inventory[[#This Row],[Mdl Res Intercept]],-2)</f>
        <v>330200</v>
      </c>
      <c r="BB94" s="30">
        <f>ROUND(Inventory[[#This Row],[Mdl Land Intercept]]+Inventory[[#This Row],[Mdl LnAcres]],-2)</f>
        <v>64400</v>
      </c>
      <c r="BC94" s="30">
        <f>Inventory[[#This Row],[Unadj Res Value]]+Inventory[[#This Row],[Unadj Det Value]]+Inventory[[#This Row],[Unadj Land Value]]</f>
        <v>394600</v>
      </c>
      <c r="BD94" s="30">
        <f>(Inventory[[#This Row],[Unadj Total Value]]-Inventory[[#This Row],[24Final]])/Inventory[[#This Row],[24Final]]</f>
        <v>3.4880671387359036E-2</v>
      </c>
      <c r="BE94" s="30">
        <f>VLOOKUP(Inventory[[#This Row],[Nbhd]],Lookups!$M$3:$P$5,4,FALSE)</f>
        <v>0.99970000000000003</v>
      </c>
      <c r="BF94" s="30">
        <f>VLOOKUP(Inventory[[#This Row],[Qlty]],Lookups!$M$8:$P$22,4,FALSE)</f>
        <v>0.99819999999999998</v>
      </c>
      <c r="BG94" s="30">
        <f>VLOOKUP(Inventory[[#This Row],[Cnd]],Lookups!$R$8:$U$17,4,FALSE)</f>
        <v>1.0012000000000001</v>
      </c>
      <c r="BH94" s="30">
        <f>VLOOKUP(Inventory[[#This Row],[LivArea Range]],Lookups!$R$25:$U$43,4,FALSE)</f>
        <v>1.0007999999999999</v>
      </c>
      <c r="BI94" s="30">
        <f>VLOOKUP(Inventory[[#This Row],[Decade]],Lookups!$M$24:$P$40,4,FALSE)</f>
        <v>1</v>
      </c>
      <c r="BJ94" s="30">
        <f>Inventory[[#This Row],[Nbhd Adj]]*0.95</f>
        <v>0.94971499999999998</v>
      </c>
      <c r="BK94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94" s="30">
        <f>ROUND((SUM(Inventory[[#This Row],[Mdl Qlty]:[Mdl Garage Area]])+Inventory[[#This Row],[Mdl Res Intercept]])*Inventory[[#This Row],[Res Adj ]],-2)</f>
        <v>313700</v>
      </c>
      <c r="BM94" s="30">
        <f>ROUND(Inventory[[#This Row],[25Det]]*Inventory[[#This Row],[Det/Nbhd Adj]],-2)</f>
        <v>0</v>
      </c>
      <c r="BN94" s="30">
        <f>Inventory[[#This Row],[Adjusted Res]]+Inventory[[#This Row],[Adj Det ]]</f>
        <v>313700</v>
      </c>
      <c r="BO94" s="30">
        <f>ROUND((Inventory[[#This Row],[Mdl Land Intercept]]+Inventory[[#This Row],[Mdl LnAcres]])*Inventory[[#This Row],[Det/Nbhd Adj]],-2)</f>
        <v>61100</v>
      </c>
      <c r="BP94" s="30">
        <f>Inventory[[#This Row],[Adjusted Impr Total]]+Inventory[[#This Row],[Adjusted Land Total]]</f>
        <v>374800</v>
      </c>
      <c r="BQ94" s="30">
        <f>IFERROR((Inventory[[#This Row],[Adjusted Impr Total]]-Inventory[[#This Row],[24Bldg]])/Inventory[[#This Row],[24Bldg]],0)</f>
        <v>-2.1216848673946957E-2</v>
      </c>
      <c r="BR94" s="43">
        <f>(Inventory[[#This Row],[Adjusted Land Total]]-Inventory[[#This Row],[24Lnd]])/Inventory[[#This Row],[24Lnd]]</f>
        <v>4.9342105263157892E-3</v>
      </c>
      <c r="BS94" s="43">
        <f>(Inventory[[#This Row],[Adjusted Total]]-Inventory[[#This Row],[24Final]])/Inventory[[#This Row],[24Final]]</f>
        <v>-1.7046944662995018E-2</v>
      </c>
    </row>
    <row r="95" spans="1:71">
      <c r="A95" s="30">
        <v>2025</v>
      </c>
      <c r="B95" s="31" t="s">
        <v>604</v>
      </c>
      <c r="C95" s="31">
        <f>LN(Inventory[[#This Row],[Acres]])</f>
        <v>-1.8263509139976741</v>
      </c>
      <c r="D95" s="37">
        <f>ROUND(Inventory[[#This Row],[Sqft]]/43560,3)</f>
        <v>0.161</v>
      </c>
      <c r="E95" s="30">
        <v>7002</v>
      </c>
      <c r="F95" s="31" t="s">
        <v>505</v>
      </c>
      <c r="G95" s="31" t="s">
        <v>155</v>
      </c>
      <c r="H95" s="31" t="s">
        <v>5</v>
      </c>
      <c r="I95" s="31" t="s">
        <v>506</v>
      </c>
      <c r="J95" s="31" t="s">
        <v>507</v>
      </c>
      <c r="K95" s="31" t="s">
        <v>157</v>
      </c>
      <c r="L95" s="31" t="s">
        <v>19</v>
      </c>
      <c r="M95" s="31" t="s">
        <v>24</v>
      </c>
      <c r="N95" s="31">
        <v>0</v>
      </c>
      <c r="O95" s="31">
        <f>2024-Inventory[[#This Row],[YrBlt]]</f>
        <v>3</v>
      </c>
      <c r="P95" s="31">
        <f>2024-Inventory[[#This Row],[EffYr]]</f>
        <v>3</v>
      </c>
      <c r="Q95" s="30">
        <v>2021</v>
      </c>
      <c r="R95" s="30">
        <v>2021</v>
      </c>
      <c r="S95" s="30">
        <v>1619</v>
      </c>
      <c r="T95" s="32"/>
      <c r="U95" s="37"/>
      <c r="V95" s="32"/>
      <c r="W95" s="32"/>
      <c r="X95" s="32">
        <f>Inventory[[#This Row],[Bsmt Area]]-Inventory[[#This Row],[FnBsmt]]</f>
        <v>0</v>
      </c>
      <c r="Y95" s="32">
        <f>Inventory[[#This Row],[MainFn]]+Inventory[[#This Row],[UpprFn]]+Inventory[[#This Row],[AddFn]]+Inventory[[#This Row],[FnBsmt]]</f>
        <v>1619</v>
      </c>
      <c r="Z95" s="32">
        <v>2000</v>
      </c>
      <c r="AA95" s="31" t="s">
        <v>56</v>
      </c>
      <c r="AB95" s="32"/>
      <c r="AC95" s="38">
        <v>400</v>
      </c>
      <c r="AD95" s="32"/>
      <c r="AE95" s="32"/>
      <c r="AF95" s="32"/>
      <c r="AG95" s="32"/>
      <c r="AH95" s="32"/>
      <c r="AI95" s="30">
        <v>311808</v>
      </c>
      <c r="AJ95" s="30">
        <v>302454</v>
      </c>
      <c r="AK95" s="30">
        <v>0</v>
      </c>
      <c r="AL95" s="30">
        <v>0</v>
      </c>
      <c r="AM95" s="30">
        <v>60800</v>
      </c>
      <c r="AN95" s="30">
        <v>321900</v>
      </c>
      <c r="AO95" s="30">
        <v>382700</v>
      </c>
      <c r="AP95" s="30">
        <f>Lookups!$B$58*0.6</f>
        <v>132535.48800000001</v>
      </c>
      <c r="AQ95" s="30">
        <f>Lookups!$B$58*0.4</f>
        <v>88356.992000000013</v>
      </c>
      <c r="AR95" s="30">
        <f>Lookups!$B$59*Inventory[[#This Row],[LnAcres]]</f>
        <v>-23969.615653948869</v>
      </c>
      <c r="AS95" s="30">
        <f>VLOOKUP(Inventory[[#This Row],[Qlty]],Lookups!$A$66:$E$79,2,FALSE)</f>
        <v>37154.252388000001</v>
      </c>
      <c r="AT95" s="30">
        <f>VLOOKUP(Inventory[[#This Row],[Cnd]],Lookups!$A$80:$E$88,2,FALSE)</f>
        <v>47371.278778200001</v>
      </c>
      <c r="AU95" s="30">
        <f>Inventory[[#This Row],[EffAge]]*Lookups!$B$65</f>
        <v>-326.22329999999999</v>
      </c>
      <c r="AV95" s="30">
        <f>Inventory[[#This Row],[MainFn]]*Lookups!$B$90</f>
        <v>101042.40522</v>
      </c>
      <c r="AW95" s="30">
        <f>Inventory[[#This Row],[UpprFn]]*Lookups!$B$91</f>
        <v>0</v>
      </c>
      <c r="AX95" s="30">
        <f>Inventory[[#This Row],[Bsmt Area]]*Lookups!$B$95</f>
        <v>0</v>
      </c>
      <c r="AY95" s="30">
        <f>Inventory[[#This Row],[AttGar]]*Lookups!$B$93</f>
        <v>14120.412400000001</v>
      </c>
      <c r="AZ95" s="30">
        <f>ROUND(Inventory[[#This Row],[25Det]],-2)</f>
        <v>0</v>
      </c>
      <c r="BA95" s="30">
        <f>ROUND(SUM(Inventory[[#This Row],[Mdl Qlty]:[Mdl Garage Area]])+Inventory[[#This Row],[Mdl Res Intercept]],-2)</f>
        <v>331900</v>
      </c>
      <c r="BB95" s="30">
        <f>ROUND(Inventory[[#This Row],[Mdl Land Intercept]]+Inventory[[#This Row],[Mdl LnAcres]],-2)</f>
        <v>64400</v>
      </c>
      <c r="BC95" s="30">
        <f>Inventory[[#This Row],[Unadj Res Value]]+Inventory[[#This Row],[Unadj Det Value]]+Inventory[[#This Row],[Unadj Land Value]]</f>
        <v>396300</v>
      </c>
      <c r="BD95" s="30">
        <f>(Inventory[[#This Row],[Unadj Total Value]]-Inventory[[#This Row],[24Final]])/Inventory[[#This Row],[24Final]]</f>
        <v>3.5536974131173245E-2</v>
      </c>
      <c r="BE95" s="30">
        <f>VLOOKUP(Inventory[[#This Row],[Nbhd]],Lookups!$M$3:$P$5,4,FALSE)</f>
        <v>0.99970000000000003</v>
      </c>
      <c r="BF95" s="30">
        <f>VLOOKUP(Inventory[[#This Row],[Qlty]],Lookups!$M$8:$P$22,4,FALSE)</f>
        <v>0.99819999999999998</v>
      </c>
      <c r="BG95" s="30">
        <f>VLOOKUP(Inventory[[#This Row],[Cnd]],Lookups!$R$8:$U$17,4,FALSE)</f>
        <v>1.0012000000000001</v>
      </c>
      <c r="BH95" s="30">
        <f>VLOOKUP(Inventory[[#This Row],[LivArea Range]],Lookups!$R$25:$U$43,4,FALSE)</f>
        <v>1.0007999999999999</v>
      </c>
      <c r="BI95" s="30">
        <f>VLOOKUP(Inventory[[#This Row],[Decade]],Lookups!$M$24:$P$40,4,FALSE)</f>
        <v>1</v>
      </c>
      <c r="BJ95" s="30">
        <f>Inventory[[#This Row],[Nbhd Adj]]*0.95</f>
        <v>0.94971499999999998</v>
      </c>
      <c r="BK95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95" s="30">
        <f>ROUND((SUM(Inventory[[#This Row],[Mdl Qlty]:[Mdl Garage Area]])+Inventory[[#This Row],[Mdl Res Intercept]])*Inventory[[#This Row],[Res Adj ]],-2)</f>
        <v>315300</v>
      </c>
      <c r="BM95" s="30">
        <f>ROUND(Inventory[[#This Row],[25Det]]*Inventory[[#This Row],[Det/Nbhd Adj]],-2)</f>
        <v>0</v>
      </c>
      <c r="BN95" s="30">
        <f>Inventory[[#This Row],[Adjusted Res]]+Inventory[[#This Row],[Adj Det ]]</f>
        <v>315300</v>
      </c>
      <c r="BO95" s="30">
        <f>ROUND((Inventory[[#This Row],[Mdl Land Intercept]]+Inventory[[#This Row],[Mdl LnAcres]])*Inventory[[#This Row],[Det/Nbhd Adj]],-2)</f>
        <v>61100</v>
      </c>
      <c r="BP95" s="30">
        <f>Inventory[[#This Row],[Adjusted Impr Total]]+Inventory[[#This Row],[Adjusted Land Total]]</f>
        <v>376400</v>
      </c>
      <c r="BQ95" s="30">
        <f>IFERROR((Inventory[[#This Row],[Adjusted Impr Total]]-Inventory[[#This Row],[24Bldg]])/Inventory[[#This Row],[24Bldg]],0)</f>
        <v>-2.0503261882572229E-2</v>
      </c>
      <c r="BR95" s="43">
        <f>(Inventory[[#This Row],[Adjusted Land Total]]-Inventory[[#This Row],[24Lnd]])/Inventory[[#This Row],[24Lnd]]</f>
        <v>4.9342105263157892E-3</v>
      </c>
      <c r="BS95" s="43">
        <f>(Inventory[[#This Row],[Adjusted Total]]-Inventory[[#This Row],[24Final]])/Inventory[[#This Row],[24Final]]</f>
        <v>-1.6461980663705252E-2</v>
      </c>
    </row>
    <row r="96" spans="1:71">
      <c r="A96" s="30">
        <v>2025</v>
      </c>
      <c r="B96" s="31" t="s">
        <v>605</v>
      </c>
      <c r="C96" s="31">
        <f>LN(Inventory[[#This Row],[Acres]])</f>
        <v>-1.820158943749753</v>
      </c>
      <c r="D96" s="37">
        <f>ROUND(Inventory[[#This Row],[Sqft]]/43560,3)</f>
        <v>0.16200000000000001</v>
      </c>
      <c r="E96" s="30">
        <v>7060</v>
      </c>
      <c r="F96" s="31" t="s">
        <v>505</v>
      </c>
      <c r="G96" s="31" t="s">
        <v>155</v>
      </c>
      <c r="H96" s="31" t="s">
        <v>5</v>
      </c>
      <c r="I96" s="31" t="s">
        <v>506</v>
      </c>
      <c r="J96" s="31" t="s">
        <v>507</v>
      </c>
      <c r="K96" s="31" t="s">
        <v>157</v>
      </c>
      <c r="L96" s="31" t="s">
        <v>21</v>
      </c>
      <c r="M96" s="31" t="s">
        <v>24</v>
      </c>
      <c r="N96" s="31">
        <v>0</v>
      </c>
      <c r="O96" s="31">
        <f>2024-Inventory[[#This Row],[YrBlt]]</f>
        <v>3</v>
      </c>
      <c r="P96" s="31">
        <f>2024-Inventory[[#This Row],[EffYr]]</f>
        <v>3</v>
      </c>
      <c r="Q96" s="30">
        <v>2021</v>
      </c>
      <c r="R96" s="30">
        <v>2021</v>
      </c>
      <c r="S96" s="30">
        <v>1740</v>
      </c>
      <c r="T96" s="37"/>
      <c r="U96" s="32"/>
      <c r="V96" s="32"/>
      <c r="W96" s="32"/>
      <c r="X96" s="32">
        <f>Inventory[[#This Row],[Bsmt Area]]-Inventory[[#This Row],[FnBsmt]]</f>
        <v>0</v>
      </c>
      <c r="Y96" s="32">
        <f>Inventory[[#This Row],[MainFn]]+Inventory[[#This Row],[UpprFn]]+Inventory[[#This Row],[AddFn]]+Inventory[[#This Row],[FnBsmt]]</f>
        <v>1740</v>
      </c>
      <c r="Z96" s="32">
        <v>2000</v>
      </c>
      <c r="AA96" s="31" t="s">
        <v>57</v>
      </c>
      <c r="AB96" s="32"/>
      <c r="AC96" s="38">
        <v>450</v>
      </c>
      <c r="AD96" s="32"/>
      <c r="AE96" s="32"/>
      <c r="AF96" s="32"/>
      <c r="AG96" s="32"/>
      <c r="AH96" s="32"/>
      <c r="AI96" s="30">
        <v>380632</v>
      </c>
      <c r="AJ96" s="30">
        <v>369213</v>
      </c>
      <c r="AK96" s="30">
        <v>0</v>
      </c>
      <c r="AL96" s="30">
        <v>0</v>
      </c>
      <c r="AM96" s="30">
        <v>60800</v>
      </c>
      <c r="AN96" s="30">
        <v>332700</v>
      </c>
      <c r="AO96" s="30">
        <v>393500</v>
      </c>
      <c r="AP96" s="30">
        <f>Lookups!$B$58*0.6</f>
        <v>132535.48800000001</v>
      </c>
      <c r="AQ96" s="30">
        <f>Lookups!$B$58*0.4</f>
        <v>88356.992000000013</v>
      </c>
      <c r="AR96" s="30">
        <f>Lookups!$B$59*Inventory[[#This Row],[LnAcres]]</f>
        <v>-23888.3502487927</v>
      </c>
      <c r="AS96" s="30">
        <f>VLOOKUP(Inventory[[#This Row],[Qlty]],Lookups!$A$66:$E$79,2,FALSE)</f>
        <v>32917.849192000001</v>
      </c>
      <c r="AT96" s="30">
        <f>VLOOKUP(Inventory[[#This Row],[Cnd]],Lookups!$A$80:$E$88,2,FALSE)</f>
        <v>47371.278778200001</v>
      </c>
      <c r="AU96" s="30">
        <f>Inventory[[#This Row],[EffAge]]*Lookups!$B$65</f>
        <v>-326.22329999999999</v>
      </c>
      <c r="AV96" s="30">
        <f>Inventory[[#This Row],[MainFn]]*Lookups!$B$90</f>
        <v>108594.06120000001</v>
      </c>
      <c r="AW96" s="30">
        <f>Inventory[[#This Row],[UpprFn]]*Lookups!$B$91</f>
        <v>0</v>
      </c>
      <c r="AX96" s="30">
        <f>Inventory[[#This Row],[Bsmt Area]]*Lookups!$B$95</f>
        <v>0</v>
      </c>
      <c r="AY96" s="30">
        <f>Inventory[[#This Row],[AttGar]]*Lookups!$B$93</f>
        <v>15885.463950000001</v>
      </c>
      <c r="AZ96" s="30">
        <f>ROUND(Inventory[[#This Row],[25Det]],-2)</f>
        <v>0</v>
      </c>
      <c r="BA96" s="30">
        <f>ROUND(SUM(Inventory[[#This Row],[Mdl Qlty]:[Mdl Garage Area]])+Inventory[[#This Row],[Mdl Res Intercept]],-2)</f>
        <v>337000</v>
      </c>
      <c r="BB96" s="30">
        <f>ROUND(Inventory[[#This Row],[Mdl Land Intercept]]+Inventory[[#This Row],[Mdl LnAcres]],-2)</f>
        <v>64500</v>
      </c>
      <c r="BC96" s="30">
        <f>Inventory[[#This Row],[Unadj Res Value]]+Inventory[[#This Row],[Unadj Det Value]]+Inventory[[#This Row],[Unadj Land Value]]</f>
        <v>401500</v>
      </c>
      <c r="BD96" s="30">
        <f>(Inventory[[#This Row],[Unadj Total Value]]-Inventory[[#This Row],[24Final]])/Inventory[[#This Row],[24Final]]</f>
        <v>2.0330368487928845E-2</v>
      </c>
      <c r="BE96" s="30">
        <f>VLOOKUP(Inventory[[#This Row],[Nbhd]],Lookups!$M$3:$P$5,4,FALSE)</f>
        <v>0.99970000000000003</v>
      </c>
      <c r="BF96" s="30">
        <f>VLOOKUP(Inventory[[#This Row],[Qlty]],Lookups!$M$8:$P$22,4,FALSE)</f>
        <v>1.0019</v>
      </c>
      <c r="BG96" s="30">
        <f>VLOOKUP(Inventory[[#This Row],[Cnd]],Lookups!$R$8:$U$17,4,FALSE)</f>
        <v>1.0012000000000001</v>
      </c>
      <c r="BH96" s="30">
        <f>VLOOKUP(Inventory[[#This Row],[LivArea Range]],Lookups!$R$25:$U$43,4,FALSE)</f>
        <v>1.0007999999999999</v>
      </c>
      <c r="BI96" s="30">
        <f>VLOOKUP(Inventory[[#This Row],[Decade]],Lookups!$M$24:$P$40,4,FALSE)</f>
        <v>1</v>
      </c>
      <c r="BJ96" s="30">
        <f>Inventory[[#This Row],[Nbhd Adj]]*0.95</f>
        <v>0.94971499999999998</v>
      </c>
      <c r="BK96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96" s="30">
        <f>ROUND((SUM(Inventory[[#This Row],[Mdl Qlty]:[Mdl Garage Area]])+Inventory[[#This Row],[Mdl Res Intercept]])*Inventory[[#This Row],[Res Adj ]],-2)</f>
        <v>320400</v>
      </c>
      <c r="BM96" s="30">
        <f>ROUND(Inventory[[#This Row],[25Det]]*Inventory[[#This Row],[Det/Nbhd Adj]],-2)</f>
        <v>0</v>
      </c>
      <c r="BN96" s="30">
        <f>Inventory[[#This Row],[Adjusted Res]]+Inventory[[#This Row],[Adj Det ]]</f>
        <v>320400</v>
      </c>
      <c r="BO96" s="30">
        <f>ROUND((Inventory[[#This Row],[Mdl Land Intercept]]+Inventory[[#This Row],[Mdl LnAcres]])*Inventory[[#This Row],[Det/Nbhd Adj]],-2)</f>
        <v>61200</v>
      </c>
      <c r="BP96" s="30">
        <f>Inventory[[#This Row],[Adjusted Impr Total]]+Inventory[[#This Row],[Adjusted Land Total]]</f>
        <v>381600</v>
      </c>
      <c r="BQ96" s="30">
        <f>IFERROR((Inventory[[#This Row],[Adjusted Impr Total]]-Inventory[[#This Row],[24Bldg]])/Inventory[[#This Row],[24Bldg]],0)</f>
        <v>-3.6970243462578899E-2</v>
      </c>
      <c r="BR96" s="43">
        <f>(Inventory[[#This Row],[Adjusted Land Total]]-Inventory[[#This Row],[24Lnd]])/Inventory[[#This Row],[24Lnd]]</f>
        <v>6.5789473684210523E-3</v>
      </c>
      <c r="BS96" s="43">
        <f>(Inventory[[#This Row],[Adjusted Total]]-Inventory[[#This Row],[24Final]])/Inventory[[#This Row],[24Final]]</f>
        <v>-3.0241423125794156E-2</v>
      </c>
    </row>
    <row r="97" spans="1:71">
      <c r="A97" s="30">
        <v>2025</v>
      </c>
      <c r="B97" s="31" t="s">
        <v>606</v>
      </c>
      <c r="C97" s="31">
        <f>LN(Inventory[[#This Row],[Acres]])</f>
        <v>-1.820158943749753</v>
      </c>
      <c r="D97" s="37">
        <f>ROUND(Inventory[[#This Row],[Sqft]]/43560,3)</f>
        <v>0.16200000000000001</v>
      </c>
      <c r="E97" s="30">
        <v>7050</v>
      </c>
      <c r="F97" s="31" t="s">
        <v>505</v>
      </c>
      <c r="G97" s="31" t="s">
        <v>155</v>
      </c>
      <c r="H97" s="31" t="s">
        <v>5</v>
      </c>
      <c r="I97" s="31" t="s">
        <v>506</v>
      </c>
      <c r="J97" s="31" t="s">
        <v>507</v>
      </c>
      <c r="K97" s="31" t="s">
        <v>157</v>
      </c>
      <c r="L97" s="31" t="s">
        <v>19</v>
      </c>
      <c r="M97" s="31" t="s">
        <v>24</v>
      </c>
      <c r="N97" s="31">
        <v>0</v>
      </c>
      <c r="O97" s="31">
        <f>2024-Inventory[[#This Row],[YrBlt]]</f>
        <v>3</v>
      </c>
      <c r="P97" s="31">
        <f>2024-Inventory[[#This Row],[EffYr]]</f>
        <v>3</v>
      </c>
      <c r="Q97" s="30">
        <v>2021</v>
      </c>
      <c r="R97" s="30">
        <v>2021</v>
      </c>
      <c r="S97" s="30">
        <v>1403</v>
      </c>
      <c r="T97" s="32"/>
      <c r="U97" s="32"/>
      <c r="V97" s="32"/>
      <c r="W97" s="32"/>
      <c r="X97" s="32">
        <f>Inventory[[#This Row],[Bsmt Area]]-Inventory[[#This Row],[FnBsmt]]</f>
        <v>0</v>
      </c>
      <c r="Y97" s="32">
        <f>Inventory[[#This Row],[MainFn]]+Inventory[[#This Row],[UpprFn]]+Inventory[[#This Row],[AddFn]]+Inventory[[#This Row],[FnBsmt]]</f>
        <v>1403</v>
      </c>
      <c r="Z97" s="32">
        <v>1500</v>
      </c>
      <c r="AA97" s="31" t="s">
        <v>57</v>
      </c>
      <c r="AB97" s="32"/>
      <c r="AC97" s="38">
        <v>400</v>
      </c>
      <c r="AD97" s="32"/>
      <c r="AE97" s="32"/>
      <c r="AF97" s="32"/>
      <c r="AG97" s="32"/>
      <c r="AH97" s="32"/>
      <c r="AI97" s="30">
        <v>281508</v>
      </c>
      <c r="AJ97" s="30">
        <v>273063</v>
      </c>
      <c r="AK97" s="30">
        <v>0</v>
      </c>
      <c r="AL97" s="30">
        <v>0</v>
      </c>
      <c r="AM97" s="30">
        <v>60800</v>
      </c>
      <c r="AN97" s="30">
        <v>307400</v>
      </c>
      <c r="AO97" s="30">
        <v>368200</v>
      </c>
      <c r="AP97" s="30">
        <f>Lookups!$B$58*0.6</f>
        <v>132535.48800000001</v>
      </c>
      <c r="AQ97" s="30">
        <f>Lookups!$B$58*0.4</f>
        <v>88356.992000000013</v>
      </c>
      <c r="AR97" s="30">
        <f>Lookups!$B$59*Inventory[[#This Row],[LnAcres]]</f>
        <v>-23888.3502487927</v>
      </c>
      <c r="AS97" s="30">
        <f>VLOOKUP(Inventory[[#This Row],[Qlty]],Lookups!$A$66:$E$79,2,FALSE)</f>
        <v>37154.252388000001</v>
      </c>
      <c r="AT97" s="30">
        <f>VLOOKUP(Inventory[[#This Row],[Cnd]],Lookups!$A$80:$E$88,2,FALSE)</f>
        <v>47371.278778200001</v>
      </c>
      <c r="AU97" s="30">
        <f>Inventory[[#This Row],[EffAge]]*Lookups!$B$65</f>
        <v>-326.22329999999999</v>
      </c>
      <c r="AV97" s="30">
        <f>Inventory[[#This Row],[MainFn]]*Lookups!$B$90</f>
        <v>87561.76314000001</v>
      </c>
      <c r="AW97" s="30">
        <f>Inventory[[#This Row],[UpprFn]]*Lookups!$B$91</f>
        <v>0</v>
      </c>
      <c r="AX97" s="30">
        <f>Inventory[[#This Row],[Bsmt Area]]*Lookups!$B$95</f>
        <v>0</v>
      </c>
      <c r="AY97" s="30">
        <f>Inventory[[#This Row],[AttGar]]*Lookups!$B$93</f>
        <v>14120.412400000001</v>
      </c>
      <c r="AZ97" s="30">
        <f>ROUND(Inventory[[#This Row],[25Det]],-2)</f>
        <v>0</v>
      </c>
      <c r="BA97" s="30">
        <f>ROUND(SUM(Inventory[[#This Row],[Mdl Qlty]:[Mdl Garage Area]])+Inventory[[#This Row],[Mdl Res Intercept]],-2)</f>
        <v>318400</v>
      </c>
      <c r="BB97" s="30">
        <f>ROUND(Inventory[[#This Row],[Mdl Land Intercept]]+Inventory[[#This Row],[Mdl LnAcres]],-2)</f>
        <v>64500</v>
      </c>
      <c r="BC97" s="30">
        <f>Inventory[[#This Row],[Unadj Res Value]]+Inventory[[#This Row],[Unadj Det Value]]+Inventory[[#This Row],[Unadj Land Value]]</f>
        <v>382900</v>
      </c>
      <c r="BD97" s="30">
        <f>(Inventory[[#This Row],[Unadj Total Value]]-Inventory[[#This Row],[24Final]])/Inventory[[#This Row],[24Final]]</f>
        <v>3.9923954372623575E-2</v>
      </c>
      <c r="BE97" s="30">
        <f>VLOOKUP(Inventory[[#This Row],[Nbhd]],Lookups!$M$3:$P$5,4,FALSE)</f>
        <v>0.99970000000000003</v>
      </c>
      <c r="BF97" s="30">
        <f>VLOOKUP(Inventory[[#This Row],[Qlty]],Lookups!$M$8:$P$22,4,FALSE)</f>
        <v>0.99819999999999998</v>
      </c>
      <c r="BG97" s="30">
        <f>VLOOKUP(Inventory[[#This Row],[Cnd]],Lookups!$R$8:$U$17,4,FALSE)</f>
        <v>1.0012000000000001</v>
      </c>
      <c r="BH97" s="30">
        <f>VLOOKUP(Inventory[[#This Row],[LivArea Range]],Lookups!$R$25:$U$43,4,FALSE)</f>
        <v>0.99519999999999997</v>
      </c>
      <c r="BI97" s="30">
        <f>VLOOKUP(Inventory[[#This Row],[Decade]],Lookups!$M$24:$P$40,4,FALSE)</f>
        <v>1</v>
      </c>
      <c r="BJ97" s="30">
        <f>Inventory[[#This Row],[Nbhd Adj]]*0.95</f>
        <v>0.94971499999999998</v>
      </c>
      <c r="BK97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97" s="30">
        <f>ROUND((SUM(Inventory[[#This Row],[Mdl Qlty]:[Mdl Garage Area]])+Inventory[[#This Row],[Mdl Res Intercept]])*Inventory[[#This Row],[Res Adj ]],-2)</f>
        <v>302200</v>
      </c>
      <c r="BM97" s="30">
        <f>ROUND(Inventory[[#This Row],[25Det]]*Inventory[[#This Row],[Det/Nbhd Adj]],-2)</f>
        <v>0</v>
      </c>
      <c r="BN97" s="30">
        <f>Inventory[[#This Row],[Adjusted Res]]+Inventory[[#This Row],[Adj Det ]]</f>
        <v>302200</v>
      </c>
      <c r="BO97" s="30">
        <f>ROUND((Inventory[[#This Row],[Mdl Land Intercept]]+Inventory[[#This Row],[Mdl LnAcres]])*Inventory[[#This Row],[Det/Nbhd Adj]],-2)</f>
        <v>61200</v>
      </c>
      <c r="BP97" s="30">
        <f>Inventory[[#This Row],[Adjusted Impr Total]]+Inventory[[#This Row],[Adjusted Land Total]]</f>
        <v>363400</v>
      </c>
      <c r="BQ97" s="30">
        <f>IFERROR((Inventory[[#This Row],[Adjusted Impr Total]]-Inventory[[#This Row],[24Bldg]])/Inventory[[#This Row],[24Bldg]],0)</f>
        <v>-1.6916070266753416E-2</v>
      </c>
      <c r="BR97" s="43">
        <f>(Inventory[[#This Row],[Adjusted Land Total]]-Inventory[[#This Row],[24Lnd]])/Inventory[[#This Row],[24Lnd]]</f>
        <v>6.5789473684210523E-3</v>
      </c>
      <c r="BS97" s="43">
        <f>(Inventory[[#This Row],[Adjusted Total]]-Inventory[[#This Row],[24Final]])/Inventory[[#This Row],[24Final]]</f>
        <v>-1.3036393264530146E-2</v>
      </c>
    </row>
    <row r="98" spans="1:71">
      <c r="A98" s="30">
        <v>2025</v>
      </c>
      <c r="B98" s="31" t="s">
        <v>607</v>
      </c>
      <c r="C98" s="31">
        <f>LN(Inventory[[#This Row],[Acres]])</f>
        <v>-1.820158943749753</v>
      </c>
      <c r="D98" s="37">
        <f>ROUND(Inventory[[#This Row],[Sqft]]/43560,3)</f>
        <v>0.16200000000000001</v>
      </c>
      <c r="E98" s="30">
        <v>7037</v>
      </c>
      <c r="F98" s="31" t="s">
        <v>505</v>
      </c>
      <c r="G98" s="31" t="s">
        <v>155</v>
      </c>
      <c r="H98" s="31" t="s">
        <v>5</v>
      </c>
      <c r="I98" s="31" t="s">
        <v>506</v>
      </c>
      <c r="J98" s="31" t="s">
        <v>507</v>
      </c>
      <c r="K98" s="31" t="s">
        <v>157</v>
      </c>
      <c r="L98" s="31" t="s">
        <v>19</v>
      </c>
      <c r="M98" s="31" t="s">
        <v>24</v>
      </c>
      <c r="N98" s="31">
        <v>0</v>
      </c>
      <c r="O98" s="31">
        <f>2024-Inventory[[#This Row],[YrBlt]]</f>
        <v>3</v>
      </c>
      <c r="P98" s="31">
        <f>2024-Inventory[[#This Row],[EffYr]]</f>
        <v>3</v>
      </c>
      <c r="Q98" s="30">
        <v>2021</v>
      </c>
      <c r="R98" s="30">
        <v>2021</v>
      </c>
      <c r="S98" s="30">
        <v>1073</v>
      </c>
      <c r="T98" s="38">
        <v>1331</v>
      </c>
      <c r="U98" s="32"/>
      <c r="V98" s="32"/>
      <c r="W98" s="32"/>
      <c r="X98" s="32">
        <f>Inventory[[#This Row],[Bsmt Area]]-Inventory[[#This Row],[FnBsmt]]</f>
        <v>0</v>
      </c>
      <c r="Y98" s="32">
        <f>Inventory[[#This Row],[MainFn]]+Inventory[[#This Row],[UpprFn]]+Inventory[[#This Row],[AddFn]]+Inventory[[#This Row],[FnBsmt]]</f>
        <v>2404</v>
      </c>
      <c r="Z98" s="32">
        <v>2500</v>
      </c>
      <c r="AA98" s="31" t="s">
        <v>56</v>
      </c>
      <c r="AB98" s="32"/>
      <c r="AC98" s="32"/>
      <c r="AD98" s="38">
        <v>707</v>
      </c>
      <c r="AE98" s="32"/>
      <c r="AF98" s="32"/>
      <c r="AG98" s="32"/>
      <c r="AH98" s="32"/>
      <c r="AI98" s="30">
        <v>427070</v>
      </c>
      <c r="AJ98" s="30">
        <v>414258</v>
      </c>
      <c r="AK98" s="30">
        <v>0</v>
      </c>
      <c r="AL98" s="30">
        <v>0</v>
      </c>
      <c r="AM98" s="30">
        <v>60800</v>
      </c>
      <c r="AN98" s="30">
        <v>392500</v>
      </c>
      <c r="AO98" s="30">
        <v>453300</v>
      </c>
      <c r="AP98" s="30">
        <f>Lookups!$B$58*0.6</f>
        <v>132535.48800000001</v>
      </c>
      <c r="AQ98" s="30">
        <f>Lookups!$B$58*0.4</f>
        <v>88356.992000000013</v>
      </c>
      <c r="AR98" s="30">
        <f>Lookups!$B$59*Inventory[[#This Row],[LnAcres]]</f>
        <v>-23888.3502487927</v>
      </c>
      <c r="AS98" s="30">
        <f>VLOOKUP(Inventory[[#This Row],[Qlty]],Lookups!$A$66:$E$79,2,FALSE)</f>
        <v>37154.252388000001</v>
      </c>
      <c r="AT98" s="30">
        <f>VLOOKUP(Inventory[[#This Row],[Cnd]],Lookups!$A$80:$E$88,2,FALSE)</f>
        <v>47371.278778200001</v>
      </c>
      <c r="AU98" s="30">
        <f>Inventory[[#This Row],[EffAge]]*Lookups!$B$65</f>
        <v>-326.22329999999999</v>
      </c>
      <c r="AV98" s="30">
        <f>Inventory[[#This Row],[MainFn]]*Lookups!$B$90</f>
        <v>66966.337740000003</v>
      </c>
      <c r="AW98" s="30">
        <f>Inventory[[#This Row],[UpprFn]]*Lookups!$B$91</f>
        <v>79301.489772999994</v>
      </c>
      <c r="AX98" s="30">
        <f>Inventory[[#This Row],[Bsmt Area]]*Lookups!$B$95</f>
        <v>0</v>
      </c>
      <c r="AY98" s="30">
        <f>Inventory[[#This Row],[AttGar]]*Lookups!$B$93</f>
        <v>0</v>
      </c>
      <c r="AZ98" s="30">
        <f>ROUND(Inventory[[#This Row],[25Det]],-2)</f>
        <v>0</v>
      </c>
      <c r="BA98" s="30">
        <f>ROUND(SUM(Inventory[[#This Row],[Mdl Qlty]:[Mdl Garage Area]])+Inventory[[#This Row],[Mdl Res Intercept]],-2)</f>
        <v>363000</v>
      </c>
      <c r="BB98" s="30">
        <f>ROUND(Inventory[[#This Row],[Mdl Land Intercept]]+Inventory[[#This Row],[Mdl LnAcres]],-2)</f>
        <v>64500</v>
      </c>
      <c r="BC98" s="30">
        <f>Inventory[[#This Row],[Unadj Res Value]]+Inventory[[#This Row],[Unadj Det Value]]+Inventory[[#This Row],[Unadj Land Value]]</f>
        <v>427500</v>
      </c>
      <c r="BD98" s="30">
        <f>(Inventory[[#This Row],[Unadj Total Value]]-Inventory[[#This Row],[24Final]])/Inventory[[#This Row],[24Final]]</f>
        <v>-5.6915949702183985E-2</v>
      </c>
      <c r="BE98" s="30">
        <f>VLOOKUP(Inventory[[#This Row],[Nbhd]],Lookups!$M$3:$P$5,4,FALSE)</f>
        <v>0.99970000000000003</v>
      </c>
      <c r="BF98" s="30">
        <f>VLOOKUP(Inventory[[#This Row],[Qlty]],Lookups!$M$8:$P$22,4,FALSE)</f>
        <v>0.99819999999999998</v>
      </c>
      <c r="BG98" s="30">
        <f>VLOOKUP(Inventory[[#This Row],[Cnd]],Lookups!$R$8:$U$17,4,FALSE)</f>
        <v>1.0012000000000001</v>
      </c>
      <c r="BH98" s="30">
        <f>VLOOKUP(Inventory[[#This Row],[LivArea Range]],Lookups!$R$25:$U$43,4,FALSE)</f>
        <v>1.0008999999999999</v>
      </c>
      <c r="BI98" s="30">
        <f>VLOOKUP(Inventory[[#This Row],[Decade]],Lookups!$M$24:$P$40,4,FALSE)</f>
        <v>1</v>
      </c>
      <c r="BJ98" s="30">
        <f>Inventory[[#This Row],[Nbhd Adj]]*0.95</f>
        <v>0.94971499999999998</v>
      </c>
      <c r="BK98" s="30">
        <f>AVERAGE(Inventory[[#This Row],[Nbhd Adj]],Inventory[[#This Row],[Quality Adj]],Inventory[[#This Row],[Condition Adj]],Inventory[[#This Row],[Living Area Adj]],Inventory[[#This Row],[Decade Adj]])*0.95</f>
        <v>0.95</v>
      </c>
      <c r="BL98" s="30">
        <f>ROUND((SUM(Inventory[[#This Row],[Mdl Qlty]:[Mdl Garage Area]])+Inventory[[#This Row],[Mdl Res Intercept]])*Inventory[[#This Row],[Res Adj ]],-2)</f>
        <v>344900</v>
      </c>
      <c r="BM98" s="30">
        <f>ROUND(Inventory[[#This Row],[25Det]]*Inventory[[#This Row],[Det/Nbhd Adj]],-2)</f>
        <v>0</v>
      </c>
      <c r="BN98" s="30">
        <f>Inventory[[#This Row],[Adjusted Res]]+Inventory[[#This Row],[Adj Det ]]</f>
        <v>344900</v>
      </c>
      <c r="BO98" s="30">
        <f>ROUND((Inventory[[#This Row],[Mdl Land Intercept]]+Inventory[[#This Row],[Mdl LnAcres]])*Inventory[[#This Row],[Det/Nbhd Adj]],-2)</f>
        <v>61200</v>
      </c>
      <c r="BP98" s="30">
        <f>Inventory[[#This Row],[Adjusted Impr Total]]+Inventory[[#This Row],[Adjusted Land Total]]</f>
        <v>406100</v>
      </c>
      <c r="BQ98" s="30">
        <f>IFERROR((Inventory[[#This Row],[Adjusted Impr Total]]-Inventory[[#This Row],[24Bldg]])/Inventory[[#This Row],[24Bldg]],0)</f>
        <v>-0.12127388535031847</v>
      </c>
      <c r="BR98" s="43">
        <f>(Inventory[[#This Row],[Adjusted Land Total]]-Inventory[[#This Row],[24Lnd]])/Inventory[[#This Row],[24Lnd]]</f>
        <v>6.5789473684210523E-3</v>
      </c>
      <c r="BS98" s="43">
        <f>(Inventory[[#This Row],[Adjusted Total]]-Inventory[[#This Row],[24Final]])/Inventory[[#This Row],[24Final]]</f>
        <v>-0.10412530333112729</v>
      </c>
    </row>
    <row r="99" spans="1:71">
      <c r="A99" s="30">
        <v>2025</v>
      </c>
      <c r="B99" s="31" t="s">
        <v>608</v>
      </c>
      <c r="C99" s="31">
        <f>LN(Inventory[[#This Row],[Acres]])</f>
        <v>-1.820158943749753</v>
      </c>
      <c r="D99" s="37">
        <f>ROUND(Inventory[[#This Row],[Sqft]]/43560,3)</f>
        <v>0.16200000000000001</v>
      </c>
      <c r="E99" s="30">
        <v>7047</v>
      </c>
      <c r="F99" s="31" t="s">
        <v>505</v>
      </c>
      <c r="G99" s="31" t="s">
        <v>155</v>
      </c>
      <c r="H99" s="31" t="s">
        <v>5</v>
      </c>
      <c r="I99" s="31" t="s">
        <v>506</v>
      </c>
      <c r="J99" s="31" t="s">
        <v>507</v>
      </c>
      <c r="K99" s="31" t="s">
        <v>157</v>
      </c>
      <c r="L99" s="31" t="s">
        <v>19</v>
      </c>
      <c r="M99" s="31" t="s">
        <v>24</v>
      </c>
      <c r="N99" s="31">
        <v>0</v>
      </c>
      <c r="O99" s="31">
        <f>2024-Inventory[[#This Row],[YrBlt]]</f>
        <v>3</v>
      </c>
      <c r="P99" s="31">
        <f>2024-Inventory[[#This Row],[EffYr]]</f>
        <v>3</v>
      </c>
      <c r="Q99" s="30">
        <v>2021</v>
      </c>
      <c r="R99" s="30">
        <v>2021</v>
      </c>
      <c r="S99" s="30">
        <v>1550</v>
      </c>
      <c r="T99" s="32"/>
      <c r="U99" s="32"/>
      <c r="V99" s="32"/>
      <c r="W99" s="32"/>
      <c r="X99" s="32">
        <f>Inventory[[#This Row],[Bsmt Area]]-Inventory[[#This Row],[FnBsmt]]</f>
        <v>0</v>
      </c>
      <c r="Y99" s="32">
        <f>Inventory[[#This Row],[MainFn]]+Inventory[[#This Row],[UpprFn]]+Inventory[[#This Row],[AddFn]]+Inventory[[#This Row],[FnBsmt]]</f>
        <v>1550</v>
      </c>
      <c r="Z99" s="32">
        <v>2000</v>
      </c>
      <c r="AA99" s="31" t="s">
        <v>56</v>
      </c>
      <c r="AB99" s="32"/>
      <c r="AC99" s="38">
        <v>420</v>
      </c>
      <c r="AD99" s="32"/>
      <c r="AE99" s="32"/>
      <c r="AF99" s="32"/>
      <c r="AG99" s="32"/>
      <c r="AH99" s="32"/>
      <c r="AI99" s="30">
        <v>304866</v>
      </c>
      <c r="AJ99" s="30">
        <v>295720</v>
      </c>
      <c r="AK99" s="30">
        <v>0</v>
      </c>
      <c r="AL99" s="30">
        <v>0</v>
      </c>
      <c r="AM99" s="30">
        <v>60800</v>
      </c>
      <c r="AN99" s="30">
        <v>317800</v>
      </c>
      <c r="AO99" s="30">
        <v>378600</v>
      </c>
      <c r="AP99" s="30">
        <f>Lookups!$B$58*0.6</f>
        <v>132535.48800000001</v>
      </c>
      <c r="AQ99" s="30">
        <f>Lookups!$B$58*0.4</f>
        <v>88356.992000000013</v>
      </c>
      <c r="AR99" s="30">
        <f>Lookups!$B$59*Inventory[[#This Row],[LnAcres]]</f>
        <v>-23888.3502487927</v>
      </c>
      <c r="AS99" s="30">
        <f>VLOOKUP(Inventory[[#This Row],[Qlty]],Lookups!$A$66:$E$79,2,FALSE)</f>
        <v>37154.252388000001</v>
      </c>
      <c r="AT99" s="30">
        <f>VLOOKUP(Inventory[[#This Row],[Cnd]],Lookups!$A$80:$E$88,2,FALSE)</f>
        <v>47371.278778200001</v>
      </c>
      <c r="AU99" s="30">
        <f>Inventory[[#This Row],[EffAge]]*Lookups!$B$65</f>
        <v>-326.22329999999999</v>
      </c>
      <c r="AV99" s="30">
        <f>Inventory[[#This Row],[MainFn]]*Lookups!$B$90</f>
        <v>96736.089000000007</v>
      </c>
      <c r="AW99" s="30">
        <f>Inventory[[#This Row],[UpprFn]]*Lookups!$B$91</f>
        <v>0</v>
      </c>
      <c r="AX99" s="30">
        <f>Inventory[[#This Row],[Bsmt Area]]*Lookups!$B$95</f>
        <v>0</v>
      </c>
      <c r="AY99" s="30">
        <f>Inventory[[#This Row],[AttGar]]*Lookups!$B$93</f>
        <v>14826.43302</v>
      </c>
      <c r="AZ99" s="30">
        <f>ROUND(Inventory[[#This Row],[25Det]],-2)</f>
        <v>0</v>
      </c>
      <c r="BA99" s="30">
        <f>ROUND(SUM(Inventory[[#This Row],[Mdl Qlty]:[Mdl Garage Area]])+Inventory[[#This Row],[Mdl Res Intercept]],-2)</f>
        <v>328300</v>
      </c>
      <c r="BB99" s="30">
        <f>ROUND(Inventory[[#This Row],[Mdl Land Intercept]]+Inventory[[#This Row],[Mdl LnAcres]],-2)</f>
        <v>64500</v>
      </c>
      <c r="BC99" s="30">
        <f>Inventory[[#This Row],[Unadj Res Value]]+Inventory[[#This Row],[Unadj Det Value]]+Inventory[[#This Row],[Unadj Land Value]]</f>
        <v>392800</v>
      </c>
      <c r="BD99" s="30">
        <f>(Inventory[[#This Row],[Unadj Total Value]]-Inventory[[#This Row],[24Final]])/Inventory[[#This Row],[24Final]]</f>
        <v>3.7506603275224509E-2</v>
      </c>
      <c r="BE99" s="30">
        <f>VLOOKUP(Inventory[[#This Row],[Nbhd]],Lookups!$M$3:$P$5,4,FALSE)</f>
        <v>0.99970000000000003</v>
      </c>
      <c r="BF99" s="30">
        <f>VLOOKUP(Inventory[[#This Row],[Qlty]],Lookups!$M$8:$P$22,4,FALSE)</f>
        <v>0.99819999999999998</v>
      </c>
      <c r="BG99" s="30">
        <f>VLOOKUP(Inventory[[#This Row],[Cnd]],Lookups!$R$8:$U$17,4,FALSE)</f>
        <v>1.0012000000000001</v>
      </c>
      <c r="BH99" s="30">
        <f>VLOOKUP(Inventory[[#This Row],[LivArea Range]],Lookups!$R$25:$U$43,4,FALSE)</f>
        <v>1.0007999999999999</v>
      </c>
      <c r="BI99" s="30">
        <f>VLOOKUP(Inventory[[#This Row],[Decade]],Lookups!$M$24:$P$40,4,FALSE)</f>
        <v>1</v>
      </c>
      <c r="BJ99" s="30">
        <f>Inventory[[#This Row],[Nbhd Adj]]*0.95</f>
        <v>0.94971499999999998</v>
      </c>
      <c r="BK99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99" s="30">
        <f>ROUND((SUM(Inventory[[#This Row],[Mdl Qlty]:[Mdl Garage Area]])+Inventory[[#This Row],[Mdl Res Intercept]])*Inventory[[#This Row],[Res Adj ]],-2)</f>
        <v>311900</v>
      </c>
      <c r="BM99" s="30">
        <f>ROUND(Inventory[[#This Row],[25Det]]*Inventory[[#This Row],[Det/Nbhd Adj]],-2)</f>
        <v>0</v>
      </c>
      <c r="BN99" s="30">
        <f>Inventory[[#This Row],[Adjusted Res]]+Inventory[[#This Row],[Adj Det ]]</f>
        <v>311900</v>
      </c>
      <c r="BO99" s="30">
        <f>ROUND((Inventory[[#This Row],[Mdl Land Intercept]]+Inventory[[#This Row],[Mdl LnAcres]])*Inventory[[#This Row],[Det/Nbhd Adj]],-2)</f>
        <v>61200</v>
      </c>
      <c r="BP99" s="30">
        <f>Inventory[[#This Row],[Adjusted Impr Total]]+Inventory[[#This Row],[Adjusted Land Total]]</f>
        <v>373100</v>
      </c>
      <c r="BQ99" s="30">
        <f>IFERROR((Inventory[[#This Row],[Adjusted Impr Total]]-Inventory[[#This Row],[24Bldg]])/Inventory[[#This Row],[24Bldg]],0)</f>
        <v>-1.8565135305223412E-2</v>
      </c>
      <c r="BR99" s="43">
        <f>(Inventory[[#This Row],[Adjusted Land Total]]-Inventory[[#This Row],[24Lnd]])/Inventory[[#This Row],[24Lnd]]</f>
        <v>6.5789473684210523E-3</v>
      </c>
      <c r="BS99" s="43">
        <f>(Inventory[[#This Row],[Adjusted Total]]-Inventory[[#This Row],[24Final]])/Inventory[[#This Row],[24Final]]</f>
        <v>-1.4527205493924987E-2</v>
      </c>
    </row>
    <row r="100" spans="1:71">
      <c r="A100" s="30">
        <v>2025</v>
      </c>
      <c r="B100" s="31" t="s">
        <v>609</v>
      </c>
      <c r="C100" s="31">
        <f>LN(Inventory[[#This Row],[Acres]])</f>
        <v>-1.820158943749753</v>
      </c>
      <c r="D100" s="37">
        <f>ROUND(Inventory[[#This Row],[Sqft]]/43560,3)</f>
        <v>0.16200000000000001</v>
      </c>
      <c r="E100" s="30">
        <v>7043</v>
      </c>
      <c r="F100" s="31" t="s">
        <v>505</v>
      </c>
      <c r="G100" s="31" t="s">
        <v>155</v>
      </c>
      <c r="H100" s="31" t="s">
        <v>5</v>
      </c>
      <c r="I100" s="31" t="s">
        <v>506</v>
      </c>
      <c r="J100" s="31" t="s">
        <v>507</v>
      </c>
      <c r="K100" s="31" t="s">
        <v>157</v>
      </c>
      <c r="L100" s="31" t="s">
        <v>21</v>
      </c>
      <c r="M100" s="31" t="s">
        <v>24</v>
      </c>
      <c r="N100" s="31">
        <v>0</v>
      </c>
      <c r="O100" s="31">
        <f>2024-Inventory[[#This Row],[YrBlt]]</f>
        <v>3</v>
      </c>
      <c r="P100" s="31">
        <f>2024-Inventory[[#This Row],[EffYr]]</f>
        <v>3</v>
      </c>
      <c r="Q100" s="30">
        <v>2021</v>
      </c>
      <c r="R100" s="30">
        <v>2021</v>
      </c>
      <c r="S100" s="30">
        <v>1550</v>
      </c>
      <c r="T100" s="32"/>
      <c r="U100" s="32"/>
      <c r="V100" s="32"/>
      <c r="W100" s="32"/>
      <c r="X100" s="32">
        <f>Inventory[[#This Row],[Bsmt Area]]-Inventory[[#This Row],[FnBsmt]]</f>
        <v>0</v>
      </c>
      <c r="Y100" s="32">
        <f>Inventory[[#This Row],[MainFn]]+Inventory[[#This Row],[UpprFn]]+Inventory[[#This Row],[AddFn]]+Inventory[[#This Row],[FnBsmt]]</f>
        <v>1550</v>
      </c>
      <c r="Z100" s="32">
        <v>2000</v>
      </c>
      <c r="AA100" s="31" t="s">
        <v>56</v>
      </c>
      <c r="AB100" s="32"/>
      <c r="AC100" s="38">
        <v>420</v>
      </c>
      <c r="AD100" s="32"/>
      <c r="AE100" s="32"/>
      <c r="AF100" s="32"/>
      <c r="AG100" s="32"/>
      <c r="AH100" s="32"/>
      <c r="AI100" s="30">
        <v>341970</v>
      </c>
      <c r="AJ100" s="30">
        <v>331711</v>
      </c>
      <c r="AK100" s="30">
        <v>0</v>
      </c>
      <c r="AL100" s="30">
        <v>0</v>
      </c>
      <c r="AM100" s="30">
        <v>60800</v>
      </c>
      <c r="AN100" s="30">
        <v>313400</v>
      </c>
      <c r="AO100" s="30">
        <v>374200</v>
      </c>
      <c r="AP100" s="30">
        <f>Lookups!$B$58*0.6</f>
        <v>132535.48800000001</v>
      </c>
      <c r="AQ100" s="30">
        <f>Lookups!$B$58*0.4</f>
        <v>88356.992000000013</v>
      </c>
      <c r="AR100" s="30">
        <f>Lookups!$B$59*Inventory[[#This Row],[LnAcres]]</f>
        <v>-23888.3502487927</v>
      </c>
      <c r="AS100" s="30">
        <f>VLOOKUP(Inventory[[#This Row],[Qlty]],Lookups!$A$66:$E$79,2,FALSE)</f>
        <v>32917.849192000001</v>
      </c>
      <c r="AT100" s="30">
        <f>VLOOKUP(Inventory[[#This Row],[Cnd]],Lookups!$A$80:$E$88,2,FALSE)</f>
        <v>47371.278778200001</v>
      </c>
      <c r="AU100" s="30">
        <f>Inventory[[#This Row],[EffAge]]*Lookups!$B$65</f>
        <v>-326.22329999999999</v>
      </c>
      <c r="AV100" s="30">
        <f>Inventory[[#This Row],[MainFn]]*Lookups!$B$90</f>
        <v>96736.089000000007</v>
      </c>
      <c r="AW100" s="30">
        <f>Inventory[[#This Row],[UpprFn]]*Lookups!$B$91</f>
        <v>0</v>
      </c>
      <c r="AX100" s="30">
        <f>Inventory[[#This Row],[Bsmt Area]]*Lookups!$B$95</f>
        <v>0</v>
      </c>
      <c r="AY100" s="30">
        <f>Inventory[[#This Row],[AttGar]]*Lookups!$B$93</f>
        <v>14826.43302</v>
      </c>
      <c r="AZ100" s="30">
        <f>ROUND(Inventory[[#This Row],[25Det]],-2)</f>
        <v>0</v>
      </c>
      <c r="BA100" s="30">
        <f>ROUND(SUM(Inventory[[#This Row],[Mdl Qlty]:[Mdl Garage Area]])+Inventory[[#This Row],[Mdl Res Intercept]],-2)</f>
        <v>324100</v>
      </c>
      <c r="BB100" s="30">
        <f>ROUND(Inventory[[#This Row],[Mdl Land Intercept]]+Inventory[[#This Row],[Mdl LnAcres]],-2)</f>
        <v>64500</v>
      </c>
      <c r="BC100" s="30">
        <f>Inventory[[#This Row],[Unadj Res Value]]+Inventory[[#This Row],[Unadj Det Value]]+Inventory[[#This Row],[Unadj Land Value]]</f>
        <v>388600</v>
      </c>
      <c r="BD100" s="30">
        <f>(Inventory[[#This Row],[Unadj Total Value]]-Inventory[[#This Row],[24Final]])/Inventory[[#This Row],[24Final]]</f>
        <v>3.848209513629075E-2</v>
      </c>
      <c r="BE100" s="30">
        <f>VLOOKUP(Inventory[[#This Row],[Nbhd]],Lookups!$M$3:$P$5,4,FALSE)</f>
        <v>0.99970000000000003</v>
      </c>
      <c r="BF100" s="30">
        <f>VLOOKUP(Inventory[[#This Row],[Qlty]],Lookups!$M$8:$P$22,4,FALSE)</f>
        <v>1.0019</v>
      </c>
      <c r="BG100" s="30">
        <f>VLOOKUP(Inventory[[#This Row],[Cnd]],Lookups!$R$8:$U$17,4,FALSE)</f>
        <v>1.0012000000000001</v>
      </c>
      <c r="BH100" s="30">
        <f>VLOOKUP(Inventory[[#This Row],[LivArea Range]],Lookups!$R$25:$U$43,4,FALSE)</f>
        <v>1.0007999999999999</v>
      </c>
      <c r="BI100" s="30">
        <f>VLOOKUP(Inventory[[#This Row],[Decade]],Lookups!$M$24:$P$40,4,FALSE)</f>
        <v>1</v>
      </c>
      <c r="BJ100" s="30">
        <f>Inventory[[#This Row],[Nbhd Adj]]*0.95</f>
        <v>0.94971499999999998</v>
      </c>
      <c r="BK100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100" s="30">
        <f>ROUND((SUM(Inventory[[#This Row],[Mdl Qlty]:[Mdl Garage Area]])+Inventory[[#This Row],[Mdl Res Intercept]])*Inventory[[#This Row],[Res Adj ]],-2)</f>
        <v>308100</v>
      </c>
      <c r="BM100" s="30">
        <f>ROUND(Inventory[[#This Row],[25Det]]*Inventory[[#This Row],[Det/Nbhd Adj]],-2)</f>
        <v>0</v>
      </c>
      <c r="BN100" s="30">
        <f>Inventory[[#This Row],[Adjusted Res]]+Inventory[[#This Row],[Adj Det ]]</f>
        <v>308100</v>
      </c>
      <c r="BO100" s="30">
        <f>ROUND((Inventory[[#This Row],[Mdl Land Intercept]]+Inventory[[#This Row],[Mdl LnAcres]])*Inventory[[#This Row],[Det/Nbhd Adj]],-2)</f>
        <v>61200</v>
      </c>
      <c r="BP100" s="30">
        <f>Inventory[[#This Row],[Adjusted Impr Total]]+Inventory[[#This Row],[Adjusted Land Total]]</f>
        <v>369300</v>
      </c>
      <c r="BQ100" s="30">
        <f>IFERROR((Inventory[[#This Row],[Adjusted Impr Total]]-Inventory[[#This Row],[24Bldg]])/Inventory[[#This Row],[24Bldg]],0)</f>
        <v>-1.691129546904914E-2</v>
      </c>
      <c r="BR100" s="43">
        <f>(Inventory[[#This Row],[Adjusted Land Total]]-Inventory[[#This Row],[24Lnd]])/Inventory[[#This Row],[24Lnd]]</f>
        <v>6.5789473684210523E-3</v>
      </c>
      <c r="BS100" s="43">
        <f>(Inventory[[#This Row],[Adjusted Total]]-Inventory[[#This Row],[24Final]])/Inventory[[#This Row],[24Final]]</f>
        <v>-1.3094601817210049E-2</v>
      </c>
    </row>
    <row r="101" spans="1:71">
      <c r="A101" s="30">
        <v>2025</v>
      </c>
      <c r="B101" s="31" t="s">
        <v>610</v>
      </c>
      <c r="C101" s="31">
        <f>LN(Inventory[[#This Row],[Acres]])</f>
        <v>-1.820158943749753</v>
      </c>
      <c r="D101" s="37">
        <f>ROUND(Inventory[[#This Row],[Sqft]]/43560,3)</f>
        <v>0.16200000000000001</v>
      </c>
      <c r="E101" s="30">
        <v>7064</v>
      </c>
      <c r="F101" s="31" t="s">
        <v>505</v>
      </c>
      <c r="G101" s="31" t="s">
        <v>155</v>
      </c>
      <c r="H101" s="31" t="s">
        <v>5</v>
      </c>
      <c r="I101" s="31" t="s">
        <v>506</v>
      </c>
      <c r="J101" s="31" t="s">
        <v>507</v>
      </c>
      <c r="K101" s="31" t="s">
        <v>157</v>
      </c>
      <c r="L101" s="31" t="s">
        <v>21</v>
      </c>
      <c r="M101" s="31" t="s">
        <v>24</v>
      </c>
      <c r="N101" s="31">
        <v>0</v>
      </c>
      <c r="O101" s="31">
        <f>2024-Inventory[[#This Row],[YrBlt]]</f>
        <v>3</v>
      </c>
      <c r="P101" s="31">
        <f>2024-Inventory[[#This Row],[EffYr]]</f>
        <v>3</v>
      </c>
      <c r="Q101" s="30">
        <v>2021</v>
      </c>
      <c r="R101" s="30">
        <v>2021</v>
      </c>
      <c r="S101" s="30">
        <v>1740</v>
      </c>
      <c r="T101" s="37"/>
      <c r="U101" s="32"/>
      <c r="V101" s="32"/>
      <c r="W101" s="32"/>
      <c r="X101" s="32">
        <f>Inventory[[#This Row],[Bsmt Area]]-Inventory[[#This Row],[FnBsmt]]</f>
        <v>0</v>
      </c>
      <c r="Y101" s="32">
        <f>Inventory[[#This Row],[MainFn]]+Inventory[[#This Row],[UpprFn]]+Inventory[[#This Row],[AddFn]]+Inventory[[#This Row],[FnBsmt]]</f>
        <v>1740</v>
      </c>
      <c r="Z101" s="32">
        <v>2000</v>
      </c>
      <c r="AA101" s="31" t="s">
        <v>56</v>
      </c>
      <c r="AB101" s="32"/>
      <c r="AC101" s="38">
        <v>450</v>
      </c>
      <c r="AD101" s="32"/>
      <c r="AE101" s="32"/>
      <c r="AF101" s="32"/>
      <c r="AG101" s="32"/>
      <c r="AH101" s="32"/>
      <c r="AI101" s="30">
        <v>374705</v>
      </c>
      <c r="AJ101" s="30">
        <v>363464</v>
      </c>
      <c r="AK101" s="30">
        <v>0</v>
      </c>
      <c r="AL101" s="30">
        <v>0</v>
      </c>
      <c r="AM101" s="30">
        <v>60800</v>
      </c>
      <c r="AN101" s="30">
        <v>323500</v>
      </c>
      <c r="AO101" s="30">
        <v>384300</v>
      </c>
      <c r="AP101" s="30">
        <f>Lookups!$B$58*0.6</f>
        <v>132535.48800000001</v>
      </c>
      <c r="AQ101" s="30">
        <f>Lookups!$B$58*0.4</f>
        <v>88356.992000000013</v>
      </c>
      <c r="AR101" s="30">
        <f>Lookups!$B$59*Inventory[[#This Row],[LnAcres]]</f>
        <v>-23888.3502487927</v>
      </c>
      <c r="AS101" s="30">
        <f>VLOOKUP(Inventory[[#This Row],[Qlty]],Lookups!$A$66:$E$79,2,FALSE)</f>
        <v>32917.849192000001</v>
      </c>
      <c r="AT101" s="30">
        <f>VLOOKUP(Inventory[[#This Row],[Cnd]],Lookups!$A$80:$E$88,2,FALSE)</f>
        <v>47371.278778200001</v>
      </c>
      <c r="AU101" s="30">
        <f>Inventory[[#This Row],[EffAge]]*Lookups!$B$65</f>
        <v>-326.22329999999999</v>
      </c>
      <c r="AV101" s="30">
        <f>Inventory[[#This Row],[MainFn]]*Lookups!$B$90</f>
        <v>108594.06120000001</v>
      </c>
      <c r="AW101" s="30">
        <f>Inventory[[#This Row],[UpprFn]]*Lookups!$B$91</f>
        <v>0</v>
      </c>
      <c r="AX101" s="30">
        <f>Inventory[[#This Row],[Bsmt Area]]*Lookups!$B$95</f>
        <v>0</v>
      </c>
      <c r="AY101" s="30">
        <f>Inventory[[#This Row],[AttGar]]*Lookups!$B$93</f>
        <v>15885.463950000001</v>
      </c>
      <c r="AZ101" s="30">
        <f>ROUND(Inventory[[#This Row],[25Det]],-2)</f>
        <v>0</v>
      </c>
      <c r="BA101" s="30">
        <f>ROUND(SUM(Inventory[[#This Row],[Mdl Qlty]:[Mdl Garage Area]])+Inventory[[#This Row],[Mdl Res Intercept]],-2)</f>
        <v>337000</v>
      </c>
      <c r="BB101" s="30">
        <f>ROUND(Inventory[[#This Row],[Mdl Land Intercept]]+Inventory[[#This Row],[Mdl LnAcres]],-2)</f>
        <v>64500</v>
      </c>
      <c r="BC101" s="30">
        <f>Inventory[[#This Row],[Unadj Res Value]]+Inventory[[#This Row],[Unadj Det Value]]+Inventory[[#This Row],[Unadj Land Value]]</f>
        <v>401500</v>
      </c>
      <c r="BD101" s="30">
        <f>(Inventory[[#This Row],[Unadj Total Value]]-Inventory[[#This Row],[24Final]])/Inventory[[#This Row],[24Final]]</f>
        <v>4.4756700494405416E-2</v>
      </c>
      <c r="BE101" s="30">
        <f>VLOOKUP(Inventory[[#This Row],[Nbhd]],Lookups!$M$3:$P$5,4,FALSE)</f>
        <v>0.99970000000000003</v>
      </c>
      <c r="BF101" s="30">
        <f>VLOOKUP(Inventory[[#This Row],[Qlty]],Lookups!$M$8:$P$22,4,FALSE)</f>
        <v>1.0019</v>
      </c>
      <c r="BG101" s="30">
        <f>VLOOKUP(Inventory[[#This Row],[Cnd]],Lookups!$R$8:$U$17,4,FALSE)</f>
        <v>1.0012000000000001</v>
      </c>
      <c r="BH101" s="30">
        <f>VLOOKUP(Inventory[[#This Row],[LivArea Range]],Lookups!$R$25:$U$43,4,FALSE)</f>
        <v>1.0007999999999999</v>
      </c>
      <c r="BI101" s="30">
        <f>VLOOKUP(Inventory[[#This Row],[Decade]],Lookups!$M$24:$P$40,4,FALSE)</f>
        <v>1</v>
      </c>
      <c r="BJ101" s="30">
        <f>Inventory[[#This Row],[Nbhd Adj]]*0.95</f>
        <v>0.94971499999999998</v>
      </c>
      <c r="BK101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101" s="30">
        <f>ROUND((SUM(Inventory[[#This Row],[Mdl Qlty]:[Mdl Garage Area]])+Inventory[[#This Row],[Mdl Res Intercept]])*Inventory[[#This Row],[Res Adj ]],-2)</f>
        <v>320400</v>
      </c>
      <c r="BM101" s="30">
        <f>ROUND(Inventory[[#This Row],[25Det]]*Inventory[[#This Row],[Det/Nbhd Adj]],-2)</f>
        <v>0</v>
      </c>
      <c r="BN101" s="30">
        <f>Inventory[[#This Row],[Adjusted Res]]+Inventory[[#This Row],[Adj Det ]]</f>
        <v>320400</v>
      </c>
      <c r="BO101" s="30">
        <f>ROUND((Inventory[[#This Row],[Mdl Land Intercept]]+Inventory[[#This Row],[Mdl LnAcres]])*Inventory[[#This Row],[Det/Nbhd Adj]],-2)</f>
        <v>61200</v>
      </c>
      <c r="BP101" s="30">
        <f>Inventory[[#This Row],[Adjusted Impr Total]]+Inventory[[#This Row],[Adjusted Land Total]]</f>
        <v>381600</v>
      </c>
      <c r="BQ101" s="30">
        <f>IFERROR((Inventory[[#This Row],[Adjusted Impr Total]]-Inventory[[#This Row],[24Bldg]])/Inventory[[#This Row],[24Bldg]],0)</f>
        <v>-9.5826893353941275E-3</v>
      </c>
      <c r="BR101" s="43">
        <f>(Inventory[[#This Row],[Adjusted Land Total]]-Inventory[[#This Row],[24Lnd]])/Inventory[[#This Row],[24Lnd]]</f>
        <v>6.5789473684210523E-3</v>
      </c>
      <c r="BS101" s="43">
        <f>(Inventory[[#This Row],[Adjusted Total]]-Inventory[[#This Row],[24Final]])/Inventory[[#This Row],[24Final]]</f>
        <v>-7.0257611241217799E-3</v>
      </c>
    </row>
    <row r="102" spans="1:71">
      <c r="A102" s="30">
        <v>2025</v>
      </c>
      <c r="B102" s="31" t="s">
        <v>611</v>
      </c>
      <c r="C102" s="31">
        <f>LN(Inventory[[#This Row],[Acres]])</f>
        <v>-1.820158943749753</v>
      </c>
      <c r="D102" s="37">
        <f>ROUND(Inventory[[#This Row],[Sqft]]/43560,3)</f>
        <v>0.16200000000000001</v>
      </c>
      <c r="E102" s="30">
        <v>7046</v>
      </c>
      <c r="F102" s="31" t="s">
        <v>505</v>
      </c>
      <c r="G102" s="31" t="s">
        <v>155</v>
      </c>
      <c r="H102" s="31" t="s">
        <v>5</v>
      </c>
      <c r="I102" s="31" t="s">
        <v>506</v>
      </c>
      <c r="J102" s="31" t="s">
        <v>507</v>
      </c>
      <c r="K102" s="31" t="s">
        <v>157</v>
      </c>
      <c r="L102" s="31" t="s">
        <v>21</v>
      </c>
      <c r="M102" s="31" t="s">
        <v>24</v>
      </c>
      <c r="N102" s="31">
        <v>0</v>
      </c>
      <c r="O102" s="31">
        <f>2024-Inventory[[#This Row],[YrBlt]]</f>
        <v>3</v>
      </c>
      <c r="P102" s="31">
        <f>2024-Inventory[[#This Row],[EffYr]]</f>
        <v>3</v>
      </c>
      <c r="Q102" s="30">
        <v>2021</v>
      </c>
      <c r="R102" s="30">
        <v>2021</v>
      </c>
      <c r="S102" s="30">
        <v>2010</v>
      </c>
      <c r="T102" s="32"/>
      <c r="U102" s="32"/>
      <c r="V102" s="32"/>
      <c r="W102" s="32"/>
      <c r="X102" s="32">
        <f>Inventory[[#This Row],[Bsmt Area]]-Inventory[[#This Row],[FnBsmt]]</f>
        <v>0</v>
      </c>
      <c r="Y102" s="32">
        <f>Inventory[[#This Row],[MainFn]]+Inventory[[#This Row],[UpprFn]]+Inventory[[#This Row],[AddFn]]+Inventory[[#This Row],[FnBsmt]]</f>
        <v>2010</v>
      </c>
      <c r="Z102" s="32">
        <v>2500</v>
      </c>
      <c r="AA102" s="31" t="s">
        <v>56</v>
      </c>
      <c r="AB102" s="32"/>
      <c r="AC102" s="38">
        <v>424</v>
      </c>
      <c r="AD102" s="32"/>
      <c r="AE102" s="32"/>
      <c r="AF102" s="32"/>
      <c r="AG102" s="32"/>
      <c r="AH102" s="32"/>
      <c r="AI102" s="30">
        <v>422416</v>
      </c>
      <c r="AJ102" s="30">
        <v>409744</v>
      </c>
      <c r="AK102" s="30">
        <v>0</v>
      </c>
      <c r="AL102" s="30">
        <v>0</v>
      </c>
      <c r="AM102" s="30">
        <v>60800</v>
      </c>
      <c r="AN102" s="30">
        <v>337400</v>
      </c>
      <c r="AO102" s="30">
        <v>398200</v>
      </c>
      <c r="AP102" s="30">
        <f>Lookups!$B$58*0.6</f>
        <v>132535.48800000001</v>
      </c>
      <c r="AQ102" s="30">
        <f>Lookups!$B$58*0.4</f>
        <v>88356.992000000013</v>
      </c>
      <c r="AR102" s="30">
        <f>Lookups!$B$59*Inventory[[#This Row],[LnAcres]]</f>
        <v>-23888.3502487927</v>
      </c>
      <c r="AS102" s="30">
        <f>VLOOKUP(Inventory[[#This Row],[Qlty]],Lookups!$A$66:$E$79,2,FALSE)</f>
        <v>32917.849192000001</v>
      </c>
      <c r="AT102" s="30">
        <f>VLOOKUP(Inventory[[#This Row],[Cnd]],Lookups!$A$80:$E$88,2,FALSE)</f>
        <v>47371.278778200001</v>
      </c>
      <c r="AU102" s="30">
        <f>Inventory[[#This Row],[EffAge]]*Lookups!$B$65</f>
        <v>-326.22329999999999</v>
      </c>
      <c r="AV102" s="30">
        <f>Inventory[[#This Row],[MainFn]]*Lookups!$B$90</f>
        <v>125444.86380000001</v>
      </c>
      <c r="AW102" s="30">
        <f>Inventory[[#This Row],[UpprFn]]*Lookups!$B$91</f>
        <v>0</v>
      </c>
      <c r="AX102" s="30">
        <f>Inventory[[#This Row],[Bsmt Area]]*Lookups!$B$95</f>
        <v>0</v>
      </c>
      <c r="AY102" s="30">
        <f>Inventory[[#This Row],[AttGar]]*Lookups!$B$93</f>
        <v>14967.637144</v>
      </c>
      <c r="AZ102" s="30">
        <f>ROUND(Inventory[[#This Row],[25Det]],-2)</f>
        <v>0</v>
      </c>
      <c r="BA102" s="30">
        <f>ROUND(SUM(Inventory[[#This Row],[Mdl Qlty]:[Mdl Garage Area]])+Inventory[[#This Row],[Mdl Res Intercept]],-2)</f>
        <v>352900</v>
      </c>
      <c r="BB102" s="30">
        <f>ROUND(Inventory[[#This Row],[Mdl Land Intercept]]+Inventory[[#This Row],[Mdl LnAcres]],-2)</f>
        <v>64500</v>
      </c>
      <c r="BC102" s="30">
        <f>Inventory[[#This Row],[Unadj Res Value]]+Inventory[[#This Row],[Unadj Det Value]]+Inventory[[#This Row],[Unadj Land Value]]</f>
        <v>417400</v>
      </c>
      <c r="BD102" s="30">
        <f>(Inventory[[#This Row],[Unadj Total Value]]-Inventory[[#This Row],[24Final]])/Inventory[[#This Row],[24Final]]</f>
        <v>4.8216976393771975E-2</v>
      </c>
      <c r="BE102" s="30">
        <f>VLOOKUP(Inventory[[#This Row],[Nbhd]],Lookups!$M$3:$P$5,4,FALSE)</f>
        <v>0.99970000000000003</v>
      </c>
      <c r="BF102" s="30">
        <f>VLOOKUP(Inventory[[#This Row],[Qlty]],Lookups!$M$8:$P$22,4,FALSE)</f>
        <v>1.0019</v>
      </c>
      <c r="BG102" s="30">
        <f>VLOOKUP(Inventory[[#This Row],[Cnd]],Lookups!$R$8:$U$17,4,FALSE)</f>
        <v>1.0012000000000001</v>
      </c>
      <c r="BH102" s="30">
        <f>VLOOKUP(Inventory[[#This Row],[LivArea Range]],Lookups!$R$25:$U$43,4,FALSE)</f>
        <v>1.0008999999999999</v>
      </c>
      <c r="BI102" s="30">
        <f>VLOOKUP(Inventory[[#This Row],[Decade]],Lookups!$M$24:$P$40,4,FALSE)</f>
        <v>1</v>
      </c>
      <c r="BJ102" s="30">
        <f>Inventory[[#This Row],[Nbhd Adj]]*0.95</f>
        <v>0.94971499999999998</v>
      </c>
      <c r="BK102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02" s="30">
        <f>ROUND((SUM(Inventory[[#This Row],[Mdl Qlty]:[Mdl Garage Area]])+Inventory[[#This Row],[Mdl Res Intercept]])*Inventory[[#This Row],[Res Adj ]],-2)</f>
        <v>335500</v>
      </c>
      <c r="BM102" s="30">
        <f>ROUND(Inventory[[#This Row],[25Det]]*Inventory[[#This Row],[Det/Nbhd Adj]],-2)</f>
        <v>0</v>
      </c>
      <c r="BN102" s="30">
        <f>Inventory[[#This Row],[Adjusted Res]]+Inventory[[#This Row],[Adj Det ]]</f>
        <v>335500</v>
      </c>
      <c r="BO102" s="30">
        <f>ROUND((Inventory[[#This Row],[Mdl Land Intercept]]+Inventory[[#This Row],[Mdl LnAcres]])*Inventory[[#This Row],[Det/Nbhd Adj]],-2)</f>
        <v>61200</v>
      </c>
      <c r="BP102" s="30">
        <f>Inventory[[#This Row],[Adjusted Impr Total]]+Inventory[[#This Row],[Adjusted Land Total]]</f>
        <v>396700</v>
      </c>
      <c r="BQ102" s="30">
        <f>IFERROR((Inventory[[#This Row],[Adjusted Impr Total]]-Inventory[[#This Row],[24Bldg]])/Inventory[[#This Row],[24Bldg]],0)</f>
        <v>-5.6312981624184943E-3</v>
      </c>
      <c r="BR102" s="43">
        <f>(Inventory[[#This Row],[Adjusted Land Total]]-Inventory[[#This Row],[24Lnd]])/Inventory[[#This Row],[24Lnd]]</f>
        <v>6.5789473684210523E-3</v>
      </c>
      <c r="BS102" s="43">
        <f>(Inventory[[#This Row],[Adjusted Total]]-Inventory[[#This Row],[24Final]])/Inventory[[#This Row],[24Final]]</f>
        <v>-3.7669512807634357E-3</v>
      </c>
    </row>
    <row r="103" spans="1:71">
      <c r="A103" s="30">
        <v>2025</v>
      </c>
      <c r="B103" s="31" t="s">
        <v>612</v>
      </c>
      <c r="C103" s="31">
        <f>LN(Inventory[[#This Row],[Acres]])</f>
        <v>-1.8078888511579385</v>
      </c>
      <c r="D103" s="37">
        <f>ROUND(Inventory[[#This Row],[Sqft]]/43560,3)</f>
        <v>0.16400000000000001</v>
      </c>
      <c r="E103" s="30">
        <v>7150</v>
      </c>
      <c r="F103" s="31" t="s">
        <v>505</v>
      </c>
      <c r="G103" s="31" t="s">
        <v>155</v>
      </c>
      <c r="H103" s="31" t="s">
        <v>5</v>
      </c>
      <c r="I103" s="31" t="s">
        <v>506</v>
      </c>
      <c r="J103" s="31" t="s">
        <v>507</v>
      </c>
      <c r="K103" s="31" t="s">
        <v>157</v>
      </c>
      <c r="L103" s="31" t="s">
        <v>21</v>
      </c>
      <c r="M103" s="31" t="s">
        <v>24</v>
      </c>
      <c r="N103" s="31">
        <v>0</v>
      </c>
      <c r="O103" s="31">
        <f>2024-Inventory[[#This Row],[YrBlt]]</f>
        <v>3</v>
      </c>
      <c r="P103" s="31">
        <f>2024-Inventory[[#This Row],[EffYr]]</f>
        <v>3</v>
      </c>
      <c r="Q103" s="30">
        <v>2021</v>
      </c>
      <c r="R103" s="30">
        <v>2021</v>
      </c>
      <c r="S103" s="30">
        <v>1668</v>
      </c>
      <c r="T103" s="38">
        <v>1160</v>
      </c>
      <c r="U103" s="32"/>
      <c r="V103" s="32"/>
      <c r="W103" s="32"/>
      <c r="X103" s="32">
        <f>Inventory[[#This Row],[Bsmt Area]]-Inventory[[#This Row],[FnBsmt]]</f>
        <v>0</v>
      </c>
      <c r="Y103" s="32">
        <f>Inventory[[#This Row],[MainFn]]+Inventory[[#This Row],[UpprFn]]+Inventory[[#This Row],[AddFn]]+Inventory[[#This Row],[FnBsmt]]</f>
        <v>2828</v>
      </c>
      <c r="Z103" s="32">
        <v>3000</v>
      </c>
      <c r="AA103" s="31" t="s">
        <v>56</v>
      </c>
      <c r="AB103" s="32"/>
      <c r="AC103" s="32"/>
      <c r="AD103" s="38">
        <v>420</v>
      </c>
      <c r="AE103" s="32"/>
      <c r="AF103" s="32"/>
      <c r="AG103" s="32"/>
      <c r="AH103" s="32"/>
      <c r="AI103" s="30">
        <v>528130</v>
      </c>
      <c r="AJ103" s="30">
        <v>512286</v>
      </c>
      <c r="AK103" s="30">
        <v>0</v>
      </c>
      <c r="AL103" s="30">
        <v>0</v>
      </c>
      <c r="AM103" s="30">
        <v>60800</v>
      </c>
      <c r="AN103" s="30">
        <v>382000</v>
      </c>
      <c r="AO103" s="30">
        <v>442800</v>
      </c>
      <c r="AP103" s="30">
        <f>Lookups!$B$58*0.6</f>
        <v>132535.48800000001</v>
      </c>
      <c r="AQ103" s="30">
        <f>Lookups!$B$58*0.4</f>
        <v>88356.992000000013</v>
      </c>
      <c r="AR103" s="30">
        <f>Lookups!$B$59*Inventory[[#This Row],[LnAcres]]</f>
        <v>-23727.313614918006</v>
      </c>
      <c r="AS103" s="30">
        <f>VLOOKUP(Inventory[[#This Row],[Qlty]],Lookups!$A$66:$E$79,2,FALSE)</f>
        <v>32917.849192000001</v>
      </c>
      <c r="AT103" s="30">
        <f>VLOOKUP(Inventory[[#This Row],[Cnd]],Lookups!$A$80:$E$88,2,FALSE)</f>
        <v>47371.278778200001</v>
      </c>
      <c r="AU103" s="30">
        <f>Inventory[[#This Row],[EffAge]]*Lookups!$B$65</f>
        <v>-326.22329999999999</v>
      </c>
      <c r="AV103" s="30">
        <f>Inventory[[#This Row],[MainFn]]*Lookups!$B$90</f>
        <v>104100.51384</v>
      </c>
      <c r="AW103" s="30">
        <f>Inventory[[#This Row],[UpprFn]]*Lookups!$B$91</f>
        <v>69113.244279999999</v>
      </c>
      <c r="AX103" s="30">
        <f>Inventory[[#This Row],[Bsmt Area]]*Lookups!$B$95</f>
        <v>0</v>
      </c>
      <c r="AY103" s="30">
        <f>Inventory[[#This Row],[AttGar]]*Lookups!$B$93</f>
        <v>0</v>
      </c>
      <c r="AZ103" s="30">
        <f>ROUND(Inventory[[#This Row],[25Det]],-2)</f>
        <v>0</v>
      </c>
      <c r="BA103" s="30">
        <f>ROUND(SUM(Inventory[[#This Row],[Mdl Qlty]:[Mdl Garage Area]])+Inventory[[#This Row],[Mdl Res Intercept]],-2)</f>
        <v>385700</v>
      </c>
      <c r="BB103" s="30">
        <f>ROUND(Inventory[[#This Row],[Mdl Land Intercept]]+Inventory[[#This Row],[Mdl LnAcres]],-2)</f>
        <v>64600</v>
      </c>
      <c r="BC103" s="30">
        <f>Inventory[[#This Row],[Unadj Res Value]]+Inventory[[#This Row],[Unadj Det Value]]+Inventory[[#This Row],[Unadj Land Value]]</f>
        <v>450300</v>
      </c>
      <c r="BD103" s="30">
        <f>(Inventory[[#This Row],[Unadj Total Value]]-Inventory[[#This Row],[24Final]])/Inventory[[#This Row],[24Final]]</f>
        <v>1.6937669376693765E-2</v>
      </c>
      <c r="BE103" s="30">
        <f>VLOOKUP(Inventory[[#This Row],[Nbhd]],Lookups!$M$3:$P$5,4,FALSE)</f>
        <v>0.99970000000000003</v>
      </c>
      <c r="BF103" s="30">
        <f>VLOOKUP(Inventory[[#This Row],[Qlty]],Lookups!$M$8:$P$22,4,FALSE)</f>
        <v>1.0019</v>
      </c>
      <c r="BG103" s="30">
        <f>VLOOKUP(Inventory[[#This Row],[Cnd]],Lookups!$R$8:$U$17,4,FALSE)</f>
        <v>1.0012000000000001</v>
      </c>
      <c r="BH103" s="30">
        <f>VLOOKUP(Inventory[[#This Row],[LivArea Range]],Lookups!$R$25:$U$43,4,FALSE)</f>
        <v>1.0099</v>
      </c>
      <c r="BI103" s="30">
        <f>VLOOKUP(Inventory[[#This Row],[Decade]],Lookups!$M$24:$P$40,4,FALSE)</f>
        <v>1</v>
      </c>
      <c r="BJ103" s="30">
        <f>Inventory[[#This Row],[Nbhd Adj]]*0.95</f>
        <v>0.94971499999999998</v>
      </c>
      <c r="BK103" s="30">
        <f>AVERAGE(Inventory[[#This Row],[Nbhd Adj]],Inventory[[#This Row],[Quality Adj]],Inventory[[#This Row],[Condition Adj]],Inventory[[#This Row],[Living Area Adj]],Inventory[[#This Row],[Decade Adj]])*0.95</f>
        <v>0.95241299999999995</v>
      </c>
      <c r="BL103" s="30">
        <f>ROUND((SUM(Inventory[[#This Row],[Mdl Qlty]:[Mdl Garage Area]])+Inventory[[#This Row],[Mdl Res Intercept]])*Inventory[[#This Row],[Res Adj ]],-2)</f>
        <v>367400</v>
      </c>
      <c r="BM103" s="30">
        <f>ROUND(Inventory[[#This Row],[25Det]]*Inventory[[#This Row],[Det/Nbhd Adj]],-2)</f>
        <v>0</v>
      </c>
      <c r="BN103" s="30">
        <f>Inventory[[#This Row],[Adjusted Res]]+Inventory[[#This Row],[Adj Det ]]</f>
        <v>367400</v>
      </c>
      <c r="BO103" s="30">
        <f>ROUND((Inventory[[#This Row],[Mdl Land Intercept]]+Inventory[[#This Row],[Mdl LnAcres]])*Inventory[[#This Row],[Det/Nbhd Adj]],-2)</f>
        <v>61400</v>
      </c>
      <c r="BP103" s="30">
        <f>Inventory[[#This Row],[Adjusted Impr Total]]+Inventory[[#This Row],[Adjusted Land Total]]</f>
        <v>428800</v>
      </c>
      <c r="BQ103" s="30">
        <f>IFERROR((Inventory[[#This Row],[Adjusted Impr Total]]-Inventory[[#This Row],[24Bldg]])/Inventory[[#This Row],[24Bldg]],0)</f>
        <v>-3.8219895287958112E-2</v>
      </c>
      <c r="BR103" s="43">
        <f>(Inventory[[#This Row],[Adjusted Land Total]]-Inventory[[#This Row],[24Lnd]])/Inventory[[#This Row],[24Lnd]]</f>
        <v>9.8684210526315784E-3</v>
      </c>
      <c r="BS103" s="43">
        <f>(Inventory[[#This Row],[Adjusted Total]]-Inventory[[#This Row],[24Final]])/Inventory[[#This Row],[24Final]]</f>
        <v>-3.1616982836495035E-2</v>
      </c>
    </row>
    <row r="104" spans="1:71">
      <c r="A104" s="30">
        <v>2025</v>
      </c>
      <c r="B104" s="31" t="s">
        <v>613</v>
      </c>
      <c r="C104" s="31">
        <f>LN(Inventory[[#This Row],[Acres]])</f>
        <v>-1.8018098050815563</v>
      </c>
      <c r="D104" s="37">
        <f>ROUND(Inventory[[#This Row],[Sqft]]/43560,3)</f>
        <v>0.16500000000000001</v>
      </c>
      <c r="E104" s="30">
        <v>7198</v>
      </c>
      <c r="F104" s="31" t="s">
        <v>505</v>
      </c>
      <c r="G104" s="31" t="s">
        <v>155</v>
      </c>
      <c r="H104" s="31" t="s">
        <v>5</v>
      </c>
      <c r="I104" s="31" t="s">
        <v>506</v>
      </c>
      <c r="J104" s="31" t="s">
        <v>507</v>
      </c>
      <c r="K104" s="31" t="s">
        <v>157</v>
      </c>
      <c r="L104" s="31" t="s">
        <v>19</v>
      </c>
      <c r="M104" s="31" t="s">
        <v>24</v>
      </c>
      <c r="N104" s="31">
        <v>0</v>
      </c>
      <c r="O104" s="31">
        <f>2024-Inventory[[#This Row],[YrBlt]]</f>
        <v>3</v>
      </c>
      <c r="P104" s="31">
        <f>2024-Inventory[[#This Row],[EffYr]]</f>
        <v>3</v>
      </c>
      <c r="Q104" s="30">
        <v>2021</v>
      </c>
      <c r="R104" s="30">
        <v>2021</v>
      </c>
      <c r="S104" s="30">
        <v>1073</v>
      </c>
      <c r="T104" s="38">
        <v>1331</v>
      </c>
      <c r="U104" s="32"/>
      <c r="V104" s="32"/>
      <c r="W104" s="32"/>
      <c r="X104" s="32">
        <f>Inventory[[#This Row],[Bsmt Area]]-Inventory[[#This Row],[FnBsmt]]</f>
        <v>0</v>
      </c>
      <c r="Y104" s="32">
        <f>Inventory[[#This Row],[MainFn]]+Inventory[[#This Row],[UpprFn]]+Inventory[[#This Row],[AddFn]]+Inventory[[#This Row],[FnBsmt]]</f>
        <v>2404</v>
      </c>
      <c r="Z104" s="32">
        <v>2500</v>
      </c>
      <c r="AA104" s="31" t="s">
        <v>56</v>
      </c>
      <c r="AB104" s="32"/>
      <c r="AC104" s="32"/>
      <c r="AD104" s="38">
        <v>500</v>
      </c>
      <c r="AE104" s="32"/>
      <c r="AF104" s="32"/>
      <c r="AG104" s="32"/>
      <c r="AH104" s="32"/>
      <c r="AI104" s="30">
        <v>415891</v>
      </c>
      <c r="AJ104" s="30">
        <v>403414</v>
      </c>
      <c r="AK104" s="30">
        <v>0</v>
      </c>
      <c r="AL104" s="30">
        <v>0</v>
      </c>
      <c r="AM104" s="30">
        <v>61700</v>
      </c>
      <c r="AN104" s="30">
        <v>375300</v>
      </c>
      <c r="AO104" s="30">
        <v>437000</v>
      </c>
      <c r="AP104" s="30">
        <f>Lookups!$B$58*0.6</f>
        <v>132535.48800000001</v>
      </c>
      <c r="AQ104" s="30">
        <f>Lookups!$B$58*0.4</f>
        <v>88356.992000000013</v>
      </c>
      <c r="AR104" s="30">
        <f>Lookups!$B$59*Inventory[[#This Row],[LnAcres]]</f>
        <v>-23647.530262837776</v>
      </c>
      <c r="AS104" s="30">
        <f>VLOOKUP(Inventory[[#This Row],[Qlty]],Lookups!$A$66:$E$79,2,FALSE)</f>
        <v>37154.252388000001</v>
      </c>
      <c r="AT104" s="30">
        <f>VLOOKUP(Inventory[[#This Row],[Cnd]],Lookups!$A$80:$E$88,2,FALSE)</f>
        <v>47371.278778200001</v>
      </c>
      <c r="AU104" s="30">
        <f>Inventory[[#This Row],[EffAge]]*Lookups!$B$65</f>
        <v>-326.22329999999999</v>
      </c>
      <c r="AV104" s="30">
        <f>Inventory[[#This Row],[MainFn]]*Lookups!$B$90</f>
        <v>66966.337740000003</v>
      </c>
      <c r="AW104" s="30">
        <f>Inventory[[#This Row],[UpprFn]]*Lookups!$B$91</f>
        <v>79301.489772999994</v>
      </c>
      <c r="AX104" s="30">
        <f>Inventory[[#This Row],[Bsmt Area]]*Lookups!$B$95</f>
        <v>0</v>
      </c>
      <c r="AY104" s="30">
        <f>Inventory[[#This Row],[AttGar]]*Lookups!$B$93</f>
        <v>0</v>
      </c>
      <c r="AZ104" s="30">
        <f>ROUND(Inventory[[#This Row],[25Det]],-2)</f>
        <v>0</v>
      </c>
      <c r="BA104" s="30">
        <f>ROUND(SUM(Inventory[[#This Row],[Mdl Qlty]:[Mdl Garage Area]])+Inventory[[#This Row],[Mdl Res Intercept]],-2)</f>
        <v>363000</v>
      </c>
      <c r="BB104" s="30">
        <f>ROUND(Inventory[[#This Row],[Mdl Land Intercept]]+Inventory[[#This Row],[Mdl LnAcres]],-2)</f>
        <v>64700</v>
      </c>
      <c r="BC104" s="30">
        <f>Inventory[[#This Row],[Unadj Res Value]]+Inventory[[#This Row],[Unadj Det Value]]+Inventory[[#This Row],[Unadj Land Value]]</f>
        <v>427700</v>
      </c>
      <c r="BD104" s="30">
        <f>(Inventory[[#This Row],[Unadj Total Value]]-Inventory[[#This Row],[24Final]])/Inventory[[#This Row],[24Final]]</f>
        <v>-2.1281464530892448E-2</v>
      </c>
      <c r="BE104" s="30">
        <f>VLOOKUP(Inventory[[#This Row],[Nbhd]],Lookups!$M$3:$P$5,4,FALSE)</f>
        <v>0.99970000000000003</v>
      </c>
      <c r="BF104" s="30">
        <f>VLOOKUP(Inventory[[#This Row],[Qlty]],Lookups!$M$8:$P$22,4,FALSE)</f>
        <v>0.99819999999999998</v>
      </c>
      <c r="BG104" s="30">
        <f>VLOOKUP(Inventory[[#This Row],[Cnd]],Lookups!$R$8:$U$17,4,FALSE)</f>
        <v>1.0012000000000001</v>
      </c>
      <c r="BH104" s="30">
        <f>VLOOKUP(Inventory[[#This Row],[LivArea Range]],Lookups!$R$25:$U$43,4,FALSE)</f>
        <v>1.0008999999999999</v>
      </c>
      <c r="BI104" s="30">
        <f>VLOOKUP(Inventory[[#This Row],[Decade]],Lookups!$M$24:$P$40,4,FALSE)</f>
        <v>1</v>
      </c>
      <c r="BJ104" s="30">
        <f>Inventory[[#This Row],[Nbhd Adj]]*0.95</f>
        <v>0.94971499999999998</v>
      </c>
      <c r="BK104" s="30">
        <f>AVERAGE(Inventory[[#This Row],[Nbhd Adj]],Inventory[[#This Row],[Quality Adj]],Inventory[[#This Row],[Condition Adj]],Inventory[[#This Row],[Living Area Adj]],Inventory[[#This Row],[Decade Adj]])*0.95</f>
        <v>0.95</v>
      </c>
      <c r="BL104" s="30">
        <f>ROUND((SUM(Inventory[[#This Row],[Mdl Qlty]:[Mdl Garage Area]])+Inventory[[#This Row],[Mdl Res Intercept]])*Inventory[[#This Row],[Res Adj ]],-2)</f>
        <v>344900</v>
      </c>
      <c r="BM104" s="30">
        <f>ROUND(Inventory[[#This Row],[25Det]]*Inventory[[#This Row],[Det/Nbhd Adj]],-2)</f>
        <v>0</v>
      </c>
      <c r="BN104" s="30">
        <f>Inventory[[#This Row],[Adjusted Res]]+Inventory[[#This Row],[Adj Det ]]</f>
        <v>344900</v>
      </c>
      <c r="BO104" s="30">
        <f>ROUND((Inventory[[#This Row],[Mdl Land Intercept]]+Inventory[[#This Row],[Mdl LnAcres]])*Inventory[[#This Row],[Det/Nbhd Adj]],-2)</f>
        <v>61500</v>
      </c>
      <c r="BP104" s="30">
        <f>Inventory[[#This Row],[Adjusted Impr Total]]+Inventory[[#This Row],[Adjusted Land Total]]</f>
        <v>406400</v>
      </c>
      <c r="BQ104" s="30">
        <f>IFERROR((Inventory[[#This Row],[Adjusted Impr Total]]-Inventory[[#This Row],[24Bldg]])/Inventory[[#This Row],[24Bldg]],0)</f>
        <v>-8.1001865174527052E-2</v>
      </c>
      <c r="BR104" s="43">
        <f>(Inventory[[#This Row],[Adjusted Land Total]]-Inventory[[#This Row],[24Lnd]])/Inventory[[#This Row],[24Lnd]]</f>
        <v>-3.2414910858995136E-3</v>
      </c>
      <c r="BS104" s="43">
        <f>(Inventory[[#This Row],[Adjusted Total]]-Inventory[[#This Row],[24Final]])/Inventory[[#This Row],[24Final]]</f>
        <v>-7.0022883295194502E-2</v>
      </c>
    </row>
    <row r="105" spans="1:71">
      <c r="A105" s="30">
        <v>2025</v>
      </c>
      <c r="B105" s="31" t="s">
        <v>614</v>
      </c>
      <c r="C105" s="31">
        <f>LN(Inventory[[#This Row],[Acres]])</f>
        <v>-1.8018098050815563</v>
      </c>
      <c r="D105" s="37">
        <f>ROUND(Inventory[[#This Row],[Sqft]]/43560,3)</f>
        <v>0.16500000000000001</v>
      </c>
      <c r="E105" s="30">
        <v>7171</v>
      </c>
      <c r="F105" s="31" t="s">
        <v>505</v>
      </c>
      <c r="G105" s="31" t="s">
        <v>155</v>
      </c>
      <c r="H105" s="31" t="s">
        <v>5</v>
      </c>
      <c r="I105" s="31" t="s">
        <v>506</v>
      </c>
      <c r="J105" s="31" t="s">
        <v>507</v>
      </c>
      <c r="K105" s="31" t="s">
        <v>157</v>
      </c>
      <c r="L105" s="31" t="s">
        <v>21</v>
      </c>
      <c r="M105" s="31" t="s">
        <v>24</v>
      </c>
      <c r="N105" s="31">
        <v>0</v>
      </c>
      <c r="O105" s="31">
        <f>2024-Inventory[[#This Row],[YrBlt]]</f>
        <v>3</v>
      </c>
      <c r="P105" s="31">
        <f>2024-Inventory[[#This Row],[EffYr]]</f>
        <v>3</v>
      </c>
      <c r="Q105" s="30">
        <v>2021</v>
      </c>
      <c r="R105" s="30">
        <v>2021</v>
      </c>
      <c r="S105" s="30">
        <v>1740</v>
      </c>
      <c r="T105" s="37"/>
      <c r="U105" s="37"/>
      <c r="V105" s="32"/>
      <c r="W105" s="32"/>
      <c r="X105" s="32">
        <f>Inventory[[#This Row],[Bsmt Area]]-Inventory[[#This Row],[FnBsmt]]</f>
        <v>0</v>
      </c>
      <c r="Y105" s="32">
        <f>Inventory[[#This Row],[MainFn]]+Inventory[[#This Row],[UpprFn]]+Inventory[[#This Row],[AddFn]]+Inventory[[#This Row],[FnBsmt]]</f>
        <v>1740</v>
      </c>
      <c r="Z105" s="32">
        <v>2000</v>
      </c>
      <c r="AA105" s="31" t="s">
        <v>56</v>
      </c>
      <c r="AB105" s="32"/>
      <c r="AC105" s="38">
        <v>690</v>
      </c>
      <c r="AD105" s="32"/>
      <c r="AE105" s="32"/>
      <c r="AF105" s="32"/>
      <c r="AG105" s="32"/>
      <c r="AH105" s="32"/>
      <c r="AI105" s="30">
        <v>397509</v>
      </c>
      <c r="AJ105" s="30">
        <v>385584</v>
      </c>
      <c r="AK105" s="30">
        <v>0</v>
      </c>
      <c r="AL105" s="30">
        <v>0</v>
      </c>
      <c r="AM105" s="30">
        <v>60800</v>
      </c>
      <c r="AN105" s="30">
        <v>344900</v>
      </c>
      <c r="AO105" s="30">
        <v>405700</v>
      </c>
      <c r="AP105" s="30">
        <f>Lookups!$B$58*0.6</f>
        <v>132535.48800000001</v>
      </c>
      <c r="AQ105" s="30">
        <f>Lookups!$B$58*0.4</f>
        <v>88356.992000000013</v>
      </c>
      <c r="AR105" s="30">
        <f>Lookups!$B$59*Inventory[[#This Row],[LnAcres]]</f>
        <v>-23647.530262837776</v>
      </c>
      <c r="AS105" s="30">
        <f>VLOOKUP(Inventory[[#This Row],[Qlty]],Lookups!$A$66:$E$79,2,FALSE)</f>
        <v>32917.849192000001</v>
      </c>
      <c r="AT105" s="30">
        <f>VLOOKUP(Inventory[[#This Row],[Cnd]],Lookups!$A$80:$E$88,2,FALSE)</f>
        <v>47371.278778200001</v>
      </c>
      <c r="AU105" s="30">
        <f>Inventory[[#This Row],[EffAge]]*Lookups!$B$65</f>
        <v>-326.22329999999999</v>
      </c>
      <c r="AV105" s="30">
        <f>Inventory[[#This Row],[MainFn]]*Lookups!$B$90</f>
        <v>108594.06120000001</v>
      </c>
      <c r="AW105" s="30">
        <f>Inventory[[#This Row],[UpprFn]]*Lookups!$B$91</f>
        <v>0</v>
      </c>
      <c r="AX105" s="30">
        <f>Inventory[[#This Row],[Bsmt Area]]*Lookups!$B$95</f>
        <v>0</v>
      </c>
      <c r="AY105" s="30">
        <f>Inventory[[#This Row],[AttGar]]*Lookups!$B$93</f>
        <v>24357.71139</v>
      </c>
      <c r="AZ105" s="30">
        <f>ROUND(Inventory[[#This Row],[25Det]],-2)</f>
        <v>0</v>
      </c>
      <c r="BA105" s="30">
        <f>ROUND(SUM(Inventory[[#This Row],[Mdl Qlty]:[Mdl Garage Area]])+Inventory[[#This Row],[Mdl Res Intercept]],-2)</f>
        <v>345500</v>
      </c>
      <c r="BB105" s="30">
        <f>ROUND(Inventory[[#This Row],[Mdl Land Intercept]]+Inventory[[#This Row],[Mdl LnAcres]],-2)</f>
        <v>64700</v>
      </c>
      <c r="BC105" s="30">
        <f>Inventory[[#This Row],[Unadj Res Value]]+Inventory[[#This Row],[Unadj Det Value]]+Inventory[[#This Row],[Unadj Land Value]]</f>
        <v>410200</v>
      </c>
      <c r="BD105" s="30">
        <f>(Inventory[[#This Row],[Unadj Total Value]]-Inventory[[#This Row],[24Final]])/Inventory[[#This Row],[24Final]]</f>
        <v>1.1091939857037219E-2</v>
      </c>
      <c r="BE105" s="30">
        <f>VLOOKUP(Inventory[[#This Row],[Nbhd]],Lookups!$M$3:$P$5,4,FALSE)</f>
        <v>0.99970000000000003</v>
      </c>
      <c r="BF105" s="30">
        <f>VLOOKUP(Inventory[[#This Row],[Qlty]],Lookups!$M$8:$P$22,4,FALSE)</f>
        <v>1.0019</v>
      </c>
      <c r="BG105" s="30">
        <f>VLOOKUP(Inventory[[#This Row],[Cnd]],Lookups!$R$8:$U$17,4,FALSE)</f>
        <v>1.0012000000000001</v>
      </c>
      <c r="BH105" s="30">
        <f>VLOOKUP(Inventory[[#This Row],[LivArea Range]],Lookups!$R$25:$U$43,4,FALSE)</f>
        <v>1.0007999999999999</v>
      </c>
      <c r="BI105" s="30">
        <f>VLOOKUP(Inventory[[#This Row],[Decade]],Lookups!$M$24:$P$40,4,FALSE)</f>
        <v>1</v>
      </c>
      <c r="BJ105" s="30">
        <f>Inventory[[#This Row],[Nbhd Adj]]*0.95</f>
        <v>0.94971499999999998</v>
      </c>
      <c r="BK105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105" s="30">
        <f>ROUND((SUM(Inventory[[#This Row],[Mdl Qlty]:[Mdl Garage Area]])+Inventory[[#This Row],[Mdl Res Intercept]])*Inventory[[#This Row],[Res Adj ]],-2)</f>
        <v>328400</v>
      </c>
      <c r="BM105" s="30">
        <f>ROUND(Inventory[[#This Row],[25Det]]*Inventory[[#This Row],[Det/Nbhd Adj]],-2)</f>
        <v>0</v>
      </c>
      <c r="BN105" s="30">
        <f>Inventory[[#This Row],[Adjusted Res]]+Inventory[[#This Row],[Adj Det ]]</f>
        <v>328400</v>
      </c>
      <c r="BO105" s="30">
        <f>ROUND((Inventory[[#This Row],[Mdl Land Intercept]]+Inventory[[#This Row],[Mdl LnAcres]])*Inventory[[#This Row],[Det/Nbhd Adj]],-2)</f>
        <v>61500</v>
      </c>
      <c r="BP105" s="30">
        <f>Inventory[[#This Row],[Adjusted Impr Total]]+Inventory[[#This Row],[Adjusted Land Total]]</f>
        <v>389900</v>
      </c>
      <c r="BQ105" s="30">
        <f>IFERROR((Inventory[[#This Row],[Adjusted Impr Total]]-Inventory[[#This Row],[24Bldg]])/Inventory[[#This Row],[24Bldg]],0)</f>
        <v>-4.7839953609741956E-2</v>
      </c>
      <c r="BR105" s="43">
        <f>(Inventory[[#This Row],[Adjusted Land Total]]-Inventory[[#This Row],[24Lnd]])/Inventory[[#This Row],[24Lnd]]</f>
        <v>1.1513157894736841E-2</v>
      </c>
      <c r="BS105" s="43">
        <f>(Inventory[[#This Row],[Adjusted Total]]-Inventory[[#This Row],[24Final]])/Inventory[[#This Row],[24Final]]</f>
        <v>-3.8945033275819572E-2</v>
      </c>
    </row>
    <row r="106" spans="1:71">
      <c r="A106" s="30">
        <v>2025</v>
      </c>
      <c r="B106" s="31" t="s">
        <v>615</v>
      </c>
      <c r="C106" s="31">
        <f>LN(Inventory[[#This Row],[Acres]])</f>
        <v>-1.7957674906255938</v>
      </c>
      <c r="D106" s="37">
        <f>ROUND(Inventory[[#This Row],[Sqft]]/43560,3)</f>
        <v>0.16600000000000001</v>
      </c>
      <c r="E106" s="30">
        <v>7245</v>
      </c>
      <c r="F106" s="31" t="s">
        <v>505</v>
      </c>
      <c r="G106" s="31" t="s">
        <v>155</v>
      </c>
      <c r="H106" s="31" t="s">
        <v>5</v>
      </c>
      <c r="I106" s="31" t="s">
        <v>506</v>
      </c>
      <c r="J106" s="31" t="s">
        <v>507</v>
      </c>
      <c r="K106" s="31" t="s">
        <v>157</v>
      </c>
      <c r="L106" s="31" t="s">
        <v>19</v>
      </c>
      <c r="M106" s="31" t="s">
        <v>24</v>
      </c>
      <c r="N106" s="31">
        <v>0</v>
      </c>
      <c r="O106" s="31">
        <f>2024-Inventory[[#This Row],[YrBlt]]</f>
        <v>3</v>
      </c>
      <c r="P106" s="31">
        <f>2024-Inventory[[#This Row],[EffYr]]</f>
        <v>3</v>
      </c>
      <c r="Q106" s="30">
        <v>2021</v>
      </c>
      <c r="R106" s="30">
        <v>2021</v>
      </c>
      <c r="S106" s="30">
        <v>1403</v>
      </c>
      <c r="T106" s="32"/>
      <c r="U106" s="32"/>
      <c r="V106" s="32"/>
      <c r="W106" s="32"/>
      <c r="X106" s="32">
        <f>Inventory[[#This Row],[Bsmt Area]]-Inventory[[#This Row],[FnBsmt]]</f>
        <v>0</v>
      </c>
      <c r="Y106" s="32">
        <f>Inventory[[#This Row],[MainFn]]+Inventory[[#This Row],[UpprFn]]+Inventory[[#This Row],[AddFn]]+Inventory[[#This Row],[FnBsmt]]</f>
        <v>1403</v>
      </c>
      <c r="Z106" s="32">
        <v>1500</v>
      </c>
      <c r="AA106" s="31" t="s">
        <v>57</v>
      </c>
      <c r="AB106" s="32"/>
      <c r="AC106" s="38">
        <v>640</v>
      </c>
      <c r="AD106" s="32"/>
      <c r="AE106" s="32"/>
      <c r="AF106" s="32"/>
      <c r="AG106" s="32"/>
      <c r="AH106" s="32"/>
      <c r="AI106" s="30">
        <v>301366</v>
      </c>
      <c r="AJ106" s="30">
        <v>292325</v>
      </c>
      <c r="AK106" s="30">
        <v>0</v>
      </c>
      <c r="AL106" s="30">
        <v>0</v>
      </c>
      <c r="AM106" s="30">
        <v>61700</v>
      </c>
      <c r="AN106" s="30">
        <v>328800</v>
      </c>
      <c r="AO106" s="30">
        <v>390500</v>
      </c>
      <c r="AP106" s="30">
        <f>Lookups!$B$58*0.6</f>
        <v>132535.48800000001</v>
      </c>
      <c r="AQ106" s="30">
        <f>Lookups!$B$58*0.4</f>
        <v>88356.992000000013</v>
      </c>
      <c r="AR106" s="30">
        <f>Lookups!$B$59*Inventory[[#This Row],[LnAcres]]</f>
        <v>-23568.228988334784</v>
      </c>
      <c r="AS106" s="30">
        <f>VLOOKUP(Inventory[[#This Row],[Qlty]],Lookups!$A$66:$E$79,2,FALSE)</f>
        <v>37154.252388000001</v>
      </c>
      <c r="AT106" s="30">
        <f>VLOOKUP(Inventory[[#This Row],[Cnd]],Lookups!$A$80:$E$88,2,FALSE)</f>
        <v>47371.278778200001</v>
      </c>
      <c r="AU106" s="30">
        <f>Inventory[[#This Row],[EffAge]]*Lookups!$B$65</f>
        <v>-326.22329999999999</v>
      </c>
      <c r="AV106" s="30">
        <f>Inventory[[#This Row],[MainFn]]*Lookups!$B$90</f>
        <v>87561.76314000001</v>
      </c>
      <c r="AW106" s="30">
        <f>Inventory[[#This Row],[UpprFn]]*Lookups!$B$91</f>
        <v>0</v>
      </c>
      <c r="AX106" s="30">
        <f>Inventory[[#This Row],[Bsmt Area]]*Lookups!$B$95</f>
        <v>0</v>
      </c>
      <c r="AY106" s="30">
        <f>Inventory[[#This Row],[AttGar]]*Lookups!$B$93</f>
        <v>22592.65984</v>
      </c>
      <c r="AZ106" s="30">
        <f>ROUND(Inventory[[#This Row],[25Det]],-2)</f>
        <v>0</v>
      </c>
      <c r="BA106" s="30">
        <f>ROUND(SUM(Inventory[[#This Row],[Mdl Qlty]:[Mdl Garage Area]])+Inventory[[#This Row],[Mdl Res Intercept]],-2)</f>
        <v>326900</v>
      </c>
      <c r="BB106" s="30">
        <f>ROUND(Inventory[[#This Row],[Mdl Land Intercept]]+Inventory[[#This Row],[Mdl LnAcres]],-2)</f>
        <v>64800</v>
      </c>
      <c r="BC106" s="30">
        <f>Inventory[[#This Row],[Unadj Res Value]]+Inventory[[#This Row],[Unadj Det Value]]+Inventory[[#This Row],[Unadj Land Value]]</f>
        <v>391700</v>
      </c>
      <c r="BD106" s="30">
        <f>(Inventory[[#This Row],[Unadj Total Value]]-Inventory[[#This Row],[24Final]])/Inventory[[#This Row],[24Final]]</f>
        <v>3.0729833546734955E-3</v>
      </c>
      <c r="BE106" s="30">
        <f>VLOOKUP(Inventory[[#This Row],[Nbhd]],Lookups!$M$3:$P$5,4,FALSE)</f>
        <v>0.99970000000000003</v>
      </c>
      <c r="BF106" s="30">
        <f>VLOOKUP(Inventory[[#This Row],[Qlty]],Lookups!$M$8:$P$22,4,FALSE)</f>
        <v>0.99819999999999998</v>
      </c>
      <c r="BG106" s="30">
        <f>VLOOKUP(Inventory[[#This Row],[Cnd]],Lookups!$R$8:$U$17,4,FALSE)</f>
        <v>1.0012000000000001</v>
      </c>
      <c r="BH106" s="30">
        <f>VLOOKUP(Inventory[[#This Row],[LivArea Range]],Lookups!$R$25:$U$43,4,FALSE)</f>
        <v>0.99519999999999997</v>
      </c>
      <c r="BI106" s="30">
        <f>VLOOKUP(Inventory[[#This Row],[Decade]],Lookups!$M$24:$P$40,4,FALSE)</f>
        <v>1</v>
      </c>
      <c r="BJ106" s="30">
        <f>Inventory[[#This Row],[Nbhd Adj]]*0.95</f>
        <v>0.94971499999999998</v>
      </c>
      <c r="BK106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106" s="30">
        <f>ROUND((SUM(Inventory[[#This Row],[Mdl Qlty]:[Mdl Garage Area]])+Inventory[[#This Row],[Mdl Res Intercept]])*Inventory[[#This Row],[Res Adj ]],-2)</f>
        <v>310200</v>
      </c>
      <c r="BM106" s="30">
        <f>ROUND(Inventory[[#This Row],[25Det]]*Inventory[[#This Row],[Det/Nbhd Adj]],-2)</f>
        <v>0</v>
      </c>
      <c r="BN106" s="30">
        <f>Inventory[[#This Row],[Adjusted Res]]+Inventory[[#This Row],[Adj Det ]]</f>
        <v>310200</v>
      </c>
      <c r="BO106" s="30">
        <f>ROUND((Inventory[[#This Row],[Mdl Land Intercept]]+Inventory[[#This Row],[Mdl LnAcres]])*Inventory[[#This Row],[Det/Nbhd Adj]],-2)</f>
        <v>61500</v>
      </c>
      <c r="BP106" s="30">
        <f>Inventory[[#This Row],[Adjusted Impr Total]]+Inventory[[#This Row],[Adjusted Land Total]]</f>
        <v>371700</v>
      </c>
      <c r="BQ106" s="30">
        <f>IFERROR((Inventory[[#This Row],[Adjusted Impr Total]]-Inventory[[#This Row],[24Bldg]])/Inventory[[#This Row],[24Bldg]],0)</f>
        <v>-5.6569343065693431E-2</v>
      </c>
      <c r="BR106" s="43">
        <f>(Inventory[[#This Row],[Adjusted Land Total]]-Inventory[[#This Row],[24Lnd]])/Inventory[[#This Row],[24Lnd]]</f>
        <v>-3.2414910858995136E-3</v>
      </c>
      <c r="BS106" s="43">
        <f>(Inventory[[#This Row],[Adjusted Total]]-Inventory[[#This Row],[24Final]])/Inventory[[#This Row],[24Final]]</f>
        <v>-4.8143405889884763E-2</v>
      </c>
    </row>
    <row r="107" spans="1:71">
      <c r="A107" s="30">
        <v>2025</v>
      </c>
      <c r="B107" s="31" t="s">
        <v>616</v>
      </c>
      <c r="C107" s="31">
        <f>LN(Inventory[[#This Row],[Acres]])</f>
        <v>-1.7957674906255938</v>
      </c>
      <c r="D107" s="37">
        <f>ROUND(Inventory[[#This Row],[Sqft]]/43560,3)</f>
        <v>0.16600000000000001</v>
      </c>
      <c r="E107" s="30">
        <v>7245</v>
      </c>
      <c r="F107" s="31" t="s">
        <v>505</v>
      </c>
      <c r="G107" s="31" t="s">
        <v>155</v>
      </c>
      <c r="H107" s="31" t="s">
        <v>5</v>
      </c>
      <c r="I107" s="31" t="s">
        <v>506</v>
      </c>
      <c r="J107" s="31" t="s">
        <v>507</v>
      </c>
      <c r="K107" s="31" t="s">
        <v>157</v>
      </c>
      <c r="L107" s="31" t="s">
        <v>21</v>
      </c>
      <c r="M107" s="31" t="s">
        <v>24</v>
      </c>
      <c r="N107" s="31">
        <v>0</v>
      </c>
      <c r="O107" s="31">
        <f>2024-Inventory[[#This Row],[YrBlt]]</f>
        <v>3</v>
      </c>
      <c r="P107" s="31">
        <f>2024-Inventory[[#This Row],[EffYr]]</f>
        <v>3</v>
      </c>
      <c r="Q107" s="30">
        <v>2021</v>
      </c>
      <c r="R107" s="30">
        <v>2021</v>
      </c>
      <c r="S107" s="30">
        <v>2010</v>
      </c>
      <c r="T107" s="32"/>
      <c r="U107" s="32"/>
      <c r="V107" s="32"/>
      <c r="W107" s="32"/>
      <c r="X107" s="32">
        <f>Inventory[[#This Row],[Bsmt Area]]-Inventory[[#This Row],[FnBsmt]]</f>
        <v>0</v>
      </c>
      <c r="Y107" s="32">
        <f>Inventory[[#This Row],[MainFn]]+Inventory[[#This Row],[UpprFn]]+Inventory[[#This Row],[AddFn]]+Inventory[[#This Row],[FnBsmt]]</f>
        <v>2010</v>
      </c>
      <c r="Z107" s="32">
        <v>2500</v>
      </c>
      <c r="AA107" s="31" t="s">
        <v>57</v>
      </c>
      <c r="AB107" s="32"/>
      <c r="AC107" s="38">
        <v>424</v>
      </c>
      <c r="AD107" s="32"/>
      <c r="AE107" s="32"/>
      <c r="AF107" s="32"/>
      <c r="AG107" s="32"/>
      <c r="AH107" s="32"/>
      <c r="AI107" s="30">
        <v>429478</v>
      </c>
      <c r="AJ107" s="30">
        <v>416594</v>
      </c>
      <c r="AK107" s="30">
        <v>0</v>
      </c>
      <c r="AL107" s="30">
        <v>0</v>
      </c>
      <c r="AM107" s="30">
        <v>61700</v>
      </c>
      <c r="AN107" s="30">
        <v>348400</v>
      </c>
      <c r="AO107" s="30">
        <v>410100</v>
      </c>
      <c r="AP107" s="30">
        <f>Lookups!$B$58*0.6</f>
        <v>132535.48800000001</v>
      </c>
      <c r="AQ107" s="30">
        <f>Lookups!$B$58*0.4</f>
        <v>88356.992000000013</v>
      </c>
      <c r="AR107" s="30">
        <f>Lookups!$B$59*Inventory[[#This Row],[LnAcres]]</f>
        <v>-23568.228988334784</v>
      </c>
      <c r="AS107" s="30">
        <f>VLOOKUP(Inventory[[#This Row],[Qlty]],Lookups!$A$66:$E$79,2,FALSE)</f>
        <v>32917.849192000001</v>
      </c>
      <c r="AT107" s="30">
        <f>VLOOKUP(Inventory[[#This Row],[Cnd]],Lookups!$A$80:$E$88,2,FALSE)</f>
        <v>47371.278778200001</v>
      </c>
      <c r="AU107" s="30">
        <f>Inventory[[#This Row],[EffAge]]*Lookups!$B$65</f>
        <v>-326.22329999999999</v>
      </c>
      <c r="AV107" s="30">
        <f>Inventory[[#This Row],[MainFn]]*Lookups!$B$90</f>
        <v>125444.86380000001</v>
      </c>
      <c r="AW107" s="30">
        <f>Inventory[[#This Row],[UpprFn]]*Lookups!$B$91</f>
        <v>0</v>
      </c>
      <c r="AX107" s="30">
        <f>Inventory[[#This Row],[Bsmt Area]]*Lookups!$B$95</f>
        <v>0</v>
      </c>
      <c r="AY107" s="30">
        <f>Inventory[[#This Row],[AttGar]]*Lookups!$B$93</f>
        <v>14967.637144</v>
      </c>
      <c r="AZ107" s="30">
        <f>ROUND(Inventory[[#This Row],[25Det]],-2)</f>
        <v>0</v>
      </c>
      <c r="BA107" s="30">
        <f>ROUND(SUM(Inventory[[#This Row],[Mdl Qlty]:[Mdl Garage Area]])+Inventory[[#This Row],[Mdl Res Intercept]],-2)</f>
        <v>352900</v>
      </c>
      <c r="BB107" s="30">
        <f>ROUND(Inventory[[#This Row],[Mdl Land Intercept]]+Inventory[[#This Row],[Mdl LnAcres]],-2)</f>
        <v>64800</v>
      </c>
      <c r="BC107" s="30">
        <f>Inventory[[#This Row],[Unadj Res Value]]+Inventory[[#This Row],[Unadj Det Value]]+Inventory[[#This Row],[Unadj Land Value]]</f>
        <v>417700</v>
      </c>
      <c r="BD107" s="30">
        <f>(Inventory[[#This Row],[Unadj Total Value]]-Inventory[[#This Row],[24Final]])/Inventory[[#This Row],[24Final]]</f>
        <v>1.8532065349914657E-2</v>
      </c>
      <c r="BE107" s="30">
        <f>VLOOKUP(Inventory[[#This Row],[Nbhd]],Lookups!$M$3:$P$5,4,FALSE)</f>
        <v>0.99970000000000003</v>
      </c>
      <c r="BF107" s="30">
        <f>VLOOKUP(Inventory[[#This Row],[Qlty]],Lookups!$M$8:$P$22,4,FALSE)</f>
        <v>1.0019</v>
      </c>
      <c r="BG107" s="30">
        <f>VLOOKUP(Inventory[[#This Row],[Cnd]],Lookups!$R$8:$U$17,4,FALSE)</f>
        <v>1.0012000000000001</v>
      </c>
      <c r="BH107" s="30">
        <f>VLOOKUP(Inventory[[#This Row],[LivArea Range]],Lookups!$R$25:$U$43,4,FALSE)</f>
        <v>1.0008999999999999</v>
      </c>
      <c r="BI107" s="30">
        <f>VLOOKUP(Inventory[[#This Row],[Decade]],Lookups!$M$24:$P$40,4,FALSE)</f>
        <v>1</v>
      </c>
      <c r="BJ107" s="30">
        <f>Inventory[[#This Row],[Nbhd Adj]]*0.95</f>
        <v>0.94971499999999998</v>
      </c>
      <c r="BK107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07" s="30">
        <f>ROUND((SUM(Inventory[[#This Row],[Mdl Qlty]:[Mdl Garage Area]])+Inventory[[#This Row],[Mdl Res Intercept]])*Inventory[[#This Row],[Res Adj ]],-2)</f>
        <v>335500</v>
      </c>
      <c r="BM107" s="30">
        <f>ROUND(Inventory[[#This Row],[25Det]]*Inventory[[#This Row],[Det/Nbhd Adj]],-2)</f>
        <v>0</v>
      </c>
      <c r="BN107" s="30">
        <f>Inventory[[#This Row],[Adjusted Res]]+Inventory[[#This Row],[Adj Det ]]</f>
        <v>335500</v>
      </c>
      <c r="BO107" s="30">
        <f>ROUND((Inventory[[#This Row],[Mdl Land Intercept]]+Inventory[[#This Row],[Mdl LnAcres]])*Inventory[[#This Row],[Det/Nbhd Adj]],-2)</f>
        <v>61500</v>
      </c>
      <c r="BP107" s="30">
        <f>Inventory[[#This Row],[Adjusted Impr Total]]+Inventory[[#This Row],[Adjusted Land Total]]</f>
        <v>397000</v>
      </c>
      <c r="BQ107" s="30">
        <f>IFERROR((Inventory[[#This Row],[Adjusted Impr Total]]-Inventory[[#This Row],[24Bldg]])/Inventory[[#This Row],[24Bldg]],0)</f>
        <v>-3.7026406429391506E-2</v>
      </c>
      <c r="BR107" s="43">
        <f>(Inventory[[#This Row],[Adjusted Land Total]]-Inventory[[#This Row],[24Lnd]])/Inventory[[#This Row],[24Lnd]]</f>
        <v>-3.2414910858995136E-3</v>
      </c>
      <c r="BS107" s="43">
        <f>(Inventory[[#This Row],[Adjusted Total]]-Inventory[[#This Row],[24Final]])/Inventory[[#This Row],[24Final]]</f>
        <v>-3.1943428432089735E-2</v>
      </c>
    </row>
    <row r="108" spans="1:71">
      <c r="A108" s="30">
        <v>2025</v>
      </c>
      <c r="B108" s="31" t="s">
        <v>617</v>
      </c>
      <c r="C108" s="31">
        <f>LN(Inventory[[#This Row],[Acres]])</f>
        <v>-1.7957674906255938</v>
      </c>
      <c r="D108" s="37">
        <f>ROUND(Inventory[[#This Row],[Sqft]]/43560,3)</f>
        <v>0.16600000000000001</v>
      </c>
      <c r="E108" s="38">
        <v>7245</v>
      </c>
      <c r="F108" s="31" t="s">
        <v>505</v>
      </c>
      <c r="G108" s="31" t="s">
        <v>155</v>
      </c>
      <c r="H108" s="31" t="s">
        <v>5</v>
      </c>
      <c r="I108" s="31" t="s">
        <v>506</v>
      </c>
      <c r="J108" s="31" t="s">
        <v>507</v>
      </c>
      <c r="K108" s="31" t="s">
        <v>157</v>
      </c>
      <c r="L108" s="31" t="s">
        <v>21</v>
      </c>
      <c r="M108" s="31" t="s">
        <v>24</v>
      </c>
      <c r="N108" s="31">
        <v>0</v>
      </c>
      <c r="O108" s="31">
        <f>2024-Inventory[[#This Row],[YrBlt]]</f>
        <v>3</v>
      </c>
      <c r="P108" s="31">
        <f>2024-Inventory[[#This Row],[EffYr]]</f>
        <v>3</v>
      </c>
      <c r="Q108" s="30">
        <v>2021</v>
      </c>
      <c r="R108" s="30">
        <v>2021</v>
      </c>
      <c r="S108" s="30">
        <v>780</v>
      </c>
      <c r="T108" s="38">
        <v>1080</v>
      </c>
      <c r="U108" s="32"/>
      <c r="V108" s="32"/>
      <c r="W108" s="32"/>
      <c r="X108" s="32">
        <f>Inventory[[#This Row],[Bsmt Area]]-Inventory[[#This Row],[FnBsmt]]</f>
        <v>0</v>
      </c>
      <c r="Y108" s="32">
        <f>Inventory[[#This Row],[MainFn]]+Inventory[[#This Row],[UpprFn]]+Inventory[[#This Row],[AddFn]]+Inventory[[#This Row],[FnBsmt]]</f>
        <v>1860</v>
      </c>
      <c r="Z108" s="32">
        <v>2000</v>
      </c>
      <c r="AA108" s="31" t="s">
        <v>56</v>
      </c>
      <c r="AB108" s="38">
        <v>1</v>
      </c>
      <c r="AC108" s="32"/>
      <c r="AD108" s="38">
        <v>420</v>
      </c>
      <c r="AE108" s="32"/>
      <c r="AF108" s="32"/>
      <c r="AG108" s="32"/>
      <c r="AH108" s="32"/>
      <c r="AI108" s="30">
        <v>385956</v>
      </c>
      <c r="AJ108" s="30">
        <v>374377</v>
      </c>
      <c r="AK108" s="30">
        <v>0</v>
      </c>
      <c r="AL108" s="30">
        <v>0</v>
      </c>
      <c r="AM108" s="30">
        <v>61700</v>
      </c>
      <c r="AN108" s="30">
        <v>335200</v>
      </c>
      <c r="AO108" s="30">
        <v>396900</v>
      </c>
      <c r="AP108" s="30">
        <f>Lookups!$B$58*0.6</f>
        <v>132535.48800000001</v>
      </c>
      <c r="AQ108" s="30">
        <f>Lookups!$B$58*0.4</f>
        <v>88356.992000000013</v>
      </c>
      <c r="AR108" s="30">
        <f>Lookups!$B$59*Inventory[[#This Row],[LnAcres]]</f>
        <v>-23568.228988334784</v>
      </c>
      <c r="AS108" s="30">
        <f>VLOOKUP(Inventory[[#This Row],[Qlty]],Lookups!$A$66:$E$79,2,FALSE)</f>
        <v>32917.849192000001</v>
      </c>
      <c r="AT108" s="30">
        <f>VLOOKUP(Inventory[[#This Row],[Cnd]],Lookups!$A$80:$E$88,2,FALSE)</f>
        <v>47371.278778200001</v>
      </c>
      <c r="AU108" s="30">
        <f>Inventory[[#This Row],[EffAge]]*Lookups!$B$65</f>
        <v>-326.22329999999999</v>
      </c>
      <c r="AV108" s="30">
        <f>Inventory[[#This Row],[MainFn]]*Lookups!$B$90</f>
        <v>48680.096400000002</v>
      </c>
      <c r="AW108" s="30">
        <f>Inventory[[#This Row],[UpprFn]]*Lookups!$B$91</f>
        <v>64346.81364</v>
      </c>
      <c r="AX108" s="30">
        <f>Inventory[[#This Row],[Bsmt Area]]*Lookups!$B$95</f>
        <v>0</v>
      </c>
      <c r="AY108" s="30">
        <f>Inventory[[#This Row],[AttGar]]*Lookups!$B$93</f>
        <v>0</v>
      </c>
      <c r="AZ108" s="30">
        <f>ROUND(Inventory[[#This Row],[25Det]],-2)</f>
        <v>0</v>
      </c>
      <c r="BA108" s="30">
        <f>ROUND(SUM(Inventory[[#This Row],[Mdl Qlty]:[Mdl Garage Area]])+Inventory[[#This Row],[Mdl Res Intercept]],-2)</f>
        <v>325500</v>
      </c>
      <c r="BB108" s="30">
        <f>ROUND(Inventory[[#This Row],[Mdl Land Intercept]]+Inventory[[#This Row],[Mdl LnAcres]],-2)</f>
        <v>64800</v>
      </c>
      <c r="BC108" s="30">
        <f>Inventory[[#This Row],[Unadj Res Value]]+Inventory[[#This Row],[Unadj Det Value]]+Inventory[[#This Row],[Unadj Land Value]]</f>
        <v>390300</v>
      </c>
      <c r="BD108" s="30">
        <f>(Inventory[[#This Row],[Unadj Total Value]]-Inventory[[#This Row],[24Final]])/Inventory[[#This Row],[24Final]]</f>
        <v>-1.6628873771730914E-2</v>
      </c>
      <c r="BE108" s="30">
        <f>VLOOKUP(Inventory[[#This Row],[Nbhd]],Lookups!$M$3:$P$5,4,FALSE)</f>
        <v>0.99970000000000003</v>
      </c>
      <c r="BF108" s="30">
        <f>VLOOKUP(Inventory[[#This Row],[Qlty]],Lookups!$M$8:$P$22,4,FALSE)</f>
        <v>1.0019</v>
      </c>
      <c r="BG108" s="30">
        <f>VLOOKUP(Inventory[[#This Row],[Cnd]],Lookups!$R$8:$U$17,4,FALSE)</f>
        <v>1.0012000000000001</v>
      </c>
      <c r="BH108" s="30">
        <f>VLOOKUP(Inventory[[#This Row],[LivArea Range]],Lookups!$R$25:$U$43,4,FALSE)</f>
        <v>1.0007999999999999</v>
      </c>
      <c r="BI108" s="30">
        <f>VLOOKUP(Inventory[[#This Row],[Decade]],Lookups!$M$24:$P$40,4,FALSE)</f>
        <v>1</v>
      </c>
      <c r="BJ108" s="30">
        <f>Inventory[[#This Row],[Nbhd Adj]]*0.95</f>
        <v>0.94971499999999998</v>
      </c>
      <c r="BK108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108" s="30">
        <f>ROUND((SUM(Inventory[[#This Row],[Mdl Qlty]:[Mdl Garage Area]])+Inventory[[#This Row],[Mdl Res Intercept]])*Inventory[[#This Row],[Res Adj ]],-2)</f>
        <v>309500</v>
      </c>
      <c r="BM108" s="30">
        <f>ROUND(Inventory[[#This Row],[25Det]]*Inventory[[#This Row],[Det/Nbhd Adj]],-2)</f>
        <v>0</v>
      </c>
      <c r="BN108" s="30">
        <f>Inventory[[#This Row],[Adjusted Res]]+Inventory[[#This Row],[Adj Det ]]</f>
        <v>309500</v>
      </c>
      <c r="BO108" s="30">
        <f>ROUND((Inventory[[#This Row],[Mdl Land Intercept]]+Inventory[[#This Row],[Mdl LnAcres]])*Inventory[[#This Row],[Det/Nbhd Adj]],-2)</f>
        <v>61500</v>
      </c>
      <c r="BP108" s="30">
        <f>Inventory[[#This Row],[Adjusted Impr Total]]+Inventory[[#This Row],[Adjusted Land Total]]</f>
        <v>371000</v>
      </c>
      <c r="BQ108" s="30">
        <f>IFERROR((Inventory[[#This Row],[Adjusted Impr Total]]-Inventory[[#This Row],[24Bldg]])/Inventory[[#This Row],[24Bldg]],0)</f>
        <v>-7.667064439140811E-2</v>
      </c>
      <c r="BR108" s="43">
        <f>(Inventory[[#This Row],[Adjusted Land Total]]-Inventory[[#This Row],[24Lnd]])/Inventory[[#This Row],[24Lnd]]</f>
        <v>-3.2414910858995136E-3</v>
      </c>
      <c r="BS108" s="43">
        <f>(Inventory[[#This Row],[Adjusted Total]]-Inventory[[#This Row],[24Final]])/Inventory[[#This Row],[24Final]]</f>
        <v>-6.5255731922398585E-2</v>
      </c>
    </row>
    <row r="109" spans="1:71">
      <c r="A109" s="30">
        <v>2025</v>
      </c>
      <c r="B109" s="31" t="s">
        <v>618</v>
      </c>
      <c r="C109" s="31">
        <f>LN(Inventory[[#This Row],[Acres]])</f>
        <v>-1.7957674906255938</v>
      </c>
      <c r="D109" s="37">
        <f>ROUND(Inventory[[#This Row],[Sqft]]/43560,3)</f>
        <v>0.16600000000000001</v>
      </c>
      <c r="E109" s="38">
        <v>7245</v>
      </c>
      <c r="F109" s="31" t="s">
        <v>505</v>
      </c>
      <c r="G109" s="31" t="s">
        <v>155</v>
      </c>
      <c r="H109" s="31" t="s">
        <v>5</v>
      </c>
      <c r="I109" s="31" t="s">
        <v>506</v>
      </c>
      <c r="J109" s="31" t="s">
        <v>507</v>
      </c>
      <c r="K109" s="31" t="s">
        <v>157</v>
      </c>
      <c r="L109" s="31" t="s">
        <v>21</v>
      </c>
      <c r="M109" s="31" t="s">
        <v>24</v>
      </c>
      <c r="N109" s="31">
        <v>0</v>
      </c>
      <c r="O109" s="31">
        <f>2024-Inventory[[#This Row],[YrBlt]]</f>
        <v>3</v>
      </c>
      <c r="P109" s="31">
        <f>2024-Inventory[[#This Row],[EffYr]]</f>
        <v>3</v>
      </c>
      <c r="Q109" s="30">
        <v>2021</v>
      </c>
      <c r="R109" s="30">
        <v>2021</v>
      </c>
      <c r="S109" s="30">
        <v>1073</v>
      </c>
      <c r="T109" s="38">
        <v>1331</v>
      </c>
      <c r="U109" s="32"/>
      <c r="V109" s="32"/>
      <c r="W109" s="32"/>
      <c r="X109" s="32">
        <f>Inventory[[#This Row],[Bsmt Area]]-Inventory[[#This Row],[FnBsmt]]</f>
        <v>0</v>
      </c>
      <c r="Y109" s="32">
        <f>Inventory[[#This Row],[MainFn]]+Inventory[[#This Row],[UpprFn]]+Inventory[[#This Row],[AddFn]]+Inventory[[#This Row],[FnBsmt]]</f>
        <v>2404</v>
      </c>
      <c r="Z109" s="32">
        <v>2500</v>
      </c>
      <c r="AA109" s="31" t="s">
        <v>56</v>
      </c>
      <c r="AB109" s="32"/>
      <c r="AC109" s="38">
        <v>1143</v>
      </c>
      <c r="AD109" s="32"/>
      <c r="AE109" s="32"/>
      <c r="AF109" s="32"/>
      <c r="AG109" s="32"/>
      <c r="AH109" s="32"/>
      <c r="AI109" s="30">
        <v>515006</v>
      </c>
      <c r="AJ109" s="30">
        <v>499556</v>
      </c>
      <c r="AK109" s="30">
        <v>0</v>
      </c>
      <c r="AL109" s="30">
        <v>0</v>
      </c>
      <c r="AM109" s="30">
        <v>61700</v>
      </c>
      <c r="AN109" s="30">
        <v>411500</v>
      </c>
      <c r="AO109" s="30">
        <v>473200</v>
      </c>
      <c r="AP109" s="30">
        <f>Lookups!$B$58*0.6</f>
        <v>132535.48800000001</v>
      </c>
      <c r="AQ109" s="30">
        <f>Lookups!$B$58*0.4</f>
        <v>88356.992000000013</v>
      </c>
      <c r="AR109" s="30">
        <f>Lookups!$B$59*Inventory[[#This Row],[LnAcres]]</f>
        <v>-23568.228988334784</v>
      </c>
      <c r="AS109" s="30">
        <f>VLOOKUP(Inventory[[#This Row],[Qlty]],Lookups!$A$66:$E$79,2,FALSE)</f>
        <v>32917.849192000001</v>
      </c>
      <c r="AT109" s="30">
        <f>VLOOKUP(Inventory[[#This Row],[Cnd]],Lookups!$A$80:$E$88,2,FALSE)</f>
        <v>47371.278778200001</v>
      </c>
      <c r="AU109" s="30">
        <f>Inventory[[#This Row],[EffAge]]*Lookups!$B$65</f>
        <v>-326.22329999999999</v>
      </c>
      <c r="AV109" s="30">
        <f>Inventory[[#This Row],[MainFn]]*Lookups!$B$90</f>
        <v>66966.337740000003</v>
      </c>
      <c r="AW109" s="30">
        <f>Inventory[[#This Row],[UpprFn]]*Lookups!$B$91</f>
        <v>79301.489772999994</v>
      </c>
      <c r="AX109" s="30">
        <f>Inventory[[#This Row],[Bsmt Area]]*Lookups!$B$95</f>
        <v>0</v>
      </c>
      <c r="AY109" s="30">
        <f>Inventory[[#This Row],[AttGar]]*Lookups!$B$93</f>
        <v>40349.078433000002</v>
      </c>
      <c r="AZ109" s="30">
        <f>ROUND(Inventory[[#This Row],[25Det]],-2)</f>
        <v>0</v>
      </c>
      <c r="BA109" s="30">
        <f>ROUND(SUM(Inventory[[#This Row],[Mdl Qlty]:[Mdl Garage Area]])+Inventory[[#This Row],[Mdl Res Intercept]],-2)</f>
        <v>399100</v>
      </c>
      <c r="BB109" s="30">
        <f>ROUND(Inventory[[#This Row],[Mdl Land Intercept]]+Inventory[[#This Row],[Mdl LnAcres]],-2)</f>
        <v>64800</v>
      </c>
      <c r="BC109" s="30">
        <f>Inventory[[#This Row],[Unadj Res Value]]+Inventory[[#This Row],[Unadj Det Value]]+Inventory[[#This Row],[Unadj Land Value]]</f>
        <v>463900</v>
      </c>
      <c r="BD109" s="30">
        <f>(Inventory[[#This Row],[Unadj Total Value]]-Inventory[[#This Row],[24Final]])/Inventory[[#This Row],[24Final]]</f>
        <v>-1.9653423499577344E-2</v>
      </c>
      <c r="BE109" s="30">
        <f>VLOOKUP(Inventory[[#This Row],[Nbhd]],Lookups!$M$3:$P$5,4,FALSE)</f>
        <v>0.99970000000000003</v>
      </c>
      <c r="BF109" s="30">
        <f>VLOOKUP(Inventory[[#This Row],[Qlty]],Lookups!$M$8:$P$22,4,FALSE)</f>
        <v>1.0019</v>
      </c>
      <c r="BG109" s="30">
        <f>VLOOKUP(Inventory[[#This Row],[Cnd]],Lookups!$R$8:$U$17,4,FALSE)</f>
        <v>1.0012000000000001</v>
      </c>
      <c r="BH109" s="30">
        <f>VLOOKUP(Inventory[[#This Row],[LivArea Range]],Lookups!$R$25:$U$43,4,FALSE)</f>
        <v>1.0008999999999999</v>
      </c>
      <c r="BI109" s="30">
        <f>VLOOKUP(Inventory[[#This Row],[Decade]],Lookups!$M$24:$P$40,4,FALSE)</f>
        <v>1</v>
      </c>
      <c r="BJ109" s="30">
        <f>Inventory[[#This Row],[Nbhd Adj]]*0.95</f>
        <v>0.94971499999999998</v>
      </c>
      <c r="BK109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09" s="30">
        <f>ROUND((SUM(Inventory[[#This Row],[Mdl Qlty]:[Mdl Garage Area]])+Inventory[[#This Row],[Mdl Res Intercept]])*Inventory[[#This Row],[Res Adj ]],-2)</f>
        <v>379400</v>
      </c>
      <c r="BM109" s="30">
        <f>ROUND(Inventory[[#This Row],[25Det]]*Inventory[[#This Row],[Det/Nbhd Adj]],-2)</f>
        <v>0</v>
      </c>
      <c r="BN109" s="30">
        <f>Inventory[[#This Row],[Adjusted Res]]+Inventory[[#This Row],[Adj Det ]]</f>
        <v>379400</v>
      </c>
      <c r="BO109" s="30">
        <f>ROUND((Inventory[[#This Row],[Mdl Land Intercept]]+Inventory[[#This Row],[Mdl LnAcres]])*Inventory[[#This Row],[Det/Nbhd Adj]],-2)</f>
        <v>61500</v>
      </c>
      <c r="BP109" s="30">
        <f>Inventory[[#This Row],[Adjusted Impr Total]]+Inventory[[#This Row],[Adjusted Land Total]]</f>
        <v>440900</v>
      </c>
      <c r="BQ109" s="30">
        <f>IFERROR((Inventory[[#This Row],[Adjusted Impr Total]]-Inventory[[#This Row],[24Bldg]])/Inventory[[#This Row],[24Bldg]],0)</f>
        <v>-7.8007290400972054E-2</v>
      </c>
      <c r="BR109" s="43">
        <f>(Inventory[[#This Row],[Adjusted Land Total]]-Inventory[[#This Row],[24Lnd]])/Inventory[[#This Row],[24Lnd]]</f>
        <v>-3.2414910858995136E-3</v>
      </c>
      <c r="BS109" s="43">
        <f>(Inventory[[#This Row],[Adjusted Total]]-Inventory[[#This Row],[24Final]])/Inventory[[#This Row],[24Final]]</f>
        <v>-6.8258664412510564E-2</v>
      </c>
    </row>
    <row r="110" spans="1:71">
      <c r="A110" s="30">
        <v>2025</v>
      </c>
      <c r="B110" s="31" t="s">
        <v>619</v>
      </c>
      <c r="C110" s="31">
        <f>LN(Inventory[[#This Row],[Acres]])</f>
        <v>-1.7957674906255938</v>
      </c>
      <c r="D110" s="37">
        <f>ROUND(Inventory[[#This Row],[Sqft]]/43560,3)</f>
        <v>0.16600000000000001</v>
      </c>
      <c r="E110" s="30">
        <v>7245</v>
      </c>
      <c r="F110" s="31" t="s">
        <v>505</v>
      </c>
      <c r="G110" s="31" t="s">
        <v>155</v>
      </c>
      <c r="H110" s="31" t="s">
        <v>5</v>
      </c>
      <c r="I110" s="31" t="s">
        <v>506</v>
      </c>
      <c r="J110" s="31" t="s">
        <v>507</v>
      </c>
      <c r="K110" s="31" t="s">
        <v>157</v>
      </c>
      <c r="L110" s="31" t="s">
        <v>21</v>
      </c>
      <c r="M110" s="31" t="s">
        <v>24</v>
      </c>
      <c r="N110" s="31">
        <v>0</v>
      </c>
      <c r="O110" s="31">
        <f>2024-Inventory[[#This Row],[YrBlt]]</f>
        <v>3</v>
      </c>
      <c r="P110" s="31">
        <f>2024-Inventory[[#This Row],[EffYr]]</f>
        <v>3</v>
      </c>
      <c r="Q110" s="30">
        <v>2021</v>
      </c>
      <c r="R110" s="30">
        <v>2021</v>
      </c>
      <c r="S110" s="30">
        <v>1740</v>
      </c>
      <c r="T110" s="37"/>
      <c r="U110" s="32"/>
      <c r="V110" s="32"/>
      <c r="W110" s="32"/>
      <c r="X110" s="32">
        <f>Inventory[[#This Row],[Bsmt Area]]-Inventory[[#This Row],[FnBsmt]]</f>
        <v>0</v>
      </c>
      <c r="Y110" s="32">
        <f>Inventory[[#This Row],[MainFn]]+Inventory[[#This Row],[UpprFn]]+Inventory[[#This Row],[AddFn]]+Inventory[[#This Row],[FnBsmt]]</f>
        <v>1740</v>
      </c>
      <c r="Z110" s="32">
        <v>2000</v>
      </c>
      <c r="AA110" s="31" t="s">
        <v>56</v>
      </c>
      <c r="AB110" s="32"/>
      <c r="AC110" s="30">
        <v>690</v>
      </c>
      <c r="AD110" s="32"/>
      <c r="AE110" s="32"/>
      <c r="AF110" s="32"/>
      <c r="AG110" s="32"/>
      <c r="AH110" s="32"/>
      <c r="AI110" s="30">
        <v>397509</v>
      </c>
      <c r="AJ110" s="30">
        <v>385584</v>
      </c>
      <c r="AK110" s="30">
        <v>0</v>
      </c>
      <c r="AL110" s="30">
        <v>0</v>
      </c>
      <c r="AM110" s="30">
        <v>61700</v>
      </c>
      <c r="AN110" s="30">
        <v>344900</v>
      </c>
      <c r="AO110" s="30">
        <v>406600</v>
      </c>
      <c r="AP110" s="30">
        <f>Lookups!$B$58*0.6</f>
        <v>132535.48800000001</v>
      </c>
      <c r="AQ110" s="30">
        <f>Lookups!$B$58*0.4</f>
        <v>88356.992000000013</v>
      </c>
      <c r="AR110" s="30">
        <f>Lookups!$B$59*Inventory[[#This Row],[LnAcres]]</f>
        <v>-23568.228988334784</v>
      </c>
      <c r="AS110" s="30">
        <f>VLOOKUP(Inventory[[#This Row],[Qlty]],Lookups!$A$66:$E$79,2,FALSE)</f>
        <v>32917.849192000001</v>
      </c>
      <c r="AT110" s="30">
        <f>VLOOKUP(Inventory[[#This Row],[Cnd]],Lookups!$A$80:$E$88,2,FALSE)</f>
        <v>47371.278778200001</v>
      </c>
      <c r="AU110" s="30">
        <f>Inventory[[#This Row],[EffAge]]*Lookups!$B$65</f>
        <v>-326.22329999999999</v>
      </c>
      <c r="AV110" s="30">
        <f>Inventory[[#This Row],[MainFn]]*Lookups!$B$90</f>
        <v>108594.06120000001</v>
      </c>
      <c r="AW110" s="30">
        <f>Inventory[[#This Row],[UpprFn]]*Lookups!$B$91</f>
        <v>0</v>
      </c>
      <c r="AX110" s="30">
        <f>Inventory[[#This Row],[Bsmt Area]]*Lookups!$B$95</f>
        <v>0</v>
      </c>
      <c r="AY110" s="30">
        <f>Inventory[[#This Row],[AttGar]]*Lookups!$B$93</f>
        <v>24357.71139</v>
      </c>
      <c r="AZ110" s="30">
        <f>ROUND(Inventory[[#This Row],[25Det]],-2)</f>
        <v>0</v>
      </c>
      <c r="BA110" s="30">
        <f>ROUND(SUM(Inventory[[#This Row],[Mdl Qlty]:[Mdl Garage Area]])+Inventory[[#This Row],[Mdl Res Intercept]],-2)</f>
        <v>345500</v>
      </c>
      <c r="BB110" s="30">
        <f>ROUND(Inventory[[#This Row],[Mdl Land Intercept]]+Inventory[[#This Row],[Mdl LnAcres]],-2)</f>
        <v>64800</v>
      </c>
      <c r="BC110" s="30">
        <f>Inventory[[#This Row],[Unadj Res Value]]+Inventory[[#This Row],[Unadj Det Value]]+Inventory[[#This Row],[Unadj Land Value]]</f>
        <v>410300</v>
      </c>
      <c r="BD110" s="30">
        <f>(Inventory[[#This Row],[Unadj Total Value]]-Inventory[[#This Row],[24Final]])/Inventory[[#This Row],[24Final]]</f>
        <v>9.0998524348253809E-3</v>
      </c>
      <c r="BE110" s="30">
        <f>VLOOKUP(Inventory[[#This Row],[Nbhd]],Lookups!$M$3:$P$5,4,FALSE)</f>
        <v>0.99970000000000003</v>
      </c>
      <c r="BF110" s="30">
        <f>VLOOKUP(Inventory[[#This Row],[Qlty]],Lookups!$M$8:$P$22,4,FALSE)</f>
        <v>1.0019</v>
      </c>
      <c r="BG110" s="30">
        <f>VLOOKUP(Inventory[[#This Row],[Cnd]],Lookups!$R$8:$U$17,4,FALSE)</f>
        <v>1.0012000000000001</v>
      </c>
      <c r="BH110" s="30">
        <f>VLOOKUP(Inventory[[#This Row],[LivArea Range]],Lookups!$R$25:$U$43,4,FALSE)</f>
        <v>1.0007999999999999</v>
      </c>
      <c r="BI110" s="30">
        <f>VLOOKUP(Inventory[[#This Row],[Decade]],Lookups!$M$24:$P$40,4,FALSE)</f>
        <v>1</v>
      </c>
      <c r="BJ110" s="30">
        <f>Inventory[[#This Row],[Nbhd Adj]]*0.95</f>
        <v>0.94971499999999998</v>
      </c>
      <c r="BK110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110" s="30">
        <f>ROUND((SUM(Inventory[[#This Row],[Mdl Qlty]:[Mdl Garage Area]])+Inventory[[#This Row],[Mdl Res Intercept]])*Inventory[[#This Row],[Res Adj ]],-2)</f>
        <v>328400</v>
      </c>
      <c r="BM110" s="30">
        <f>ROUND(Inventory[[#This Row],[25Det]]*Inventory[[#This Row],[Det/Nbhd Adj]],-2)</f>
        <v>0</v>
      </c>
      <c r="BN110" s="30">
        <f>Inventory[[#This Row],[Adjusted Res]]+Inventory[[#This Row],[Adj Det ]]</f>
        <v>328400</v>
      </c>
      <c r="BO110" s="30">
        <f>ROUND((Inventory[[#This Row],[Mdl Land Intercept]]+Inventory[[#This Row],[Mdl LnAcres]])*Inventory[[#This Row],[Det/Nbhd Adj]],-2)</f>
        <v>61500</v>
      </c>
      <c r="BP110" s="30">
        <f>Inventory[[#This Row],[Adjusted Impr Total]]+Inventory[[#This Row],[Adjusted Land Total]]</f>
        <v>389900</v>
      </c>
      <c r="BQ110" s="30">
        <f>IFERROR((Inventory[[#This Row],[Adjusted Impr Total]]-Inventory[[#This Row],[24Bldg]])/Inventory[[#This Row],[24Bldg]],0)</f>
        <v>-4.7839953609741956E-2</v>
      </c>
      <c r="BR110" s="43">
        <f>(Inventory[[#This Row],[Adjusted Land Total]]-Inventory[[#This Row],[24Lnd]])/Inventory[[#This Row],[24Lnd]]</f>
        <v>-3.2414910858995136E-3</v>
      </c>
      <c r="BS110" s="43">
        <f>(Inventory[[#This Row],[Adjusted Total]]-Inventory[[#This Row],[24Final]])/Inventory[[#This Row],[24Final]]</f>
        <v>-4.1072306935563206E-2</v>
      </c>
    </row>
    <row r="111" spans="1:71">
      <c r="A111" s="30">
        <v>2025</v>
      </c>
      <c r="B111" s="31" t="s">
        <v>620</v>
      </c>
      <c r="C111" s="31">
        <f>LN(Inventory[[#This Row],[Acres]])</f>
        <v>-1.7957674906255938</v>
      </c>
      <c r="D111" s="37">
        <f>ROUND(Inventory[[#This Row],[Sqft]]/43560,3)</f>
        <v>0.16600000000000001</v>
      </c>
      <c r="E111" s="30">
        <v>7245</v>
      </c>
      <c r="F111" s="31" t="s">
        <v>505</v>
      </c>
      <c r="G111" s="31" t="s">
        <v>155</v>
      </c>
      <c r="H111" s="31" t="s">
        <v>5</v>
      </c>
      <c r="I111" s="31" t="s">
        <v>506</v>
      </c>
      <c r="J111" s="31" t="s">
        <v>507</v>
      </c>
      <c r="K111" s="31" t="s">
        <v>157</v>
      </c>
      <c r="L111" s="31" t="s">
        <v>21</v>
      </c>
      <c r="M111" s="31" t="s">
        <v>24</v>
      </c>
      <c r="N111" s="31">
        <v>0</v>
      </c>
      <c r="O111" s="31">
        <f>2024-Inventory[[#This Row],[YrBlt]]</f>
        <v>3</v>
      </c>
      <c r="P111" s="31">
        <f>2024-Inventory[[#This Row],[EffYr]]</f>
        <v>3</v>
      </c>
      <c r="Q111" s="30">
        <v>2021</v>
      </c>
      <c r="R111" s="30">
        <v>2021</v>
      </c>
      <c r="S111" s="30">
        <v>1111</v>
      </c>
      <c r="T111" s="30">
        <v>1126</v>
      </c>
      <c r="U111" s="37"/>
      <c r="V111" s="32"/>
      <c r="W111" s="32"/>
      <c r="X111" s="32">
        <f>Inventory[[#This Row],[Bsmt Area]]-Inventory[[#This Row],[FnBsmt]]</f>
        <v>0</v>
      </c>
      <c r="Y111" s="32">
        <f>Inventory[[#This Row],[MainFn]]+Inventory[[#This Row],[UpprFn]]+Inventory[[#This Row],[AddFn]]+Inventory[[#This Row],[FnBsmt]]</f>
        <v>2237</v>
      </c>
      <c r="Z111" s="32">
        <v>2500</v>
      </c>
      <c r="AA111" s="31" t="s">
        <v>56</v>
      </c>
      <c r="AB111" s="37"/>
      <c r="AC111" s="38">
        <v>455</v>
      </c>
      <c r="AD111" s="32"/>
      <c r="AE111" s="32"/>
      <c r="AF111" s="32"/>
      <c r="AG111" s="32"/>
      <c r="AH111" s="32"/>
      <c r="AI111" s="30">
        <v>446980</v>
      </c>
      <c r="AJ111" s="30">
        <v>433571</v>
      </c>
      <c r="AK111" s="30">
        <v>0</v>
      </c>
      <c r="AL111" s="30">
        <v>0</v>
      </c>
      <c r="AM111" s="30">
        <v>61700</v>
      </c>
      <c r="AN111" s="30">
        <v>363000</v>
      </c>
      <c r="AO111" s="30">
        <v>424700</v>
      </c>
      <c r="AP111" s="30">
        <f>Lookups!$B$58*0.6</f>
        <v>132535.48800000001</v>
      </c>
      <c r="AQ111" s="30">
        <f>Lookups!$B$58*0.4</f>
        <v>88356.992000000013</v>
      </c>
      <c r="AR111" s="30">
        <f>Lookups!$B$59*Inventory[[#This Row],[LnAcres]]</f>
        <v>-23568.228988334784</v>
      </c>
      <c r="AS111" s="30">
        <f>VLOOKUP(Inventory[[#This Row],[Qlty]],Lookups!$A$66:$E$79,2,FALSE)</f>
        <v>32917.849192000001</v>
      </c>
      <c r="AT111" s="30">
        <f>VLOOKUP(Inventory[[#This Row],[Cnd]],Lookups!$A$80:$E$88,2,FALSE)</f>
        <v>47371.278778200001</v>
      </c>
      <c r="AU111" s="30">
        <f>Inventory[[#This Row],[EffAge]]*Lookups!$B$65</f>
        <v>-326.22329999999999</v>
      </c>
      <c r="AV111" s="30">
        <f>Inventory[[#This Row],[MainFn]]*Lookups!$B$90</f>
        <v>69337.932180000003</v>
      </c>
      <c r="AW111" s="30">
        <f>Inventory[[#This Row],[UpprFn]]*Lookups!$B$91</f>
        <v>67087.511257999999</v>
      </c>
      <c r="AX111" s="30">
        <f>Inventory[[#This Row],[Bsmt Area]]*Lookups!$B$95</f>
        <v>0</v>
      </c>
      <c r="AY111" s="30">
        <f>Inventory[[#This Row],[AttGar]]*Lookups!$B$93</f>
        <v>16061.969105</v>
      </c>
      <c r="AZ111" s="30">
        <f>ROUND(Inventory[[#This Row],[25Det]],-2)</f>
        <v>0</v>
      </c>
      <c r="BA111" s="30">
        <f>ROUND(SUM(Inventory[[#This Row],[Mdl Qlty]:[Mdl Garage Area]])+Inventory[[#This Row],[Mdl Res Intercept]],-2)</f>
        <v>365000</v>
      </c>
      <c r="BB111" s="30">
        <f>ROUND(Inventory[[#This Row],[Mdl Land Intercept]]+Inventory[[#This Row],[Mdl LnAcres]],-2)</f>
        <v>64800</v>
      </c>
      <c r="BC111" s="30">
        <f>Inventory[[#This Row],[Unadj Res Value]]+Inventory[[#This Row],[Unadj Det Value]]+Inventory[[#This Row],[Unadj Land Value]]</f>
        <v>429800</v>
      </c>
      <c r="BD111" s="30">
        <f>(Inventory[[#This Row],[Unadj Total Value]]-Inventory[[#This Row],[24Final]])/Inventory[[#This Row],[24Final]]</f>
        <v>1.2008476571697669E-2</v>
      </c>
      <c r="BE111" s="30">
        <f>VLOOKUP(Inventory[[#This Row],[Nbhd]],Lookups!$M$3:$P$5,4,FALSE)</f>
        <v>0.99970000000000003</v>
      </c>
      <c r="BF111" s="30">
        <f>VLOOKUP(Inventory[[#This Row],[Qlty]],Lookups!$M$8:$P$22,4,FALSE)</f>
        <v>1.0019</v>
      </c>
      <c r="BG111" s="30">
        <f>VLOOKUP(Inventory[[#This Row],[Cnd]],Lookups!$R$8:$U$17,4,FALSE)</f>
        <v>1.0012000000000001</v>
      </c>
      <c r="BH111" s="30">
        <f>VLOOKUP(Inventory[[#This Row],[LivArea Range]],Lookups!$R$25:$U$43,4,FALSE)</f>
        <v>1.0008999999999999</v>
      </c>
      <c r="BI111" s="30">
        <f>VLOOKUP(Inventory[[#This Row],[Decade]],Lookups!$M$24:$P$40,4,FALSE)</f>
        <v>1</v>
      </c>
      <c r="BJ111" s="30">
        <f>Inventory[[#This Row],[Nbhd Adj]]*0.95</f>
        <v>0.94971499999999998</v>
      </c>
      <c r="BK111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11" s="30">
        <f>ROUND((SUM(Inventory[[#This Row],[Mdl Qlty]:[Mdl Garage Area]])+Inventory[[#This Row],[Mdl Res Intercept]])*Inventory[[#This Row],[Res Adj ]],-2)</f>
        <v>347000</v>
      </c>
      <c r="BM111" s="30">
        <f>ROUND(Inventory[[#This Row],[25Det]]*Inventory[[#This Row],[Det/Nbhd Adj]],-2)</f>
        <v>0</v>
      </c>
      <c r="BN111" s="30">
        <f>Inventory[[#This Row],[Adjusted Res]]+Inventory[[#This Row],[Adj Det ]]</f>
        <v>347000</v>
      </c>
      <c r="BO111" s="30">
        <f>ROUND((Inventory[[#This Row],[Mdl Land Intercept]]+Inventory[[#This Row],[Mdl LnAcres]])*Inventory[[#This Row],[Det/Nbhd Adj]],-2)</f>
        <v>61500</v>
      </c>
      <c r="BP111" s="30">
        <f>Inventory[[#This Row],[Adjusted Impr Total]]+Inventory[[#This Row],[Adjusted Land Total]]</f>
        <v>408500</v>
      </c>
      <c r="BQ111" s="30">
        <f>IFERROR((Inventory[[#This Row],[Adjusted Impr Total]]-Inventory[[#This Row],[24Bldg]])/Inventory[[#This Row],[24Bldg]],0)</f>
        <v>-4.4077134986225897E-2</v>
      </c>
      <c r="BR111" s="43">
        <f>(Inventory[[#This Row],[Adjusted Land Total]]-Inventory[[#This Row],[24Lnd]])/Inventory[[#This Row],[24Lnd]]</f>
        <v>-3.2414910858995136E-3</v>
      </c>
      <c r="BS111" s="43">
        <f>(Inventory[[#This Row],[Adjusted Total]]-Inventory[[#This Row],[24Final]])/Inventory[[#This Row],[24Final]]</f>
        <v>-3.8144572639510245E-2</v>
      </c>
    </row>
    <row r="112" spans="1:71">
      <c r="A112" s="30">
        <v>2025</v>
      </c>
      <c r="B112" s="31" t="s">
        <v>621</v>
      </c>
      <c r="C112" s="31">
        <f>LN(Inventory[[#This Row],[Acres]])</f>
        <v>-1.7957674906255938</v>
      </c>
      <c r="D112" s="37">
        <f>ROUND(Inventory[[#This Row],[Sqft]]/43560,3)</f>
        <v>0.16600000000000001</v>
      </c>
      <c r="E112" s="30">
        <v>7245</v>
      </c>
      <c r="F112" s="31" t="s">
        <v>505</v>
      </c>
      <c r="G112" s="31" t="s">
        <v>155</v>
      </c>
      <c r="H112" s="31" t="s">
        <v>5</v>
      </c>
      <c r="I112" s="31" t="s">
        <v>506</v>
      </c>
      <c r="J112" s="31" t="s">
        <v>507</v>
      </c>
      <c r="K112" s="31" t="s">
        <v>157</v>
      </c>
      <c r="L112" s="31" t="s">
        <v>21</v>
      </c>
      <c r="M112" s="31" t="s">
        <v>24</v>
      </c>
      <c r="N112" s="31">
        <v>0</v>
      </c>
      <c r="O112" s="31">
        <f>2024-Inventory[[#This Row],[YrBlt]]</f>
        <v>3</v>
      </c>
      <c r="P112" s="31">
        <f>2024-Inventory[[#This Row],[EffYr]]</f>
        <v>3</v>
      </c>
      <c r="Q112" s="30">
        <v>2021</v>
      </c>
      <c r="R112" s="30">
        <v>2021</v>
      </c>
      <c r="S112" s="30">
        <v>1740</v>
      </c>
      <c r="T112" s="32"/>
      <c r="U112" s="37"/>
      <c r="V112" s="32"/>
      <c r="W112" s="32"/>
      <c r="X112" s="32">
        <f>Inventory[[#This Row],[Bsmt Area]]-Inventory[[#This Row],[FnBsmt]]</f>
        <v>0</v>
      </c>
      <c r="Y112" s="32">
        <f>Inventory[[#This Row],[MainFn]]+Inventory[[#This Row],[UpprFn]]+Inventory[[#This Row],[AddFn]]+Inventory[[#This Row],[FnBsmt]]</f>
        <v>1740</v>
      </c>
      <c r="Z112" s="32">
        <v>2000</v>
      </c>
      <c r="AA112" s="31" t="s">
        <v>56</v>
      </c>
      <c r="AB112" s="32"/>
      <c r="AC112" s="38">
        <v>450</v>
      </c>
      <c r="AD112" s="32"/>
      <c r="AE112" s="32"/>
      <c r="AF112" s="32"/>
      <c r="AG112" s="32"/>
      <c r="AH112" s="32"/>
      <c r="AI112" s="30">
        <v>382064</v>
      </c>
      <c r="AJ112" s="30">
        <v>370602</v>
      </c>
      <c r="AK112" s="30">
        <v>0</v>
      </c>
      <c r="AL112" s="30">
        <v>0</v>
      </c>
      <c r="AM112" s="30">
        <v>61700</v>
      </c>
      <c r="AN112" s="30">
        <v>334500</v>
      </c>
      <c r="AO112" s="30">
        <v>396200</v>
      </c>
      <c r="AP112" s="30">
        <f>Lookups!$B$58*0.6</f>
        <v>132535.48800000001</v>
      </c>
      <c r="AQ112" s="30">
        <f>Lookups!$B$58*0.4</f>
        <v>88356.992000000013</v>
      </c>
      <c r="AR112" s="30">
        <f>Lookups!$B$59*Inventory[[#This Row],[LnAcres]]</f>
        <v>-23568.228988334784</v>
      </c>
      <c r="AS112" s="30">
        <f>VLOOKUP(Inventory[[#This Row],[Qlty]],Lookups!$A$66:$E$79,2,FALSE)</f>
        <v>32917.849192000001</v>
      </c>
      <c r="AT112" s="30">
        <f>VLOOKUP(Inventory[[#This Row],[Cnd]],Lookups!$A$80:$E$88,2,FALSE)</f>
        <v>47371.278778200001</v>
      </c>
      <c r="AU112" s="30">
        <f>Inventory[[#This Row],[EffAge]]*Lookups!$B$65</f>
        <v>-326.22329999999999</v>
      </c>
      <c r="AV112" s="30">
        <f>Inventory[[#This Row],[MainFn]]*Lookups!$B$90</f>
        <v>108594.06120000001</v>
      </c>
      <c r="AW112" s="30">
        <f>Inventory[[#This Row],[UpprFn]]*Lookups!$B$91</f>
        <v>0</v>
      </c>
      <c r="AX112" s="30">
        <f>Inventory[[#This Row],[Bsmt Area]]*Lookups!$B$95</f>
        <v>0</v>
      </c>
      <c r="AY112" s="30">
        <f>Inventory[[#This Row],[AttGar]]*Lookups!$B$93</f>
        <v>15885.463950000001</v>
      </c>
      <c r="AZ112" s="30">
        <f>ROUND(Inventory[[#This Row],[25Det]],-2)</f>
        <v>0</v>
      </c>
      <c r="BA112" s="30">
        <f>ROUND(SUM(Inventory[[#This Row],[Mdl Qlty]:[Mdl Garage Area]])+Inventory[[#This Row],[Mdl Res Intercept]],-2)</f>
        <v>337000</v>
      </c>
      <c r="BB112" s="30">
        <f>ROUND(Inventory[[#This Row],[Mdl Land Intercept]]+Inventory[[#This Row],[Mdl LnAcres]],-2)</f>
        <v>64800</v>
      </c>
      <c r="BC112" s="30">
        <f>Inventory[[#This Row],[Unadj Res Value]]+Inventory[[#This Row],[Unadj Det Value]]+Inventory[[#This Row],[Unadj Land Value]]</f>
        <v>401800</v>
      </c>
      <c r="BD112" s="30">
        <f>(Inventory[[#This Row],[Unadj Total Value]]-Inventory[[#This Row],[24Final]])/Inventory[[#This Row],[24Final]]</f>
        <v>1.4134275618374558E-2</v>
      </c>
      <c r="BE112" s="30">
        <f>VLOOKUP(Inventory[[#This Row],[Nbhd]],Lookups!$M$3:$P$5,4,FALSE)</f>
        <v>0.99970000000000003</v>
      </c>
      <c r="BF112" s="30">
        <f>VLOOKUP(Inventory[[#This Row],[Qlty]],Lookups!$M$8:$P$22,4,FALSE)</f>
        <v>1.0019</v>
      </c>
      <c r="BG112" s="30">
        <f>VLOOKUP(Inventory[[#This Row],[Cnd]],Lookups!$R$8:$U$17,4,FALSE)</f>
        <v>1.0012000000000001</v>
      </c>
      <c r="BH112" s="30">
        <f>VLOOKUP(Inventory[[#This Row],[LivArea Range]],Lookups!$R$25:$U$43,4,FALSE)</f>
        <v>1.0007999999999999</v>
      </c>
      <c r="BI112" s="30">
        <f>VLOOKUP(Inventory[[#This Row],[Decade]],Lookups!$M$24:$P$40,4,FALSE)</f>
        <v>1</v>
      </c>
      <c r="BJ112" s="30">
        <f>Inventory[[#This Row],[Nbhd Adj]]*0.95</f>
        <v>0.94971499999999998</v>
      </c>
      <c r="BK112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112" s="30">
        <f>ROUND((SUM(Inventory[[#This Row],[Mdl Qlty]:[Mdl Garage Area]])+Inventory[[#This Row],[Mdl Res Intercept]])*Inventory[[#This Row],[Res Adj ]],-2)</f>
        <v>320400</v>
      </c>
      <c r="BM112" s="30">
        <f>ROUND(Inventory[[#This Row],[25Det]]*Inventory[[#This Row],[Det/Nbhd Adj]],-2)</f>
        <v>0</v>
      </c>
      <c r="BN112" s="30">
        <f>Inventory[[#This Row],[Adjusted Res]]+Inventory[[#This Row],[Adj Det ]]</f>
        <v>320400</v>
      </c>
      <c r="BO112" s="30">
        <f>ROUND((Inventory[[#This Row],[Mdl Land Intercept]]+Inventory[[#This Row],[Mdl LnAcres]])*Inventory[[#This Row],[Det/Nbhd Adj]],-2)</f>
        <v>61500</v>
      </c>
      <c r="BP112" s="30">
        <f>Inventory[[#This Row],[Adjusted Impr Total]]+Inventory[[#This Row],[Adjusted Land Total]]</f>
        <v>381900</v>
      </c>
      <c r="BQ112" s="30">
        <f>IFERROR((Inventory[[#This Row],[Adjusted Impr Total]]-Inventory[[#This Row],[24Bldg]])/Inventory[[#This Row],[24Bldg]],0)</f>
        <v>-4.2152466367713005E-2</v>
      </c>
      <c r="BR112" s="43">
        <f>(Inventory[[#This Row],[Adjusted Land Total]]-Inventory[[#This Row],[24Lnd]])/Inventory[[#This Row],[24Lnd]]</f>
        <v>-3.2414910858995136E-3</v>
      </c>
      <c r="BS112" s="43">
        <f>(Inventory[[#This Row],[Adjusted Total]]-Inventory[[#This Row],[24Final]])/Inventory[[#This Row],[24Final]]</f>
        <v>-3.6092882382635035E-2</v>
      </c>
    </row>
    <row r="113" spans="1:71">
      <c r="A113" s="30">
        <v>2025</v>
      </c>
      <c r="B113" s="31" t="s">
        <v>622</v>
      </c>
      <c r="C113" s="31">
        <f>LN(Inventory[[#This Row],[Acres]])</f>
        <v>-1.7957674906255938</v>
      </c>
      <c r="D113" s="37">
        <f>ROUND(Inventory[[#This Row],[Sqft]]/43560,3)</f>
        <v>0.16600000000000001</v>
      </c>
      <c r="E113" s="30">
        <v>7245</v>
      </c>
      <c r="F113" s="31" t="s">
        <v>505</v>
      </c>
      <c r="G113" s="31" t="s">
        <v>155</v>
      </c>
      <c r="H113" s="31" t="s">
        <v>5</v>
      </c>
      <c r="I113" s="31" t="s">
        <v>506</v>
      </c>
      <c r="J113" s="31" t="s">
        <v>507</v>
      </c>
      <c r="K113" s="31" t="s">
        <v>157</v>
      </c>
      <c r="L113" s="31" t="s">
        <v>21</v>
      </c>
      <c r="M113" s="31" t="s">
        <v>24</v>
      </c>
      <c r="N113" s="31">
        <v>0</v>
      </c>
      <c r="O113" s="31">
        <f>2024-Inventory[[#This Row],[YrBlt]]</f>
        <v>3</v>
      </c>
      <c r="P113" s="31">
        <f>2024-Inventory[[#This Row],[EffYr]]</f>
        <v>3</v>
      </c>
      <c r="Q113" s="30">
        <v>2021</v>
      </c>
      <c r="R113" s="30">
        <v>2021</v>
      </c>
      <c r="S113" s="30">
        <v>1856</v>
      </c>
      <c r="T113" s="37"/>
      <c r="U113" s="32"/>
      <c r="V113" s="32"/>
      <c r="W113" s="32"/>
      <c r="X113" s="32">
        <f>Inventory[[#This Row],[Bsmt Area]]-Inventory[[#This Row],[FnBsmt]]</f>
        <v>0</v>
      </c>
      <c r="Y113" s="32">
        <f>Inventory[[#This Row],[MainFn]]+Inventory[[#This Row],[UpprFn]]+Inventory[[#This Row],[AddFn]]+Inventory[[#This Row],[FnBsmt]]</f>
        <v>1856</v>
      </c>
      <c r="Z113" s="32">
        <v>2000</v>
      </c>
      <c r="AA113" s="31" t="s">
        <v>56</v>
      </c>
      <c r="AB113" s="32"/>
      <c r="AC113" s="38">
        <v>664</v>
      </c>
      <c r="AD113" s="32"/>
      <c r="AE113" s="32"/>
      <c r="AF113" s="32"/>
      <c r="AG113" s="32"/>
      <c r="AH113" s="32"/>
      <c r="AI113" s="30">
        <v>414491</v>
      </c>
      <c r="AJ113" s="30">
        <v>402056</v>
      </c>
      <c r="AK113" s="30">
        <v>0</v>
      </c>
      <c r="AL113" s="30">
        <v>0</v>
      </c>
      <c r="AM113" s="30">
        <v>61700</v>
      </c>
      <c r="AN113" s="30">
        <v>348500</v>
      </c>
      <c r="AO113" s="30">
        <v>410200</v>
      </c>
      <c r="AP113" s="30">
        <f>Lookups!$B$58*0.6</f>
        <v>132535.48800000001</v>
      </c>
      <c r="AQ113" s="30">
        <f>Lookups!$B$58*0.4</f>
        <v>88356.992000000013</v>
      </c>
      <c r="AR113" s="30">
        <f>Lookups!$B$59*Inventory[[#This Row],[LnAcres]]</f>
        <v>-23568.228988334784</v>
      </c>
      <c r="AS113" s="30">
        <f>VLOOKUP(Inventory[[#This Row],[Qlty]],Lookups!$A$66:$E$79,2,FALSE)</f>
        <v>32917.849192000001</v>
      </c>
      <c r="AT113" s="30">
        <f>VLOOKUP(Inventory[[#This Row],[Cnd]],Lookups!$A$80:$E$88,2,FALSE)</f>
        <v>47371.278778200001</v>
      </c>
      <c r="AU113" s="30">
        <f>Inventory[[#This Row],[EffAge]]*Lookups!$B$65</f>
        <v>-326.22329999999999</v>
      </c>
      <c r="AV113" s="30">
        <f>Inventory[[#This Row],[MainFn]]*Lookups!$B$90</f>
        <v>115833.66528</v>
      </c>
      <c r="AW113" s="30">
        <f>Inventory[[#This Row],[UpprFn]]*Lookups!$B$91</f>
        <v>0</v>
      </c>
      <c r="AX113" s="30">
        <f>Inventory[[#This Row],[Bsmt Area]]*Lookups!$B$95</f>
        <v>0</v>
      </c>
      <c r="AY113" s="30">
        <f>Inventory[[#This Row],[AttGar]]*Lookups!$B$93</f>
        <v>23439.884583999999</v>
      </c>
      <c r="AZ113" s="30">
        <f>ROUND(Inventory[[#This Row],[25Det]],-2)</f>
        <v>0</v>
      </c>
      <c r="BA113" s="30">
        <f>ROUND(SUM(Inventory[[#This Row],[Mdl Qlty]:[Mdl Garage Area]])+Inventory[[#This Row],[Mdl Res Intercept]],-2)</f>
        <v>351800</v>
      </c>
      <c r="BB113" s="30">
        <f>ROUND(Inventory[[#This Row],[Mdl Land Intercept]]+Inventory[[#This Row],[Mdl LnAcres]],-2)</f>
        <v>64800</v>
      </c>
      <c r="BC113" s="30">
        <f>Inventory[[#This Row],[Unadj Res Value]]+Inventory[[#This Row],[Unadj Det Value]]+Inventory[[#This Row],[Unadj Land Value]]</f>
        <v>416600</v>
      </c>
      <c r="BD113" s="30">
        <f>(Inventory[[#This Row],[Unadj Total Value]]-Inventory[[#This Row],[24Final]])/Inventory[[#This Row],[24Final]]</f>
        <v>1.5602145294978059E-2</v>
      </c>
      <c r="BE113" s="30">
        <f>VLOOKUP(Inventory[[#This Row],[Nbhd]],Lookups!$M$3:$P$5,4,FALSE)</f>
        <v>0.99970000000000003</v>
      </c>
      <c r="BF113" s="30">
        <f>VLOOKUP(Inventory[[#This Row],[Qlty]],Lookups!$M$8:$P$22,4,FALSE)</f>
        <v>1.0019</v>
      </c>
      <c r="BG113" s="30">
        <f>VLOOKUP(Inventory[[#This Row],[Cnd]],Lookups!$R$8:$U$17,4,FALSE)</f>
        <v>1.0012000000000001</v>
      </c>
      <c r="BH113" s="30">
        <f>VLOOKUP(Inventory[[#This Row],[LivArea Range]],Lookups!$R$25:$U$43,4,FALSE)</f>
        <v>1.0007999999999999</v>
      </c>
      <c r="BI113" s="30">
        <f>VLOOKUP(Inventory[[#This Row],[Decade]],Lookups!$M$24:$P$40,4,FALSE)</f>
        <v>1</v>
      </c>
      <c r="BJ113" s="30">
        <f>Inventory[[#This Row],[Nbhd Adj]]*0.95</f>
        <v>0.94971499999999998</v>
      </c>
      <c r="BK113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113" s="30">
        <f>ROUND((SUM(Inventory[[#This Row],[Mdl Qlty]:[Mdl Garage Area]])+Inventory[[#This Row],[Mdl Res Intercept]])*Inventory[[#This Row],[Res Adj ]],-2)</f>
        <v>334400</v>
      </c>
      <c r="BM113" s="30">
        <f>ROUND(Inventory[[#This Row],[25Det]]*Inventory[[#This Row],[Det/Nbhd Adj]],-2)</f>
        <v>0</v>
      </c>
      <c r="BN113" s="30">
        <f>Inventory[[#This Row],[Adjusted Res]]+Inventory[[#This Row],[Adj Det ]]</f>
        <v>334400</v>
      </c>
      <c r="BO113" s="30">
        <f>ROUND((Inventory[[#This Row],[Mdl Land Intercept]]+Inventory[[#This Row],[Mdl LnAcres]])*Inventory[[#This Row],[Det/Nbhd Adj]],-2)</f>
        <v>61500</v>
      </c>
      <c r="BP113" s="30">
        <f>Inventory[[#This Row],[Adjusted Impr Total]]+Inventory[[#This Row],[Adjusted Land Total]]</f>
        <v>395900</v>
      </c>
      <c r="BQ113" s="30">
        <f>IFERROR((Inventory[[#This Row],[Adjusted Impr Total]]-Inventory[[#This Row],[24Bldg]])/Inventory[[#This Row],[24Bldg]],0)</f>
        <v>-4.0459110473457675E-2</v>
      </c>
      <c r="BR113" s="43">
        <f>(Inventory[[#This Row],[Adjusted Land Total]]-Inventory[[#This Row],[24Lnd]])/Inventory[[#This Row],[24Lnd]]</f>
        <v>-3.2414910858995136E-3</v>
      </c>
      <c r="BS113" s="43">
        <f>(Inventory[[#This Row],[Adjusted Total]]-Inventory[[#This Row],[24Final]])/Inventory[[#This Row],[24Final]]</f>
        <v>-3.4861043393466601E-2</v>
      </c>
    </row>
    <row r="114" spans="1:71">
      <c r="A114" s="30">
        <v>2025</v>
      </c>
      <c r="B114" s="31" t="s">
        <v>623</v>
      </c>
      <c r="C114" s="31">
        <f>LN(Inventory[[#This Row],[Acres]])</f>
        <v>-1.7957674906255938</v>
      </c>
      <c r="D114" s="37">
        <f>ROUND(Inventory[[#This Row],[Sqft]]/43560,3)</f>
        <v>0.16600000000000001</v>
      </c>
      <c r="E114" s="30">
        <v>7245</v>
      </c>
      <c r="F114" s="31" t="s">
        <v>505</v>
      </c>
      <c r="G114" s="31" t="s">
        <v>155</v>
      </c>
      <c r="H114" s="31" t="s">
        <v>5</v>
      </c>
      <c r="I114" s="31" t="s">
        <v>506</v>
      </c>
      <c r="J114" s="31" t="s">
        <v>507</v>
      </c>
      <c r="K114" s="31" t="s">
        <v>157</v>
      </c>
      <c r="L114" s="31" t="s">
        <v>21</v>
      </c>
      <c r="M114" s="31" t="s">
        <v>24</v>
      </c>
      <c r="N114" s="31">
        <v>0</v>
      </c>
      <c r="O114" s="31">
        <f>2024-Inventory[[#This Row],[YrBlt]]</f>
        <v>3</v>
      </c>
      <c r="P114" s="31">
        <f>2024-Inventory[[#This Row],[EffYr]]</f>
        <v>3</v>
      </c>
      <c r="Q114" s="30">
        <v>2021</v>
      </c>
      <c r="R114" s="30">
        <v>2021</v>
      </c>
      <c r="S114" s="30">
        <v>1740</v>
      </c>
      <c r="T114" s="37"/>
      <c r="U114" s="37"/>
      <c r="V114" s="32"/>
      <c r="W114" s="32"/>
      <c r="X114" s="32">
        <f>Inventory[[#This Row],[Bsmt Area]]-Inventory[[#This Row],[FnBsmt]]</f>
        <v>0</v>
      </c>
      <c r="Y114" s="32">
        <f>Inventory[[#This Row],[MainFn]]+Inventory[[#This Row],[UpprFn]]+Inventory[[#This Row],[AddFn]]+Inventory[[#This Row],[FnBsmt]]</f>
        <v>1740</v>
      </c>
      <c r="Z114" s="32">
        <v>2000</v>
      </c>
      <c r="AA114" s="31" t="s">
        <v>56</v>
      </c>
      <c r="AB114" s="32"/>
      <c r="AC114" s="38">
        <v>450</v>
      </c>
      <c r="AD114" s="32"/>
      <c r="AE114" s="32"/>
      <c r="AF114" s="32"/>
      <c r="AG114" s="32"/>
      <c r="AH114" s="32"/>
      <c r="AI114" s="30">
        <v>380632</v>
      </c>
      <c r="AJ114" s="30">
        <v>369213</v>
      </c>
      <c r="AK114" s="30">
        <v>0</v>
      </c>
      <c r="AL114" s="30">
        <v>0</v>
      </c>
      <c r="AM114" s="30">
        <v>61700</v>
      </c>
      <c r="AN114" s="30">
        <v>332700</v>
      </c>
      <c r="AO114" s="30">
        <v>394400</v>
      </c>
      <c r="AP114" s="30">
        <f>Lookups!$B$58*0.6</f>
        <v>132535.48800000001</v>
      </c>
      <c r="AQ114" s="30">
        <f>Lookups!$B$58*0.4</f>
        <v>88356.992000000013</v>
      </c>
      <c r="AR114" s="30">
        <f>Lookups!$B$59*Inventory[[#This Row],[LnAcres]]</f>
        <v>-23568.228988334784</v>
      </c>
      <c r="AS114" s="30">
        <f>VLOOKUP(Inventory[[#This Row],[Qlty]],Lookups!$A$66:$E$79,2,FALSE)</f>
        <v>32917.849192000001</v>
      </c>
      <c r="AT114" s="30">
        <f>VLOOKUP(Inventory[[#This Row],[Cnd]],Lookups!$A$80:$E$88,2,FALSE)</f>
        <v>47371.278778200001</v>
      </c>
      <c r="AU114" s="30">
        <f>Inventory[[#This Row],[EffAge]]*Lookups!$B$65</f>
        <v>-326.22329999999999</v>
      </c>
      <c r="AV114" s="30">
        <f>Inventory[[#This Row],[MainFn]]*Lookups!$B$90</f>
        <v>108594.06120000001</v>
      </c>
      <c r="AW114" s="30">
        <f>Inventory[[#This Row],[UpprFn]]*Lookups!$B$91</f>
        <v>0</v>
      </c>
      <c r="AX114" s="30">
        <f>Inventory[[#This Row],[Bsmt Area]]*Lookups!$B$95</f>
        <v>0</v>
      </c>
      <c r="AY114" s="30">
        <f>Inventory[[#This Row],[AttGar]]*Lookups!$B$93</f>
        <v>15885.463950000001</v>
      </c>
      <c r="AZ114" s="30">
        <f>ROUND(Inventory[[#This Row],[25Det]],-2)</f>
        <v>0</v>
      </c>
      <c r="BA114" s="30">
        <f>ROUND(SUM(Inventory[[#This Row],[Mdl Qlty]:[Mdl Garage Area]])+Inventory[[#This Row],[Mdl Res Intercept]],-2)</f>
        <v>337000</v>
      </c>
      <c r="BB114" s="30">
        <f>ROUND(Inventory[[#This Row],[Mdl Land Intercept]]+Inventory[[#This Row],[Mdl LnAcres]],-2)</f>
        <v>64800</v>
      </c>
      <c r="BC114" s="30">
        <f>Inventory[[#This Row],[Unadj Res Value]]+Inventory[[#This Row],[Unadj Det Value]]+Inventory[[#This Row],[Unadj Land Value]]</f>
        <v>401800</v>
      </c>
      <c r="BD114" s="30">
        <f>(Inventory[[#This Row],[Unadj Total Value]]-Inventory[[#This Row],[24Final]])/Inventory[[#This Row],[24Final]]</f>
        <v>1.8762677484787018E-2</v>
      </c>
      <c r="BE114" s="30">
        <f>VLOOKUP(Inventory[[#This Row],[Nbhd]],Lookups!$M$3:$P$5,4,FALSE)</f>
        <v>0.99970000000000003</v>
      </c>
      <c r="BF114" s="30">
        <f>VLOOKUP(Inventory[[#This Row],[Qlty]],Lookups!$M$8:$P$22,4,FALSE)</f>
        <v>1.0019</v>
      </c>
      <c r="BG114" s="30">
        <f>VLOOKUP(Inventory[[#This Row],[Cnd]],Lookups!$R$8:$U$17,4,FALSE)</f>
        <v>1.0012000000000001</v>
      </c>
      <c r="BH114" s="30">
        <f>VLOOKUP(Inventory[[#This Row],[LivArea Range]],Lookups!$R$25:$U$43,4,FALSE)</f>
        <v>1.0007999999999999</v>
      </c>
      <c r="BI114" s="30">
        <f>VLOOKUP(Inventory[[#This Row],[Decade]],Lookups!$M$24:$P$40,4,FALSE)</f>
        <v>1</v>
      </c>
      <c r="BJ114" s="30">
        <f>Inventory[[#This Row],[Nbhd Adj]]*0.95</f>
        <v>0.94971499999999998</v>
      </c>
      <c r="BK114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114" s="30">
        <f>ROUND((SUM(Inventory[[#This Row],[Mdl Qlty]:[Mdl Garage Area]])+Inventory[[#This Row],[Mdl Res Intercept]])*Inventory[[#This Row],[Res Adj ]],-2)</f>
        <v>320400</v>
      </c>
      <c r="BM114" s="30">
        <f>ROUND(Inventory[[#This Row],[25Det]]*Inventory[[#This Row],[Det/Nbhd Adj]],-2)</f>
        <v>0</v>
      </c>
      <c r="BN114" s="30">
        <f>Inventory[[#This Row],[Adjusted Res]]+Inventory[[#This Row],[Adj Det ]]</f>
        <v>320400</v>
      </c>
      <c r="BO114" s="30">
        <f>ROUND((Inventory[[#This Row],[Mdl Land Intercept]]+Inventory[[#This Row],[Mdl LnAcres]])*Inventory[[#This Row],[Det/Nbhd Adj]],-2)</f>
        <v>61500</v>
      </c>
      <c r="BP114" s="30">
        <f>Inventory[[#This Row],[Adjusted Impr Total]]+Inventory[[#This Row],[Adjusted Land Total]]</f>
        <v>381900</v>
      </c>
      <c r="BQ114" s="30">
        <f>IFERROR((Inventory[[#This Row],[Adjusted Impr Total]]-Inventory[[#This Row],[24Bldg]])/Inventory[[#This Row],[24Bldg]],0)</f>
        <v>-3.6970243462578899E-2</v>
      </c>
      <c r="BR114" s="43">
        <f>(Inventory[[#This Row],[Adjusted Land Total]]-Inventory[[#This Row],[24Lnd]])/Inventory[[#This Row],[24Lnd]]</f>
        <v>-3.2414910858995136E-3</v>
      </c>
      <c r="BS114" s="43">
        <f>(Inventory[[#This Row],[Adjusted Total]]-Inventory[[#This Row],[24Final]])/Inventory[[#This Row],[24Final]]</f>
        <v>-3.169371196754564E-2</v>
      </c>
    </row>
    <row r="115" spans="1:71">
      <c r="A115" s="30">
        <v>2025</v>
      </c>
      <c r="B115" s="31" t="s">
        <v>624</v>
      </c>
      <c r="C115" s="31">
        <f>LN(Inventory[[#This Row],[Acres]])</f>
        <v>-1.7957674906255938</v>
      </c>
      <c r="D115" s="37">
        <f>ROUND(Inventory[[#This Row],[Sqft]]/43560,3)</f>
        <v>0.16600000000000001</v>
      </c>
      <c r="E115" s="38">
        <v>7245</v>
      </c>
      <c r="F115" s="31" t="s">
        <v>505</v>
      </c>
      <c r="G115" s="31" t="s">
        <v>155</v>
      </c>
      <c r="H115" s="31" t="s">
        <v>5</v>
      </c>
      <c r="I115" s="31" t="s">
        <v>506</v>
      </c>
      <c r="J115" s="31" t="s">
        <v>507</v>
      </c>
      <c r="K115" s="31" t="s">
        <v>157</v>
      </c>
      <c r="L115" s="31" t="s">
        <v>21</v>
      </c>
      <c r="M115" s="31" t="s">
        <v>24</v>
      </c>
      <c r="N115" s="31">
        <v>0</v>
      </c>
      <c r="O115" s="31">
        <f>2024-Inventory[[#This Row],[YrBlt]]</f>
        <v>3</v>
      </c>
      <c r="P115" s="31">
        <f>2024-Inventory[[#This Row],[EffYr]]</f>
        <v>3</v>
      </c>
      <c r="Q115" s="30">
        <v>2021</v>
      </c>
      <c r="R115" s="30">
        <v>2021</v>
      </c>
      <c r="S115" s="30">
        <v>1668</v>
      </c>
      <c r="T115" s="38">
        <v>1160</v>
      </c>
      <c r="U115" s="37"/>
      <c r="V115" s="32"/>
      <c r="W115" s="32"/>
      <c r="X115" s="32">
        <f>Inventory[[#This Row],[Bsmt Area]]-Inventory[[#This Row],[FnBsmt]]</f>
        <v>0</v>
      </c>
      <c r="Y115" s="32">
        <f>Inventory[[#This Row],[MainFn]]+Inventory[[#This Row],[UpprFn]]+Inventory[[#This Row],[AddFn]]+Inventory[[#This Row],[FnBsmt]]</f>
        <v>2828</v>
      </c>
      <c r="Z115" s="32">
        <v>3000</v>
      </c>
      <c r="AA115" s="31" t="s">
        <v>56</v>
      </c>
      <c r="AB115" s="32"/>
      <c r="AC115" s="32"/>
      <c r="AD115" s="38">
        <v>420</v>
      </c>
      <c r="AE115" s="32"/>
      <c r="AF115" s="32"/>
      <c r="AG115" s="32"/>
      <c r="AH115" s="32"/>
      <c r="AI115" s="30">
        <v>529714</v>
      </c>
      <c r="AJ115" s="30">
        <v>513823</v>
      </c>
      <c r="AK115" s="30">
        <v>0</v>
      </c>
      <c r="AL115" s="30">
        <v>0</v>
      </c>
      <c r="AM115" s="30">
        <v>61700</v>
      </c>
      <c r="AN115" s="30">
        <v>382000</v>
      </c>
      <c r="AO115" s="30">
        <v>443700</v>
      </c>
      <c r="AP115" s="30">
        <f>Lookups!$B$58*0.6</f>
        <v>132535.48800000001</v>
      </c>
      <c r="AQ115" s="30">
        <f>Lookups!$B$58*0.4</f>
        <v>88356.992000000013</v>
      </c>
      <c r="AR115" s="30">
        <f>Lookups!$B$59*Inventory[[#This Row],[LnAcres]]</f>
        <v>-23568.228988334784</v>
      </c>
      <c r="AS115" s="30">
        <f>VLOOKUP(Inventory[[#This Row],[Qlty]],Lookups!$A$66:$E$79,2,FALSE)</f>
        <v>32917.849192000001</v>
      </c>
      <c r="AT115" s="30">
        <f>VLOOKUP(Inventory[[#This Row],[Cnd]],Lookups!$A$80:$E$88,2,FALSE)</f>
        <v>47371.278778200001</v>
      </c>
      <c r="AU115" s="30">
        <f>Inventory[[#This Row],[EffAge]]*Lookups!$B$65</f>
        <v>-326.22329999999999</v>
      </c>
      <c r="AV115" s="30">
        <f>Inventory[[#This Row],[MainFn]]*Lookups!$B$90</f>
        <v>104100.51384</v>
      </c>
      <c r="AW115" s="30">
        <f>Inventory[[#This Row],[UpprFn]]*Lookups!$B$91</f>
        <v>69113.244279999999</v>
      </c>
      <c r="AX115" s="30">
        <f>Inventory[[#This Row],[Bsmt Area]]*Lookups!$B$95</f>
        <v>0</v>
      </c>
      <c r="AY115" s="30">
        <f>Inventory[[#This Row],[AttGar]]*Lookups!$B$93</f>
        <v>0</v>
      </c>
      <c r="AZ115" s="30">
        <f>ROUND(Inventory[[#This Row],[25Det]],-2)</f>
        <v>0</v>
      </c>
      <c r="BA115" s="30">
        <f>ROUND(SUM(Inventory[[#This Row],[Mdl Qlty]:[Mdl Garage Area]])+Inventory[[#This Row],[Mdl Res Intercept]],-2)</f>
        <v>385700</v>
      </c>
      <c r="BB115" s="30">
        <f>ROUND(Inventory[[#This Row],[Mdl Land Intercept]]+Inventory[[#This Row],[Mdl LnAcres]],-2)</f>
        <v>64800</v>
      </c>
      <c r="BC115" s="30">
        <f>Inventory[[#This Row],[Unadj Res Value]]+Inventory[[#This Row],[Unadj Det Value]]+Inventory[[#This Row],[Unadj Land Value]]</f>
        <v>450500</v>
      </c>
      <c r="BD115" s="30">
        <f>(Inventory[[#This Row],[Unadj Total Value]]-Inventory[[#This Row],[24Final]])/Inventory[[#This Row],[24Final]]</f>
        <v>1.532567049808429E-2</v>
      </c>
      <c r="BE115" s="30">
        <f>VLOOKUP(Inventory[[#This Row],[Nbhd]],Lookups!$M$3:$P$5,4,FALSE)</f>
        <v>0.99970000000000003</v>
      </c>
      <c r="BF115" s="30">
        <f>VLOOKUP(Inventory[[#This Row],[Qlty]],Lookups!$M$8:$P$22,4,FALSE)</f>
        <v>1.0019</v>
      </c>
      <c r="BG115" s="30">
        <f>VLOOKUP(Inventory[[#This Row],[Cnd]],Lookups!$R$8:$U$17,4,FALSE)</f>
        <v>1.0012000000000001</v>
      </c>
      <c r="BH115" s="30">
        <f>VLOOKUP(Inventory[[#This Row],[LivArea Range]],Lookups!$R$25:$U$43,4,FALSE)</f>
        <v>1.0099</v>
      </c>
      <c r="BI115" s="30">
        <f>VLOOKUP(Inventory[[#This Row],[Decade]],Lookups!$M$24:$P$40,4,FALSE)</f>
        <v>1</v>
      </c>
      <c r="BJ115" s="30">
        <f>Inventory[[#This Row],[Nbhd Adj]]*0.95</f>
        <v>0.94971499999999998</v>
      </c>
      <c r="BK115" s="30">
        <f>AVERAGE(Inventory[[#This Row],[Nbhd Adj]],Inventory[[#This Row],[Quality Adj]],Inventory[[#This Row],[Condition Adj]],Inventory[[#This Row],[Living Area Adj]],Inventory[[#This Row],[Decade Adj]])*0.95</f>
        <v>0.95241299999999995</v>
      </c>
      <c r="BL115" s="30">
        <f>ROUND((SUM(Inventory[[#This Row],[Mdl Qlty]:[Mdl Garage Area]])+Inventory[[#This Row],[Mdl Res Intercept]])*Inventory[[#This Row],[Res Adj ]],-2)</f>
        <v>367400</v>
      </c>
      <c r="BM115" s="30">
        <f>ROUND(Inventory[[#This Row],[25Det]]*Inventory[[#This Row],[Det/Nbhd Adj]],-2)</f>
        <v>0</v>
      </c>
      <c r="BN115" s="30">
        <f>Inventory[[#This Row],[Adjusted Res]]+Inventory[[#This Row],[Adj Det ]]</f>
        <v>367400</v>
      </c>
      <c r="BO115" s="30">
        <f>ROUND((Inventory[[#This Row],[Mdl Land Intercept]]+Inventory[[#This Row],[Mdl LnAcres]])*Inventory[[#This Row],[Det/Nbhd Adj]],-2)</f>
        <v>61500</v>
      </c>
      <c r="BP115" s="30">
        <f>Inventory[[#This Row],[Adjusted Impr Total]]+Inventory[[#This Row],[Adjusted Land Total]]</f>
        <v>428900</v>
      </c>
      <c r="BQ115" s="30">
        <f>IFERROR((Inventory[[#This Row],[Adjusted Impr Total]]-Inventory[[#This Row],[24Bldg]])/Inventory[[#This Row],[24Bldg]],0)</f>
        <v>-3.8219895287958112E-2</v>
      </c>
      <c r="BR115" s="43">
        <f>(Inventory[[#This Row],[Adjusted Land Total]]-Inventory[[#This Row],[24Lnd]])/Inventory[[#This Row],[24Lnd]]</f>
        <v>-3.2414910858995136E-3</v>
      </c>
      <c r="BS115" s="43">
        <f>(Inventory[[#This Row],[Adjusted Total]]-Inventory[[#This Row],[24Final]])/Inventory[[#This Row],[24Final]]</f>
        <v>-3.3355871084065812E-2</v>
      </c>
    </row>
    <row r="116" spans="1:71">
      <c r="A116" s="30">
        <v>2025</v>
      </c>
      <c r="B116" s="31" t="s">
        <v>625</v>
      </c>
      <c r="C116" s="31">
        <f>LN(Inventory[[#This Row],[Acres]])</f>
        <v>-1.7957674906255938</v>
      </c>
      <c r="D116" s="37">
        <f>ROUND(Inventory[[#This Row],[Sqft]]/43560,3)</f>
        <v>0.16600000000000001</v>
      </c>
      <c r="E116" s="30">
        <v>7245</v>
      </c>
      <c r="F116" s="31" t="s">
        <v>505</v>
      </c>
      <c r="G116" s="31" t="s">
        <v>155</v>
      </c>
      <c r="H116" s="31" t="s">
        <v>5</v>
      </c>
      <c r="I116" s="31" t="s">
        <v>506</v>
      </c>
      <c r="J116" s="31" t="s">
        <v>507</v>
      </c>
      <c r="K116" s="31" t="s">
        <v>157</v>
      </c>
      <c r="L116" s="31" t="s">
        <v>21</v>
      </c>
      <c r="M116" s="31" t="s">
        <v>24</v>
      </c>
      <c r="N116" s="31">
        <v>0</v>
      </c>
      <c r="O116" s="31">
        <f>2024-Inventory[[#This Row],[YrBlt]]</f>
        <v>3</v>
      </c>
      <c r="P116" s="31">
        <f>2024-Inventory[[#This Row],[EffYr]]</f>
        <v>3</v>
      </c>
      <c r="Q116" s="30">
        <v>2021</v>
      </c>
      <c r="R116" s="30">
        <v>2021</v>
      </c>
      <c r="S116" s="30">
        <v>2010</v>
      </c>
      <c r="T116" s="32"/>
      <c r="U116" s="32"/>
      <c r="V116" s="32"/>
      <c r="W116" s="32"/>
      <c r="X116" s="32">
        <f>Inventory[[#This Row],[Bsmt Area]]-Inventory[[#This Row],[FnBsmt]]</f>
        <v>0</v>
      </c>
      <c r="Y116" s="32">
        <f>Inventory[[#This Row],[MainFn]]+Inventory[[#This Row],[UpprFn]]+Inventory[[#This Row],[AddFn]]+Inventory[[#This Row],[FnBsmt]]</f>
        <v>2010</v>
      </c>
      <c r="Z116" s="32">
        <v>2500</v>
      </c>
      <c r="AA116" s="31" t="s">
        <v>56</v>
      </c>
      <c r="AB116" s="32"/>
      <c r="AC116" s="38">
        <v>424</v>
      </c>
      <c r="AD116" s="32"/>
      <c r="AE116" s="32"/>
      <c r="AF116" s="32"/>
      <c r="AG116" s="32"/>
      <c r="AH116" s="32"/>
      <c r="AI116" s="30">
        <v>428106</v>
      </c>
      <c r="AJ116" s="30">
        <v>415263</v>
      </c>
      <c r="AK116" s="30">
        <v>0</v>
      </c>
      <c r="AL116" s="30">
        <v>0</v>
      </c>
      <c r="AM116" s="30">
        <v>61700</v>
      </c>
      <c r="AN116" s="30">
        <v>346600</v>
      </c>
      <c r="AO116" s="30">
        <v>408300</v>
      </c>
      <c r="AP116" s="30">
        <f>Lookups!$B$58*0.6</f>
        <v>132535.48800000001</v>
      </c>
      <c r="AQ116" s="30">
        <f>Lookups!$B$58*0.4</f>
        <v>88356.992000000013</v>
      </c>
      <c r="AR116" s="30">
        <f>Lookups!$B$59*Inventory[[#This Row],[LnAcres]]</f>
        <v>-23568.228988334784</v>
      </c>
      <c r="AS116" s="30">
        <f>VLOOKUP(Inventory[[#This Row],[Qlty]],Lookups!$A$66:$E$79,2,FALSE)</f>
        <v>32917.849192000001</v>
      </c>
      <c r="AT116" s="30">
        <f>VLOOKUP(Inventory[[#This Row],[Cnd]],Lookups!$A$80:$E$88,2,FALSE)</f>
        <v>47371.278778200001</v>
      </c>
      <c r="AU116" s="30">
        <f>Inventory[[#This Row],[EffAge]]*Lookups!$B$65</f>
        <v>-326.22329999999999</v>
      </c>
      <c r="AV116" s="30">
        <f>Inventory[[#This Row],[MainFn]]*Lookups!$B$90</f>
        <v>125444.86380000001</v>
      </c>
      <c r="AW116" s="30">
        <f>Inventory[[#This Row],[UpprFn]]*Lookups!$B$91</f>
        <v>0</v>
      </c>
      <c r="AX116" s="30">
        <f>Inventory[[#This Row],[Bsmt Area]]*Lookups!$B$95</f>
        <v>0</v>
      </c>
      <c r="AY116" s="30">
        <f>Inventory[[#This Row],[AttGar]]*Lookups!$B$93</f>
        <v>14967.637144</v>
      </c>
      <c r="AZ116" s="30">
        <f>ROUND(Inventory[[#This Row],[25Det]],-2)</f>
        <v>0</v>
      </c>
      <c r="BA116" s="30">
        <f>ROUND(SUM(Inventory[[#This Row],[Mdl Qlty]:[Mdl Garage Area]])+Inventory[[#This Row],[Mdl Res Intercept]],-2)</f>
        <v>352900</v>
      </c>
      <c r="BB116" s="30">
        <f>ROUND(Inventory[[#This Row],[Mdl Land Intercept]]+Inventory[[#This Row],[Mdl LnAcres]],-2)</f>
        <v>64800</v>
      </c>
      <c r="BC116" s="30">
        <f>Inventory[[#This Row],[Unadj Res Value]]+Inventory[[#This Row],[Unadj Det Value]]+Inventory[[#This Row],[Unadj Land Value]]</f>
        <v>417700</v>
      </c>
      <c r="BD116" s="30">
        <f>(Inventory[[#This Row],[Unadj Total Value]]-Inventory[[#This Row],[24Final]])/Inventory[[#This Row],[24Final]]</f>
        <v>2.302228753367622E-2</v>
      </c>
      <c r="BE116" s="30">
        <f>VLOOKUP(Inventory[[#This Row],[Nbhd]],Lookups!$M$3:$P$5,4,FALSE)</f>
        <v>0.99970000000000003</v>
      </c>
      <c r="BF116" s="30">
        <f>VLOOKUP(Inventory[[#This Row],[Qlty]],Lookups!$M$8:$P$22,4,FALSE)</f>
        <v>1.0019</v>
      </c>
      <c r="BG116" s="30">
        <f>VLOOKUP(Inventory[[#This Row],[Cnd]],Lookups!$R$8:$U$17,4,FALSE)</f>
        <v>1.0012000000000001</v>
      </c>
      <c r="BH116" s="30">
        <f>VLOOKUP(Inventory[[#This Row],[LivArea Range]],Lookups!$R$25:$U$43,4,FALSE)</f>
        <v>1.0008999999999999</v>
      </c>
      <c r="BI116" s="30">
        <f>VLOOKUP(Inventory[[#This Row],[Decade]],Lookups!$M$24:$P$40,4,FALSE)</f>
        <v>1</v>
      </c>
      <c r="BJ116" s="30">
        <f>Inventory[[#This Row],[Nbhd Adj]]*0.95</f>
        <v>0.94971499999999998</v>
      </c>
      <c r="BK116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16" s="30">
        <f>ROUND((SUM(Inventory[[#This Row],[Mdl Qlty]:[Mdl Garage Area]])+Inventory[[#This Row],[Mdl Res Intercept]])*Inventory[[#This Row],[Res Adj ]],-2)</f>
        <v>335500</v>
      </c>
      <c r="BM116" s="30">
        <f>ROUND(Inventory[[#This Row],[25Det]]*Inventory[[#This Row],[Det/Nbhd Adj]],-2)</f>
        <v>0</v>
      </c>
      <c r="BN116" s="30">
        <f>Inventory[[#This Row],[Adjusted Res]]+Inventory[[#This Row],[Adj Det ]]</f>
        <v>335500</v>
      </c>
      <c r="BO116" s="30">
        <f>ROUND((Inventory[[#This Row],[Mdl Land Intercept]]+Inventory[[#This Row],[Mdl LnAcres]])*Inventory[[#This Row],[Det/Nbhd Adj]],-2)</f>
        <v>61500</v>
      </c>
      <c r="BP116" s="30">
        <f>Inventory[[#This Row],[Adjusted Impr Total]]+Inventory[[#This Row],[Adjusted Land Total]]</f>
        <v>397000</v>
      </c>
      <c r="BQ116" s="30">
        <f>IFERROR((Inventory[[#This Row],[Adjusted Impr Total]]-Inventory[[#This Row],[24Bldg]])/Inventory[[#This Row],[24Bldg]],0)</f>
        <v>-3.202538949798038E-2</v>
      </c>
      <c r="BR116" s="43">
        <f>(Inventory[[#This Row],[Adjusted Land Total]]-Inventory[[#This Row],[24Lnd]])/Inventory[[#This Row],[24Lnd]]</f>
        <v>-3.2414910858995136E-3</v>
      </c>
      <c r="BS116" s="43">
        <f>(Inventory[[#This Row],[Adjusted Total]]-Inventory[[#This Row],[24Final]])/Inventory[[#This Row],[24Final]]</f>
        <v>-2.7675728630908645E-2</v>
      </c>
    </row>
    <row r="117" spans="1:71">
      <c r="A117" s="30">
        <v>2025</v>
      </c>
      <c r="B117" s="31" t="s">
        <v>626</v>
      </c>
      <c r="C117" s="31">
        <f>LN(Inventory[[#This Row],[Acres]])</f>
        <v>-1.7957674906255938</v>
      </c>
      <c r="D117" s="37">
        <f>ROUND(Inventory[[#This Row],[Sqft]]/43560,3)</f>
        <v>0.16600000000000001</v>
      </c>
      <c r="E117" s="30">
        <v>7245</v>
      </c>
      <c r="F117" s="31" t="s">
        <v>505</v>
      </c>
      <c r="G117" s="31" t="s">
        <v>155</v>
      </c>
      <c r="H117" s="31" t="s">
        <v>5</v>
      </c>
      <c r="I117" s="31" t="s">
        <v>506</v>
      </c>
      <c r="J117" s="31" t="s">
        <v>507</v>
      </c>
      <c r="K117" s="31" t="s">
        <v>157</v>
      </c>
      <c r="L117" s="31" t="s">
        <v>21</v>
      </c>
      <c r="M117" s="31" t="s">
        <v>24</v>
      </c>
      <c r="N117" s="31">
        <v>0</v>
      </c>
      <c r="O117" s="31">
        <f>2024-Inventory[[#This Row],[YrBlt]]</f>
        <v>3</v>
      </c>
      <c r="P117" s="31">
        <f>2024-Inventory[[#This Row],[EffYr]]</f>
        <v>3</v>
      </c>
      <c r="Q117" s="30">
        <v>2021</v>
      </c>
      <c r="R117" s="30">
        <v>2021</v>
      </c>
      <c r="S117" s="30">
        <v>1740</v>
      </c>
      <c r="T117" s="32"/>
      <c r="U117" s="32"/>
      <c r="V117" s="32"/>
      <c r="W117" s="32"/>
      <c r="X117" s="32">
        <f>Inventory[[#This Row],[Bsmt Area]]-Inventory[[#This Row],[FnBsmt]]</f>
        <v>0</v>
      </c>
      <c r="Y117" s="32">
        <f>Inventory[[#This Row],[MainFn]]+Inventory[[#This Row],[UpprFn]]+Inventory[[#This Row],[AddFn]]+Inventory[[#This Row],[FnBsmt]]</f>
        <v>1740</v>
      </c>
      <c r="Z117" s="32">
        <v>2000</v>
      </c>
      <c r="AA117" s="31" t="s">
        <v>56</v>
      </c>
      <c r="AB117" s="32"/>
      <c r="AC117" s="38">
        <v>450</v>
      </c>
      <c r="AD117" s="32"/>
      <c r="AE117" s="32"/>
      <c r="AF117" s="32"/>
      <c r="AG117" s="32"/>
      <c r="AH117" s="32"/>
      <c r="AI117" s="30">
        <v>374705</v>
      </c>
      <c r="AJ117" s="30">
        <v>363464</v>
      </c>
      <c r="AK117" s="30">
        <v>0</v>
      </c>
      <c r="AL117" s="30">
        <v>0</v>
      </c>
      <c r="AM117" s="30">
        <v>61700</v>
      </c>
      <c r="AN117" s="30">
        <v>323500</v>
      </c>
      <c r="AO117" s="30">
        <v>385200</v>
      </c>
      <c r="AP117" s="30">
        <f>Lookups!$B$58*0.6</f>
        <v>132535.48800000001</v>
      </c>
      <c r="AQ117" s="30">
        <f>Lookups!$B$58*0.4</f>
        <v>88356.992000000013</v>
      </c>
      <c r="AR117" s="30">
        <f>Lookups!$B$59*Inventory[[#This Row],[LnAcres]]</f>
        <v>-23568.228988334784</v>
      </c>
      <c r="AS117" s="30">
        <f>VLOOKUP(Inventory[[#This Row],[Qlty]],Lookups!$A$66:$E$79,2,FALSE)</f>
        <v>32917.849192000001</v>
      </c>
      <c r="AT117" s="30">
        <f>VLOOKUP(Inventory[[#This Row],[Cnd]],Lookups!$A$80:$E$88,2,FALSE)</f>
        <v>47371.278778200001</v>
      </c>
      <c r="AU117" s="30">
        <f>Inventory[[#This Row],[EffAge]]*Lookups!$B$65</f>
        <v>-326.22329999999999</v>
      </c>
      <c r="AV117" s="30">
        <f>Inventory[[#This Row],[MainFn]]*Lookups!$B$90</f>
        <v>108594.06120000001</v>
      </c>
      <c r="AW117" s="30">
        <f>Inventory[[#This Row],[UpprFn]]*Lookups!$B$91</f>
        <v>0</v>
      </c>
      <c r="AX117" s="30">
        <f>Inventory[[#This Row],[Bsmt Area]]*Lookups!$B$95</f>
        <v>0</v>
      </c>
      <c r="AY117" s="30">
        <f>Inventory[[#This Row],[AttGar]]*Lookups!$B$93</f>
        <v>15885.463950000001</v>
      </c>
      <c r="AZ117" s="30">
        <f>ROUND(Inventory[[#This Row],[25Det]],-2)</f>
        <v>0</v>
      </c>
      <c r="BA117" s="30">
        <f>ROUND(SUM(Inventory[[#This Row],[Mdl Qlty]:[Mdl Garage Area]])+Inventory[[#This Row],[Mdl Res Intercept]],-2)</f>
        <v>337000</v>
      </c>
      <c r="BB117" s="30">
        <f>ROUND(Inventory[[#This Row],[Mdl Land Intercept]]+Inventory[[#This Row],[Mdl LnAcres]],-2)</f>
        <v>64800</v>
      </c>
      <c r="BC117" s="30">
        <f>Inventory[[#This Row],[Unadj Res Value]]+Inventory[[#This Row],[Unadj Det Value]]+Inventory[[#This Row],[Unadj Land Value]]</f>
        <v>401800</v>
      </c>
      <c r="BD117" s="30">
        <f>(Inventory[[#This Row],[Unadj Total Value]]-Inventory[[#This Row],[24Final]])/Inventory[[#This Row],[24Final]]</f>
        <v>4.3094496365524405E-2</v>
      </c>
      <c r="BE117" s="30">
        <f>VLOOKUP(Inventory[[#This Row],[Nbhd]],Lookups!$M$3:$P$5,4,FALSE)</f>
        <v>0.99970000000000003</v>
      </c>
      <c r="BF117" s="30">
        <f>VLOOKUP(Inventory[[#This Row],[Qlty]],Lookups!$M$8:$P$22,4,FALSE)</f>
        <v>1.0019</v>
      </c>
      <c r="BG117" s="30">
        <f>VLOOKUP(Inventory[[#This Row],[Cnd]],Lookups!$R$8:$U$17,4,FALSE)</f>
        <v>1.0012000000000001</v>
      </c>
      <c r="BH117" s="30">
        <f>VLOOKUP(Inventory[[#This Row],[LivArea Range]],Lookups!$R$25:$U$43,4,FALSE)</f>
        <v>1.0007999999999999</v>
      </c>
      <c r="BI117" s="30">
        <f>VLOOKUP(Inventory[[#This Row],[Decade]],Lookups!$M$24:$P$40,4,FALSE)</f>
        <v>1</v>
      </c>
      <c r="BJ117" s="30">
        <f>Inventory[[#This Row],[Nbhd Adj]]*0.95</f>
        <v>0.94971499999999998</v>
      </c>
      <c r="BK117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117" s="30">
        <f>ROUND((SUM(Inventory[[#This Row],[Mdl Qlty]:[Mdl Garage Area]])+Inventory[[#This Row],[Mdl Res Intercept]])*Inventory[[#This Row],[Res Adj ]],-2)</f>
        <v>320400</v>
      </c>
      <c r="BM117" s="30">
        <f>ROUND(Inventory[[#This Row],[25Det]]*Inventory[[#This Row],[Det/Nbhd Adj]],-2)</f>
        <v>0</v>
      </c>
      <c r="BN117" s="30">
        <f>Inventory[[#This Row],[Adjusted Res]]+Inventory[[#This Row],[Adj Det ]]</f>
        <v>320400</v>
      </c>
      <c r="BO117" s="30">
        <f>ROUND((Inventory[[#This Row],[Mdl Land Intercept]]+Inventory[[#This Row],[Mdl LnAcres]])*Inventory[[#This Row],[Det/Nbhd Adj]],-2)</f>
        <v>61500</v>
      </c>
      <c r="BP117" s="30">
        <f>Inventory[[#This Row],[Adjusted Impr Total]]+Inventory[[#This Row],[Adjusted Land Total]]</f>
        <v>381900</v>
      </c>
      <c r="BQ117" s="30">
        <f>IFERROR((Inventory[[#This Row],[Adjusted Impr Total]]-Inventory[[#This Row],[24Bldg]])/Inventory[[#This Row],[24Bldg]],0)</f>
        <v>-9.5826893353941275E-3</v>
      </c>
      <c r="BR117" s="43">
        <f>(Inventory[[#This Row],[Adjusted Land Total]]-Inventory[[#This Row],[24Lnd]])/Inventory[[#This Row],[24Lnd]]</f>
        <v>-3.2414910858995136E-3</v>
      </c>
      <c r="BS117" s="43">
        <f>(Inventory[[#This Row],[Adjusted Total]]-Inventory[[#This Row],[24Final]])/Inventory[[#This Row],[24Final]]</f>
        <v>-8.5669781931464167E-3</v>
      </c>
    </row>
    <row r="118" spans="1:71">
      <c r="A118" s="30">
        <v>2025</v>
      </c>
      <c r="B118" s="31" t="s">
        <v>627</v>
      </c>
      <c r="C118" s="31">
        <f>LN(Inventory[[#This Row],[Acres]])</f>
        <v>-1.7957674906255938</v>
      </c>
      <c r="D118" s="37">
        <f>ROUND(Inventory[[#This Row],[Sqft]]/43560,3)</f>
        <v>0.16600000000000001</v>
      </c>
      <c r="E118" s="30">
        <v>7245</v>
      </c>
      <c r="F118" s="31" t="s">
        <v>505</v>
      </c>
      <c r="G118" s="31" t="s">
        <v>155</v>
      </c>
      <c r="H118" s="31" t="s">
        <v>5</v>
      </c>
      <c r="I118" s="31" t="s">
        <v>506</v>
      </c>
      <c r="J118" s="31" t="s">
        <v>507</v>
      </c>
      <c r="K118" s="31" t="s">
        <v>157</v>
      </c>
      <c r="L118" s="31" t="s">
        <v>21</v>
      </c>
      <c r="M118" s="31" t="s">
        <v>24</v>
      </c>
      <c r="N118" s="31">
        <v>0</v>
      </c>
      <c r="O118" s="31">
        <f>2024-Inventory[[#This Row],[YrBlt]]</f>
        <v>3</v>
      </c>
      <c r="P118" s="31">
        <f>2024-Inventory[[#This Row],[EffYr]]</f>
        <v>3</v>
      </c>
      <c r="Q118" s="30">
        <v>2021</v>
      </c>
      <c r="R118" s="30">
        <v>2021</v>
      </c>
      <c r="S118" s="30">
        <v>1740</v>
      </c>
      <c r="T118" s="37"/>
      <c r="U118" s="32"/>
      <c r="V118" s="32"/>
      <c r="W118" s="32"/>
      <c r="X118" s="32">
        <f>Inventory[[#This Row],[Bsmt Area]]-Inventory[[#This Row],[FnBsmt]]</f>
        <v>0</v>
      </c>
      <c r="Y118" s="32">
        <f>Inventory[[#This Row],[MainFn]]+Inventory[[#This Row],[UpprFn]]+Inventory[[#This Row],[AddFn]]+Inventory[[#This Row],[FnBsmt]]</f>
        <v>1740</v>
      </c>
      <c r="Z118" s="32">
        <v>2000</v>
      </c>
      <c r="AA118" s="31" t="s">
        <v>56</v>
      </c>
      <c r="AB118" s="32"/>
      <c r="AC118" s="38">
        <v>450</v>
      </c>
      <c r="AD118" s="32"/>
      <c r="AE118" s="32"/>
      <c r="AF118" s="32"/>
      <c r="AG118" s="32"/>
      <c r="AH118" s="32"/>
      <c r="AI118" s="30">
        <v>374705</v>
      </c>
      <c r="AJ118" s="30">
        <v>363464</v>
      </c>
      <c r="AK118" s="30">
        <v>0</v>
      </c>
      <c r="AL118" s="30">
        <v>0</v>
      </c>
      <c r="AM118" s="30">
        <v>61700</v>
      </c>
      <c r="AN118" s="30">
        <v>323500</v>
      </c>
      <c r="AO118" s="30">
        <v>385200</v>
      </c>
      <c r="AP118" s="30">
        <f>Lookups!$B$58*0.6</f>
        <v>132535.48800000001</v>
      </c>
      <c r="AQ118" s="30">
        <f>Lookups!$B$58*0.4</f>
        <v>88356.992000000013</v>
      </c>
      <c r="AR118" s="30">
        <f>Lookups!$B$59*Inventory[[#This Row],[LnAcres]]</f>
        <v>-23568.228988334784</v>
      </c>
      <c r="AS118" s="30">
        <f>VLOOKUP(Inventory[[#This Row],[Qlty]],Lookups!$A$66:$E$79,2,FALSE)</f>
        <v>32917.849192000001</v>
      </c>
      <c r="AT118" s="30">
        <f>VLOOKUP(Inventory[[#This Row],[Cnd]],Lookups!$A$80:$E$88,2,FALSE)</f>
        <v>47371.278778200001</v>
      </c>
      <c r="AU118" s="30">
        <f>Inventory[[#This Row],[EffAge]]*Lookups!$B$65</f>
        <v>-326.22329999999999</v>
      </c>
      <c r="AV118" s="30">
        <f>Inventory[[#This Row],[MainFn]]*Lookups!$B$90</f>
        <v>108594.06120000001</v>
      </c>
      <c r="AW118" s="30">
        <f>Inventory[[#This Row],[UpprFn]]*Lookups!$B$91</f>
        <v>0</v>
      </c>
      <c r="AX118" s="30">
        <f>Inventory[[#This Row],[Bsmt Area]]*Lookups!$B$95</f>
        <v>0</v>
      </c>
      <c r="AY118" s="30">
        <f>Inventory[[#This Row],[AttGar]]*Lookups!$B$93</f>
        <v>15885.463950000001</v>
      </c>
      <c r="AZ118" s="30">
        <f>ROUND(Inventory[[#This Row],[25Det]],-2)</f>
        <v>0</v>
      </c>
      <c r="BA118" s="30">
        <f>ROUND(SUM(Inventory[[#This Row],[Mdl Qlty]:[Mdl Garage Area]])+Inventory[[#This Row],[Mdl Res Intercept]],-2)</f>
        <v>337000</v>
      </c>
      <c r="BB118" s="30">
        <f>ROUND(Inventory[[#This Row],[Mdl Land Intercept]]+Inventory[[#This Row],[Mdl LnAcres]],-2)</f>
        <v>64800</v>
      </c>
      <c r="BC118" s="30">
        <f>Inventory[[#This Row],[Unadj Res Value]]+Inventory[[#This Row],[Unadj Det Value]]+Inventory[[#This Row],[Unadj Land Value]]</f>
        <v>401800</v>
      </c>
      <c r="BD118" s="30">
        <f>(Inventory[[#This Row],[Unadj Total Value]]-Inventory[[#This Row],[24Final]])/Inventory[[#This Row],[24Final]]</f>
        <v>4.3094496365524405E-2</v>
      </c>
      <c r="BE118" s="30">
        <f>VLOOKUP(Inventory[[#This Row],[Nbhd]],Lookups!$M$3:$P$5,4,FALSE)</f>
        <v>0.99970000000000003</v>
      </c>
      <c r="BF118" s="30">
        <f>VLOOKUP(Inventory[[#This Row],[Qlty]],Lookups!$M$8:$P$22,4,FALSE)</f>
        <v>1.0019</v>
      </c>
      <c r="BG118" s="30">
        <f>VLOOKUP(Inventory[[#This Row],[Cnd]],Lookups!$R$8:$U$17,4,FALSE)</f>
        <v>1.0012000000000001</v>
      </c>
      <c r="BH118" s="30">
        <f>VLOOKUP(Inventory[[#This Row],[LivArea Range]],Lookups!$R$25:$U$43,4,FALSE)</f>
        <v>1.0007999999999999</v>
      </c>
      <c r="BI118" s="30">
        <f>VLOOKUP(Inventory[[#This Row],[Decade]],Lookups!$M$24:$P$40,4,FALSE)</f>
        <v>1</v>
      </c>
      <c r="BJ118" s="30">
        <f>Inventory[[#This Row],[Nbhd Adj]]*0.95</f>
        <v>0.94971499999999998</v>
      </c>
      <c r="BK118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118" s="30">
        <f>ROUND((SUM(Inventory[[#This Row],[Mdl Qlty]:[Mdl Garage Area]])+Inventory[[#This Row],[Mdl Res Intercept]])*Inventory[[#This Row],[Res Adj ]],-2)</f>
        <v>320400</v>
      </c>
      <c r="BM118" s="30">
        <f>ROUND(Inventory[[#This Row],[25Det]]*Inventory[[#This Row],[Det/Nbhd Adj]],-2)</f>
        <v>0</v>
      </c>
      <c r="BN118" s="30">
        <f>Inventory[[#This Row],[Adjusted Res]]+Inventory[[#This Row],[Adj Det ]]</f>
        <v>320400</v>
      </c>
      <c r="BO118" s="30">
        <f>ROUND((Inventory[[#This Row],[Mdl Land Intercept]]+Inventory[[#This Row],[Mdl LnAcres]])*Inventory[[#This Row],[Det/Nbhd Adj]],-2)</f>
        <v>61500</v>
      </c>
      <c r="BP118" s="30">
        <f>Inventory[[#This Row],[Adjusted Impr Total]]+Inventory[[#This Row],[Adjusted Land Total]]</f>
        <v>381900</v>
      </c>
      <c r="BQ118" s="30">
        <f>IFERROR((Inventory[[#This Row],[Adjusted Impr Total]]-Inventory[[#This Row],[24Bldg]])/Inventory[[#This Row],[24Bldg]],0)</f>
        <v>-9.5826893353941275E-3</v>
      </c>
      <c r="BR118" s="43">
        <f>(Inventory[[#This Row],[Adjusted Land Total]]-Inventory[[#This Row],[24Lnd]])/Inventory[[#This Row],[24Lnd]]</f>
        <v>-3.2414910858995136E-3</v>
      </c>
      <c r="BS118" s="43">
        <f>(Inventory[[#This Row],[Adjusted Total]]-Inventory[[#This Row],[24Final]])/Inventory[[#This Row],[24Final]]</f>
        <v>-8.5669781931464167E-3</v>
      </c>
    </row>
    <row r="119" spans="1:71">
      <c r="A119" s="30">
        <v>2025</v>
      </c>
      <c r="B119" s="31" t="s">
        <v>628</v>
      </c>
      <c r="C119" s="31">
        <f>LN(Inventory[[#This Row],[Acres]])</f>
        <v>-1.7957674906255938</v>
      </c>
      <c r="D119" s="37">
        <f>ROUND(Inventory[[#This Row],[Sqft]]/43560,3)</f>
        <v>0.16600000000000001</v>
      </c>
      <c r="E119" s="30">
        <v>7245</v>
      </c>
      <c r="F119" s="31" t="s">
        <v>505</v>
      </c>
      <c r="G119" s="31" t="s">
        <v>155</v>
      </c>
      <c r="H119" s="31" t="s">
        <v>5</v>
      </c>
      <c r="I119" s="31" t="s">
        <v>506</v>
      </c>
      <c r="J119" s="31" t="s">
        <v>507</v>
      </c>
      <c r="K119" s="31" t="s">
        <v>157</v>
      </c>
      <c r="L119" s="31" t="s">
        <v>21</v>
      </c>
      <c r="M119" s="31" t="s">
        <v>24</v>
      </c>
      <c r="N119" s="31">
        <v>0</v>
      </c>
      <c r="O119" s="31">
        <f>2024-Inventory[[#This Row],[YrBlt]]</f>
        <v>3</v>
      </c>
      <c r="P119" s="31">
        <f>2024-Inventory[[#This Row],[EffYr]]</f>
        <v>3</v>
      </c>
      <c r="Q119" s="30">
        <v>2021</v>
      </c>
      <c r="R119" s="30">
        <v>2021</v>
      </c>
      <c r="S119" s="30">
        <v>1856</v>
      </c>
      <c r="T119" s="32"/>
      <c r="U119" s="32"/>
      <c r="V119" s="32"/>
      <c r="W119" s="32"/>
      <c r="X119" s="32">
        <f>Inventory[[#This Row],[Bsmt Area]]-Inventory[[#This Row],[FnBsmt]]</f>
        <v>0</v>
      </c>
      <c r="Y119" s="32">
        <f>Inventory[[#This Row],[MainFn]]+Inventory[[#This Row],[UpprFn]]+Inventory[[#This Row],[AddFn]]+Inventory[[#This Row],[FnBsmt]]</f>
        <v>1856</v>
      </c>
      <c r="Z119" s="32">
        <v>2000</v>
      </c>
      <c r="AA119" s="31" t="s">
        <v>56</v>
      </c>
      <c r="AB119" s="32"/>
      <c r="AC119" s="38">
        <v>424</v>
      </c>
      <c r="AD119" s="32"/>
      <c r="AE119" s="32"/>
      <c r="AF119" s="32"/>
      <c r="AG119" s="32"/>
      <c r="AH119" s="32"/>
      <c r="AI119" s="30">
        <v>394235</v>
      </c>
      <c r="AJ119" s="30">
        <v>382408</v>
      </c>
      <c r="AK119" s="30">
        <v>0</v>
      </c>
      <c r="AL119" s="30">
        <v>0</v>
      </c>
      <c r="AM119" s="30">
        <v>61700</v>
      </c>
      <c r="AN119" s="30">
        <v>328100</v>
      </c>
      <c r="AO119" s="30">
        <v>389800</v>
      </c>
      <c r="AP119" s="30">
        <f>Lookups!$B$58*0.6</f>
        <v>132535.48800000001</v>
      </c>
      <c r="AQ119" s="30">
        <f>Lookups!$B$58*0.4</f>
        <v>88356.992000000013</v>
      </c>
      <c r="AR119" s="30">
        <f>Lookups!$B$59*Inventory[[#This Row],[LnAcres]]</f>
        <v>-23568.228988334784</v>
      </c>
      <c r="AS119" s="30">
        <f>VLOOKUP(Inventory[[#This Row],[Qlty]],Lookups!$A$66:$E$79,2,FALSE)</f>
        <v>32917.849192000001</v>
      </c>
      <c r="AT119" s="30">
        <f>VLOOKUP(Inventory[[#This Row],[Cnd]],Lookups!$A$80:$E$88,2,FALSE)</f>
        <v>47371.278778200001</v>
      </c>
      <c r="AU119" s="30">
        <f>Inventory[[#This Row],[EffAge]]*Lookups!$B$65</f>
        <v>-326.22329999999999</v>
      </c>
      <c r="AV119" s="30">
        <f>Inventory[[#This Row],[MainFn]]*Lookups!$B$90</f>
        <v>115833.66528</v>
      </c>
      <c r="AW119" s="30">
        <f>Inventory[[#This Row],[UpprFn]]*Lookups!$B$91</f>
        <v>0</v>
      </c>
      <c r="AX119" s="30">
        <f>Inventory[[#This Row],[Bsmt Area]]*Lookups!$B$95</f>
        <v>0</v>
      </c>
      <c r="AY119" s="30">
        <f>Inventory[[#This Row],[AttGar]]*Lookups!$B$93</f>
        <v>14967.637144</v>
      </c>
      <c r="AZ119" s="30">
        <f>ROUND(Inventory[[#This Row],[25Det]],-2)</f>
        <v>0</v>
      </c>
      <c r="BA119" s="30">
        <f>ROUND(SUM(Inventory[[#This Row],[Mdl Qlty]:[Mdl Garage Area]])+Inventory[[#This Row],[Mdl Res Intercept]],-2)</f>
        <v>343300</v>
      </c>
      <c r="BB119" s="30">
        <f>ROUND(Inventory[[#This Row],[Mdl Land Intercept]]+Inventory[[#This Row],[Mdl LnAcres]],-2)</f>
        <v>64800</v>
      </c>
      <c r="BC119" s="30">
        <f>Inventory[[#This Row],[Unadj Res Value]]+Inventory[[#This Row],[Unadj Det Value]]+Inventory[[#This Row],[Unadj Land Value]]</f>
        <v>408100</v>
      </c>
      <c r="BD119" s="30">
        <f>(Inventory[[#This Row],[Unadj Total Value]]-Inventory[[#This Row],[24Final]])/Inventory[[#This Row],[24Final]]</f>
        <v>4.6947152385838894E-2</v>
      </c>
      <c r="BE119" s="30">
        <f>VLOOKUP(Inventory[[#This Row],[Nbhd]],Lookups!$M$3:$P$5,4,FALSE)</f>
        <v>0.99970000000000003</v>
      </c>
      <c r="BF119" s="30">
        <f>VLOOKUP(Inventory[[#This Row],[Qlty]],Lookups!$M$8:$P$22,4,FALSE)</f>
        <v>1.0019</v>
      </c>
      <c r="BG119" s="30">
        <f>VLOOKUP(Inventory[[#This Row],[Cnd]],Lookups!$R$8:$U$17,4,FALSE)</f>
        <v>1.0012000000000001</v>
      </c>
      <c r="BH119" s="30">
        <f>VLOOKUP(Inventory[[#This Row],[LivArea Range]],Lookups!$R$25:$U$43,4,FALSE)</f>
        <v>1.0007999999999999</v>
      </c>
      <c r="BI119" s="30">
        <f>VLOOKUP(Inventory[[#This Row],[Decade]],Lookups!$M$24:$P$40,4,FALSE)</f>
        <v>1</v>
      </c>
      <c r="BJ119" s="30">
        <f>Inventory[[#This Row],[Nbhd Adj]]*0.95</f>
        <v>0.94971499999999998</v>
      </c>
      <c r="BK119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119" s="30">
        <f>ROUND((SUM(Inventory[[#This Row],[Mdl Qlty]:[Mdl Garage Area]])+Inventory[[#This Row],[Mdl Res Intercept]])*Inventory[[#This Row],[Res Adj ]],-2)</f>
        <v>326400</v>
      </c>
      <c r="BM119" s="30">
        <f>ROUND(Inventory[[#This Row],[25Det]]*Inventory[[#This Row],[Det/Nbhd Adj]],-2)</f>
        <v>0</v>
      </c>
      <c r="BN119" s="30">
        <f>Inventory[[#This Row],[Adjusted Res]]+Inventory[[#This Row],[Adj Det ]]</f>
        <v>326400</v>
      </c>
      <c r="BO119" s="30">
        <f>ROUND((Inventory[[#This Row],[Mdl Land Intercept]]+Inventory[[#This Row],[Mdl LnAcres]])*Inventory[[#This Row],[Det/Nbhd Adj]],-2)</f>
        <v>61500</v>
      </c>
      <c r="BP119" s="30">
        <f>Inventory[[#This Row],[Adjusted Impr Total]]+Inventory[[#This Row],[Adjusted Land Total]]</f>
        <v>387900</v>
      </c>
      <c r="BQ119" s="30">
        <f>IFERROR((Inventory[[#This Row],[Adjusted Impr Total]]-Inventory[[#This Row],[24Bldg]])/Inventory[[#This Row],[24Bldg]],0)</f>
        <v>-5.1813471502590676E-3</v>
      </c>
      <c r="BR119" s="43">
        <f>(Inventory[[#This Row],[Adjusted Land Total]]-Inventory[[#This Row],[24Lnd]])/Inventory[[#This Row],[24Lnd]]</f>
        <v>-3.2414910858995136E-3</v>
      </c>
      <c r="BS119" s="43">
        <f>(Inventory[[#This Row],[Adjusted Total]]-Inventory[[#This Row],[24Final]])/Inventory[[#This Row],[24Final]]</f>
        <v>-4.8742945100051305E-3</v>
      </c>
    </row>
    <row r="120" spans="1:71">
      <c r="A120" s="30">
        <v>2025</v>
      </c>
      <c r="B120" s="31" t="s">
        <v>629</v>
      </c>
      <c r="C120" s="31">
        <f>LN(Inventory[[#This Row],[Acres]])</f>
        <v>-1.7957674906255938</v>
      </c>
      <c r="D120" s="37">
        <f>ROUND(Inventory[[#This Row],[Sqft]]/43560,3)</f>
        <v>0.16600000000000001</v>
      </c>
      <c r="E120" s="30">
        <v>7245</v>
      </c>
      <c r="F120" s="31" t="s">
        <v>505</v>
      </c>
      <c r="G120" s="31" t="s">
        <v>155</v>
      </c>
      <c r="H120" s="31" t="s">
        <v>5</v>
      </c>
      <c r="I120" s="31" t="s">
        <v>506</v>
      </c>
      <c r="J120" s="31" t="s">
        <v>507</v>
      </c>
      <c r="K120" s="31" t="s">
        <v>157</v>
      </c>
      <c r="L120" s="31" t="s">
        <v>21</v>
      </c>
      <c r="M120" s="31" t="s">
        <v>24</v>
      </c>
      <c r="N120" s="31">
        <v>0</v>
      </c>
      <c r="O120" s="31">
        <f>2024-Inventory[[#This Row],[YrBlt]]</f>
        <v>3</v>
      </c>
      <c r="P120" s="31">
        <f>2024-Inventory[[#This Row],[EffYr]]</f>
        <v>3</v>
      </c>
      <c r="Q120" s="30">
        <v>2021</v>
      </c>
      <c r="R120" s="30">
        <v>2021</v>
      </c>
      <c r="S120" s="30">
        <v>2010</v>
      </c>
      <c r="T120" s="32"/>
      <c r="U120" s="32"/>
      <c r="V120" s="32"/>
      <c r="W120" s="32"/>
      <c r="X120" s="32">
        <f>Inventory[[#This Row],[Bsmt Area]]-Inventory[[#This Row],[FnBsmt]]</f>
        <v>0</v>
      </c>
      <c r="Y120" s="32">
        <f>Inventory[[#This Row],[MainFn]]+Inventory[[#This Row],[UpprFn]]+Inventory[[#This Row],[AddFn]]+Inventory[[#This Row],[FnBsmt]]</f>
        <v>2010</v>
      </c>
      <c r="Z120" s="32">
        <v>2500</v>
      </c>
      <c r="AA120" s="31" t="s">
        <v>56</v>
      </c>
      <c r="AB120" s="32"/>
      <c r="AC120" s="38">
        <v>424</v>
      </c>
      <c r="AD120" s="32"/>
      <c r="AE120" s="32"/>
      <c r="AF120" s="32"/>
      <c r="AG120" s="32"/>
      <c r="AH120" s="32"/>
      <c r="AI120" s="30">
        <v>422416</v>
      </c>
      <c r="AJ120" s="30">
        <v>409744</v>
      </c>
      <c r="AK120" s="30">
        <v>0</v>
      </c>
      <c r="AL120" s="30">
        <v>0</v>
      </c>
      <c r="AM120" s="30">
        <v>61700</v>
      </c>
      <c r="AN120" s="30">
        <v>337400</v>
      </c>
      <c r="AO120" s="30">
        <v>399100</v>
      </c>
      <c r="AP120" s="30">
        <f>Lookups!$B$58*0.6</f>
        <v>132535.48800000001</v>
      </c>
      <c r="AQ120" s="30">
        <f>Lookups!$B$58*0.4</f>
        <v>88356.992000000013</v>
      </c>
      <c r="AR120" s="30">
        <f>Lookups!$B$59*Inventory[[#This Row],[LnAcres]]</f>
        <v>-23568.228988334784</v>
      </c>
      <c r="AS120" s="30">
        <f>VLOOKUP(Inventory[[#This Row],[Qlty]],Lookups!$A$66:$E$79,2,FALSE)</f>
        <v>32917.849192000001</v>
      </c>
      <c r="AT120" s="30">
        <f>VLOOKUP(Inventory[[#This Row],[Cnd]],Lookups!$A$80:$E$88,2,FALSE)</f>
        <v>47371.278778200001</v>
      </c>
      <c r="AU120" s="30">
        <f>Inventory[[#This Row],[EffAge]]*Lookups!$B$65</f>
        <v>-326.22329999999999</v>
      </c>
      <c r="AV120" s="30">
        <f>Inventory[[#This Row],[MainFn]]*Lookups!$B$90</f>
        <v>125444.86380000001</v>
      </c>
      <c r="AW120" s="30">
        <f>Inventory[[#This Row],[UpprFn]]*Lookups!$B$91</f>
        <v>0</v>
      </c>
      <c r="AX120" s="30">
        <f>Inventory[[#This Row],[Bsmt Area]]*Lookups!$B$95</f>
        <v>0</v>
      </c>
      <c r="AY120" s="30">
        <f>Inventory[[#This Row],[AttGar]]*Lookups!$B$93</f>
        <v>14967.637144</v>
      </c>
      <c r="AZ120" s="30">
        <f>ROUND(Inventory[[#This Row],[25Det]],-2)</f>
        <v>0</v>
      </c>
      <c r="BA120" s="30">
        <f>ROUND(SUM(Inventory[[#This Row],[Mdl Qlty]:[Mdl Garage Area]])+Inventory[[#This Row],[Mdl Res Intercept]],-2)</f>
        <v>352900</v>
      </c>
      <c r="BB120" s="30">
        <f>ROUND(Inventory[[#This Row],[Mdl Land Intercept]]+Inventory[[#This Row],[Mdl LnAcres]],-2)</f>
        <v>64800</v>
      </c>
      <c r="BC120" s="30">
        <f>Inventory[[#This Row],[Unadj Res Value]]+Inventory[[#This Row],[Unadj Det Value]]+Inventory[[#This Row],[Unadj Land Value]]</f>
        <v>417700</v>
      </c>
      <c r="BD120" s="30">
        <f>(Inventory[[#This Row],[Unadj Total Value]]-Inventory[[#This Row],[24Final]])/Inventory[[#This Row],[24Final]]</f>
        <v>4.6604860937108493E-2</v>
      </c>
      <c r="BE120" s="30">
        <f>VLOOKUP(Inventory[[#This Row],[Nbhd]],Lookups!$M$3:$P$5,4,FALSE)</f>
        <v>0.99970000000000003</v>
      </c>
      <c r="BF120" s="30">
        <f>VLOOKUP(Inventory[[#This Row],[Qlty]],Lookups!$M$8:$P$22,4,FALSE)</f>
        <v>1.0019</v>
      </c>
      <c r="BG120" s="30">
        <f>VLOOKUP(Inventory[[#This Row],[Cnd]],Lookups!$R$8:$U$17,4,FALSE)</f>
        <v>1.0012000000000001</v>
      </c>
      <c r="BH120" s="30">
        <f>VLOOKUP(Inventory[[#This Row],[LivArea Range]],Lookups!$R$25:$U$43,4,FALSE)</f>
        <v>1.0008999999999999</v>
      </c>
      <c r="BI120" s="30">
        <f>VLOOKUP(Inventory[[#This Row],[Decade]],Lookups!$M$24:$P$40,4,FALSE)</f>
        <v>1</v>
      </c>
      <c r="BJ120" s="30">
        <f>Inventory[[#This Row],[Nbhd Adj]]*0.95</f>
        <v>0.94971499999999998</v>
      </c>
      <c r="BK120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20" s="30">
        <f>ROUND((SUM(Inventory[[#This Row],[Mdl Qlty]:[Mdl Garage Area]])+Inventory[[#This Row],[Mdl Res Intercept]])*Inventory[[#This Row],[Res Adj ]],-2)</f>
        <v>335500</v>
      </c>
      <c r="BM120" s="30">
        <f>ROUND(Inventory[[#This Row],[25Det]]*Inventory[[#This Row],[Det/Nbhd Adj]],-2)</f>
        <v>0</v>
      </c>
      <c r="BN120" s="30">
        <f>Inventory[[#This Row],[Adjusted Res]]+Inventory[[#This Row],[Adj Det ]]</f>
        <v>335500</v>
      </c>
      <c r="BO120" s="30">
        <f>ROUND((Inventory[[#This Row],[Mdl Land Intercept]]+Inventory[[#This Row],[Mdl LnAcres]])*Inventory[[#This Row],[Det/Nbhd Adj]],-2)</f>
        <v>61500</v>
      </c>
      <c r="BP120" s="30">
        <f>Inventory[[#This Row],[Adjusted Impr Total]]+Inventory[[#This Row],[Adjusted Land Total]]</f>
        <v>397000</v>
      </c>
      <c r="BQ120" s="30">
        <f>IFERROR((Inventory[[#This Row],[Adjusted Impr Total]]-Inventory[[#This Row],[24Bldg]])/Inventory[[#This Row],[24Bldg]],0)</f>
        <v>-5.6312981624184943E-3</v>
      </c>
      <c r="BR120" s="43">
        <f>(Inventory[[#This Row],[Adjusted Land Total]]-Inventory[[#This Row],[24Lnd]])/Inventory[[#This Row],[24Lnd]]</f>
        <v>-3.2414910858995136E-3</v>
      </c>
      <c r="BS120" s="43">
        <f>(Inventory[[#This Row],[Adjusted Total]]-Inventory[[#This Row],[24Final]])/Inventory[[#This Row],[24Final]]</f>
        <v>-5.2618391380606366E-3</v>
      </c>
    </row>
    <row r="121" spans="1:71">
      <c r="A121" s="30">
        <v>2025</v>
      </c>
      <c r="B121" s="31" t="s">
        <v>630</v>
      </c>
      <c r="C121" s="31">
        <f>LN(Inventory[[#This Row],[Acres]])</f>
        <v>-1.7897614665653818</v>
      </c>
      <c r="D121" s="37">
        <f>ROUND(Inventory[[#This Row],[Sqft]]/43560,3)</f>
        <v>0.16700000000000001</v>
      </c>
      <c r="E121" s="38">
        <v>7284</v>
      </c>
      <c r="F121" s="31" t="s">
        <v>505</v>
      </c>
      <c r="G121" s="31" t="s">
        <v>155</v>
      </c>
      <c r="H121" s="31" t="s">
        <v>5</v>
      </c>
      <c r="I121" s="31" t="s">
        <v>506</v>
      </c>
      <c r="J121" s="31" t="s">
        <v>507</v>
      </c>
      <c r="K121" s="31" t="s">
        <v>157</v>
      </c>
      <c r="L121" s="31" t="s">
        <v>21</v>
      </c>
      <c r="M121" s="31" t="s">
        <v>24</v>
      </c>
      <c r="N121" s="31">
        <v>0</v>
      </c>
      <c r="O121" s="31">
        <f>2024-Inventory[[#This Row],[YrBlt]]</f>
        <v>3</v>
      </c>
      <c r="P121" s="31">
        <f>2024-Inventory[[#This Row],[EffYr]]</f>
        <v>3</v>
      </c>
      <c r="Q121" s="30">
        <v>2021</v>
      </c>
      <c r="R121" s="30">
        <v>2021</v>
      </c>
      <c r="S121" s="30">
        <v>930</v>
      </c>
      <c r="T121" s="30">
        <v>1296</v>
      </c>
      <c r="U121" s="32"/>
      <c r="V121" s="32"/>
      <c r="W121" s="32"/>
      <c r="X121" s="32">
        <f>Inventory[[#This Row],[Bsmt Area]]-Inventory[[#This Row],[FnBsmt]]</f>
        <v>0</v>
      </c>
      <c r="Y121" s="32">
        <f>Inventory[[#This Row],[MainFn]]+Inventory[[#This Row],[UpprFn]]+Inventory[[#This Row],[AddFn]]+Inventory[[#This Row],[FnBsmt]]</f>
        <v>2226</v>
      </c>
      <c r="Z121" s="32">
        <v>2500</v>
      </c>
      <c r="AA121" s="31" t="s">
        <v>56</v>
      </c>
      <c r="AB121" s="38">
        <v>1</v>
      </c>
      <c r="AC121" s="32"/>
      <c r="AD121" s="38">
        <v>400</v>
      </c>
      <c r="AE121" s="32"/>
      <c r="AF121" s="32"/>
      <c r="AG121" s="32"/>
      <c r="AH121" s="32"/>
      <c r="AI121" s="30">
        <v>444896</v>
      </c>
      <c r="AJ121" s="30">
        <v>431549</v>
      </c>
      <c r="AK121" s="30">
        <v>0</v>
      </c>
      <c r="AL121" s="30">
        <v>0</v>
      </c>
      <c r="AM121" s="30">
        <v>61700</v>
      </c>
      <c r="AN121" s="30">
        <v>360700</v>
      </c>
      <c r="AO121" s="30">
        <v>422400</v>
      </c>
      <c r="AP121" s="30">
        <f>Lookups!$B$58*0.6</f>
        <v>132535.48800000001</v>
      </c>
      <c r="AQ121" s="30">
        <f>Lookups!$B$58*0.4</f>
        <v>88356.992000000013</v>
      </c>
      <c r="AR121" s="30">
        <f>Lookups!$B$59*Inventory[[#This Row],[LnAcres]]</f>
        <v>-23489.404000634837</v>
      </c>
      <c r="AS121" s="30">
        <f>VLOOKUP(Inventory[[#This Row],[Qlty]],Lookups!$A$66:$E$79,2,FALSE)</f>
        <v>32917.849192000001</v>
      </c>
      <c r="AT121" s="30">
        <f>VLOOKUP(Inventory[[#This Row],[Cnd]],Lookups!$A$80:$E$88,2,FALSE)</f>
        <v>47371.278778200001</v>
      </c>
      <c r="AU121" s="30">
        <f>Inventory[[#This Row],[EffAge]]*Lookups!$B$65</f>
        <v>-326.22329999999999</v>
      </c>
      <c r="AV121" s="30">
        <f>Inventory[[#This Row],[MainFn]]*Lookups!$B$90</f>
        <v>58041.653400000003</v>
      </c>
      <c r="AW121" s="30">
        <f>Inventory[[#This Row],[UpprFn]]*Lookups!$B$91</f>
        <v>77216.176368</v>
      </c>
      <c r="AX121" s="30">
        <f>Inventory[[#This Row],[Bsmt Area]]*Lookups!$B$95</f>
        <v>0</v>
      </c>
      <c r="AY121" s="30">
        <f>Inventory[[#This Row],[AttGar]]*Lookups!$B$93</f>
        <v>0</v>
      </c>
      <c r="AZ121" s="30">
        <f>ROUND(Inventory[[#This Row],[25Det]],-2)</f>
        <v>0</v>
      </c>
      <c r="BA121" s="30">
        <f>ROUND(SUM(Inventory[[#This Row],[Mdl Qlty]:[Mdl Garage Area]])+Inventory[[#This Row],[Mdl Res Intercept]],-2)</f>
        <v>347800</v>
      </c>
      <c r="BB121" s="30">
        <f>ROUND(Inventory[[#This Row],[Mdl Land Intercept]]+Inventory[[#This Row],[Mdl LnAcres]],-2)</f>
        <v>64900</v>
      </c>
      <c r="BC121" s="30">
        <f>Inventory[[#This Row],[Unadj Res Value]]+Inventory[[#This Row],[Unadj Det Value]]+Inventory[[#This Row],[Unadj Land Value]]</f>
        <v>412700</v>
      </c>
      <c r="BD121" s="30">
        <f>(Inventory[[#This Row],[Unadj Total Value]]-Inventory[[#This Row],[24Final]])/Inventory[[#This Row],[24Final]]</f>
        <v>-2.2964015151515152E-2</v>
      </c>
      <c r="BE121" s="30">
        <f>VLOOKUP(Inventory[[#This Row],[Nbhd]],Lookups!$M$3:$P$5,4,FALSE)</f>
        <v>0.99970000000000003</v>
      </c>
      <c r="BF121" s="30">
        <f>VLOOKUP(Inventory[[#This Row],[Qlty]],Lookups!$M$8:$P$22,4,FALSE)</f>
        <v>1.0019</v>
      </c>
      <c r="BG121" s="30">
        <f>VLOOKUP(Inventory[[#This Row],[Cnd]],Lookups!$R$8:$U$17,4,FALSE)</f>
        <v>1.0012000000000001</v>
      </c>
      <c r="BH121" s="30">
        <f>VLOOKUP(Inventory[[#This Row],[LivArea Range]],Lookups!$R$25:$U$43,4,FALSE)</f>
        <v>1.0008999999999999</v>
      </c>
      <c r="BI121" s="30">
        <f>VLOOKUP(Inventory[[#This Row],[Decade]],Lookups!$M$24:$P$40,4,FALSE)</f>
        <v>1</v>
      </c>
      <c r="BJ121" s="30">
        <f>Inventory[[#This Row],[Nbhd Adj]]*0.95</f>
        <v>0.94971499999999998</v>
      </c>
      <c r="BK121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21" s="30">
        <f>ROUND((SUM(Inventory[[#This Row],[Mdl Qlty]:[Mdl Garage Area]])+Inventory[[#This Row],[Mdl Res Intercept]])*Inventory[[#This Row],[Res Adj ]],-2)</f>
        <v>330600</v>
      </c>
      <c r="BM121" s="30">
        <f>ROUND(Inventory[[#This Row],[25Det]]*Inventory[[#This Row],[Det/Nbhd Adj]],-2)</f>
        <v>0</v>
      </c>
      <c r="BN121" s="30">
        <f>Inventory[[#This Row],[Adjusted Res]]+Inventory[[#This Row],[Adj Det ]]</f>
        <v>330600</v>
      </c>
      <c r="BO121" s="30">
        <f>ROUND((Inventory[[#This Row],[Mdl Land Intercept]]+Inventory[[#This Row],[Mdl LnAcres]])*Inventory[[#This Row],[Det/Nbhd Adj]],-2)</f>
        <v>61600</v>
      </c>
      <c r="BP121" s="30">
        <f>Inventory[[#This Row],[Adjusted Impr Total]]+Inventory[[#This Row],[Adjusted Land Total]]</f>
        <v>392200</v>
      </c>
      <c r="BQ121" s="30">
        <f>IFERROR((Inventory[[#This Row],[Adjusted Impr Total]]-Inventory[[#This Row],[24Bldg]])/Inventory[[#This Row],[24Bldg]],0)</f>
        <v>-8.3448849459384536E-2</v>
      </c>
      <c r="BR121" s="43">
        <f>(Inventory[[#This Row],[Adjusted Land Total]]-Inventory[[#This Row],[24Lnd]])/Inventory[[#This Row],[24Lnd]]</f>
        <v>-1.6207455429497568E-3</v>
      </c>
      <c r="BS121" s="43">
        <f>(Inventory[[#This Row],[Adjusted Total]]-Inventory[[#This Row],[24Final]])/Inventory[[#This Row],[24Final]]</f>
        <v>-7.1496212121212127E-2</v>
      </c>
    </row>
    <row r="122" spans="1:71">
      <c r="A122" s="30">
        <v>2025</v>
      </c>
      <c r="B122" s="31" t="s">
        <v>631</v>
      </c>
      <c r="C122" s="31">
        <f>LN(Inventory[[#This Row],[Acres]])</f>
        <v>-1.7778565640590636</v>
      </c>
      <c r="D122" s="37">
        <f>ROUND(Inventory[[#This Row],[Sqft]]/43560,3)</f>
        <v>0.16900000000000001</v>
      </c>
      <c r="E122" s="30">
        <v>7377</v>
      </c>
      <c r="F122" s="31" t="s">
        <v>505</v>
      </c>
      <c r="G122" s="31" t="s">
        <v>155</v>
      </c>
      <c r="H122" s="31" t="s">
        <v>5</v>
      </c>
      <c r="I122" s="31" t="s">
        <v>506</v>
      </c>
      <c r="J122" s="31" t="s">
        <v>507</v>
      </c>
      <c r="K122" s="31" t="s">
        <v>157</v>
      </c>
      <c r="L122" s="31" t="s">
        <v>21</v>
      </c>
      <c r="M122" s="31" t="s">
        <v>24</v>
      </c>
      <c r="N122" s="31">
        <v>0</v>
      </c>
      <c r="O122" s="31">
        <f>2024-Inventory[[#This Row],[YrBlt]]</f>
        <v>3</v>
      </c>
      <c r="P122" s="31">
        <f>2024-Inventory[[#This Row],[EffYr]]</f>
        <v>3</v>
      </c>
      <c r="Q122" s="30">
        <v>2021</v>
      </c>
      <c r="R122" s="30">
        <v>2021</v>
      </c>
      <c r="S122" s="30">
        <v>1289</v>
      </c>
      <c r="T122" s="30">
        <v>1636</v>
      </c>
      <c r="U122" s="32"/>
      <c r="V122" s="32"/>
      <c r="W122" s="32"/>
      <c r="X122" s="32">
        <f>Inventory[[#This Row],[Bsmt Area]]-Inventory[[#This Row],[FnBsmt]]</f>
        <v>0</v>
      </c>
      <c r="Y122" s="32">
        <f>Inventory[[#This Row],[MainFn]]+Inventory[[#This Row],[UpprFn]]+Inventory[[#This Row],[AddFn]]+Inventory[[#This Row],[FnBsmt]]</f>
        <v>2925</v>
      </c>
      <c r="Z122" s="32">
        <v>3000</v>
      </c>
      <c r="AA122" s="31" t="s">
        <v>57</v>
      </c>
      <c r="AB122" s="32"/>
      <c r="AC122" s="32"/>
      <c r="AD122" s="38">
        <v>494</v>
      </c>
      <c r="AE122" s="32"/>
      <c r="AF122" s="32"/>
      <c r="AG122" s="32"/>
      <c r="AH122" s="32"/>
      <c r="AI122" s="30">
        <v>545388</v>
      </c>
      <c r="AJ122" s="30">
        <v>529026</v>
      </c>
      <c r="AK122" s="30">
        <v>0</v>
      </c>
      <c r="AL122" s="30">
        <v>0</v>
      </c>
      <c r="AM122" s="30">
        <v>61700</v>
      </c>
      <c r="AN122" s="30">
        <v>399600</v>
      </c>
      <c r="AO122" s="30">
        <v>461300</v>
      </c>
      <c r="AP122" s="30">
        <f>Lookups!$B$58*0.6</f>
        <v>132535.48800000001</v>
      </c>
      <c r="AQ122" s="30">
        <f>Lookups!$B$58*0.4</f>
        <v>88356.992000000013</v>
      </c>
      <c r="AR122" s="30">
        <f>Lookups!$B$59*Inventory[[#This Row],[LnAcres]]</f>
        <v>-23333.160238668213</v>
      </c>
      <c r="AS122" s="30">
        <f>VLOOKUP(Inventory[[#This Row],[Qlty]],Lookups!$A$66:$E$79,2,FALSE)</f>
        <v>32917.849192000001</v>
      </c>
      <c r="AT122" s="30">
        <f>VLOOKUP(Inventory[[#This Row],[Cnd]],Lookups!$A$80:$E$88,2,FALSE)</f>
        <v>47371.278778200001</v>
      </c>
      <c r="AU122" s="30">
        <f>Inventory[[#This Row],[EffAge]]*Lookups!$B$65</f>
        <v>-326.22329999999999</v>
      </c>
      <c r="AV122" s="30">
        <f>Inventory[[#This Row],[MainFn]]*Lookups!$B$90</f>
        <v>80446.979820000008</v>
      </c>
      <c r="AW122" s="30">
        <f>Inventory[[#This Row],[UpprFn]]*Lookups!$B$91</f>
        <v>97473.506587999989</v>
      </c>
      <c r="AX122" s="30">
        <f>Inventory[[#This Row],[Bsmt Area]]*Lookups!$B$95</f>
        <v>0</v>
      </c>
      <c r="AY122" s="30">
        <f>Inventory[[#This Row],[AttGar]]*Lookups!$B$93</f>
        <v>0</v>
      </c>
      <c r="AZ122" s="30">
        <f>ROUND(Inventory[[#This Row],[25Det]],-2)</f>
        <v>0</v>
      </c>
      <c r="BA122" s="30">
        <f>ROUND(SUM(Inventory[[#This Row],[Mdl Qlty]:[Mdl Garage Area]])+Inventory[[#This Row],[Mdl Res Intercept]],-2)</f>
        <v>390400</v>
      </c>
      <c r="BB122" s="30">
        <f>ROUND(Inventory[[#This Row],[Mdl Land Intercept]]+Inventory[[#This Row],[Mdl LnAcres]],-2)</f>
        <v>65000</v>
      </c>
      <c r="BC122" s="30">
        <f>Inventory[[#This Row],[Unadj Res Value]]+Inventory[[#This Row],[Unadj Det Value]]+Inventory[[#This Row],[Unadj Land Value]]</f>
        <v>455400</v>
      </c>
      <c r="BD122" s="30">
        <f>(Inventory[[#This Row],[Unadj Total Value]]-Inventory[[#This Row],[24Final]])/Inventory[[#This Row],[24Final]]</f>
        <v>-1.2789941469759376E-2</v>
      </c>
      <c r="BE122" s="30">
        <f>VLOOKUP(Inventory[[#This Row],[Nbhd]],Lookups!$M$3:$P$5,4,FALSE)</f>
        <v>0.99970000000000003</v>
      </c>
      <c r="BF122" s="30">
        <f>VLOOKUP(Inventory[[#This Row],[Qlty]],Lookups!$M$8:$P$22,4,FALSE)</f>
        <v>1.0019</v>
      </c>
      <c r="BG122" s="30">
        <f>VLOOKUP(Inventory[[#This Row],[Cnd]],Lookups!$R$8:$U$17,4,FALSE)</f>
        <v>1.0012000000000001</v>
      </c>
      <c r="BH122" s="30">
        <f>VLOOKUP(Inventory[[#This Row],[LivArea Range]],Lookups!$R$25:$U$43,4,FALSE)</f>
        <v>1.0099</v>
      </c>
      <c r="BI122" s="30">
        <f>VLOOKUP(Inventory[[#This Row],[Decade]],Lookups!$M$24:$P$40,4,FALSE)</f>
        <v>1</v>
      </c>
      <c r="BJ122" s="30">
        <f>Inventory[[#This Row],[Nbhd Adj]]*0.95</f>
        <v>0.94971499999999998</v>
      </c>
      <c r="BK122" s="30">
        <f>AVERAGE(Inventory[[#This Row],[Nbhd Adj]],Inventory[[#This Row],[Quality Adj]],Inventory[[#This Row],[Condition Adj]],Inventory[[#This Row],[Living Area Adj]],Inventory[[#This Row],[Decade Adj]])*0.95</f>
        <v>0.95241299999999995</v>
      </c>
      <c r="BL122" s="30">
        <f>ROUND((SUM(Inventory[[#This Row],[Mdl Qlty]:[Mdl Garage Area]])+Inventory[[#This Row],[Mdl Res Intercept]])*Inventory[[#This Row],[Res Adj ]],-2)</f>
        <v>371800</v>
      </c>
      <c r="BM122" s="30">
        <f>ROUND(Inventory[[#This Row],[25Det]]*Inventory[[#This Row],[Det/Nbhd Adj]],-2)</f>
        <v>0</v>
      </c>
      <c r="BN122" s="30">
        <f>Inventory[[#This Row],[Adjusted Res]]+Inventory[[#This Row],[Adj Det ]]</f>
        <v>371800</v>
      </c>
      <c r="BO122" s="30">
        <f>ROUND((Inventory[[#This Row],[Mdl Land Intercept]]+Inventory[[#This Row],[Mdl LnAcres]])*Inventory[[#This Row],[Det/Nbhd Adj]],-2)</f>
        <v>61800</v>
      </c>
      <c r="BP122" s="30">
        <f>Inventory[[#This Row],[Adjusted Impr Total]]+Inventory[[#This Row],[Adjusted Land Total]]</f>
        <v>433600</v>
      </c>
      <c r="BQ122" s="30">
        <f>IFERROR((Inventory[[#This Row],[Adjusted Impr Total]]-Inventory[[#This Row],[24Bldg]])/Inventory[[#This Row],[24Bldg]],0)</f>
        <v>-6.956956956956957E-2</v>
      </c>
      <c r="BR122" s="43">
        <f>(Inventory[[#This Row],[Adjusted Land Total]]-Inventory[[#This Row],[24Lnd]])/Inventory[[#This Row],[24Lnd]]</f>
        <v>1.6207455429497568E-3</v>
      </c>
      <c r="BS122" s="43">
        <f>(Inventory[[#This Row],[Adjusted Total]]-Inventory[[#This Row],[24Final]])/Inventory[[#This Row],[24Final]]</f>
        <v>-6.0047691307175376E-2</v>
      </c>
    </row>
    <row r="123" spans="1:71">
      <c r="A123" s="30">
        <v>2025</v>
      </c>
      <c r="B123" s="31" t="s">
        <v>632</v>
      </c>
      <c r="C123" s="31">
        <f>LN(Inventory[[#This Row],[Acres]])</f>
        <v>-1.7778565640590636</v>
      </c>
      <c r="D123" s="37">
        <f>ROUND(Inventory[[#This Row],[Sqft]]/43560,3)</f>
        <v>0.16900000000000001</v>
      </c>
      <c r="E123" s="30">
        <v>7350</v>
      </c>
      <c r="F123" s="31" t="s">
        <v>505</v>
      </c>
      <c r="G123" s="31" t="s">
        <v>155</v>
      </c>
      <c r="H123" s="31" t="s">
        <v>5</v>
      </c>
      <c r="I123" s="31" t="s">
        <v>506</v>
      </c>
      <c r="J123" s="31" t="s">
        <v>507</v>
      </c>
      <c r="K123" s="31" t="s">
        <v>157</v>
      </c>
      <c r="L123" s="31" t="s">
        <v>19</v>
      </c>
      <c r="M123" s="31" t="s">
        <v>24</v>
      </c>
      <c r="N123" s="31">
        <v>0</v>
      </c>
      <c r="O123" s="31">
        <f>2024-Inventory[[#This Row],[YrBlt]]</f>
        <v>3</v>
      </c>
      <c r="P123" s="31">
        <f>2024-Inventory[[#This Row],[EffYr]]</f>
        <v>3</v>
      </c>
      <c r="Q123" s="30">
        <v>2021</v>
      </c>
      <c r="R123" s="30">
        <v>2021</v>
      </c>
      <c r="S123" s="30">
        <v>1403</v>
      </c>
      <c r="T123" s="32"/>
      <c r="U123" s="32"/>
      <c r="V123" s="32"/>
      <c r="W123" s="32"/>
      <c r="X123" s="32">
        <f>Inventory[[#This Row],[Bsmt Area]]-Inventory[[#This Row],[FnBsmt]]</f>
        <v>0</v>
      </c>
      <c r="Y123" s="32">
        <f>Inventory[[#This Row],[MainFn]]+Inventory[[#This Row],[UpprFn]]+Inventory[[#This Row],[AddFn]]+Inventory[[#This Row],[FnBsmt]]</f>
        <v>1403</v>
      </c>
      <c r="Z123" s="32">
        <v>1500</v>
      </c>
      <c r="AA123" s="31" t="s">
        <v>57</v>
      </c>
      <c r="AB123" s="38">
        <v>1</v>
      </c>
      <c r="AC123" s="38">
        <v>640</v>
      </c>
      <c r="AD123" s="32"/>
      <c r="AE123" s="32"/>
      <c r="AF123" s="32"/>
      <c r="AG123" s="32"/>
      <c r="AH123" s="32"/>
      <c r="AI123" s="30">
        <v>295754</v>
      </c>
      <c r="AJ123" s="30">
        <v>286881</v>
      </c>
      <c r="AK123" s="30">
        <v>0</v>
      </c>
      <c r="AL123" s="30">
        <v>0</v>
      </c>
      <c r="AM123" s="30">
        <v>61700</v>
      </c>
      <c r="AN123" s="30">
        <v>320800</v>
      </c>
      <c r="AO123" s="30">
        <v>382500</v>
      </c>
      <c r="AP123" s="30">
        <f>Lookups!$B$58*0.6</f>
        <v>132535.48800000001</v>
      </c>
      <c r="AQ123" s="30">
        <f>Lookups!$B$58*0.4</f>
        <v>88356.992000000013</v>
      </c>
      <c r="AR123" s="30">
        <f>Lookups!$B$59*Inventory[[#This Row],[LnAcres]]</f>
        <v>-23333.160238668213</v>
      </c>
      <c r="AS123" s="30">
        <f>VLOOKUP(Inventory[[#This Row],[Qlty]],Lookups!$A$66:$E$79,2,FALSE)</f>
        <v>37154.252388000001</v>
      </c>
      <c r="AT123" s="30">
        <f>VLOOKUP(Inventory[[#This Row],[Cnd]],Lookups!$A$80:$E$88,2,FALSE)</f>
        <v>47371.278778200001</v>
      </c>
      <c r="AU123" s="30">
        <f>Inventory[[#This Row],[EffAge]]*Lookups!$B$65</f>
        <v>-326.22329999999999</v>
      </c>
      <c r="AV123" s="30">
        <f>Inventory[[#This Row],[MainFn]]*Lookups!$B$90</f>
        <v>87561.76314000001</v>
      </c>
      <c r="AW123" s="30">
        <f>Inventory[[#This Row],[UpprFn]]*Lookups!$B$91</f>
        <v>0</v>
      </c>
      <c r="AX123" s="30">
        <f>Inventory[[#This Row],[Bsmt Area]]*Lookups!$B$95</f>
        <v>0</v>
      </c>
      <c r="AY123" s="30">
        <f>Inventory[[#This Row],[AttGar]]*Lookups!$B$93</f>
        <v>22592.65984</v>
      </c>
      <c r="AZ123" s="30">
        <f>ROUND(Inventory[[#This Row],[25Det]],-2)</f>
        <v>0</v>
      </c>
      <c r="BA123" s="30">
        <f>ROUND(SUM(Inventory[[#This Row],[Mdl Qlty]:[Mdl Garage Area]])+Inventory[[#This Row],[Mdl Res Intercept]],-2)</f>
        <v>326900</v>
      </c>
      <c r="BB123" s="30">
        <f>ROUND(Inventory[[#This Row],[Mdl Land Intercept]]+Inventory[[#This Row],[Mdl LnAcres]],-2)</f>
        <v>65000</v>
      </c>
      <c r="BC123" s="30">
        <f>Inventory[[#This Row],[Unadj Res Value]]+Inventory[[#This Row],[Unadj Det Value]]+Inventory[[#This Row],[Unadj Land Value]]</f>
        <v>391900</v>
      </c>
      <c r="BD123" s="30">
        <f>(Inventory[[#This Row],[Unadj Total Value]]-Inventory[[#This Row],[24Final]])/Inventory[[#This Row],[24Final]]</f>
        <v>2.4575163398692812E-2</v>
      </c>
      <c r="BE123" s="30">
        <f>VLOOKUP(Inventory[[#This Row],[Nbhd]],Lookups!$M$3:$P$5,4,FALSE)</f>
        <v>0.99970000000000003</v>
      </c>
      <c r="BF123" s="30">
        <f>VLOOKUP(Inventory[[#This Row],[Qlty]],Lookups!$M$8:$P$22,4,FALSE)</f>
        <v>0.99819999999999998</v>
      </c>
      <c r="BG123" s="30">
        <f>VLOOKUP(Inventory[[#This Row],[Cnd]],Lookups!$R$8:$U$17,4,FALSE)</f>
        <v>1.0012000000000001</v>
      </c>
      <c r="BH123" s="30">
        <f>VLOOKUP(Inventory[[#This Row],[LivArea Range]],Lookups!$R$25:$U$43,4,FALSE)</f>
        <v>0.99519999999999997</v>
      </c>
      <c r="BI123" s="30">
        <f>VLOOKUP(Inventory[[#This Row],[Decade]],Lookups!$M$24:$P$40,4,FALSE)</f>
        <v>1</v>
      </c>
      <c r="BJ123" s="30">
        <f>Inventory[[#This Row],[Nbhd Adj]]*0.95</f>
        <v>0.94971499999999998</v>
      </c>
      <c r="BK123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123" s="30">
        <f>ROUND((SUM(Inventory[[#This Row],[Mdl Qlty]:[Mdl Garage Area]])+Inventory[[#This Row],[Mdl Res Intercept]])*Inventory[[#This Row],[Res Adj ]],-2)</f>
        <v>310200</v>
      </c>
      <c r="BM123" s="30">
        <f>ROUND(Inventory[[#This Row],[25Det]]*Inventory[[#This Row],[Det/Nbhd Adj]],-2)</f>
        <v>0</v>
      </c>
      <c r="BN123" s="30">
        <f>Inventory[[#This Row],[Adjusted Res]]+Inventory[[#This Row],[Adj Det ]]</f>
        <v>310200</v>
      </c>
      <c r="BO123" s="30">
        <f>ROUND((Inventory[[#This Row],[Mdl Land Intercept]]+Inventory[[#This Row],[Mdl LnAcres]])*Inventory[[#This Row],[Det/Nbhd Adj]],-2)</f>
        <v>61800</v>
      </c>
      <c r="BP123" s="30">
        <f>Inventory[[#This Row],[Adjusted Impr Total]]+Inventory[[#This Row],[Adjusted Land Total]]</f>
        <v>372000</v>
      </c>
      <c r="BQ123" s="30">
        <f>IFERROR((Inventory[[#This Row],[Adjusted Impr Total]]-Inventory[[#This Row],[24Bldg]])/Inventory[[#This Row],[24Bldg]],0)</f>
        <v>-3.3042394014962596E-2</v>
      </c>
      <c r="BR123" s="43">
        <f>(Inventory[[#This Row],[Adjusted Land Total]]-Inventory[[#This Row],[24Lnd]])/Inventory[[#This Row],[24Lnd]]</f>
        <v>1.6207455429497568E-3</v>
      </c>
      <c r="BS123" s="43">
        <f>(Inventory[[#This Row],[Adjusted Total]]-Inventory[[#This Row],[24Final]])/Inventory[[#This Row],[24Final]]</f>
        <v>-2.7450980392156862E-2</v>
      </c>
    </row>
    <row r="124" spans="1:71">
      <c r="A124" s="30">
        <v>2025</v>
      </c>
      <c r="B124" s="31" t="s">
        <v>633</v>
      </c>
      <c r="C124" s="31">
        <f>LN(Inventory[[#This Row],[Acres]])</f>
        <v>-1.7778565640590636</v>
      </c>
      <c r="D124" s="37">
        <f>ROUND(Inventory[[#This Row],[Sqft]]/43560,3)</f>
        <v>0.16900000000000001</v>
      </c>
      <c r="E124" s="30">
        <v>7350</v>
      </c>
      <c r="F124" s="31" t="s">
        <v>505</v>
      </c>
      <c r="G124" s="31" t="s">
        <v>155</v>
      </c>
      <c r="H124" s="31" t="s">
        <v>5</v>
      </c>
      <c r="I124" s="31" t="s">
        <v>506</v>
      </c>
      <c r="J124" s="31" t="s">
        <v>507</v>
      </c>
      <c r="K124" s="31" t="s">
        <v>157</v>
      </c>
      <c r="L124" s="31" t="s">
        <v>21</v>
      </c>
      <c r="M124" s="31" t="s">
        <v>24</v>
      </c>
      <c r="N124" s="31">
        <v>0</v>
      </c>
      <c r="O124" s="31">
        <f>2024-Inventory[[#This Row],[YrBlt]]</f>
        <v>3</v>
      </c>
      <c r="P124" s="31">
        <f>2024-Inventory[[#This Row],[EffYr]]</f>
        <v>3</v>
      </c>
      <c r="Q124" s="30">
        <v>2021</v>
      </c>
      <c r="R124" s="30">
        <v>2021</v>
      </c>
      <c r="S124" s="30">
        <v>2010</v>
      </c>
      <c r="T124" s="32"/>
      <c r="U124" s="37"/>
      <c r="V124" s="32"/>
      <c r="W124" s="32"/>
      <c r="X124" s="32">
        <f>Inventory[[#This Row],[Bsmt Area]]-Inventory[[#This Row],[FnBsmt]]</f>
        <v>0</v>
      </c>
      <c r="Y124" s="32">
        <f>Inventory[[#This Row],[MainFn]]+Inventory[[#This Row],[UpprFn]]+Inventory[[#This Row],[AddFn]]+Inventory[[#This Row],[FnBsmt]]</f>
        <v>2010</v>
      </c>
      <c r="Z124" s="32">
        <v>2500</v>
      </c>
      <c r="AA124" s="31" t="s">
        <v>57</v>
      </c>
      <c r="AB124" s="32"/>
      <c r="AC124" s="38">
        <v>664</v>
      </c>
      <c r="AD124" s="32"/>
      <c r="AE124" s="32"/>
      <c r="AF124" s="32"/>
      <c r="AG124" s="32"/>
      <c r="AH124" s="32"/>
      <c r="AI124" s="30">
        <v>432745</v>
      </c>
      <c r="AJ124" s="30">
        <v>419763</v>
      </c>
      <c r="AK124" s="30">
        <v>0</v>
      </c>
      <c r="AL124" s="30">
        <v>0</v>
      </c>
      <c r="AM124" s="30">
        <v>61700</v>
      </c>
      <c r="AN124" s="30">
        <v>347700</v>
      </c>
      <c r="AO124" s="30">
        <v>409400</v>
      </c>
      <c r="AP124" s="30">
        <f>Lookups!$B$58*0.6</f>
        <v>132535.48800000001</v>
      </c>
      <c r="AQ124" s="30">
        <f>Lookups!$B$58*0.4</f>
        <v>88356.992000000013</v>
      </c>
      <c r="AR124" s="30">
        <f>Lookups!$B$59*Inventory[[#This Row],[LnAcres]]</f>
        <v>-23333.160238668213</v>
      </c>
      <c r="AS124" s="30">
        <f>VLOOKUP(Inventory[[#This Row],[Qlty]],Lookups!$A$66:$E$79,2,FALSE)</f>
        <v>32917.849192000001</v>
      </c>
      <c r="AT124" s="30">
        <f>VLOOKUP(Inventory[[#This Row],[Cnd]],Lookups!$A$80:$E$88,2,FALSE)</f>
        <v>47371.278778200001</v>
      </c>
      <c r="AU124" s="30">
        <f>Inventory[[#This Row],[EffAge]]*Lookups!$B$65</f>
        <v>-326.22329999999999</v>
      </c>
      <c r="AV124" s="30">
        <f>Inventory[[#This Row],[MainFn]]*Lookups!$B$90</f>
        <v>125444.86380000001</v>
      </c>
      <c r="AW124" s="30">
        <f>Inventory[[#This Row],[UpprFn]]*Lookups!$B$91</f>
        <v>0</v>
      </c>
      <c r="AX124" s="30">
        <f>Inventory[[#This Row],[Bsmt Area]]*Lookups!$B$95</f>
        <v>0</v>
      </c>
      <c r="AY124" s="30">
        <f>Inventory[[#This Row],[AttGar]]*Lookups!$B$93</f>
        <v>23439.884583999999</v>
      </c>
      <c r="AZ124" s="30">
        <f>ROUND(Inventory[[#This Row],[25Det]],-2)</f>
        <v>0</v>
      </c>
      <c r="BA124" s="30">
        <f>ROUND(SUM(Inventory[[#This Row],[Mdl Qlty]:[Mdl Garage Area]])+Inventory[[#This Row],[Mdl Res Intercept]],-2)</f>
        <v>361400</v>
      </c>
      <c r="BB124" s="30">
        <f>ROUND(Inventory[[#This Row],[Mdl Land Intercept]]+Inventory[[#This Row],[Mdl LnAcres]],-2)</f>
        <v>65000</v>
      </c>
      <c r="BC124" s="30">
        <f>Inventory[[#This Row],[Unadj Res Value]]+Inventory[[#This Row],[Unadj Det Value]]+Inventory[[#This Row],[Unadj Land Value]]</f>
        <v>426400</v>
      </c>
      <c r="BD124" s="30">
        <f>(Inventory[[#This Row],[Unadj Total Value]]-Inventory[[#This Row],[24Final]])/Inventory[[#This Row],[24Final]]</f>
        <v>4.1524181729360038E-2</v>
      </c>
      <c r="BE124" s="30">
        <f>VLOOKUP(Inventory[[#This Row],[Nbhd]],Lookups!$M$3:$P$5,4,FALSE)</f>
        <v>0.99970000000000003</v>
      </c>
      <c r="BF124" s="30">
        <f>VLOOKUP(Inventory[[#This Row],[Qlty]],Lookups!$M$8:$P$22,4,FALSE)</f>
        <v>1.0019</v>
      </c>
      <c r="BG124" s="30">
        <f>VLOOKUP(Inventory[[#This Row],[Cnd]],Lookups!$R$8:$U$17,4,FALSE)</f>
        <v>1.0012000000000001</v>
      </c>
      <c r="BH124" s="30">
        <f>VLOOKUP(Inventory[[#This Row],[LivArea Range]],Lookups!$R$25:$U$43,4,FALSE)</f>
        <v>1.0008999999999999</v>
      </c>
      <c r="BI124" s="30">
        <f>VLOOKUP(Inventory[[#This Row],[Decade]],Lookups!$M$24:$P$40,4,FALSE)</f>
        <v>1</v>
      </c>
      <c r="BJ124" s="30">
        <f>Inventory[[#This Row],[Nbhd Adj]]*0.95</f>
        <v>0.94971499999999998</v>
      </c>
      <c r="BK124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24" s="30">
        <f>ROUND((SUM(Inventory[[#This Row],[Mdl Qlty]:[Mdl Garage Area]])+Inventory[[#This Row],[Mdl Res Intercept]])*Inventory[[#This Row],[Res Adj ]],-2)</f>
        <v>343600</v>
      </c>
      <c r="BM124" s="30">
        <f>ROUND(Inventory[[#This Row],[25Det]]*Inventory[[#This Row],[Det/Nbhd Adj]],-2)</f>
        <v>0</v>
      </c>
      <c r="BN124" s="30">
        <f>Inventory[[#This Row],[Adjusted Res]]+Inventory[[#This Row],[Adj Det ]]</f>
        <v>343600</v>
      </c>
      <c r="BO124" s="30">
        <f>ROUND((Inventory[[#This Row],[Mdl Land Intercept]]+Inventory[[#This Row],[Mdl LnAcres]])*Inventory[[#This Row],[Det/Nbhd Adj]],-2)</f>
        <v>61800</v>
      </c>
      <c r="BP124" s="30">
        <f>Inventory[[#This Row],[Adjusted Impr Total]]+Inventory[[#This Row],[Adjusted Land Total]]</f>
        <v>405400</v>
      </c>
      <c r="BQ124" s="30">
        <f>IFERROR((Inventory[[#This Row],[Adjusted Impr Total]]-Inventory[[#This Row],[24Bldg]])/Inventory[[#This Row],[24Bldg]],0)</f>
        <v>-1.179177451826287E-2</v>
      </c>
      <c r="BR124" s="43">
        <f>(Inventory[[#This Row],[Adjusted Land Total]]-Inventory[[#This Row],[24Lnd]])/Inventory[[#This Row],[24Lnd]]</f>
        <v>1.6207455429497568E-3</v>
      </c>
      <c r="BS124" s="43">
        <f>(Inventory[[#This Row],[Adjusted Total]]-Inventory[[#This Row],[24Final]])/Inventory[[#This Row],[24Final]]</f>
        <v>-9.7703957010258913E-3</v>
      </c>
    </row>
    <row r="125" spans="1:71">
      <c r="A125" s="30">
        <v>2025</v>
      </c>
      <c r="B125" s="31" t="s">
        <v>634</v>
      </c>
      <c r="C125" s="31">
        <f>LN(Inventory[[#This Row],[Acres]])</f>
        <v>-1.7778565640590636</v>
      </c>
      <c r="D125" s="37">
        <f>ROUND(Inventory[[#This Row],[Sqft]]/43560,3)</f>
        <v>0.16900000000000001</v>
      </c>
      <c r="E125" s="30">
        <v>7350</v>
      </c>
      <c r="F125" s="31" t="s">
        <v>505</v>
      </c>
      <c r="G125" s="31" t="s">
        <v>155</v>
      </c>
      <c r="H125" s="31" t="s">
        <v>5</v>
      </c>
      <c r="I125" s="31" t="s">
        <v>506</v>
      </c>
      <c r="J125" s="31" t="s">
        <v>507</v>
      </c>
      <c r="K125" s="31" t="s">
        <v>157</v>
      </c>
      <c r="L125" s="31" t="s">
        <v>19</v>
      </c>
      <c r="M125" s="31" t="s">
        <v>24</v>
      </c>
      <c r="N125" s="31">
        <v>0</v>
      </c>
      <c r="O125" s="31">
        <f>2024-Inventory[[#This Row],[YrBlt]]</f>
        <v>3</v>
      </c>
      <c r="P125" s="31">
        <f>2024-Inventory[[#This Row],[EffYr]]</f>
        <v>3</v>
      </c>
      <c r="Q125" s="30">
        <v>2021</v>
      </c>
      <c r="R125" s="30">
        <v>2021</v>
      </c>
      <c r="S125" s="30">
        <v>780</v>
      </c>
      <c r="T125" s="38">
        <v>1080</v>
      </c>
      <c r="U125" s="32"/>
      <c r="V125" s="32"/>
      <c r="W125" s="32"/>
      <c r="X125" s="32">
        <f>Inventory[[#This Row],[Bsmt Area]]-Inventory[[#This Row],[FnBsmt]]</f>
        <v>0</v>
      </c>
      <c r="Y125" s="32">
        <f>Inventory[[#This Row],[MainFn]]+Inventory[[#This Row],[UpprFn]]+Inventory[[#This Row],[AddFn]]+Inventory[[#This Row],[FnBsmt]]</f>
        <v>1860</v>
      </c>
      <c r="Z125" s="32">
        <v>2000</v>
      </c>
      <c r="AA125" s="31" t="s">
        <v>56</v>
      </c>
      <c r="AB125" s="32"/>
      <c r="AC125" s="32"/>
      <c r="AD125" s="38">
        <v>420</v>
      </c>
      <c r="AE125" s="32"/>
      <c r="AF125" s="32"/>
      <c r="AG125" s="32"/>
      <c r="AH125" s="32"/>
      <c r="AI125" s="30">
        <v>341839</v>
      </c>
      <c r="AJ125" s="30">
        <v>331584</v>
      </c>
      <c r="AK125" s="30">
        <v>0</v>
      </c>
      <c r="AL125" s="30">
        <v>0</v>
      </c>
      <c r="AM125" s="30">
        <v>61700</v>
      </c>
      <c r="AN125" s="30">
        <v>348800</v>
      </c>
      <c r="AO125" s="30">
        <v>410500</v>
      </c>
      <c r="AP125" s="30">
        <f>Lookups!$B$58*0.6</f>
        <v>132535.48800000001</v>
      </c>
      <c r="AQ125" s="30">
        <f>Lookups!$B$58*0.4</f>
        <v>88356.992000000013</v>
      </c>
      <c r="AR125" s="30">
        <f>Lookups!$B$59*Inventory[[#This Row],[LnAcres]]</f>
        <v>-23333.160238668213</v>
      </c>
      <c r="AS125" s="30">
        <f>VLOOKUP(Inventory[[#This Row],[Qlty]],Lookups!$A$66:$E$79,2,FALSE)</f>
        <v>37154.252388000001</v>
      </c>
      <c r="AT125" s="30">
        <f>VLOOKUP(Inventory[[#This Row],[Cnd]],Lookups!$A$80:$E$88,2,FALSE)</f>
        <v>47371.278778200001</v>
      </c>
      <c r="AU125" s="30">
        <f>Inventory[[#This Row],[EffAge]]*Lookups!$B$65</f>
        <v>-326.22329999999999</v>
      </c>
      <c r="AV125" s="30">
        <f>Inventory[[#This Row],[MainFn]]*Lookups!$B$90</f>
        <v>48680.096400000002</v>
      </c>
      <c r="AW125" s="30">
        <f>Inventory[[#This Row],[UpprFn]]*Lookups!$B$91</f>
        <v>64346.81364</v>
      </c>
      <c r="AX125" s="30">
        <f>Inventory[[#This Row],[Bsmt Area]]*Lookups!$B$95</f>
        <v>0</v>
      </c>
      <c r="AY125" s="30">
        <f>Inventory[[#This Row],[AttGar]]*Lookups!$B$93</f>
        <v>0</v>
      </c>
      <c r="AZ125" s="30">
        <f>ROUND(Inventory[[#This Row],[25Det]],-2)</f>
        <v>0</v>
      </c>
      <c r="BA125" s="30">
        <f>ROUND(SUM(Inventory[[#This Row],[Mdl Qlty]:[Mdl Garage Area]])+Inventory[[#This Row],[Mdl Res Intercept]],-2)</f>
        <v>329800</v>
      </c>
      <c r="BB125" s="30">
        <f>ROUND(Inventory[[#This Row],[Mdl Land Intercept]]+Inventory[[#This Row],[Mdl LnAcres]],-2)</f>
        <v>65000</v>
      </c>
      <c r="BC125" s="30">
        <f>Inventory[[#This Row],[Unadj Res Value]]+Inventory[[#This Row],[Unadj Det Value]]+Inventory[[#This Row],[Unadj Land Value]]</f>
        <v>394800</v>
      </c>
      <c r="BD125" s="30">
        <f>(Inventory[[#This Row],[Unadj Total Value]]-Inventory[[#This Row],[24Final]])/Inventory[[#This Row],[24Final]]</f>
        <v>-3.8246041412911082E-2</v>
      </c>
      <c r="BE125" s="30">
        <f>VLOOKUP(Inventory[[#This Row],[Nbhd]],Lookups!$M$3:$P$5,4,FALSE)</f>
        <v>0.99970000000000003</v>
      </c>
      <c r="BF125" s="30">
        <f>VLOOKUP(Inventory[[#This Row],[Qlty]],Lookups!$M$8:$P$22,4,FALSE)</f>
        <v>0.99819999999999998</v>
      </c>
      <c r="BG125" s="30">
        <f>VLOOKUP(Inventory[[#This Row],[Cnd]],Lookups!$R$8:$U$17,4,FALSE)</f>
        <v>1.0012000000000001</v>
      </c>
      <c r="BH125" s="30">
        <f>VLOOKUP(Inventory[[#This Row],[LivArea Range]],Lookups!$R$25:$U$43,4,FALSE)</f>
        <v>1.0007999999999999</v>
      </c>
      <c r="BI125" s="30">
        <f>VLOOKUP(Inventory[[#This Row],[Decade]],Lookups!$M$24:$P$40,4,FALSE)</f>
        <v>1</v>
      </c>
      <c r="BJ125" s="30">
        <f>Inventory[[#This Row],[Nbhd Adj]]*0.95</f>
        <v>0.94971499999999998</v>
      </c>
      <c r="BK125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125" s="30">
        <f>ROUND((SUM(Inventory[[#This Row],[Mdl Qlty]:[Mdl Garage Area]])+Inventory[[#This Row],[Mdl Res Intercept]])*Inventory[[#This Row],[Res Adj ]],-2)</f>
        <v>313300</v>
      </c>
      <c r="BM125" s="30">
        <f>ROUND(Inventory[[#This Row],[25Det]]*Inventory[[#This Row],[Det/Nbhd Adj]],-2)</f>
        <v>0</v>
      </c>
      <c r="BN125" s="30">
        <f>Inventory[[#This Row],[Adjusted Res]]+Inventory[[#This Row],[Adj Det ]]</f>
        <v>313300</v>
      </c>
      <c r="BO125" s="30">
        <f>ROUND((Inventory[[#This Row],[Mdl Land Intercept]]+Inventory[[#This Row],[Mdl LnAcres]])*Inventory[[#This Row],[Det/Nbhd Adj]],-2)</f>
        <v>61800</v>
      </c>
      <c r="BP125" s="30">
        <f>Inventory[[#This Row],[Adjusted Impr Total]]+Inventory[[#This Row],[Adjusted Land Total]]</f>
        <v>375100</v>
      </c>
      <c r="BQ125" s="30">
        <f>IFERROR((Inventory[[#This Row],[Adjusted Impr Total]]-Inventory[[#This Row],[24Bldg]])/Inventory[[#This Row],[24Bldg]],0)</f>
        <v>-0.10177752293577981</v>
      </c>
      <c r="BR125" s="43">
        <f>(Inventory[[#This Row],[Adjusted Land Total]]-Inventory[[#This Row],[24Lnd]])/Inventory[[#This Row],[24Lnd]]</f>
        <v>1.6207455429497568E-3</v>
      </c>
      <c r="BS125" s="43">
        <f>(Inventory[[#This Row],[Adjusted Total]]-Inventory[[#This Row],[24Final]])/Inventory[[#This Row],[24Final]]</f>
        <v>-8.623629719853837E-2</v>
      </c>
    </row>
    <row r="126" spans="1:71">
      <c r="A126" s="30">
        <v>2025</v>
      </c>
      <c r="B126" s="31" t="s">
        <v>635</v>
      </c>
      <c r="C126" s="31">
        <f>LN(Inventory[[#This Row],[Acres]])</f>
        <v>-1.7778565640590636</v>
      </c>
      <c r="D126" s="37">
        <f>ROUND(Inventory[[#This Row],[Sqft]]/43560,3)</f>
        <v>0.16900000000000001</v>
      </c>
      <c r="E126" s="30">
        <v>7360</v>
      </c>
      <c r="F126" s="31" t="s">
        <v>505</v>
      </c>
      <c r="G126" s="31" t="s">
        <v>155</v>
      </c>
      <c r="H126" s="31" t="s">
        <v>5</v>
      </c>
      <c r="I126" s="31" t="s">
        <v>506</v>
      </c>
      <c r="J126" s="31" t="s">
        <v>507</v>
      </c>
      <c r="K126" s="31" t="s">
        <v>157</v>
      </c>
      <c r="L126" s="31" t="s">
        <v>19</v>
      </c>
      <c r="M126" s="31" t="s">
        <v>24</v>
      </c>
      <c r="N126" s="31">
        <v>0</v>
      </c>
      <c r="O126" s="31">
        <f>2024-Inventory[[#This Row],[YrBlt]]</f>
        <v>3</v>
      </c>
      <c r="P126" s="31">
        <f>2024-Inventory[[#This Row],[EffYr]]</f>
        <v>3</v>
      </c>
      <c r="Q126" s="30">
        <v>2021</v>
      </c>
      <c r="R126" s="30">
        <v>2021</v>
      </c>
      <c r="S126" s="30">
        <v>1550</v>
      </c>
      <c r="T126" s="32"/>
      <c r="U126" s="32"/>
      <c r="V126" s="32"/>
      <c r="W126" s="32"/>
      <c r="X126" s="32">
        <f>Inventory[[#This Row],[Bsmt Area]]-Inventory[[#This Row],[FnBsmt]]</f>
        <v>0</v>
      </c>
      <c r="Y126" s="32">
        <f>Inventory[[#This Row],[MainFn]]+Inventory[[#This Row],[UpprFn]]+Inventory[[#This Row],[AddFn]]+Inventory[[#This Row],[FnBsmt]]</f>
        <v>1550</v>
      </c>
      <c r="Z126" s="32">
        <v>2000</v>
      </c>
      <c r="AA126" s="31" t="s">
        <v>56</v>
      </c>
      <c r="AB126" s="32"/>
      <c r="AC126" s="38">
        <v>660</v>
      </c>
      <c r="AD126" s="32"/>
      <c r="AE126" s="32"/>
      <c r="AF126" s="32"/>
      <c r="AG126" s="32"/>
      <c r="AH126" s="32"/>
      <c r="AI126" s="30">
        <v>318867</v>
      </c>
      <c r="AJ126" s="30">
        <v>309301</v>
      </c>
      <c r="AK126" s="30">
        <v>0</v>
      </c>
      <c r="AL126" s="30">
        <v>0</v>
      </c>
      <c r="AM126" s="30">
        <v>61700</v>
      </c>
      <c r="AN126" s="30">
        <v>337300</v>
      </c>
      <c r="AO126" s="30">
        <v>399000</v>
      </c>
      <c r="AP126" s="30">
        <f>Lookups!$B$58*0.6</f>
        <v>132535.48800000001</v>
      </c>
      <c r="AQ126" s="30">
        <f>Lookups!$B$58*0.4</f>
        <v>88356.992000000013</v>
      </c>
      <c r="AR126" s="30">
        <f>Lookups!$B$59*Inventory[[#This Row],[LnAcres]]</f>
        <v>-23333.160238668213</v>
      </c>
      <c r="AS126" s="30">
        <f>VLOOKUP(Inventory[[#This Row],[Qlty]],Lookups!$A$66:$E$79,2,FALSE)</f>
        <v>37154.252388000001</v>
      </c>
      <c r="AT126" s="30">
        <f>VLOOKUP(Inventory[[#This Row],[Cnd]],Lookups!$A$80:$E$88,2,FALSE)</f>
        <v>47371.278778200001</v>
      </c>
      <c r="AU126" s="30">
        <f>Inventory[[#This Row],[EffAge]]*Lookups!$B$65</f>
        <v>-326.22329999999999</v>
      </c>
      <c r="AV126" s="30">
        <f>Inventory[[#This Row],[MainFn]]*Lookups!$B$90</f>
        <v>96736.089000000007</v>
      </c>
      <c r="AW126" s="30">
        <f>Inventory[[#This Row],[UpprFn]]*Lookups!$B$91</f>
        <v>0</v>
      </c>
      <c r="AX126" s="30">
        <f>Inventory[[#This Row],[Bsmt Area]]*Lookups!$B$95</f>
        <v>0</v>
      </c>
      <c r="AY126" s="30">
        <f>Inventory[[#This Row],[AttGar]]*Lookups!$B$93</f>
        <v>23298.68046</v>
      </c>
      <c r="AZ126" s="30">
        <f>ROUND(Inventory[[#This Row],[25Det]],-2)</f>
        <v>0</v>
      </c>
      <c r="BA126" s="30">
        <f>ROUND(SUM(Inventory[[#This Row],[Mdl Qlty]:[Mdl Garage Area]])+Inventory[[#This Row],[Mdl Res Intercept]],-2)</f>
        <v>336800</v>
      </c>
      <c r="BB126" s="30">
        <f>ROUND(Inventory[[#This Row],[Mdl Land Intercept]]+Inventory[[#This Row],[Mdl LnAcres]],-2)</f>
        <v>65000</v>
      </c>
      <c r="BC126" s="30">
        <f>Inventory[[#This Row],[Unadj Res Value]]+Inventory[[#This Row],[Unadj Det Value]]+Inventory[[#This Row],[Unadj Land Value]]</f>
        <v>401800</v>
      </c>
      <c r="BD126" s="30">
        <f>(Inventory[[#This Row],[Unadj Total Value]]-Inventory[[#This Row],[24Final]])/Inventory[[#This Row],[24Final]]</f>
        <v>7.0175438596491229E-3</v>
      </c>
      <c r="BE126" s="30">
        <f>VLOOKUP(Inventory[[#This Row],[Nbhd]],Lookups!$M$3:$P$5,4,FALSE)</f>
        <v>0.99970000000000003</v>
      </c>
      <c r="BF126" s="30">
        <f>VLOOKUP(Inventory[[#This Row],[Qlty]],Lookups!$M$8:$P$22,4,FALSE)</f>
        <v>0.99819999999999998</v>
      </c>
      <c r="BG126" s="30">
        <f>VLOOKUP(Inventory[[#This Row],[Cnd]],Lookups!$R$8:$U$17,4,FALSE)</f>
        <v>1.0012000000000001</v>
      </c>
      <c r="BH126" s="30">
        <f>VLOOKUP(Inventory[[#This Row],[LivArea Range]],Lookups!$R$25:$U$43,4,FALSE)</f>
        <v>1.0007999999999999</v>
      </c>
      <c r="BI126" s="30">
        <f>VLOOKUP(Inventory[[#This Row],[Decade]],Lookups!$M$24:$P$40,4,FALSE)</f>
        <v>1</v>
      </c>
      <c r="BJ126" s="30">
        <f>Inventory[[#This Row],[Nbhd Adj]]*0.95</f>
        <v>0.94971499999999998</v>
      </c>
      <c r="BK126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126" s="30">
        <f>ROUND((SUM(Inventory[[#This Row],[Mdl Qlty]:[Mdl Garage Area]])+Inventory[[#This Row],[Mdl Res Intercept]])*Inventory[[#This Row],[Res Adj ]],-2)</f>
        <v>319900</v>
      </c>
      <c r="BM126" s="30">
        <f>ROUND(Inventory[[#This Row],[25Det]]*Inventory[[#This Row],[Det/Nbhd Adj]],-2)</f>
        <v>0</v>
      </c>
      <c r="BN126" s="30">
        <f>Inventory[[#This Row],[Adjusted Res]]+Inventory[[#This Row],[Adj Det ]]</f>
        <v>319900</v>
      </c>
      <c r="BO126" s="30">
        <f>ROUND((Inventory[[#This Row],[Mdl Land Intercept]]+Inventory[[#This Row],[Mdl LnAcres]])*Inventory[[#This Row],[Det/Nbhd Adj]],-2)</f>
        <v>61800</v>
      </c>
      <c r="BP126" s="30">
        <f>Inventory[[#This Row],[Adjusted Impr Total]]+Inventory[[#This Row],[Adjusted Land Total]]</f>
        <v>381700</v>
      </c>
      <c r="BQ126" s="30">
        <f>IFERROR((Inventory[[#This Row],[Adjusted Impr Total]]-Inventory[[#This Row],[24Bldg]])/Inventory[[#This Row],[24Bldg]],0)</f>
        <v>-5.1586125111176995E-2</v>
      </c>
      <c r="BR126" s="43">
        <f>(Inventory[[#This Row],[Adjusted Land Total]]-Inventory[[#This Row],[24Lnd]])/Inventory[[#This Row],[24Lnd]]</f>
        <v>1.6207455429497568E-3</v>
      </c>
      <c r="BS126" s="43">
        <f>(Inventory[[#This Row],[Adjusted Total]]-Inventory[[#This Row],[24Final]])/Inventory[[#This Row],[24Final]]</f>
        <v>-4.3358395989974936E-2</v>
      </c>
    </row>
    <row r="127" spans="1:71">
      <c r="A127" s="30">
        <v>2025</v>
      </c>
      <c r="B127" s="31" t="s">
        <v>636</v>
      </c>
      <c r="C127" s="31">
        <f>LN(Inventory[[#This Row],[Acres]])</f>
        <v>-1.7778565640590636</v>
      </c>
      <c r="D127" s="37">
        <f>ROUND(Inventory[[#This Row],[Sqft]]/43560,3)</f>
        <v>0.16900000000000001</v>
      </c>
      <c r="E127" s="30">
        <v>7350</v>
      </c>
      <c r="F127" s="31" t="s">
        <v>505</v>
      </c>
      <c r="G127" s="31" t="s">
        <v>155</v>
      </c>
      <c r="H127" s="31" t="s">
        <v>5</v>
      </c>
      <c r="I127" s="31" t="s">
        <v>506</v>
      </c>
      <c r="J127" s="31" t="s">
        <v>507</v>
      </c>
      <c r="K127" s="31" t="s">
        <v>157</v>
      </c>
      <c r="L127" s="31" t="s">
        <v>21</v>
      </c>
      <c r="M127" s="31" t="s">
        <v>24</v>
      </c>
      <c r="N127" s="31">
        <v>0</v>
      </c>
      <c r="O127" s="31">
        <f>2024-Inventory[[#This Row],[YrBlt]]</f>
        <v>3</v>
      </c>
      <c r="P127" s="31">
        <f>2024-Inventory[[#This Row],[EffYr]]</f>
        <v>3</v>
      </c>
      <c r="Q127" s="30">
        <v>2021</v>
      </c>
      <c r="R127" s="30">
        <v>2021</v>
      </c>
      <c r="S127" s="30">
        <v>2010</v>
      </c>
      <c r="T127" s="32"/>
      <c r="U127" s="32"/>
      <c r="V127" s="32"/>
      <c r="W127" s="32"/>
      <c r="X127" s="32">
        <f>Inventory[[#This Row],[Bsmt Area]]-Inventory[[#This Row],[FnBsmt]]</f>
        <v>0</v>
      </c>
      <c r="Y127" s="32">
        <f>Inventory[[#This Row],[MainFn]]+Inventory[[#This Row],[UpprFn]]+Inventory[[#This Row],[AddFn]]+Inventory[[#This Row],[FnBsmt]]</f>
        <v>2010</v>
      </c>
      <c r="Z127" s="32">
        <v>2500</v>
      </c>
      <c r="AA127" s="31" t="s">
        <v>56</v>
      </c>
      <c r="AB127" s="32"/>
      <c r="AC127" s="38">
        <v>424</v>
      </c>
      <c r="AD127" s="32"/>
      <c r="AE127" s="32"/>
      <c r="AF127" s="32"/>
      <c r="AG127" s="32"/>
      <c r="AH127" s="32"/>
      <c r="AI127" s="30">
        <v>428106</v>
      </c>
      <c r="AJ127" s="30">
        <v>415263</v>
      </c>
      <c r="AK127" s="30">
        <v>0</v>
      </c>
      <c r="AL127" s="30">
        <v>0</v>
      </c>
      <c r="AM127" s="30">
        <v>61700</v>
      </c>
      <c r="AN127" s="30">
        <v>346600</v>
      </c>
      <c r="AO127" s="30">
        <v>408300</v>
      </c>
      <c r="AP127" s="30">
        <f>Lookups!$B$58*0.6</f>
        <v>132535.48800000001</v>
      </c>
      <c r="AQ127" s="30">
        <f>Lookups!$B$58*0.4</f>
        <v>88356.992000000013</v>
      </c>
      <c r="AR127" s="30">
        <f>Lookups!$B$59*Inventory[[#This Row],[LnAcres]]</f>
        <v>-23333.160238668213</v>
      </c>
      <c r="AS127" s="30">
        <f>VLOOKUP(Inventory[[#This Row],[Qlty]],Lookups!$A$66:$E$79,2,FALSE)</f>
        <v>32917.849192000001</v>
      </c>
      <c r="AT127" s="30">
        <f>VLOOKUP(Inventory[[#This Row],[Cnd]],Lookups!$A$80:$E$88,2,FALSE)</f>
        <v>47371.278778200001</v>
      </c>
      <c r="AU127" s="30">
        <f>Inventory[[#This Row],[EffAge]]*Lookups!$B$65</f>
        <v>-326.22329999999999</v>
      </c>
      <c r="AV127" s="30">
        <f>Inventory[[#This Row],[MainFn]]*Lookups!$B$90</f>
        <v>125444.86380000001</v>
      </c>
      <c r="AW127" s="30">
        <f>Inventory[[#This Row],[UpprFn]]*Lookups!$B$91</f>
        <v>0</v>
      </c>
      <c r="AX127" s="30">
        <f>Inventory[[#This Row],[Bsmt Area]]*Lookups!$B$95</f>
        <v>0</v>
      </c>
      <c r="AY127" s="30">
        <f>Inventory[[#This Row],[AttGar]]*Lookups!$B$93</f>
        <v>14967.637144</v>
      </c>
      <c r="AZ127" s="30">
        <f>ROUND(Inventory[[#This Row],[25Det]],-2)</f>
        <v>0</v>
      </c>
      <c r="BA127" s="30">
        <f>ROUND(SUM(Inventory[[#This Row],[Mdl Qlty]:[Mdl Garage Area]])+Inventory[[#This Row],[Mdl Res Intercept]],-2)</f>
        <v>352900</v>
      </c>
      <c r="BB127" s="30">
        <f>ROUND(Inventory[[#This Row],[Mdl Land Intercept]]+Inventory[[#This Row],[Mdl LnAcres]],-2)</f>
        <v>65000</v>
      </c>
      <c r="BC127" s="30">
        <f>Inventory[[#This Row],[Unadj Res Value]]+Inventory[[#This Row],[Unadj Det Value]]+Inventory[[#This Row],[Unadj Land Value]]</f>
        <v>417900</v>
      </c>
      <c r="BD127" s="30">
        <f>(Inventory[[#This Row],[Unadj Total Value]]-Inventory[[#This Row],[24Final]])/Inventory[[#This Row],[24Final]]</f>
        <v>2.3512123438648051E-2</v>
      </c>
      <c r="BE127" s="30">
        <f>VLOOKUP(Inventory[[#This Row],[Nbhd]],Lookups!$M$3:$P$5,4,FALSE)</f>
        <v>0.99970000000000003</v>
      </c>
      <c r="BF127" s="30">
        <f>VLOOKUP(Inventory[[#This Row],[Qlty]],Lookups!$M$8:$P$22,4,FALSE)</f>
        <v>1.0019</v>
      </c>
      <c r="BG127" s="30">
        <f>VLOOKUP(Inventory[[#This Row],[Cnd]],Lookups!$R$8:$U$17,4,FALSE)</f>
        <v>1.0012000000000001</v>
      </c>
      <c r="BH127" s="30">
        <f>VLOOKUP(Inventory[[#This Row],[LivArea Range]],Lookups!$R$25:$U$43,4,FALSE)</f>
        <v>1.0008999999999999</v>
      </c>
      <c r="BI127" s="30">
        <f>VLOOKUP(Inventory[[#This Row],[Decade]],Lookups!$M$24:$P$40,4,FALSE)</f>
        <v>1</v>
      </c>
      <c r="BJ127" s="30">
        <f>Inventory[[#This Row],[Nbhd Adj]]*0.95</f>
        <v>0.94971499999999998</v>
      </c>
      <c r="BK127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27" s="30">
        <f>ROUND((SUM(Inventory[[#This Row],[Mdl Qlty]:[Mdl Garage Area]])+Inventory[[#This Row],[Mdl Res Intercept]])*Inventory[[#This Row],[Res Adj ]],-2)</f>
        <v>335500</v>
      </c>
      <c r="BM127" s="30">
        <f>ROUND(Inventory[[#This Row],[25Det]]*Inventory[[#This Row],[Det/Nbhd Adj]],-2)</f>
        <v>0</v>
      </c>
      <c r="BN127" s="30">
        <f>Inventory[[#This Row],[Adjusted Res]]+Inventory[[#This Row],[Adj Det ]]</f>
        <v>335500</v>
      </c>
      <c r="BO127" s="30">
        <f>ROUND((Inventory[[#This Row],[Mdl Land Intercept]]+Inventory[[#This Row],[Mdl LnAcres]])*Inventory[[#This Row],[Det/Nbhd Adj]],-2)</f>
        <v>61800</v>
      </c>
      <c r="BP127" s="30">
        <f>Inventory[[#This Row],[Adjusted Impr Total]]+Inventory[[#This Row],[Adjusted Land Total]]</f>
        <v>397300</v>
      </c>
      <c r="BQ127" s="30">
        <f>IFERROR((Inventory[[#This Row],[Adjusted Impr Total]]-Inventory[[#This Row],[24Bldg]])/Inventory[[#This Row],[24Bldg]],0)</f>
        <v>-3.202538949798038E-2</v>
      </c>
      <c r="BR127" s="43">
        <f>(Inventory[[#This Row],[Adjusted Land Total]]-Inventory[[#This Row],[24Lnd]])/Inventory[[#This Row],[24Lnd]]</f>
        <v>1.6207455429497568E-3</v>
      </c>
      <c r="BS127" s="43">
        <f>(Inventory[[#This Row],[Adjusted Total]]-Inventory[[#This Row],[24Final]])/Inventory[[#This Row],[24Final]]</f>
        <v>-2.6940974773450893E-2</v>
      </c>
    </row>
    <row r="128" spans="1:71">
      <c r="A128" s="30">
        <v>2025</v>
      </c>
      <c r="B128" s="31" t="s">
        <v>637</v>
      </c>
      <c r="C128" s="31">
        <f>LN(Inventory[[#This Row],[Acres]])</f>
        <v>-1.7778565640590636</v>
      </c>
      <c r="D128" s="37">
        <f>ROUND(Inventory[[#This Row],[Sqft]]/43560,3)</f>
        <v>0.16900000000000001</v>
      </c>
      <c r="E128" s="30">
        <v>7350</v>
      </c>
      <c r="F128" s="31" t="s">
        <v>505</v>
      </c>
      <c r="G128" s="31" t="s">
        <v>155</v>
      </c>
      <c r="H128" s="31" t="s">
        <v>5</v>
      </c>
      <c r="I128" s="31" t="s">
        <v>506</v>
      </c>
      <c r="J128" s="31" t="s">
        <v>507</v>
      </c>
      <c r="K128" s="31" t="s">
        <v>157</v>
      </c>
      <c r="L128" s="31" t="s">
        <v>19</v>
      </c>
      <c r="M128" s="31" t="s">
        <v>24</v>
      </c>
      <c r="N128" s="31">
        <v>0</v>
      </c>
      <c r="O128" s="31">
        <f>2024-Inventory[[#This Row],[YrBlt]]</f>
        <v>3</v>
      </c>
      <c r="P128" s="31">
        <f>2024-Inventory[[#This Row],[EffYr]]</f>
        <v>3</v>
      </c>
      <c r="Q128" s="30">
        <v>2021</v>
      </c>
      <c r="R128" s="30">
        <v>2021</v>
      </c>
      <c r="S128" s="30">
        <v>1550</v>
      </c>
      <c r="T128" s="32"/>
      <c r="U128" s="32"/>
      <c r="V128" s="32"/>
      <c r="W128" s="32"/>
      <c r="X128" s="32">
        <f>Inventory[[#This Row],[Bsmt Area]]-Inventory[[#This Row],[FnBsmt]]</f>
        <v>0</v>
      </c>
      <c r="Y128" s="32">
        <f>Inventory[[#This Row],[MainFn]]+Inventory[[#This Row],[UpprFn]]+Inventory[[#This Row],[AddFn]]+Inventory[[#This Row],[FnBsmt]]</f>
        <v>1550</v>
      </c>
      <c r="Z128" s="32">
        <v>2000</v>
      </c>
      <c r="AA128" s="31" t="s">
        <v>56</v>
      </c>
      <c r="AB128" s="32"/>
      <c r="AC128" s="38">
        <v>420</v>
      </c>
      <c r="AD128" s="32"/>
      <c r="AE128" s="32"/>
      <c r="AF128" s="32"/>
      <c r="AG128" s="32"/>
      <c r="AH128" s="32"/>
      <c r="AI128" s="30">
        <v>303687</v>
      </c>
      <c r="AJ128" s="30">
        <v>294576</v>
      </c>
      <c r="AK128" s="30">
        <v>0</v>
      </c>
      <c r="AL128" s="30">
        <v>0</v>
      </c>
      <c r="AM128" s="30">
        <v>61700</v>
      </c>
      <c r="AN128" s="30">
        <v>316600</v>
      </c>
      <c r="AO128" s="30">
        <v>378300</v>
      </c>
      <c r="AP128" s="30">
        <f>Lookups!$B$58*0.6</f>
        <v>132535.48800000001</v>
      </c>
      <c r="AQ128" s="30">
        <f>Lookups!$B$58*0.4</f>
        <v>88356.992000000013</v>
      </c>
      <c r="AR128" s="30">
        <f>Lookups!$B$59*Inventory[[#This Row],[LnAcres]]</f>
        <v>-23333.160238668213</v>
      </c>
      <c r="AS128" s="30">
        <f>VLOOKUP(Inventory[[#This Row],[Qlty]],Lookups!$A$66:$E$79,2,FALSE)</f>
        <v>37154.252388000001</v>
      </c>
      <c r="AT128" s="30">
        <f>VLOOKUP(Inventory[[#This Row],[Cnd]],Lookups!$A$80:$E$88,2,FALSE)</f>
        <v>47371.278778200001</v>
      </c>
      <c r="AU128" s="30">
        <f>Inventory[[#This Row],[EffAge]]*Lookups!$B$65</f>
        <v>-326.22329999999999</v>
      </c>
      <c r="AV128" s="30">
        <f>Inventory[[#This Row],[MainFn]]*Lookups!$B$90</f>
        <v>96736.089000000007</v>
      </c>
      <c r="AW128" s="30">
        <f>Inventory[[#This Row],[UpprFn]]*Lookups!$B$91</f>
        <v>0</v>
      </c>
      <c r="AX128" s="30">
        <f>Inventory[[#This Row],[Bsmt Area]]*Lookups!$B$95</f>
        <v>0</v>
      </c>
      <c r="AY128" s="30">
        <f>Inventory[[#This Row],[AttGar]]*Lookups!$B$93</f>
        <v>14826.43302</v>
      </c>
      <c r="AZ128" s="30">
        <f>ROUND(Inventory[[#This Row],[25Det]],-2)</f>
        <v>0</v>
      </c>
      <c r="BA128" s="30">
        <f>ROUND(SUM(Inventory[[#This Row],[Mdl Qlty]:[Mdl Garage Area]])+Inventory[[#This Row],[Mdl Res Intercept]],-2)</f>
        <v>328300</v>
      </c>
      <c r="BB128" s="30">
        <f>ROUND(Inventory[[#This Row],[Mdl Land Intercept]]+Inventory[[#This Row],[Mdl LnAcres]],-2)</f>
        <v>65000</v>
      </c>
      <c r="BC128" s="30">
        <f>Inventory[[#This Row],[Unadj Res Value]]+Inventory[[#This Row],[Unadj Det Value]]+Inventory[[#This Row],[Unadj Land Value]]</f>
        <v>393300</v>
      </c>
      <c r="BD128" s="30">
        <f>(Inventory[[#This Row],[Unadj Total Value]]-Inventory[[#This Row],[24Final]])/Inventory[[#This Row],[24Final]]</f>
        <v>3.9651070578905628E-2</v>
      </c>
      <c r="BE128" s="30">
        <f>VLOOKUP(Inventory[[#This Row],[Nbhd]],Lookups!$M$3:$P$5,4,FALSE)</f>
        <v>0.99970000000000003</v>
      </c>
      <c r="BF128" s="30">
        <f>VLOOKUP(Inventory[[#This Row],[Qlty]],Lookups!$M$8:$P$22,4,FALSE)</f>
        <v>0.99819999999999998</v>
      </c>
      <c r="BG128" s="30">
        <f>VLOOKUP(Inventory[[#This Row],[Cnd]],Lookups!$R$8:$U$17,4,FALSE)</f>
        <v>1.0012000000000001</v>
      </c>
      <c r="BH128" s="30">
        <f>VLOOKUP(Inventory[[#This Row],[LivArea Range]],Lookups!$R$25:$U$43,4,FALSE)</f>
        <v>1.0007999999999999</v>
      </c>
      <c r="BI128" s="30">
        <f>VLOOKUP(Inventory[[#This Row],[Decade]],Lookups!$M$24:$P$40,4,FALSE)</f>
        <v>1</v>
      </c>
      <c r="BJ128" s="30">
        <f>Inventory[[#This Row],[Nbhd Adj]]*0.95</f>
        <v>0.94971499999999998</v>
      </c>
      <c r="BK128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128" s="30">
        <f>ROUND((SUM(Inventory[[#This Row],[Mdl Qlty]:[Mdl Garage Area]])+Inventory[[#This Row],[Mdl Res Intercept]])*Inventory[[#This Row],[Res Adj ]],-2)</f>
        <v>311900</v>
      </c>
      <c r="BM128" s="30">
        <f>ROUND(Inventory[[#This Row],[25Det]]*Inventory[[#This Row],[Det/Nbhd Adj]],-2)</f>
        <v>0</v>
      </c>
      <c r="BN128" s="30">
        <f>Inventory[[#This Row],[Adjusted Res]]+Inventory[[#This Row],[Adj Det ]]</f>
        <v>311900</v>
      </c>
      <c r="BO128" s="30">
        <f>ROUND((Inventory[[#This Row],[Mdl Land Intercept]]+Inventory[[#This Row],[Mdl LnAcres]])*Inventory[[#This Row],[Det/Nbhd Adj]],-2)</f>
        <v>61800</v>
      </c>
      <c r="BP128" s="30">
        <f>Inventory[[#This Row],[Adjusted Impr Total]]+Inventory[[#This Row],[Adjusted Land Total]]</f>
        <v>373700</v>
      </c>
      <c r="BQ128" s="30">
        <f>IFERROR((Inventory[[#This Row],[Adjusted Impr Total]]-Inventory[[#This Row],[24Bldg]])/Inventory[[#This Row],[24Bldg]],0)</f>
        <v>-1.4845230574857865E-2</v>
      </c>
      <c r="BR128" s="43">
        <f>(Inventory[[#This Row],[Adjusted Land Total]]-Inventory[[#This Row],[24Lnd]])/Inventory[[#This Row],[24Lnd]]</f>
        <v>1.6207455429497568E-3</v>
      </c>
      <c r="BS128" s="43">
        <f>(Inventory[[#This Row],[Adjusted Total]]-Inventory[[#This Row],[24Final]])/Inventory[[#This Row],[24Final]]</f>
        <v>-1.2159661644197727E-2</v>
      </c>
    </row>
    <row r="129" spans="1:71">
      <c r="A129" s="30">
        <v>2025</v>
      </c>
      <c r="B129" s="31" t="s">
        <v>638</v>
      </c>
      <c r="C129" s="31">
        <f>LN(Inventory[[#This Row],[Acres]])</f>
        <v>-1.7719568419318752</v>
      </c>
      <c r="D129" s="37">
        <f>ROUND(Inventory[[#This Row],[Sqft]]/43560,3)</f>
        <v>0.17</v>
      </c>
      <c r="E129" s="38">
        <v>7388</v>
      </c>
      <c r="F129" s="31" t="s">
        <v>505</v>
      </c>
      <c r="G129" s="31" t="s">
        <v>155</v>
      </c>
      <c r="H129" s="31" t="s">
        <v>5</v>
      </c>
      <c r="I129" s="31" t="s">
        <v>506</v>
      </c>
      <c r="J129" s="31" t="s">
        <v>507</v>
      </c>
      <c r="K129" s="31" t="s">
        <v>157</v>
      </c>
      <c r="L129" s="31" t="s">
        <v>19</v>
      </c>
      <c r="M129" s="31" t="s">
        <v>24</v>
      </c>
      <c r="N129" s="31">
        <v>0</v>
      </c>
      <c r="O129" s="31">
        <f>2024-Inventory[[#This Row],[YrBlt]]</f>
        <v>3</v>
      </c>
      <c r="P129" s="31">
        <f>2024-Inventory[[#This Row],[EffYr]]</f>
        <v>3</v>
      </c>
      <c r="Q129" s="30">
        <v>2021</v>
      </c>
      <c r="R129" s="30">
        <v>2021</v>
      </c>
      <c r="S129" s="30">
        <v>1550</v>
      </c>
      <c r="T129" s="32"/>
      <c r="U129" s="32"/>
      <c r="V129" s="32"/>
      <c r="W129" s="32"/>
      <c r="X129" s="32">
        <f>Inventory[[#This Row],[Bsmt Area]]-Inventory[[#This Row],[FnBsmt]]</f>
        <v>0</v>
      </c>
      <c r="Y129" s="32">
        <f>Inventory[[#This Row],[MainFn]]+Inventory[[#This Row],[UpprFn]]+Inventory[[#This Row],[AddFn]]+Inventory[[#This Row],[FnBsmt]]</f>
        <v>1550</v>
      </c>
      <c r="Z129" s="32">
        <v>2000</v>
      </c>
      <c r="AA129" s="31" t="s">
        <v>56</v>
      </c>
      <c r="AB129" s="32"/>
      <c r="AC129" s="38">
        <v>420</v>
      </c>
      <c r="AD129" s="32"/>
      <c r="AE129" s="32"/>
      <c r="AF129" s="32"/>
      <c r="AG129" s="32"/>
      <c r="AH129" s="32"/>
      <c r="AI129" s="30">
        <v>304104</v>
      </c>
      <c r="AJ129" s="30">
        <v>294981</v>
      </c>
      <c r="AK129" s="30">
        <v>0</v>
      </c>
      <c r="AL129" s="30">
        <v>0</v>
      </c>
      <c r="AM129" s="30">
        <v>61700</v>
      </c>
      <c r="AN129" s="30">
        <v>317000</v>
      </c>
      <c r="AO129" s="30">
        <v>378700</v>
      </c>
      <c r="AP129" s="30">
        <f>Lookups!$B$58*0.6</f>
        <v>132535.48800000001</v>
      </c>
      <c r="AQ129" s="30">
        <f>Lookups!$B$58*0.4</f>
        <v>88356.992000000013</v>
      </c>
      <c r="AR129" s="30">
        <f>Lookups!$B$59*Inventory[[#This Row],[LnAcres]]</f>
        <v>-23255.730391660189</v>
      </c>
      <c r="AS129" s="30">
        <f>VLOOKUP(Inventory[[#This Row],[Qlty]],Lookups!$A$66:$E$79,2,FALSE)</f>
        <v>37154.252388000001</v>
      </c>
      <c r="AT129" s="30">
        <f>VLOOKUP(Inventory[[#This Row],[Cnd]],Lookups!$A$80:$E$88,2,FALSE)</f>
        <v>47371.278778200001</v>
      </c>
      <c r="AU129" s="30">
        <f>Inventory[[#This Row],[EffAge]]*Lookups!$B$65</f>
        <v>-326.22329999999999</v>
      </c>
      <c r="AV129" s="30">
        <f>Inventory[[#This Row],[MainFn]]*Lookups!$B$90</f>
        <v>96736.089000000007</v>
      </c>
      <c r="AW129" s="30">
        <f>Inventory[[#This Row],[UpprFn]]*Lookups!$B$91</f>
        <v>0</v>
      </c>
      <c r="AX129" s="30">
        <f>Inventory[[#This Row],[Bsmt Area]]*Lookups!$B$95</f>
        <v>0</v>
      </c>
      <c r="AY129" s="30">
        <f>Inventory[[#This Row],[AttGar]]*Lookups!$B$93</f>
        <v>14826.43302</v>
      </c>
      <c r="AZ129" s="30">
        <f>ROUND(Inventory[[#This Row],[25Det]],-2)</f>
        <v>0</v>
      </c>
      <c r="BA129" s="30">
        <f>ROUND(SUM(Inventory[[#This Row],[Mdl Qlty]:[Mdl Garage Area]])+Inventory[[#This Row],[Mdl Res Intercept]],-2)</f>
        <v>328300</v>
      </c>
      <c r="BB129" s="30">
        <f>ROUND(Inventory[[#This Row],[Mdl Land Intercept]]+Inventory[[#This Row],[Mdl LnAcres]],-2)</f>
        <v>65100</v>
      </c>
      <c r="BC129" s="30">
        <f>Inventory[[#This Row],[Unadj Res Value]]+Inventory[[#This Row],[Unadj Det Value]]+Inventory[[#This Row],[Unadj Land Value]]</f>
        <v>393400</v>
      </c>
      <c r="BD129" s="30">
        <f>(Inventory[[#This Row],[Unadj Total Value]]-Inventory[[#This Row],[24Final]])/Inventory[[#This Row],[24Final]]</f>
        <v>3.8817005545286505E-2</v>
      </c>
      <c r="BE129" s="30">
        <f>VLOOKUP(Inventory[[#This Row],[Nbhd]],Lookups!$M$3:$P$5,4,FALSE)</f>
        <v>0.99970000000000003</v>
      </c>
      <c r="BF129" s="30">
        <f>VLOOKUP(Inventory[[#This Row],[Qlty]],Lookups!$M$8:$P$22,4,FALSE)</f>
        <v>0.99819999999999998</v>
      </c>
      <c r="BG129" s="30">
        <f>VLOOKUP(Inventory[[#This Row],[Cnd]],Lookups!$R$8:$U$17,4,FALSE)</f>
        <v>1.0012000000000001</v>
      </c>
      <c r="BH129" s="30">
        <f>VLOOKUP(Inventory[[#This Row],[LivArea Range]],Lookups!$R$25:$U$43,4,FALSE)</f>
        <v>1.0007999999999999</v>
      </c>
      <c r="BI129" s="30">
        <f>VLOOKUP(Inventory[[#This Row],[Decade]],Lookups!$M$24:$P$40,4,FALSE)</f>
        <v>1</v>
      </c>
      <c r="BJ129" s="30">
        <f>Inventory[[#This Row],[Nbhd Adj]]*0.95</f>
        <v>0.94971499999999998</v>
      </c>
      <c r="BK129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129" s="30">
        <f>ROUND((SUM(Inventory[[#This Row],[Mdl Qlty]:[Mdl Garage Area]])+Inventory[[#This Row],[Mdl Res Intercept]])*Inventory[[#This Row],[Res Adj ]],-2)</f>
        <v>311900</v>
      </c>
      <c r="BM129" s="30">
        <f>ROUND(Inventory[[#This Row],[25Det]]*Inventory[[#This Row],[Det/Nbhd Adj]],-2)</f>
        <v>0</v>
      </c>
      <c r="BN129" s="30">
        <f>Inventory[[#This Row],[Adjusted Res]]+Inventory[[#This Row],[Adj Det ]]</f>
        <v>311900</v>
      </c>
      <c r="BO129" s="30">
        <f>ROUND((Inventory[[#This Row],[Mdl Land Intercept]]+Inventory[[#This Row],[Mdl LnAcres]])*Inventory[[#This Row],[Det/Nbhd Adj]],-2)</f>
        <v>61800</v>
      </c>
      <c r="BP129" s="30">
        <f>Inventory[[#This Row],[Adjusted Impr Total]]+Inventory[[#This Row],[Adjusted Land Total]]</f>
        <v>373700</v>
      </c>
      <c r="BQ129" s="30">
        <f>IFERROR((Inventory[[#This Row],[Adjusted Impr Total]]-Inventory[[#This Row],[24Bldg]])/Inventory[[#This Row],[24Bldg]],0)</f>
        <v>-1.6088328075709778E-2</v>
      </c>
      <c r="BR129" s="43">
        <f>(Inventory[[#This Row],[Adjusted Land Total]]-Inventory[[#This Row],[24Lnd]])/Inventory[[#This Row],[24Lnd]]</f>
        <v>1.6207455429497568E-3</v>
      </c>
      <c r="BS129" s="43">
        <f>(Inventory[[#This Row],[Adjusted Total]]-Inventory[[#This Row],[24Final]])/Inventory[[#This Row],[24Final]]</f>
        <v>-1.3203063110641669E-2</v>
      </c>
    </row>
    <row r="130" spans="1:71">
      <c r="A130" s="30">
        <v>2025</v>
      </c>
      <c r="B130" s="31" t="s">
        <v>639</v>
      </c>
      <c r="C130" s="31">
        <f>LN(Inventory[[#This Row],[Acres]])</f>
        <v>-1.7544636844843582</v>
      </c>
      <c r="D130" s="37">
        <f>ROUND(Inventory[[#This Row],[Sqft]]/43560,3)</f>
        <v>0.17299999999999999</v>
      </c>
      <c r="E130" s="30">
        <v>7520</v>
      </c>
      <c r="F130" s="31" t="s">
        <v>505</v>
      </c>
      <c r="G130" s="31" t="s">
        <v>155</v>
      </c>
      <c r="H130" s="31" t="s">
        <v>5</v>
      </c>
      <c r="I130" s="31" t="s">
        <v>506</v>
      </c>
      <c r="J130" s="31" t="s">
        <v>507</v>
      </c>
      <c r="K130" s="31" t="s">
        <v>157</v>
      </c>
      <c r="L130" s="31" t="s">
        <v>21</v>
      </c>
      <c r="M130" s="31" t="s">
        <v>24</v>
      </c>
      <c r="N130" s="31">
        <v>0</v>
      </c>
      <c r="O130" s="31">
        <f>2024-Inventory[[#This Row],[YrBlt]]</f>
        <v>3</v>
      </c>
      <c r="P130" s="31">
        <f>2024-Inventory[[#This Row],[EffYr]]</f>
        <v>3</v>
      </c>
      <c r="Q130" s="30">
        <v>2021</v>
      </c>
      <c r="R130" s="30">
        <v>2021</v>
      </c>
      <c r="S130" s="30">
        <v>1257</v>
      </c>
      <c r="T130" s="38">
        <v>1451</v>
      </c>
      <c r="U130" s="37"/>
      <c r="V130" s="32"/>
      <c r="W130" s="37"/>
      <c r="X130" s="37">
        <f>Inventory[[#This Row],[Bsmt Area]]-Inventory[[#This Row],[FnBsmt]]</f>
        <v>0</v>
      </c>
      <c r="Y130" s="37">
        <f>Inventory[[#This Row],[MainFn]]+Inventory[[#This Row],[UpprFn]]+Inventory[[#This Row],[AddFn]]+Inventory[[#This Row],[FnBsmt]]</f>
        <v>2708</v>
      </c>
      <c r="Z130" s="32">
        <v>3000</v>
      </c>
      <c r="AA130" s="31" t="s">
        <v>57</v>
      </c>
      <c r="AB130" s="32"/>
      <c r="AC130" s="32"/>
      <c r="AD130" s="38">
        <v>678</v>
      </c>
      <c r="AE130" s="32"/>
      <c r="AF130" s="32"/>
      <c r="AG130" s="32"/>
      <c r="AH130" s="32"/>
      <c r="AI130" s="30">
        <v>528373</v>
      </c>
      <c r="AJ130" s="30">
        <v>512522</v>
      </c>
      <c r="AK130" s="30">
        <v>0</v>
      </c>
      <c r="AL130" s="30">
        <v>0</v>
      </c>
      <c r="AM130" s="30">
        <v>61700</v>
      </c>
      <c r="AN130" s="30">
        <v>404800</v>
      </c>
      <c r="AO130" s="30">
        <v>466500</v>
      </c>
      <c r="AP130" s="30">
        <f>Lookups!$B$58*0.6</f>
        <v>132535.48800000001</v>
      </c>
      <c r="AQ130" s="30">
        <f>Lookups!$B$58*0.4</f>
        <v>88356.992000000013</v>
      </c>
      <c r="AR130" s="30">
        <f>Lookups!$B$59*Inventory[[#This Row],[LnAcres]]</f>
        <v>-23026.144578015435</v>
      </c>
      <c r="AS130" s="30">
        <f>VLOOKUP(Inventory[[#This Row],[Qlty]],Lookups!$A$66:$E$79,2,FALSE)</f>
        <v>32917.849192000001</v>
      </c>
      <c r="AT130" s="30">
        <f>VLOOKUP(Inventory[[#This Row],[Cnd]],Lookups!$A$80:$E$88,2,FALSE)</f>
        <v>47371.278778200001</v>
      </c>
      <c r="AU130" s="30">
        <f>Inventory[[#This Row],[EffAge]]*Lookups!$B$65</f>
        <v>-326.22329999999999</v>
      </c>
      <c r="AV130" s="30">
        <f>Inventory[[#This Row],[MainFn]]*Lookups!$B$90</f>
        <v>78449.847659999999</v>
      </c>
      <c r="AW130" s="30">
        <f>Inventory[[#This Row],[UpprFn]]*Lookups!$B$91</f>
        <v>86451.135733000003</v>
      </c>
      <c r="AX130" s="30">
        <f>Inventory[[#This Row],[Bsmt Area]]*Lookups!$B$95</f>
        <v>0</v>
      </c>
      <c r="AY130" s="30">
        <f>Inventory[[#This Row],[AttGar]]*Lookups!$B$93</f>
        <v>0</v>
      </c>
      <c r="AZ130" s="30">
        <f>ROUND(Inventory[[#This Row],[25Det]],-2)</f>
        <v>0</v>
      </c>
      <c r="BA130" s="30">
        <f>ROUND(SUM(Inventory[[#This Row],[Mdl Qlty]:[Mdl Garage Area]])+Inventory[[#This Row],[Mdl Res Intercept]],-2)</f>
        <v>377400</v>
      </c>
      <c r="BB130" s="30">
        <f>ROUND(Inventory[[#This Row],[Mdl Land Intercept]]+Inventory[[#This Row],[Mdl LnAcres]],-2)</f>
        <v>65300</v>
      </c>
      <c r="BC130" s="30">
        <f>Inventory[[#This Row],[Unadj Res Value]]+Inventory[[#This Row],[Unadj Det Value]]+Inventory[[#This Row],[Unadj Land Value]]</f>
        <v>442700</v>
      </c>
      <c r="BD130" s="30">
        <f>(Inventory[[#This Row],[Unadj Total Value]]-Inventory[[#This Row],[24Final]])/Inventory[[#This Row],[24Final]]</f>
        <v>-5.1018220793140411E-2</v>
      </c>
      <c r="BE130" s="30">
        <f>VLOOKUP(Inventory[[#This Row],[Nbhd]],Lookups!$M$3:$P$5,4,FALSE)</f>
        <v>0.99970000000000003</v>
      </c>
      <c r="BF130" s="30">
        <f>VLOOKUP(Inventory[[#This Row],[Qlty]],Lookups!$M$8:$P$22,4,FALSE)</f>
        <v>1.0019</v>
      </c>
      <c r="BG130" s="30">
        <f>VLOOKUP(Inventory[[#This Row],[Cnd]],Lookups!$R$8:$U$17,4,FALSE)</f>
        <v>1.0012000000000001</v>
      </c>
      <c r="BH130" s="30">
        <f>VLOOKUP(Inventory[[#This Row],[LivArea Range]],Lookups!$R$25:$U$43,4,FALSE)</f>
        <v>1.0099</v>
      </c>
      <c r="BI130" s="30">
        <f>VLOOKUP(Inventory[[#This Row],[Decade]],Lookups!$M$24:$P$40,4,FALSE)</f>
        <v>1</v>
      </c>
      <c r="BJ130" s="30">
        <f>Inventory[[#This Row],[Nbhd Adj]]*0.95</f>
        <v>0.94971499999999998</v>
      </c>
      <c r="BK130" s="30">
        <f>AVERAGE(Inventory[[#This Row],[Nbhd Adj]],Inventory[[#This Row],[Quality Adj]],Inventory[[#This Row],[Condition Adj]],Inventory[[#This Row],[Living Area Adj]],Inventory[[#This Row],[Decade Adj]])*0.95</f>
        <v>0.95241299999999995</v>
      </c>
      <c r="BL130" s="30">
        <f>ROUND((SUM(Inventory[[#This Row],[Mdl Qlty]:[Mdl Garage Area]])+Inventory[[#This Row],[Mdl Res Intercept]])*Inventory[[#This Row],[Res Adj ]],-2)</f>
        <v>359400</v>
      </c>
      <c r="BM130" s="30">
        <f>ROUND(Inventory[[#This Row],[25Det]]*Inventory[[#This Row],[Det/Nbhd Adj]],-2)</f>
        <v>0</v>
      </c>
      <c r="BN130" s="30">
        <f>Inventory[[#This Row],[Adjusted Res]]+Inventory[[#This Row],[Adj Det ]]</f>
        <v>359400</v>
      </c>
      <c r="BO130" s="30">
        <f>ROUND((Inventory[[#This Row],[Mdl Land Intercept]]+Inventory[[#This Row],[Mdl LnAcres]])*Inventory[[#This Row],[Det/Nbhd Adj]],-2)</f>
        <v>62000</v>
      </c>
      <c r="BP130" s="30">
        <f>Inventory[[#This Row],[Adjusted Impr Total]]+Inventory[[#This Row],[Adjusted Land Total]]</f>
        <v>421400</v>
      </c>
      <c r="BQ130" s="30">
        <f>IFERROR((Inventory[[#This Row],[Adjusted Impr Total]]-Inventory[[#This Row],[24Bldg]])/Inventory[[#This Row],[24Bldg]],0)</f>
        <v>-0.11215415019762846</v>
      </c>
      <c r="BR130" s="43">
        <f>(Inventory[[#This Row],[Adjusted Land Total]]-Inventory[[#This Row],[24Lnd]])/Inventory[[#This Row],[24Lnd]]</f>
        <v>4.8622366288492711E-3</v>
      </c>
      <c r="BS130" s="43">
        <f>(Inventory[[#This Row],[Adjusted Total]]-Inventory[[#This Row],[24Final]])/Inventory[[#This Row],[24Final]]</f>
        <v>-9.6677384780278666E-2</v>
      </c>
    </row>
    <row r="131" spans="1:71">
      <c r="A131" s="30">
        <v>2025</v>
      </c>
      <c r="B131" s="31" t="s">
        <v>640</v>
      </c>
      <c r="C131" s="31">
        <f>LN(Inventory[[#This Row],[Acres]])</f>
        <v>-1.7544636844843582</v>
      </c>
      <c r="D131" s="37">
        <f>ROUND(Inventory[[#This Row],[Sqft]]/43560,3)</f>
        <v>0.17299999999999999</v>
      </c>
      <c r="E131" s="38">
        <v>7552</v>
      </c>
      <c r="F131" s="31" t="s">
        <v>505</v>
      </c>
      <c r="G131" s="31" t="s">
        <v>155</v>
      </c>
      <c r="H131" s="31" t="s">
        <v>5</v>
      </c>
      <c r="I131" s="31" t="s">
        <v>506</v>
      </c>
      <c r="J131" s="31" t="s">
        <v>507</v>
      </c>
      <c r="K131" s="31" t="s">
        <v>157</v>
      </c>
      <c r="L131" s="31" t="s">
        <v>19</v>
      </c>
      <c r="M131" s="31" t="s">
        <v>24</v>
      </c>
      <c r="N131" s="31">
        <v>0</v>
      </c>
      <c r="O131" s="31">
        <f>2024-Inventory[[#This Row],[YrBlt]]</f>
        <v>3</v>
      </c>
      <c r="P131" s="31">
        <f>2024-Inventory[[#This Row],[EffYr]]</f>
        <v>3</v>
      </c>
      <c r="Q131" s="30">
        <v>2021</v>
      </c>
      <c r="R131" s="30">
        <v>2021</v>
      </c>
      <c r="S131" s="30">
        <v>1592</v>
      </c>
      <c r="T131" s="32"/>
      <c r="U131" s="32"/>
      <c r="V131" s="32"/>
      <c r="W131" s="32"/>
      <c r="X131" s="32">
        <f>Inventory[[#This Row],[Bsmt Area]]-Inventory[[#This Row],[FnBsmt]]</f>
        <v>0</v>
      </c>
      <c r="Y131" s="32">
        <f>Inventory[[#This Row],[MainFn]]+Inventory[[#This Row],[UpprFn]]+Inventory[[#This Row],[AddFn]]+Inventory[[#This Row],[FnBsmt]]</f>
        <v>1592</v>
      </c>
      <c r="Z131" s="32">
        <v>2000</v>
      </c>
      <c r="AA131" s="31" t="s">
        <v>56</v>
      </c>
      <c r="AB131" s="38">
        <v>1</v>
      </c>
      <c r="AC131" s="38">
        <v>480</v>
      </c>
      <c r="AD131" s="32"/>
      <c r="AE131" s="32"/>
      <c r="AF131" s="32"/>
      <c r="AG131" s="32"/>
      <c r="AH131" s="32"/>
      <c r="AI131" s="30">
        <v>321336</v>
      </c>
      <c r="AJ131" s="30">
        <v>311696</v>
      </c>
      <c r="AK131" s="30">
        <v>0</v>
      </c>
      <c r="AL131" s="30">
        <v>0</v>
      </c>
      <c r="AM131" s="30">
        <v>61700</v>
      </c>
      <c r="AN131" s="30">
        <v>334900</v>
      </c>
      <c r="AO131" s="30">
        <v>396600</v>
      </c>
      <c r="AP131" s="30">
        <f>Lookups!$B$58*0.6</f>
        <v>132535.48800000001</v>
      </c>
      <c r="AQ131" s="30">
        <f>Lookups!$B$58*0.4</f>
        <v>88356.992000000013</v>
      </c>
      <c r="AR131" s="30">
        <f>Lookups!$B$59*Inventory[[#This Row],[LnAcres]]</f>
        <v>-23026.144578015435</v>
      </c>
      <c r="AS131" s="30">
        <f>VLOOKUP(Inventory[[#This Row],[Qlty]],Lookups!$A$66:$E$79,2,FALSE)</f>
        <v>37154.252388000001</v>
      </c>
      <c r="AT131" s="30">
        <f>VLOOKUP(Inventory[[#This Row],[Cnd]],Lookups!$A$80:$E$88,2,FALSE)</f>
        <v>47371.278778200001</v>
      </c>
      <c r="AU131" s="30">
        <f>Inventory[[#This Row],[EffAge]]*Lookups!$B$65</f>
        <v>-326.22329999999999</v>
      </c>
      <c r="AV131" s="30">
        <f>Inventory[[#This Row],[MainFn]]*Lookups!$B$90</f>
        <v>99357.324960000013</v>
      </c>
      <c r="AW131" s="30">
        <f>Inventory[[#This Row],[UpprFn]]*Lookups!$B$91</f>
        <v>0</v>
      </c>
      <c r="AX131" s="30">
        <f>Inventory[[#This Row],[Bsmt Area]]*Lookups!$B$95</f>
        <v>0</v>
      </c>
      <c r="AY131" s="30">
        <f>Inventory[[#This Row],[AttGar]]*Lookups!$B$93</f>
        <v>16944.494880000002</v>
      </c>
      <c r="AZ131" s="30">
        <f>ROUND(Inventory[[#This Row],[25Det]],-2)</f>
        <v>0</v>
      </c>
      <c r="BA131" s="30">
        <f>ROUND(SUM(Inventory[[#This Row],[Mdl Qlty]:[Mdl Garage Area]])+Inventory[[#This Row],[Mdl Res Intercept]],-2)</f>
        <v>333000</v>
      </c>
      <c r="BB131" s="30">
        <f>ROUND(Inventory[[#This Row],[Mdl Land Intercept]]+Inventory[[#This Row],[Mdl LnAcres]],-2)</f>
        <v>65300</v>
      </c>
      <c r="BC131" s="30">
        <f>Inventory[[#This Row],[Unadj Res Value]]+Inventory[[#This Row],[Unadj Det Value]]+Inventory[[#This Row],[Unadj Land Value]]</f>
        <v>398300</v>
      </c>
      <c r="BD131" s="30">
        <f>(Inventory[[#This Row],[Unadj Total Value]]-Inventory[[#This Row],[24Final]])/Inventory[[#This Row],[24Final]]</f>
        <v>4.2864346949067073E-3</v>
      </c>
      <c r="BE131" s="30">
        <f>VLOOKUP(Inventory[[#This Row],[Nbhd]],Lookups!$M$3:$P$5,4,FALSE)</f>
        <v>0.99970000000000003</v>
      </c>
      <c r="BF131" s="30">
        <f>VLOOKUP(Inventory[[#This Row],[Qlty]],Lookups!$M$8:$P$22,4,FALSE)</f>
        <v>0.99819999999999998</v>
      </c>
      <c r="BG131" s="30">
        <f>VLOOKUP(Inventory[[#This Row],[Cnd]],Lookups!$R$8:$U$17,4,FALSE)</f>
        <v>1.0012000000000001</v>
      </c>
      <c r="BH131" s="30">
        <f>VLOOKUP(Inventory[[#This Row],[LivArea Range]],Lookups!$R$25:$U$43,4,FALSE)</f>
        <v>1.0007999999999999</v>
      </c>
      <c r="BI131" s="30">
        <f>VLOOKUP(Inventory[[#This Row],[Decade]],Lookups!$M$24:$P$40,4,FALSE)</f>
        <v>1</v>
      </c>
      <c r="BJ131" s="30">
        <f>Inventory[[#This Row],[Nbhd Adj]]*0.95</f>
        <v>0.94971499999999998</v>
      </c>
      <c r="BK131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131" s="30">
        <f>ROUND((SUM(Inventory[[#This Row],[Mdl Qlty]:[Mdl Garage Area]])+Inventory[[#This Row],[Mdl Res Intercept]])*Inventory[[#This Row],[Res Adj ]],-2)</f>
        <v>316400</v>
      </c>
      <c r="BM131" s="30">
        <f>ROUND(Inventory[[#This Row],[25Det]]*Inventory[[#This Row],[Det/Nbhd Adj]],-2)</f>
        <v>0</v>
      </c>
      <c r="BN131" s="30">
        <f>Inventory[[#This Row],[Adjusted Res]]+Inventory[[#This Row],[Adj Det ]]</f>
        <v>316400</v>
      </c>
      <c r="BO131" s="30">
        <f>ROUND((Inventory[[#This Row],[Mdl Land Intercept]]+Inventory[[#This Row],[Mdl LnAcres]])*Inventory[[#This Row],[Det/Nbhd Adj]],-2)</f>
        <v>62000</v>
      </c>
      <c r="BP131" s="30">
        <f>Inventory[[#This Row],[Adjusted Impr Total]]+Inventory[[#This Row],[Adjusted Land Total]]</f>
        <v>378400</v>
      </c>
      <c r="BQ131" s="30">
        <f>IFERROR((Inventory[[#This Row],[Adjusted Impr Total]]-Inventory[[#This Row],[24Bldg]])/Inventory[[#This Row],[24Bldg]],0)</f>
        <v>-5.5240370259779036E-2</v>
      </c>
      <c r="BR131" s="43">
        <f>(Inventory[[#This Row],[Adjusted Land Total]]-Inventory[[#This Row],[24Lnd]])/Inventory[[#This Row],[24Lnd]]</f>
        <v>4.8622366288492711E-3</v>
      </c>
      <c r="BS131" s="43">
        <f>(Inventory[[#This Row],[Adjusted Total]]-Inventory[[#This Row],[24Final]])/Inventory[[#This Row],[24Final]]</f>
        <v>-4.5890065557236508E-2</v>
      </c>
    </row>
    <row r="132" spans="1:71">
      <c r="A132" s="30">
        <v>2025</v>
      </c>
      <c r="B132" s="31" t="s">
        <v>641</v>
      </c>
      <c r="C132" s="31">
        <f>LN(Inventory[[#This Row],[Acres]])</f>
        <v>-1.7544636844843582</v>
      </c>
      <c r="D132" s="37">
        <f>ROUND(Inventory[[#This Row],[Sqft]]/43560,3)</f>
        <v>0.17299999999999999</v>
      </c>
      <c r="E132" s="30">
        <v>7544</v>
      </c>
      <c r="F132" s="31" t="s">
        <v>505</v>
      </c>
      <c r="G132" s="31" t="s">
        <v>155</v>
      </c>
      <c r="H132" s="31" t="s">
        <v>5</v>
      </c>
      <c r="I132" s="31" t="s">
        <v>506</v>
      </c>
      <c r="J132" s="31" t="s">
        <v>507</v>
      </c>
      <c r="K132" s="31" t="s">
        <v>157</v>
      </c>
      <c r="L132" s="31" t="s">
        <v>21</v>
      </c>
      <c r="M132" s="31" t="s">
        <v>24</v>
      </c>
      <c r="N132" s="31">
        <v>0</v>
      </c>
      <c r="O132" s="31">
        <f>2024-Inventory[[#This Row],[YrBlt]]</f>
        <v>3</v>
      </c>
      <c r="P132" s="31">
        <f>2024-Inventory[[#This Row],[EffYr]]</f>
        <v>3</v>
      </c>
      <c r="Q132" s="30">
        <v>2021</v>
      </c>
      <c r="R132" s="30">
        <v>2021</v>
      </c>
      <c r="S132" s="30">
        <v>2010</v>
      </c>
      <c r="T132" s="32"/>
      <c r="U132" s="32"/>
      <c r="V132" s="32"/>
      <c r="W132" s="32"/>
      <c r="X132" s="32">
        <f>Inventory[[#This Row],[Bsmt Area]]-Inventory[[#This Row],[FnBsmt]]</f>
        <v>0</v>
      </c>
      <c r="Y132" s="32">
        <f>Inventory[[#This Row],[MainFn]]+Inventory[[#This Row],[UpprFn]]+Inventory[[#This Row],[AddFn]]+Inventory[[#This Row],[FnBsmt]]</f>
        <v>2010</v>
      </c>
      <c r="Z132" s="32">
        <v>2500</v>
      </c>
      <c r="AA132" s="31" t="s">
        <v>56</v>
      </c>
      <c r="AB132" s="38">
        <v>1</v>
      </c>
      <c r="AC132" s="38">
        <v>424</v>
      </c>
      <c r="AD132" s="32"/>
      <c r="AE132" s="32"/>
      <c r="AF132" s="32"/>
      <c r="AG132" s="32"/>
      <c r="AH132" s="32"/>
      <c r="AI132" s="30">
        <v>432426</v>
      </c>
      <c r="AJ132" s="30">
        <v>419453</v>
      </c>
      <c r="AK132" s="30">
        <v>0</v>
      </c>
      <c r="AL132" s="30">
        <v>0</v>
      </c>
      <c r="AM132" s="30">
        <v>61700</v>
      </c>
      <c r="AN132" s="30">
        <v>346600</v>
      </c>
      <c r="AO132" s="30">
        <v>408300</v>
      </c>
      <c r="AP132" s="30">
        <f>Lookups!$B$58*0.6</f>
        <v>132535.48800000001</v>
      </c>
      <c r="AQ132" s="30">
        <f>Lookups!$B$58*0.4</f>
        <v>88356.992000000013</v>
      </c>
      <c r="AR132" s="30">
        <f>Lookups!$B$59*Inventory[[#This Row],[LnAcres]]</f>
        <v>-23026.144578015435</v>
      </c>
      <c r="AS132" s="30">
        <f>VLOOKUP(Inventory[[#This Row],[Qlty]],Lookups!$A$66:$E$79,2,FALSE)</f>
        <v>32917.849192000001</v>
      </c>
      <c r="AT132" s="30">
        <f>VLOOKUP(Inventory[[#This Row],[Cnd]],Lookups!$A$80:$E$88,2,FALSE)</f>
        <v>47371.278778200001</v>
      </c>
      <c r="AU132" s="30">
        <f>Inventory[[#This Row],[EffAge]]*Lookups!$B$65</f>
        <v>-326.22329999999999</v>
      </c>
      <c r="AV132" s="30">
        <f>Inventory[[#This Row],[MainFn]]*Lookups!$B$90</f>
        <v>125444.86380000001</v>
      </c>
      <c r="AW132" s="30">
        <f>Inventory[[#This Row],[UpprFn]]*Lookups!$B$91</f>
        <v>0</v>
      </c>
      <c r="AX132" s="30">
        <f>Inventory[[#This Row],[Bsmt Area]]*Lookups!$B$95</f>
        <v>0</v>
      </c>
      <c r="AY132" s="30">
        <f>Inventory[[#This Row],[AttGar]]*Lookups!$B$93</f>
        <v>14967.637144</v>
      </c>
      <c r="AZ132" s="30">
        <f>ROUND(Inventory[[#This Row],[25Det]],-2)</f>
        <v>0</v>
      </c>
      <c r="BA132" s="30">
        <f>ROUND(SUM(Inventory[[#This Row],[Mdl Qlty]:[Mdl Garage Area]])+Inventory[[#This Row],[Mdl Res Intercept]],-2)</f>
        <v>352900</v>
      </c>
      <c r="BB132" s="30">
        <f>ROUND(Inventory[[#This Row],[Mdl Land Intercept]]+Inventory[[#This Row],[Mdl LnAcres]],-2)</f>
        <v>65300</v>
      </c>
      <c r="BC132" s="30">
        <f>Inventory[[#This Row],[Unadj Res Value]]+Inventory[[#This Row],[Unadj Det Value]]+Inventory[[#This Row],[Unadj Land Value]]</f>
        <v>418200</v>
      </c>
      <c r="BD132" s="30">
        <f>(Inventory[[#This Row],[Unadj Total Value]]-Inventory[[#This Row],[24Final]])/Inventory[[#This Row],[24Final]]</f>
        <v>2.4246877296105803E-2</v>
      </c>
      <c r="BE132" s="30">
        <f>VLOOKUP(Inventory[[#This Row],[Nbhd]],Lookups!$M$3:$P$5,4,FALSE)</f>
        <v>0.99970000000000003</v>
      </c>
      <c r="BF132" s="30">
        <f>VLOOKUP(Inventory[[#This Row],[Qlty]],Lookups!$M$8:$P$22,4,FALSE)</f>
        <v>1.0019</v>
      </c>
      <c r="BG132" s="30">
        <f>VLOOKUP(Inventory[[#This Row],[Cnd]],Lookups!$R$8:$U$17,4,FALSE)</f>
        <v>1.0012000000000001</v>
      </c>
      <c r="BH132" s="30">
        <f>VLOOKUP(Inventory[[#This Row],[LivArea Range]],Lookups!$R$25:$U$43,4,FALSE)</f>
        <v>1.0008999999999999</v>
      </c>
      <c r="BI132" s="30">
        <f>VLOOKUP(Inventory[[#This Row],[Decade]],Lookups!$M$24:$P$40,4,FALSE)</f>
        <v>1</v>
      </c>
      <c r="BJ132" s="30">
        <f>Inventory[[#This Row],[Nbhd Adj]]*0.95</f>
        <v>0.94971499999999998</v>
      </c>
      <c r="BK132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32" s="30">
        <f>ROUND((SUM(Inventory[[#This Row],[Mdl Qlty]:[Mdl Garage Area]])+Inventory[[#This Row],[Mdl Res Intercept]])*Inventory[[#This Row],[Res Adj ]],-2)</f>
        <v>335500</v>
      </c>
      <c r="BM132" s="30">
        <f>ROUND(Inventory[[#This Row],[25Det]]*Inventory[[#This Row],[Det/Nbhd Adj]],-2)</f>
        <v>0</v>
      </c>
      <c r="BN132" s="30">
        <f>Inventory[[#This Row],[Adjusted Res]]+Inventory[[#This Row],[Adj Det ]]</f>
        <v>335500</v>
      </c>
      <c r="BO132" s="30">
        <f>ROUND((Inventory[[#This Row],[Mdl Land Intercept]]+Inventory[[#This Row],[Mdl LnAcres]])*Inventory[[#This Row],[Det/Nbhd Adj]],-2)</f>
        <v>62000</v>
      </c>
      <c r="BP132" s="30">
        <f>Inventory[[#This Row],[Adjusted Impr Total]]+Inventory[[#This Row],[Adjusted Land Total]]</f>
        <v>397500</v>
      </c>
      <c r="BQ132" s="30">
        <f>IFERROR((Inventory[[#This Row],[Adjusted Impr Total]]-Inventory[[#This Row],[24Bldg]])/Inventory[[#This Row],[24Bldg]],0)</f>
        <v>-3.202538949798038E-2</v>
      </c>
      <c r="BR132" s="43">
        <f>(Inventory[[#This Row],[Adjusted Land Total]]-Inventory[[#This Row],[24Lnd]])/Inventory[[#This Row],[24Lnd]]</f>
        <v>4.8622366288492711E-3</v>
      </c>
      <c r="BS132" s="43">
        <f>(Inventory[[#This Row],[Adjusted Total]]-Inventory[[#This Row],[24Final]])/Inventory[[#This Row],[24Final]]</f>
        <v>-2.6451138868479059E-2</v>
      </c>
    </row>
    <row r="133" spans="1:71">
      <c r="A133" s="30">
        <v>2025</v>
      </c>
      <c r="B133" s="31" t="s">
        <v>642</v>
      </c>
      <c r="C133" s="31">
        <f>LN(Inventory[[#This Row],[Acres]])</f>
        <v>-1.742969305058623</v>
      </c>
      <c r="D133" s="37">
        <f>ROUND(Inventory[[#This Row],[Sqft]]/43560,3)</f>
        <v>0.17499999999999999</v>
      </c>
      <c r="E133" s="30">
        <v>7643</v>
      </c>
      <c r="F133" s="31" t="s">
        <v>505</v>
      </c>
      <c r="G133" s="31" t="s">
        <v>155</v>
      </c>
      <c r="H133" s="31" t="s">
        <v>5</v>
      </c>
      <c r="I133" s="31" t="s">
        <v>506</v>
      </c>
      <c r="J133" s="31" t="s">
        <v>507</v>
      </c>
      <c r="K133" s="31" t="s">
        <v>157</v>
      </c>
      <c r="L133" s="31" t="s">
        <v>21</v>
      </c>
      <c r="M133" s="31" t="s">
        <v>24</v>
      </c>
      <c r="N133" s="31">
        <v>0</v>
      </c>
      <c r="O133" s="31">
        <f>2024-Inventory[[#This Row],[YrBlt]]</f>
        <v>3</v>
      </c>
      <c r="P133" s="31">
        <f>2024-Inventory[[#This Row],[EffYr]]</f>
        <v>3</v>
      </c>
      <c r="Q133" s="30">
        <v>2021</v>
      </c>
      <c r="R133" s="30">
        <v>2021</v>
      </c>
      <c r="S133" s="30">
        <v>1650</v>
      </c>
      <c r="T133" s="38">
        <v>1346</v>
      </c>
      <c r="U133" s="32"/>
      <c r="V133" s="32"/>
      <c r="W133" s="32"/>
      <c r="X133" s="32">
        <f>Inventory[[#This Row],[Bsmt Area]]-Inventory[[#This Row],[FnBsmt]]</f>
        <v>0</v>
      </c>
      <c r="Y133" s="32">
        <f>Inventory[[#This Row],[MainFn]]+Inventory[[#This Row],[UpprFn]]+Inventory[[#This Row],[AddFn]]+Inventory[[#This Row],[FnBsmt]]</f>
        <v>2996</v>
      </c>
      <c r="Z133" s="32">
        <v>3000</v>
      </c>
      <c r="AA133" s="31" t="s">
        <v>56</v>
      </c>
      <c r="AB133" s="38">
        <v>1</v>
      </c>
      <c r="AC133" s="38">
        <v>660</v>
      </c>
      <c r="AD133" s="32"/>
      <c r="AE133" s="32"/>
      <c r="AF133" s="32"/>
      <c r="AG133" s="32"/>
      <c r="AH133" s="32"/>
      <c r="AI133" s="30">
        <v>597249</v>
      </c>
      <c r="AJ133" s="30">
        <v>579332</v>
      </c>
      <c r="AK133" s="30">
        <v>0</v>
      </c>
      <c r="AL133" s="30">
        <v>0</v>
      </c>
      <c r="AM133" s="30">
        <v>62500</v>
      </c>
      <c r="AN133" s="30">
        <v>419500</v>
      </c>
      <c r="AO133" s="30">
        <v>482000</v>
      </c>
      <c r="AP133" s="30">
        <f>Lookups!$B$58*0.6</f>
        <v>132535.48800000001</v>
      </c>
      <c r="AQ133" s="30">
        <f>Lookups!$B$58*0.4</f>
        <v>88356.992000000013</v>
      </c>
      <c r="AR133" s="30">
        <f>Lookups!$B$59*Inventory[[#This Row],[LnAcres]]</f>
        <v>-22875.288652736293</v>
      </c>
      <c r="AS133" s="30">
        <f>VLOOKUP(Inventory[[#This Row],[Qlty]],Lookups!$A$66:$E$79,2,FALSE)</f>
        <v>32917.849192000001</v>
      </c>
      <c r="AT133" s="30">
        <f>VLOOKUP(Inventory[[#This Row],[Cnd]],Lookups!$A$80:$E$88,2,FALSE)</f>
        <v>47371.278778200001</v>
      </c>
      <c r="AU133" s="30">
        <f>Inventory[[#This Row],[EffAge]]*Lookups!$B$65</f>
        <v>-326.22329999999999</v>
      </c>
      <c r="AV133" s="30">
        <f>Inventory[[#This Row],[MainFn]]*Lookups!$B$90</f>
        <v>102977.12700000001</v>
      </c>
      <c r="AW133" s="30">
        <f>Inventory[[#This Row],[UpprFn]]*Lookups!$B$91</f>
        <v>80195.195517999993</v>
      </c>
      <c r="AX133" s="30">
        <f>Inventory[[#This Row],[Bsmt Area]]*Lookups!$B$95</f>
        <v>0</v>
      </c>
      <c r="AY133" s="30">
        <f>Inventory[[#This Row],[AttGar]]*Lookups!$B$93</f>
        <v>23298.68046</v>
      </c>
      <c r="AZ133" s="30">
        <f>ROUND(Inventory[[#This Row],[25Det]],-2)</f>
        <v>0</v>
      </c>
      <c r="BA133" s="30">
        <f>ROUND(SUM(Inventory[[#This Row],[Mdl Qlty]:[Mdl Garage Area]])+Inventory[[#This Row],[Mdl Res Intercept]],-2)</f>
        <v>419000</v>
      </c>
      <c r="BB133" s="30">
        <f>ROUND(Inventory[[#This Row],[Mdl Land Intercept]]+Inventory[[#This Row],[Mdl LnAcres]],-2)</f>
        <v>65500</v>
      </c>
      <c r="BC133" s="30">
        <f>Inventory[[#This Row],[Unadj Res Value]]+Inventory[[#This Row],[Unadj Det Value]]+Inventory[[#This Row],[Unadj Land Value]]</f>
        <v>484500</v>
      </c>
      <c r="BD133" s="30">
        <f>(Inventory[[#This Row],[Unadj Total Value]]-Inventory[[#This Row],[24Final]])/Inventory[[#This Row],[24Final]]</f>
        <v>5.1867219917012446E-3</v>
      </c>
      <c r="BE133" s="30">
        <f>VLOOKUP(Inventory[[#This Row],[Nbhd]],Lookups!$M$3:$P$5,4,FALSE)</f>
        <v>0.99970000000000003</v>
      </c>
      <c r="BF133" s="30">
        <f>VLOOKUP(Inventory[[#This Row],[Qlty]],Lookups!$M$8:$P$22,4,FALSE)</f>
        <v>1.0019</v>
      </c>
      <c r="BG133" s="30">
        <f>VLOOKUP(Inventory[[#This Row],[Cnd]],Lookups!$R$8:$U$17,4,FALSE)</f>
        <v>1.0012000000000001</v>
      </c>
      <c r="BH133" s="30">
        <f>VLOOKUP(Inventory[[#This Row],[LivArea Range]],Lookups!$R$25:$U$43,4,FALSE)</f>
        <v>1.0099</v>
      </c>
      <c r="BI133" s="30">
        <f>VLOOKUP(Inventory[[#This Row],[Decade]],Lookups!$M$24:$P$40,4,FALSE)</f>
        <v>1</v>
      </c>
      <c r="BJ133" s="30">
        <f>Inventory[[#This Row],[Nbhd Adj]]*0.95</f>
        <v>0.94971499999999998</v>
      </c>
      <c r="BK133" s="30">
        <f>AVERAGE(Inventory[[#This Row],[Nbhd Adj]],Inventory[[#This Row],[Quality Adj]],Inventory[[#This Row],[Condition Adj]],Inventory[[#This Row],[Living Area Adj]],Inventory[[#This Row],[Decade Adj]])*0.95</f>
        <v>0.95241299999999995</v>
      </c>
      <c r="BL133" s="30">
        <f>ROUND((SUM(Inventory[[#This Row],[Mdl Qlty]:[Mdl Garage Area]])+Inventory[[#This Row],[Mdl Res Intercept]])*Inventory[[#This Row],[Res Adj ]],-2)</f>
        <v>399000</v>
      </c>
      <c r="BM133" s="30">
        <f>ROUND(Inventory[[#This Row],[25Det]]*Inventory[[#This Row],[Det/Nbhd Adj]],-2)</f>
        <v>0</v>
      </c>
      <c r="BN133" s="30">
        <f>Inventory[[#This Row],[Adjusted Res]]+Inventory[[#This Row],[Adj Det ]]</f>
        <v>399000</v>
      </c>
      <c r="BO133" s="30">
        <f>ROUND((Inventory[[#This Row],[Mdl Land Intercept]]+Inventory[[#This Row],[Mdl LnAcres]])*Inventory[[#This Row],[Det/Nbhd Adj]],-2)</f>
        <v>62200</v>
      </c>
      <c r="BP133" s="30">
        <f>Inventory[[#This Row],[Adjusted Impr Total]]+Inventory[[#This Row],[Adjusted Land Total]]</f>
        <v>461200</v>
      </c>
      <c r="BQ133" s="30">
        <f>IFERROR((Inventory[[#This Row],[Adjusted Impr Total]]-Inventory[[#This Row],[24Bldg]])/Inventory[[#This Row],[24Bldg]],0)</f>
        <v>-4.8867699642431463E-2</v>
      </c>
      <c r="BR133" s="43">
        <f>(Inventory[[#This Row],[Adjusted Land Total]]-Inventory[[#This Row],[24Lnd]])/Inventory[[#This Row],[24Lnd]]</f>
        <v>-4.7999999999999996E-3</v>
      </c>
      <c r="BS133" s="43">
        <f>(Inventory[[#This Row],[Adjusted Total]]-Inventory[[#This Row],[24Final]])/Inventory[[#This Row],[24Final]]</f>
        <v>-4.3153526970954356E-2</v>
      </c>
    </row>
    <row r="134" spans="1:71">
      <c r="A134" s="30">
        <v>2025</v>
      </c>
      <c r="B134" s="31" t="s">
        <v>643</v>
      </c>
      <c r="C134" s="31">
        <f>LN(Inventory[[#This Row],[Acres]])</f>
        <v>-1.7372712839439852</v>
      </c>
      <c r="D134" s="37">
        <f>ROUND(Inventory[[#This Row],[Sqft]]/43560,3)</f>
        <v>0.17599999999999999</v>
      </c>
      <c r="E134" s="30">
        <v>7677</v>
      </c>
      <c r="F134" s="31" t="s">
        <v>505</v>
      </c>
      <c r="G134" s="31" t="s">
        <v>155</v>
      </c>
      <c r="H134" s="31" t="s">
        <v>5</v>
      </c>
      <c r="I134" s="31" t="s">
        <v>506</v>
      </c>
      <c r="J134" s="31" t="s">
        <v>507</v>
      </c>
      <c r="K134" s="31" t="s">
        <v>157</v>
      </c>
      <c r="L134" s="31" t="s">
        <v>19</v>
      </c>
      <c r="M134" s="31" t="s">
        <v>24</v>
      </c>
      <c r="N134" s="31">
        <v>0</v>
      </c>
      <c r="O134" s="31">
        <f>2024-Inventory[[#This Row],[YrBlt]]</f>
        <v>3</v>
      </c>
      <c r="P134" s="31">
        <f>2024-Inventory[[#This Row],[EffYr]]</f>
        <v>3</v>
      </c>
      <c r="Q134" s="30">
        <v>2021</v>
      </c>
      <c r="R134" s="30">
        <v>2021</v>
      </c>
      <c r="S134" s="30">
        <v>1403</v>
      </c>
      <c r="T134" s="32"/>
      <c r="U134" s="32"/>
      <c r="V134" s="32"/>
      <c r="W134" s="32"/>
      <c r="X134" s="32">
        <f>Inventory[[#This Row],[Bsmt Area]]-Inventory[[#This Row],[FnBsmt]]</f>
        <v>0</v>
      </c>
      <c r="Y134" s="32">
        <f>Inventory[[#This Row],[MainFn]]+Inventory[[#This Row],[UpprFn]]+Inventory[[#This Row],[AddFn]]+Inventory[[#This Row],[FnBsmt]]</f>
        <v>1403</v>
      </c>
      <c r="Z134" s="32">
        <v>1500</v>
      </c>
      <c r="AA134" s="31" t="s">
        <v>57</v>
      </c>
      <c r="AB134" s="38">
        <v>1</v>
      </c>
      <c r="AC134" s="38">
        <v>400</v>
      </c>
      <c r="AD134" s="32"/>
      <c r="AE134" s="32"/>
      <c r="AF134" s="32"/>
      <c r="AG134" s="32"/>
      <c r="AH134" s="32"/>
      <c r="AI134" s="30">
        <v>286672</v>
      </c>
      <c r="AJ134" s="30">
        <v>278072</v>
      </c>
      <c r="AK134" s="30">
        <v>0</v>
      </c>
      <c r="AL134" s="30">
        <v>0</v>
      </c>
      <c r="AM134" s="30">
        <v>62500</v>
      </c>
      <c r="AN134" s="30">
        <v>310500</v>
      </c>
      <c r="AO134" s="30">
        <v>373000</v>
      </c>
      <c r="AP134" s="30">
        <f>Lookups!$B$58*0.6</f>
        <v>132535.48800000001</v>
      </c>
      <c r="AQ134" s="30">
        <f>Lookups!$B$58*0.4</f>
        <v>88356.992000000013</v>
      </c>
      <c r="AR134" s="30">
        <f>Lookups!$B$59*Inventory[[#This Row],[LnAcres]]</f>
        <v>-22800.505994563009</v>
      </c>
      <c r="AS134" s="30">
        <f>VLOOKUP(Inventory[[#This Row],[Qlty]],Lookups!$A$66:$E$79,2,FALSE)</f>
        <v>37154.252388000001</v>
      </c>
      <c r="AT134" s="30">
        <f>VLOOKUP(Inventory[[#This Row],[Cnd]],Lookups!$A$80:$E$88,2,FALSE)</f>
        <v>47371.278778200001</v>
      </c>
      <c r="AU134" s="30">
        <f>Inventory[[#This Row],[EffAge]]*Lookups!$B$65</f>
        <v>-326.22329999999999</v>
      </c>
      <c r="AV134" s="30">
        <f>Inventory[[#This Row],[MainFn]]*Lookups!$B$90</f>
        <v>87561.76314000001</v>
      </c>
      <c r="AW134" s="30">
        <f>Inventory[[#This Row],[UpprFn]]*Lookups!$B$91</f>
        <v>0</v>
      </c>
      <c r="AX134" s="30">
        <f>Inventory[[#This Row],[Bsmt Area]]*Lookups!$B$95</f>
        <v>0</v>
      </c>
      <c r="AY134" s="30">
        <f>Inventory[[#This Row],[AttGar]]*Lookups!$B$93</f>
        <v>14120.412400000001</v>
      </c>
      <c r="AZ134" s="30">
        <f>ROUND(Inventory[[#This Row],[25Det]],-2)</f>
        <v>0</v>
      </c>
      <c r="BA134" s="30">
        <f>ROUND(SUM(Inventory[[#This Row],[Mdl Qlty]:[Mdl Garage Area]])+Inventory[[#This Row],[Mdl Res Intercept]],-2)</f>
        <v>318400</v>
      </c>
      <c r="BB134" s="30">
        <f>ROUND(Inventory[[#This Row],[Mdl Land Intercept]]+Inventory[[#This Row],[Mdl LnAcres]],-2)</f>
        <v>65600</v>
      </c>
      <c r="BC134" s="30">
        <f>Inventory[[#This Row],[Unadj Res Value]]+Inventory[[#This Row],[Unadj Det Value]]+Inventory[[#This Row],[Unadj Land Value]]</f>
        <v>384000</v>
      </c>
      <c r="BD134" s="30">
        <f>(Inventory[[#This Row],[Unadj Total Value]]-Inventory[[#This Row],[24Final]])/Inventory[[#This Row],[24Final]]</f>
        <v>2.9490616621983913E-2</v>
      </c>
      <c r="BE134" s="30">
        <f>VLOOKUP(Inventory[[#This Row],[Nbhd]],Lookups!$M$3:$P$5,4,FALSE)</f>
        <v>0.99970000000000003</v>
      </c>
      <c r="BF134" s="30">
        <f>VLOOKUP(Inventory[[#This Row],[Qlty]],Lookups!$M$8:$P$22,4,FALSE)</f>
        <v>0.99819999999999998</v>
      </c>
      <c r="BG134" s="30">
        <f>VLOOKUP(Inventory[[#This Row],[Cnd]],Lookups!$R$8:$U$17,4,FALSE)</f>
        <v>1.0012000000000001</v>
      </c>
      <c r="BH134" s="30">
        <f>VLOOKUP(Inventory[[#This Row],[LivArea Range]],Lookups!$R$25:$U$43,4,FALSE)</f>
        <v>0.99519999999999997</v>
      </c>
      <c r="BI134" s="30">
        <f>VLOOKUP(Inventory[[#This Row],[Decade]],Lookups!$M$24:$P$40,4,FALSE)</f>
        <v>1</v>
      </c>
      <c r="BJ134" s="30">
        <f>Inventory[[#This Row],[Nbhd Adj]]*0.95</f>
        <v>0.94971499999999998</v>
      </c>
      <c r="BK134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134" s="30">
        <f>ROUND((SUM(Inventory[[#This Row],[Mdl Qlty]:[Mdl Garage Area]])+Inventory[[#This Row],[Mdl Res Intercept]])*Inventory[[#This Row],[Res Adj ]],-2)</f>
        <v>302200</v>
      </c>
      <c r="BM134" s="30">
        <f>ROUND(Inventory[[#This Row],[25Det]]*Inventory[[#This Row],[Det/Nbhd Adj]],-2)</f>
        <v>0</v>
      </c>
      <c r="BN134" s="30">
        <f>Inventory[[#This Row],[Adjusted Res]]+Inventory[[#This Row],[Adj Det ]]</f>
        <v>302200</v>
      </c>
      <c r="BO134" s="30">
        <f>ROUND((Inventory[[#This Row],[Mdl Land Intercept]]+Inventory[[#This Row],[Mdl LnAcres]])*Inventory[[#This Row],[Det/Nbhd Adj]],-2)</f>
        <v>62300</v>
      </c>
      <c r="BP134" s="30">
        <f>Inventory[[#This Row],[Adjusted Impr Total]]+Inventory[[#This Row],[Adjusted Land Total]]</f>
        <v>364500</v>
      </c>
      <c r="BQ134" s="30">
        <f>IFERROR((Inventory[[#This Row],[Adjusted Impr Total]]-Inventory[[#This Row],[24Bldg]])/Inventory[[#This Row],[24Bldg]],0)</f>
        <v>-2.6731078904991948E-2</v>
      </c>
      <c r="BR134" s="43">
        <f>(Inventory[[#This Row],[Adjusted Land Total]]-Inventory[[#This Row],[24Lnd]])/Inventory[[#This Row],[24Lnd]]</f>
        <v>-3.2000000000000002E-3</v>
      </c>
      <c r="BS134" s="43">
        <f>(Inventory[[#This Row],[Adjusted Total]]-Inventory[[#This Row],[24Final]])/Inventory[[#This Row],[24Final]]</f>
        <v>-2.2788203753351208E-2</v>
      </c>
    </row>
    <row r="135" spans="1:71">
      <c r="A135" s="30">
        <v>2025</v>
      </c>
      <c r="B135" s="31" t="s">
        <v>644</v>
      </c>
      <c r="C135" s="31">
        <f>LN(Inventory[[#This Row],[Acres]])</f>
        <v>-1.7372712839439852</v>
      </c>
      <c r="D135" s="37">
        <f>ROUND(Inventory[[#This Row],[Sqft]]/43560,3)</f>
        <v>0.17599999999999999</v>
      </c>
      <c r="E135" s="30">
        <v>7680</v>
      </c>
      <c r="F135" s="31" t="s">
        <v>505</v>
      </c>
      <c r="G135" s="31" t="s">
        <v>155</v>
      </c>
      <c r="H135" s="31" t="s">
        <v>5</v>
      </c>
      <c r="I135" s="31" t="s">
        <v>506</v>
      </c>
      <c r="J135" s="31" t="s">
        <v>507</v>
      </c>
      <c r="K135" s="31" t="s">
        <v>157</v>
      </c>
      <c r="L135" s="31" t="s">
        <v>19</v>
      </c>
      <c r="M135" s="31" t="s">
        <v>24</v>
      </c>
      <c r="N135" s="31">
        <v>0</v>
      </c>
      <c r="O135" s="31">
        <f>2024-Inventory[[#This Row],[YrBlt]]</f>
        <v>3</v>
      </c>
      <c r="P135" s="31">
        <f>2024-Inventory[[#This Row],[EffYr]]</f>
        <v>3</v>
      </c>
      <c r="Q135" s="30">
        <v>2021</v>
      </c>
      <c r="R135" s="30">
        <v>2021</v>
      </c>
      <c r="S135" s="30">
        <v>1403</v>
      </c>
      <c r="T135" s="37"/>
      <c r="U135" s="37"/>
      <c r="V135" s="32"/>
      <c r="W135" s="37"/>
      <c r="X135" s="37">
        <f>Inventory[[#This Row],[Bsmt Area]]-Inventory[[#This Row],[FnBsmt]]</f>
        <v>0</v>
      </c>
      <c r="Y135" s="37">
        <f>Inventory[[#This Row],[MainFn]]+Inventory[[#This Row],[UpprFn]]+Inventory[[#This Row],[AddFn]]+Inventory[[#This Row],[FnBsmt]]</f>
        <v>1403</v>
      </c>
      <c r="Z135" s="32">
        <v>1500</v>
      </c>
      <c r="AA135" s="31" t="s">
        <v>57</v>
      </c>
      <c r="AB135" s="38">
        <v>1</v>
      </c>
      <c r="AC135" s="38">
        <v>400</v>
      </c>
      <c r="AD135" s="32"/>
      <c r="AE135" s="32"/>
      <c r="AF135" s="32"/>
      <c r="AG135" s="32"/>
      <c r="AH135" s="32"/>
      <c r="AI135" s="30">
        <v>286672</v>
      </c>
      <c r="AJ135" s="30">
        <v>278072</v>
      </c>
      <c r="AK135" s="30">
        <v>0</v>
      </c>
      <c r="AL135" s="30">
        <v>0</v>
      </c>
      <c r="AM135" s="30">
        <v>62500</v>
      </c>
      <c r="AN135" s="30">
        <v>310500</v>
      </c>
      <c r="AO135" s="30">
        <v>373000</v>
      </c>
      <c r="AP135" s="30">
        <f>Lookups!$B$58*0.6</f>
        <v>132535.48800000001</v>
      </c>
      <c r="AQ135" s="30">
        <f>Lookups!$B$58*0.4</f>
        <v>88356.992000000013</v>
      </c>
      <c r="AR135" s="30">
        <f>Lookups!$B$59*Inventory[[#This Row],[LnAcres]]</f>
        <v>-22800.505994563009</v>
      </c>
      <c r="AS135" s="30">
        <f>VLOOKUP(Inventory[[#This Row],[Qlty]],Lookups!$A$66:$E$79,2,FALSE)</f>
        <v>37154.252388000001</v>
      </c>
      <c r="AT135" s="30">
        <f>VLOOKUP(Inventory[[#This Row],[Cnd]],Lookups!$A$80:$E$88,2,FALSE)</f>
        <v>47371.278778200001</v>
      </c>
      <c r="AU135" s="30">
        <f>Inventory[[#This Row],[EffAge]]*Lookups!$B$65</f>
        <v>-326.22329999999999</v>
      </c>
      <c r="AV135" s="30">
        <f>Inventory[[#This Row],[MainFn]]*Lookups!$B$90</f>
        <v>87561.76314000001</v>
      </c>
      <c r="AW135" s="30">
        <f>Inventory[[#This Row],[UpprFn]]*Lookups!$B$91</f>
        <v>0</v>
      </c>
      <c r="AX135" s="30">
        <f>Inventory[[#This Row],[Bsmt Area]]*Lookups!$B$95</f>
        <v>0</v>
      </c>
      <c r="AY135" s="30">
        <f>Inventory[[#This Row],[AttGar]]*Lookups!$B$93</f>
        <v>14120.412400000001</v>
      </c>
      <c r="AZ135" s="30">
        <f>ROUND(Inventory[[#This Row],[25Det]],-2)</f>
        <v>0</v>
      </c>
      <c r="BA135" s="30">
        <f>ROUND(SUM(Inventory[[#This Row],[Mdl Qlty]:[Mdl Garage Area]])+Inventory[[#This Row],[Mdl Res Intercept]],-2)</f>
        <v>318400</v>
      </c>
      <c r="BB135" s="30">
        <f>ROUND(Inventory[[#This Row],[Mdl Land Intercept]]+Inventory[[#This Row],[Mdl LnAcres]],-2)</f>
        <v>65600</v>
      </c>
      <c r="BC135" s="30">
        <f>Inventory[[#This Row],[Unadj Res Value]]+Inventory[[#This Row],[Unadj Det Value]]+Inventory[[#This Row],[Unadj Land Value]]</f>
        <v>384000</v>
      </c>
      <c r="BD135" s="30">
        <f>(Inventory[[#This Row],[Unadj Total Value]]-Inventory[[#This Row],[24Final]])/Inventory[[#This Row],[24Final]]</f>
        <v>2.9490616621983913E-2</v>
      </c>
      <c r="BE135" s="30">
        <f>VLOOKUP(Inventory[[#This Row],[Nbhd]],Lookups!$M$3:$P$5,4,FALSE)</f>
        <v>0.99970000000000003</v>
      </c>
      <c r="BF135" s="30">
        <f>VLOOKUP(Inventory[[#This Row],[Qlty]],Lookups!$M$8:$P$22,4,FALSE)</f>
        <v>0.99819999999999998</v>
      </c>
      <c r="BG135" s="30">
        <f>VLOOKUP(Inventory[[#This Row],[Cnd]],Lookups!$R$8:$U$17,4,FALSE)</f>
        <v>1.0012000000000001</v>
      </c>
      <c r="BH135" s="30">
        <f>VLOOKUP(Inventory[[#This Row],[LivArea Range]],Lookups!$R$25:$U$43,4,FALSE)</f>
        <v>0.99519999999999997</v>
      </c>
      <c r="BI135" s="30">
        <f>VLOOKUP(Inventory[[#This Row],[Decade]],Lookups!$M$24:$P$40,4,FALSE)</f>
        <v>1</v>
      </c>
      <c r="BJ135" s="30">
        <f>Inventory[[#This Row],[Nbhd Adj]]*0.95</f>
        <v>0.94971499999999998</v>
      </c>
      <c r="BK135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135" s="30">
        <f>ROUND((SUM(Inventory[[#This Row],[Mdl Qlty]:[Mdl Garage Area]])+Inventory[[#This Row],[Mdl Res Intercept]])*Inventory[[#This Row],[Res Adj ]],-2)</f>
        <v>302200</v>
      </c>
      <c r="BM135" s="30">
        <f>ROUND(Inventory[[#This Row],[25Det]]*Inventory[[#This Row],[Det/Nbhd Adj]],-2)</f>
        <v>0</v>
      </c>
      <c r="BN135" s="30">
        <f>Inventory[[#This Row],[Adjusted Res]]+Inventory[[#This Row],[Adj Det ]]</f>
        <v>302200</v>
      </c>
      <c r="BO135" s="30">
        <f>ROUND((Inventory[[#This Row],[Mdl Land Intercept]]+Inventory[[#This Row],[Mdl LnAcres]])*Inventory[[#This Row],[Det/Nbhd Adj]],-2)</f>
        <v>62300</v>
      </c>
      <c r="BP135" s="30">
        <f>Inventory[[#This Row],[Adjusted Impr Total]]+Inventory[[#This Row],[Adjusted Land Total]]</f>
        <v>364500</v>
      </c>
      <c r="BQ135" s="30">
        <f>IFERROR((Inventory[[#This Row],[Adjusted Impr Total]]-Inventory[[#This Row],[24Bldg]])/Inventory[[#This Row],[24Bldg]],0)</f>
        <v>-2.6731078904991948E-2</v>
      </c>
      <c r="BR135" s="43">
        <f>(Inventory[[#This Row],[Adjusted Land Total]]-Inventory[[#This Row],[24Lnd]])/Inventory[[#This Row],[24Lnd]]</f>
        <v>-3.2000000000000002E-3</v>
      </c>
      <c r="BS135" s="43">
        <f>(Inventory[[#This Row],[Adjusted Total]]-Inventory[[#This Row],[24Final]])/Inventory[[#This Row],[24Final]]</f>
        <v>-2.2788203753351208E-2</v>
      </c>
    </row>
    <row r="136" spans="1:71">
      <c r="A136" s="30">
        <v>2025</v>
      </c>
      <c r="B136" s="31" t="s">
        <v>645</v>
      </c>
      <c r="C136" s="31">
        <f>LN(Inventory[[#This Row],[Acres]])</f>
        <v>-1.7372712839439852</v>
      </c>
      <c r="D136" s="37">
        <f>ROUND(Inventory[[#This Row],[Sqft]]/43560,3)</f>
        <v>0.17599999999999999</v>
      </c>
      <c r="E136" s="30">
        <v>7671</v>
      </c>
      <c r="F136" s="31" t="s">
        <v>505</v>
      </c>
      <c r="G136" s="31" t="s">
        <v>155</v>
      </c>
      <c r="H136" s="31" t="s">
        <v>5</v>
      </c>
      <c r="I136" s="31" t="s">
        <v>506</v>
      </c>
      <c r="J136" s="31" t="s">
        <v>507</v>
      </c>
      <c r="K136" s="31" t="s">
        <v>157</v>
      </c>
      <c r="L136" s="31" t="s">
        <v>21</v>
      </c>
      <c r="M136" s="31" t="s">
        <v>24</v>
      </c>
      <c r="N136" s="31">
        <v>0</v>
      </c>
      <c r="O136" s="31">
        <f>2024-Inventory[[#This Row],[YrBlt]]</f>
        <v>3</v>
      </c>
      <c r="P136" s="31">
        <f>2024-Inventory[[#This Row],[EffYr]]</f>
        <v>3</v>
      </c>
      <c r="Q136" s="30">
        <v>2021</v>
      </c>
      <c r="R136" s="30">
        <v>2021</v>
      </c>
      <c r="S136" s="30">
        <v>1073</v>
      </c>
      <c r="T136" s="30">
        <v>1331</v>
      </c>
      <c r="U136" s="32"/>
      <c r="V136" s="32"/>
      <c r="W136" s="32"/>
      <c r="X136" s="32">
        <f>Inventory[[#This Row],[Bsmt Area]]-Inventory[[#This Row],[FnBsmt]]</f>
        <v>0</v>
      </c>
      <c r="Y136" s="32">
        <f>Inventory[[#This Row],[MainFn]]+Inventory[[#This Row],[UpprFn]]+Inventory[[#This Row],[AddFn]]+Inventory[[#This Row],[FnBsmt]]</f>
        <v>2404</v>
      </c>
      <c r="Z136" s="32">
        <v>2500</v>
      </c>
      <c r="AA136" s="31" t="s">
        <v>56</v>
      </c>
      <c r="AB136" s="38">
        <v>1</v>
      </c>
      <c r="AC136" s="38">
        <v>264</v>
      </c>
      <c r="AD136" s="38">
        <v>707</v>
      </c>
      <c r="AE136" s="32"/>
      <c r="AF136" s="32"/>
      <c r="AG136" s="32"/>
      <c r="AH136" s="32"/>
      <c r="AI136" s="30">
        <v>505256</v>
      </c>
      <c r="AJ136" s="30">
        <v>490098</v>
      </c>
      <c r="AK136" s="30">
        <v>0</v>
      </c>
      <c r="AL136" s="30">
        <v>0</v>
      </c>
      <c r="AM136" s="30">
        <v>62500</v>
      </c>
      <c r="AN136" s="30">
        <v>390300</v>
      </c>
      <c r="AO136" s="30">
        <v>452800</v>
      </c>
      <c r="AP136" s="30">
        <f>Lookups!$B$58*0.6</f>
        <v>132535.48800000001</v>
      </c>
      <c r="AQ136" s="30">
        <f>Lookups!$B$58*0.4</f>
        <v>88356.992000000013</v>
      </c>
      <c r="AR136" s="30">
        <f>Lookups!$B$59*Inventory[[#This Row],[LnAcres]]</f>
        <v>-22800.505994563009</v>
      </c>
      <c r="AS136" s="30">
        <f>VLOOKUP(Inventory[[#This Row],[Qlty]],Lookups!$A$66:$E$79,2,FALSE)</f>
        <v>32917.849192000001</v>
      </c>
      <c r="AT136" s="30">
        <f>VLOOKUP(Inventory[[#This Row],[Cnd]],Lookups!$A$80:$E$88,2,FALSE)</f>
        <v>47371.278778200001</v>
      </c>
      <c r="AU136" s="30">
        <f>Inventory[[#This Row],[EffAge]]*Lookups!$B$65</f>
        <v>-326.22329999999999</v>
      </c>
      <c r="AV136" s="30">
        <f>Inventory[[#This Row],[MainFn]]*Lookups!$B$90</f>
        <v>66966.337740000003</v>
      </c>
      <c r="AW136" s="30">
        <f>Inventory[[#This Row],[UpprFn]]*Lookups!$B$91</f>
        <v>79301.489772999994</v>
      </c>
      <c r="AX136" s="30">
        <f>Inventory[[#This Row],[Bsmt Area]]*Lookups!$B$95</f>
        <v>0</v>
      </c>
      <c r="AY136" s="30">
        <f>Inventory[[#This Row],[AttGar]]*Lookups!$B$93</f>
        <v>9319.4721840000002</v>
      </c>
      <c r="AZ136" s="30">
        <f>ROUND(Inventory[[#This Row],[25Det]],-2)</f>
        <v>0</v>
      </c>
      <c r="BA136" s="30">
        <f>ROUND(SUM(Inventory[[#This Row],[Mdl Qlty]:[Mdl Garage Area]])+Inventory[[#This Row],[Mdl Res Intercept]],-2)</f>
        <v>368100</v>
      </c>
      <c r="BB136" s="30">
        <f>ROUND(Inventory[[#This Row],[Mdl Land Intercept]]+Inventory[[#This Row],[Mdl LnAcres]],-2)</f>
        <v>65600</v>
      </c>
      <c r="BC136" s="30">
        <f>Inventory[[#This Row],[Unadj Res Value]]+Inventory[[#This Row],[Unadj Det Value]]+Inventory[[#This Row],[Unadj Land Value]]</f>
        <v>433700</v>
      </c>
      <c r="BD136" s="30">
        <f>(Inventory[[#This Row],[Unadj Total Value]]-Inventory[[#This Row],[24Final]])/Inventory[[#This Row],[24Final]]</f>
        <v>-4.2181978798586574E-2</v>
      </c>
      <c r="BE136" s="30">
        <f>VLOOKUP(Inventory[[#This Row],[Nbhd]],Lookups!$M$3:$P$5,4,FALSE)</f>
        <v>0.99970000000000003</v>
      </c>
      <c r="BF136" s="30">
        <f>VLOOKUP(Inventory[[#This Row],[Qlty]],Lookups!$M$8:$P$22,4,FALSE)</f>
        <v>1.0019</v>
      </c>
      <c r="BG136" s="30">
        <f>VLOOKUP(Inventory[[#This Row],[Cnd]],Lookups!$R$8:$U$17,4,FALSE)</f>
        <v>1.0012000000000001</v>
      </c>
      <c r="BH136" s="30">
        <f>VLOOKUP(Inventory[[#This Row],[LivArea Range]],Lookups!$R$25:$U$43,4,FALSE)</f>
        <v>1.0008999999999999</v>
      </c>
      <c r="BI136" s="30">
        <f>VLOOKUP(Inventory[[#This Row],[Decade]],Lookups!$M$24:$P$40,4,FALSE)</f>
        <v>1</v>
      </c>
      <c r="BJ136" s="30">
        <f>Inventory[[#This Row],[Nbhd Adj]]*0.95</f>
        <v>0.94971499999999998</v>
      </c>
      <c r="BK136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36" s="30">
        <f>ROUND((SUM(Inventory[[#This Row],[Mdl Qlty]:[Mdl Garage Area]])+Inventory[[#This Row],[Mdl Res Intercept]])*Inventory[[#This Row],[Res Adj ]],-2)</f>
        <v>349900</v>
      </c>
      <c r="BM136" s="30">
        <f>ROUND(Inventory[[#This Row],[25Det]]*Inventory[[#This Row],[Det/Nbhd Adj]],-2)</f>
        <v>0</v>
      </c>
      <c r="BN136" s="30">
        <f>Inventory[[#This Row],[Adjusted Res]]+Inventory[[#This Row],[Adj Det ]]</f>
        <v>349900</v>
      </c>
      <c r="BO136" s="30">
        <f>ROUND((Inventory[[#This Row],[Mdl Land Intercept]]+Inventory[[#This Row],[Mdl LnAcres]])*Inventory[[#This Row],[Det/Nbhd Adj]],-2)</f>
        <v>62300</v>
      </c>
      <c r="BP136" s="30">
        <f>Inventory[[#This Row],[Adjusted Impr Total]]+Inventory[[#This Row],[Adjusted Land Total]]</f>
        <v>412200</v>
      </c>
      <c r="BQ136" s="30">
        <f>IFERROR((Inventory[[#This Row],[Adjusted Impr Total]]-Inventory[[#This Row],[24Bldg]])/Inventory[[#This Row],[24Bldg]],0)</f>
        <v>-0.1035101204201896</v>
      </c>
      <c r="BR136" s="43">
        <f>(Inventory[[#This Row],[Adjusted Land Total]]-Inventory[[#This Row],[24Lnd]])/Inventory[[#This Row],[24Lnd]]</f>
        <v>-3.2000000000000002E-3</v>
      </c>
      <c r="BS136" s="43">
        <f>(Inventory[[#This Row],[Adjusted Total]]-Inventory[[#This Row],[24Final]])/Inventory[[#This Row],[24Final]]</f>
        <v>-8.9664310954063603E-2</v>
      </c>
    </row>
    <row r="137" spans="1:71">
      <c r="A137" s="30">
        <v>2025</v>
      </c>
      <c r="B137" s="31" t="s">
        <v>646</v>
      </c>
      <c r="C137" s="31">
        <f>LN(Inventory[[#This Row],[Acres]])</f>
        <v>-1.7372712839439852</v>
      </c>
      <c r="D137" s="37">
        <f>ROUND(Inventory[[#This Row],[Sqft]]/43560,3)</f>
        <v>0.17599999999999999</v>
      </c>
      <c r="E137" s="30">
        <v>7684</v>
      </c>
      <c r="F137" s="31" t="s">
        <v>505</v>
      </c>
      <c r="G137" s="31" t="s">
        <v>155</v>
      </c>
      <c r="H137" s="31" t="s">
        <v>5</v>
      </c>
      <c r="I137" s="31" t="s">
        <v>506</v>
      </c>
      <c r="J137" s="31" t="s">
        <v>507</v>
      </c>
      <c r="K137" s="31" t="s">
        <v>157</v>
      </c>
      <c r="L137" s="31" t="s">
        <v>21</v>
      </c>
      <c r="M137" s="31" t="s">
        <v>24</v>
      </c>
      <c r="N137" s="31">
        <v>0</v>
      </c>
      <c r="O137" s="31">
        <f>2024-Inventory[[#This Row],[YrBlt]]</f>
        <v>3</v>
      </c>
      <c r="P137" s="31">
        <f>2024-Inventory[[#This Row],[EffYr]]</f>
        <v>3</v>
      </c>
      <c r="Q137" s="30">
        <v>2021</v>
      </c>
      <c r="R137" s="30">
        <v>2021</v>
      </c>
      <c r="S137" s="30">
        <v>1111</v>
      </c>
      <c r="T137" s="38">
        <v>1126</v>
      </c>
      <c r="U137" s="32"/>
      <c r="V137" s="32"/>
      <c r="W137" s="32"/>
      <c r="X137" s="32">
        <f>Inventory[[#This Row],[Bsmt Area]]-Inventory[[#This Row],[FnBsmt]]</f>
        <v>0</v>
      </c>
      <c r="Y137" s="32">
        <f>Inventory[[#This Row],[MainFn]]+Inventory[[#This Row],[UpprFn]]+Inventory[[#This Row],[AddFn]]+Inventory[[#This Row],[FnBsmt]]</f>
        <v>2237</v>
      </c>
      <c r="Z137" s="32">
        <v>2500</v>
      </c>
      <c r="AA137" s="31" t="s">
        <v>56</v>
      </c>
      <c r="AB137" s="37"/>
      <c r="AC137" s="38">
        <v>455</v>
      </c>
      <c r="AD137" s="32"/>
      <c r="AE137" s="32"/>
      <c r="AF137" s="32"/>
      <c r="AG137" s="32"/>
      <c r="AH137" s="32"/>
      <c r="AI137" s="30">
        <v>451707</v>
      </c>
      <c r="AJ137" s="30">
        <v>438156</v>
      </c>
      <c r="AK137" s="30">
        <v>0</v>
      </c>
      <c r="AL137" s="30">
        <v>0</v>
      </c>
      <c r="AM137" s="30">
        <v>62500</v>
      </c>
      <c r="AN137" s="30">
        <v>372200</v>
      </c>
      <c r="AO137" s="30">
        <v>434700</v>
      </c>
      <c r="AP137" s="30">
        <f>Lookups!$B$58*0.6</f>
        <v>132535.48800000001</v>
      </c>
      <c r="AQ137" s="30">
        <f>Lookups!$B$58*0.4</f>
        <v>88356.992000000013</v>
      </c>
      <c r="AR137" s="30">
        <f>Lookups!$B$59*Inventory[[#This Row],[LnAcres]]</f>
        <v>-22800.505994563009</v>
      </c>
      <c r="AS137" s="30">
        <f>VLOOKUP(Inventory[[#This Row],[Qlty]],Lookups!$A$66:$E$79,2,FALSE)</f>
        <v>32917.849192000001</v>
      </c>
      <c r="AT137" s="30">
        <f>VLOOKUP(Inventory[[#This Row],[Cnd]],Lookups!$A$80:$E$88,2,FALSE)</f>
        <v>47371.278778200001</v>
      </c>
      <c r="AU137" s="30">
        <f>Inventory[[#This Row],[EffAge]]*Lookups!$B$65</f>
        <v>-326.22329999999999</v>
      </c>
      <c r="AV137" s="30">
        <f>Inventory[[#This Row],[MainFn]]*Lookups!$B$90</f>
        <v>69337.932180000003</v>
      </c>
      <c r="AW137" s="30">
        <f>Inventory[[#This Row],[UpprFn]]*Lookups!$B$91</f>
        <v>67087.511257999999</v>
      </c>
      <c r="AX137" s="30">
        <f>Inventory[[#This Row],[Bsmt Area]]*Lookups!$B$95</f>
        <v>0</v>
      </c>
      <c r="AY137" s="30">
        <f>Inventory[[#This Row],[AttGar]]*Lookups!$B$93</f>
        <v>16061.969105</v>
      </c>
      <c r="AZ137" s="30">
        <f>ROUND(Inventory[[#This Row],[25Det]],-2)</f>
        <v>0</v>
      </c>
      <c r="BA137" s="30">
        <f>ROUND(SUM(Inventory[[#This Row],[Mdl Qlty]:[Mdl Garage Area]])+Inventory[[#This Row],[Mdl Res Intercept]],-2)</f>
        <v>365000</v>
      </c>
      <c r="BB137" s="30">
        <f>ROUND(Inventory[[#This Row],[Mdl Land Intercept]]+Inventory[[#This Row],[Mdl LnAcres]],-2)</f>
        <v>65600</v>
      </c>
      <c r="BC137" s="30">
        <f>Inventory[[#This Row],[Unadj Res Value]]+Inventory[[#This Row],[Unadj Det Value]]+Inventory[[#This Row],[Unadj Land Value]]</f>
        <v>430600</v>
      </c>
      <c r="BD137" s="30">
        <f>(Inventory[[#This Row],[Unadj Total Value]]-Inventory[[#This Row],[24Final]])/Inventory[[#This Row],[24Final]]</f>
        <v>-9.4317920404876927E-3</v>
      </c>
      <c r="BE137" s="30">
        <f>VLOOKUP(Inventory[[#This Row],[Nbhd]],Lookups!$M$3:$P$5,4,FALSE)</f>
        <v>0.99970000000000003</v>
      </c>
      <c r="BF137" s="30">
        <f>VLOOKUP(Inventory[[#This Row],[Qlty]],Lookups!$M$8:$P$22,4,FALSE)</f>
        <v>1.0019</v>
      </c>
      <c r="BG137" s="30">
        <f>VLOOKUP(Inventory[[#This Row],[Cnd]],Lookups!$R$8:$U$17,4,FALSE)</f>
        <v>1.0012000000000001</v>
      </c>
      <c r="BH137" s="30">
        <f>VLOOKUP(Inventory[[#This Row],[LivArea Range]],Lookups!$R$25:$U$43,4,FALSE)</f>
        <v>1.0008999999999999</v>
      </c>
      <c r="BI137" s="30">
        <f>VLOOKUP(Inventory[[#This Row],[Decade]],Lookups!$M$24:$P$40,4,FALSE)</f>
        <v>1</v>
      </c>
      <c r="BJ137" s="30">
        <f>Inventory[[#This Row],[Nbhd Adj]]*0.95</f>
        <v>0.94971499999999998</v>
      </c>
      <c r="BK137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37" s="30">
        <f>ROUND((SUM(Inventory[[#This Row],[Mdl Qlty]:[Mdl Garage Area]])+Inventory[[#This Row],[Mdl Res Intercept]])*Inventory[[#This Row],[Res Adj ]],-2)</f>
        <v>347000</v>
      </c>
      <c r="BM137" s="30">
        <f>ROUND(Inventory[[#This Row],[25Det]]*Inventory[[#This Row],[Det/Nbhd Adj]],-2)</f>
        <v>0</v>
      </c>
      <c r="BN137" s="30">
        <f>Inventory[[#This Row],[Adjusted Res]]+Inventory[[#This Row],[Adj Det ]]</f>
        <v>347000</v>
      </c>
      <c r="BO137" s="30">
        <f>ROUND((Inventory[[#This Row],[Mdl Land Intercept]]+Inventory[[#This Row],[Mdl LnAcres]])*Inventory[[#This Row],[Det/Nbhd Adj]],-2)</f>
        <v>62300</v>
      </c>
      <c r="BP137" s="30">
        <f>Inventory[[#This Row],[Adjusted Impr Total]]+Inventory[[#This Row],[Adjusted Land Total]]</f>
        <v>409300</v>
      </c>
      <c r="BQ137" s="30">
        <f>IFERROR((Inventory[[#This Row],[Adjusted Impr Total]]-Inventory[[#This Row],[24Bldg]])/Inventory[[#This Row],[24Bldg]],0)</f>
        <v>-6.7705534658785593E-2</v>
      </c>
      <c r="BR137" s="43">
        <f>(Inventory[[#This Row],[Adjusted Land Total]]-Inventory[[#This Row],[24Lnd]])/Inventory[[#This Row],[24Lnd]]</f>
        <v>-3.2000000000000002E-3</v>
      </c>
      <c r="BS137" s="43">
        <f>(Inventory[[#This Row],[Adjusted Total]]-Inventory[[#This Row],[24Final]])/Inventory[[#This Row],[24Final]]</f>
        <v>-5.8431101909362779E-2</v>
      </c>
    </row>
    <row r="138" spans="1:71">
      <c r="A138" s="30">
        <v>2025</v>
      </c>
      <c r="B138" s="31" t="s">
        <v>647</v>
      </c>
      <c r="C138" s="31">
        <f>LN(Inventory[[#This Row],[Acres]])</f>
        <v>-1.7372712839439852</v>
      </c>
      <c r="D138" s="37">
        <f>ROUND(Inventory[[#This Row],[Sqft]]/43560,3)</f>
        <v>0.17599999999999999</v>
      </c>
      <c r="E138" s="30">
        <v>7674</v>
      </c>
      <c r="F138" s="31" t="s">
        <v>505</v>
      </c>
      <c r="G138" s="31" t="s">
        <v>155</v>
      </c>
      <c r="H138" s="31" t="s">
        <v>5</v>
      </c>
      <c r="I138" s="31" t="s">
        <v>506</v>
      </c>
      <c r="J138" s="31" t="s">
        <v>507</v>
      </c>
      <c r="K138" s="31" t="s">
        <v>157</v>
      </c>
      <c r="L138" s="31" t="s">
        <v>19</v>
      </c>
      <c r="M138" s="31" t="s">
        <v>24</v>
      </c>
      <c r="N138" s="31">
        <v>0</v>
      </c>
      <c r="O138" s="31">
        <f>2024-Inventory[[#This Row],[YrBlt]]</f>
        <v>3</v>
      </c>
      <c r="P138" s="31">
        <f>2024-Inventory[[#This Row],[EffYr]]</f>
        <v>3</v>
      </c>
      <c r="Q138" s="30">
        <v>2021</v>
      </c>
      <c r="R138" s="30">
        <v>2021</v>
      </c>
      <c r="S138" s="30">
        <v>1550</v>
      </c>
      <c r="T138" s="32"/>
      <c r="U138" s="32"/>
      <c r="V138" s="32"/>
      <c r="W138" s="32"/>
      <c r="X138" s="32">
        <f>Inventory[[#This Row],[Bsmt Area]]-Inventory[[#This Row],[FnBsmt]]</f>
        <v>0</v>
      </c>
      <c r="Y138" s="32">
        <f>Inventory[[#This Row],[MainFn]]+Inventory[[#This Row],[UpprFn]]+Inventory[[#This Row],[AddFn]]+Inventory[[#This Row],[FnBsmt]]</f>
        <v>1550</v>
      </c>
      <c r="Z138" s="32">
        <v>2000</v>
      </c>
      <c r="AA138" s="31" t="s">
        <v>56</v>
      </c>
      <c r="AB138" s="32"/>
      <c r="AC138" s="38">
        <v>420</v>
      </c>
      <c r="AD138" s="32"/>
      <c r="AE138" s="32"/>
      <c r="AF138" s="32"/>
      <c r="AG138" s="32"/>
      <c r="AH138" s="32"/>
      <c r="AI138" s="30">
        <v>304866</v>
      </c>
      <c r="AJ138" s="30">
        <v>295720</v>
      </c>
      <c r="AK138" s="30">
        <v>0</v>
      </c>
      <c r="AL138" s="30">
        <v>0</v>
      </c>
      <c r="AM138" s="30">
        <v>62500</v>
      </c>
      <c r="AN138" s="30">
        <v>317800</v>
      </c>
      <c r="AO138" s="30">
        <v>380300</v>
      </c>
      <c r="AP138" s="30">
        <f>Lookups!$B$58*0.6</f>
        <v>132535.48800000001</v>
      </c>
      <c r="AQ138" s="30">
        <f>Lookups!$B$58*0.4</f>
        <v>88356.992000000013</v>
      </c>
      <c r="AR138" s="30">
        <f>Lookups!$B$59*Inventory[[#This Row],[LnAcres]]</f>
        <v>-22800.505994563009</v>
      </c>
      <c r="AS138" s="30">
        <f>VLOOKUP(Inventory[[#This Row],[Qlty]],Lookups!$A$66:$E$79,2,FALSE)</f>
        <v>37154.252388000001</v>
      </c>
      <c r="AT138" s="30">
        <f>VLOOKUP(Inventory[[#This Row],[Cnd]],Lookups!$A$80:$E$88,2,FALSE)</f>
        <v>47371.278778200001</v>
      </c>
      <c r="AU138" s="30">
        <f>Inventory[[#This Row],[EffAge]]*Lookups!$B$65</f>
        <v>-326.22329999999999</v>
      </c>
      <c r="AV138" s="30">
        <f>Inventory[[#This Row],[MainFn]]*Lookups!$B$90</f>
        <v>96736.089000000007</v>
      </c>
      <c r="AW138" s="30">
        <f>Inventory[[#This Row],[UpprFn]]*Lookups!$B$91</f>
        <v>0</v>
      </c>
      <c r="AX138" s="30">
        <f>Inventory[[#This Row],[Bsmt Area]]*Lookups!$B$95</f>
        <v>0</v>
      </c>
      <c r="AY138" s="30">
        <f>Inventory[[#This Row],[AttGar]]*Lookups!$B$93</f>
        <v>14826.43302</v>
      </c>
      <c r="AZ138" s="30">
        <f>ROUND(Inventory[[#This Row],[25Det]],-2)</f>
        <v>0</v>
      </c>
      <c r="BA138" s="30">
        <f>ROUND(SUM(Inventory[[#This Row],[Mdl Qlty]:[Mdl Garage Area]])+Inventory[[#This Row],[Mdl Res Intercept]],-2)</f>
        <v>328300</v>
      </c>
      <c r="BB138" s="30">
        <f>ROUND(Inventory[[#This Row],[Mdl Land Intercept]]+Inventory[[#This Row],[Mdl LnAcres]],-2)</f>
        <v>65600</v>
      </c>
      <c r="BC138" s="30">
        <f>Inventory[[#This Row],[Unadj Res Value]]+Inventory[[#This Row],[Unadj Det Value]]+Inventory[[#This Row],[Unadj Land Value]]</f>
        <v>393900</v>
      </c>
      <c r="BD138" s="30">
        <f>(Inventory[[#This Row],[Unadj Total Value]]-Inventory[[#This Row],[24Final]])/Inventory[[#This Row],[24Final]]</f>
        <v>3.5761241125427293E-2</v>
      </c>
      <c r="BE138" s="30">
        <f>VLOOKUP(Inventory[[#This Row],[Nbhd]],Lookups!$M$3:$P$5,4,FALSE)</f>
        <v>0.99970000000000003</v>
      </c>
      <c r="BF138" s="30">
        <f>VLOOKUP(Inventory[[#This Row],[Qlty]],Lookups!$M$8:$P$22,4,FALSE)</f>
        <v>0.99819999999999998</v>
      </c>
      <c r="BG138" s="30">
        <f>VLOOKUP(Inventory[[#This Row],[Cnd]],Lookups!$R$8:$U$17,4,FALSE)</f>
        <v>1.0012000000000001</v>
      </c>
      <c r="BH138" s="30">
        <f>VLOOKUP(Inventory[[#This Row],[LivArea Range]],Lookups!$R$25:$U$43,4,FALSE)</f>
        <v>1.0007999999999999</v>
      </c>
      <c r="BI138" s="30">
        <f>VLOOKUP(Inventory[[#This Row],[Decade]],Lookups!$M$24:$P$40,4,FALSE)</f>
        <v>1</v>
      </c>
      <c r="BJ138" s="30">
        <f>Inventory[[#This Row],[Nbhd Adj]]*0.95</f>
        <v>0.94971499999999998</v>
      </c>
      <c r="BK138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138" s="30">
        <f>ROUND((SUM(Inventory[[#This Row],[Mdl Qlty]:[Mdl Garage Area]])+Inventory[[#This Row],[Mdl Res Intercept]])*Inventory[[#This Row],[Res Adj ]],-2)</f>
        <v>311900</v>
      </c>
      <c r="BM138" s="30">
        <f>ROUND(Inventory[[#This Row],[25Det]]*Inventory[[#This Row],[Det/Nbhd Adj]],-2)</f>
        <v>0</v>
      </c>
      <c r="BN138" s="30">
        <f>Inventory[[#This Row],[Adjusted Res]]+Inventory[[#This Row],[Adj Det ]]</f>
        <v>311900</v>
      </c>
      <c r="BO138" s="30">
        <f>ROUND((Inventory[[#This Row],[Mdl Land Intercept]]+Inventory[[#This Row],[Mdl LnAcres]])*Inventory[[#This Row],[Det/Nbhd Adj]],-2)</f>
        <v>62300</v>
      </c>
      <c r="BP138" s="30">
        <f>Inventory[[#This Row],[Adjusted Impr Total]]+Inventory[[#This Row],[Adjusted Land Total]]</f>
        <v>374200</v>
      </c>
      <c r="BQ138" s="30">
        <f>IFERROR((Inventory[[#This Row],[Adjusted Impr Total]]-Inventory[[#This Row],[24Bldg]])/Inventory[[#This Row],[24Bldg]],0)</f>
        <v>-1.8565135305223412E-2</v>
      </c>
      <c r="BR138" s="43">
        <f>(Inventory[[#This Row],[Adjusted Land Total]]-Inventory[[#This Row],[24Lnd]])/Inventory[[#This Row],[24Lnd]]</f>
        <v>-3.2000000000000002E-3</v>
      </c>
      <c r="BS138" s="43">
        <f>(Inventory[[#This Row],[Adjusted Total]]-Inventory[[#This Row],[24Final]])/Inventory[[#This Row],[24Final]]</f>
        <v>-1.6039968445963712E-2</v>
      </c>
    </row>
    <row r="139" spans="1:71">
      <c r="A139" s="30">
        <v>2025</v>
      </c>
      <c r="B139" s="31" t="s">
        <v>648</v>
      </c>
      <c r="C139" s="31">
        <f>LN(Inventory[[#This Row],[Acres]])</f>
        <v>-1.7372712839439852</v>
      </c>
      <c r="D139" s="37">
        <f>ROUND(Inventory[[#This Row],[Sqft]]/43560,3)</f>
        <v>0.17599999999999999</v>
      </c>
      <c r="E139" s="30">
        <v>7668</v>
      </c>
      <c r="F139" s="31" t="s">
        <v>505</v>
      </c>
      <c r="G139" s="31" t="s">
        <v>155</v>
      </c>
      <c r="H139" s="31" t="s">
        <v>5</v>
      </c>
      <c r="I139" s="31" t="s">
        <v>506</v>
      </c>
      <c r="J139" s="31" t="s">
        <v>507</v>
      </c>
      <c r="K139" s="31" t="s">
        <v>157</v>
      </c>
      <c r="L139" s="31" t="s">
        <v>21</v>
      </c>
      <c r="M139" s="31" t="s">
        <v>24</v>
      </c>
      <c r="N139" s="31">
        <v>0</v>
      </c>
      <c r="O139" s="31">
        <f>2024-Inventory[[#This Row],[YrBlt]]</f>
        <v>3</v>
      </c>
      <c r="P139" s="31">
        <f>2024-Inventory[[#This Row],[EffYr]]</f>
        <v>3</v>
      </c>
      <c r="Q139" s="30">
        <v>2021</v>
      </c>
      <c r="R139" s="30">
        <v>2021</v>
      </c>
      <c r="S139" s="30">
        <v>2010</v>
      </c>
      <c r="T139" s="32"/>
      <c r="U139" s="32"/>
      <c r="V139" s="32"/>
      <c r="W139" s="32"/>
      <c r="X139" s="32">
        <f>Inventory[[#This Row],[Bsmt Area]]-Inventory[[#This Row],[FnBsmt]]</f>
        <v>0</v>
      </c>
      <c r="Y139" s="32">
        <f>Inventory[[#This Row],[MainFn]]+Inventory[[#This Row],[UpprFn]]+Inventory[[#This Row],[AddFn]]+Inventory[[#This Row],[FnBsmt]]</f>
        <v>2010</v>
      </c>
      <c r="Z139" s="32">
        <v>2500</v>
      </c>
      <c r="AA139" s="31" t="s">
        <v>56</v>
      </c>
      <c r="AB139" s="32"/>
      <c r="AC139" s="38">
        <v>424</v>
      </c>
      <c r="AD139" s="32"/>
      <c r="AE139" s="32"/>
      <c r="AF139" s="32"/>
      <c r="AG139" s="32"/>
      <c r="AH139" s="32"/>
      <c r="AI139" s="30">
        <v>422416</v>
      </c>
      <c r="AJ139" s="30">
        <v>409744</v>
      </c>
      <c r="AK139" s="30">
        <v>0</v>
      </c>
      <c r="AL139" s="30">
        <v>0</v>
      </c>
      <c r="AM139" s="30">
        <v>62500</v>
      </c>
      <c r="AN139" s="30">
        <v>337400</v>
      </c>
      <c r="AO139" s="30">
        <v>399900</v>
      </c>
      <c r="AP139" s="30">
        <f>Lookups!$B$58*0.6</f>
        <v>132535.48800000001</v>
      </c>
      <c r="AQ139" s="30">
        <f>Lookups!$B$58*0.4</f>
        <v>88356.992000000013</v>
      </c>
      <c r="AR139" s="30">
        <f>Lookups!$B$59*Inventory[[#This Row],[LnAcres]]</f>
        <v>-22800.505994563009</v>
      </c>
      <c r="AS139" s="30">
        <f>VLOOKUP(Inventory[[#This Row],[Qlty]],Lookups!$A$66:$E$79,2,FALSE)</f>
        <v>32917.849192000001</v>
      </c>
      <c r="AT139" s="30">
        <f>VLOOKUP(Inventory[[#This Row],[Cnd]],Lookups!$A$80:$E$88,2,FALSE)</f>
        <v>47371.278778200001</v>
      </c>
      <c r="AU139" s="30">
        <f>Inventory[[#This Row],[EffAge]]*Lookups!$B$65</f>
        <v>-326.22329999999999</v>
      </c>
      <c r="AV139" s="30">
        <f>Inventory[[#This Row],[MainFn]]*Lookups!$B$90</f>
        <v>125444.86380000001</v>
      </c>
      <c r="AW139" s="30">
        <f>Inventory[[#This Row],[UpprFn]]*Lookups!$B$91</f>
        <v>0</v>
      </c>
      <c r="AX139" s="30">
        <f>Inventory[[#This Row],[Bsmt Area]]*Lookups!$B$95</f>
        <v>0</v>
      </c>
      <c r="AY139" s="30">
        <f>Inventory[[#This Row],[AttGar]]*Lookups!$B$93</f>
        <v>14967.637144</v>
      </c>
      <c r="AZ139" s="30">
        <f>ROUND(Inventory[[#This Row],[25Det]],-2)</f>
        <v>0</v>
      </c>
      <c r="BA139" s="30">
        <f>ROUND(SUM(Inventory[[#This Row],[Mdl Qlty]:[Mdl Garage Area]])+Inventory[[#This Row],[Mdl Res Intercept]],-2)</f>
        <v>352900</v>
      </c>
      <c r="BB139" s="30">
        <f>ROUND(Inventory[[#This Row],[Mdl Land Intercept]]+Inventory[[#This Row],[Mdl LnAcres]],-2)</f>
        <v>65600</v>
      </c>
      <c r="BC139" s="30">
        <f>Inventory[[#This Row],[Unadj Res Value]]+Inventory[[#This Row],[Unadj Det Value]]+Inventory[[#This Row],[Unadj Land Value]]</f>
        <v>418500</v>
      </c>
      <c r="BD139" s="30">
        <f>(Inventory[[#This Row],[Unadj Total Value]]-Inventory[[#This Row],[24Final]])/Inventory[[#This Row],[24Final]]</f>
        <v>4.6511627906976744E-2</v>
      </c>
      <c r="BE139" s="30">
        <f>VLOOKUP(Inventory[[#This Row],[Nbhd]],Lookups!$M$3:$P$5,4,FALSE)</f>
        <v>0.99970000000000003</v>
      </c>
      <c r="BF139" s="30">
        <f>VLOOKUP(Inventory[[#This Row],[Qlty]],Lookups!$M$8:$P$22,4,FALSE)</f>
        <v>1.0019</v>
      </c>
      <c r="BG139" s="30">
        <f>VLOOKUP(Inventory[[#This Row],[Cnd]],Lookups!$R$8:$U$17,4,FALSE)</f>
        <v>1.0012000000000001</v>
      </c>
      <c r="BH139" s="30">
        <f>VLOOKUP(Inventory[[#This Row],[LivArea Range]],Lookups!$R$25:$U$43,4,FALSE)</f>
        <v>1.0008999999999999</v>
      </c>
      <c r="BI139" s="30">
        <f>VLOOKUP(Inventory[[#This Row],[Decade]],Lookups!$M$24:$P$40,4,FALSE)</f>
        <v>1</v>
      </c>
      <c r="BJ139" s="30">
        <f>Inventory[[#This Row],[Nbhd Adj]]*0.95</f>
        <v>0.94971499999999998</v>
      </c>
      <c r="BK139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39" s="30">
        <f>ROUND((SUM(Inventory[[#This Row],[Mdl Qlty]:[Mdl Garage Area]])+Inventory[[#This Row],[Mdl Res Intercept]])*Inventory[[#This Row],[Res Adj ]],-2)</f>
        <v>335500</v>
      </c>
      <c r="BM139" s="30">
        <f>ROUND(Inventory[[#This Row],[25Det]]*Inventory[[#This Row],[Det/Nbhd Adj]],-2)</f>
        <v>0</v>
      </c>
      <c r="BN139" s="30">
        <f>Inventory[[#This Row],[Adjusted Res]]+Inventory[[#This Row],[Adj Det ]]</f>
        <v>335500</v>
      </c>
      <c r="BO139" s="30">
        <f>ROUND((Inventory[[#This Row],[Mdl Land Intercept]]+Inventory[[#This Row],[Mdl LnAcres]])*Inventory[[#This Row],[Det/Nbhd Adj]],-2)</f>
        <v>62300</v>
      </c>
      <c r="BP139" s="30">
        <f>Inventory[[#This Row],[Adjusted Impr Total]]+Inventory[[#This Row],[Adjusted Land Total]]</f>
        <v>397800</v>
      </c>
      <c r="BQ139" s="30">
        <f>IFERROR((Inventory[[#This Row],[Adjusted Impr Total]]-Inventory[[#This Row],[24Bldg]])/Inventory[[#This Row],[24Bldg]],0)</f>
        <v>-5.6312981624184943E-3</v>
      </c>
      <c r="BR139" s="43">
        <f>(Inventory[[#This Row],[Adjusted Land Total]]-Inventory[[#This Row],[24Lnd]])/Inventory[[#This Row],[24Lnd]]</f>
        <v>-3.2000000000000002E-3</v>
      </c>
      <c r="BS139" s="43">
        <f>(Inventory[[#This Row],[Adjusted Total]]-Inventory[[#This Row],[24Final]])/Inventory[[#This Row],[24Final]]</f>
        <v>-5.2513128282070517E-3</v>
      </c>
    </row>
    <row r="140" spans="1:71">
      <c r="A140" s="30">
        <v>2025</v>
      </c>
      <c r="B140" s="31" t="s">
        <v>649</v>
      </c>
      <c r="C140" s="31">
        <f>LN(Inventory[[#This Row],[Acres]])</f>
        <v>-1.731605546408308</v>
      </c>
      <c r="D140" s="37">
        <f>ROUND(Inventory[[#This Row],[Sqft]]/43560,3)</f>
        <v>0.17699999999999999</v>
      </c>
      <c r="E140" s="30">
        <v>7718</v>
      </c>
      <c r="F140" s="31" t="s">
        <v>505</v>
      </c>
      <c r="G140" s="31" t="s">
        <v>155</v>
      </c>
      <c r="H140" s="31" t="s">
        <v>5</v>
      </c>
      <c r="I140" s="31" t="s">
        <v>506</v>
      </c>
      <c r="J140" s="31" t="s">
        <v>507</v>
      </c>
      <c r="K140" s="31" t="s">
        <v>157</v>
      </c>
      <c r="L140" s="31" t="s">
        <v>21</v>
      </c>
      <c r="M140" s="31" t="s">
        <v>24</v>
      </c>
      <c r="N140" s="31">
        <v>0</v>
      </c>
      <c r="O140" s="31">
        <f>2024-Inventory[[#This Row],[YrBlt]]</f>
        <v>3</v>
      </c>
      <c r="P140" s="31">
        <f>2024-Inventory[[#This Row],[EffYr]]</f>
        <v>3</v>
      </c>
      <c r="Q140" s="30">
        <v>2021</v>
      </c>
      <c r="R140" s="30">
        <v>2021</v>
      </c>
      <c r="S140" s="30">
        <v>1316</v>
      </c>
      <c r="T140" s="38">
        <v>1686</v>
      </c>
      <c r="U140" s="32"/>
      <c r="V140" s="32"/>
      <c r="W140" s="32"/>
      <c r="X140" s="32">
        <f>Inventory[[#This Row],[Bsmt Area]]-Inventory[[#This Row],[FnBsmt]]</f>
        <v>0</v>
      </c>
      <c r="Y140" s="32">
        <f>Inventory[[#This Row],[MainFn]]+Inventory[[#This Row],[UpprFn]]+Inventory[[#This Row],[AddFn]]+Inventory[[#This Row],[FnBsmt]]</f>
        <v>3002</v>
      </c>
      <c r="Z140" s="32">
        <v>3500</v>
      </c>
      <c r="AA140" s="31" t="s">
        <v>56</v>
      </c>
      <c r="AB140" s="32"/>
      <c r="AC140" s="32"/>
      <c r="AD140" s="38">
        <v>540</v>
      </c>
      <c r="AE140" s="32"/>
      <c r="AF140" s="32"/>
      <c r="AG140" s="32"/>
      <c r="AH140" s="32"/>
      <c r="AI140" s="30">
        <v>558714</v>
      </c>
      <c r="AJ140" s="30">
        <v>541953</v>
      </c>
      <c r="AK140" s="30">
        <v>0</v>
      </c>
      <c r="AL140" s="30">
        <v>0</v>
      </c>
      <c r="AM140" s="30">
        <v>62500</v>
      </c>
      <c r="AN140" s="30">
        <v>403900</v>
      </c>
      <c r="AO140" s="30">
        <v>466400</v>
      </c>
      <c r="AP140" s="30">
        <f>Lookups!$B$58*0.6</f>
        <v>132535.48800000001</v>
      </c>
      <c r="AQ140" s="30">
        <f>Lookups!$B$58*0.4</f>
        <v>88356.992000000013</v>
      </c>
      <c r="AR140" s="30">
        <f>Lookups!$B$59*Inventory[[#This Row],[LnAcres]]</f>
        <v>-22726.147036443032</v>
      </c>
      <c r="AS140" s="30">
        <f>VLOOKUP(Inventory[[#This Row],[Qlty]],Lookups!$A$66:$E$79,2,FALSE)</f>
        <v>32917.849192000001</v>
      </c>
      <c r="AT140" s="30">
        <f>VLOOKUP(Inventory[[#This Row],[Cnd]],Lookups!$A$80:$E$88,2,FALSE)</f>
        <v>47371.278778200001</v>
      </c>
      <c r="AU140" s="30">
        <f>Inventory[[#This Row],[EffAge]]*Lookups!$B$65</f>
        <v>-326.22329999999999</v>
      </c>
      <c r="AV140" s="30">
        <f>Inventory[[#This Row],[MainFn]]*Lookups!$B$90</f>
        <v>82132.06008000001</v>
      </c>
      <c r="AW140" s="30">
        <f>Inventory[[#This Row],[UpprFn]]*Lookups!$B$91</f>
        <v>100452.525738</v>
      </c>
      <c r="AX140" s="30">
        <f>Inventory[[#This Row],[Bsmt Area]]*Lookups!$B$95</f>
        <v>0</v>
      </c>
      <c r="AY140" s="30">
        <f>Inventory[[#This Row],[AttGar]]*Lookups!$B$93</f>
        <v>0</v>
      </c>
      <c r="AZ140" s="30">
        <f>ROUND(Inventory[[#This Row],[25Det]],-2)</f>
        <v>0</v>
      </c>
      <c r="BA140" s="30">
        <f>ROUND(SUM(Inventory[[#This Row],[Mdl Qlty]:[Mdl Garage Area]])+Inventory[[#This Row],[Mdl Res Intercept]],-2)</f>
        <v>395100</v>
      </c>
      <c r="BB140" s="30">
        <f>ROUND(Inventory[[#This Row],[Mdl Land Intercept]]+Inventory[[#This Row],[Mdl LnAcres]],-2)</f>
        <v>65600</v>
      </c>
      <c r="BC140" s="30">
        <f>Inventory[[#This Row],[Unadj Res Value]]+Inventory[[#This Row],[Unadj Det Value]]+Inventory[[#This Row],[Unadj Land Value]]</f>
        <v>460700</v>
      </c>
      <c r="BD140" s="30">
        <f>(Inventory[[#This Row],[Unadj Total Value]]-Inventory[[#This Row],[24Final]])/Inventory[[#This Row],[24Final]]</f>
        <v>-1.2221269296740995E-2</v>
      </c>
      <c r="BE140" s="30">
        <f>VLOOKUP(Inventory[[#This Row],[Nbhd]],Lookups!$M$3:$P$5,4,FALSE)</f>
        <v>0.99970000000000003</v>
      </c>
      <c r="BF140" s="30">
        <f>VLOOKUP(Inventory[[#This Row],[Qlty]],Lookups!$M$8:$P$22,4,FALSE)</f>
        <v>1.0019</v>
      </c>
      <c r="BG140" s="30">
        <f>VLOOKUP(Inventory[[#This Row],[Cnd]],Lookups!$R$8:$U$17,4,FALSE)</f>
        <v>1.0012000000000001</v>
      </c>
      <c r="BH140" s="30">
        <f>VLOOKUP(Inventory[[#This Row],[LivArea Range]],Lookups!$R$25:$U$43,4,FALSE)</f>
        <v>0.98509999999999998</v>
      </c>
      <c r="BI140" s="30">
        <f>VLOOKUP(Inventory[[#This Row],[Decade]],Lookups!$M$24:$P$40,4,FALSE)</f>
        <v>1</v>
      </c>
      <c r="BJ140" s="30">
        <f>Inventory[[#This Row],[Nbhd Adj]]*0.95</f>
        <v>0.94971499999999998</v>
      </c>
      <c r="BK140" s="30">
        <f>AVERAGE(Inventory[[#This Row],[Nbhd Adj]],Inventory[[#This Row],[Quality Adj]],Inventory[[#This Row],[Condition Adj]],Inventory[[#This Row],[Living Area Adj]],Inventory[[#This Row],[Decade Adj]])*0.95</f>
        <v>0.9477009999999999</v>
      </c>
      <c r="BL140" s="30">
        <f>ROUND((SUM(Inventory[[#This Row],[Mdl Qlty]:[Mdl Garage Area]])+Inventory[[#This Row],[Mdl Res Intercept]])*Inventory[[#This Row],[Res Adj ]],-2)</f>
        <v>374400</v>
      </c>
      <c r="BM140" s="30">
        <f>ROUND(Inventory[[#This Row],[25Det]]*Inventory[[#This Row],[Det/Nbhd Adj]],-2)</f>
        <v>0</v>
      </c>
      <c r="BN140" s="30">
        <f>Inventory[[#This Row],[Adjusted Res]]+Inventory[[#This Row],[Adj Det ]]</f>
        <v>374400</v>
      </c>
      <c r="BO140" s="30">
        <f>ROUND((Inventory[[#This Row],[Mdl Land Intercept]]+Inventory[[#This Row],[Mdl LnAcres]])*Inventory[[#This Row],[Det/Nbhd Adj]],-2)</f>
        <v>62300</v>
      </c>
      <c r="BP140" s="30">
        <f>Inventory[[#This Row],[Adjusted Impr Total]]+Inventory[[#This Row],[Adjusted Land Total]]</f>
        <v>436700</v>
      </c>
      <c r="BQ140" s="30">
        <f>IFERROR((Inventory[[#This Row],[Adjusted Impr Total]]-Inventory[[#This Row],[24Bldg]])/Inventory[[#This Row],[24Bldg]],0)</f>
        <v>-7.3037880663530577E-2</v>
      </c>
      <c r="BR140" s="43">
        <f>(Inventory[[#This Row],[Adjusted Land Total]]-Inventory[[#This Row],[24Lnd]])/Inventory[[#This Row],[24Lnd]]</f>
        <v>-3.2000000000000002E-3</v>
      </c>
      <c r="BS140" s="43">
        <f>(Inventory[[#This Row],[Adjusted Total]]-Inventory[[#This Row],[24Final]])/Inventory[[#This Row],[24Final]]</f>
        <v>-6.3679245283018868E-2</v>
      </c>
    </row>
    <row r="141" spans="1:71">
      <c r="A141" s="30">
        <v>2025</v>
      </c>
      <c r="B141" s="31" t="s">
        <v>650</v>
      </c>
      <c r="C141" s="31">
        <f>LN(Inventory[[#This Row],[Acres]])</f>
        <v>-1.725971728690052</v>
      </c>
      <c r="D141" s="37">
        <f>ROUND(Inventory[[#This Row],[Sqft]]/43560,3)</f>
        <v>0.17799999999999999</v>
      </c>
      <c r="E141" s="30">
        <v>7762</v>
      </c>
      <c r="F141" s="31" t="s">
        <v>505</v>
      </c>
      <c r="G141" s="31" t="s">
        <v>155</v>
      </c>
      <c r="H141" s="31" t="s">
        <v>5</v>
      </c>
      <c r="I141" s="31" t="s">
        <v>506</v>
      </c>
      <c r="J141" s="31" t="s">
        <v>507</v>
      </c>
      <c r="K141" s="31" t="s">
        <v>157</v>
      </c>
      <c r="L141" s="31" t="s">
        <v>21</v>
      </c>
      <c r="M141" s="31" t="s">
        <v>24</v>
      </c>
      <c r="N141" s="31">
        <v>0</v>
      </c>
      <c r="O141" s="31">
        <f>2024-Inventory[[#This Row],[YrBlt]]</f>
        <v>3</v>
      </c>
      <c r="P141" s="31">
        <f>2024-Inventory[[#This Row],[EffYr]]</f>
        <v>3</v>
      </c>
      <c r="Q141" s="30">
        <v>2021</v>
      </c>
      <c r="R141" s="30">
        <v>2021</v>
      </c>
      <c r="S141" s="30">
        <v>1650</v>
      </c>
      <c r="T141" s="38">
        <v>1346</v>
      </c>
      <c r="U141" s="32"/>
      <c r="V141" s="32"/>
      <c r="W141" s="32"/>
      <c r="X141" s="32">
        <f>Inventory[[#This Row],[Bsmt Area]]-Inventory[[#This Row],[FnBsmt]]</f>
        <v>0</v>
      </c>
      <c r="Y141" s="32">
        <f>Inventory[[#This Row],[MainFn]]+Inventory[[#This Row],[UpprFn]]+Inventory[[#This Row],[AddFn]]+Inventory[[#This Row],[FnBsmt]]</f>
        <v>2996</v>
      </c>
      <c r="Z141" s="32">
        <v>3000</v>
      </c>
      <c r="AA141" s="31" t="s">
        <v>56</v>
      </c>
      <c r="AB141" s="32"/>
      <c r="AC141" s="38">
        <v>660</v>
      </c>
      <c r="AD141" s="32"/>
      <c r="AE141" s="32"/>
      <c r="AF141" s="32"/>
      <c r="AG141" s="32"/>
      <c r="AH141" s="32"/>
      <c r="AI141" s="30">
        <v>587078</v>
      </c>
      <c r="AJ141" s="30">
        <v>569466</v>
      </c>
      <c r="AK141" s="30">
        <v>0</v>
      </c>
      <c r="AL141" s="30">
        <v>0</v>
      </c>
      <c r="AM141" s="30">
        <v>62500</v>
      </c>
      <c r="AN141" s="30">
        <v>408700</v>
      </c>
      <c r="AO141" s="30">
        <v>471200</v>
      </c>
      <c r="AP141" s="30">
        <f>Lookups!$B$58*0.6</f>
        <v>132535.48800000001</v>
      </c>
      <c r="AQ141" s="30">
        <f>Lookups!$B$58*0.4</f>
        <v>88356.992000000013</v>
      </c>
      <c r="AR141" s="30">
        <f>Lookups!$B$59*Inventory[[#This Row],[LnAcres]]</f>
        <v>-22652.207004253152</v>
      </c>
      <c r="AS141" s="30">
        <f>VLOOKUP(Inventory[[#This Row],[Qlty]],Lookups!$A$66:$E$79,2,FALSE)</f>
        <v>32917.849192000001</v>
      </c>
      <c r="AT141" s="30">
        <f>VLOOKUP(Inventory[[#This Row],[Cnd]],Lookups!$A$80:$E$88,2,FALSE)</f>
        <v>47371.278778200001</v>
      </c>
      <c r="AU141" s="30">
        <f>Inventory[[#This Row],[EffAge]]*Lookups!$B$65</f>
        <v>-326.22329999999999</v>
      </c>
      <c r="AV141" s="30">
        <f>Inventory[[#This Row],[MainFn]]*Lookups!$B$90</f>
        <v>102977.12700000001</v>
      </c>
      <c r="AW141" s="30">
        <f>Inventory[[#This Row],[UpprFn]]*Lookups!$B$91</f>
        <v>80195.195517999993</v>
      </c>
      <c r="AX141" s="30">
        <f>Inventory[[#This Row],[Bsmt Area]]*Lookups!$B$95</f>
        <v>0</v>
      </c>
      <c r="AY141" s="30">
        <f>Inventory[[#This Row],[AttGar]]*Lookups!$B$93</f>
        <v>23298.68046</v>
      </c>
      <c r="AZ141" s="30">
        <f>ROUND(Inventory[[#This Row],[25Det]],-2)</f>
        <v>0</v>
      </c>
      <c r="BA141" s="30">
        <f>ROUND(SUM(Inventory[[#This Row],[Mdl Qlty]:[Mdl Garage Area]])+Inventory[[#This Row],[Mdl Res Intercept]],-2)</f>
        <v>419000</v>
      </c>
      <c r="BB141" s="30">
        <f>ROUND(Inventory[[#This Row],[Mdl Land Intercept]]+Inventory[[#This Row],[Mdl LnAcres]],-2)</f>
        <v>65700</v>
      </c>
      <c r="BC141" s="30">
        <f>Inventory[[#This Row],[Unadj Res Value]]+Inventory[[#This Row],[Unadj Det Value]]+Inventory[[#This Row],[Unadj Land Value]]</f>
        <v>484700</v>
      </c>
      <c r="BD141" s="30">
        <f>(Inventory[[#This Row],[Unadj Total Value]]-Inventory[[#This Row],[24Final]])/Inventory[[#This Row],[24Final]]</f>
        <v>2.865025466893039E-2</v>
      </c>
      <c r="BE141" s="30">
        <f>VLOOKUP(Inventory[[#This Row],[Nbhd]],Lookups!$M$3:$P$5,4,FALSE)</f>
        <v>0.99970000000000003</v>
      </c>
      <c r="BF141" s="30">
        <f>VLOOKUP(Inventory[[#This Row],[Qlty]],Lookups!$M$8:$P$22,4,FALSE)</f>
        <v>1.0019</v>
      </c>
      <c r="BG141" s="30">
        <f>VLOOKUP(Inventory[[#This Row],[Cnd]],Lookups!$R$8:$U$17,4,FALSE)</f>
        <v>1.0012000000000001</v>
      </c>
      <c r="BH141" s="30">
        <f>VLOOKUP(Inventory[[#This Row],[LivArea Range]],Lookups!$R$25:$U$43,4,FALSE)</f>
        <v>1.0099</v>
      </c>
      <c r="BI141" s="30">
        <f>VLOOKUP(Inventory[[#This Row],[Decade]],Lookups!$M$24:$P$40,4,FALSE)</f>
        <v>1</v>
      </c>
      <c r="BJ141" s="30">
        <f>Inventory[[#This Row],[Nbhd Adj]]*0.95</f>
        <v>0.94971499999999998</v>
      </c>
      <c r="BK141" s="30">
        <f>AVERAGE(Inventory[[#This Row],[Nbhd Adj]],Inventory[[#This Row],[Quality Adj]],Inventory[[#This Row],[Condition Adj]],Inventory[[#This Row],[Living Area Adj]],Inventory[[#This Row],[Decade Adj]])*0.95</f>
        <v>0.95241299999999995</v>
      </c>
      <c r="BL141" s="30">
        <f>ROUND((SUM(Inventory[[#This Row],[Mdl Qlty]:[Mdl Garage Area]])+Inventory[[#This Row],[Mdl Res Intercept]])*Inventory[[#This Row],[Res Adj ]],-2)</f>
        <v>399000</v>
      </c>
      <c r="BM141" s="30">
        <f>ROUND(Inventory[[#This Row],[25Det]]*Inventory[[#This Row],[Det/Nbhd Adj]],-2)</f>
        <v>0</v>
      </c>
      <c r="BN141" s="30">
        <f>Inventory[[#This Row],[Adjusted Res]]+Inventory[[#This Row],[Adj Det ]]</f>
        <v>399000</v>
      </c>
      <c r="BO141" s="30">
        <f>ROUND((Inventory[[#This Row],[Mdl Land Intercept]]+Inventory[[#This Row],[Mdl LnAcres]])*Inventory[[#This Row],[Det/Nbhd Adj]],-2)</f>
        <v>62400</v>
      </c>
      <c r="BP141" s="30">
        <f>Inventory[[#This Row],[Adjusted Impr Total]]+Inventory[[#This Row],[Adjusted Land Total]]</f>
        <v>461400</v>
      </c>
      <c r="BQ141" s="30">
        <f>IFERROR((Inventory[[#This Row],[Adjusted Impr Total]]-Inventory[[#This Row],[24Bldg]])/Inventory[[#This Row],[24Bldg]],0)</f>
        <v>-2.3733790066063128E-2</v>
      </c>
      <c r="BR141" s="43">
        <f>(Inventory[[#This Row],[Adjusted Land Total]]-Inventory[[#This Row],[24Lnd]])/Inventory[[#This Row],[24Lnd]]</f>
        <v>-1.6000000000000001E-3</v>
      </c>
      <c r="BS141" s="43">
        <f>(Inventory[[#This Row],[Adjusted Total]]-Inventory[[#This Row],[24Final]])/Inventory[[#This Row],[24Final]]</f>
        <v>-2.0797962648556875E-2</v>
      </c>
    </row>
    <row r="142" spans="1:71">
      <c r="A142" s="30">
        <v>2025</v>
      </c>
      <c r="B142" s="31" t="s">
        <v>651</v>
      </c>
      <c r="C142" s="31">
        <f>LN(Inventory[[#This Row],[Acres]])</f>
        <v>-1.6982691261407161</v>
      </c>
      <c r="D142" s="37">
        <f>ROUND(Inventory[[#This Row],[Sqft]]/43560,3)</f>
        <v>0.183</v>
      </c>
      <c r="E142" s="30">
        <v>7987</v>
      </c>
      <c r="F142" s="31" t="s">
        <v>505</v>
      </c>
      <c r="G142" s="31" t="s">
        <v>155</v>
      </c>
      <c r="H142" s="31" t="s">
        <v>5</v>
      </c>
      <c r="I142" s="31" t="s">
        <v>506</v>
      </c>
      <c r="J142" s="31" t="s">
        <v>507</v>
      </c>
      <c r="K142" s="31" t="s">
        <v>193</v>
      </c>
      <c r="L142" s="31" t="s">
        <v>21</v>
      </c>
      <c r="M142" s="31" t="s">
        <v>24</v>
      </c>
      <c r="N142" s="31">
        <v>0</v>
      </c>
      <c r="O142" s="31">
        <f>2024-Inventory[[#This Row],[YrBlt]]</f>
        <v>3</v>
      </c>
      <c r="P142" s="31">
        <f>2024-Inventory[[#This Row],[EffYr]]</f>
        <v>3</v>
      </c>
      <c r="Q142" s="30">
        <v>2021</v>
      </c>
      <c r="R142" s="30">
        <v>2021</v>
      </c>
      <c r="S142" s="30">
        <v>1991</v>
      </c>
      <c r="T142" s="32"/>
      <c r="U142" s="32"/>
      <c r="V142" s="32"/>
      <c r="W142" s="32"/>
      <c r="X142" s="32">
        <f>Inventory[[#This Row],[Bsmt Area]]-Inventory[[#This Row],[FnBsmt]]</f>
        <v>0</v>
      </c>
      <c r="Y142" s="32">
        <f>Inventory[[#This Row],[MainFn]]+Inventory[[#This Row],[UpprFn]]+Inventory[[#This Row],[AddFn]]+Inventory[[#This Row],[FnBsmt]]</f>
        <v>1991</v>
      </c>
      <c r="Z142" s="32">
        <v>2000</v>
      </c>
      <c r="AA142" s="31" t="s">
        <v>57</v>
      </c>
      <c r="AB142" s="38">
        <v>1</v>
      </c>
      <c r="AC142" s="38">
        <v>400</v>
      </c>
      <c r="AD142" s="32"/>
      <c r="AE142" s="32"/>
      <c r="AF142" s="32"/>
      <c r="AG142" s="32"/>
      <c r="AH142" s="32"/>
      <c r="AI142" s="30">
        <v>421489</v>
      </c>
      <c r="AJ142" s="30">
        <v>408844</v>
      </c>
      <c r="AK142" s="30">
        <v>0</v>
      </c>
      <c r="AL142" s="30">
        <v>0</v>
      </c>
      <c r="AM142" s="30">
        <v>62500</v>
      </c>
      <c r="AN142" s="30">
        <v>345600</v>
      </c>
      <c r="AO142" s="30">
        <v>408100</v>
      </c>
      <c r="AP142" s="30">
        <f>Lookups!$B$58*0.6</f>
        <v>132535.48800000001</v>
      </c>
      <c r="AQ142" s="30">
        <f>Lookups!$B$58*0.4</f>
        <v>88356.992000000013</v>
      </c>
      <c r="AR142" s="30">
        <f>Lookups!$B$59*Inventory[[#This Row],[LnAcres]]</f>
        <v>-22288.62915586025</v>
      </c>
      <c r="AS142" s="30">
        <f>VLOOKUP(Inventory[[#This Row],[Qlty]],Lookups!$A$66:$E$79,2,FALSE)</f>
        <v>32917.849192000001</v>
      </c>
      <c r="AT142" s="30">
        <f>VLOOKUP(Inventory[[#This Row],[Cnd]],Lookups!$A$80:$E$88,2,FALSE)</f>
        <v>47371.278778200001</v>
      </c>
      <c r="AU142" s="30">
        <f>Inventory[[#This Row],[EffAge]]*Lookups!$B$65</f>
        <v>-326.22329999999999</v>
      </c>
      <c r="AV142" s="30">
        <f>Inventory[[#This Row],[MainFn]]*Lookups!$B$90</f>
        <v>124259.06658000001</v>
      </c>
      <c r="AW142" s="30">
        <f>Inventory[[#This Row],[UpprFn]]*Lookups!$B$91</f>
        <v>0</v>
      </c>
      <c r="AX142" s="30">
        <f>Inventory[[#This Row],[Bsmt Area]]*Lookups!$B$95</f>
        <v>0</v>
      </c>
      <c r="AY142" s="30">
        <f>Inventory[[#This Row],[AttGar]]*Lookups!$B$93</f>
        <v>14120.412400000001</v>
      </c>
      <c r="AZ142" s="30">
        <f>ROUND(Inventory[[#This Row],[25Det]],-2)</f>
        <v>0</v>
      </c>
      <c r="BA142" s="30">
        <f>ROUND(SUM(Inventory[[#This Row],[Mdl Qlty]:[Mdl Garage Area]])+Inventory[[#This Row],[Mdl Res Intercept]],-2)</f>
        <v>350900</v>
      </c>
      <c r="BB142" s="30">
        <f>ROUND(Inventory[[#This Row],[Mdl Land Intercept]]+Inventory[[#This Row],[Mdl LnAcres]],-2)</f>
        <v>66100</v>
      </c>
      <c r="BC142" s="30">
        <f>Inventory[[#This Row],[Unadj Res Value]]+Inventory[[#This Row],[Unadj Det Value]]+Inventory[[#This Row],[Unadj Land Value]]</f>
        <v>417000</v>
      </c>
      <c r="BD142" s="30">
        <f>(Inventory[[#This Row],[Unadj Total Value]]-Inventory[[#This Row],[24Final]])/Inventory[[#This Row],[24Final]]</f>
        <v>2.1808380298946335E-2</v>
      </c>
      <c r="BE142" s="30">
        <f>VLOOKUP(Inventory[[#This Row],[Nbhd]],Lookups!$M$3:$P$5,4,FALSE)</f>
        <v>0.99970000000000003</v>
      </c>
      <c r="BF142" s="30">
        <f>VLOOKUP(Inventory[[#This Row],[Qlty]],Lookups!$M$8:$P$22,4,FALSE)</f>
        <v>1.0019</v>
      </c>
      <c r="BG142" s="30">
        <f>VLOOKUP(Inventory[[#This Row],[Cnd]],Lookups!$R$8:$U$17,4,FALSE)</f>
        <v>1.0012000000000001</v>
      </c>
      <c r="BH142" s="30">
        <f>VLOOKUP(Inventory[[#This Row],[LivArea Range]],Lookups!$R$25:$U$43,4,FALSE)</f>
        <v>1.0007999999999999</v>
      </c>
      <c r="BI142" s="30">
        <f>VLOOKUP(Inventory[[#This Row],[Decade]],Lookups!$M$24:$P$40,4,FALSE)</f>
        <v>1</v>
      </c>
      <c r="BJ142" s="30">
        <f>Inventory[[#This Row],[Nbhd Adj]]*0.95</f>
        <v>0.94971499999999998</v>
      </c>
      <c r="BK142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142" s="30">
        <f>ROUND((SUM(Inventory[[#This Row],[Mdl Qlty]:[Mdl Garage Area]])+Inventory[[#This Row],[Mdl Res Intercept]])*Inventory[[#This Row],[Res Adj ]],-2)</f>
        <v>333600</v>
      </c>
      <c r="BM142" s="30">
        <f>ROUND(Inventory[[#This Row],[25Det]]*Inventory[[#This Row],[Det/Nbhd Adj]],-2)</f>
        <v>0</v>
      </c>
      <c r="BN142" s="30">
        <f>Inventory[[#This Row],[Adjusted Res]]+Inventory[[#This Row],[Adj Det ]]</f>
        <v>333600</v>
      </c>
      <c r="BO142" s="30">
        <f>ROUND((Inventory[[#This Row],[Mdl Land Intercept]]+Inventory[[#This Row],[Mdl LnAcres]])*Inventory[[#This Row],[Det/Nbhd Adj]],-2)</f>
        <v>62700</v>
      </c>
      <c r="BP142" s="30">
        <f>Inventory[[#This Row],[Adjusted Impr Total]]+Inventory[[#This Row],[Adjusted Land Total]]</f>
        <v>396300</v>
      </c>
      <c r="BQ142" s="30">
        <f>IFERROR((Inventory[[#This Row],[Adjusted Impr Total]]-Inventory[[#This Row],[24Bldg]])/Inventory[[#This Row],[24Bldg]],0)</f>
        <v>-3.4722222222222224E-2</v>
      </c>
      <c r="BR142" s="43">
        <f>(Inventory[[#This Row],[Adjusted Land Total]]-Inventory[[#This Row],[24Lnd]])/Inventory[[#This Row],[24Lnd]]</f>
        <v>3.2000000000000002E-3</v>
      </c>
      <c r="BS142" s="43">
        <f>(Inventory[[#This Row],[Adjusted Total]]-Inventory[[#This Row],[24Final]])/Inventory[[#This Row],[24Final]]</f>
        <v>-2.8914481744670425E-2</v>
      </c>
    </row>
    <row r="143" spans="1:71">
      <c r="A143" s="30">
        <v>2025</v>
      </c>
      <c r="B143" s="31" t="s">
        <v>652</v>
      </c>
      <c r="C143" s="31">
        <f>LN(Inventory[[#This Row],[Acres]])</f>
        <v>-1.6982691261407161</v>
      </c>
      <c r="D143" s="37">
        <f>ROUND(Inventory[[#This Row],[Sqft]]/43560,3)</f>
        <v>0.183</v>
      </c>
      <c r="E143" s="30">
        <v>7982</v>
      </c>
      <c r="F143" s="31" t="s">
        <v>505</v>
      </c>
      <c r="G143" s="31" t="s">
        <v>155</v>
      </c>
      <c r="H143" s="31" t="s">
        <v>5</v>
      </c>
      <c r="I143" s="31" t="s">
        <v>506</v>
      </c>
      <c r="J143" s="31" t="s">
        <v>507</v>
      </c>
      <c r="K143" s="31" t="s">
        <v>157</v>
      </c>
      <c r="L143" s="31" t="s">
        <v>21</v>
      </c>
      <c r="M143" s="31" t="s">
        <v>24</v>
      </c>
      <c r="N143" s="31">
        <v>0</v>
      </c>
      <c r="O143" s="31">
        <f>2024-Inventory[[#This Row],[YrBlt]]</f>
        <v>3</v>
      </c>
      <c r="P143" s="31">
        <f>2024-Inventory[[#This Row],[EffYr]]</f>
        <v>3</v>
      </c>
      <c r="Q143" s="30">
        <v>2021</v>
      </c>
      <c r="R143" s="30">
        <v>2021</v>
      </c>
      <c r="S143" s="30">
        <v>1810</v>
      </c>
      <c r="T143" s="37"/>
      <c r="U143" s="32"/>
      <c r="V143" s="32"/>
      <c r="W143" s="32"/>
      <c r="X143" s="32">
        <f>Inventory[[#This Row],[Bsmt Area]]-Inventory[[#This Row],[FnBsmt]]</f>
        <v>0</v>
      </c>
      <c r="Y143" s="32">
        <f>Inventory[[#This Row],[MainFn]]+Inventory[[#This Row],[UpprFn]]+Inventory[[#This Row],[AddFn]]+Inventory[[#This Row],[FnBsmt]]</f>
        <v>1810</v>
      </c>
      <c r="Z143" s="32">
        <v>2000</v>
      </c>
      <c r="AA143" s="31" t="s">
        <v>56</v>
      </c>
      <c r="AB143" s="38">
        <v>1</v>
      </c>
      <c r="AC143" s="38">
        <v>510</v>
      </c>
      <c r="AD143" s="32"/>
      <c r="AE143" s="32"/>
      <c r="AF143" s="32"/>
      <c r="AG143" s="32"/>
      <c r="AH143" s="32"/>
      <c r="AI143" s="30">
        <v>409869</v>
      </c>
      <c r="AJ143" s="30">
        <v>397573</v>
      </c>
      <c r="AK143" s="30">
        <v>0</v>
      </c>
      <c r="AL143" s="30">
        <v>0</v>
      </c>
      <c r="AM143" s="30">
        <v>62500</v>
      </c>
      <c r="AN143" s="30">
        <v>348400</v>
      </c>
      <c r="AO143" s="30">
        <v>410900</v>
      </c>
      <c r="AP143" s="30">
        <f>Lookups!$B$58*0.6</f>
        <v>132535.48800000001</v>
      </c>
      <c r="AQ143" s="30">
        <f>Lookups!$B$58*0.4</f>
        <v>88356.992000000013</v>
      </c>
      <c r="AR143" s="30">
        <f>Lookups!$B$59*Inventory[[#This Row],[LnAcres]]</f>
        <v>-22288.62915586025</v>
      </c>
      <c r="AS143" s="30">
        <f>VLOOKUP(Inventory[[#This Row],[Qlty]],Lookups!$A$66:$E$79,2,FALSE)</f>
        <v>32917.849192000001</v>
      </c>
      <c r="AT143" s="30">
        <f>VLOOKUP(Inventory[[#This Row],[Cnd]],Lookups!$A$80:$E$88,2,FALSE)</f>
        <v>47371.278778200001</v>
      </c>
      <c r="AU143" s="30">
        <f>Inventory[[#This Row],[EffAge]]*Lookups!$B$65</f>
        <v>-326.22329999999999</v>
      </c>
      <c r="AV143" s="30">
        <f>Inventory[[#This Row],[MainFn]]*Lookups!$B$90</f>
        <v>112962.78780000001</v>
      </c>
      <c r="AW143" s="30">
        <f>Inventory[[#This Row],[UpprFn]]*Lookups!$B$91</f>
        <v>0</v>
      </c>
      <c r="AX143" s="30">
        <f>Inventory[[#This Row],[Bsmt Area]]*Lookups!$B$95</f>
        <v>0</v>
      </c>
      <c r="AY143" s="30">
        <f>Inventory[[#This Row],[AttGar]]*Lookups!$B$93</f>
        <v>18003.525809999999</v>
      </c>
      <c r="AZ143" s="30">
        <f>ROUND(Inventory[[#This Row],[25Det]],-2)</f>
        <v>0</v>
      </c>
      <c r="BA143" s="30">
        <f>ROUND(SUM(Inventory[[#This Row],[Mdl Qlty]:[Mdl Garage Area]])+Inventory[[#This Row],[Mdl Res Intercept]],-2)</f>
        <v>343500</v>
      </c>
      <c r="BB143" s="30">
        <f>ROUND(Inventory[[#This Row],[Mdl Land Intercept]]+Inventory[[#This Row],[Mdl LnAcres]],-2)</f>
        <v>66100</v>
      </c>
      <c r="BC143" s="30">
        <f>Inventory[[#This Row],[Unadj Res Value]]+Inventory[[#This Row],[Unadj Det Value]]+Inventory[[#This Row],[Unadj Land Value]]</f>
        <v>409600</v>
      </c>
      <c r="BD143" s="30">
        <f>(Inventory[[#This Row],[Unadj Total Value]]-Inventory[[#This Row],[24Final]])/Inventory[[#This Row],[24Final]]</f>
        <v>-3.163786809442687E-3</v>
      </c>
      <c r="BE143" s="30">
        <f>VLOOKUP(Inventory[[#This Row],[Nbhd]],Lookups!$M$3:$P$5,4,FALSE)</f>
        <v>0.99970000000000003</v>
      </c>
      <c r="BF143" s="30">
        <f>VLOOKUP(Inventory[[#This Row],[Qlty]],Lookups!$M$8:$P$22,4,FALSE)</f>
        <v>1.0019</v>
      </c>
      <c r="BG143" s="30">
        <f>VLOOKUP(Inventory[[#This Row],[Cnd]],Lookups!$R$8:$U$17,4,FALSE)</f>
        <v>1.0012000000000001</v>
      </c>
      <c r="BH143" s="30">
        <f>VLOOKUP(Inventory[[#This Row],[LivArea Range]],Lookups!$R$25:$U$43,4,FALSE)</f>
        <v>1.0007999999999999</v>
      </c>
      <c r="BI143" s="30">
        <f>VLOOKUP(Inventory[[#This Row],[Decade]],Lookups!$M$24:$P$40,4,FALSE)</f>
        <v>1</v>
      </c>
      <c r="BJ143" s="30">
        <f>Inventory[[#This Row],[Nbhd Adj]]*0.95</f>
        <v>0.94971499999999998</v>
      </c>
      <c r="BK143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143" s="30">
        <f>ROUND((SUM(Inventory[[#This Row],[Mdl Qlty]:[Mdl Garage Area]])+Inventory[[#This Row],[Mdl Res Intercept]])*Inventory[[#This Row],[Res Adj ]],-2)</f>
        <v>326500</v>
      </c>
      <c r="BM143" s="30">
        <f>ROUND(Inventory[[#This Row],[25Det]]*Inventory[[#This Row],[Det/Nbhd Adj]],-2)</f>
        <v>0</v>
      </c>
      <c r="BN143" s="30">
        <f>Inventory[[#This Row],[Adjusted Res]]+Inventory[[#This Row],[Adj Det ]]</f>
        <v>326500</v>
      </c>
      <c r="BO143" s="30">
        <f>ROUND((Inventory[[#This Row],[Mdl Land Intercept]]+Inventory[[#This Row],[Mdl LnAcres]])*Inventory[[#This Row],[Det/Nbhd Adj]],-2)</f>
        <v>62700</v>
      </c>
      <c r="BP143" s="30">
        <f>Inventory[[#This Row],[Adjusted Impr Total]]+Inventory[[#This Row],[Adjusted Land Total]]</f>
        <v>389200</v>
      </c>
      <c r="BQ143" s="30">
        <f>IFERROR((Inventory[[#This Row],[Adjusted Impr Total]]-Inventory[[#This Row],[24Bldg]])/Inventory[[#This Row],[24Bldg]],0)</f>
        <v>-6.2858783008036739E-2</v>
      </c>
      <c r="BR143" s="43">
        <f>(Inventory[[#This Row],[Adjusted Land Total]]-Inventory[[#This Row],[24Lnd]])/Inventory[[#This Row],[24Lnd]]</f>
        <v>3.2000000000000002E-3</v>
      </c>
      <c r="BS143" s="43">
        <f>(Inventory[[#This Row],[Adjusted Total]]-Inventory[[#This Row],[24Final]])/Inventory[[#This Row],[24Final]]</f>
        <v>-5.2810902896081771E-2</v>
      </c>
    </row>
    <row r="144" spans="1:71">
      <c r="A144" s="30">
        <v>2025</v>
      </c>
      <c r="B144" s="31" t="s">
        <v>653</v>
      </c>
      <c r="C144" s="31">
        <f>LN(Inventory[[#This Row],[Acres]])</f>
        <v>-1.6982691261407161</v>
      </c>
      <c r="D144" s="37">
        <f>ROUND(Inventory[[#This Row],[Sqft]]/43560,3)</f>
        <v>0.183</v>
      </c>
      <c r="E144" s="30">
        <v>7982</v>
      </c>
      <c r="F144" s="31" t="s">
        <v>505</v>
      </c>
      <c r="G144" s="31" t="s">
        <v>155</v>
      </c>
      <c r="H144" s="31" t="s">
        <v>5</v>
      </c>
      <c r="I144" s="31" t="s">
        <v>506</v>
      </c>
      <c r="J144" s="31" t="s">
        <v>507</v>
      </c>
      <c r="K144" s="31" t="s">
        <v>157</v>
      </c>
      <c r="L144" s="31" t="s">
        <v>21</v>
      </c>
      <c r="M144" s="31" t="s">
        <v>24</v>
      </c>
      <c r="N144" s="31">
        <v>0</v>
      </c>
      <c r="O144" s="31">
        <f>2024-Inventory[[#This Row],[YrBlt]]</f>
        <v>3</v>
      </c>
      <c r="P144" s="31">
        <f>2024-Inventory[[#This Row],[EffYr]]</f>
        <v>3</v>
      </c>
      <c r="Q144" s="30">
        <v>2021</v>
      </c>
      <c r="R144" s="30">
        <v>2021</v>
      </c>
      <c r="S144" s="30">
        <v>2040</v>
      </c>
      <c r="T144" s="32"/>
      <c r="U144" s="32"/>
      <c r="V144" s="32"/>
      <c r="W144" s="32"/>
      <c r="X144" s="32">
        <f>Inventory[[#This Row],[Bsmt Area]]-Inventory[[#This Row],[FnBsmt]]</f>
        <v>0</v>
      </c>
      <c r="Y144" s="32">
        <f>Inventory[[#This Row],[MainFn]]+Inventory[[#This Row],[UpprFn]]+Inventory[[#This Row],[AddFn]]+Inventory[[#This Row],[FnBsmt]]</f>
        <v>2040</v>
      </c>
      <c r="Z144" s="32">
        <v>2500</v>
      </c>
      <c r="AA144" s="31" t="s">
        <v>56</v>
      </c>
      <c r="AB144" s="38">
        <v>1</v>
      </c>
      <c r="AC144" s="38">
        <v>655</v>
      </c>
      <c r="AD144" s="32"/>
      <c r="AE144" s="32"/>
      <c r="AF144" s="32"/>
      <c r="AG144" s="32"/>
      <c r="AH144" s="32"/>
      <c r="AI144" s="30">
        <v>450568</v>
      </c>
      <c r="AJ144" s="30">
        <v>437051</v>
      </c>
      <c r="AK144" s="30">
        <v>0</v>
      </c>
      <c r="AL144" s="30">
        <v>0</v>
      </c>
      <c r="AM144" s="30">
        <v>62500</v>
      </c>
      <c r="AN144" s="30">
        <v>362000</v>
      </c>
      <c r="AO144" s="30">
        <v>424500</v>
      </c>
      <c r="AP144" s="30">
        <f>Lookups!$B$58*0.6</f>
        <v>132535.48800000001</v>
      </c>
      <c r="AQ144" s="30">
        <f>Lookups!$B$58*0.4</f>
        <v>88356.992000000013</v>
      </c>
      <c r="AR144" s="30">
        <f>Lookups!$B$59*Inventory[[#This Row],[LnAcres]]</f>
        <v>-22288.62915586025</v>
      </c>
      <c r="AS144" s="30">
        <f>VLOOKUP(Inventory[[#This Row],[Qlty]],Lookups!$A$66:$E$79,2,FALSE)</f>
        <v>32917.849192000001</v>
      </c>
      <c r="AT144" s="30">
        <f>VLOOKUP(Inventory[[#This Row],[Cnd]],Lookups!$A$80:$E$88,2,FALSE)</f>
        <v>47371.278778200001</v>
      </c>
      <c r="AU144" s="30">
        <f>Inventory[[#This Row],[EffAge]]*Lookups!$B$65</f>
        <v>-326.22329999999999</v>
      </c>
      <c r="AV144" s="30">
        <f>Inventory[[#This Row],[MainFn]]*Lookups!$B$90</f>
        <v>127317.17520000001</v>
      </c>
      <c r="AW144" s="30">
        <f>Inventory[[#This Row],[UpprFn]]*Lookups!$B$91</f>
        <v>0</v>
      </c>
      <c r="AX144" s="30">
        <f>Inventory[[#This Row],[Bsmt Area]]*Lookups!$B$95</f>
        <v>0</v>
      </c>
      <c r="AY144" s="30">
        <f>Inventory[[#This Row],[AttGar]]*Lookups!$B$93</f>
        <v>23122.175305000001</v>
      </c>
      <c r="AZ144" s="30">
        <f>ROUND(Inventory[[#This Row],[25Det]],-2)</f>
        <v>0</v>
      </c>
      <c r="BA144" s="30">
        <f>ROUND(SUM(Inventory[[#This Row],[Mdl Qlty]:[Mdl Garage Area]])+Inventory[[#This Row],[Mdl Res Intercept]],-2)</f>
        <v>362900</v>
      </c>
      <c r="BB144" s="30">
        <f>ROUND(Inventory[[#This Row],[Mdl Land Intercept]]+Inventory[[#This Row],[Mdl LnAcres]],-2)</f>
        <v>66100</v>
      </c>
      <c r="BC144" s="30">
        <f>Inventory[[#This Row],[Unadj Res Value]]+Inventory[[#This Row],[Unadj Det Value]]+Inventory[[#This Row],[Unadj Land Value]]</f>
        <v>429000</v>
      </c>
      <c r="BD144" s="30">
        <f>(Inventory[[#This Row],[Unadj Total Value]]-Inventory[[#This Row],[24Final]])/Inventory[[#This Row],[24Final]]</f>
        <v>1.0600706713780919E-2</v>
      </c>
      <c r="BE144" s="30">
        <f>VLOOKUP(Inventory[[#This Row],[Nbhd]],Lookups!$M$3:$P$5,4,FALSE)</f>
        <v>0.99970000000000003</v>
      </c>
      <c r="BF144" s="30">
        <f>VLOOKUP(Inventory[[#This Row],[Qlty]],Lookups!$M$8:$P$22,4,FALSE)</f>
        <v>1.0019</v>
      </c>
      <c r="BG144" s="30">
        <f>VLOOKUP(Inventory[[#This Row],[Cnd]],Lookups!$R$8:$U$17,4,FALSE)</f>
        <v>1.0012000000000001</v>
      </c>
      <c r="BH144" s="30">
        <f>VLOOKUP(Inventory[[#This Row],[LivArea Range]],Lookups!$R$25:$U$43,4,FALSE)</f>
        <v>1.0008999999999999</v>
      </c>
      <c r="BI144" s="30">
        <f>VLOOKUP(Inventory[[#This Row],[Decade]],Lookups!$M$24:$P$40,4,FALSE)</f>
        <v>1</v>
      </c>
      <c r="BJ144" s="30">
        <f>Inventory[[#This Row],[Nbhd Adj]]*0.95</f>
        <v>0.94971499999999998</v>
      </c>
      <c r="BK144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44" s="30">
        <f>ROUND((SUM(Inventory[[#This Row],[Mdl Qlty]:[Mdl Garage Area]])+Inventory[[#This Row],[Mdl Res Intercept]])*Inventory[[#This Row],[Res Adj ]],-2)</f>
        <v>345000</v>
      </c>
      <c r="BM144" s="30">
        <f>ROUND(Inventory[[#This Row],[25Det]]*Inventory[[#This Row],[Det/Nbhd Adj]],-2)</f>
        <v>0</v>
      </c>
      <c r="BN144" s="30">
        <f>Inventory[[#This Row],[Adjusted Res]]+Inventory[[#This Row],[Adj Det ]]</f>
        <v>345000</v>
      </c>
      <c r="BO144" s="30">
        <f>ROUND((Inventory[[#This Row],[Mdl Land Intercept]]+Inventory[[#This Row],[Mdl LnAcres]])*Inventory[[#This Row],[Det/Nbhd Adj]],-2)</f>
        <v>62700</v>
      </c>
      <c r="BP144" s="30">
        <f>Inventory[[#This Row],[Adjusted Impr Total]]+Inventory[[#This Row],[Adjusted Land Total]]</f>
        <v>407700</v>
      </c>
      <c r="BQ144" s="30">
        <f>IFERROR((Inventory[[#This Row],[Adjusted Impr Total]]-Inventory[[#This Row],[24Bldg]])/Inventory[[#This Row],[24Bldg]],0)</f>
        <v>-4.6961325966850827E-2</v>
      </c>
      <c r="BR144" s="43">
        <f>(Inventory[[#This Row],[Adjusted Land Total]]-Inventory[[#This Row],[24Lnd]])/Inventory[[#This Row],[24Lnd]]</f>
        <v>3.2000000000000002E-3</v>
      </c>
      <c r="BS144" s="43">
        <f>(Inventory[[#This Row],[Adjusted Total]]-Inventory[[#This Row],[24Final]])/Inventory[[#This Row],[24Final]]</f>
        <v>-3.9575971731448764E-2</v>
      </c>
    </row>
    <row r="145" spans="1:71">
      <c r="A145" s="30">
        <v>2025</v>
      </c>
      <c r="B145" s="31" t="s">
        <v>654</v>
      </c>
      <c r="C145" s="31">
        <f>LN(Inventory[[#This Row],[Acres]])</f>
        <v>-1.6982691261407161</v>
      </c>
      <c r="D145" s="37">
        <f>ROUND(Inventory[[#This Row],[Sqft]]/43560,3)</f>
        <v>0.183</v>
      </c>
      <c r="E145" s="30">
        <v>7976</v>
      </c>
      <c r="F145" s="31" t="s">
        <v>505</v>
      </c>
      <c r="G145" s="31" t="s">
        <v>155</v>
      </c>
      <c r="H145" s="31" t="s">
        <v>5</v>
      </c>
      <c r="I145" s="31" t="s">
        <v>506</v>
      </c>
      <c r="J145" s="31" t="s">
        <v>507</v>
      </c>
      <c r="K145" s="31" t="s">
        <v>157</v>
      </c>
      <c r="L145" s="31" t="s">
        <v>21</v>
      </c>
      <c r="M145" s="31" t="s">
        <v>24</v>
      </c>
      <c r="N145" s="31">
        <v>0</v>
      </c>
      <c r="O145" s="31">
        <f>2024-Inventory[[#This Row],[YrBlt]]</f>
        <v>3</v>
      </c>
      <c r="P145" s="31">
        <f>2024-Inventory[[#This Row],[EffYr]]</f>
        <v>3</v>
      </c>
      <c r="Q145" s="30">
        <v>2021</v>
      </c>
      <c r="R145" s="30">
        <v>2021</v>
      </c>
      <c r="S145" s="30">
        <v>1709</v>
      </c>
      <c r="T145" s="37"/>
      <c r="U145" s="32"/>
      <c r="V145" s="32"/>
      <c r="W145" s="32"/>
      <c r="X145" s="32">
        <f>Inventory[[#This Row],[Bsmt Area]]-Inventory[[#This Row],[FnBsmt]]</f>
        <v>0</v>
      </c>
      <c r="Y145" s="32">
        <f>Inventory[[#This Row],[MainFn]]+Inventory[[#This Row],[UpprFn]]+Inventory[[#This Row],[AddFn]]+Inventory[[#This Row],[FnBsmt]]</f>
        <v>1709</v>
      </c>
      <c r="Z145" s="32">
        <v>2000</v>
      </c>
      <c r="AA145" s="31" t="s">
        <v>56</v>
      </c>
      <c r="AB145" s="32"/>
      <c r="AC145" s="38">
        <v>415</v>
      </c>
      <c r="AD145" s="32"/>
      <c r="AE145" s="32"/>
      <c r="AF145" s="32"/>
      <c r="AG145" s="32"/>
      <c r="AH145" s="32"/>
      <c r="AI145" s="30">
        <v>375379</v>
      </c>
      <c r="AJ145" s="30">
        <v>364118</v>
      </c>
      <c r="AK145" s="30">
        <v>0</v>
      </c>
      <c r="AL145" s="30">
        <v>0</v>
      </c>
      <c r="AM145" s="30">
        <v>62500</v>
      </c>
      <c r="AN145" s="30">
        <v>325700</v>
      </c>
      <c r="AO145" s="30">
        <v>388200</v>
      </c>
      <c r="AP145" s="30">
        <f>Lookups!$B$58*0.6</f>
        <v>132535.48800000001</v>
      </c>
      <c r="AQ145" s="30">
        <f>Lookups!$B$58*0.4</f>
        <v>88356.992000000013</v>
      </c>
      <c r="AR145" s="30">
        <f>Lookups!$B$59*Inventory[[#This Row],[LnAcres]]</f>
        <v>-22288.62915586025</v>
      </c>
      <c r="AS145" s="30">
        <f>VLOOKUP(Inventory[[#This Row],[Qlty]],Lookups!$A$66:$E$79,2,FALSE)</f>
        <v>32917.849192000001</v>
      </c>
      <c r="AT145" s="30">
        <f>VLOOKUP(Inventory[[#This Row],[Cnd]],Lookups!$A$80:$E$88,2,FALSE)</f>
        <v>47371.278778200001</v>
      </c>
      <c r="AU145" s="30">
        <f>Inventory[[#This Row],[EffAge]]*Lookups!$B$65</f>
        <v>-326.22329999999999</v>
      </c>
      <c r="AV145" s="30">
        <f>Inventory[[#This Row],[MainFn]]*Lookups!$B$90</f>
        <v>106659.33942</v>
      </c>
      <c r="AW145" s="30">
        <f>Inventory[[#This Row],[UpprFn]]*Lookups!$B$91</f>
        <v>0</v>
      </c>
      <c r="AX145" s="30">
        <f>Inventory[[#This Row],[Bsmt Area]]*Lookups!$B$95</f>
        <v>0</v>
      </c>
      <c r="AY145" s="30">
        <f>Inventory[[#This Row],[AttGar]]*Lookups!$B$93</f>
        <v>14649.927865000001</v>
      </c>
      <c r="AZ145" s="30">
        <f>ROUND(Inventory[[#This Row],[25Det]],-2)</f>
        <v>0</v>
      </c>
      <c r="BA145" s="30">
        <f>ROUND(SUM(Inventory[[#This Row],[Mdl Qlty]:[Mdl Garage Area]])+Inventory[[#This Row],[Mdl Res Intercept]],-2)</f>
        <v>333800</v>
      </c>
      <c r="BB145" s="30">
        <f>ROUND(Inventory[[#This Row],[Mdl Land Intercept]]+Inventory[[#This Row],[Mdl LnAcres]],-2)</f>
        <v>66100</v>
      </c>
      <c r="BC145" s="30">
        <f>Inventory[[#This Row],[Unadj Res Value]]+Inventory[[#This Row],[Unadj Det Value]]+Inventory[[#This Row],[Unadj Land Value]]</f>
        <v>399900</v>
      </c>
      <c r="BD145" s="30">
        <f>(Inventory[[#This Row],[Unadj Total Value]]-Inventory[[#This Row],[24Final]])/Inventory[[#This Row],[24Final]]</f>
        <v>3.0139103554868624E-2</v>
      </c>
      <c r="BE145" s="30">
        <f>VLOOKUP(Inventory[[#This Row],[Nbhd]],Lookups!$M$3:$P$5,4,FALSE)</f>
        <v>0.99970000000000003</v>
      </c>
      <c r="BF145" s="30">
        <f>VLOOKUP(Inventory[[#This Row],[Qlty]],Lookups!$M$8:$P$22,4,FALSE)</f>
        <v>1.0019</v>
      </c>
      <c r="BG145" s="30">
        <f>VLOOKUP(Inventory[[#This Row],[Cnd]],Lookups!$R$8:$U$17,4,FALSE)</f>
        <v>1.0012000000000001</v>
      </c>
      <c r="BH145" s="30">
        <f>VLOOKUP(Inventory[[#This Row],[LivArea Range]],Lookups!$R$25:$U$43,4,FALSE)</f>
        <v>1.0007999999999999</v>
      </c>
      <c r="BI145" s="30">
        <f>VLOOKUP(Inventory[[#This Row],[Decade]],Lookups!$M$24:$P$40,4,FALSE)</f>
        <v>1</v>
      </c>
      <c r="BJ145" s="30">
        <f>Inventory[[#This Row],[Nbhd Adj]]*0.95</f>
        <v>0.94971499999999998</v>
      </c>
      <c r="BK145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145" s="30">
        <f>ROUND((SUM(Inventory[[#This Row],[Mdl Qlty]:[Mdl Garage Area]])+Inventory[[#This Row],[Mdl Res Intercept]])*Inventory[[#This Row],[Res Adj ]],-2)</f>
        <v>317300</v>
      </c>
      <c r="BM145" s="30">
        <f>ROUND(Inventory[[#This Row],[25Det]]*Inventory[[#This Row],[Det/Nbhd Adj]],-2)</f>
        <v>0</v>
      </c>
      <c r="BN145" s="30">
        <f>Inventory[[#This Row],[Adjusted Res]]+Inventory[[#This Row],[Adj Det ]]</f>
        <v>317300</v>
      </c>
      <c r="BO145" s="30">
        <f>ROUND((Inventory[[#This Row],[Mdl Land Intercept]]+Inventory[[#This Row],[Mdl LnAcres]])*Inventory[[#This Row],[Det/Nbhd Adj]],-2)</f>
        <v>62700</v>
      </c>
      <c r="BP145" s="30">
        <f>Inventory[[#This Row],[Adjusted Impr Total]]+Inventory[[#This Row],[Adjusted Land Total]]</f>
        <v>380000</v>
      </c>
      <c r="BQ145" s="30">
        <f>IFERROR((Inventory[[#This Row],[Adjusted Impr Total]]-Inventory[[#This Row],[24Bldg]])/Inventory[[#This Row],[24Bldg]],0)</f>
        <v>-2.5790604851089961E-2</v>
      </c>
      <c r="BR145" s="43">
        <f>(Inventory[[#This Row],[Adjusted Land Total]]-Inventory[[#This Row],[24Lnd]])/Inventory[[#This Row],[24Lnd]]</f>
        <v>3.2000000000000002E-3</v>
      </c>
      <c r="BS145" s="43">
        <f>(Inventory[[#This Row],[Adjusted Total]]-Inventory[[#This Row],[24Final]])/Inventory[[#This Row],[24Final]]</f>
        <v>-2.1123132405976301E-2</v>
      </c>
    </row>
    <row r="146" spans="1:71">
      <c r="A146" s="30">
        <v>2025</v>
      </c>
      <c r="B146" s="31" t="s">
        <v>655</v>
      </c>
      <c r="C146" s="31">
        <f>LN(Inventory[[#This Row],[Acres]])</f>
        <v>-1.6982691261407161</v>
      </c>
      <c r="D146" s="37">
        <f>ROUND(Inventory[[#This Row],[Sqft]]/43560,3)</f>
        <v>0.183</v>
      </c>
      <c r="E146" s="38">
        <v>7982</v>
      </c>
      <c r="F146" s="31" t="s">
        <v>505</v>
      </c>
      <c r="G146" s="31" t="s">
        <v>155</v>
      </c>
      <c r="H146" s="31" t="s">
        <v>5</v>
      </c>
      <c r="I146" s="31" t="s">
        <v>506</v>
      </c>
      <c r="J146" s="31" t="s">
        <v>507</v>
      </c>
      <c r="K146" s="31" t="s">
        <v>157</v>
      </c>
      <c r="L146" s="31" t="s">
        <v>21</v>
      </c>
      <c r="M146" s="31" t="s">
        <v>24</v>
      </c>
      <c r="N146" s="31">
        <v>0</v>
      </c>
      <c r="O146" s="31">
        <f>2024-Inventory[[#This Row],[YrBlt]]</f>
        <v>3</v>
      </c>
      <c r="P146" s="31">
        <f>2024-Inventory[[#This Row],[EffYr]]</f>
        <v>3</v>
      </c>
      <c r="Q146" s="30">
        <v>2021</v>
      </c>
      <c r="R146" s="30">
        <v>2021</v>
      </c>
      <c r="S146" s="30">
        <v>2010</v>
      </c>
      <c r="T146" s="37"/>
      <c r="U146" s="32"/>
      <c r="V146" s="32"/>
      <c r="W146" s="32"/>
      <c r="X146" s="32">
        <f>Inventory[[#This Row],[Bsmt Area]]-Inventory[[#This Row],[FnBsmt]]</f>
        <v>0</v>
      </c>
      <c r="Y146" s="32">
        <f>Inventory[[#This Row],[MainFn]]+Inventory[[#This Row],[UpprFn]]+Inventory[[#This Row],[AddFn]]+Inventory[[#This Row],[FnBsmt]]</f>
        <v>2010</v>
      </c>
      <c r="Z146" s="32">
        <v>2500</v>
      </c>
      <c r="AA146" s="31" t="s">
        <v>56</v>
      </c>
      <c r="AB146" s="32"/>
      <c r="AC146" s="38">
        <v>424</v>
      </c>
      <c r="AD146" s="32"/>
      <c r="AE146" s="32"/>
      <c r="AF146" s="32"/>
      <c r="AG146" s="32"/>
      <c r="AH146" s="32"/>
      <c r="AI146" s="30">
        <v>422416</v>
      </c>
      <c r="AJ146" s="30">
        <v>409744</v>
      </c>
      <c r="AK146" s="30">
        <v>0</v>
      </c>
      <c r="AL146" s="30">
        <v>0</v>
      </c>
      <c r="AM146" s="30">
        <v>62500</v>
      </c>
      <c r="AN146" s="30">
        <v>337400</v>
      </c>
      <c r="AO146" s="30">
        <v>399900</v>
      </c>
      <c r="AP146" s="30">
        <f>Lookups!$B$58*0.6</f>
        <v>132535.48800000001</v>
      </c>
      <c r="AQ146" s="30">
        <f>Lookups!$B$58*0.4</f>
        <v>88356.992000000013</v>
      </c>
      <c r="AR146" s="30">
        <f>Lookups!$B$59*Inventory[[#This Row],[LnAcres]]</f>
        <v>-22288.62915586025</v>
      </c>
      <c r="AS146" s="30">
        <f>VLOOKUP(Inventory[[#This Row],[Qlty]],Lookups!$A$66:$E$79,2,FALSE)</f>
        <v>32917.849192000001</v>
      </c>
      <c r="AT146" s="30">
        <f>VLOOKUP(Inventory[[#This Row],[Cnd]],Lookups!$A$80:$E$88,2,FALSE)</f>
        <v>47371.278778200001</v>
      </c>
      <c r="AU146" s="30">
        <f>Inventory[[#This Row],[EffAge]]*Lookups!$B$65</f>
        <v>-326.22329999999999</v>
      </c>
      <c r="AV146" s="30">
        <f>Inventory[[#This Row],[MainFn]]*Lookups!$B$90</f>
        <v>125444.86380000001</v>
      </c>
      <c r="AW146" s="30">
        <f>Inventory[[#This Row],[UpprFn]]*Lookups!$B$91</f>
        <v>0</v>
      </c>
      <c r="AX146" s="30">
        <f>Inventory[[#This Row],[Bsmt Area]]*Lookups!$B$95</f>
        <v>0</v>
      </c>
      <c r="AY146" s="30">
        <f>Inventory[[#This Row],[AttGar]]*Lookups!$B$93</f>
        <v>14967.637144</v>
      </c>
      <c r="AZ146" s="30">
        <f>ROUND(Inventory[[#This Row],[25Det]],-2)</f>
        <v>0</v>
      </c>
      <c r="BA146" s="30">
        <f>ROUND(SUM(Inventory[[#This Row],[Mdl Qlty]:[Mdl Garage Area]])+Inventory[[#This Row],[Mdl Res Intercept]],-2)</f>
        <v>352900</v>
      </c>
      <c r="BB146" s="30">
        <f>ROUND(Inventory[[#This Row],[Mdl Land Intercept]]+Inventory[[#This Row],[Mdl LnAcres]],-2)</f>
        <v>66100</v>
      </c>
      <c r="BC146" s="30">
        <f>Inventory[[#This Row],[Unadj Res Value]]+Inventory[[#This Row],[Unadj Det Value]]+Inventory[[#This Row],[Unadj Land Value]]</f>
        <v>419000</v>
      </c>
      <c r="BD146" s="30">
        <f>(Inventory[[#This Row],[Unadj Total Value]]-Inventory[[#This Row],[24Final]])/Inventory[[#This Row],[24Final]]</f>
        <v>4.7761940485121279E-2</v>
      </c>
      <c r="BE146" s="30">
        <f>VLOOKUP(Inventory[[#This Row],[Nbhd]],Lookups!$M$3:$P$5,4,FALSE)</f>
        <v>0.99970000000000003</v>
      </c>
      <c r="BF146" s="30">
        <f>VLOOKUP(Inventory[[#This Row],[Qlty]],Lookups!$M$8:$P$22,4,FALSE)</f>
        <v>1.0019</v>
      </c>
      <c r="BG146" s="30">
        <f>VLOOKUP(Inventory[[#This Row],[Cnd]],Lookups!$R$8:$U$17,4,FALSE)</f>
        <v>1.0012000000000001</v>
      </c>
      <c r="BH146" s="30">
        <f>VLOOKUP(Inventory[[#This Row],[LivArea Range]],Lookups!$R$25:$U$43,4,FALSE)</f>
        <v>1.0008999999999999</v>
      </c>
      <c r="BI146" s="30">
        <f>VLOOKUP(Inventory[[#This Row],[Decade]],Lookups!$M$24:$P$40,4,FALSE)</f>
        <v>1</v>
      </c>
      <c r="BJ146" s="30">
        <f>Inventory[[#This Row],[Nbhd Adj]]*0.95</f>
        <v>0.94971499999999998</v>
      </c>
      <c r="BK146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46" s="30">
        <f>ROUND((SUM(Inventory[[#This Row],[Mdl Qlty]:[Mdl Garage Area]])+Inventory[[#This Row],[Mdl Res Intercept]])*Inventory[[#This Row],[Res Adj ]],-2)</f>
        <v>335500</v>
      </c>
      <c r="BM146" s="30">
        <f>ROUND(Inventory[[#This Row],[25Det]]*Inventory[[#This Row],[Det/Nbhd Adj]],-2)</f>
        <v>0</v>
      </c>
      <c r="BN146" s="30">
        <f>Inventory[[#This Row],[Adjusted Res]]+Inventory[[#This Row],[Adj Det ]]</f>
        <v>335500</v>
      </c>
      <c r="BO146" s="30">
        <f>ROUND((Inventory[[#This Row],[Mdl Land Intercept]]+Inventory[[#This Row],[Mdl LnAcres]])*Inventory[[#This Row],[Det/Nbhd Adj]],-2)</f>
        <v>62700</v>
      </c>
      <c r="BP146" s="30">
        <f>Inventory[[#This Row],[Adjusted Impr Total]]+Inventory[[#This Row],[Adjusted Land Total]]</f>
        <v>398200</v>
      </c>
      <c r="BQ146" s="30">
        <f>IFERROR((Inventory[[#This Row],[Adjusted Impr Total]]-Inventory[[#This Row],[24Bldg]])/Inventory[[#This Row],[24Bldg]],0)</f>
        <v>-5.6312981624184943E-3</v>
      </c>
      <c r="BR146" s="43">
        <f>(Inventory[[#This Row],[Adjusted Land Total]]-Inventory[[#This Row],[24Lnd]])/Inventory[[#This Row],[24Lnd]]</f>
        <v>3.2000000000000002E-3</v>
      </c>
      <c r="BS146" s="43">
        <f>(Inventory[[#This Row],[Adjusted Total]]-Inventory[[#This Row],[24Final]])/Inventory[[#This Row],[24Final]]</f>
        <v>-4.2510627656914225E-3</v>
      </c>
    </row>
    <row r="147" spans="1:71">
      <c r="A147" s="30">
        <v>2025</v>
      </c>
      <c r="B147" s="31" t="s">
        <v>656</v>
      </c>
      <c r="C147" s="31">
        <f>LN(Inventory[[#This Row],[Acres]])</f>
        <v>-1.6928195213731514</v>
      </c>
      <c r="D147" s="37">
        <f>ROUND(Inventory[[#This Row],[Sqft]]/43560,3)</f>
        <v>0.184</v>
      </c>
      <c r="E147" s="30">
        <v>8010</v>
      </c>
      <c r="F147" s="31" t="s">
        <v>505</v>
      </c>
      <c r="G147" s="31" t="s">
        <v>155</v>
      </c>
      <c r="H147" s="31" t="s">
        <v>5</v>
      </c>
      <c r="I147" s="31" t="s">
        <v>506</v>
      </c>
      <c r="J147" s="31" t="s">
        <v>507</v>
      </c>
      <c r="K147" s="31" t="s">
        <v>157</v>
      </c>
      <c r="L147" s="31" t="s">
        <v>21</v>
      </c>
      <c r="M147" s="31" t="s">
        <v>24</v>
      </c>
      <c r="N147" s="31">
        <v>0</v>
      </c>
      <c r="O147" s="31">
        <f>2024-Inventory[[#This Row],[YrBlt]]</f>
        <v>3</v>
      </c>
      <c r="P147" s="31">
        <f>2024-Inventory[[#This Row],[EffYr]]</f>
        <v>3</v>
      </c>
      <c r="Q147" s="30">
        <v>2021</v>
      </c>
      <c r="R147" s="30">
        <v>2021</v>
      </c>
      <c r="S147" s="30">
        <v>1111</v>
      </c>
      <c r="T147" s="38">
        <v>1126</v>
      </c>
      <c r="U147" s="32"/>
      <c r="V147" s="32"/>
      <c r="W147" s="32"/>
      <c r="X147" s="32">
        <f>Inventory[[#This Row],[Bsmt Area]]-Inventory[[#This Row],[FnBsmt]]</f>
        <v>0</v>
      </c>
      <c r="Y147" s="32">
        <f>Inventory[[#This Row],[MainFn]]+Inventory[[#This Row],[UpprFn]]+Inventory[[#This Row],[AddFn]]+Inventory[[#This Row],[FnBsmt]]</f>
        <v>2237</v>
      </c>
      <c r="Z147" s="32">
        <v>2500</v>
      </c>
      <c r="AA147" s="31" t="s">
        <v>56</v>
      </c>
      <c r="AB147" s="32"/>
      <c r="AC147" s="30">
        <v>455</v>
      </c>
      <c r="AD147" s="32"/>
      <c r="AE147" s="32"/>
      <c r="AF147" s="32"/>
      <c r="AG147" s="32"/>
      <c r="AH147" s="32"/>
      <c r="AI147" s="30">
        <v>451707</v>
      </c>
      <c r="AJ147" s="30">
        <v>438156</v>
      </c>
      <c r="AK147" s="30">
        <v>0</v>
      </c>
      <c r="AL147" s="30">
        <v>0</v>
      </c>
      <c r="AM147" s="30">
        <v>62500</v>
      </c>
      <c r="AN147" s="30">
        <v>372200</v>
      </c>
      <c r="AO147" s="30">
        <v>434700</v>
      </c>
      <c r="AP147" s="30">
        <f>Lookups!$B$58*0.6</f>
        <v>132535.48800000001</v>
      </c>
      <c r="AQ147" s="30">
        <f>Lookups!$B$58*0.4</f>
        <v>88356.992000000013</v>
      </c>
      <c r="AR147" s="30">
        <f>Lookups!$B$59*Inventory[[#This Row],[LnAcres]]</f>
        <v>-22217.1067935676</v>
      </c>
      <c r="AS147" s="30">
        <f>VLOOKUP(Inventory[[#This Row],[Qlty]],Lookups!$A$66:$E$79,2,FALSE)</f>
        <v>32917.849192000001</v>
      </c>
      <c r="AT147" s="30">
        <f>VLOOKUP(Inventory[[#This Row],[Cnd]],Lookups!$A$80:$E$88,2,FALSE)</f>
        <v>47371.278778200001</v>
      </c>
      <c r="AU147" s="30">
        <f>Inventory[[#This Row],[EffAge]]*Lookups!$B$65</f>
        <v>-326.22329999999999</v>
      </c>
      <c r="AV147" s="30">
        <f>Inventory[[#This Row],[MainFn]]*Lookups!$B$90</f>
        <v>69337.932180000003</v>
      </c>
      <c r="AW147" s="30">
        <f>Inventory[[#This Row],[UpprFn]]*Lookups!$B$91</f>
        <v>67087.511257999999</v>
      </c>
      <c r="AX147" s="30">
        <f>Inventory[[#This Row],[Bsmt Area]]*Lookups!$B$95</f>
        <v>0</v>
      </c>
      <c r="AY147" s="30">
        <f>Inventory[[#This Row],[AttGar]]*Lookups!$B$93</f>
        <v>16061.969105</v>
      </c>
      <c r="AZ147" s="30">
        <f>ROUND(Inventory[[#This Row],[25Det]],-2)</f>
        <v>0</v>
      </c>
      <c r="BA147" s="30">
        <f>ROUND(SUM(Inventory[[#This Row],[Mdl Qlty]:[Mdl Garage Area]])+Inventory[[#This Row],[Mdl Res Intercept]],-2)</f>
        <v>365000</v>
      </c>
      <c r="BB147" s="30">
        <f>ROUND(Inventory[[#This Row],[Mdl Land Intercept]]+Inventory[[#This Row],[Mdl LnAcres]],-2)</f>
        <v>66100</v>
      </c>
      <c r="BC147" s="30">
        <f>Inventory[[#This Row],[Unadj Res Value]]+Inventory[[#This Row],[Unadj Det Value]]+Inventory[[#This Row],[Unadj Land Value]]</f>
        <v>431100</v>
      </c>
      <c r="BD147" s="30">
        <f>(Inventory[[#This Row],[Unadj Total Value]]-Inventory[[#This Row],[24Final]])/Inventory[[#This Row],[24Final]]</f>
        <v>-8.2815734989648039E-3</v>
      </c>
      <c r="BE147" s="30">
        <f>VLOOKUP(Inventory[[#This Row],[Nbhd]],Lookups!$M$3:$P$5,4,FALSE)</f>
        <v>0.99970000000000003</v>
      </c>
      <c r="BF147" s="30">
        <f>VLOOKUP(Inventory[[#This Row],[Qlty]],Lookups!$M$8:$P$22,4,FALSE)</f>
        <v>1.0019</v>
      </c>
      <c r="BG147" s="30">
        <f>VLOOKUP(Inventory[[#This Row],[Cnd]],Lookups!$R$8:$U$17,4,FALSE)</f>
        <v>1.0012000000000001</v>
      </c>
      <c r="BH147" s="30">
        <f>VLOOKUP(Inventory[[#This Row],[LivArea Range]],Lookups!$R$25:$U$43,4,FALSE)</f>
        <v>1.0008999999999999</v>
      </c>
      <c r="BI147" s="30">
        <f>VLOOKUP(Inventory[[#This Row],[Decade]],Lookups!$M$24:$P$40,4,FALSE)</f>
        <v>1</v>
      </c>
      <c r="BJ147" s="30">
        <f>Inventory[[#This Row],[Nbhd Adj]]*0.95</f>
        <v>0.94971499999999998</v>
      </c>
      <c r="BK147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47" s="30">
        <f>ROUND((SUM(Inventory[[#This Row],[Mdl Qlty]:[Mdl Garage Area]])+Inventory[[#This Row],[Mdl Res Intercept]])*Inventory[[#This Row],[Res Adj ]],-2)</f>
        <v>347000</v>
      </c>
      <c r="BM147" s="30">
        <f>ROUND(Inventory[[#This Row],[25Det]]*Inventory[[#This Row],[Det/Nbhd Adj]],-2)</f>
        <v>0</v>
      </c>
      <c r="BN147" s="30">
        <f>Inventory[[#This Row],[Adjusted Res]]+Inventory[[#This Row],[Adj Det ]]</f>
        <v>347000</v>
      </c>
      <c r="BO147" s="30">
        <f>ROUND((Inventory[[#This Row],[Mdl Land Intercept]]+Inventory[[#This Row],[Mdl LnAcres]])*Inventory[[#This Row],[Det/Nbhd Adj]],-2)</f>
        <v>62800</v>
      </c>
      <c r="BP147" s="30">
        <f>Inventory[[#This Row],[Adjusted Impr Total]]+Inventory[[#This Row],[Adjusted Land Total]]</f>
        <v>409800</v>
      </c>
      <c r="BQ147" s="30">
        <f>IFERROR((Inventory[[#This Row],[Adjusted Impr Total]]-Inventory[[#This Row],[24Bldg]])/Inventory[[#This Row],[24Bldg]],0)</f>
        <v>-6.7705534658785593E-2</v>
      </c>
      <c r="BR147" s="43">
        <f>(Inventory[[#This Row],[Adjusted Land Total]]-Inventory[[#This Row],[24Lnd]])/Inventory[[#This Row],[24Lnd]]</f>
        <v>4.7999999999999996E-3</v>
      </c>
      <c r="BS147" s="43">
        <f>(Inventory[[#This Row],[Adjusted Total]]-Inventory[[#This Row],[24Final]])/Inventory[[#This Row],[24Final]]</f>
        <v>-5.7280883367839888E-2</v>
      </c>
    </row>
    <row r="148" spans="1:71">
      <c r="A148" s="30">
        <v>2025</v>
      </c>
      <c r="B148" s="31" t="s">
        <v>657</v>
      </c>
      <c r="C148" s="31">
        <f>LN(Inventory[[#This Row],[Acres]])</f>
        <v>-1.6820086052689358</v>
      </c>
      <c r="D148" s="37">
        <f>ROUND(Inventory[[#This Row],[Sqft]]/43560,3)</f>
        <v>0.186</v>
      </c>
      <c r="E148" s="30">
        <v>8085</v>
      </c>
      <c r="F148" s="31" t="s">
        <v>505</v>
      </c>
      <c r="G148" s="31" t="s">
        <v>155</v>
      </c>
      <c r="H148" s="31" t="s">
        <v>5</v>
      </c>
      <c r="I148" s="31" t="s">
        <v>506</v>
      </c>
      <c r="J148" s="31" t="s">
        <v>507</v>
      </c>
      <c r="K148" s="31" t="s">
        <v>157</v>
      </c>
      <c r="L148" s="31" t="s">
        <v>21</v>
      </c>
      <c r="M148" s="31" t="s">
        <v>24</v>
      </c>
      <c r="N148" s="31">
        <v>0</v>
      </c>
      <c r="O148" s="31">
        <f>2024-Inventory[[#This Row],[YrBlt]]</f>
        <v>3</v>
      </c>
      <c r="P148" s="31">
        <f>2024-Inventory[[#This Row],[EffYr]]</f>
        <v>3</v>
      </c>
      <c r="Q148" s="30">
        <v>2021</v>
      </c>
      <c r="R148" s="30">
        <v>2021</v>
      </c>
      <c r="S148" s="30">
        <v>1740</v>
      </c>
      <c r="T148" s="32"/>
      <c r="U148" s="32"/>
      <c r="V148" s="32"/>
      <c r="W148" s="32"/>
      <c r="X148" s="32">
        <f>Inventory[[#This Row],[Bsmt Area]]-Inventory[[#This Row],[FnBsmt]]</f>
        <v>0</v>
      </c>
      <c r="Y148" s="32">
        <f>Inventory[[#This Row],[MainFn]]+Inventory[[#This Row],[UpprFn]]+Inventory[[#This Row],[AddFn]]+Inventory[[#This Row],[FnBsmt]]</f>
        <v>1740</v>
      </c>
      <c r="Z148" s="32">
        <v>2000</v>
      </c>
      <c r="AA148" s="31" t="s">
        <v>56</v>
      </c>
      <c r="AB148" s="32"/>
      <c r="AC148" s="38">
        <v>450</v>
      </c>
      <c r="AD148" s="32"/>
      <c r="AE148" s="32"/>
      <c r="AF148" s="32"/>
      <c r="AG148" s="32"/>
      <c r="AH148" s="32"/>
      <c r="AI148" s="30">
        <v>374705</v>
      </c>
      <c r="AJ148" s="30">
        <v>363464</v>
      </c>
      <c r="AK148" s="30">
        <v>0</v>
      </c>
      <c r="AL148" s="30">
        <v>0</v>
      </c>
      <c r="AM148" s="30">
        <v>63200</v>
      </c>
      <c r="AN148" s="30">
        <v>323500</v>
      </c>
      <c r="AO148" s="30">
        <v>386700</v>
      </c>
      <c r="AP148" s="30">
        <f>Lookups!$B$58*0.6</f>
        <v>132535.48800000001</v>
      </c>
      <c r="AQ148" s="30">
        <f>Lookups!$B$58*0.4</f>
        <v>88356.992000000013</v>
      </c>
      <c r="AR148" s="30">
        <f>Lookups!$B$59*Inventory[[#This Row],[LnAcres]]</f>
        <v>-22075.220860311805</v>
      </c>
      <c r="AS148" s="30">
        <f>VLOOKUP(Inventory[[#This Row],[Qlty]],Lookups!$A$66:$E$79,2,FALSE)</f>
        <v>32917.849192000001</v>
      </c>
      <c r="AT148" s="30">
        <f>VLOOKUP(Inventory[[#This Row],[Cnd]],Lookups!$A$80:$E$88,2,FALSE)</f>
        <v>47371.278778200001</v>
      </c>
      <c r="AU148" s="30">
        <f>Inventory[[#This Row],[EffAge]]*Lookups!$B$65</f>
        <v>-326.22329999999999</v>
      </c>
      <c r="AV148" s="30">
        <f>Inventory[[#This Row],[MainFn]]*Lookups!$B$90</f>
        <v>108594.06120000001</v>
      </c>
      <c r="AW148" s="30">
        <f>Inventory[[#This Row],[UpprFn]]*Lookups!$B$91</f>
        <v>0</v>
      </c>
      <c r="AX148" s="30">
        <f>Inventory[[#This Row],[Bsmt Area]]*Lookups!$B$95</f>
        <v>0</v>
      </c>
      <c r="AY148" s="30">
        <f>Inventory[[#This Row],[AttGar]]*Lookups!$B$93</f>
        <v>15885.463950000001</v>
      </c>
      <c r="AZ148" s="30">
        <f>ROUND(Inventory[[#This Row],[25Det]],-2)</f>
        <v>0</v>
      </c>
      <c r="BA148" s="30">
        <f>ROUND(SUM(Inventory[[#This Row],[Mdl Qlty]:[Mdl Garage Area]])+Inventory[[#This Row],[Mdl Res Intercept]],-2)</f>
        <v>337000</v>
      </c>
      <c r="BB148" s="30">
        <f>ROUND(Inventory[[#This Row],[Mdl Land Intercept]]+Inventory[[#This Row],[Mdl LnAcres]],-2)</f>
        <v>66300</v>
      </c>
      <c r="BC148" s="30">
        <f>Inventory[[#This Row],[Unadj Res Value]]+Inventory[[#This Row],[Unadj Det Value]]+Inventory[[#This Row],[Unadj Land Value]]</f>
        <v>403300</v>
      </c>
      <c r="BD148" s="30">
        <f>(Inventory[[#This Row],[Unadj Total Value]]-Inventory[[#This Row],[24Final]])/Inventory[[#This Row],[24Final]]</f>
        <v>4.2927333850530124E-2</v>
      </c>
      <c r="BE148" s="30">
        <f>VLOOKUP(Inventory[[#This Row],[Nbhd]],Lookups!$M$3:$P$5,4,FALSE)</f>
        <v>0.99970000000000003</v>
      </c>
      <c r="BF148" s="30">
        <f>VLOOKUP(Inventory[[#This Row],[Qlty]],Lookups!$M$8:$P$22,4,FALSE)</f>
        <v>1.0019</v>
      </c>
      <c r="BG148" s="30">
        <f>VLOOKUP(Inventory[[#This Row],[Cnd]],Lookups!$R$8:$U$17,4,FALSE)</f>
        <v>1.0012000000000001</v>
      </c>
      <c r="BH148" s="30">
        <f>VLOOKUP(Inventory[[#This Row],[LivArea Range]],Lookups!$R$25:$U$43,4,FALSE)</f>
        <v>1.0007999999999999</v>
      </c>
      <c r="BI148" s="30">
        <f>VLOOKUP(Inventory[[#This Row],[Decade]],Lookups!$M$24:$P$40,4,FALSE)</f>
        <v>1</v>
      </c>
      <c r="BJ148" s="30">
        <f>Inventory[[#This Row],[Nbhd Adj]]*0.95</f>
        <v>0.94971499999999998</v>
      </c>
      <c r="BK148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148" s="30">
        <f>ROUND((SUM(Inventory[[#This Row],[Mdl Qlty]:[Mdl Garage Area]])+Inventory[[#This Row],[Mdl Res Intercept]])*Inventory[[#This Row],[Res Adj ]],-2)</f>
        <v>320400</v>
      </c>
      <c r="BM148" s="30">
        <f>ROUND(Inventory[[#This Row],[25Det]]*Inventory[[#This Row],[Det/Nbhd Adj]],-2)</f>
        <v>0</v>
      </c>
      <c r="BN148" s="30">
        <f>Inventory[[#This Row],[Adjusted Res]]+Inventory[[#This Row],[Adj Det ]]</f>
        <v>320400</v>
      </c>
      <c r="BO148" s="30">
        <f>ROUND((Inventory[[#This Row],[Mdl Land Intercept]]+Inventory[[#This Row],[Mdl LnAcres]])*Inventory[[#This Row],[Det/Nbhd Adj]],-2)</f>
        <v>62900</v>
      </c>
      <c r="BP148" s="30">
        <f>Inventory[[#This Row],[Adjusted Impr Total]]+Inventory[[#This Row],[Adjusted Land Total]]</f>
        <v>383300</v>
      </c>
      <c r="BQ148" s="30">
        <f>IFERROR((Inventory[[#This Row],[Adjusted Impr Total]]-Inventory[[#This Row],[24Bldg]])/Inventory[[#This Row],[24Bldg]],0)</f>
        <v>-9.5826893353941275E-3</v>
      </c>
      <c r="BR148" s="43">
        <f>(Inventory[[#This Row],[Adjusted Land Total]]-Inventory[[#This Row],[24Lnd]])/Inventory[[#This Row],[24Lnd]]</f>
        <v>-4.7468354430379748E-3</v>
      </c>
      <c r="BS148" s="43">
        <f>(Inventory[[#This Row],[Adjusted Total]]-Inventory[[#This Row],[24Final]])/Inventory[[#This Row],[24Final]]</f>
        <v>-8.7923454874579785E-3</v>
      </c>
    </row>
    <row r="149" spans="1:71">
      <c r="A149" s="30">
        <v>2025</v>
      </c>
      <c r="B149" s="31" t="s">
        <v>658</v>
      </c>
      <c r="C149" s="31">
        <f>LN(Inventory[[#This Row],[Acres]])</f>
        <v>-1.6713133161521878</v>
      </c>
      <c r="D149" s="37">
        <f>ROUND(Inventory[[#This Row],[Sqft]]/43560,3)</f>
        <v>0.188</v>
      </c>
      <c r="E149" s="30">
        <v>8205</v>
      </c>
      <c r="F149" s="31" t="s">
        <v>505</v>
      </c>
      <c r="G149" s="31" t="s">
        <v>155</v>
      </c>
      <c r="H149" s="31" t="s">
        <v>5</v>
      </c>
      <c r="I149" s="31" t="s">
        <v>506</v>
      </c>
      <c r="J149" s="31" t="s">
        <v>507</v>
      </c>
      <c r="K149" s="31" t="s">
        <v>157</v>
      </c>
      <c r="L149" s="31" t="s">
        <v>19</v>
      </c>
      <c r="M149" s="31" t="s">
        <v>24</v>
      </c>
      <c r="N149" s="31">
        <v>0</v>
      </c>
      <c r="O149" s="31">
        <f>2024-Inventory[[#This Row],[YrBlt]]</f>
        <v>3</v>
      </c>
      <c r="P149" s="31">
        <f>2024-Inventory[[#This Row],[EffYr]]</f>
        <v>3</v>
      </c>
      <c r="Q149" s="30">
        <v>2021</v>
      </c>
      <c r="R149" s="30">
        <v>2021</v>
      </c>
      <c r="S149" s="30">
        <v>1619</v>
      </c>
      <c r="T149" s="32"/>
      <c r="U149" s="32"/>
      <c r="V149" s="32"/>
      <c r="W149" s="32"/>
      <c r="X149" s="32">
        <f>Inventory[[#This Row],[Bsmt Area]]-Inventory[[#This Row],[FnBsmt]]</f>
        <v>0</v>
      </c>
      <c r="Y149" s="32">
        <f>Inventory[[#This Row],[MainFn]]+Inventory[[#This Row],[UpprFn]]+Inventory[[#This Row],[AddFn]]+Inventory[[#This Row],[FnBsmt]]</f>
        <v>1619</v>
      </c>
      <c r="Z149" s="32">
        <v>2000</v>
      </c>
      <c r="AA149" s="31" t="s">
        <v>56</v>
      </c>
      <c r="AB149" s="32"/>
      <c r="AC149" s="38">
        <v>480</v>
      </c>
      <c r="AD149" s="32"/>
      <c r="AE149" s="32"/>
      <c r="AF149" s="32"/>
      <c r="AG149" s="32"/>
      <c r="AH149" s="32"/>
      <c r="AI149" s="30">
        <v>321656</v>
      </c>
      <c r="AJ149" s="30">
        <v>312006</v>
      </c>
      <c r="AK149" s="30">
        <v>0</v>
      </c>
      <c r="AL149" s="30">
        <v>0</v>
      </c>
      <c r="AM149" s="30">
        <v>63200</v>
      </c>
      <c r="AN149" s="30">
        <v>336400</v>
      </c>
      <c r="AO149" s="30">
        <v>399600</v>
      </c>
      <c r="AP149" s="30">
        <f>Lookups!$B$58*0.6</f>
        <v>132535.48800000001</v>
      </c>
      <c r="AQ149" s="30">
        <f>Lookups!$B$58*0.4</f>
        <v>88356.992000000013</v>
      </c>
      <c r="AR149" s="30">
        <f>Lookups!$B$59*Inventory[[#This Row],[LnAcres]]</f>
        <v>-21934.852452755797</v>
      </c>
      <c r="AS149" s="30">
        <f>VLOOKUP(Inventory[[#This Row],[Qlty]],Lookups!$A$66:$E$79,2,FALSE)</f>
        <v>37154.252388000001</v>
      </c>
      <c r="AT149" s="30">
        <f>VLOOKUP(Inventory[[#This Row],[Cnd]],Lookups!$A$80:$E$88,2,FALSE)</f>
        <v>47371.278778200001</v>
      </c>
      <c r="AU149" s="30">
        <f>Inventory[[#This Row],[EffAge]]*Lookups!$B$65</f>
        <v>-326.22329999999999</v>
      </c>
      <c r="AV149" s="30">
        <f>Inventory[[#This Row],[MainFn]]*Lookups!$B$90</f>
        <v>101042.40522</v>
      </c>
      <c r="AW149" s="30">
        <f>Inventory[[#This Row],[UpprFn]]*Lookups!$B$91</f>
        <v>0</v>
      </c>
      <c r="AX149" s="30">
        <f>Inventory[[#This Row],[Bsmt Area]]*Lookups!$B$95</f>
        <v>0</v>
      </c>
      <c r="AY149" s="30">
        <f>Inventory[[#This Row],[AttGar]]*Lookups!$B$93</f>
        <v>16944.494880000002</v>
      </c>
      <c r="AZ149" s="30">
        <f>ROUND(Inventory[[#This Row],[25Det]],-2)</f>
        <v>0</v>
      </c>
      <c r="BA149" s="30">
        <f>ROUND(SUM(Inventory[[#This Row],[Mdl Qlty]:[Mdl Garage Area]])+Inventory[[#This Row],[Mdl Res Intercept]],-2)</f>
        <v>334700</v>
      </c>
      <c r="BB149" s="30">
        <f>ROUND(Inventory[[#This Row],[Mdl Land Intercept]]+Inventory[[#This Row],[Mdl LnAcres]],-2)</f>
        <v>66400</v>
      </c>
      <c r="BC149" s="30">
        <f>Inventory[[#This Row],[Unadj Res Value]]+Inventory[[#This Row],[Unadj Det Value]]+Inventory[[#This Row],[Unadj Land Value]]</f>
        <v>401100</v>
      </c>
      <c r="BD149" s="30">
        <f>(Inventory[[#This Row],[Unadj Total Value]]-Inventory[[#This Row],[24Final]])/Inventory[[#This Row],[24Final]]</f>
        <v>3.7537537537537537E-3</v>
      </c>
      <c r="BE149" s="30">
        <f>VLOOKUP(Inventory[[#This Row],[Nbhd]],Lookups!$M$3:$P$5,4,FALSE)</f>
        <v>0.99970000000000003</v>
      </c>
      <c r="BF149" s="30">
        <f>VLOOKUP(Inventory[[#This Row],[Qlty]],Lookups!$M$8:$P$22,4,FALSE)</f>
        <v>0.99819999999999998</v>
      </c>
      <c r="BG149" s="30">
        <f>VLOOKUP(Inventory[[#This Row],[Cnd]],Lookups!$R$8:$U$17,4,FALSE)</f>
        <v>1.0012000000000001</v>
      </c>
      <c r="BH149" s="30">
        <f>VLOOKUP(Inventory[[#This Row],[LivArea Range]],Lookups!$R$25:$U$43,4,FALSE)</f>
        <v>1.0007999999999999</v>
      </c>
      <c r="BI149" s="30">
        <f>VLOOKUP(Inventory[[#This Row],[Decade]],Lookups!$M$24:$P$40,4,FALSE)</f>
        <v>1</v>
      </c>
      <c r="BJ149" s="30">
        <f>Inventory[[#This Row],[Nbhd Adj]]*0.95</f>
        <v>0.94971499999999998</v>
      </c>
      <c r="BK149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149" s="30">
        <f>ROUND((SUM(Inventory[[#This Row],[Mdl Qlty]:[Mdl Garage Area]])+Inventory[[#This Row],[Mdl Res Intercept]])*Inventory[[#This Row],[Res Adj ]],-2)</f>
        <v>318000</v>
      </c>
      <c r="BM149" s="30">
        <f>ROUND(Inventory[[#This Row],[25Det]]*Inventory[[#This Row],[Det/Nbhd Adj]],-2)</f>
        <v>0</v>
      </c>
      <c r="BN149" s="30">
        <f>Inventory[[#This Row],[Adjusted Res]]+Inventory[[#This Row],[Adj Det ]]</f>
        <v>318000</v>
      </c>
      <c r="BO149" s="30">
        <f>ROUND((Inventory[[#This Row],[Mdl Land Intercept]]+Inventory[[#This Row],[Mdl LnAcres]])*Inventory[[#This Row],[Det/Nbhd Adj]],-2)</f>
        <v>63100</v>
      </c>
      <c r="BP149" s="30">
        <f>Inventory[[#This Row],[Adjusted Impr Total]]+Inventory[[#This Row],[Adjusted Land Total]]</f>
        <v>381100</v>
      </c>
      <c r="BQ149" s="30">
        <f>IFERROR((Inventory[[#This Row],[Adjusted Impr Total]]-Inventory[[#This Row],[24Bldg]])/Inventory[[#This Row],[24Bldg]],0)</f>
        <v>-5.4696789536266346E-2</v>
      </c>
      <c r="BR149" s="43">
        <f>(Inventory[[#This Row],[Adjusted Land Total]]-Inventory[[#This Row],[24Lnd]])/Inventory[[#This Row],[24Lnd]]</f>
        <v>-1.5822784810126582E-3</v>
      </c>
      <c r="BS149" s="43">
        <f>(Inventory[[#This Row],[Adjusted Total]]-Inventory[[#This Row],[24Final]])/Inventory[[#This Row],[24Final]]</f>
        <v>-4.6296296296296294E-2</v>
      </c>
    </row>
    <row r="150" spans="1:71">
      <c r="A150" s="30">
        <v>2025</v>
      </c>
      <c r="B150" s="31" t="s">
        <v>659</v>
      </c>
      <c r="C150" s="31">
        <f>LN(Inventory[[#This Row],[Acres]])</f>
        <v>-1.6713133161521878</v>
      </c>
      <c r="D150" s="37">
        <f>ROUND(Inventory[[#This Row],[Sqft]]/43560,3)</f>
        <v>0.188</v>
      </c>
      <c r="E150" s="30">
        <v>8185</v>
      </c>
      <c r="F150" s="31" t="s">
        <v>505</v>
      </c>
      <c r="G150" s="31" t="s">
        <v>155</v>
      </c>
      <c r="H150" s="31" t="s">
        <v>5</v>
      </c>
      <c r="I150" s="31" t="s">
        <v>506</v>
      </c>
      <c r="J150" s="31" t="s">
        <v>507</v>
      </c>
      <c r="K150" s="31" t="s">
        <v>157</v>
      </c>
      <c r="L150" s="31" t="s">
        <v>21</v>
      </c>
      <c r="M150" s="31" t="s">
        <v>24</v>
      </c>
      <c r="N150" s="31">
        <v>0</v>
      </c>
      <c r="O150" s="31">
        <f>2024-Inventory[[#This Row],[YrBlt]]</f>
        <v>3</v>
      </c>
      <c r="P150" s="31">
        <f>2024-Inventory[[#This Row],[EffYr]]</f>
        <v>3</v>
      </c>
      <c r="Q150" s="30">
        <v>2021</v>
      </c>
      <c r="R150" s="30">
        <v>2021</v>
      </c>
      <c r="S150" s="30">
        <v>1111</v>
      </c>
      <c r="T150" s="38">
        <v>1126</v>
      </c>
      <c r="U150" s="32"/>
      <c r="V150" s="32"/>
      <c r="W150" s="32"/>
      <c r="X150" s="32">
        <f>Inventory[[#This Row],[Bsmt Area]]-Inventory[[#This Row],[FnBsmt]]</f>
        <v>0</v>
      </c>
      <c r="Y150" s="32">
        <f>Inventory[[#This Row],[MainFn]]+Inventory[[#This Row],[UpprFn]]+Inventory[[#This Row],[AddFn]]+Inventory[[#This Row],[FnBsmt]]</f>
        <v>2237</v>
      </c>
      <c r="Z150" s="32">
        <v>2500</v>
      </c>
      <c r="AA150" s="31" t="s">
        <v>56</v>
      </c>
      <c r="AB150" s="32"/>
      <c r="AC150" s="38">
        <v>455</v>
      </c>
      <c r="AD150" s="32"/>
      <c r="AE150" s="32"/>
      <c r="AF150" s="32"/>
      <c r="AG150" s="32"/>
      <c r="AH150" s="32"/>
      <c r="AI150" s="30">
        <v>446980</v>
      </c>
      <c r="AJ150" s="30">
        <v>433571</v>
      </c>
      <c r="AK150" s="30">
        <v>0</v>
      </c>
      <c r="AL150" s="30">
        <v>0</v>
      </c>
      <c r="AM150" s="30">
        <v>63200</v>
      </c>
      <c r="AN150" s="30">
        <v>363000</v>
      </c>
      <c r="AO150" s="30">
        <v>426200</v>
      </c>
      <c r="AP150" s="30">
        <f>Lookups!$B$58*0.6</f>
        <v>132535.48800000001</v>
      </c>
      <c r="AQ150" s="30">
        <f>Lookups!$B$58*0.4</f>
        <v>88356.992000000013</v>
      </c>
      <c r="AR150" s="30">
        <f>Lookups!$B$59*Inventory[[#This Row],[LnAcres]]</f>
        <v>-21934.852452755797</v>
      </c>
      <c r="AS150" s="30">
        <f>VLOOKUP(Inventory[[#This Row],[Qlty]],Lookups!$A$66:$E$79,2,FALSE)</f>
        <v>32917.849192000001</v>
      </c>
      <c r="AT150" s="30">
        <f>VLOOKUP(Inventory[[#This Row],[Cnd]],Lookups!$A$80:$E$88,2,FALSE)</f>
        <v>47371.278778200001</v>
      </c>
      <c r="AU150" s="30">
        <f>Inventory[[#This Row],[EffAge]]*Lookups!$B$65</f>
        <v>-326.22329999999999</v>
      </c>
      <c r="AV150" s="30">
        <f>Inventory[[#This Row],[MainFn]]*Lookups!$B$90</f>
        <v>69337.932180000003</v>
      </c>
      <c r="AW150" s="30">
        <f>Inventory[[#This Row],[UpprFn]]*Lookups!$B$91</f>
        <v>67087.511257999999</v>
      </c>
      <c r="AX150" s="30">
        <f>Inventory[[#This Row],[Bsmt Area]]*Lookups!$B$95</f>
        <v>0</v>
      </c>
      <c r="AY150" s="30">
        <f>Inventory[[#This Row],[AttGar]]*Lookups!$B$93</f>
        <v>16061.969105</v>
      </c>
      <c r="AZ150" s="30">
        <f>ROUND(Inventory[[#This Row],[25Det]],-2)</f>
        <v>0</v>
      </c>
      <c r="BA150" s="30">
        <f>ROUND(SUM(Inventory[[#This Row],[Mdl Qlty]:[Mdl Garage Area]])+Inventory[[#This Row],[Mdl Res Intercept]],-2)</f>
        <v>365000</v>
      </c>
      <c r="BB150" s="30">
        <f>ROUND(Inventory[[#This Row],[Mdl Land Intercept]]+Inventory[[#This Row],[Mdl LnAcres]],-2)</f>
        <v>66400</v>
      </c>
      <c r="BC150" s="30">
        <f>Inventory[[#This Row],[Unadj Res Value]]+Inventory[[#This Row],[Unadj Det Value]]+Inventory[[#This Row],[Unadj Land Value]]</f>
        <v>431400</v>
      </c>
      <c r="BD150" s="30">
        <f>(Inventory[[#This Row],[Unadj Total Value]]-Inventory[[#This Row],[24Final]])/Inventory[[#This Row],[24Final]]</f>
        <v>1.2200844673862036E-2</v>
      </c>
      <c r="BE150" s="30">
        <f>VLOOKUP(Inventory[[#This Row],[Nbhd]],Lookups!$M$3:$P$5,4,FALSE)</f>
        <v>0.99970000000000003</v>
      </c>
      <c r="BF150" s="30">
        <f>VLOOKUP(Inventory[[#This Row],[Qlty]],Lookups!$M$8:$P$22,4,FALSE)</f>
        <v>1.0019</v>
      </c>
      <c r="BG150" s="30">
        <f>VLOOKUP(Inventory[[#This Row],[Cnd]],Lookups!$R$8:$U$17,4,FALSE)</f>
        <v>1.0012000000000001</v>
      </c>
      <c r="BH150" s="30">
        <f>VLOOKUP(Inventory[[#This Row],[LivArea Range]],Lookups!$R$25:$U$43,4,FALSE)</f>
        <v>1.0008999999999999</v>
      </c>
      <c r="BI150" s="30">
        <f>VLOOKUP(Inventory[[#This Row],[Decade]],Lookups!$M$24:$P$40,4,FALSE)</f>
        <v>1</v>
      </c>
      <c r="BJ150" s="30">
        <f>Inventory[[#This Row],[Nbhd Adj]]*0.95</f>
        <v>0.94971499999999998</v>
      </c>
      <c r="BK150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50" s="30">
        <f>ROUND((SUM(Inventory[[#This Row],[Mdl Qlty]:[Mdl Garage Area]])+Inventory[[#This Row],[Mdl Res Intercept]])*Inventory[[#This Row],[Res Adj ]],-2)</f>
        <v>347000</v>
      </c>
      <c r="BM150" s="30">
        <f>ROUND(Inventory[[#This Row],[25Det]]*Inventory[[#This Row],[Det/Nbhd Adj]],-2)</f>
        <v>0</v>
      </c>
      <c r="BN150" s="30">
        <f>Inventory[[#This Row],[Adjusted Res]]+Inventory[[#This Row],[Adj Det ]]</f>
        <v>347000</v>
      </c>
      <c r="BO150" s="30">
        <f>ROUND((Inventory[[#This Row],[Mdl Land Intercept]]+Inventory[[#This Row],[Mdl LnAcres]])*Inventory[[#This Row],[Det/Nbhd Adj]],-2)</f>
        <v>63100</v>
      </c>
      <c r="BP150" s="30">
        <f>Inventory[[#This Row],[Adjusted Impr Total]]+Inventory[[#This Row],[Adjusted Land Total]]</f>
        <v>410100</v>
      </c>
      <c r="BQ150" s="30">
        <f>IFERROR((Inventory[[#This Row],[Adjusted Impr Total]]-Inventory[[#This Row],[24Bldg]])/Inventory[[#This Row],[24Bldg]],0)</f>
        <v>-4.4077134986225897E-2</v>
      </c>
      <c r="BR150" s="43">
        <f>(Inventory[[#This Row],[Adjusted Land Total]]-Inventory[[#This Row],[24Lnd]])/Inventory[[#This Row],[24Lnd]]</f>
        <v>-1.5822784810126582E-3</v>
      </c>
      <c r="BS150" s="43">
        <f>(Inventory[[#This Row],[Adjusted Total]]-Inventory[[#This Row],[24Final]])/Inventory[[#This Row],[24Final]]</f>
        <v>-3.7775692163303613E-2</v>
      </c>
    </row>
    <row r="151" spans="1:71">
      <c r="A151" s="30">
        <v>2025</v>
      </c>
      <c r="B151" s="31" t="s">
        <v>660</v>
      </c>
      <c r="C151" s="36">
        <f>LN(Inventory[[#This Row],[Acres]])</f>
        <v>-1.6660082639224947</v>
      </c>
      <c r="D151" s="32">
        <f>ROUND(Inventory[[#This Row],[Sqft]]/43560,3)</f>
        <v>0.189</v>
      </c>
      <c r="E151" s="30">
        <v>8233</v>
      </c>
      <c r="F151" s="31" t="s">
        <v>505</v>
      </c>
      <c r="G151" s="31" t="s">
        <v>155</v>
      </c>
      <c r="H151" s="31" t="s">
        <v>5</v>
      </c>
      <c r="I151" s="31" t="s">
        <v>506</v>
      </c>
      <c r="J151" s="31" t="s">
        <v>507</v>
      </c>
      <c r="K151" s="31" t="s">
        <v>157</v>
      </c>
      <c r="L151" s="31" t="s">
        <v>21</v>
      </c>
      <c r="M151" s="31" t="s">
        <v>24</v>
      </c>
      <c r="N151" s="31">
        <v>0</v>
      </c>
      <c r="O151" s="31">
        <f>2024-Inventory[[#This Row],[YrBlt]]</f>
        <v>3</v>
      </c>
      <c r="P151" s="31">
        <f>2024-Inventory[[#This Row],[EffYr]]</f>
        <v>3</v>
      </c>
      <c r="Q151" s="30">
        <v>2021</v>
      </c>
      <c r="R151" s="30">
        <v>2021</v>
      </c>
      <c r="S151" s="30">
        <v>2010</v>
      </c>
      <c r="T151" s="32"/>
      <c r="U151" s="32"/>
      <c r="V151" s="32"/>
      <c r="W151" s="32"/>
      <c r="X151" s="32">
        <f>Inventory[[#This Row],[Bsmt Area]]-Inventory[[#This Row],[FnBsmt]]</f>
        <v>0</v>
      </c>
      <c r="Y151" s="32">
        <f>Inventory[[#This Row],[MainFn]]+Inventory[[#This Row],[UpprFn]]+Inventory[[#This Row],[AddFn]]+Inventory[[#This Row],[FnBsmt]]</f>
        <v>2010</v>
      </c>
      <c r="Z151" s="32">
        <v>2500</v>
      </c>
      <c r="AA151" s="31" t="s">
        <v>57</v>
      </c>
      <c r="AB151" s="38">
        <v>1</v>
      </c>
      <c r="AC151" s="38">
        <v>424</v>
      </c>
      <c r="AD151" s="32"/>
      <c r="AE151" s="32"/>
      <c r="AF151" s="32"/>
      <c r="AG151" s="32"/>
      <c r="AH151" s="32"/>
      <c r="AI151" s="30">
        <v>424584</v>
      </c>
      <c r="AJ151" s="30">
        <v>411846</v>
      </c>
      <c r="AK151" s="30">
        <v>0</v>
      </c>
      <c r="AL151" s="30">
        <v>0</v>
      </c>
      <c r="AM151" s="30">
        <v>63200</v>
      </c>
      <c r="AN151" s="30">
        <v>333700</v>
      </c>
      <c r="AO151" s="30">
        <v>396900</v>
      </c>
      <c r="AP151" s="30">
        <f>Lookups!$B$58*0.6</f>
        <v>132535.48800000001</v>
      </c>
      <c r="AQ151" s="30">
        <f>Lookups!$B$58*0.4</f>
        <v>88356.992000000013</v>
      </c>
      <c r="AR151" s="30">
        <f>Lookups!$B$59*Inventory[[#This Row],[LnAcres]]</f>
        <v>-21865.227244371537</v>
      </c>
      <c r="AS151" s="30">
        <f>VLOOKUP(Inventory[[#This Row],[Qlty]],Lookups!$A$66:$E$79,2,FALSE)</f>
        <v>32917.849192000001</v>
      </c>
      <c r="AT151" s="30">
        <f>VLOOKUP(Inventory[[#This Row],[Cnd]],Lookups!$A$80:$E$88,2,FALSE)</f>
        <v>47371.278778200001</v>
      </c>
      <c r="AU151" s="30">
        <f>Inventory[[#This Row],[EffAge]]*Lookups!$B$65</f>
        <v>-326.22329999999999</v>
      </c>
      <c r="AV151" s="30">
        <f>Inventory[[#This Row],[MainFn]]*Lookups!$B$90</f>
        <v>125444.86380000001</v>
      </c>
      <c r="AW151" s="30">
        <f>Inventory[[#This Row],[UpprFn]]*Lookups!$B$91</f>
        <v>0</v>
      </c>
      <c r="AX151" s="30">
        <f>Inventory[[#This Row],[Bsmt Area]]*Lookups!$B$95</f>
        <v>0</v>
      </c>
      <c r="AY151" s="30">
        <f>Inventory[[#This Row],[AttGar]]*Lookups!$B$93</f>
        <v>14967.637144</v>
      </c>
      <c r="AZ151" s="30">
        <f>ROUND(Inventory[[#This Row],[25Det]],-2)</f>
        <v>0</v>
      </c>
      <c r="BA151" s="30">
        <f>ROUND(SUM(Inventory[[#This Row],[Mdl Qlty]:[Mdl Garage Area]])+Inventory[[#This Row],[Mdl Res Intercept]],-2)</f>
        <v>352900</v>
      </c>
      <c r="BB151" s="30">
        <f>ROUND(Inventory[[#This Row],[Mdl Land Intercept]]+Inventory[[#This Row],[Mdl LnAcres]],-2)</f>
        <v>66500</v>
      </c>
      <c r="BC151" s="30">
        <f>Inventory[[#This Row],[Unadj Res Value]]+Inventory[[#This Row],[Unadj Det Value]]+Inventory[[#This Row],[Unadj Land Value]]</f>
        <v>419400</v>
      </c>
      <c r="BD151" s="30">
        <f>(Inventory[[#This Row],[Unadj Total Value]]-Inventory[[#This Row],[24Final]])/Inventory[[#This Row],[24Final]]</f>
        <v>5.6689342403628121E-2</v>
      </c>
      <c r="BE151" s="30">
        <f>VLOOKUP(Inventory[[#This Row],[Nbhd]],Lookups!$M$3:$P$5,4,FALSE)</f>
        <v>0.99970000000000003</v>
      </c>
      <c r="BF151" s="30">
        <f>VLOOKUP(Inventory[[#This Row],[Qlty]],Lookups!$M$8:$P$22,4,FALSE)</f>
        <v>1.0019</v>
      </c>
      <c r="BG151" s="30">
        <f>VLOOKUP(Inventory[[#This Row],[Cnd]],Lookups!$R$8:$U$17,4,FALSE)</f>
        <v>1.0012000000000001</v>
      </c>
      <c r="BH151" s="30">
        <f>VLOOKUP(Inventory[[#This Row],[LivArea Range]],Lookups!$R$25:$U$43,4,FALSE)</f>
        <v>1.0008999999999999</v>
      </c>
      <c r="BI151" s="30">
        <f>VLOOKUP(Inventory[[#This Row],[Decade]],Lookups!$M$24:$P$40,4,FALSE)</f>
        <v>1</v>
      </c>
      <c r="BJ151" s="30">
        <f>Inventory[[#This Row],[Nbhd Adj]]*0.95</f>
        <v>0.94971499999999998</v>
      </c>
      <c r="BK151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51" s="30">
        <f>ROUND((SUM(Inventory[[#This Row],[Mdl Qlty]:[Mdl Garage Area]])+Inventory[[#This Row],[Mdl Res Intercept]])*Inventory[[#This Row],[Res Adj ]],-2)</f>
        <v>335500</v>
      </c>
      <c r="BM151" s="30">
        <f>ROUND(Inventory[[#This Row],[25Det]]*Inventory[[#This Row],[Det/Nbhd Adj]],-2)</f>
        <v>0</v>
      </c>
      <c r="BN151" s="30">
        <f>Inventory[[#This Row],[Adjusted Res]]+Inventory[[#This Row],[Adj Det ]]</f>
        <v>335500</v>
      </c>
      <c r="BO151" s="30">
        <f>ROUND((Inventory[[#This Row],[Mdl Land Intercept]]+Inventory[[#This Row],[Mdl LnAcres]])*Inventory[[#This Row],[Det/Nbhd Adj]],-2)</f>
        <v>63100</v>
      </c>
      <c r="BP151" s="30">
        <f>Inventory[[#This Row],[Adjusted Impr Total]]+Inventory[[#This Row],[Adjusted Land Total]]</f>
        <v>398600</v>
      </c>
      <c r="BQ151" s="30">
        <f>IFERROR((Inventory[[#This Row],[Adjusted Impr Total]]-Inventory[[#This Row],[24Bldg]])/Inventory[[#This Row],[24Bldg]],0)</f>
        <v>5.3940665268204973E-3</v>
      </c>
      <c r="BR151" s="43">
        <f>(Inventory[[#This Row],[Adjusted Land Total]]-Inventory[[#This Row],[24Lnd]])/Inventory[[#This Row],[24Lnd]]</f>
        <v>-1.5822784810126582E-3</v>
      </c>
      <c r="BS151" s="43">
        <f>(Inventory[[#This Row],[Adjusted Total]]-Inventory[[#This Row],[24Final]])/Inventory[[#This Row],[24Final]]</f>
        <v>4.2831947593852358E-3</v>
      </c>
    </row>
    <row r="152" spans="1:71">
      <c r="A152" s="30">
        <v>2025</v>
      </c>
      <c r="B152" s="31" t="s">
        <v>661</v>
      </c>
      <c r="C152" s="31">
        <f>LN(Inventory[[#This Row],[Acres]])</f>
        <v>-1.6607312068216509</v>
      </c>
      <c r="D152" s="37">
        <f>ROUND(Inventory[[#This Row],[Sqft]]/43560,3)</f>
        <v>0.19</v>
      </c>
      <c r="E152" s="30">
        <v>8259</v>
      </c>
      <c r="F152" s="31" t="s">
        <v>505</v>
      </c>
      <c r="G152" s="31" t="s">
        <v>155</v>
      </c>
      <c r="H152" s="31" t="s">
        <v>5</v>
      </c>
      <c r="I152" s="31" t="s">
        <v>506</v>
      </c>
      <c r="J152" s="31" t="s">
        <v>507</v>
      </c>
      <c r="K152" s="31" t="s">
        <v>157</v>
      </c>
      <c r="L152" s="31" t="s">
        <v>21</v>
      </c>
      <c r="M152" s="31" t="s">
        <v>24</v>
      </c>
      <c r="N152" s="31">
        <v>0</v>
      </c>
      <c r="O152" s="31">
        <f>2024-Inventory[[#This Row],[YrBlt]]</f>
        <v>3</v>
      </c>
      <c r="P152" s="31">
        <f>2024-Inventory[[#This Row],[EffYr]]</f>
        <v>3</v>
      </c>
      <c r="Q152" s="30">
        <v>2021</v>
      </c>
      <c r="R152" s="30">
        <v>2021</v>
      </c>
      <c r="S152" s="30">
        <v>1810</v>
      </c>
      <c r="T152" s="37"/>
      <c r="U152" s="32"/>
      <c r="V152" s="32"/>
      <c r="W152" s="32"/>
      <c r="X152" s="32">
        <f>Inventory[[#This Row],[Bsmt Area]]-Inventory[[#This Row],[FnBsmt]]</f>
        <v>0</v>
      </c>
      <c r="Y152" s="32">
        <f>Inventory[[#This Row],[MainFn]]+Inventory[[#This Row],[UpprFn]]+Inventory[[#This Row],[AddFn]]+Inventory[[#This Row],[FnBsmt]]</f>
        <v>1810</v>
      </c>
      <c r="Z152" s="32">
        <v>2000</v>
      </c>
      <c r="AA152" s="31" t="s">
        <v>56</v>
      </c>
      <c r="AB152" s="38">
        <v>1</v>
      </c>
      <c r="AC152" s="38">
        <v>426</v>
      </c>
      <c r="AD152" s="32"/>
      <c r="AE152" s="32"/>
      <c r="AF152" s="32"/>
      <c r="AG152" s="32"/>
      <c r="AH152" s="37"/>
      <c r="AI152" s="30">
        <v>405948</v>
      </c>
      <c r="AJ152" s="30">
        <v>393770</v>
      </c>
      <c r="AK152" s="30">
        <v>0</v>
      </c>
      <c r="AL152" s="30">
        <v>0</v>
      </c>
      <c r="AM152" s="30">
        <v>63200</v>
      </c>
      <c r="AN152" s="30">
        <v>344800</v>
      </c>
      <c r="AO152" s="30">
        <v>408000</v>
      </c>
      <c r="AP152" s="30">
        <f>Lookups!$B$58*0.6</f>
        <v>132535.48800000001</v>
      </c>
      <c r="AQ152" s="30">
        <f>Lookups!$B$58*0.4</f>
        <v>88356.992000000013</v>
      </c>
      <c r="AR152" s="30">
        <f>Lookups!$B$59*Inventory[[#This Row],[LnAcres]]</f>
        <v>-21795.969453044734</v>
      </c>
      <c r="AS152" s="30">
        <f>VLOOKUP(Inventory[[#This Row],[Qlty]],Lookups!$A$66:$E$79,2,FALSE)</f>
        <v>32917.849192000001</v>
      </c>
      <c r="AT152" s="30">
        <f>VLOOKUP(Inventory[[#This Row],[Cnd]],Lookups!$A$80:$E$88,2,FALSE)</f>
        <v>47371.278778200001</v>
      </c>
      <c r="AU152" s="30">
        <f>Inventory[[#This Row],[EffAge]]*Lookups!$B$65</f>
        <v>-326.22329999999999</v>
      </c>
      <c r="AV152" s="30">
        <f>Inventory[[#This Row],[MainFn]]*Lookups!$B$90</f>
        <v>112962.78780000001</v>
      </c>
      <c r="AW152" s="30">
        <f>Inventory[[#This Row],[UpprFn]]*Lookups!$B$91</f>
        <v>0</v>
      </c>
      <c r="AX152" s="30">
        <f>Inventory[[#This Row],[Bsmt Area]]*Lookups!$B$95</f>
        <v>0</v>
      </c>
      <c r="AY152" s="30">
        <f>Inventory[[#This Row],[AttGar]]*Lookups!$B$93</f>
        <v>15038.239206</v>
      </c>
      <c r="AZ152" s="30">
        <f>ROUND(Inventory[[#This Row],[25Det]],-2)</f>
        <v>0</v>
      </c>
      <c r="BA152" s="30">
        <f>ROUND(SUM(Inventory[[#This Row],[Mdl Qlty]:[Mdl Garage Area]])+Inventory[[#This Row],[Mdl Res Intercept]],-2)</f>
        <v>340500</v>
      </c>
      <c r="BB152" s="30">
        <f>ROUND(Inventory[[#This Row],[Mdl Land Intercept]]+Inventory[[#This Row],[Mdl LnAcres]],-2)</f>
        <v>66600</v>
      </c>
      <c r="BC152" s="30">
        <f>Inventory[[#This Row],[Unadj Res Value]]+Inventory[[#This Row],[Unadj Det Value]]+Inventory[[#This Row],[Unadj Land Value]]</f>
        <v>407100</v>
      </c>
      <c r="BD152" s="30">
        <f>(Inventory[[#This Row],[Unadj Total Value]]-Inventory[[#This Row],[24Final]])/Inventory[[#This Row],[24Final]]</f>
        <v>-2.2058823529411764E-3</v>
      </c>
      <c r="BE152" s="30">
        <f>VLOOKUP(Inventory[[#This Row],[Nbhd]],Lookups!$M$3:$P$5,4,FALSE)</f>
        <v>0.99970000000000003</v>
      </c>
      <c r="BF152" s="30">
        <f>VLOOKUP(Inventory[[#This Row],[Qlty]],Lookups!$M$8:$P$22,4,FALSE)</f>
        <v>1.0019</v>
      </c>
      <c r="BG152" s="30">
        <f>VLOOKUP(Inventory[[#This Row],[Cnd]],Lookups!$R$8:$U$17,4,FALSE)</f>
        <v>1.0012000000000001</v>
      </c>
      <c r="BH152" s="30">
        <f>VLOOKUP(Inventory[[#This Row],[LivArea Range]],Lookups!$R$25:$U$43,4,FALSE)</f>
        <v>1.0007999999999999</v>
      </c>
      <c r="BI152" s="30">
        <f>VLOOKUP(Inventory[[#This Row],[Decade]],Lookups!$M$24:$P$40,4,FALSE)</f>
        <v>1</v>
      </c>
      <c r="BJ152" s="30">
        <f>Inventory[[#This Row],[Nbhd Adj]]*0.95</f>
        <v>0.94971499999999998</v>
      </c>
      <c r="BK152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152" s="30">
        <f>ROUND((SUM(Inventory[[#This Row],[Mdl Qlty]:[Mdl Garage Area]])+Inventory[[#This Row],[Mdl Res Intercept]])*Inventory[[#This Row],[Res Adj ]],-2)</f>
        <v>323700</v>
      </c>
      <c r="BM152" s="30">
        <f>ROUND(Inventory[[#This Row],[25Det]]*Inventory[[#This Row],[Det/Nbhd Adj]],-2)</f>
        <v>0</v>
      </c>
      <c r="BN152" s="30">
        <f>Inventory[[#This Row],[Adjusted Res]]+Inventory[[#This Row],[Adj Det ]]</f>
        <v>323700</v>
      </c>
      <c r="BO152" s="30">
        <f>ROUND((Inventory[[#This Row],[Mdl Land Intercept]]+Inventory[[#This Row],[Mdl LnAcres]])*Inventory[[#This Row],[Det/Nbhd Adj]],-2)</f>
        <v>63200</v>
      </c>
      <c r="BP152" s="30">
        <f>Inventory[[#This Row],[Adjusted Impr Total]]+Inventory[[#This Row],[Adjusted Land Total]]</f>
        <v>386900</v>
      </c>
      <c r="BQ152" s="30">
        <f>IFERROR((Inventory[[#This Row],[Adjusted Impr Total]]-Inventory[[#This Row],[24Bldg]])/Inventory[[#This Row],[24Bldg]],0)</f>
        <v>-6.1194895591647334E-2</v>
      </c>
      <c r="BR152" s="43">
        <f>(Inventory[[#This Row],[Adjusted Land Total]]-Inventory[[#This Row],[24Lnd]])/Inventory[[#This Row],[24Lnd]]</f>
        <v>0</v>
      </c>
      <c r="BS152" s="43">
        <f>(Inventory[[#This Row],[Adjusted Total]]-Inventory[[#This Row],[24Final]])/Inventory[[#This Row],[24Final]]</f>
        <v>-5.1715686274509801E-2</v>
      </c>
    </row>
    <row r="153" spans="1:71">
      <c r="A153" s="30">
        <v>2025</v>
      </c>
      <c r="B153" s="31" t="s">
        <v>662</v>
      </c>
      <c r="C153" s="31">
        <f>LN(Inventory[[#This Row],[Acres]])</f>
        <v>-1.6554818509355071</v>
      </c>
      <c r="D153" s="37">
        <f>ROUND(Inventory[[#This Row],[Sqft]]/43560,3)</f>
        <v>0.191</v>
      </c>
      <c r="E153" s="30">
        <v>8300</v>
      </c>
      <c r="F153" s="31" t="s">
        <v>505</v>
      </c>
      <c r="G153" s="31" t="s">
        <v>155</v>
      </c>
      <c r="H153" s="31" t="s">
        <v>5</v>
      </c>
      <c r="I153" s="31" t="s">
        <v>506</v>
      </c>
      <c r="J153" s="31" t="s">
        <v>507</v>
      </c>
      <c r="K153" s="31" t="s">
        <v>157</v>
      </c>
      <c r="L153" s="31" t="s">
        <v>21</v>
      </c>
      <c r="M153" s="31" t="s">
        <v>24</v>
      </c>
      <c r="N153" s="31">
        <v>0</v>
      </c>
      <c r="O153" s="31">
        <f>2024-Inventory[[#This Row],[YrBlt]]</f>
        <v>3</v>
      </c>
      <c r="P153" s="31">
        <f>2024-Inventory[[#This Row],[EffYr]]</f>
        <v>3</v>
      </c>
      <c r="Q153" s="30">
        <v>2021</v>
      </c>
      <c r="R153" s="30">
        <v>2021</v>
      </c>
      <c r="S153" s="30">
        <v>1740</v>
      </c>
      <c r="T153" s="32"/>
      <c r="U153" s="32"/>
      <c r="V153" s="32"/>
      <c r="W153" s="32"/>
      <c r="X153" s="32">
        <f>Inventory[[#This Row],[Bsmt Area]]-Inventory[[#This Row],[FnBsmt]]</f>
        <v>0</v>
      </c>
      <c r="Y153" s="32">
        <f>Inventory[[#This Row],[MainFn]]+Inventory[[#This Row],[UpprFn]]+Inventory[[#This Row],[AddFn]]+Inventory[[#This Row],[FnBsmt]]</f>
        <v>1740</v>
      </c>
      <c r="Z153" s="32">
        <v>2000</v>
      </c>
      <c r="AA153" s="31" t="s">
        <v>56</v>
      </c>
      <c r="AB153" s="32"/>
      <c r="AC153" s="38">
        <v>450</v>
      </c>
      <c r="AD153" s="32"/>
      <c r="AE153" s="32"/>
      <c r="AF153" s="32"/>
      <c r="AG153" s="32"/>
      <c r="AH153" s="32"/>
      <c r="AI153" s="30">
        <v>374705</v>
      </c>
      <c r="AJ153" s="30">
        <v>363464</v>
      </c>
      <c r="AK153" s="30">
        <v>0</v>
      </c>
      <c r="AL153" s="30">
        <v>0</v>
      </c>
      <c r="AM153" s="30">
        <v>63200</v>
      </c>
      <c r="AN153" s="30">
        <v>323500</v>
      </c>
      <c r="AO153" s="30">
        <v>386700</v>
      </c>
      <c r="AP153" s="30">
        <f>Lookups!$B$58*0.6</f>
        <v>132535.48800000001</v>
      </c>
      <c r="AQ153" s="30">
        <f>Lookups!$B$58*0.4</f>
        <v>88356.992000000013</v>
      </c>
      <c r="AR153" s="30">
        <f>Lookups!$B$59*Inventory[[#This Row],[LnAcres]]</f>
        <v>-21727.075221351744</v>
      </c>
      <c r="AS153" s="30">
        <f>VLOOKUP(Inventory[[#This Row],[Qlty]],Lookups!$A$66:$E$79,2,FALSE)</f>
        <v>32917.849192000001</v>
      </c>
      <c r="AT153" s="30">
        <f>VLOOKUP(Inventory[[#This Row],[Cnd]],Lookups!$A$80:$E$88,2,FALSE)</f>
        <v>47371.278778200001</v>
      </c>
      <c r="AU153" s="30">
        <f>Inventory[[#This Row],[EffAge]]*Lookups!$B$65</f>
        <v>-326.22329999999999</v>
      </c>
      <c r="AV153" s="30">
        <f>Inventory[[#This Row],[MainFn]]*Lookups!$B$90</f>
        <v>108594.06120000001</v>
      </c>
      <c r="AW153" s="30">
        <f>Inventory[[#This Row],[UpprFn]]*Lookups!$B$91</f>
        <v>0</v>
      </c>
      <c r="AX153" s="30">
        <f>Inventory[[#This Row],[Bsmt Area]]*Lookups!$B$95</f>
        <v>0</v>
      </c>
      <c r="AY153" s="30">
        <f>Inventory[[#This Row],[AttGar]]*Lookups!$B$93</f>
        <v>15885.463950000001</v>
      </c>
      <c r="AZ153" s="30">
        <f>ROUND(Inventory[[#This Row],[25Det]],-2)</f>
        <v>0</v>
      </c>
      <c r="BA153" s="30">
        <f>ROUND(SUM(Inventory[[#This Row],[Mdl Qlty]:[Mdl Garage Area]])+Inventory[[#This Row],[Mdl Res Intercept]],-2)</f>
        <v>337000</v>
      </c>
      <c r="BB153" s="30">
        <f>ROUND(Inventory[[#This Row],[Mdl Land Intercept]]+Inventory[[#This Row],[Mdl LnAcres]],-2)</f>
        <v>66600</v>
      </c>
      <c r="BC153" s="30">
        <f>Inventory[[#This Row],[Unadj Res Value]]+Inventory[[#This Row],[Unadj Det Value]]+Inventory[[#This Row],[Unadj Land Value]]</f>
        <v>403600</v>
      </c>
      <c r="BD153" s="30">
        <f>(Inventory[[#This Row],[Unadj Total Value]]-Inventory[[#This Row],[24Final]])/Inventory[[#This Row],[24Final]]</f>
        <v>4.3703129040599947E-2</v>
      </c>
      <c r="BE153" s="30">
        <f>VLOOKUP(Inventory[[#This Row],[Nbhd]],Lookups!$M$3:$P$5,4,FALSE)</f>
        <v>0.99970000000000003</v>
      </c>
      <c r="BF153" s="30">
        <f>VLOOKUP(Inventory[[#This Row],[Qlty]],Lookups!$M$8:$P$22,4,FALSE)</f>
        <v>1.0019</v>
      </c>
      <c r="BG153" s="30">
        <f>VLOOKUP(Inventory[[#This Row],[Cnd]],Lookups!$R$8:$U$17,4,FALSE)</f>
        <v>1.0012000000000001</v>
      </c>
      <c r="BH153" s="30">
        <f>VLOOKUP(Inventory[[#This Row],[LivArea Range]],Lookups!$R$25:$U$43,4,FALSE)</f>
        <v>1.0007999999999999</v>
      </c>
      <c r="BI153" s="30">
        <f>VLOOKUP(Inventory[[#This Row],[Decade]],Lookups!$M$24:$P$40,4,FALSE)</f>
        <v>1</v>
      </c>
      <c r="BJ153" s="30">
        <f>Inventory[[#This Row],[Nbhd Adj]]*0.95</f>
        <v>0.94971499999999998</v>
      </c>
      <c r="BK153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153" s="30">
        <f>ROUND((SUM(Inventory[[#This Row],[Mdl Qlty]:[Mdl Garage Area]])+Inventory[[#This Row],[Mdl Res Intercept]])*Inventory[[#This Row],[Res Adj ]],-2)</f>
        <v>320400</v>
      </c>
      <c r="BM153" s="30">
        <f>ROUND(Inventory[[#This Row],[25Det]]*Inventory[[#This Row],[Det/Nbhd Adj]],-2)</f>
        <v>0</v>
      </c>
      <c r="BN153" s="30">
        <f>Inventory[[#This Row],[Adjusted Res]]+Inventory[[#This Row],[Adj Det ]]</f>
        <v>320400</v>
      </c>
      <c r="BO153" s="30">
        <f>ROUND((Inventory[[#This Row],[Mdl Land Intercept]]+Inventory[[#This Row],[Mdl LnAcres]])*Inventory[[#This Row],[Det/Nbhd Adj]],-2)</f>
        <v>63300</v>
      </c>
      <c r="BP153" s="30">
        <f>Inventory[[#This Row],[Adjusted Impr Total]]+Inventory[[#This Row],[Adjusted Land Total]]</f>
        <v>383700</v>
      </c>
      <c r="BQ153" s="30">
        <f>IFERROR((Inventory[[#This Row],[Adjusted Impr Total]]-Inventory[[#This Row],[24Bldg]])/Inventory[[#This Row],[24Bldg]],0)</f>
        <v>-9.5826893353941275E-3</v>
      </c>
      <c r="BR153" s="43">
        <f>(Inventory[[#This Row],[Adjusted Land Total]]-Inventory[[#This Row],[24Lnd]])/Inventory[[#This Row],[24Lnd]]</f>
        <v>1.5822784810126582E-3</v>
      </c>
      <c r="BS153" s="43">
        <f>(Inventory[[#This Row],[Adjusted Total]]-Inventory[[#This Row],[24Final]])/Inventory[[#This Row],[24Final]]</f>
        <v>-7.7579519006982156E-3</v>
      </c>
    </row>
    <row r="154" spans="1:71">
      <c r="A154" s="30">
        <v>2025</v>
      </c>
      <c r="B154" s="31" t="s">
        <v>663</v>
      </c>
      <c r="C154" s="31">
        <f>LN(Inventory[[#This Row],[Acres]])</f>
        <v>-1.6502599069543555</v>
      </c>
      <c r="D154" s="37">
        <f>ROUND(Inventory[[#This Row],[Sqft]]/43560,3)</f>
        <v>0.192</v>
      </c>
      <c r="E154" s="30">
        <v>8348</v>
      </c>
      <c r="F154" s="31" t="s">
        <v>505</v>
      </c>
      <c r="G154" s="31" t="s">
        <v>155</v>
      </c>
      <c r="H154" s="31" t="s">
        <v>5</v>
      </c>
      <c r="I154" s="31" t="s">
        <v>506</v>
      </c>
      <c r="J154" s="31" t="s">
        <v>507</v>
      </c>
      <c r="K154" s="31" t="s">
        <v>157</v>
      </c>
      <c r="L154" s="31" t="s">
        <v>21</v>
      </c>
      <c r="M154" s="31" t="s">
        <v>24</v>
      </c>
      <c r="N154" s="31">
        <v>0</v>
      </c>
      <c r="O154" s="31">
        <f>2024-Inventory[[#This Row],[YrBlt]]</f>
        <v>3</v>
      </c>
      <c r="P154" s="31">
        <f>2024-Inventory[[#This Row],[EffYr]]</f>
        <v>3</v>
      </c>
      <c r="Q154" s="30">
        <v>2021</v>
      </c>
      <c r="R154" s="30">
        <v>2021</v>
      </c>
      <c r="S154" s="30">
        <v>2010</v>
      </c>
      <c r="T154" s="32"/>
      <c r="U154" s="32"/>
      <c r="V154" s="32"/>
      <c r="W154" s="32"/>
      <c r="X154" s="32">
        <f>Inventory[[#This Row],[Bsmt Area]]-Inventory[[#This Row],[FnBsmt]]</f>
        <v>0</v>
      </c>
      <c r="Y154" s="32">
        <f>Inventory[[#This Row],[MainFn]]+Inventory[[#This Row],[UpprFn]]+Inventory[[#This Row],[AddFn]]+Inventory[[#This Row],[FnBsmt]]</f>
        <v>2010</v>
      </c>
      <c r="Z154" s="32">
        <v>2500</v>
      </c>
      <c r="AA154" s="31" t="s">
        <v>56</v>
      </c>
      <c r="AB154" s="32"/>
      <c r="AC154" s="38">
        <v>664</v>
      </c>
      <c r="AD154" s="32"/>
      <c r="AE154" s="32"/>
      <c r="AF154" s="32"/>
      <c r="AG154" s="32"/>
      <c r="AH154" s="32"/>
      <c r="AI154" s="30">
        <v>438739</v>
      </c>
      <c r="AJ154" s="30">
        <v>425577</v>
      </c>
      <c r="AK154" s="30">
        <v>0</v>
      </c>
      <c r="AL154" s="30">
        <v>0</v>
      </c>
      <c r="AM154" s="30">
        <v>63200</v>
      </c>
      <c r="AN154" s="30">
        <v>356900</v>
      </c>
      <c r="AO154" s="30">
        <v>420100</v>
      </c>
      <c r="AP154" s="30">
        <f>Lookups!$B$58*0.6</f>
        <v>132535.48800000001</v>
      </c>
      <c r="AQ154" s="30">
        <f>Lookups!$B$58*0.4</f>
        <v>88356.992000000013</v>
      </c>
      <c r="AR154" s="30">
        <f>Lookups!$B$59*Inventory[[#This Row],[LnAcres]]</f>
        <v>-21658.540752299094</v>
      </c>
      <c r="AS154" s="30">
        <f>VLOOKUP(Inventory[[#This Row],[Qlty]],Lookups!$A$66:$E$79,2,FALSE)</f>
        <v>32917.849192000001</v>
      </c>
      <c r="AT154" s="30">
        <f>VLOOKUP(Inventory[[#This Row],[Cnd]],Lookups!$A$80:$E$88,2,FALSE)</f>
        <v>47371.278778200001</v>
      </c>
      <c r="AU154" s="30">
        <f>Inventory[[#This Row],[EffAge]]*Lookups!$B$65</f>
        <v>-326.22329999999999</v>
      </c>
      <c r="AV154" s="30">
        <f>Inventory[[#This Row],[MainFn]]*Lookups!$B$90</f>
        <v>125444.86380000001</v>
      </c>
      <c r="AW154" s="30">
        <f>Inventory[[#This Row],[UpprFn]]*Lookups!$B$91</f>
        <v>0</v>
      </c>
      <c r="AX154" s="30">
        <f>Inventory[[#This Row],[Bsmt Area]]*Lookups!$B$95</f>
        <v>0</v>
      </c>
      <c r="AY154" s="30">
        <f>Inventory[[#This Row],[AttGar]]*Lookups!$B$93</f>
        <v>23439.884583999999</v>
      </c>
      <c r="AZ154" s="30">
        <f>ROUND(Inventory[[#This Row],[25Det]],-2)</f>
        <v>0</v>
      </c>
      <c r="BA154" s="30">
        <f>ROUND(SUM(Inventory[[#This Row],[Mdl Qlty]:[Mdl Garage Area]])+Inventory[[#This Row],[Mdl Res Intercept]],-2)</f>
        <v>361400</v>
      </c>
      <c r="BB154" s="30">
        <f>ROUND(Inventory[[#This Row],[Mdl Land Intercept]]+Inventory[[#This Row],[Mdl LnAcres]],-2)</f>
        <v>66700</v>
      </c>
      <c r="BC154" s="30">
        <f>Inventory[[#This Row],[Unadj Res Value]]+Inventory[[#This Row],[Unadj Det Value]]+Inventory[[#This Row],[Unadj Land Value]]</f>
        <v>428100</v>
      </c>
      <c r="BD154" s="30">
        <f>(Inventory[[#This Row],[Unadj Total Value]]-Inventory[[#This Row],[24Final]])/Inventory[[#This Row],[24Final]]</f>
        <v>1.9043084979766721E-2</v>
      </c>
      <c r="BE154" s="30">
        <f>VLOOKUP(Inventory[[#This Row],[Nbhd]],Lookups!$M$3:$P$5,4,FALSE)</f>
        <v>0.99970000000000003</v>
      </c>
      <c r="BF154" s="30">
        <f>VLOOKUP(Inventory[[#This Row],[Qlty]],Lookups!$M$8:$P$22,4,FALSE)</f>
        <v>1.0019</v>
      </c>
      <c r="BG154" s="30">
        <f>VLOOKUP(Inventory[[#This Row],[Cnd]],Lookups!$R$8:$U$17,4,FALSE)</f>
        <v>1.0012000000000001</v>
      </c>
      <c r="BH154" s="30">
        <f>VLOOKUP(Inventory[[#This Row],[LivArea Range]],Lookups!$R$25:$U$43,4,FALSE)</f>
        <v>1.0008999999999999</v>
      </c>
      <c r="BI154" s="30">
        <f>VLOOKUP(Inventory[[#This Row],[Decade]],Lookups!$M$24:$P$40,4,FALSE)</f>
        <v>1</v>
      </c>
      <c r="BJ154" s="30">
        <f>Inventory[[#This Row],[Nbhd Adj]]*0.95</f>
        <v>0.94971499999999998</v>
      </c>
      <c r="BK154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54" s="30">
        <f>ROUND((SUM(Inventory[[#This Row],[Mdl Qlty]:[Mdl Garage Area]])+Inventory[[#This Row],[Mdl Res Intercept]])*Inventory[[#This Row],[Res Adj ]],-2)</f>
        <v>343600</v>
      </c>
      <c r="BM154" s="30">
        <f>ROUND(Inventory[[#This Row],[25Det]]*Inventory[[#This Row],[Det/Nbhd Adj]],-2)</f>
        <v>0</v>
      </c>
      <c r="BN154" s="30">
        <f>Inventory[[#This Row],[Adjusted Res]]+Inventory[[#This Row],[Adj Det ]]</f>
        <v>343600</v>
      </c>
      <c r="BO154" s="30">
        <f>ROUND((Inventory[[#This Row],[Mdl Land Intercept]]+Inventory[[#This Row],[Mdl LnAcres]])*Inventory[[#This Row],[Det/Nbhd Adj]],-2)</f>
        <v>63300</v>
      </c>
      <c r="BP154" s="30">
        <f>Inventory[[#This Row],[Adjusted Impr Total]]+Inventory[[#This Row],[Adjusted Land Total]]</f>
        <v>406900</v>
      </c>
      <c r="BQ154" s="30">
        <f>IFERROR((Inventory[[#This Row],[Adjusted Impr Total]]-Inventory[[#This Row],[24Bldg]])/Inventory[[#This Row],[24Bldg]],0)</f>
        <v>-3.7265340431493418E-2</v>
      </c>
      <c r="BR154" s="43">
        <f>(Inventory[[#This Row],[Adjusted Land Total]]-Inventory[[#This Row],[24Lnd]])/Inventory[[#This Row],[24Lnd]]</f>
        <v>1.5822784810126582E-3</v>
      </c>
      <c r="BS154" s="43">
        <f>(Inventory[[#This Row],[Adjusted Total]]-Inventory[[#This Row],[24Final]])/Inventory[[#This Row],[24Final]]</f>
        <v>-3.1421090216615093E-2</v>
      </c>
    </row>
    <row r="155" spans="1:71">
      <c r="A155" s="30">
        <v>2025</v>
      </c>
      <c r="B155" s="31" t="s">
        <v>664</v>
      </c>
      <c r="C155" s="31">
        <f>LN(Inventory[[#This Row],[Acres]])</f>
        <v>-1.6502599069543555</v>
      </c>
      <c r="D155" s="37">
        <f>ROUND(Inventory[[#This Row],[Sqft]]/43560,3)</f>
        <v>0.192</v>
      </c>
      <c r="E155" s="30">
        <v>8366</v>
      </c>
      <c r="F155" s="31" t="s">
        <v>505</v>
      </c>
      <c r="G155" s="31" t="s">
        <v>155</v>
      </c>
      <c r="H155" s="31" t="s">
        <v>5</v>
      </c>
      <c r="I155" s="31" t="s">
        <v>506</v>
      </c>
      <c r="J155" s="31" t="s">
        <v>507</v>
      </c>
      <c r="K155" s="31" t="s">
        <v>157</v>
      </c>
      <c r="L155" s="31" t="s">
        <v>21</v>
      </c>
      <c r="M155" s="31" t="s">
        <v>24</v>
      </c>
      <c r="N155" s="31">
        <v>0</v>
      </c>
      <c r="O155" s="31">
        <f>2024-Inventory[[#This Row],[YrBlt]]</f>
        <v>3</v>
      </c>
      <c r="P155" s="31">
        <f>2024-Inventory[[#This Row],[EffYr]]</f>
        <v>3</v>
      </c>
      <c r="Q155" s="30">
        <v>2021</v>
      </c>
      <c r="R155" s="30">
        <v>2021</v>
      </c>
      <c r="S155" s="30">
        <v>2010</v>
      </c>
      <c r="T155" s="32"/>
      <c r="U155" s="32"/>
      <c r="V155" s="32"/>
      <c r="W155" s="32"/>
      <c r="X155" s="32">
        <f>Inventory[[#This Row],[Bsmt Area]]-Inventory[[#This Row],[FnBsmt]]</f>
        <v>0</v>
      </c>
      <c r="Y155" s="32">
        <f>Inventory[[#This Row],[MainFn]]+Inventory[[#This Row],[UpprFn]]+Inventory[[#This Row],[AddFn]]+Inventory[[#This Row],[FnBsmt]]</f>
        <v>2010</v>
      </c>
      <c r="Z155" s="32">
        <v>2500</v>
      </c>
      <c r="AA155" s="31" t="s">
        <v>56</v>
      </c>
      <c r="AB155" s="32"/>
      <c r="AC155" s="30">
        <v>664</v>
      </c>
      <c r="AD155" s="32"/>
      <c r="AE155" s="32"/>
      <c r="AF155" s="32"/>
      <c r="AG155" s="32"/>
      <c r="AH155" s="32"/>
      <c r="AI155" s="30">
        <v>432745</v>
      </c>
      <c r="AJ155" s="30">
        <v>419763</v>
      </c>
      <c r="AK155" s="30">
        <v>0</v>
      </c>
      <c r="AL155" s="30">
        <v>0</v>
      </c>
      <c r="AM155" s="30">
        <v>63200</v>
      </c>
      <c r="AN155" s="30">
        <v>347700</v>
      </c>
      <c r="AO155" s="30">
        <v>410900</v>
      </c>
      <c r="AP155" s="30">
        <f>Lookups!$B$58*0.6</f>
        <v>132535.48800000001</v>
      </c>
      <c r="AQ155" s="30">
        <f>Lookups!$B$58*0.4</f>
        <v>88356.992000000013</v>
      </c>
      <c r="AR155" s="30">
        <f>Lookups!$B$59*Inventory[[#This Row],[LnAcres]]</f>
        <v>-21658.540752299094</v>
      </c>
      <c r="AS155" s="30">
        <f>VLOOKUP(Inventory[[#This Row],[Qlty]],Lookups!$A$66:$E$79,2,FALSE)</f>
        <v>32917.849192000001</v>
      </c>
      <c r="AT155" s="30">
        <f>VLOOKUP(Inventory[[#This Row],[Cnd]],Lookups!$A$80:$E$88,2,FALSE)</f>
        <v>47371.278778200001</v>
      </c>
      <c r="AU155" s="30">
        <f>Inventory[[#This Row],[EffAge]]*Lookups!$B$65</f>
        <v>-326.22329999999999</v>
      </c>
      <c r="AV155" s="30">
        <f>Inventory[[#This Row],[MainFn]]*Lookups!$B$90</f>
        <v>125444.86380000001</v>
      </c>
      <c r="AW155" s="30">
        <f>Inventory[[#This Row],[UpprFn]]*Lookups!$B$91</f>
        <v>0</v>
      </c>
      <c r="AX155" s="30">
        <f>Inventory[[#This Row],[Bsmt Area]]*Lookups!$B$95</f>
        <v>0</v>
      </c>
      <c r="AY155" s="30">
        <f>Inventory[[#This Row],[AttGar]]*Lookups!$B$93</f>
        <v>23439.884583999999</v>
      </c>
      <c r="AZ155" s="30">
        <f>ROUND(Inventory[[#This Row],[25Det]],-2)</f>
        <v>0</v>
      </c>
      <c r="BA155" s="30">
        <f>ROUND(SUM(Inventory[[#This Row],[Mdl Qlty]:[Mdl Garage Area]])+Inventory[[#This Row],[Mdl Res Intercept]],-2)</f>
        <v>361400</v>
      </c>
      <c r="BB155" s="30">
        <f>ROUND(Inventory[[#This Row],[Mdl Land Intercept]]+Inventory[[#This Row],[Mdl LnAcres]],-2)</f>
        <v>66700</v>
      </c>
      <c r="BC155" s="30">
        <f>Inventory[[#This Row],[Unadj Res Value]]+Inventory[[#This Row],[Unadj Det Value]]+Inventory[[#This Row],[Unadj Land Value]]</f>
        <v>428100</v>
      </c>
      <c r="BD155" s="30">
        <f>(Inventory[[#This Row],[Unadj Total Value]]-Inventory[[#This Row],[24Final]])/Inventory[[#This Row],[24Final]]</f>
        <v>4.1859333171087858E-2</v>
      </c>
      <c r="BE155" s="30">
        <f>VLOOKUP(Inventory[[#This Row],[Nbhd]],Lookups!$M$3:$P$5,4,FALSE)</f>
        <v>0.99970000000000003</v>
      </c>
      <c r="BF155" s="30">
        <f>VLOOKUP(Inventory[[#This Row],[Qlty]],Lookups!$M$8:$P$22,4,FALSE)</f>
        <v>1.0019</v>
      </c>
      <c r="BG155" s="30">
        <f>VLOOKUP(Inventory[[#This Row],[Cnd]],Lookups!$R$8:$U$17,4,FALSE)</f>
        <v>1.0012000000000001</v>
      </c>
      <c r="BH155" s="30">
        <f>VLOOKUP(Inventory[[#This Row],[LivArea Range]],Lookups!$R$25:$U$43,4,FALSE)</f>
        <v>1.0008999999999999</v>
      </c>
      <c r="BI155" s="30">
        <f>VLOOKUP(Inventory[[#This Row],[Decade]],Lookups!$M$24:$P$40,4,FALSE)</f>
        <v>1</v>
      </c>
      <c r="BJ155" s="30">
        <f>Inventory[[#This Row],[Nbhd Adj]]*0.95</f>
        <v>0.94971499999999998</v>
      </c>
      <c r="BK155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55" s="30">
        <f>ROUND((SUM(Inventory[[#This Row],[Mdl Qlty]:[Mdl Garage Area]])+Inventory[[#This Row],[Mdl Res Intercept]])*Inventory[[#This Row],[Res Adj ]],-2)</f>
        <v>343600</v>
      </c>
      <c r="BM155" s="30">
        <f>ROUND(Inventory[[#This Row],[25Det]]*Inventory[[#This Row],[Det/Nbhd Adj]],-2)</f>
        <v>0</v>
      </c>
      <c r="BN155" s="30">
        <f>Inventory[[#This Row],[Adjusted Res]]+Inventory[[#This Row],[Adj Det ]]</f>
        <v>343600</v>
      </c>
      <c r="BO155" s="30">
        <f>ROUND((Inventory[[#This Row],[Mdl Land Intercept]]+Inventory[[#This Row],[Mdl LnAcres]])*Inventory[[#This Row],[Det/Nbhd Adj]],-2)</f>
        <v>63300</v>
      </c>
      <c r="BP155" s="30">
        <f>Inventory[[#This Row],[Adjusted Impr Total]]+Inventory[[#This Row],[Adjusted Land Total]]</f>
        <v>406900</v>
      </c>
      <c r="BQ155" s="30">
        <f>IFERROR((Inventory[[#This Row],[Adjusted Impr Total]]-Inventory[[#This Row],[24Bldg]])/Inventory[[#This Row],[24Bldg]],0)</f>
        <v>-1.179177451826287E-2</v>
      </c>
      <c r="BR155" s="43">
        <f>(Inventory[[#This Row],[Adjusted Land Total]]-Inventory[[#This Row],[24Lnd]])/Inventory[[#This Row],[24Lnd]]</f>
        <v>1.5822784810126582E-3</v>
      </c>
      <c r="BS155" s="43">
        <f>(Inventory[[#This Row],[Adjusted Total]]-Inventory[[#This Row],[24Final]])/Inventory[[#This Row],[24Final]]</f>
        <v>-9.7347286444390366E-3</v>
      </c>
    </row>
    <row r="156" spans="1:71">
      <c r="A156" s="30">
        <v>2025</v>
      </c>
      <c r="B156" s="31" t="s">
        <v>665</v>
      </c>
      <c r="C156" s="31">
        <f>LN(Inventory[[#This Row],[Acres]])</f>
        <v>-1.6502599069543555</v>
      </c>
      <c r="D156" s="37">
        <f>ROUND(Inventory[[#This Row],[Sqft]]/43560,3)</f>
        <v>0.192</v>
      </c>
      <c r="E156" s="30">
        <v>8363</v>
      </c>
      <c r="F156" s="31" t="s">
        <v>505</v>
      </c>
      <c r="G156" s="31" t="s">
        <v>155</v>
      </c>
      <c r="H156" s="31" t="s">
        <v>5</v>
      </c>
      <c r="I156" s="31" t="s">
        <v>506</v>
      </c>
      <c r="J156" s="31" t="s">
        <v>507</v>
      </c>
      <c r="K156" s="31" t="s">
        <v>157</v>
      </c>
      <c r="L156" s="31" t="s">
        <v>21</v>
      </c>
      <c r="M156" s="31" t="s">
        <v>24</v>
      </c>
      <c r="N156" s="31">
        <v>0</v>
      </c>
      <c r="O156" s="31">
        <f>2024-Inventory[[#This Row],[YrBlt]]</f>
        <v>3</v>
      </c>
      <c r="P156" s="31">
        <f>2024-Inventory[[#This Row],[EffYr]]</f>
        <v>3</v>
      </c>
      <c r="Q156" s="30">
        <v>2021</v>
      </c>
      <c r="R156" s="30">
        <v>2021</v>
      </c>
      <c r="S156" s="30">
        <v>2010</v>
      </c>
      <c r="T156" s="32"/>
      <c r="U156" s="32"/>
      <c r="V156" s="32"/>
      <c r="W156" s="32"/>
      <c r="X156" s="32">
        <f>Inventory[[#This Row],[Bsmt Area]]-Inventory[[#This Row],[FnBsmt]]</f>
        <v>0</v>
      </c>
      <c r="Y156" s="32">
        <f>Inventory[[#This Row],[MainFn]]+Inventory[[#This Row],[UpprFn]]+Inventory[[#This Row],[AddFn]]+Inventory[[#This Row],[FnBsmt]]</f>
        <v>2010</v>
      </c>
      <c r="Z156" s="32">
        <v>2500</v>
      </c>
      <c r="AA156" s="31" t="s">
        <v>56</v>
      </c>
      <c r="AB156" s="38">
        <v>1</v>
      </c>
      <c r="AC156" s="38">
        <v>424</v>
      </c>
      <c r="AD156" s="32"/>
      <c r="AE156" s="32"/>
      <c r="AF156" s="32"/>
      <c r="AG156" s="32"/>
      <c r="AH156" s="32"/>
      <c r="AI156" s="30">
        <v>426736</v>
      </c>
      <c r="AJ156" s="30">
        <v>413934</v>
      </c>
      <c r="AK156" s="30">
        <v>0</v>
      </c>
      <c r="AL156" s="30">
        <v>0</v>
      </c>
      <c r="AM156" s="30">
        <v>63200</v>
      </c>
      <c r="AN156" s="30">
        <v>337400</v>
      </c>
      <c r="AO156" s="30">
        <v>400600</v>
      </c>
      <c r="AP156" s="30">
        <f>Lookups!$B$58*0.6</f>
        <v>132535.48800000001</v>
      </c>
      <c r="AQ156" s="30">
        <f>Lookups!$B$58*0.4</f>
        <v>88356.992000000013</v>
      </c>
      <c r="AR156" s="30">
        <f>Lookups!$B$59*Inventory[[#This Row],[LnAcres]]</f>
        <v>-21658.540752299094</v>
      </c>
      <c r="AS156" s="30">
        <f>VLOOKUP(Inventory[[#This Row],[Qlty]],Lookups!$A$66:$E$79,2,FALSE)</f>
        <v>32917.849192000001</v>
      </c>
      <c r="AT156" s="30">
        <f>VLOOKUP(Inventory[[#This Row],[Cnd]],Lookups!$A$80:$E$88,2,FALSE)</f>
        <v>47371.278778200001</v>
      </c>
      <c r="AU156" s="30">
        <f>Inventory[[#This Row],[EffAge]]*Lookups!$B$65</f>
        <v>-326.22329999999999</v>
      </c>
      <c r="AV156" s="30">
        <f>Inventory[[#This Row],[MainFn]]*Lookups!$B$90</f>
        <v>125444.86380000001</v>
      </c>
      <c r="AW156" s="30">
        <f>Inventory[[#This Row],[UpprFn]]*Lookups!$B$91</f>
        <v>0</v>
      </c>
      <c r="AX156" s="30">
        <f>Inventory[[#This Row],[Bsmt Area]]*Lookups!$B$95</f>
        <v>0</v>
      </c>
      <c r="AY156" s="30">
        <f>Inventory[[#This Row],[AttGar]]*Lookups!$B$93</f>
        <v>14967.637144</v>
      </c>
      <c r="AZ156" s="30">
        <f>ROUND(Inventory[[#This Row],[25Det]],-2)</f>
        <v>0</v>
      </c>
      <c r="BA156" s="30">
        <f>ROUND(SUM(Inventory[[#This Row],[Mdl Qlty]:[Mdl Garage Area]])+Inventory[[#This Row],[Mdl Res Intercept]],-2)</f>
        <v>352900</v>
      </c>
      <c r="BB156" s="30">
        <f>ROUND(Inventory[[#This Row],[Mdl Land Intercept]]+Inventory[[#This Row],[Mdl LnAcres]],-2)</f>
        <v>66700</v>
      </c>
      <c r="BC156" s="30">
        <f>Inventory[[#This Row],[Unadj Res Value]]+Inventory[[#This Row],[Unadj Det Value]]+Inventory[[#This Row],[Unadj Land Value]]</f>
        <v>419600</v>
      </c>
      <c r="BD156" s="30">
        <f>(Inventory[[#This Row],[Unadj Total Value]]-Inventory[[#This Row],[24Final]])/Inventory[[#This Row],[24Final]]</f>
        <v>4.7428856714927609E-2</v>
      </c>
      <c r="BE156" s="30">
        <f>VLOOKUP(Inventory[[#This Row],[Nbhd]],Lookups!$M$3:$P$5,4,FALSE)</f>
        <v>0.99970000000000003</v>
      </c>
      <c r="BF156" s="30">
        <f>VLOOKUP(Inventory[[#This Row],[Qlty]],Lookups!$M$8:$P$22,4,FALSE)</f>
        <v>1.0019</v>
      </c>
      <c r="BG156" s="30">
        <f>VLOOKUP(Inventory[[#This Row],[Cnd]],Lookups!$R$8:$U$17,4,FALSE)</f>
        <v>1.0012000000000001</v>
      </c>
      <c r="BH156" s="30">
        <f>VLOOKUP(Inventory[[#This Row],[LivArea Range]],Lookups!$R$25:$U$43,4,FALSE)</f>
        <v>1.0008999999999999</v>
      </c>
      <c r="BI156" s="30">
        <f>VLOOKUP(Inventory[[#This Row],[Decade]],Lookups!$M$24:$P$40,4,FALSE)</f>
        <v>1</v>
      </c>
      <c r="BJ156" s="30">
        <f>Inventory[[#This Row],[Nbhd Adj]]*0.95</f>
        <v>0.94971499999999998</v>
      </c>
      <c r="BK156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56" s="30">
        <f>ROUND((SUM(Inventory[[#This Row],[Mdl Qlty]:[Mdl Garage Area]])+Inventory[[#This Row],[Mdl Res Intercept]])*Inventory[[#This Row],[Res Adj ]],-2)</f>
        <v>335500</v>
      </c>
      <c r="BM156" s="30">
        <f>ROUND(Inventory[[#This Row],[25Det]]*Inventory[[#This Row],[Det/Nbhd Adj]],-2)</f>
        <v>0</v>
      </c>
      <c r="BN156" s="30">
        <f>Inventory[[#This Row],[Adjusted Res]]+Inventory[[#This Row],[Adj Det ]]</f>
        <v>335500</v>
      </c>
      <c r="BO156" s="30">
        <f>ROUND((Inventory[[#This Row],[Mdl Land Intercept]]+Inventory[[#This Row],[Mdl LnAcres]])*Inventory[[#This Row],[Det/Nbhd Adj]],-2)</f>
        <v>63300</v>
      </c>
      <c r="BP156" s="30">
        <f>Inventory[[#This Row],[Adjusted Impr Total]]+Inventory[[#This Row],[Adjusted Land Total]]</f>
        <v>398800</v>
      </c>
      <c r="BQ156" s="30">
        <f>IFERROR((Inventory[[#This Row],[Adjusted Impr Total]]-Inventory[[#This Row],[24Bldg]])/Inventory[[#This Row],[24Bldg]],0)</f>
        <v>-5.6312981624184943E-3</v>
      </c>
      <c r="BR156" s="43">
        <f>(Inventory[[#This Row],[Adjusted Land Total]]-Inventory[[#This Row],[24Lnd]])/Inventory[[#This Row],[24Lnd]]</f>
        <v>1.5822784810126582E-3</v>
      </c>
      <c r="BS156" s="43">
        <f>(Inventory[[#This Row],[Adjusted Total]]-Inventory[[#This Row],[24Final]])/Inventory[[#This Row],[24Final]]</f>
        <v>-4.4932601098352475E-3</v>
      </c>
    </row>
    <row r="157" spans="1:71">
      <c r="A157" s="30">
        <v>2025</v>
      </c>
      <c r="B157" s="31" t="s">
        <v>666</v>
      </c>
      <c r="C157" s="31">
        <f>LN(Inventory[[#This Row],[Acres]])</f>
        <v>-1.6450650900772514</v>
      </c>
      <c r="D157" s="37">
        <f>ROUND(Inventory[[#This Row],[Sqft]]/43560,3)</f>
        <v>0.193</v>
      </c>
      <c r="E157" s="30">
        <v>8428</v>
      </c>
      <c r="F157" s="31" t="s">
        <v>505</v>
      </c>
      <c r="G157" s="31" t="s">
        <v>155</v>
      </c>
      <c r="H157" s="31" t="s">
        <v>5</v>
      </c>
      <c r="I157" s="31" t="s">
        <v>506</v>
      </c>
      <c r="J157" s="31" t="s">
        <v>507</v>
      </c>
      <c r="K157" s="31" t="s">
        <v>157</v>
      </c>
      <c r="L157" s="31" t="s">
        <v>21</v>
      </c>
      <c r="M157" s="31" t="s">
        <v>24</v>
      </c>
      <c r="N157" s="31">
        <v>0</v>
      </c>
      <c r="O157" s="31">
        <f>2024-Inventory[[#This Row],[YrBlt]]</f>
        <v>3</v>
      </c>
      <c r="P157" s="31">
        <f>2024-Inventory[[#This Row],[EffYr]]</f>
        <v>3</v>
      </c>
      <c r="Q157" s="30">
        <v>2021</v>
      </c>
      <c r="R157" s="30">
        <v>2021</v>
      </c>
      <c r="S157" s="30">
        <v>2010</v>
      </c>
      <c r="T157" s="32"/>
      <c r="U157" s="37"/>
      <c r="V157" s="32"/>
      <c r="W157" s="32"/>
      <c r="X157" s="32">
        <f>Inventory[[#This Row],[Bsmt Area]]-Inventory[[#This Row],[FnBsmt]]</f>
        <v>0</v>
      </c>
      <c r="Y157" s="32">
        <f>Inventory[[#This Row],[MainFn]]+Inventory[[#This Row],[UpprFn]]+Inventory[[#This Row],[AddFn]]+Inventory[[#This Row],[FnBsmt]]</f>
        <v>2010</v>
      </c>
      <c r="Z157" s="32">
        <v>2500</v>
      </c>
      <c r="AA157" s="31" t="s">
        <v>56</v>
      </c>
      <c r="AB157" s="32"/>
      <c r="AC157" s="38">
        <v>424</v>
      </c>
      <c r="AD157" s="32"/>
      <c r="AE157" s="32"/>
      <c r="AF157" s="32"/>
      <c r="AG157" s="32"/>
      <c r="AH157" s="32"/>
      <c r="AI157" s="30">
        <v>422416</v>
      </c>
      <c r="AJ157" s="30">
        <v>409744</v>
      </c>
      <c r="AK157" s="30">
        <v>0</v>
      </c>
      <c r="AL157" s="30">
        <v>0</v>
      </c>
      <c r="AM157" s="30">
        <v>63200</v>
      </c>
      <c r="AN157" s="30">
        <v>337400</v>
      </c>
      <c r="AO157" s="30">
        <v>400600</v>
      </c>
      <c r="AP157" s="30">
        <f>Lookups!$B$58*0.6</f>
        <v>132535.48800000001</v>
      </c>
      <c r="AQ157" s="30">
        <f>Lookups!$B$58*0.4</f>
        <v>88356.992000000013</v>
      </c>
      <c r="AR157" s="30">
        <f>Lookups!$B$59*Inventory[[#This Row],[LnAcres]]</f>
        <v>-21590.362308067761</v>
      </c>
      <c r="AS157" s="30">
        <f>VLOOKUP(Inventory[[#This Row],[Qlty]],Lookups!$A$66:$E$79,2,FALSE)</f>
        <v>32917.849192000001</v>
      </c>
      <c r="AT157" s="30">
        <f>VLOOKUP(Inventory[[#This Row],[Cnd]],Lookups!$A$80:$E$88,2,FALSE)</f>
        <v>47371.278778200001</v>
      </c>
      <c r="AU157" s="30">
        <f>Inventory[[#This Row],[EffAge]]*Lookups!$B$65</f>
        <v>-326.22329999999999</v>
      </c>
      <c r="AV157" s="30">
        <f>Inventory[[#This Row],[MainFn]]*Lookups!$B$90</f>
        <v>125444.86380000001</v>
      </c>
      <c r="AW157" s="30">
        <f>Inventory[[#This Row],[UpprFn]]*Lookups!$B$91</f>
        <v>0</v>
      </c>
      <c r="AX157" s="30">
        <f>Inventory[[#This Row],[Bsmt Area]]*Lookups!$B$95</f>
        <v>0</v>
      </c>
      <c r="AY157" s="30">
        <f>Inventory[[#This Row],[AttGar]]*Lookups!$B$93</f>
        <v>14967.637144</v>
      </c>
      <c r="AZ157" s="30">
        <f>ROUND(Inventory[[#This Row],[25Det]],-2)</f>
        <v>0</v>
      </c>
      <c r="BA157" s="30">
        <f>ROUND(SUM(Inventory[[#This Row],[Mdl Qlty]:[Mdl Garage Area]])+Inventory[[#This Row],[Mdl Res Intercept]],-2)</f>
        <v>352900</v>
      </c>
      <c r="BB157" s="30">
        <f>ROUND(Inventory[[#This Row],[Mdl Land Intercept]]+Inventory[[#This Row],[Mdl LnAcres]],-2)</f>
        <v>66800</v>
      </c>
      <c r="BC157" s="30">
        <f>Inventory[[#This Row],[Unadj Res Value]]+Inventory[[#This Row],[Unadj Det Value]]+Inventory[[#This Row],[Unadj Land Value]]</f>
        <v>419700</v>
      </c>
      <c r="BD157" s="30">
        <f>(Inventory[[#This Row],[Unadj Total Value]]-Inventory[[#This Row],[24Final]])/Inventory[[#This Row],[24Final]]</f>
        <v>4.7678482276585124E-2</v>
      </c>
      <c r="BE157" s="30">
        <f>VLOOKUP(Inventory[[#This Row],[Nbhd]],Lookups!$M$3:$P$5,4,FALSE)</f>
        <v>0.99970000000000003</v>
      </c>
      <c r="BF157" s="30">
        <f>VLOOKUP(Inventory[[#This Row],[Qlty]],Lookups!$M$8:$P$22,4,FALSE)</f>
        <v>1.0019</v>
      </c>
      <c r="BG157" s="30">
        <f>VLOOKUP(Inventory[[#This Row],[Cnd]],Lookups!$R$8:$U$17,4,FALSE)</f>
        <v>1.0012000000000001</v>
      </c>
      <c r="BH157" s="30">
        <f>VLOOKUP(Inventory[[#This Row],[LivArea Range]],Lookups!$R$25:$U$43,4,FALSE)</f>
        <v>1.0008999999999999</v>
      </c>
      <c r="BI157" s="30">
        <f>VLOOKUP(Inventory[[#This Row],[Decade]],Lookups!$M$24:$P$40,4,FALSE)</f>
        <v>1</v>
      </c>
      <c r="BJ157" s="30">
        <f>Inventory[[#This Row],[Nbhd Adj]]*0.95</f>
        <v>0.94971499999999998</v>
      </c>
      <c r="BK157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57" s="30">
        <f>ROUND((SUM(Inventory[[#This Row],[Mdl Qlty]:[Mdl Garage Area]])+Inventory[[#This Row],[Mdl Res Intercept]])*Inventory[[#This Row],[Res Adj ]],-2)</f>
        <v>335500</v>
      </c>
      <c r="BM157" s="30">
        <f>ROUND(Inventory[[#This Row],[25Det]]*Inventory[[#This Row],[Det/Nbhd Adj]],-2)</f>
        <v>0</v>
      </c>
      <c r="BN157" s="30">
        <f>Inventory[[#This Row],[Adjusted Res]]+Inventory[[#This Row],[Adj Det ]]</f>
        <v>335500</v>
      </c>
      <c r="BO157" s="30">
        <f>ROUND((Inventory[[#This Row],[Mdl Land Intercept]]+Inventory[[#This Row],[Mdl LnAcres]])*Inventory[[#This Row],[Det/Nbhd Adj]],-2)</f>
        <v>63400</v>
      </c>
      <c r="BP157" s="30">
        <f>Inventory[[#This Row],[Adjusted Impr Total]]+Inventory[[#This Row],[Adjusted Land Total]]</f>
        <v>398900</v>
      </c>
      <c r="BQ157" s="30">
        <f>IFERROR((Inventory[[#This Row],[Adjusted Impr Total]]-Inventory[[#This Row],[24Bldg]])/Inventory[[#This Row],[24Bldg]],0)</f>
        <v>-5.6312981624184943E-3</v>
      </c>
      <c r="BR157" s="43">
        <f>(Inventory[[#This Row],[Adjusted Land Total]]-Inventory[[#This Row],[24Lnd]])/Inventory[[#This Row],[24Lnd]]</f>
        <v>3.1645569620253164E-3</v>
      </c>
      <c r="BS157" s="43">
        <f>(Inventory[[#This Row],[Adjusted Total]]-Inventory[[#This Row],[24Final]])/Inventory[[#This Row],[24Final]]</f>
        <v>-4.2436345481777337E-3</v>
      </c>
    </row>
    <row r="158" spans="1:71">
      <c r="A158" s="30">
        <v>2025</v>
      </c>
      <c r="B158" s="31" t="s">
        <v>667</v>
      </c>
      <c r="C158" s="31">
        <f>LN(Inventory[[#This Row],[Acres]])</f>
        <v>-1.6347557204183902</v>
      </c>
      <c r="D158" s="37">
        <f>ROUND(Inventory[[#This Row],[Sqft]]/43560,3)</f>
        <v>0.19500000000000001</v>
      </c>
      <c r="E158" s="38">
        <v>8505</v>
      </c>
      <c r="F158" s="31" t="s">
        <v>505</v>
      </c>
      <c r="G158" s="31" t="s">
        <v>155</v>
      </c>
      <c r="H158" s="31" t="s">
        <v>5</v>
      </c>
      <c r="I158" s="31" t="s">
        <v>506</v>
      </c>
      <c r="J158" s="31" t="s">
        <v>507</v>
      </c>
      <c r="K158" s="31" t="s">
        <v>157</v>
      </c>
      <c r="L158" s="31" t="s">
        <v>21</v>
      </c>
      <c r="M158" s="31" t="s">
        <v>24</v>
      </c>
      <c r="N158" s="31">
        <v>0</v>
      </c>
      <c r="O158" s="31">
        <f>2024-Inventory[[#This Row],[YrBlt]]</f>
        <v>3</v>
      </c>
      <c r="P158" s="31">
        <f>2024-Inventory[[#This Row],[EffYr]]</f>
        <v>3</v>
      </c>
      <c r="Q158" s="30">
        <v>2021</v>
      </c>
      <c r="R158" s="30">
        <v>2021</v>
      </c>
      <c r="S158" s="30">
        <v>1650</v>
      </c>
      <c r="T158" s="38">
        <v>1346</v>
      </c>
      <c r="U158" s="32"/>
      <c r="V158" s="32"/>
      <c r="W158" s="32"/>
      <c r="X158" s="32">
        <f>Inventory[[#This Row],[Bsmt Area]]-Inventory[[#This Row],[FnBsmt]]</f>
        <v>0</v>
      </c>
      <c r="Y158" s="32">
        <f>Inventory[[#This Row],[MainFn]]+Inventory[[#This Row],[UpprFn]]+Inventory[[#This Row],[AddFn]]+Inventory[[#This Row],[FnBsmt]]</f>
        <v>2996</v>
      </c>
      <c r="Z158" s="32">
        <v>3000</v>
      </c>
      <c r="AA158" s="31" t="s">
        <v>57</v>
      </c>
      <c r="AB158" s="32"/>
      <c r="AC158" s="38">
        <v>660</v>
      </c>
      <c r="AD158" s="32"/>
      <c r="AE158" s="32"/>
      <c r="AF158" s="32"/>
      <c r="AG158" s="32"/>
      <c r="AH158" s="32"/>
      <c r="AI158" s="30">
        <v>577170</v>
      </c>
      <c r="AJ158" s="30">
        <v>559855</v>
      </c>
      <c r="AK158" s="30">
        <v>0</v>
      </c>
      <c r="AL158" s="30">
        <v>0</v>
      </c>
      <c r="AM158" s="30">
        <v>64000</v>
      </c>
      <c r="AN158" s="30">
        <v>419500</v>
      </c>
      <c r="AO158" s="30">
        <v>483500</v>
      </c>
      <c r="AP158" s="30">
        <f>Lookups!$B$58*0.6</f>
        <v>132535.48800000001</v>
      </c>
      <c r="AQ158" s="30">
        <f>Lookups!$B$58*0.4</f>
        <v>88356.992000000013</v>
      </c>
      <c r="AR158" s="30">
        <f>Lookups!$B$59*Inventory[[#This Row],[LnAcres]]</f>
        <v>-21455.058831357208</v>
      </c>
      <c r="AS158" s="30">
        <f>VLOOKUP(Inventory[[#This Row],[Qlty]],Lookups!$A$66:$E$79,2,FALSE)</f>
        <v>32917.849192000001</v>
      </c>
      <c r="AT158" s="30">
        <f>VLOOKUP(Inventory[[#This Row],[Cnd]],Lookups!$A$80:$E$88,2,FALSE)</f>
        <v>47371.278778200001</v>
      </c>
      <c r="AU158" s="30">
        <f>Inventory[[#This Row],[EffAge]]*Lookups!$B$65</f>
        <v>-326.22329999999999</v>
      </c>
      <c r="AV158" s="30">
        <f>Inventory[[#This Row],[MainFn]]*Lookups!$B$90</f>
        <v>102977.12700000001</v>
      </c>
      <c r="AW158" s="30">
        <f>Inventory[[#This Row],[UpprFn]]*Lookups!$B$91</f>
        <v>80195.195517999993</v>
      </c>
      <c r="AX158" s="30">
        <f>Inventory[[#This Row],[Bsmt Area]]*Lookups!$B$95</f>
        <v>0</v>
      </c>
      <c r="AY158" s="30">
        <f>Inventory[[#This Row],[AttGar]]*Lookups!$B$93</f>
        <v>23298.68046</v>
      </c>
      <c r="AZ158" s="30">
        <f>ROUND(Inventory[[#This Row],[25Det]],-2)</f>
        <v>0</v>
      </c>
      <c r="BA158" s="30">
        <f>ROUND(SUM(Inventory[[#This Row],[Mdl Qlty]:[Mdl Garage Area]])+Inventory[[#This Row],[Mdl Res Intercept]],-2)</f>
        <v>419000</v>
      </c>
      <c r="BB158" s="30">
        <f>ROUND(Inventory[[#This Row],[Mdl Land Intercept]]+Inventory[[#This Row],[Mdl LnAcres]],-2)</f>
        <v>66900</v>
      </c>
      <c r="BC158" s="30">
        <f>Inventory[[#This Row],[Unadj Res Value]]+Inventory[[#This Row],[Unadj Det Value]]+Inventory[[#This Row],[Unadj Land Value]]</f>
        <v>485900</v>
      </c>
      <c r="BD158" s="30">
        <f>(Inventory[[#This Row],[Unadj Total Value]]-Inventory[[#This Row],[24Final]])/Inventory[[#This Row],[24Final]]</f>
        <v>4.9638055842812822E-3</v>
      </c>
      <c r="BE158" s="30">
        <f>VLOOKUP(Inventory[[#This Row],[Nbhd]],Lookups!$M$3:$P$5,4,FALSE)</f>
        <v>0.99970000000000003</v>
      </c>
      <c r="BF158" s="30">
        <f>VLOOKUP(Inventory[[#This Row],[Qlty]],Lookups!$M$8:$P$22,4,FALSE)</f>
        <v>1.0019</v>
      </c>
      <c r="BG158" s="30">
        <f>VLOOKUP(Inventory[[#This Row],[Cnd]],Lookups!$R$8:$U$17,4,FALSE)</f>
        <v>1.0012000000000001</v>
      </c>
      <c r="BH158" s="30">
        <f>VLOOKUP(Inventory[[#This Row],[LivArea Range]],Lookups!$R$25:$U$43,4,FALSE)</f>
        <v>1.0099</v>
      </c>
      <c r="BI158" s="30">
        <f>VLOOKUP(Inventory[[#This Row],[Decade]],Lookups!$M$24:$P$40,4,FALSE)</f>
        <v>1</v>
      </c>
      <c r="BJ158" s="30">
        <f>Inventory[[#This Row],[Nbhd Adj]]*0.95</f>
        <v>0.94971499999999998</v>
      </c>
      <c r="BK158" s="30">
        <f>AVERAGE(Inventory[[#This Row],[Nbhd Adj]],Inventory[[#This Row],[Quality Adj]],Inventory[[#This Row],[Condition Adj]],Inventory[[#This Row],[Living Area Adj]],Inventory[[#This Row],[Decade Adj]])*0.95</f>
        <v>0.95241299999999995</v>
      </c>
      <c r="BL158" s="30">
        <f>ROUND((SUM(Inventory[[#This Row],[Mdl Qlty]:[Mdl Garage Area]])+Inventory[[#This Row],[Mdl Res Intercept]])*Inventory[[#This Row],[Res Adj ]],-2)</f>
        <v>399000</v>
      </c>
      <c r="BM158" s="30">
        <f>ROUND(Inventory[[#This Row],[25Det]]*Inventory[[#This Row],[Det/Nbhd Adj]],-2)</f>
        <v>0</v>
      </c>
      <c r="BN158" s="30">
        <f>Inventory[[#This Row],[Adjusted Res]]+Inventory[[#This Row],[Adj Det ]]</f>
        <v>399000</v>
      </c>
      <c r="BO158" s="30">
        <f>ROUND((Inventory[[#This Row],[Mdl Land Intercept]]+Inventory[[#This Row],[Mdl LnAcres]])*Inventory[[#This Row],[Det/Nbhd Adj]],-2)</f>
        <v>63500</v>
      </c>
      <c r="BP158" s="30">
        <f>Inventory[[#This Row],[Adjusted Impr Total]]+Inventory[[#This Row],[Adjusted Land Total]]</f>
        <v>462500</v>
      </c>
      <c r="BQ158" s="30">
        <f>IFERROR((Inventory[[#This Row],[Adjusted Impr Total]]-Inventory[[#This Row],[24Bldg]])/Inventory[[#This Row],[24Bldg]],0)</f>
        <v>-4.8867699642431463E-2</v>
      </c>
      <c r="BR158" s="43">
        <f>(Inventory[[#This Row],[Adjusted Land Total]]-Inventory[[#This Row],[24Lnd]])/Inventory[[#This Row],[24Lnd]]</f>
        <v>-7.8125E-3</v>
      </c>
      <c r="BS158" s="43">
        <f>(Inventory[[#This Row],[Adjusted Total]]-Inventory[[#This Row],[24Final]])/Inventory[[#This Row],[24Final]]</f>
        <v>-4.3433298862461223E-2</v>
      </c>
    </row>
    <row r="159" spans="1:71">
      <c r="A159" s="30">
        <v>2025</v>
      </c>
      <c r="B159" s="31" t="s">
        <v>668</v>
      </c>
      <c r="C159" s="31">
        <f>LN(Inventory[[#This Row],[Acres]])</f>
        <v>-1.6347557204183902</v>
      </c>
      <c r="D159" s="37">
        <f>ROUND(Inventory[[#This Row],[Sqft]]/43560,3)</f>
        <v>0.19500000000000001</v>
      </c>
      <c r="E159" s="30">
        <v>8515</v>
      </c>
      <c r="F159" s="31" t="s">
        <v>505</v>
      </c>
      <c r="G159" s="31" t="s">
        <v>155</v>
      </c>
      <c r="H159" s="31" t="s">
        <v>5</v>
      </c>
      <c r="I159" s="31" t="s">
        <v>506</v>
      </c>
      <c r="J159" s="31" t="s">
        <v>507</v>
      </c>
      <c r="K159" s="31" t="s">
        <v>157</v>
      </c>
      <c r="L159" s="31" t="s">
        <v>21</v>
      </c>
      <c r="M159" s="31" t="s">
        <v>24</v>
      </c>
      <c r="N159" s="31">
        <v>0</v>
      </c>
      <c r="O159" s="31">
        <f>2024-Inventory[[#This Row],[YrBlt]]</f>
        <v>3</v>
      </c>
      <c r="P159" s="31">
        <f>2024-Inventory[[#This Row],[EffYr]]</f>
        <v>3</v>
      </c>
      <c r="Q159" s="30">
        <v>2021</v>
      </c>
      <c r="R159" s="30">
        <v>2021</v>
      </c>
      <c r="S159" s="30">
        <v>2040</v>
      </c>
      <c r="T159" s="32"/>
      <c r="U159" s="37"/>
      <c r="V159" s="32"/>
      <c r="W159" s="32"/>
      <c r="X159" s="32">
        <f>Inventory[[#This Row],[Bsmt Area]]-Inventory[[#This Row],[FnBsmt]]</f>
        <v>0</v>
      </c>
      <c r="Y159" s="32">
        <f>Inventory[[#This Row],[MainFn]]+Inventory[[#This Row],[UpprFn]]+Inventory[[#This Row],[AddFn]]+Inventory[[#This Row],[FnBsmt]]</f>
        <v>2040</v>
      </c>
      <c r="Z159" s="32">
        <v>2500</v>
      </c>
      <c r="AA159" s="31" t="s">
        <v>56</v>
      </c>
      <c r="AB159" s="38">
        <v>1</v>
      </c>
      <c r="AC159" s="38">
        <v>655</v>
      </c>
      <c r="AD159" s="32"/>
      <c r="AE159" s="32"/>
      <c r="AF159" s="32"/>
      <c r="AG159" s="32"/>
      <c r="AH159" s="32"/>
      <c r="AI159" s="30">
        <v>451091</v>
      </c>
      <c r="AJ159" s="30">
        <v>437558</v>
      </c>
      <c r="AK159" s="30">
        <v>0</v>
      </c>
      <c r="AL159" s="30">
        <v>0</v>
      </c>
      <c r="AM159" s="30">
        <v>64000</v>
      </c>
      <c r="AN159" s="30">
        <v>362700</v>
      </c>
      <c r="AO159" s="30">
        <v>426700</v>
      </c>
      <c r="AP159" s="30">
        <f>Lookups!$B$58*0.6</f>
        <v>132535.48800000001</v>
      </c>
      <c r="AQ159" s="30">
        <f>Lookups!$B$58*0.4</f>
        <v>88356.992000000013</v>
      </c>
      <c r="AR159" s="30">
        <f>Lookups!$B$59*Inventory[[#This Row],[LnAcres]]</f>
        <v>-21455.058831357208</v>
      </c>
      <c r="AS159" s="30">
        <f>VLOOKUP(Inventory[[#This Row],[Qlty]],Lookups!$A$66:$E$79,2,FALSE)</f>
        <v>32917.849192000001</v>
      </c>
      <c r="AT159" s="30">
        <f>VLOOKUP(Inventory[[#This Row],[Cnd]],Lookups!$A$80:$E$88,2,FALSE)</f>
        <v>47371.278778200001</v>
      </c>
      <c r="AU159" s="30">
        <f>Inventory[[#This Row],[EffAge]]*Lookups!$B$65</f>
        <v>-326.22329999999999</v>
      </c>
      <c r="AV159" s="30">
        <f>Inventory[[#This Row],[MainFn]]*Lookups!$B$90</f>
        <v>127317.17520000001</v>
      </c>
      <c r="AW159" s="30">
        <f>Inventory[[#This Row],[UpprFn]]*Lookups!$B$91</f>
        <v>0</v>
      </c>
      <c r="AX159" s="30">
        <f>Inventory[[#This Row],[Bsmt Area]]*Lookups!$B$95</f>
        <v>0</v>
      </c>
      <c r="AY159" s="30">
        <f>Inventory[[#This Row],[AttGar]]*Lookups!$B$93</f>
        <v>23122.175305000001</v>
      </c>
      <c r="AZ159" s="30">
        <f>ROUND(Inventory[[#This Row],[25Det]],-2)</f>
        <v>0</v>
      </c>
      <c r="BA159" s="30">
        <f>ROUND(SUM(Inventory[[#This Row],[Mdl Qlty]:[Mdl Garage Area]])+Inventory[[#This Row],[Mdl Res Intercept]],-2)</f>
        <v>362900</v>
      </c>
      <c r="BB159" s="30">
        <f>ROUND(Inventory[[#This Row],[Mdl Land Intercept]]+Inventory[[#This Row],[Mdl LnAcres]],-2)</f>
        <v>66900</v>
      </c>
      <c r="BC159" s="30">
        <f>Inventory[[#This Row],[Unadj Res Value]]+Inventory[[#This Row],[Unadj Det Value]]+Inventory[[#This Row],[Unadj Land Value]]</f>
        <v>429800</v>
      </c>
      <c r="BD159" s="30">
        <f>(Inventory[[#This Row],[Unadj Total Value]]-Inventory[[#This Row],[24Final]])/Inventory[[#This Row],[24Final]]</f>
        <v>7.2650574173892665E-3</v>
      </c>
      <c r="BE159" s="30">
        <f>VLOOKUP(Inventory[[#This Row],[Nbhd]],Lookups!$M$3:$P$5,4,FALSE)</f>
        <v>0.99970000000000003</v>
      </c>
      <c r="BF159" s="30">
        <f>VLOOKUP(Inventory[[#This Row],[Qlty]],Lookups!$M$8:$P$22,4,FALSE)</f>
        <v>1.0019</v>
      </c>
      <c r="BG159" s="30">
        <f>VLOOKUP(Inventory[[#This Row],[Cnd]],Lookups!$R$8:$U$17,4,FALSE)</f>
        <v>1.0012000000000001</v>
      </c>
      <c r="BH159" s="30">
        <f>VLOOKUP(Inventory[[#This Row],[LivArea Range]],Lookups!$R$25:$U$43,4,FALSE)</f>
        <v>1.0008999999999999</v>
      </c>
      <c r="BI159" s="30">
        <f>VLOOKUP(Inventory[[#This Row],[Decade]],Lookups!$M$24:$P$40,4,FALSE)</f>
        <v>1</v>
      </c>
      <c r="BJ159" s="30">
        <f>Inventory[[#This Row],[Nbhd Adj]]*0.95</f>
        <v>0.94971499999999998</v>
      </c>
      <c r="BK159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59" s="30">
        <f>ROUND((SUM(Inventory[[#This Row],[Mdl Qlty]:[Mdl Garage Area]])+Inventory[[#This Row],[Mdl Res Intercept]])*Inventory[[#This Row],[Res Adj ]],-2)</f>
        <v>345000</v>
      </c>
      <c r="BM159" s="30">
        <f>ROUND(Inventory[[#This Row],[25Det]]*Inventory[[#This Row],[Det/Nbhd Adj]],-2)</f>
        <v>0</v>
      </c>
      <c r="BN159" s="30">
        <f>Inventory[[#This Row],[Adjusted Res]]+Inventory[[#This Row],[Adj Det ]]</f>
        <v>345000</v>
      </c>
      <c r="BO159" s="30">
        <f>ROUND((Inventory[[#This Row],[Mdl Land Intercept]]+Inventory[[#This Row],[Mdl LnAcres]])*Inventory[[#This Row],[Det/Nbhd Adj]],-2)</f>
        <v>63500</v>
      </c>
      <c r="BP159" s="30">
        <f>Inventory[[#This Row],[Adjusted Impr Total]]+Inventory[[#This Row],[Adjusted Land Total]]</f>
        <v>408500</v>
      </c>
      <c r="BQ159" s="30">
        <f>IFERROR((Inventory[[#This Row],[Adjusted Impr Total]]-Inventory[[#This Row],[24Bldg]])/Inventory[[#This Row],[24Bldg]],0)</f>
        <v>-4.8800661703887513E-2</v>
      </c>
      <c r="BR159" s="43">
        <f>(Inventory[[#This Row],[Adjusted Land Total]]-Inventory[[#This Row],[24Lnd]])/Inventory[[#This Row],[24Lnd]]</f>
        <v>-7.8125E-3</v>
      </c>
      <c r="BS159" s="43">
        <f>(Inventory[[#This Row],[Adjusted Total]]-Inventory[[#This Row],[24Final]])/Inventory[[#This Row],[24Final]]</f>
        <v>-4.2652917740801502E-2</v>
      </c>
    </row>
    <row r="160" spans="1:71">
      <c r="A160" s="30">
        <v>2025</v>
      </c>
      <c r="B160" s="31" t="s">
        <v>669</v>
      </c>
      <c r="C160" s="31">
        <f>LN(Inventory[[#This Row],[Acres]])</f>
        <v>-1.6044503709230613</v>
      </c>
      <c r="D160" s="37">
        <f>ROUND(Inventory[[#This Row],[Sqft]]/43560,3)</f>
        <v>0.20100000000000001</v>
      </c>
      <c r="E160" s="38">
        <v>8744</v>
      </c>
      <c r="F160" s="31" t="s">
        <v>505</v>
      </c>
      <c r="G160" s="31" t="s">
        <v>155</v>
      </c>
      <c r="H160" s="31" t="s">
        <v>5</v>
      </c>
      <c r="I160" s="31" t="s">
        <v>506</v>
      </c>
      <c r="J160" s="31" t="s">
        <v>507</v>
      </c>
      <c r="K160" s="31" t="s">
        <v>157</v>
      </c>
      <c r="L160" s="31" t="s">
        <v>21</v>
      </c>
      <c r="M160" s="31" t="s">
        <v>24</v>
      </c>
      <c r="N160" s="31">
        <v>0</v>
      </c>
      <c r="O160" s="31">
        <f>2024-Inventory[[#This Row],[YrBlt]]</f>
        <v>3</v>
      </c>
      <c r="P160" s="31">
        <f>2024-Inventory[[#This Row],[EffYr]]</f>
        <v>3</v>
      </c>
      <c r="Q160" s="30">
        <v>2021</v>
      </c>
      <c r="R160" s="30">
        <v>2021</v>
      </c>
      <c r="S160" s="30">
        <v>2010</v>
      </c>
      <c r="T160" s="32"/>
      <c r="U160" s="37"/>
      <c r="V160" s="32"/>
      <c r="W160" s="37"/>
      <c r="X160" s="37">
        <f>Inventory[[#This Row],[Bsmt Area]]-Inventory[[#This Row],[FnBsmt]]</f>
        <v>0</v>
      </c>
      <c r="Y160" s="37">
        <f>Inventory[[#This Row],[MainFn]]+Inventory[[#This Row],[UpprFn]]+Inventory[[#This Row],[AddFn]]+Inventory[[#This Row],[FnBsmt]]</f>
        <v>2010</v>
      </c>
      <c r="Z160" s="32">
        <v>2500</v>
      </c>
      <c r="AA160" s="31" t="s">
        <v>57</v>
      </c>
      <c r="AB160" s="38">
        <v>1</v>
      </c>
      <c r="AC160" s="38">
        <v>664</v>
      </c>
      <c r="AD160" s="32"/>
      <c r="AE160" s="32"/>
      <c r="AF160" s="32"/>
      <c r="AG160" s="32"/>
      <c r="AH160" s="32"/>
      <c r="AI160" s="30">
        <v>437065</v>
      </c>
      <c r="AJ160" s="30">
        <v>423953</v>
      </c>
      <c r="AK160" s="30">
        <v>0</v>
      </c>
      <c r="AL160" s="30">
        <v>0</v>
      </c>
      <c r="AM160" s="30">
        <v>64000</v>
      </c>
      <c r="AN160" s="30">
        <v>347700</v>
      </c>
      <c r="AO160" s="30">
        <v>411700</v>
      </c>
      <c r="AP160" s="30">
        <f>Lookups!$B$58*0.6</f>
        <v>132535.48800000001</v>
      </c>
      <c r="AQ160" s="30">
        <f>Lookups!$B$58*0.4</f>
        <v>88356.992000000013</v>
      </c>
      <c r="AR160" s="30">
        <f>Lookups!$B$59*Inventory[[#This Row],[LnAcres]]</f>
        <v>-21057.321696563322</v>
      </c>
      <c r="AS160" s="30">
        <f>VLOOKUP(Inventory[[#This Row],[Qlty]],Lookups!$A$66:$E$79,2,FALSE)</f>
        <v>32917.849192000001</v>
      </c>
      <c r="AT160" s="30">
        <f>VLOOKUP(Inventory[[#This Row],[Cnd]],Lookups!$A$80:$E$88,2,FALSE)</f>
        <v>47371.278778200001</v>
      </c>
      <c r="AU160" s="30">
        <f>Inventory[[#This Row],[EffAge]]*Lookups!$B$65</f>
        <v>-326.22329999999999</v>
      </c>
      <c r="AV160" s="30">
        <f>Inventory[[#This Row],[MainFn]]*Lookups!$B$90</f>
        <v>125444.86380000001</v>
      </c>
      <c r="AW160" s="30">
        <f>Inventory[[#This Row],[UpprFn]]*Lookups!$B$91</f>
        <v>0</v>
      </c>
      <c r="AX160" s="30">
        <f>Inventory[[#This Row],[Bsmt Area]]*Lookups!$B$95</f>
        <v>0</v>
      </c>
      <c r="AY160" s="30">
        <f>Inventory[[#This Row],[AttGar]]*Lookups!$B$93</f>
        <v>23439.884583999999</v>
      </c>
      <c r="AZ160" s="30">
        <f>ROUND(Inventory[[#This Row],[25Det]],-2)</f>
        <v>0</v>
      </c>
      <c r="BA160" s="30">
        <f>ROUND(SUM(Inventory[[#This Row],[Mdl Qlty]:[Mdl Garage Area]])+Inventory[[#This Row],[Mdl Res Intercept]],-2)</f>
        <v>361400</v>
      </c>
      <c r="BB160" s="30">
        <f>ROUND(Inventory[[#This Row],[Mdl Land Intercept]]+Inventory[[#This Row],[Mdl LnAcres]],-2)</f>
        <v>67300</v>
      </c>
      <c r="BC160" s="30">
        <f>Inventory[[#This Row],[Unadj Res Value]]+Inventory[[#This Row],[Unadj Det Value]]+Inventory[[#This Row],[Unadj Land Value]]</f>
        <v>428700</v>
      </c>
      <c r="BD160" s="30">
        <f>(Inventory[[#This Row],[Unadj Total Value]]-Inventory[[#This Row],[24Final]])/Inventory[[#This Row],[24Final]]</f>
        <v>4.1292203060480932E-2</v>
      </c>
      <c r="BE160" s="30">
        <f>VLOOKUP(Inventory[[#This Row],[Nbhd]],Lookups!$M$3:$P$5,4,FALSE)</f>
        <v>0.99970000000000003</v>
      </c>
      <c r="BF160" s="30">
        <f>VLOOKUP(Inventory[[#This Row],[Qlty]],Lookups!$M$8:$P$22,4,FALSE)</f>
        <v>1.0019</v>
      </c>
      <c r="BG160" s="30">
        <f>VLOOKUP(Inventory[[#This Row],[Cnd]],Lookups!$R$8:$U$17,4,FALSE)</f>
        <v>1.0012000000000001</v>
      </c>
      <c r="BH160" s="30">
        <f>VLOOKUP(Inventory[[#This Row],[LivArea Range]],Lookups!$R$25:$U$43,4,FALSE)</f>
        <v>1.0008999999999999</v>
      </c>
      <c r="BI160" s="30">
        <f>VLOOKUP(Inventory[[#This Row],[Decade]],Lookups!$M$24:$P$40,4,FALSE)</f>
        <v>1</v>
      </c>
      <c r="BJ160" s="30">
        <f>Inventory[[#This Row],[Nbhd Adj]]*0.95</f>
        <v>0.94971499999999998</v>
      </c>
      <c r="BK160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60" s="30">
        <f>ROUND((SUM(Inventory[[#This Row],[Mdl Qlty]:[Mdl Garage Area]])+Inventory[[#This Row],[Mdl Res Intercept]])*Inventory[[#This Row],[Res Adj ]],-2)</f>
        <v>343600</v>
      </c>
      <c r="BM160" s="30">
        <f>ROUND(Inventory[[#This Row],[25Det]]*Inventory[[#This Row],[Det/Nbhd Adj]],-2)</f>
        <v>0</v>
      </c>
      <c r="BN160" s="30">
        <f>Inventory[[#This Row],[Adjusted Res]]+Inventory[[#This Row],[Adj Det ]]</f>
        <v>343600</v>
      </c>
      <c r="BO160" s="30">
        <f>ROUND((Inventory[[#This Row],[Mdl Land Intercept]]+Inventory[[#This Row],[Mdl LnAcres]])*Inventory[[#This Row],[Det/Nbhd Adj]],-2)</f>
        <v>63900</v>
      </c>
      <c r="BP160" s="30">
        <f>Inventory[[#This Row],[Adjusted Impr Total]]+Inventory[[#This Row],[Adjusted Land Total]]</f>
        <v>407500</v>
      </c>
      <c r="BQ160" s="30">
        <f>IFERROR((Inventory[[#This Row],[Adjusted Impr Total]]-Inventory[[#This Row],[24Bldg]])/Inventory[[#This Row],[24Bldg]],0)</f>
        <v>-1.179177451826287E-2</v>
      </c>
      <c r="BR160" s="43">
        <f>(Inventory[[#This Row],[Adjusted Land Total]]-Inventory[[#This Row],[24Lnd]])/Inventory[[#This Row],[24Lnd]]</f>
        <v>-1.5625000000000001E-3</v>
      </c>
      <c r="BS160" s="43">
        <f>(Inventory[[#This Row],[Adjusted Total]]-Inventory[[#This Row],[24Final]])/Inventory[[#This Row],[24Final]]</f>
        <v>-1.0201603109059995E-2</v>
      </c>
    </row>
    <row r="161" spans="1:71">
      <c r="A161" s="30">
        <v>2025</v>
      </c>
      <c r="B161" s="31" t="s">
        <v>670</v>
      </c>
      <c r="C161" s="31">
        <f>LN(Inventory[[#This Row],[Acres]])</f>
        <v>-1.5994875815809322</v>
      </c>
      <c r="D161" s="37">
        <f>ROUND(Inventory[[#This Row],[Sqft]]/43560,3)</f>
        <v>0.20200000000000001</v>
      </c>
      <c r="E161" s="30">
        <v>8817</v>
      </c>
      <c r="F161" s="31" t="s">
        <v>505</v>
      </c>
      <c r="G161" s="31" t="s">
        <v>155</v>
      </c>
      <c r="H161" s="31" t="s">
        <v>5</v>
      </c>
      <c r="I161" s="31" t="s">
        <v>506</v>
      </c>
      <c r="J161" s="31" t="s">
        <v>507</v>
      </c>
      <c r="K161" s="31" t="s">
        <v>157</v>
      </c>
      <c r="L161" s="31" t="s">
        <v>21</v>
      </c>
      <c r="M161" s="31" t="s">
        <v>24</v>
      </c>
      <c r="N161" s="31">
        <v>0</v>
      </c>
      <c r="O161" s="31">
        <f>2024-Inventory[[#This Row],[YrBlt]]</f>
        <v>3</v>
      </c>
      <c r="P161" s="31">
        <f>2024-Inventory[[#This Row],[EffYr]]</f>
        <v>3</v>
      </c>
      <c r="Q161" s="30">
        <v>2021</v>
      </c>
      <c r="R161" s="30">
        <v>2021</v>
      </c>
      <c r="S161" s="30">
        <v>1073</v>
      </c>
      <c r="T161" s="38">
        <v>1331</v>
      </c>
      <c r="U161" s="32"/>
      <c r="V161" s="32"/>
      <c r="W161" s="32"/>
      <c r="X161" s="32">
        <f>Inventory[[#This Row],[Bsmt Area]]-Inventory[[#This Row],[FnBsmt]]</f>
        <v>0</v>
      </c>
      <c r="Y161" s="32">
        <f>Inventory[[#This Row],[MainFn]]+Inventory[[#This Row],[UpprFn]]+Inventory[[#This Row],[AddFn]]+Inventory[[#This Row],[FnBsmt]]</f>
        <v>2404</v>
      </c>
      <c r="Z161" s="32">
        <v>2500</v>
      </c>
      <c r="AA161" s="31" t="s">
        <v>56</v>
      </c>
      <c r="AB161" s="32"/>
      <c r="AC161" s="37"/>
      <c r="AD161" s="38">
        <v>707</v>
      </c>
      <c r="AE161" s="32"/>
      <c r="AF161" s="32"/>
      <c r="AG161" s="32"/>
      <c r="AH161" s="32"/>
      <c r="AI161" s="30">
        <v>481946</v>
      </c>
      <c r="AJ161" s="30">
        <v>467488</v>
      </c>
      <c r="AK161" s="30">
        <v>0</v>
      </c>
      <c r="AL161" s="30">
        <v>0</v>
      </c>
      <c r="AM161" s="30">
        <v>64000</v>
      </c>
      <c r="AN161" s="30">
        <v>379000</v>
      </c>
      <c r="AO161" s="30">
        <v>443000</v>
      </c>
      <c r="AP161" s="30">
        <f>Lookups!$B$58*0.6</f>
        <v>132535.48800000001</v>
      </c>
      <c r="AQ161" s="30">
        <f>Lookups!$B$58*0.4</f>
        <v>88356.992000000013</v>
      </c>
      <c r="AR161" s="30">
        <f>Lookups!$B$59*Inventory[[#This Row],[LnAcres]]</f>
        <v>-20992.188456181841</v>
      </c>
      <c r="AS161" s="30">
        <f>VLOOKUP(Inventory[[#This Row],[Qlty]],Lookups!$A$66:$E$79,2,FALSE)</f>
        <v>32917.849192000001</v>
      </c>
      <c r="AT161" s="30">
        <f>VLOOKUP(Inventory[[#This Row],[Cnd]],Lookups!$A$80:$E$88,2,FALSE)</f>
        <v>47371.278778200001</v>
      </c>
      <c r="AU161" s="30">
        <f>Inventory[[#This Row],[EffAge]]*Lookups!$B$65</f>
        <v>-326.22329999999999</v>
      </c>
      <c r="AV161" s="30">
        <f>Inventory[[#This Row],[MainFn]]*Lookups!$B$90</f>
        <v>66966.337740000003</v>
      </c>
      <c r="AW161" s="30">
        <f>Inventory[[#This Row],[UpprFn]]*Lookups!$B$91</f>
        <v>79301.489772999994</v>
      </c>
      <c r="AX161" s="30">
        <f>Inventory[[#This Row],[Bsmt Area]]*Lookups!$B$95</f>
        <v>0</v>
      </c>
      <c r="AY161" s="30">
        <f>Inventory[[#This Row],[AttGar]]*Lookups!$B$93</f>
        <v>0</v>
      </c>
      <c r="AZ161" s="30">
        <f>ROUND(Inventory[[#This Row],[25Det]],-2)</f>
        <v>0</v>
      </c>
      <c r="BA161" s="30">
        <f>ROUND(SUM(Inventory[[#This Row],[Mdl Qlty]:[Mdl Garage Area]])+Inventory[[#This Row],[Mdl Res Intercept]],-2)</f>
        <v>358800</v>
      </c>
      <c r="BB161" s="30">
        <f>ROUND(Inventory[[#This Row],[Mdl Land Intercept]]+Inventory[[#This Row],[Mdl LnAcres]],-2)</f>
        <v>67400</v>
      </c>
      <c r="BC161" s="30">
        <f>Inventory[[#This Row],[Unadj Res Value]]+Inventory[[#This Row],[Unadj Det Value]]+Inventory[[#This Row],[Unadj Land Value]]</f>
        <v>426200</v>
      </c>
      <c r="BD161" s="30">
        <f>(Inventory[[#This Row],[Unadj Total Value]]-Inventory[[#This Row],[24Final]])/Inventory[[#This Row],[24Final]]</f>
        <v>-3.7923250564334085E-2</v>
      </c>
      <c r="BE161" s="30">
        <f>VLOOKUP(Inventory[[#This Row],[Nbhd]],Lookups!$M$3:$P$5,4,FALSE)</f>
        <v>0.99970000000000003</v>
      </c>
      <c r="BF161" s="30">
        <f>VLOOKUP(Inventory[[#This Row],[Qlty]],Lookups!$M$8:$P$22,4,FALSE)</f>
        <v>1.0019</v>
      </c>
      <c r="BG161" s="30">
        <f>VLOOKUP(Inventory[[#This Row],[Cnd]],Lookups!$R$8:$U$17,4,FALSE)</f>
        <v>1.0012000000000001</v>
      </c>
      <c r="BH161" s="30">
        <f>VLOOKUP(Inventory[[#This Row],[LivArea Range]],Lookups!$R$25:$U$43,4,FALSE)</f>
        <v>1.0008999999999999</v>
      </c>
      <c r="BI161" s="30">
        <f>VLOOKUP(Inventory[[#This Row],[Decade]],Lookups!$M$24:$P$40,4,FALSE)</f>
        <v>1</v>
      </c>
      <c r="BJ161" s="30">
        <f>Inventory[[#This Row],[Nbhd Adj]]*0.95</f>
        <v>0.94971499999999998</v>
      </c>
      <c r="BK161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61" s="30">
        <f>ROUND((SUM(Inventory[[#This Row],[Mdl Qlty]:[Mdl Garage Area]])+Inventory[[#This Row],[Mdl Res Intercept]])*Inventory[[#This Row],[Res Adj ]],-2)</f>
        <v>341100</v>
      </c>
      <c r="BM161" s="30">
        <f>ROUND(Inventory[[#This Row],[25Det]]*Inventory[[#This Row],[Det/Nbhd Adj]],-2)</f>
        <v>0</v>
      </c>
      <c r="BN161" s="30">
        <f>Inventory[[#This Row],[Adjusted Res]]+Inventory[[#This Row],[Adj Det ]]</f>
        <v>341100</v>
      </c>
      <c r="BO161" s="30">
        <f>ROUND((Inventory[[#This Row],[Mdl Land Intercept]]+Inventory[[#This Row],[Mdl LnAcres]])*Inventory[[#This Row],[Det/Nbhd Adj]],-2)</f>
        <v>64000</v>
      </c>
      <c r="BP161" s="30">
        <f>Inventory[[#This Row],[Adjusted Impr Total]]+Inventory[[#This Row],[Adjusted Land Total]]</f>
        <v>405100</v>
      </c>
      <c r="BQ161" s="30">
        <f>IFERROR((Inventory[[#This Row],[Adjusted Impr Total]]-Inventory[[#This Row],[24Bldg]])/Inventory[[#This Row],[24Bldg]],0)</f>
        <v>-0.1</v>
      </c>
      <c r="BR161" s="43">
        <f>(Inventory[[#This Row],[Adjusted Land Total]]-Inventory[[#This Row],[24Lnd]])/Inventory[[#This Row],[24Lnd]]</f>
        <v>0</v>
      </c>
      <c r="BS161" s="43">
        <f>(Inventory[[#This Row],[Adjusted Total]]-Inventory[[#This Row],[24Final]])/Inventory[[#This Row],[24Final]]</f>
        <v>-8.5553047404063207E-2</v>
      </c>
    </row>
    <row r="162" spans="1:71">
      <c r="A162" s="30">
        <v>2025</v>
      </c>
      <c r="B162" s="31" t="s">
        <v>671</v>
      </c>
      <c r="C162" s="31">
        <f>LN(Inventory[[#This Row],[Acres]])</f>
        <v>-1.5371172508544744</v>
      </c>
      <c r="D162" s="37">
        <f>ROUND(Inventory[[#This Row],[Sqft]]/43560,3)</f>
        <v>0.215</v>
      </c>
      <c r="E162" s="30">
        <v>9386</v>
      </c>
      <c r="F162" s="31" t="s">
        <v>505</v>
      </c>
      <c r="G162" s="31" t="s">
        <v>155</v>
      </c>
      <c r="H162" s="31" t="s">
        <v>5</v>
      </c>
      <c r="I162" s="31" t="s">
        <v>506</v>
      </c>
      <c r="J162" s="31" t="s">
        <v>507</v>
      </c>
      <c r="K162" s="31" t="s">
        <v>157</v>
      </c>
      <c r="L162" s="31" t="s">
        <v>21</v>
      </c>
      <c r="M162" s="31" t="s">
        <v>24</v>
      </c>
      <c r="N162" s="31">
        <v>0</v>
      </c>
      <c r="O162" s="31">
        <f>2024-Inventory[[#This Row],[YrBlt]]</f>
        <v>3</v>
      </c>
      <c r="P162" s="31">
        <f>2024-Inventory[[#This Row],[EffYr]]</f>
        <v>3</v>
      </c>
      <c r="Q162" s="30">
        <v>2021</v>
      </c>
      <c r="R162" s="30">
        <v>2021</v>
      </c>
      <c r="S162" s="30">
        <v>2026</v>
      </c>
      <c r="T162" s="32"/>
      <c r="U162" s="32"/>
      <c r="V162" s="32"/>
      <c r="W162" s="32"/>
      <c r="X162" s="32">
        <f>Inventory[[#This Row],[Bsmt Area]]-Inventory[[#This Row],[FnBsmt]]</f>
        <v>0</v>
      </c>
      <c r="Y162" s="32">
        <f>Inventory[[#This Row],[MainFn]]+Inventory[[#This Row],[UpprFn]]+Inventory[[#This Row],[AddFn]]+Inventory[[#This Row],[FnBsmt]]</f>
        <v>2026</v>
      </c>
      <c r="Z162" s="32">
        <v>2500</v>
      </c>
      <c r="AA162" s="31" t="s">
        <v>57</v>
      </c>
      <c r="AB162" s="38">
        <v>1</v>
      </c>
      <c r="AC162" s="38">
        <v>664</v>
      </c>
      <c r="AD162" s="32"/>
      <c r="AE162" s="32"/>
      <c r="AF162" s="32"/>
      <c r="AG162" s="32"/>
      <c r="AH162" s="32"/>
      <c r="AI162" s="30">
        <v>440455</v>
      </c>
      <c r="AJ162" s="30">
        <v>427241</v>
      </c>
      <c r="AK162" s="30">
        <v>0</v>
      </c>
      <c r="AL162" s="30">
        <v>0</v>
      </c>
      <c r="AM162" s="30">
        <v>65300</v>
      </c>
      <c r="AN162" s="30">
        <v>349000</v>
      </c>
      <c r="AO162" s="30">
        <v>414300</v>
      </c>
      <c r="AP162" s="30">
        <f>Lookups!$B$58*0.6</f>
        <v>132535.48800000001</v>
      </c>
      <c r="AQ162" s="30">
        <f>Lookups!$B$58*0.4</f>
        <v>88356.992000000013</v>
      </c>
      <c r="AR162" s="30">
        <f>Lookups!$B$59*Inventory[[#This Row],[LnAcres]]</f>
        <v>-20173.620214851646</v>
      </c>
      <c r="AS162" s="30">
        <f>VLOOKUP(Inventory[[#This Row],[Qlty]],Lookups!$A$66:$E$79,2,FALSE)</f>
        <v>32917.849192000001</v>
      </c>
      <c r="AT162" s="30">
        <f>VLOOKUP(Inventory[[#This Row],[Cnd]],Lookups!$A$80:$E$88,2,FALSE)</f>
        <v>47371.278778200001</v>
      </c>
      <c r="AU162" s="30">
        <f>Inventory[[#This Row],[EffAge]]*Lookups!$B$65</f>
        <v>-326.22329999999999</v>
      </c>
      <c r="AV162" s="30">
        <f>Inventory[[#This Row],[MainFn]]*Lookups!$B$90</f>
        <v>126443.42988000001</v>
      </c>
      <c r="AW162" s="30">
        <f>Inventory[[#This Row],[UpprFn]]*Lookups!$B$91</f>
        <v>0</v>
      </c>
      <c r="AX162" s="30">
        <f>Inventory[[#This Row],[Bsmt Area]]*Lookups!$B$95</f>
        <v>0</v>
      </c>
      <c r="AY162" s="30">
        <f>Inventory[[#This Row],[AttGar]]*Lookups!$B$93</f>
        <v>23439.884583999999</v>
      </c>
      <c r="AZ162" s="30">
        <f>ROUND(Inventory[[#This Row],[25Det]],-2)</f>
        <v>0</v>
      </c>
      <c r="BA162" s="30">
        <f>ROUND(SUM(Inventory[[#This Row],[Mdl Qlty]:[Mdl Garage Area]])+Inventory[[#This Row],[Mdl Res Intercept]],-2)</f>
        <v>362400</v>
      </c>
      <c r="BB162" s="30">
        <f>ROUND(Inventory[[#This Row],[Mdl Land Intercept]]+Inventory[[#This Row],[Mdl LnAcres]],-2)</f>
        <v>68200</v>
      </c>
      <c r="BC162" s="30">
        <f>Inventory[[#This Row],[Unadj Res Value]]+Inventory[[#This Row],[Unadj Det Value]]+Inventory[[#This Row],[Unadj Land Value]]</f>
        <v>430600</v>
      </c>
      <c r="BD162" s="30">
        <f>(Inventory[[#This Row],[Unadj Total Value]]-Inventory[[#This Row],[24Final]])/Inventory[[#This Row],[24Final]]</f>
        <v>3.9343470914796043E-2</v>
      </c>
      <c r="BE162" s="30">
        <f>VLOOKUP(Inventory[[#This Row],[Nbhd]],Lookups!$M$3:$P$5,4,FALSE)</f>
        <v>0.99970000000000003</v>
      </c>
      <c r="BF162" s="30">
        <f>VLOOKUP(Inventory[[#This Row],[Qlty]],Lookups!$M$8:$P$22,4,FALSE)</f>
        <v>1.0019</v>
      </c>
      <c r="BG162" s="30">
        <f>VLOOKUP(Inventory[[#This Row],[Cnd]],Lookups!$R$8:$U$17,4,FALSE)</f>
        <v>1.0012000000000001</v>
      </c>
      <c r="BH162" s="30">
        <f>VLOOKUP(Inventory[[#This Row],[LivArea Range]],Lookups!$R$25:$U$43,4,FALSE)</f>
        <v>1.0008999999999999</v>
      </c>
      <c r="BI162" s="30">
        <f>VLOOKUP(Inventory[[#This Row],[Decade]],Lookups!$M$24:$P$40,4,FALSE)</f>
        <v>1</v>
      </c>
      <c r="BJ162" s="30">
        <f>Inventory[[#This Row],[Nbhd Adj]]*0.95</f>
        <v>0.94971499999999998</v>
      </c>
      <c r="BK162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62" s="30">
        <f>ROUND((SUM(Inventory[[#This Row],[Mdl Qlty]:[Mdl Garage Area]])+Inventory[[#This Row],[Mdl Res Intercept]])*Inventory[[#This Row],[Res Adj ]],-2)</f>
        <v>344500</v>
      </c>
      <c r="BM162" s="30">
        <f>ROUND(Inventory[[#This Row],[25Det]]*Inventory[[#This Row],[Det/Nbhd Adj]],-2)</f>
        <v>0</v>
      </c>
      <c r="BN162" s="30">
        <f>Inventory[[#This Row],[Adjusted Res]]+Inventory[[#This Row],[Adj Det ]]</f>
        <v>344500</v>
      </c>
      <c r="BO162" s="30">
        <f>ROUND((Inventory[[#This Row],[Mdl Land Intercept]]+Inventory[[#This Row],[Mdl LnAcres]])*Inventory[[#This Row],[Det/Nbhd Adj]],-2)</f>
        <v>64800</v>
      </c>
      <c r="BP162" s="30">
        <f>Inventory[[#This Row],[Adjusted Impr Total]]+Inventory[[#This Row],[Adjusted Land Total]]</f>
        <v>409300</v>
      </c>
      <c r="BQ162" s="30">
        <f>IFERROR((Inventory[[#This Row],[Adjusted Impr Total]]-Inventory[[#This Row],[24Bldg]])/Inventory[[#This Row],[24Bldg]],0)</f>
        <v>-1.2893982808022923E-2</v>
      </c>
      <c r="BR162" s="43">
        <f>(Inventory[[#This Row],[Adjusted Land Total]]-Inventory[[#This Row],[24Lnd]])/Inventory[[#This Row],[24Lnd]]</f>
        <v>-7.656967840735069E-3</v>
      </c>
      <c r="BS162" s="43">
        <f>(Inventory[[#This Row],[Adjusted Total]]-Inventory[[#This Row],[24Final]])/Inventory[[#This Row],[24Final]]</f>
        <v>-1.2068549360366883E-2</v>
      </c>
    </row>
    <row r="163" spans="1:71">
      <c r="A163" s="30">
        <v>2025</v>
      </c>
      <c r="B163" s="31" t="s">
        <v>672</v>
      </c>
      <c r="C163" s="31">
        <f>LN(Inventory[[#This Row],[Acres]])</f>
        <v>-1.5186835491656363</v>
      </c>
      <c r="D163" s="37">
        <f>ROUND(Inventory[[#This Row],[Sqft]]/43560,3)</f>
        <v>0.219</v>
      </c>
      <c r="E163" s="30">
        <v>9558</v>
      </c>
      <c r="F163" s="31" t="s">
        <v>505</v>
      </c>
      <c r="G163" s="31" t="s">
        <v>155</v>
      </c>
      <c r="H163" s="31" t="s">
        <v>5</v>
      </c>
      <c r="I163" s="31" t="s">
        <v>506</v>
      </c>
      <c r="J163" s="31" t="s">
        <v>507</v>
      </c>
      <c r="K163" s="31" t="s">
        <v>157</v>
      </c>
      <c r="L163" s="31" t="s">
        <v>21</v>
      </c>
      <c r="M163" s="31" t="s">
        <v>24</v>
      </c>
      <c r="N163" s="31">
        <v>0</v>
      </c>
      <c r="O163" s="31">
        <f>2024-Inventory[[#This Row],[YrBlt]]</f>
        <v>3</v>
      </c>
      <c r="P163" s="31">
        <f>2024-Inventory[[#This Row],[EffYr]]</f>
        <v>3</v>
      </c>
      <c r="Q163" s="30">
        <v>2021</v>
      </c>
      <c r="R163" s="30">
        <v>2021</v>
      </c>
      <c r="S163" s="30">
        <v>1740</v>
      </c>
      <c r="T163" s="32"/>
      <c r="U163" s="32"/>
      <c r="V163" s="32"/>
      <c r="W163" s="32"/>
      <c r="X163" s="32">
        <f>Inventory[[#This Row],[Bsmt Area]]-Inventory[[#This Row],[FnBsmt]]</f>
        <v>0</v>
      </c>
      <c r="Y163" s="32">
        <f>Inventory[[#This Row],[MainFn]]+Inventory[[#This Row],[UpprFn]]+Inventory[[#This Row],[AddFn]]+Inventory[[#This Row],[FnBsmt]]</f>
        <v>1740</v>
      </c>
      <c r="Z163" s="32">
        <v>2000</v>
      </c>
      <c r="AA163" s="31" t="s">
        <v>56</v>
      </c>
      <c r="AB163" s="32"/>
      <c r="AC163" s="38">
        <v>450</v>
      </c>
      <c r="AD163" s="32"/>
      <c r="AE163" s="32"/>
      <c r="AF163" s="32"/>
      <c r="AG163" s="32"/>
      <c r="AH163" s="32"/>
      <c r="AI163" s="30">
        <v>374705</v>
      </c>
      <c r="AJ163" s="30">
        <v>363464</v>
      </c>
      <c r="AK163" s="30">
        <v>0</v>
      </c>
      <c r="AL163" s="30">
        <v>0</v>
      </c>
      <c r="AM163" s="30">
        <v>65300</v>
      </c>
      <c r="AN163" s="30">
        <v>323500</v>
      </c>
      <c r="AO163" s="30">
        <v>388800</v>
      </c>
      <c r="AP163" s="30">
        <f>Lookups!$B$58*0.6</f>
        <v>132535.48800000001</v>
      </c>
      <c r="AQ163" s="30">
        <f>Lookups!$B$58*0.4</f>
        <v>88356.992000000013</v>
      </c>
      <c r="AR163" s="30">
        <f>Lookups!$B$59*Inventory[[#This Row],[LnAcres]]</f>
        <v>-19931.690396669092</v>
      </c>
      <c r="AS163" s="30">
        <f>VLOOKUP(Inventory[[#This Row],[Qlty]],Lookups!$A$66:$E$79,2,FALSE)</f>
        <v>32917.849192000001</v>
      </c>
      <c r="AT163" s="30">
        <f>VLOOKUP(Inventory[[#This Row],[Cnd]],Lookups!$A$80:$E$88,2,FALSE)</f>
        <v>47371.278778200001</v>
      </c>
      <c r="AU163" s="30">
        <f>Inventory[[#This Row],[EffAge]]*Lookups!$B$65</f>
        <v>-326.22329999999999</v>
      </c>
      <c r="AV163" s="30">
        <f>Inventory[[#This Row],[MainFn]]*Lookups!$B$90</f>
        <v>108594.06120000001</v>
      </c>
      <c r="AW163" s="30">
        <f>Inventory[[#This Row],[UpprFn]]*Lookups!$B$91</f>
        <v>0</v>
      </c>
      <c r="AX163" s="30">
        <f>Inventory[[#This Row],[Bsmt Area]]*Lookups!$B$95</f>
        <v>0</v>
      </c>
      <c r="AY163" s="30">
        <f>Inventory[[#This Row],[AttGar]]*Lookups!$B$93</f>
        <v>15885.463950000001</v>
      </c>
      <c r="AZ163" s="30">
        <f>ROUND(Inventory[[#This Row],[25Det]],-2)</f>
        <v>0</v>
      </c>
      <c r="BA163" s="30">
        <f>ROUND(SUM(Inventory[[#This Row],[Mdl Qlty]:[Mdl Garage Area]])+Inventory[[#This Row],[Mdl Res Intercept]],-2)</f>
        <v>337000</v>
      </c>
      <c r="BB163" s="30">
        <f>ROUND(Inventory[[#This Row],[Mdl Land Intercept]]+Inventory[[#This Row],[Mdl LnAcres]],-2)</f>
        <v>68400</v>
      </c>
      <c r="BC163" s="30">
        <f>Inventory[[#This Row],[Unadj Res Value]]+Inventory[[#This Row],[Unadj Det Value]]+Inventory[[#This Row],[Unadj Land Value]]</f>
        <v>405400</v>
      </c>
      <c r="BD163" s="30">
        <f>(Inventory[[#This Row],[Unadj Total Value]]-Inventory[[#This Row],[24Final]])/Inventory[[#This Row],[24Final]]</f>
        <v>4.2695473251028807E-2</v>
      </c>
      <c r="BE163" s="30">
        <f>VLOOKUP(Inventory[[#This Row],[Nbhd]],Lookups!$M$3:$P$5,4,FALSE)</f>
        <v>0.99970000000000003</v>
      </c>
      <c r="BF163" s="30">
        <f>VLOOKUP(Inventory[[#This Row],[Qlty]],Lookups!$M$8:$P$22,4,FALSE)</f>
        <v>1.0019</v>
      </c>
      <c r="BG163" s="30">
        <f>VLOOKUP(Inventory[[#This Row],[Cnd]],Lookups!$R$8:$U$17,4,FALSE)</f>
        <v>1.0012000000000001</v>
      </c>
      <c r="BH163" s="30">
        <f>VLOOKUP(Inventory[[#This Row],[LivArea Range]],Lookups!$R$25:$U$43,4,FALSE)</f>
        <v>1.0007999999999999</v>
      </c>
      <c r="BI163" s="30">
        <f>VLOOKUP(Inventory[[#This Row],[Decade]],Lookups!$M$24:$P$40,4,FALSE)</f>
        <v>1</v>
      </c>
      <c r="BJ163" s="30">
        <f>Inventory[[#This Row],[Nbhd Adj]]*0.95</f>
        <v>0.94971499999999998</v>
      </c>
      <c r="BK163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163" s="30">
        <f>ROUND((SUM(Inventory[[#This Row],[Mdl Qlty]:[Mdl Garage Area]])+Inventory[[#This Row],[Mdl Res Intercept]])*Inventory[[#This Row],[Res Adj ]],-2)</f>
        <v>320400</v>
      </c>
      <c r="BM163" s="30">
        <f>ROUND(Inventory[[#This Row],[25Det]]*Inventory[[#This Row],[Det/Nbhd Adj]],-2)</f>
        <v>0</v>
      </c>
      <c r="BN163" s="30">
        <f>Inventory[[#This Row],[Adjusted Res]]+Inventory[[#This Row],[Adj Det ]]</f>
        <v>320400</v>
      </c>
      <c r="BO163" s="30">
        <f>ROUND((Inventory[[#This Row],[Mdl Land Intercept]]+Inventory[[#This Row],[Mdl LnAcres]])*Inventory[[#This Row],[Det/Nbhd Adj]],-2)</f>
        <v>65000</v>
      </c>
      <c r="BP163" s="30">
        <f>Inventory[[#This Row],[Adjusted Impr Total]]+Inventory[[#This Row],[Adjusted Land Total]]</f>
        <v>385400</v>
      </c>
      <c r="BQ163" s="30">
        <f>IFERROR((Inventory[[#This Row],[Adjusted Impr Total]]-Inventory[[#This Row],[24Bldg]])/Inventory[[#This Row],[24Bldg]],0)</f>
        <v>-9.5826893353941275E-3</v>
      </c>
      <c r="BR163" s="43">
        <f>(Inventory[[#This Row],[Adjusted Land Total]]-Inventory[[#This Row],[24Lnd]])/Inventory[[#This Row],[24Lnd]]</f>
        <v>-4.5941807044410417E-3</v>
      </c>
      <c r="BS163" s="43">
        <f>(Inventory[[#This Row],[Adjusted Total]]-Inventory[[#This Row],[24Final]])/Inventory[[#This Row],[24Final]]</f>
        <v>-8.7448559670781894E-3</v>
      </c>
    </row>
    <row r="164" spans="1:71">
      <c r="A164" s="30">
        <v>2025</v>
      </c>
      <c r="B164" s="31" t="s">
        <v>673</v>
      </c>
      <c r="C164" s="31">
        <f>LN(Inventory[[#This Row],[Acres]])</f>
        <v>-1.5095925774643841</v>
      </c>
      <c r="D164" s="37">
        <f>ROUND(Inventory[[#This Row],[Sqft]]/43560,3)</f>
        <v>0.221</v>
      </c>
      <c r="E164" s="30">
        <v>9646</v>
      </c>
      <c r="F164" s="31" t="s">
        <v>505</v>
      </c>
      <c r="G164" s="31" t="s">
        <v>155</v>
      </c>
      <c r="H164" s="31" t="s">
        <v>5</v>
      </c>
      <c r="I164" s="31" t="s">
        <v>506</v>
      </c>
      <c r="J164" s="31" t="s">
        <v>507</v>
      </c>
      <c r="K164" s="31" t="s">
        <v>157</v>
      </c>
      <c r="L164" s="31" t="s">
        <v>21</v>
      </c>
      <c r="M164" s="31" t="s">
        <v>24</v>
      </c>
      <c r="N164" s="31">
        <v>0</v>
      </c>
      <c r="O164" s="31">
        <f>2024-Inventory[[#This Row],[YrBlt]]</f>
        <v>3</v>
      </c>
      <c r="P164" s="31">
        <f>2024-Inventory[[#This Row],[EffYr]]</f>
        <v>3</v>
      </c>
      <c r="Q164" s="30">
        <v>2021</v>
      </c>
      <c r="R164" s="30">
        <v>2021</v>
      </c>
      <c r="S164" s="30">
        <v>2010</v>
      </c>
      <c r="T164" s="32"/>
      <c r="U164" s="32"/>
      <c r="V164" s="32"/>
      <c r="W164" s="32"/>
      <c r="X164" s="32">
        <f>Inventory[[#This Row],[Bsmt Area]]-Inventory[[#This Row],[FnBsmt]]</f>
        <v>0</v>
      </c>
      <c r="Y164" s="32">
        <f>Inventory[[#This Row],[MainFn]]+Inventory[[#This Row],[UpprFn]]+Inventory[[#This Row],[AddFn]]+Inventory[[#This Row],[FnBsmt]]</f>
        <v>2010</v>
      </c>
      <c r="Z164" s="32">
        <v>2500</v>
      </c>
      <c r="AA164" s="31" t="s">
        <v>57</v>
      </c>
      <c r="AB164" s="32"/>
      <c r="AC164" s="38">
        <v>664</v>
      </c>
      <c r="AD164" s="32"/>
      <c r="AE164" s="32"/>
      <c r="AF164" s="32"/>
      <c r="AG164" s="32"/>
      <c r="AH164" s="32"/>
      <c r="AI164" s="30">
        <v>437495</v>
      </c>
      <c r="AJ164" s="30">
        <v>424370</v>
      </c>
      <c r="AK164" s="30">
        <v>0</v>
      </c>
      <c r="AL164" s="30">
        <v>0</v>
      </c>
      <c r="AM164" s="30">
        <v>65300</v>
      </c>
      <c r="AN164" s="30">
        <v>353200</v>
      </c>
      <c r="AO164" s="30">
        <v>418500</v>
      </c>
      <c r="AP164" s="30">
        <f>Lookups!$B$58*0.6</f>
        <v>132535.48800000001</v>
      </c>
      <c r="AQ164" s="30">
        <f>Lookups!$B$58*0.4</f>
        <v>88356.992000000013</v>
      </c>
      <c r="AR164" s="30">
        <f>Lookups!$B$59*Inventory[[#This Row],[LnAcres]]</f>
        <v>-19812.377565859944</v>
      </c>
      <c r="AS164" s="30">
        <f>VLOOKUP(Inventory[[#This Row],[Qlty]],Lookups!$A$66:$E$79,2,FALSE)</f>
        <v>32917.849192000001</v>
      </c>
      <c r="AT164" s="30">
        <f>VLOOKUP(Inventory[[#This Row],[Cnd]],Lookups!$A$80:$E$88,2,FALSE)</f>
        <v>47371.278778200001</v>
      </c>
      <c r="AU164" s="30">
        <f>Inventory[[#This Row],[EffAge]]*Lookups!$B$65</f>
        <v>-326.22329999999999</v>
      </c>
      <c r="AV164" s="30">
        <f>Inventory[[#This Row],[MainFn]]*Lookups!$B$90</f>
        <v>125444.86380000001</v>
      </c>
      <c r="AW164" s="30">
        <f>Inventory[[#This Row],[UpprFn]]*Lookups!$B$91</f>
        <v>0</v>
      </c>
      <c r="AX164" s="30">
        <f>Inventory[[#This Row],[Bsmt Area]]*Lookups!$B$95</f>
        <v>0</v>
      </c>
      <c r="AY164" s="30">
        <f>Inventory[[#This Row],[AttGar]]*Lookups!$B$93</f>
        <v>23439.884583999999</v>
      </c>
      <c r="AZ164" s="30">
        <f>ROUND(Inventory[[#This Row],[25Det]],-2)</f>
        <v>0</v>
      </c>
      <c r="BA164" s="30">
        <f>ROUND(SUM(Inventory[[#This Row],[Mdl Qlty]:[Mdl Garage Area]])+Inventory[[#This Row],[Mdl Res Intercept]],-2)</f>
        <v>361400</v>
      </c>
      <c r="BB164" s="30">
        <f>ROUND(Inventory[[#This Row],[Mdl Land Intercept]]+Inventory[[#This Row],[Mdl LnAcres]],-2)</f>
        <v>68500</v>
      </c>
      <c r="BC164" s="30">
        <f>Inventory[[#This Row],[Unadj Res Value]]+Inventory[[#This Row],[Unadj Det Value]]+Inventory[[#This Row],[Unadj Land Value]]</f>
        <v>429900</v>
      </c>
      <c r="BD164" s="30">
        <f>(Inventory[[#This Row],[Unadj Total Value]]-Inventory[[#This Row],[24Final]])/Inventory[[#This Row],[24Final]]</f>
        <v>2.7240143369175629E-2</v>
      </c>
      <c r="BE164" s="30">
        <f>VLOOKUP(Inventory[[#This Row],[Nbhd]],Lookups!$M$3:$P$5,4,FALSE)</f>
        <v>0.99970000000000003</v>
      </c>
      <c r="BF164" s="30">
        <f>VLOOKUP(Inventory[[#This Row],[Qlty]],Lookups!$M$8:$P$22,4,FALSE)</f>
        <v>1.0019</v>
      </c>
      <c r="BG164" s="30">
        <f>VLOOKUP(Inventory[[#This Row],[Cnd]],Lookups!$R$8:$U$17,4,FALSE)</f>
        <v>1.0012000000000001</v>
      </c>
      <c r="BH164" s="30">
        <f>VLOOKUP(Inventory[[#This Row],[LivArea Range]],Lookups!$R$25:$U$43,4,FALSE)</f>
        <v>1.0008999999999999</v>
      </c>
      <c r="BI164" s="30">
        <f>VLOOKUP(Inventory[[#This Row],[Decade]],Lookups!$M$24:$P$40,4,FALSE)</f>
        <v>1</v>
      </c>
      <c r="BJ164" s="30">
        <f>Inventory[[#This Row],[Nbhd Adj]]*0.95</f>
        <v>0.94971499999999998</v>
      </c>
      <c r="BK164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64" s="30">
        <f>ROUND((SUM(Inventory[[#This Row],[Mdl Qlty]:[Mdl Garage Area]])+Inventory[[#This Row],[Mdl Res Intercept]])*Inventory[[#This Row],[Res Adj ]],-2)</f>
        <v>343600</v>
      </c>
      <c r="BM164" s="30">
        <f>ROUND(Inventory[[#This Row],[25Det]]*Inventory[[#This Row],[Det/Nbhd Adj]],-2)</f>
        <v>0</v>
      </c>
      <c r="BN164" s="30">
        <f>Inventory[[#This Row],[Adjusted Res]]+Inventory[[#This Row],[Adj Det ]]</f>
        <v>343600</v>
      </c>
      <c r="BO164" s="30">
        <f>ROUND((Inventory[[#This Row],[Mdl Land Intercept]]+Inventory[[#This Row],[Mdl LnAcres]])*Inventory[[#This Row],[Det/Nbhd Adj]],-2)</f>
        <v>65100</v>
      </c>
      <c r="BP164" s="30">
        <f>Inventory[[#This Row],[Adjusted Impr Total]]+Inventory[[#This Row],[Adjusted Land Total]]</f>
        <v>408700</v>
      </c>
      <c r="BQ164" s="30">
        <f>IFERROR((Inventory[[#This Row],[Adjusted Impr Total]]-Inventory[[#This Row],[24Bldg]])/Inventory[[#This Row],[24Bldg]],0)</f>
        <v>-2.7180067950169876E-2</v>
      </c>
      <c r="BR164" s="43">
        <f>(Inventory[[#This Row],[Adjusted Land Total]]-Inventory[[#This Row],[24Lnd]])/Inventory[[#This Row],[24Lnd]]</f>
        <v>-3.0627871362940277E-3</v>
      </c>
      <c r="BS164" s="43">
        <f>(Inventory[[#This Row],[Adjusted Total]]-Inventory[[#This Row],[24Final]])/Inventory[[#This Row],[24Final]]</f>
        <v>-2.3416965352449224E-2</v>
      </c>
    </row>
    <row r="165" spans="1:71">
      <c r="A165" s="30">
        <v>2025</v>
      </c>
      <c r="B165" s="31" t="s">
        <v>674</v>
      </c>
      <c r="C165" s="31">
        <f>LN(Inventory[[#This Row],[Acres]])</f>
        <v>-1.487220279709851</v>
      </c>
      <c r="D165" s="37">
        <f>ROUND(Inventory[[#This Row],[Sqft]]/43560,3)</f>
        <v>0.22600000000000001</v>
      </c>
      <c r="E165" s="30">
        <v>9865</v>
      </c>
      <c r="F165" s="31" t="s">
        <v>505</v>
      </c>
      <c r="G165" s="31" t="s">
        <v>155</v>
      </c>
      <c r="H165" s="31" t="s">
        <v>5</v>
      </c>
      <c r="I165" s="31" t="s">
        <v>506</v>
      </c>
      <c r="J165" s="31" t="s">
        <v>507</v>
      </c>
      <c r="K165" s="31" t="s">
        <v>157</v>
      </c>
      <c r="L165" s="31" t="s">
        <v>21</v>
      </c>
      <c r="M165" s="31" t="s">
        <v>24</v>
      </c>
      <c r="N165" s="31">
        <v>0</v>
      </c>
      <c r="O165" s="31">
        <f>2024-Inventory[[#This Row],[YrBlt]]</f>
        <v>3</v>
      </c>
      <c r="P165" s="31">
        <f>2024-Inventory[[#This Row],[EffYr]]</f>
        <v>3</v>
      </c>
      <c r="Q165" s="30">
        <v>2021</v>
      </c>
      <c r="R165" s="30">
        <v>2021</v>
      </c>
      <c r="S165" s="30">
        <v>930</v>
      </c>
      <c r="T165" s="38">
        <v>1296</v>
      </c>
      <c r="U165" s="32"/>
      <c r="V165" s="32"/>
      <c r="W165" s="32"/>
      <c r="X165" s="32">
        <f>Inventory[[#This Row],[Bsmt Area]]-Inventory[[#This Row],[FnBsmt]]</f>
        <v>0</v>
      </c>
      <c r="Y165" s="32">
        <f>Inventory[[#This Row],[MainFn]]+Inventory[[#This Row],[UpprFn]]+Inventory[[#This Row],[AddFn]]+Inventory[[#This Row],[FnBsmt]]</f>
        <v>2226</v>
      </c>
      <c r="Z165" s="32">
        <v>2500</v>
      </c>
      <c r="AA165" s="31" t="s">
        <v>55</v>
      </c>
      <c r="AB165" s="38">
        <v>1</v>
      </c>
      <c r="AC165" s="38">
        <v>288</v>
      </c>
      <c r="AD165" s="38">
        <v>480</v>
      </c>
      <c r="AE165" s="32"/>
      <c r="AF165" s="32"/>
      <c r="AG165" s="32"/>
      <c r="AH165" s="32"/>
      <c r="AI165" s="30">
        <v>465950</v>
      </c>
      <c r="AJ165" s="30">
        <v>451972</v>
      </c>
      <c r="AK165" s="30">
        <v>0</v>
      </c>
      <c r="AL165" s="30">
        <v>0</v>
      </c>
      <c r="AM165" s="30">
        <v>65900</v>
      </c>
      <c r="AN165" s="30">
        <v>370700</v>
      </c>
      <c r="AO165" s="30">
        <v>436600</v>
      </c>
      <c r="AP165" s="30">
        <f>Lookups!$B$58*0.6</f>
        <v>132535.48800000001</v>
      </c>
      <c r="AQ165" s="30">
        <f>Lookups!$B$58*0.4</f>
        <v>88356.992000000013</v>
      </c>
      <c r="AR165" s="30">
        <f>Lookups!$B$59*Inventory[[#This Row],[LnAcres]]</f>
        <v>-19518.756348621871</v>
      </c>
      <c r="AS165" s="30">
        <f>VLOOKUP(Inventory[[#This Row],[Qlty]],Lookups!$A$66:$E$79,2,FALSE)</f>
        <v>32917.849192000001</v>
      </c>
      <c r="AT165" s="30">
        <f>VLOOKUP(Inventory[[#This Row],[Cnd]],Lookups!$A$80:$E$88,2,FALSE)</f>
        <v>47371.278778200001</v>
      </c>
      <c r="AU165" s="30">
        <f>Inventory[[#This Row],[EffAge]]*Lookups!$B$65</f>
        <v>-326.22329999999999</v>
      </c>
      <c r="AV165" s="30">
        <f>Inventory[[#This Row],[MainFn]]*Lookups!$B$90</f>
        <v>58041.653400000003</v>
      </c>
      <c r="AW165" s="30">
        <f>Inventory[[#This Row],[UpprFn]]*Lookups!$B$91</f>
        <v>77216.176368</v>
      </c>
      <c r="AX165" s="30">
        <f>Inventory[[#This Row],[Bsmt Area]]*Lookups!$B$95</f>
        <v>0</v>
      </c>
      <c r="AY165" s="30">
        <f>Inventory[[#This Row],[AttGar]]*Lookups!$B$93</f>
        <v>10166.696928000001</v>
      </c>
      <c r="AZ165" s="30">
        <f>ROUND(Inventory[[#This Row],[25Det]],-2)</f>
        <v>0</v>
      </c>
      <c r="BA165" s="30">
        <f>ROUND(SUM(Inventory[[#This Row],[Mdl Qlty]:[Mdl Garage Area]])+Inventory[[#This Row],[Mdl Res Intercept]],-2)</f>
        <v>357900</v>
      </c>
      <c r="BB165" s="30">
        <f>ROUND(Inventory[[#This Row],[Mdl Land Intercept]]+Inventory[[#This Row],[Mdl LnAcres]],-2)</f>
        <v>68800</v>
      </c>
      <c r="BC165" s="30">
        <f>Inventory[[#This Row],[Unadj Res Value]]+Inventory[[#This Row],[Unadj Det Value]]+Inventory[[#This Row],[Unadj Land Value]]</f>
        <v>426700</v>
      </c>
      <c r="BD165" s="30">
        <f>(Inventory[[#This Row],[Unadj Total Value]]-Inventory[[#This Row],[24Final]])/Inventory[[#This Row],[24Final]]</f>
        <v>-2.2675217590471829E-2</v>
      </c>
      <c r="BE165" s="30">
        <f>VLOOKUP(Inventory[[#This Row],[Nbhd]],Lookups!$M$3:$P$5,4,FALSE)</f>
        <v>0.99970000000000003</v>
      </c>
      <c r="BF165" s="30">
        <f>VLOOKUP(Inventory[[#This Row],[Qlty]],Lookups!$M$8:$P$22,4,FALSE)</f>
        <v>1.0019</v>
      </c>
      <c r="BG165" s="30">
        <f>VLOOKUP(Inventory[[#This Row],[Cnd]],Lookups!$R$8:$U$17,4,FALSE)</f>
        <v>1.0012000000000001</v>
      </c>
      <c r="BH165" s="30">
        <f>VLOOKUP(Inventory[[#This Row],[LivArea Range]],Lookups!$R$25:$U$43,4,FALSE)</f>
        <v>1.0008999999999999</v>
      </c>
      <c r="BI165" s="30">
        <f>VLOOKUP(Inventory[[#This Row],[Decade]],Lookups!$M$24:$P$40,4,FALSE)</f>
        <v>1</v>
      </c>
      <c r="BJ165" s="30">
        <f>Inventory[[#This Row],[Nbhd Adj]]*0.95</f>
        <v>0.94971499999999998</v>
      </c>
      <c r="BK165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65" s="30">
        <f>ROUND((SUM(Inventory[[#This Row],[Mdl Qlty]:[Mdl Garage Area]])+Inventory[[#This Row],[Mdl Res Intercept]])*Inventory[[#This Row],[Res Adj ]],-2)</f>
        <v>340300</v>
      </c>
      <c r="BM165" s="30">
        <f>ROUND(Inventory[[#This Row],[25Det]]*Inventory[[#This Row],[Det/Nbhd Adj]],-2)</f>
        <v>0</v>
      </c>
      <c r="BN165" s="30">
        <f>Inventory[[#This Row],[Adjusted Res]]+Inventory[[#This Row],[Adj Det ]]</f>
        <v>340300</v>
      </c>
      <c r="BO165" s="30">
        <f>ROUND((Inventory[[#This Row],[Mdl Land Intercept]]+Inventory[[#This Row],[Mdl LnAcres]])*Inventory[[#This Row],[Det/Nbhd Adj]],-2)</f>
        <v>65400</v>
      </c>
      <c r="BP165" s="30">
        <f>Inventory[[#This Row],[Adjusted Impr Total]]+Inventory[[#This Row],[Adjusted Land Total]]</f>
        <v>405700</v>
      </c>
      <c r="BQ165" s="30">
        <f>IFERROR((Inventory[[#This Row],[Adjusted Impr Total]]-Inventory[[#This Row],[24Bldg]])/Inventory[[#This Row],[24Bldg]],0)</f>
        <v>-8.2007013757755598E-2</v>
      </c>
      <c r="BR165" s="43">
        <f>(Inventory[[#This Row],[Adjusted Land Total]]-Inventory[[#This Row],[24Lnd]])/Inventory[[#This Row],[24Lnd]]</f>
        <v>-7.5872534142640367E-3</v>
      </c>
      <c r="BS165" s="43">
        <f>(Inventory[[#This Row],[Adjusted Total]]-Inventory[[#This Row],[24Final]])/Inventory[[#This Row],[24Final]]</f>
        <v>-7.0774163994502981E-2</v>
      </c>
    </row>
    <row r="166" spans="1:71">
      <c r="A166" s="30">
        <v>2025</v>
      </c>
      <c r="B166" s="31" t="s">
        <v>675</v>
      </c>
      <c r="C166" s="31">
        <f>LN(Inventory[[#This Row],[Acres]])</f>
        <v>-1.4524341636244356</v>
      </c>
      <c r="D166" s="37">
        <f>ROUND(Inventory[[#This Row],[Sqft]]/43560,3)</f>
        <v>0.23400000000000001</v>
      </c>
      <c r="E166" s="30">
        <v>10201</v>
      </c>
      <c r="F166" s="31" t="s">
        <v>505</v>
      </c>
      <c r="G166" s="31" t="s">
        <v>155</v>
      </c>
      <c r="H166" s="31" t="s">
        <v>5</v>
      </c>
      <c r="I166" s="31" t="s">
        <v>506</v>
      </c>
      <c r="J166" s="31" t="s">
        <v>507</v>
      </c>
      <c r="K166" s="31" t="s">
        <v>157</v>
      </c>
      <c r="L166" s="31" t="s">
        <v>21</v>
      </c>
      <c r="M166" s="31" t="s">
        <v>24</v>
      </c>
      <c r="N166" s="31">
        <v>0</v>
      </c>
      <c r="O166" s="31">
        <f>2024-Inventory[[#This Row],[YrBlt]]</f>
        <v>3</v>
      </c>
      <c r="P166" s="31">
        <f>2024-Inventory[[#This Row],[EffYr]]</f>
        <v>3</v>
      </c>
      <c r="Q166" s="30">
        <v>2021</v>
      </c>
      <c r="R166" s="30">
        <v>2021</v>
      </c>
      <c r="S166" s="30">
        <v>1111</v>
      </c>
      <c r="T166" s="38">
        <v>1126</v>
      </c>
      <c r="U166" s="32"/>
      <c r="V166" s="32"/>
      <c r="W166" s="32"/>
      <c r="X166" s="32">
        <f>Inventory[[#This Row],[Bsmt Area]]-Inventory[[#This Row],[FnBsmt]]</f>
        <v>0</v>
      </c>
      <c r="Y166" s="32">
        <f>Inventory[[#This Row],[MainFn]]+Inventory[[#This Row],[UpprFn]]+Inventory[[#This Row],[AddFn]]+Inventory[[#This Row],[FnBsmt]]</f>
        <v>2237</v>
      </c>
      <c r="Z166" s="32">
        <v>2500</v>
      </c>
      <c r="AA166" s="31" t="s">
        <v>57</v>
      </c>
      <c r="AB166" s="32"/>
      <c r="AC166" s="38">
        <v>455</v>
      </c>
      <c r="AD166" s="32"/>
      <c r="AE166" s="32"/>
      <c r="AF166" s="32"/>
      <c r="AG166" s="32"/>
      <c r="AH166" s="32"/>
      <c r="AI166" s="30">
        <v>451707</v>
      </c>
      <c r="AJ166" s="30">
        <v>438156</v>
      </c>
      <c r="AK166" s="30">
        <v>40975</v>
      </c>
      <c r="AL166" s="30">
        <v>0</v>
      </c>
      <c r="AM166" s="30">
        <v>65900</v>
      </c>
      <c r="AN166" s="30">
        <v>407000</v>
      </c>
      <c r="AO166" s="30">
        <v>472900</v>
      </c>
      <c r="AP166" s="30">
        <f>Lookups!$B$58*0.6</f>
        <v>132535.48800000001</v>
      </c>
      <c r="AQ166" s="30">
        <f>Lookups!$B$58*0.4</f>
        <v>88356.992000000013</v>
      </c>
      <c r="AR166" s="30">
        <f>Lookups!$B$59*Inventory[[#This Row],[LnAcres]]</f>
        <v>-19062.212194773616</v>
      </c>
      <c r="AS166" s="30">
        <f>VLOOKUP(Inventory[[#This Row],[Qlty]],Lookups!$A$66:$E$79,2,FALSE)</f>
        <v>32917.849192000001</v>
      </c>
      <c r="AT166" s="30">
        <f>VLOOKUP(Inventory[[#This Row],[Cnd]],Lookups!$A$80:$E$88,2,FALSE)</f>
        <v>47371.278778200001</v>
      </c>
      <c r="AU166" s="30">
        <f>Inventory[[#This Row],[EffAge]]*Lookups!$B$65</f>
        <v>-326.22329999999999</v>
      </c>
      <c r="AV166" s="30">
        <f>Inventory[[#This Row],[MainFn]]*Lookups!$B$90</f>
        <v>69337.932180000003</v>
      </c>
      <c r="AW166" s="30">
        <f>Inventory[[#This Row],[UpprFn]]*Lookups!$B$91</f>
        <v>67087.511257999999</v>
      </c>
      <c r="AX166" s="30">
        <f>Inventory[[#This Row],[Bsmt Area]]*Lookups!$B$95</f>
        <v>0</v>
      </c>
      <c r="AY166" s="30">
        <f>Inventory[[#This Row],[AttGar]]*Lookups!$B$93</f>
        <v>16061.969105</v>
      </c>
      <c r="AZ166" s="30">
        <f>ROUND(Inventory[[#This Row],[25Det]],-2)</f>
        <v>41000</v>
      </c>
      <c r="BA166" s="30">
        <f>ROUND(SUM(Inventory[[#This Row],[Mdl Qlty]:[Mdl Garage Area]])+Inventory[[#This Row],[Mdl Res Intercept]],-2)</f>
        <v>365000</v>
      </c>
      <c r="BB166" s="30">
        <f>ROUND(Inventory[[#This Row],[Mdl Land Intercept]]+Inventory[[#This Row],[Mdl LnAcres]],-2)</f>
        <v>69300</v>
      </c>
      <c r="BC166" s="30">
        <f>Inventory[[#This Row],[Unadj Res Value]]+Inventory[[#This Row],[Unadj Det Value]]+Inventory[[#This Row],[Unadj Land Value]]</f>
        <v>475300</v>
      </c>
      <c r="BD166" s="30">
        <f>(Inventory[[#This Row],[Unadj Total Value]]-Inventory[[#This Row],[24Final]])/Inventory[[#This Row],[24Final]]</f>
        <v>5.0750687248889825E-3</v>
      </c>
      <c r="BE166" s="30">
        <f>VLOOKUP(Inventory[[#This Row],[Nbhd]],Lookups!$M$3:$P$5,4,FALSE)</f>
        <v>0.99970000000000003</v>
      </c>
      <c r="BF166" s="30">
        <f>VLOOKUP(Inventory[[#This Row],[Qlty]],Lookups!$M$8:$P$22,4,FALSE)</f>
        <v>1.0019</v>
      </c>
      <c r="BG166" s="30">
        <f>VLOOKUP(Inventory[[#This Row],[Cnd]],Lookups!$R$8:$U$17,4,FALSE)</f>
        <v>1.0012000000000001</v>
      </c>
      <c r="BH166" s="30">
        <f>VLOOKUP(Inventory[[#This Row],[LivArea Range]],Lookups!$R$25:$U$43,4,FALSE)</f>
        <v>1.0008999999999999</v>
      </c>
      <c r="BI166" s="30">
        <f>VLOOKUP(Inventory[[#This Row],[Decade]],Lookups!$M$24:$P$40,4,FALSE)</f>
        <v>1</v>
      </c>
      <c r="BJ166" s="30">
        <f>Inventory[[#This Row],[Nbhd Adj]]*0.95</f>
        <v>0.94971499999999998</v>
      </c>
      <c r="BK166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66" s="30">
        <f>ROUND((SUM(Inventory[[#This Row],[Mdl Qlty]:[Mdl Garage Area]])+Inventory[[#This Row],[Mdl Res Intercept]])*Inventory[[#This Row],[Res Adj ]],-2)</f>
        <v>347000</v>
      </c>
      <c r="BM166" s="30">
        <f>ROUND(Inventory[[#This Row],[25Det]]*Inventory[[#This Row],[Det/Nbhd Adj]],-2)</f>
        <v>38900</v>
      </c>
      <c r="BN166" s="30">
        <f>Inventory[[#This Row],[Adjusted Res]]+Inventory[[#This Row],[Adj Det ]]</f>
        <v>385900</v>
      </c>
      <c r="BO166" s="30">
        <f>ROUND((Inventory[[#This Row],[Mdl Land Intercept]]+Inventory[[#This Row],[Mdl LnAcres]])*Inventory[[#This Row],[Det/Nbhd Adj]],-2)</f>
        <v>65800</v>
      </c>
      <c r="BP166" s="30">
        <f>Inventory[[#This Row],[Adjusted Impr Total]]+Inventory[[#This Row],[Adjusted Land Total]]</f>
        <v>451700</v>
      </c>
      <c r="BQ166" s="30">
        <f>IFERROR((Inventory[[#This Row],[Adjusted Impr Total]]-Inventory[[#This Row],[24Bldg]])/Inventory[[#This Row],[24Bldg]],0)</f>
        <v>-5.184275184275184E-2</v>
      </c>
      <c r="BR166" s="43">
        <f>(Inventory[[#This Row],[Adjusted Land Total]]-Inventory[[#This Row],[24Lnd]])/Inventory[[#This Row],[24Lnd]]</f>
        <v>-1.5174506828528073E-3</v>
      </c>
      <c r="BS166" s="43">
        <f>(Inventory[[#This Row],[Adjusted Total]]-Inventory[[#This Row],[24Final]])/Inventory[[#This Row],[24Final]]</f>
        <v>-4.4829773736519349E-2</v>
      </c>
    </row>
    <row r="167" spans="1:71">
      <c r="A167" s="30">
        <v>2025</v>
      </c>
      <c r="B167" s="31" t="s">
        <v>676</v>
      </c>
      <c r="C167" s="31">
        <f>LN(Inventory[[#This Row],[Acres]])</f>
        <v>-1.4524341636244356</v>
      </c>
      <c r="D167" s="37">
        <f>ROUND(Inventory[[#This Row],[Sqft]]/43560,3)</f>
        <v>0.23400000000000001</v>
      </c>
      <c r="E167" s="38">
        <v>10184</v>
      </c>
      <c r="F167" s="31" t="s">
        <v>505</v>
      </c>
      <c r="G167" s="31" t="s">
        <v>155</v>
      </c>
      <c r="H167" s="31" t="s">
        <v>5</v>
      </c>
      <c r="I167" s="31" t="s">
        <v>506</v>
      </c>
      <c r="J167" s="31" t="s">
        <v>507</v>
      </c>
      <c r="K167" s="31" t="s">
        <v>157</v>
      </c>
      <c r="L167" s="31" t="s">
        <v>19</v>
      </c>
      <c r="M167" s="31" t="s">
        <v>24</v>
      </c>
      <c r="N167" s="31">
        <v>0</v>
      </c>
      <c r="O167" s="31">
        <f>2024-Inventory[[#This Row],[YrBlt]]</f>
        <v>3</v>
      </c>
      <c r="P167" s="31">
        <f>2024-Inventory[[#This Row],[EffYr]]</f>
        <v>3</v>
      </c>
      <c r="Q167" s="30">
        <v>2021</v>
      </c>
      <c r="R167" s="30">
        <v>2021</v>
      </c>
      <c r="S167" s="30">
        <v>1388</v>
      </c>
      <c r="T167" s="32"/>
      <c r="U167" s="32"/>
      <c r="V167" s="32"/>
      <c r="W167" s="32"/>
      <c r="X167" s="32">
        <f>Inventory[[#This Row],[Bsmt Area]]-Inventory[[#This Row],[FnBsmt]]</f>
        <v>0</v>
      </c>
      <c r="Y167" s="32">
        <f>Inventory[[#This Row],[MainFn]]+Inventory[[#This Row],[UpprFn]]+Inventory[[#This Row],[AddFn]]+Inventory[[#This Row],[FnBsmt]]</f>
        <v>1388</v>
      </c>
      <c r="Z167" s="32">
        <v>1500</v>
      </c>
      <c r="AA167" s="31" t="s">
        <v>56</v>
      </c>
      <c r="AB167" s="37"/>
      <c r="AC167" s="38">
        <v>400</v>
      </c>
      <c r="AD167" s="32"/>
      <c r="AE167" s="32"/>
      <c r="AF167" s="32"/>
      <c r="AG167" s="32"/>
      <c r="AH167" s="32"/>
      <c r="AI167" s="30">
        <v>286809</v>
      </c>
      <c r="AJ167" s="30">
        <v>278205</v>
      </c>
      <c r="AK167" s="30">
        <v>0</v>
      </c>
      <c r="AL167" s="30">
        <v>0</v>
      </c>
      <c r="AM167" s="30">
        <v>65900</v>
      </c>
      <c r="AN167" s="30">
        <v>325700</v>
      </c>
      <c r="AO167" s="30">
        <v>391600</v>
      </c>
      <c r="AP167" s="30">
        <f>Lookups!$B$58*0.6</f>
        <v>132535.48800000001</v>
      </c>
      <c r="AQ167" s="30">
        <f>Lookups!$B$58*0.4</f>
        <v>88356.992000000013</v>
      </c>
      <c r="AR167" s="30">
        <f>Lookups!$B$59*Inventory[[#This Row],[LnAcres]]</f>
        <v>-19062.212194773616</v>
      </c>
      <c r="AS167" s="30">
        <f>VLOOKUP(Inventory[[#This Row],[Qlty]],Lookups!$A$66:$E$79,2,FALSE)</f>
        <v>37154.252388000001</v>
      </c>
      <c r="AT167" s="30">
        <f>VLOOKUP(Inventory[[#This Row],[Cnd]],Lookups!$A$80:$E$88,2,FALSE)</f>
        <v>47371.278778200001</v>
      </c>
      <c r="AU167" s="30">
        <f>Inventory[[#This Row],[EffAge]]*Lookups!$B$65</f>
        <v>-326.22329999999999</v>
      </c>
      <c r="AV167" s="30">
        <f>Inventory[[#This Row],[MainFn]]*Lookups!$B$90</f>
        <v>86625.607440000007</v>
      </c>
      <c r="AW167" s="30">
        <f>Inventory[[#This Row],[UpprFn]]*Lookups!$B$91</f>
        <v>0</v>
      </c>
      <c r="AX167" s="30">
        <f>Inventory[[#This Row],[Bsmt Area]]*Lookups!$B$95</f>
        <v>0</v>
      </c>
      <c r="AY167" s="30">
        <f>Inventory[[#This Row],[AttGar]]*Lookups!$B$93</f>
        <v>14120.412400000001</v>
      </c>
      <c r="AZ167" s="30">
        <f>ROUND(Inventory[[#This Row],[25Det]],-2)</f>
        <v>0</v>
      </c>
      <c r="BA167" s="30">
        <f>ROUND(SUM(Inventory[[#This Row],[Mdl Qlty]:[Mdl Garage Area]])+Inventory[[#This Row],[Mdl Res Intercept]],-2)</f>
        <v>317500</v>
      </c>
      <c r="BB167" s="30">
        <f>ROUND(Inventory[[#This Row],[Mdl Land Intercept]]+Inventory[[#This Row],[Mdl LnAcres]],-2)</f>
        <v>69300</v>
      </c>
      <c r="BC167" s="30">
        <f>Inventory[[#This Row],[Unadj Res Value]]+Inventory[[#This Row],[Unadj Det Value]]+Inventory[[#This Row],[Unadj Land Value]]</f>
        <v>386800</v>
      </c>
      <c r="BD167" s="30">
        <f>(Inventory[[#This Row],[Unadj Total Value]]-Inventory[[#This Row],[24Final]])/Inventory[[#This Row],[24Final]]</f>
        <v>-1.2257405515832482E-2</v>
      </c>
      <c r="BE167" s="30">
        <f>VLOOKUP(Inventory[[#This Row],[Nbhd]],Lookups!$M$3:$P$5,4,FALSE)</f>
        <v>0.99970000000000003</v>
      </c>
      <c r="BF167" s="30">
        <f>VLOOKUP(Inventory[[#This Row],[Qlty]],Lookups!$M$8:$P$22,4,FALSE)</f>
        <v>0.99819999999999998</v>
      </c>
      <c r="BG167" s="30">
        <f>VLOOKUP(Inventory[[#This Row],[Cnd]],Lookups!$R$8:$U$17,4,FALSE)</f>
        <v>1.0012000000000001</v>
      </c>
      <c r="BH167" s="30">
        <f>VLOOKUP(Inventory[[#This Row],[LivArea Range]],Lookups!$R$25:$U$43,4,FALSE)</f>
        <v>0.99519999999999997</v>
      </c>
      <c r="BI167" s="30">
        <f>VLOOKUP(Inventory[[#This Row],[Decade]],Lookups!$M$24:$P$40,4,FALSE)</f>
        <v>1</v>
      </c>
      <c r="BJ167" s="30">
        <f>Inventory[[#This Row],[Nbhd Adj]]*0.95</f>
        <v>0.94971499999999998</v>
      </c>
      <c r="BK167" s="30">
        <f>AVERAGE(Inventory[[#This Row],[Nbhd Adj]],Inventory[[#This Row],[Quality Adj]],Inventory[[#This Row],[Condition Adj]],Inventory[[#This Row],[Living Area Adj]],Inventory[[#This Row],[Decade Adj]])*0.95</f>
        <v>0.94891700000000012</v>
      </c>
      <c r="BL167" s="30">
        <f>ROUND((SUM(Inventory[[#This Row],[Mdl Qlty]:[Mdl Garage Area]])+Inventory[[#This Row],[Mdl Res Intercept]])*Inventory[[#This Row],[Res Adj ]],-2)</f>
        <v>301300</v>
      </c>
      <c r="BM167" s="30">
        <f>ROUND(Inventory[[#This Row],[25Det]]*Inventory[[#This Row],[Det/Nbhd Adj]],-2)</f>
        <v>0</v>
      </c>
      <c r="BN167" s="30">
        <f>Inventory[[#This Row],[Adjusted Res]]+Inventory[[#This Row],[Adj Det ]]</f>
        <v>301300</v>
      </c>
      <c r="BO167" s="30">
        <f>ROUND((Inventory[[#This Row],[Mdl Land Intercept]]+Inventory[[#This Row],[Mdl LnAcres]])*Inventory[[#This Row],[Det/Nbhd Adj]],-2)</f>
        <v>65800</v>
      </c>
      <c r="BP167" s="30">
        <f>Inventory[[#This Row],[Adjusted Impr Total]]+Inventory[[#This Row],[Adjusted Land Total]]</f>
        <v>367100</v>
      </c>
      <c r="BQ167" s="30">
        <f>IFERROR((Inventory[[#This Row],[Adjusted Impr Total]]-Inventory[[#This Row],[24Bldg]])/Inventory[[#This Row],[24Bldg]],0)</f>
        <v>-7.4915566472213688E-2</v>
      </c>
      <c r="BR167" s="43">
        <f>(Inventory[[#This Row],[Adjusted Land Total]]-Inventory[[#This Row],[24Lnd]])/Inventory[[#This Row],[24Lnd]]</f>
        <v>-1.5174506828528073E-3</v>
      </c>
      <c r="BS167" s="43">
        <f>(Inventory[[#This Row],[Adjusted Total]]-Inventory[[#This Row],[24Final]])/Inventory[[#This Row],[24Final]]</f>
        <v>-6.2563840653728289E-2</v>
      </c>
    </row>
    <row r="168" spans="1:71">
      <c r="A168" s="30">
        <v>2025</v>
      </c>
      <c r="B168" s="31" t="s">
        <v>677</v>
      </c>
      <c r="C168" s="31">
        <f>LN(Inventory[[#This Row],[Acres]])</f>
        <v>-1.4524341636244356</v>
      </c>
      <c r="D168" s="37">
        <f>ROUND(Inventory[[#This Row],[Sqft]]/43560,3)</f>
        <v>0.23400000000000001</v>
      </c>
      <c r="E168" s="30">
        <v>10202</v>
      </c>
      <c r="F168" s="31" t="s">
        <v>505</v>
      </c>
      <c r="G168" s="31" t="s">
        <v>155</v>
      </c>
      <c r="H168" s="31" t="s">
        <v>5</v>
      </c>
      <c r="I168" s="31" t="s">
        <v>506</v>
      </c>
      <c r="J168" s="31" t="s">
        <v>507</v>
      </c>
      <c r="K168" s="31" t="s">
        <v>157</v>
      </c>
      <c r="L168" s="31" t="s">
        <v>21</v>
      </c>
      <c r="M168" s="31" t="s">
        <v>24</v>
      </c>
      <c r="N168" s="31">
        <v>0</v>
      </c>
      <c r="O168" s="31">
        <f>2024-Inventory[[#This Row],[YrBlt]]</f>
        <v>3</v>
      </c>
      <c r="P168" s="31">
        <f>2024-Inventory[[#This Row],[EffYr]]</f>
        <v>3</v>
      </c>
      <c r="Q168" s="30">
        <v>2021</v>
      </c>
      <c r="R168" s="30">
        <v>2021</v>
      </c>
      <c r="S168" s="30">
        <v>2298</v>
      </c>
      <c r="T168" s="32"/>
      <c r="U168" s="32"/>
      <c r="V168" s="32"/>
      <c r="W168" s="32"/>
      <c r="X168" s="32">
        <f>Inventory[[#This Row],[Bsmt Area]]-Inventory[[#This Row],[FnBsmt]]</f>
        <v>0</v>
      </c>
      <c r="Y168" s="32">
        <f>Inventory[[#This Row],[MainFn]]+Inventory[[#This Row],[UpprFn]]+Inventory[[#This Row],[AddFn]]+Inventory[[#This Row],[FnBsmt]]</f>
        <v>2298</v>
      </c>
      <c r="Z168" s="32">
        <v>2500</v>
      </c>
      <c r="AA168" s="31" t="s">
        <v>56</v>
      </c>
      <c r="AB168" s="32"/>
      <c r="AC168" s="38">
        <v>678</v>
      </c>
      <c r="AD168" s="32"/>
      <c r="AE168" s="32"/>
      <c r="AF168" s="32"/>
      <c r="AG168" s="32"/>
      <c r="AH168" s="32"/>
      <c r="AI168" s="30">
        <v>499786</v>
      </c>
      <c r="AJ168" s="30">
        <v>484792</v>
      </c>
      <c r="AK168" s="30">
        <v>0</v>
      </c>
      <c r="AL168" s="30">
        <v>0</v>
      </c>
      <c r="AM168" s="30">
        <v>65900</v>
      </c>
      <c r="AN168" s="30">
        <v>386700</v>
      </c>
      <c r="AO168" s="30">
        <v>452600</v>
      </c>
      <c r="AP168" s="30">
        <f>Lookups!$B$58*0.6</f>
        <v>132535.48800000001</v>
      </c>
      <c r="AQ168" s="30">
        <f>Lookups!$B$58*0.4</f>
        <v>88356.992000000013</v>
      </c>
      <c r="AR168" s="30">
        <f>Lookups!$B$59*Inventory[[#This Row],[LnAcres]]</f>
        <v>-19062.212194773616</v>
      </c>
      <c r="AS168" s="30">
        <f>VLOOKUP(Inventory[[#This Row],[Qlty]],Lookups!$A$66:$E$79,2,FALSE)</f>
        <v>32917.849192000001</v>
      </c>
      <c r="AT168" s="30">
        <f>VLOOKUP(Inventory[[#This Row],[Cnd]],Lookups!$A$80:$E$88,2,FALSE)</f>
        <v>47371.278778200001</v>
      </c>
      <c r="AU168" s="30">
        <f>Inventory[[#This Row],[EffAge]]*Lookups!$B$65</f>
        <v>-326.22329999999999</v>
      </c>
      <c r="AV168" s="30">
        <f>Inventory[[#This Row],[MainFn]]*Lookups!$B$90</f>
        <v>143419.05324000001</v>
      </c>
      <c r="AW168" s="30">
        <f>Inventory[[#This Row],[UpprFn]]*Lookups!$B$91</f>
        <v>0</v>
      </c>
      <c r="AX168" s="30">
        <f>Inventory[[#This Row],[Bsmt Area]]*Lookups!$B$95</f>
        <v>0</v>
      </c>
      <c r="AY168" s="30">
        <f>Inventory[[#This Row],[AttGar]]*Lookups!$B$93</f>
        <v>23934.099018000001</v>
      </c>
      <c r="AZ168" s="30">
        <f>ROUND(Inventory[[#This Row],[25Det]],-2)</f>
        <v>0</v>
      </c>
      <c r="BA168" s="30">
        <f>ROUND(SUM(Inventory[[#This Row],[Mdl Qlty]:[Mdl Garage Area]])+Inventory[[#This Row],[Mdl Res Intercept]],-2)</f>
        <v>379900</v>
      </c>
      <c r="BB168" s="30">
        <f>ROUND(Inventory[[#This Row],[Mdl Land Intercept]]+Inventory[[#This Row],[Mdl LnAcres]],-2)</f>
        <v>69300</v>
      </c>
      <c r="BC168" s="30">
        <f>Inventory[[#This Row],[Unadj Res Value]]+Inventory[[#This Row],[Unadj Det Value]]+Inventory[[#This Row],[Unadj Land Value]]</f>
        <v>449200</v>
      </c>
      <c r="BD168" s="30">
        <f>(Inventory[[#This Row],[Unadj Total Value]]-Inventory[[#This Row],[24Final]])/Inventory[[#This Row],[24Final]]</f>
        <v>-7.5121520106053909E-3</v>
      </c>
      <c r="BE168" s="30">
        <f>VLOOKUP(Inventory[[#This Row],[Nbhd]],Lookups!$M$3:$P$5,4,FALSE)</f>
        <v>0.99970000000000003</v>
      </c>
      <c r="BF168" s="30">
        <f>VLOOKUP(Inventory[[#This Row],[Qlty]],Lookups!$M$8:$P$22,4,FALSE)</f>
        <v>1.0019</v>
      </c>
      <c r="BG168" s="30">
        <f>VLOOKUP(Inventory[[#This Row],[Cnd]],Lookups!$R$8:$U$17,4,FALSE)</f>
        <v>1.0012000000000001</v>
      </c>
      <c r="BH168" s="30">
        <f>VLOOKUP(Inventory[[#This Row],[LivArea Range]],Lookups!$R$25:$U$43,4,FALSE)</f>
        <v>1.0008999999999999</v>
      </c>
      <c r="BI168" s="30">
        <f>VLOOKUP(Inventory[[#This Row],[Decade]],Lookups!$M$24:$P$40,4,FALSE)</f>
        <v>1</v>
      </c>
      <c r="BJ168" s="30">
        <f>Inventory[[#This Row],[Nbhd Adj]]*0.95</f>
        <v>0.94971499999999998</v>
      </c>
      <c r="BK168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68" s="30">
        <f>ROUND((SUM(Inventory[[#This Row],[Mdl Qlty]:[Mdl Garage Area]])+Inventory[[#This Row],[Mdl Res Intercept]])*Inventory[[#This Row],[Res Adj ]],-2)</f>
        <v>361100</v>
      </c>
      <c r="BM168" s="30">
        <f>ROUND(Inventory[[#This Row],[25Det]]*Inventory[[#This Row],[Det/Nbhd Adj]],-2)</f>
        <v>0</v>
      </c>
      <c r="BN168" s="30">
        <f>Inventory[[#This Row],[Adjusted Res]]+Inventory[[#This Row],[Adj Det ]]</f>
        <v>361100</v>
      </c>
      <c r="BO168" s="30">
        <f>ROUND((Inventory[[#This Row],[Mdl Land Intercept]]+Inventory[[#This Row],[Mdl LnAcres]])*Inventory[[#This Row],[Det/Nbhd Adj]],-2)</f>
        <v>65800</v>
      </c>
      <c r="BP168" s="30">
        <f>Inventory[[#This Row],[Adjusted Impr Total]]+Inventory[[#This Row],[Adjusted Land Total]]</f>
        <v>426900</v>
      </c>
      <c r="BQ168" s="30">
        <f>IFERROR((Inventory[[#This Row],[Adjusted Impr Total]]-Inventory[[#This Row],[24Bldg]])/Inventory[[#This Row],[24Bldg]],0)</f>
        <v>-6.6201189552624773E-2</v>
      </c>
      <c r="BR168" s="43">
        <f>(Inventory[[#This Row],[Adjusted Land Total]]-Inventory[[#This Row],[24Lnd]])/Inventory[[#This Row],[24Lnd]]</f>
        <v>-1.5174506828528073E-3</v>
      </c>
      <c r="BS168" s="43">
        <f>(Inventory[[#This Row],[Adjusted Total]]-Inventory[[#This Row],[24Final]])/Inventory[[#This Row],[24Final]]</f>
        <v>-5.678303137428193E-2</v>
      </c>
    </row>
    <row r="169" spans="1:71">
      <c r="A169" s="30">
        <v>2025</v>
      </c>
      <c r="B169" s="31" t="s">
        <v>678</v>
      </c>
      <c r="C169" s="31">
        <f>LN(Inventory[[#This Row],[Acres]])</f>
        <v>-1.4271163556401458</v>
      </c>
      <c r="D169" s="37">
        <f>ROUND(Inventory[[#This Row],[Sqft]]/43560,3)</f>
        <v>0.24</v>
      </c>
      <c r="E169" s="30">
        <v>10438</v>
      </c>
      <c r="F169" s="31" t="s">
        <v>505</v>
      </c>
      <c r="G169" s="31" t="s">
        <v>155</v>
      </c>
      <c r="H169" s="31" t="s">
        <v>5</v>
      </c>
      <c r="I169" s="31" t="s">
        <v>506</v>
      </c>
      <c r="J169" s="31" t="s">
        <v>507</v>
      </c>
      <c r="K169" s="31" t="s">
        <v>157</v>
      </c>
      <c r="L169" s="31" t="s">
        <v>19</v>
      </c>
      <c r="M169" s="31" t="s">
        <v>24</v>
      </c>
      <c r="N169" s="31">
        <v>0</v>
      </c>
      <c r="O169" s="31">
        <f>2024-Inventory[[#This Row],[YrBlt]]</f>
        <v>3</v>
      </c>
      <c r="P169" s="31">
        <f>2024-Inventory[[#This Row],[EffYr]]</f>
        <v>3</v>
      </c>
      <c r="Q169" s="30">
        <v>2021</v>
      </c>
      <c r="R169" s="30">
        <v>2021</v>
      </c>
      <c r="S169" s="30">
        <v>1257</v>
      </c>
      <c r="T169" s="38">
        <v>1451</v>
      </c>
      <c r="U169" s="32"/>
      <c r="V169" s="32"/>
      <c r="W169" s="32"/>
      <c r="X169" s="32">
        <f>Inventory[[#This Row],[Bsmt Area]]-Inventory[[#This Row],[FnBsmt]]</f>
        <v>0</v>
      </c>
      <c r="Y169" s="32">
        <f>Inventory[[#This Row],[MainFn]]+Inventory[[#This Row],[UpprFn]]+Inventory[[#This Row],[AddFn]]+Inventory[[#This Row],[FnBsmt]]</f>
        <v>2708</v>
      </c>
      <c r="Z169" s="32">
        <v>3000</v>
      </c>
      <c r="AA169" s="31" t="s">
        <v>56</v>
      </c>
      <c r="AB169" s="38">
        <v>1</v>
      </c>
      <c r="AC169" s="32"/>
      <c r="AD169" s="38">
        <v>438</v>
      </c>
      <c r="AE169" s="32"/>
      <c r="AF169" s="32"/>
      <c r="AG169" s="32"/>
      <c r="AH169" s="32"/>
      <c r="AI169" s="30">
        <v>459837</v>
      </c>
      <c r="AJ169" s="30">
        <v>446042</v>
      </c>
      <c r="AK169" s="30">
        <v>0</v>
      </c>
      <c r="AL169" s="30">
        <v>0</v>
      </c>
      <c r="AM169" s="30">
        <v>66500</v>
      </c>
      <c r="AN169" s="30">
        <v>397900</v>
      </c>
      <c r="AO169" s="30">
        <v>464400</v>
      </c>
      <c r="AP169" s="30">
        <f>Lookups!$B$58*0.6</f>
        <v>132535.48800000001</v>
      </c>
      <c r="AQ169" s="30">
        <f>Lookups!$B$58*0.4</f>
        <v>88356.992000000013</v>
      </c>
      <c r="AR169" s="30">
        <f>Lookups!$B$59*Inventory[[#This Row],[LnAcres]]</f>
        <v>-18729.933155771436</v>
      </c>
      <c r="AS169" s="30">
        <f>VLOOKUP(Inventory[[#This Row],[Qlty]],Lookups!$A$66:$E$79,2,FALSE)</f>
        <v>37154.252388000001</v>
      </c>
      <c r="AT169" s="30">
        <f>VLOOKUP(Inventory[[#This Row],[Cnd]],Lookups!$A$80:$E$88,2,FALSE)</f>
        <v>47371.278778200001</v>
      </c>
      <c r="AU169" s="30">
        <f>Inventory[[#This Row],[EffAge]]*Lookups!$B$65</f>
        <v>-326.22329999999999</v>
      </c>
      <c r="AV169" s="30">
        <f>Inventory[[#This Row],[MainFn]]*Lookups!$B$90</f>
        <v>78449.847659999999</v>
      </c>
      <c r="AW169" s="30">
        <f>Inventory[[#This Row],[UpprFn]]*Lookups!$B$91</f>
        <v>86451.135733000003</v>
      </c>
      <c r="AX169" s="30">
        <f>Inventory[[#This Row],[Bsmt Area]]*Lookups!$B$95</f>
        <v>0</v>
      </c>
      <c r="AY169" s="30">
        <f>Inventory[[#This Row],[AttGar]]*Lookups!$B$93</f>
        <v>0</v>
      </c>
      <c r="AZ169" s="30">
        <f>ROUND(Inventory[[#This Row],[25Det]],-2)</f>
        <v>0</v>
      </c>
      <c r="BA169" s="30">
        <f>ROUND(SUM(Inventory[[#This Row],[Mdl Qlty]:[Mdl Garage Area]])+Inventory[[#This Row],[Mdl Res Intercept]],-2)</f>
        <v>381600</v>
      </c>
      <c r="BB169" s="30">
        <f>ROUND(Inventory[[#This Row],[Mdl Land Intercept]]+Inventory[[#This Row],[Mdl LnAcres]],-2)</f>
        <v>69600</v>
      </c>
      <c r="BC169" s="30">
        <f>Inventory[[#This Row],[Unadj Res Value]]+Inventory[[#This Row],[Unadj Det Value]]+Inventory[[#This Row],[Unadj Land Value]]</f>
        <v>451200</v>
      </c>
      <c r="BD169" s="30">
        <f>(Inventory[[#This Row],[Unadj Total Value]]-Inventory[[#This Row],[24Final]])/Inventory[[#This Row],[24Final]]</f>
        <v>-2.8423772609819122E-2</v>
      </c>
      <c r="BE169" s="30">
        <f>VLOOKUP(Inventory[[#This Row],[Nbhd]],Lookups!$M$3:$P$5,4,FALSE)</f>
        <v>0.99970000000000003</v>
      </c>
      <c r="BF169" s="30">
        <f>VLOOKUP(Inventory[[#This Row],[Qlty]],Lookups!$M$8:$P$22,4,FALSE)</f>
        <v>0.99819999999999998</v>
      </c>
      <c r="BG169" s="30">
        <f>VLOOKUP(Inventory[[#This Row],[Cnd]],Lookups!$R$8:$U$17,4,FALSE)</f>
        <v>1.0012000000000001</v>
      </c>
      <c r="BH169" s="30">
        <f>VLOOKUP(Inventory[[#This Row],[LivArea Range]],Lookups!$R$25:$U$43,4,FALSE)</f>
        <v>1.0099</v>
      </c>
      <c r="BI169" s="30">
        <f>VLOOKUP(Inventory[[#This Row],[Decade]],Lookups!$M$24:$P$40,4,FALSE)</f>
        <v>1</v>
      </c>
      <c r="BJ169" s="30">
        <f>Inventory[[#This Row],[Nbhd Adj]]*0.95</f>
        <v>0.94971499999999998</v>
      </c>
      <c r="BK169" s="30">
        <f>AVERAGE(Inventory[[#This Row],[Nbhd Adj]],Inventory[[#This Row],[Quality Adj]],Inventory[[#This Row],[Condition Adj]],Inventory[[#This Row],[Living Area Adj]],Inventory[[#This Row],[Decade Adj]])*0.95</f>
        <v>0.95170999999999994</v>
      </c>
      <c r="BL169" s="30">
        <f>ROUND((SUM(Inventory[[#This Row],[Mdl Qlty]:[Mdl Garage Area]])+Inventory[[#This Row],[Mdl Res Intercept]])*Inventory[[#This Row],[Res Adj ]],-2)</f>
        <v>363200</v>
      </c>
      <c r="BM169" s="30">
        <f>ROUND(Inventory[[#This Row],[25Det]]*Inventory[[#This Row],[Det/Nbhd Adj]],-2)</f>
        <v>0</v>
      </c>
      <c r="BN169" s="30">
        <f>Inventory[[#This Row],[Adjusted Res]]+Inventory[[#This Row],[Adj Det ]]</f>
        <v>363200</v>
      </c>
      <c r="BO169" s="30">
        <f>ROUND((Inventory[[#This Row],[Mdl Land Intercept]]+Inventory[[#This Row],[Mdl LnAcres]])*Inventory[[#This Row],[Det/Nbhd Adj]],-2)</f>
        <v>66100</v>
      </c>
      <c r="BP169" s="30">
        <f>Inventory[[#This Row],[Adjusted Impr Total]]+Inventory[[#This Row],[Adjusted Land Total]]</f>
        <v>429300</v>
      </c>
      <c r="BQ169" s="30">
        <f>IFERROR((Inventory[[#This Row],[Adjusted Impr Total]]-Inventory[[#This Row],[24Bldg]])/Inventory[[#This Row],[24Bldg]],0)</f>
        <v>-8.7207841166122138E-2</v>
      </c>
      <c r="BR169" s="43">
        <f>(Inventory[[#This Row],[Adjusted Land Total]]-Inventory[[#This Row],[24Lnd]])/Inventory[[#This Row],[24Lnd]]</f>
        <v>-6.0150375939849628E-3</v>
      </c>
      <c r="BS169" s="43">
        <f>(Inventory[[#This Row],[Adjusted Total]]-Inventory[[#This Row],[24Final]])/Inventory[[#This Row],[24Final]]</f>
        <v>-7.5581395348837205E-2</v>
      </c>
    </row>
    <row r="170" spans="1:71">
      <c r="A170" s="30">
        <v>2025</v>
      </c>
      <c r="B170" s="31" t="s">
        <v>679</v>
      </c>
      <c r="C170" s="31">
        <f>LN(Inventory[[#This Row],[Acres]])</f>
        <v>-1.8451602459551701</v>
      </c>
      <c r="D170" s="37">
        <f>ROUND(Inventory[[#This Row],[Sqft]]/43560,3)</f>
        <v>0.158</v>
      </c>
      <c r="E170" s="30">
        <v>6865</v>
      </c>
      <c r="F170" s="31" t="s">
        <v>505</v>
      </c>
      <c r="G170" s="31" t="s">
        <v>155</v>
      </c>
      <c r="H170" s="31" t="s">
        <v>5</v>
      </c>
      <c r="I170" s="31" t="s">
        <v>506</v>
      </c>
      <c r="J170" s="31" t="s">
        <v>507</v>
      </c>
      <c r="K170" s="31" t="s">
        <v>330</v>
      </c>
      <c r="L170" s="31" t="s">
        <v>19</v>
      </c>
      <c r="M170" s="31" t="s">
        <v>18</v>
      </c>
      <c r="N170" s="31">
        <v>0</v>
      </c>
      <c r="O170" s="31">
        <f>2024-Inventory[[#This Row],[YrBlt]]</f>
        <v>4</v>
      </c>
      <c r="P170" s="31">
        <f>2024-Inventory[[#This Row],[EffYr]]</f>
        <v>4</v>
      </c>
      <c r="Q170" s="30">
        <v>2020</v>
      </c>
      <c r="R170" s="30">
        <v>2020</v>
      </c>
      <c r="S170" s="30">
        <v>1560</v>
      </c>
      <c r="T170" s="37"/>
      <c r="U170" s="37"/>
      <c r="V170" s="32"/>
      <c r="W170" s="32"/>
      <c r="X170" s="32">
        <f>Inventory[[#This Row],[Bsmt Area]]-Inventory[[#This Row],[FnBsmt]]</f>
        <v>0</v>
      </c>
      <c r="Y170" s="32">
        <f>Inventory[[#This Row],[MainFn]]+Inventory[[#This Row],[UpprFn]]+Inventory[[#This Row],[AddFn]]+Inventory[[#This Row],[FnBsmt]]</f>
        <v>1560</v>
      </c>
      <c r="Z170" s="32">
        <v>2000</v>
      </c>
      <c r="AA170" s="31" t="s">
        <v>56</v>
      </c>
      <c r="AB170" s="38">
        <v>1</v>
      </c>
      <c r="AC170" s="38">
        <v>420</v>
      </c>
      <c r="AD170" s="32"/>
      <c r="AE170" s="32"/>
      <c r="AF170" s="32"/>
      <c r="AG170" s="32"/>
      <c r="AH170" s="32"/>
      <c r="AI170" s="30">
        <v>317604</v>
      </c>
      <c r="AJ170" s="30">
        <v>304900</v>
      </c>
      <c r="AK170" s="30">
        <v>0</v>
      </c>
      <c r="AL170" s="30">
        <v>0</v>
      </c>
      <c r="AM170" s="30">
        <v>60800</v>
      </c>
      <c r="AN170" s="30">
        <v>324800</v>
      </c>
      <c r="AO170" s="30">
        <v>385600</v>
      </c>
      <c r="AP170" s="30">
        <f>Lookups!$B$58*0.6</f>
        <v>132535.48800000001</v>
      </c>
      <c r="AQ170" s="30">
        <f>Lookups!$B$58*0.4</f>
        <v>88356.992000000013</v>
      </c>
      <c r="AR170" s="30">
        <f>Lookups!$B$59*Inventory[[#This Row],[LnAcres]]</f>
        <v>-24216.475364354603</v>
      </c>
      <c r="AS170" s="30">
        <f>VLOOKUP(Inventory[[#This Row],[Qlty]],Lookups!$A$66:$E$79,2,FALSE)</f>
        <v>37154.252388000001</v>
      </c>
      <c r="AT170" s="30">
        <f>VLOOKUP(Inventory[[#This Row],[Cnd]],Lookups!$A$80:$E$88,2,FALSE)</f>
        <v>17761.121909000001</v>
      </c>
      <c r="AU170" s="30">
        <f>Inventory[[#This Row],[EffAge]]*Lookups!$B$65</f>
        <v>-434.96440000000001</v>
      </c>
      <c r="AV170" s="30">
        <f>Inventory[[#This Row],[MainFn]]*Lookups!$B$90</f>
        <v>97360.192800000004</v>
      </c>
      <c r="AW170" s="30">
        <f>Inventory[[#This Row],[UpprFn]]*Lookups!$B$91</f>
        <v>0</v>
      </c>
      <c r="AX170" s="30">
        <f>Inventory[[#This Row],[Bsmt Area]]*Lookups!$B$95</f>
        <v>0</v>
      </c>
      <c r="AY170" s="30">
        <f>Inventory[[#This Row],[AttGar]]*Lookups!$B$93</f>
        <v>14826.43302</v>
      </c>
      <c r="AZ170" s="30">
        <f>ROUND(Inventory[[#This Row],[25Det]],-2)</f>
        <v>0</v>
      </c>
      <c r="BA170" s="30">
        <f>ROUND(SUM(Inventory[[#This Row],[Mdl Qlty]:[Mdl Garage Area]])+Inventory[[#This Row],[Mdl Res Intercept]],-2)</f>
        <v>299200</v>
      </c>
      <c r="BB170" s="30">
        <f>ROUND(Inventory[[#This Row],[Mdl Land Intercept]]+Inventory[[#This Row],[Mdl LnAcres]],-2)</f>
        <v>64100</v>
      </c>
      <c r="BC170" s="30">
        <f>Inventory[[#This Row],[Unadj Res Value]]+Inventory[[#This Row],[Unadj Det Value]]+Inventory[[#This Row],[Unadj Land Value]]</f>
        <v>363300</v>
      </c>
      <c r="BD170" s="30">
        <f>(Inventory[[#This Row],[Unadj Total Value]]-Inventory[[#This Row],[24Final]])/Inventory[[#This Row],[24Final]]</f>
        <v>-5.7831950207468882E-2</v>
      </c>
      <c r="BE170" s="30">
        <f>VLOOKUP(Inventory[[#This Row],[Nbhd]],Lookups!$M$3:$P$5,4,FALSE)</f>
        <v>0.99970000000000003</v>
      </c>
      <c r="BF170" s="30">
        <f>VLOOKUP(Inventory[[#This Row],[Qlty]],Lookups!$M$8:$P$22,4,FALSE)</f>
        <v>0.99819999999999998</v>
      </c>
      <c r="BG170" s="30">
        <f>VLOOKUP(Inventory[[#This Row],[Cnd]],Lookups!$R$8:$U$17,4,FALSE)</f>
        <v>0.99680000000000002</v>
      </c>
      <c r="BH170" s="30">
        <f>VLOOKUP(Inventory[[#This Row],[LivArea Range]],Lookups!$R$25:$U$43,4,FALSE)</f>
        <v>1.0007999999999999</v>
      </c>
      <c r="BI170" s="30">
        <f>VLOOKUP(Inventory[[#This Row],[Decade]],Lookups!$M$24:$P$40,4,FALSE)</f>
        <v>1</v>
      </c>
      <c r="BJ170" s="30">
        <f>Inventory[[#This Row],[Nbhd Adj]]*0.95</f>
        <v>0.94971499999999998</v>
      </c>
      <c r="BK170" s="30">
        <f>AVERAGE(Inventory[[#This Row],[Nbhd Adj]],Inventory[[#This Row],[Quality Adj]],Inventory[[#This Row],[Condition Adj]],Inventory[[#This Row],[Living Area Adj]],Inventory[[#This Row],[Decade Adj]])*0.95</f>
        <v>0.94914499999999991</v>
      </c>
      <c r="BL170" s="30">
        <f>ROUND((SUM(Inventory[[#This Row],[Mdl Qlty]:[Mdl Garage Area]])+Inventory[[#This Row],[Mdl Res Intercept]])*Inventory[[#This Row],[Res Adj ]],-2)</f>
        <v>284000</v>
      </c>
      <c r="BM170" s="30">
        <f>ROUND(Inventory[[#This Row],[25Det]]*Inventory[[#This Row],[Det/Nbhd Adj]],-2)</f>
        <v>0</v>
      </c>
      <c r="BN170" s="30">
        <f>Inventory[[#This Row],[Adjusted Res]]+Inventory[[#This Row],[Adj Det ]]</f>
        <v>284000</v>
      </c>
      <c r="BO170" s="30">
        <f>ROUND((Inventory[[#This Row],[Mdl Land Intercept]]+Inventory[[#This Row],[Mdl LnAcres]])*Inventory[[#This Row],[Det/Nbhd Adj]],-2)</f>
        <v>60900</v>
      </c>
      <c r="BP170" s="30">
        <f>Inventory[[#This Row],[Adjusted Impr Total]]+Inventory[[#This Row],[Adjusted Land Total]]</f>
        <v>344900</v>
      </c>
      <c r="BQ170" s="30">
        <f>IFERROR((Inventory[[#This Row],[Adjusted Impr Total]]-Inventory[[#This Row],[24Bldg]])/Inventory[[#This Row],[24Bldg]],0)</f>
        <v>-0.12561576354679804</v>
      </c>
      <c r="BR170" s="43">
        <f>(Inventory[[#This Row],[Adjusted Land Total]]-Inventory[[#This Row],[24Lnd]])/Inventory[[#This Row],[24Lnd]]</f>
        <v>1.6447368421052631E-3</v>
      </c>
      <c r="BS170" s="43">
        <f>(Inventory[[#This Row],[Adjusted Total]]-Inventory[[#This Row],[24Final]])/Inventory[[#This Row],[24Final]]</f>
        <v>-0.10554979253112033</v>
      </c>
    </row>
    <row r="171" spans="1:71">
      <c r="A171" s="30">
        <v>2025</v>
      </c>
      <c r="B171" s="31" t="s">
        <v>680</v>
      </c>
      <c r="C171" s="31">
        <f>LN(Inventory[[#This Row],[Acres]])</f>
        <v>-1.8140050781753747</v>
      </c>
      <c r="D171" s="37">
        <f>ROUND(Inventory[[#This Row],[Sqft]]/43560,3)</f>
        <v>0.16300000000000001</v>
      </c>
      <c r="E171" s="30">
        <v>7100</v>
      </c>
      <c r="F171" s="31" t="s">
        <v>505</v>
      </c>
      <c r="G171" s="31" t="s">
        <v>155</v>
      </c>
      <c r="H171" s="31" t="s">
        <v>5</v>
      </c>
      <c r="I171" s="31" t="s">
        <v>506</v>
      </c>
      <c r="J171" s="31" t="s">
        <v>507</v>
      </c>
      <c r="K171" s="31" t="s">
        <v>330</v>
      </c>
      <c r="L171" s="31" t="s">
        <v>19</v>
      </c>
      <c r="M171" s="31" t="s">
        <v>24</v>
      </c>
      <c r="N171" s="31">
        <v>0</v>
      </c>
      <c r="O171" s="31">
        <f>2024-Inventory[[#This Row],[YrBlt]]</f>
        <v>4</v>
      </c>
      <c r="P171" s="31">
        <f>2024-Inventory[[#This Row],[EffYr]]</f>
        <v>4</v>
      </c>
      <c r="Q171" s="30">
        <v>2020</v>
      </c>
      <c r="R171" s="30">
        <v>2020</v>
      </c>
      <c r="S171" s="30">
        <v>1418</v>
      </c>
      <c r="T171" s="38">
        <v>1632</v>
      </c>
      <c r="U171" s="32"/>
      <c r="V171" s="32"/>
      <c r="W171" s="32"/>
      <c r="X171" s="32">
        <f>Inventory[[#This Row],[Bsmt Area]]-Inventory[[#This Row],[FnBsmt]]</f>
        <v>0</v>
      </c>
      <c r="Y171" s="32">
        <f>Inventory[[#This Row],[MainFn]]+Inventory[[#This Row],[UpprFn]]+Inventory[[#This Row],[AddFn]]+Inventory[[#This Row],[FnBsmt]]</f>
        <v>3050</v>
      </c>
      <c r="Z171" s="32">
        <v>3500</v>
      </c>
      <c r="AA171" s="31" t="s">
        <v>56</v>
      </c>
      <c r="AB171" s="32"/>
      <c r="AC171" s="38">
        <v>504</v>
      </c>
      <c r="AD171" s="38">
        <v>342</v>
      </c>
      <c r="AE171" s="32"/>
      <c r="AF171" s="32"/>
      <c r="AG171" s="32"/>
      <c r="AH171" s="32"/>
      <c r="AI171" s="30">
        <v>495234</v>
      </c>
      <c r="AJ171" s="30">
        <v>480377</v>
      </c>
      <c r="AK171" s="30">
        <v>0</v>
      </c>
      <c r="AL171" s="30">
        <v>0</v>
      </c>
      <c r="AM171" s="30">
        <v>60800</v>
      </c>
      <c r="AN171" s="30">
        <v>418500</v>
      </c>
      <c r="AO171" s="30">
        <v>479300</v>
      </c>
      <c r="AP171" s="30">
        <f>Lookups!$B$58*0.6</f>
        <v>132535.48800000001</v>
      </c>
      <c r="AQ171" s="30">
        <f>Lookups!$B$58*0.4</f>
        <v>88356.992000000013</v>
      </c>
      <c r="AR171" s="30">
        <f>Lookups!$B$59*Inventory[[#This Row],[LnAcres]]</f>
        <v>-23807.584941603713</v>
      </c>
      <c r="AS171" s="30">
        <f>VLOOKUP(Inventory[[#This Row],[Qlty]],Lookups!$A$66:$E$79,2,FALSE)</f>
        <v>37154.252388000001</v>
      </c>
      <c r="AT171" s="30">
        <f>VLOOKUP(Inventory[[#This Row],[Cnd]],Lookups!$A$80:$E$88,2,FALSE)</f>
        <v>47371.278778200001</v>
      </c>
      <c r="AU171" s="30">
        <f>Inventory[[#This Row],[EffAge]]*Lookups!$B$65</f>
        <v>-434.96440000000001</v>
      </c>
      <c r="AV171" s="30">
        <f>Inventory[[#This Row],[MainFn]]*Lookups!$B$90</f>
        <v>88497.918839999998</v>
      </c>
      <c r="AW171" s="30">
        <f>Inventory[[#This Row],[UpprFn]]*Lookups!$B$91</f>
        <v>97235.185056000002</v>
      </c>
      <c r="AX171" s="30">
        <f>Inventory[[#This Row],[Bsmt Area]]*Lookups!$B$95</f>
        <v>0</v>
      </c>
      <c r="AY171" s="30">
        <f>Inventory[[#This Row],[AttGar]]*Lookups!$B$93</f>
        <v>17791.719624000001</v>
      </c>
      <c r="AZ171" s="30">
        <f>ROUND(Inventory[[#This Row],[25Det]],-2)</f>
        <v>0</v>
      </c>
      <c r="BA171" s="30">
        <f>ROUND(SUM(Inventory[[#This Row],[Mdl Qlty]:[Mdl Garage Area]])+Inventory[[#This Row],[Mdl Res Intercept]],-2)</f>
        <v>420200</v>
      </c>
      <c r="BB171" s="30">
        <f>ROUND(Inventory[[#This Row],[Mdl Land Intercept]]+Inventory[[#This Row],[Mdl LnAcres]],-2)</f>
        <v>64500</v>
      </c>
      <c r="BC171" s="30">
        <f>Inventory[[#This Row],[Unadj Res Value]]+Inventory[[#This Row],[Unadj Det Value]]+Inventory[[#This Row],[Unadj Land Value]]</f>
        <v>484700</v>
      </c>
      <c r="BD171" s="30">
        <f>(Inventory[[#This Row],[Unadj Total Value]]-Inventory[[#This Row],[24Final]])/Inventory[[#This Row],[24Final]]</f>
        <v>1.1266430210723972E-2</v>
      </c>
      <c r="BE171" s="30">
        <f>VLOOKUP(Inventory[[#This Row],[Nbhd]],Lookups!$M$3:$P$5,4,FALSE)</f>
        <v>0.99970000000000003</v>
      </c>
      <c r="BF171" s="30">
        <f>VLOOKUP(Inventory[[#This Row],[Qlty]],Lookups!$M$8:$P$22,4,FALSE)</f>
        <v>0.99819999999999998</v>
      </c>
      <c r="BG171" s="30">
        <f>VLOOKUP(Inventory[[#This Row],[Cnd]],Lookups!$R$8:$U$17,4,FALSE)</f>
        <v>1.0012000000000001</v>
      </c>
      <c r="BH171" s="30">
        <f>VLOOKUP(Inventory[[#This Row],[LivArea Range]],Lookups!$R$25:$U$43,4,FALSE)</f>
        <v>0.98509999999999998</v>
      </c>
      <c r="BI171" s="30">
        <f>VLOOKUP(Inventory[[#This Row],[Decade]],Lookups!$M$24:$P$40,4,FALSE)</f>
        <v>1</v>
      </c>
      <c r="BJ171" s="30">
        <f>Inventory[[#This Row],[Nbhd Adj]]*0.95</f>
        <v>0.94971499999999998</v>
      </c>
      <c r="BK171" s="30">
        <f>AVERAGE(Inventory[[#This Row],[Nbhd Adj]],Inventory[[#This Row],[Quality Adj]],Inventory[[#This Row],[Condition Adj]],Inventory[[#This Row],[Living Area Adj]],Inventory[[#This Row],[Decade Adj]])*0.95</f>
        <v>0.94699800000000001</v>
      </c>
      <c r="BL171" s="30">
        <f>ROUND((SUM(Inventory[[#This Row],[Mdl Qlty]:[Mdl Garage Area]])+Inventory[[#This Row],[Mdl Res Intercept]])*Inventory[[#This Row],[Res Adj ]],-2)</f>
        <v>397900</v>
      </c>
      <c r="BM171" s="30">
        <f>ROUND(Inventory[[#This Row],[25Det]]*Inventory[[#This Row],[Det/Nbhd Adj]],-2)</f>
        <v>0</v>
      </c>
      <c r="BN171" s="30">
        <f>Inventory[[#This Row],[Adjusted Res]]+Inventory[[#This Row],[Adj Det ]]</f>
        <v>397900</v>
      </c>
      <c r="BO171" s="30">
        <f>ROUND((Inventory[[#This Row],[Mdl Land Intercept]]+Inventory[[#This Row],[Mdl LnAcres]])*Inventory[[#This Row],[Det/Nbhd Adj]],-2)</f>
        <v>61300</v>
      </c>
      <c r="BP171" s="30">
        <f>Inventory[[#This Row],[Adjusted Impr Total]]+Inventory[[#This Row],[Adjusted Land Total]]</f>
        <v>459200</v>
      </c>
      <c r="BQ171" s="30">
        <f>IFERROR((Inventory[[#This Row],[Adjusted Impr Total]]-Inventory[[#This Row],[24Bldg]])/Inventory[[#This Row],[24Bldg]],0)</f>
        <v>-4.922341696535245E-2</v>
      </c>
      <c r="BR171" s="43">
        <f>(Inventory[[#This Row],[Adjusted Land Total]]-Inventory[[#This Row],[24Lnd]])/Inventory[[#This Row],[24Lnd]]</f>
        <v>8.2236842105263153E-3</v>
      </c>
      <c r="BS171" s="43">
        <f>(Inventory[[#This Row],[Adjusted Total]]-Inventory[[#This Row],[24Final]])/Inventory[[#This Row],[24Final]]</f>
        <v>-4.1936156895472566E-2</v>
      </c>
    </row>
    <row r="172" spans="1:71">
      <c r="A172" s="30">
        <v>2025</v>
      </c>
      <c r="B172" s="31" t="s">
        <v>681</v>
      </c>
      <c r="C172" s="31">
        <f>LN(Inventory[[#This Row],[Acres]])</f>
        <v>-1.8140050781753747</v>
      </c>
      <c r="D172" s="37">
        <f>ROUND(Inventory[[#This Row],[Sqft]]/43560,3)</f>
        <v>0.16300000000000001</v>
      </c>
      <c r="E172" s="30">
        <v>7100</v>
      </c>
      <c r="F172" s="31" t="s">
        <v>505</v>
      </c>
      <c r="G172" s="31" t="s">
        <v>155</v>
      </c>
      <c r="H172" s="31" t="s">
        <v>5</v>
      </c>
      <c r="I172" s="31" t="s">
        <v>506</v>
      </c>
      <c r="J172" s="31" t="s">
        <v>507</v>
      </c>
      <c r="K172" s="31" t="s">
        <v>330</v>
      </c>
      <c r="L172" s="31" t="s">
        <v>21</v>
      </c>
      <c r="M172" s="31" t="s">
        <v>24</v>
      </c>
      <c r="N172" s="31">
        <v>0</v>
      </c>
      <c r="O172" s="31">
        <f>2024-Inventory[[#This Row],[YrBlt]]</f>
        <v>4</v>
      </c>
      <c r="P172" s="31">
        <f>2024-Inventory[[#This Row],[EffYr]]</f>
        <v>4</v>
      </c>
      <c r="Q172" s="30">
        <v>2020</v>
      </c>
      <c r="R172" s="30">
        <v>2020</v>
      </c>
      <c r="S172" s="30">
        <v>1720</v>
      </c>
      <c r="T172" s="32"/>
      <c r="U172" s="32"/>
      <c r="V172" s="32"/>
      <c r="W172" s="32"/>
      <c r="X172" s="32">
        <f>Inventory[[#This Row],[Bsmt Area]]-Inventory[[#This Row],[FnBsmt]]</f>
        <v>0</v>
      </c>
      <c r="Y172" s="32">
        <f>Inventory[[#This Row],[MainFn]]+Inventory[[#This Row],[UpprFn]]+Inventory[[#This Row],[AddFn]]+Inventory[[#This Row],[FnBsmt]]</f>
        <v>1720</v>
      </c>
      <c r="Z172" s="32">
        <v>2000</v>
      </c>
      <c r="AA172" s="31" t="s">
        <v>56</v>
      </c>
      <c r="AB172" s="38">
        <v>1</v>
      </c>
      <c r="AC172" s="38">
        <v>723</v>
      </c>
      <c r="AD172" s="32"/>
      <c r="AE172" s="32"/>
      <c r="AF172" s="32"/>
      <c r="AG172" s="32"/>
      <c r="AH172" s="32"/>
      <c r="AI172" s="30">
        <v>392555</v>
      </c>
      <c r="AJ172" s="30">
        <v>380778</v>
      </c>
      <c r="AK172" s="30">
        <v>0</v>
      </c>
      <c r="AL172" s="30">
        <v>0</v>
      </c>
      <c r="AM172" s="30">
        <v>60800</v>
      </c>
      <c r="AN172" s="30">
        <v>343900</v>
      </c>
      <c r="AO172" s="30">
        <v>404700</v>
      </c>
      <c r="AP172" s="30">
        <f>Lookups!$B$58*0.6</f>
        <v>132535.48800000001</v>
      </c>
      <c r="AQ172" s="30">
        <f>Lookups!$B$58*0.4</f>
        <v>88356.992000000013</v>
      </c>
      <c r="AR172" s="30">
        <f>Lookups!$B$59*Inventory[[#This Row],[LnAcres]]</f>
        <v>-23807.584941603713</v>
      </c>
      <c r="AS172" s="30">
        <f>VLOOKUP(Inventory[[#This Row],[Qlty]],Lookups!$A$66:$E$79,2,FALSE)</f>
        <v>32917.849192000001</v>
      </c>
      <c r="AT172" s="30">
        <f>VLOOKUP(Inventory[[#This Row],[Cnd]],Lookups!$A$80:$E$88,2,FALSE)</f>
        <v>47371.278778200001</v>
      </c>
      <c r="AU172" s="30">
        <f>Inventory[[#This Row],[EffAge]]*Lookups!$B$65</f>
        <v>-434.96440000000001</v>
      </c>
      <c r="AV172" s="30">
        <f>Inventory[[#This Row],[MainFn]]*Lookups!$B$90</f>
        <v>107345.8536</v>
      </c>
      <c r="AW172" s="30">
        <f>Inventory[[#This Row],[UpprFn]]*Lookups!$B$91</f>
        <v>0</v>
      </c>
      <c r="AX172" s="30">
        <f>Inventory[[#This Row],[Bsmt Area]]*Lookups!$B$95</f>
        <v>0</v>
      </c>
      <c r="AY172" s="30">
        <f>Inventory[[#This Row],[AttGar]]*Lookups!$B$93</f>
        <v>25522.645413000002</v>
      </c>
      <c r="AZ172" s="30">
        <f>ROUND(Inventory[[#This Row],[25Det]],-2)</f>
        <v>0</v>
      </c>
      <c r="BA172" s="30">
        <f>ROUND(SUM(Inventory[[#This Row],[Mdl Qlty]:[Mdl Garage Area]])+Inventory[[#This Row],[Mdl Res Intercept]],-2)</f>
        <v>345300</v>
      </c>
      <c r="BB172" s="30">
        <f>ROUND(Inventory[[#This Row],[Mdl Land Intercept]]+Inventory[[#This Row],[Mdl LnAcres]],-2)</f>
        <v>64500</v>
      </c>
      <c r="BC172" s="30">
        <f>Inventory[[#This Row],[Unadj Res Value]]+Inventory[[#This Row],[Unadj Det Value]]+Inventory[[#This Row],[Unadj Land Value]]</f>
        <v>409800</v>
      </c>
      <c r="BD172" s="30">
        <f>(Inventory[[#This Row],[Unadj Total Value]]-Inventory[[#This Row],[24Final]])/Inventory[[#This Row],[24Final]]</f>
        <v>1.2601927353595256E-2</v>
      </c>
      <c r="BE172" s="30">
        <f>VLOOKUP(Inventory[[#This Row],[Nbhd]],Lookups!$M$3:$P$5,4,FALSE)</f>
        <v>0.99970000000000003</v>
      </c>
      <c r="BF172" s="30">
        <f>VLOOKUP(Inventory[[#This Row],[Qlty]],Lookups!$M$8:$P$22,4,FALSE)</f>
        <v>1.0019</v>
      </c>
      <c r="BG172" s="30">
        <f>VLOOKUP(Inventory[[#This Row],[Cnd]],Lookups!$R$8:$U$17,4,FALSE)</f>
        <v>1.0012000000000001</v>
      </c>
      <c r="BH172" s="30">
        <f>VLOOKUP(Inventory[[#This Row],[LivArea Range]],Lookups!$R$25:$U$43,4,FALSE)</f>
        <v>1.0007999999999999</v>
      </c>
      <c r="BI172" s="30">
        <f>VLOOKUP(Inventory[[#This Row],[Decade]],Lookups!$M$24:$P$40,4,FALSE)</f>
        <v>1</v>
      </c>
      <c r="BJ172" s="30">
        <f>Inventory[[#This Row],[Nbhd Adj]]*0.95</f>
        <v>0.94971499999999998</v>
      </c>
      <c r="BK172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172" s="30">
        <f>ROUND((SUM(Inventory[[#This Row],[Mdl Qlty]:[Mdl Garage Area]])+Inventory[[#This Row],[Mdl Res Intercept]])*Inventory[[#This Row],[Res Adj ]],-2)</f>
        <v>328200</v>
      </c>
      <c r="BM172" s="30">
        <f>ROUND(Inventory[[#This Row],[25Det]]*Inventory[[#This Row],[Det/Nbhd Adj]],-2)</f>
        <v>0</v>
      </c>
      <c r="BN172" s="30">
        <f>Inventory[[#This Row],[Adjusted Res]]+Inventory[[#This Row],[Adj Det ]]</f>
        <v>328200</v>
      </c>
      <c r="BO172" s="30">
        <f>ROUND((Inventory[[#This Row],[Mdl Land Intercept]]+Inventory[[#This Row],[Mdl LnAcres]])*Inventory[[#This Row],[Det/Nbhd Adj]],-2)</f>
        <v>61300</v>
      </c>
      <c r="BP172" s="30">
        <f>Inventory[[#This Row],[Adjusted Impr Total]]+Inventory[[#This Row],[Adjusted Land Total]]</f>
        <v>389500</v>
      </c>
      <c r="BQ172" s="30">
        <f>IFERROR((Inventory[[#This Row],[Adjusted Impr Total]]-Inventory[[#This Row],[24Bldg]])/Inventory[[#This Row],[24Bldg]],0)</f>
        <v>-4.5652806048269844E-2</v>
      </c>
      <c r="BR172" s="43">
        <f>(Inventory[[#This Row],[Adjusted Land Total]]-Inventory[[#This Row],[24Lnd]])/Inventory[[#This Row],[24Lnd]]</f>
        <v>8.2236842105263153E-3</v>
      </c>
      <c r="BS172" s="43">
        <f>(Inventory[[#This Row],[Adjusted Total]]-Inventory[[#This Row],[24Final]])/Inventory[[#This Row],[24Final]]</f>
        <v>-3.7558685446009391E-2</v>
      </c>
    </row>
    <row r="173" spans="1:71">
      <c r="A173" s="30">
        <v>2025</v>
      </c>
      <c r="B173" s="31" t="s">
        <v>682</v>
      </c>
      <c r="C173" s="31">
        <f>LN(Inventory[[#This Row],[Acres]])</f>
        <v>-1.8140050781753747</v>
      </c>
      <c r="D173" s="37">
        <f>ROUND(Inventory[[#This Row],[Sqft]]/43560,3)</f>
        <v>0.16300000000000001</v>
      </c>
      <c r="E173" s="30">
        <v>7100</v>
      </c>
      <c r="F173" s="31" t="s">
        <v>505</v>
      </c>
      <c r="G173" s="31" t="s">
        <v>155</v>
      </c>
      <c r="H173" s="31" t="s">
        <v>5</v>
      </c>
      <c r="I173" s="31" t="s">
        <v>506</v>
      </c>
      <c r="J173" s="31" t="s">
        <v>507</v>
      </c>
      <c r="K173" s="31" t="s">
        <v>330</v>
      </c>
      <c r="L173" s="31" t="s">
        <v>21</v>
      </c>
      <c r="M173" s="31" t="s">
        <v>24</v>
      </c>
      <c r="N173" s="31">
        <v>0</v>
      </c>
      <c r="O173" s="31">
        <f>2024-Inventory[[#This Row],[YrBlt]]</f>
        <v>4</v>
      </c>
      <c r="P173" s="31">
        <f>2024-Inventory[[#This Row],[EffYr]]</f>
        <v>4</v>
      </c>
      <c r="Q173" s="30">
        <v>2020</v>
      </c>
      <c r="R173" s="30">
        <v>2020</v>
      </c>
      <c r="S173" s="30">
        <v>1708</v>
      </c>
      <c r="T173" s="32"/>
      <c r="U173" s="37"/>
      <c r="V173" s="32"/>
      <c r="W173" s="32"/>
      <c r="X173" s="32">
        <f>Inventory[[#This Row],[Bsmt Area]]-Inventory[[#This Row],[FnBsmt]]</f>
        <v>0</v>
      </c>
      <c r="Y173" s="32">
        <f>Inventory[[#This Row],[MainFn]]+Inventory[[#This Row],[UpprFn]]+Inventory[[#This Row],[AddFn]]+Inventory[[#This Row],[FnBsmt]]</f>
        <v>1708</v>
      </c>
      <c r="Z173" s="32">
        <v>2000</v>
      </c>
      <c r="AA173" s="31" t="s">
        <v>56</v>
      </c>
      <c r="AB173" s="38">
        <v>1</v>
      </c>
      <c r="AC173" s="30">
        <v>420</v>
      </c>
      <c r="AD173" s="32"/>
      <c r="AE173" s="32"/>
      <c r="AF173" s="32"/>
      <c r="AG173" s="32"/>
      <c r="AH173" s="32"/>
      <c r="AI173" s="30">
        <v>376595</v>
      </c>
      <c r="AJ173" s="30">
        <v>365297</v>
      </c>
      <c r="AK173" s="30">
        <v>0</v>
      </c>
      <c r="AL173" s="30">
        <v>0</v>
      </c>
      <c r="AM173" s="30">
        <v>60800</v>
      </c>
      <c r="AN173" s="30">
        <v>329600</v>
      </c>
      <c r="AO173" s="30">
        <v>390400</v>
      </c>
      <c r="AP173" s="30">
        <f>Lookups!$B$58*0.6</f>
        <v>132535.48800000001</v>
      </c>
      <c r="AQ173" s="30">
        <f>Lookups!$B$58*0.4</f>
        <v>88356.992000000013</v>
      </c>
      <c r="AR173" s="30">
        <f>Lookups!$B$59*Inventory[[#This Row],[LnAcres]]</f>
        <v>-23807.584941603713</v>
      </c>
      <c r="AS173" s="30">
        <f>VLOOKUP(Inventory[[#This Row],[Qlty]],Lookups!$A$66:$E$79,2,FALSE)</f>
        <v>32917.849192000001</v>
      </c>
      <c r="AT173" s="30">
        <f>VLOOKUP(Inventory[[#This Row],[Cnd]],Lookups!$A$80:$E$88,2,FALSE)</f>
        <v>47371.278778200001</v>
      </c>
      <c r="AU173" s="30">
        <f>Inventory[[#This Row],[EffAge]]*Lookups!$B$65</f>
        <v>-434.96440000000001</v>
      </c>
      <c r="AV173" s="30">
        <f>Inventory[[#This Row],[MainFn]]*Lookups!$B$90</f>
        <v>106596.92904</v>
      </c>
      <c r="AW173" s="30">
        <f>Inventory[[#This Row],[UpprFn]]*Lookups!$B$91</f>
        <v>0</v>
      </c>
      <c r="AX173" s="30">
        <f>Inventory[[#This Row],[Bsmt Area]]*Lookups!$B$95</f>
        <v>0</v>
      </c>
      <c r="AY173" s="30">
        <f>Inventory[[#This Row],[AttGar]]*Lookups!$B$93</f>
        <v>14826.43302</v>
      </c>
      <c r="AZ173" s="30">
        <f>ROUND(Inventory[[#This Row],[25Det]],-2)</f>
        <v>0</v>
      </c>
      <c r="BA173" s="30">
        <f>ROUND(SUM(Inventory[[#This Row],[Mdl Qlty]:[Mdl Garage Area]])+Inventory[[#This Row],[Mdl Res Intercept]],-2)</f>
        <v>333800</v>
      </c>
      <c r="BB173" s="30">
        <f>ROUND(Inventory[[#This Row],[Mdl Land Intercept]]+Inventory[[#This Row],[Mdl LnAcres]],-2)</f>
        <v>64500</v>
      </c>
      <c r="BC173" s="30">
        <f>Inventory[[#This Row],[Unadj Res Value]]+Inventory[[#This Row],[Unadj Det Value]]+Inventory[[#This Row],[Unadj Land Value]]</f>
        <v>398300</v>
      </c>
      <c r="BD173" s="30">
        <f>(Inventory[[#This Row],[Unadj Total Value]]-Inventory[[#This Row],[24Final]])/Inventory[[#This Row],[24Final]]</f>
        <v>2.023565573770492E-2</v>
      </c>
      <c r="BE173" s="30">
        <f>VLOOKUP(Inventory[[#This Row],[Nbhd]],Lookups!$M$3:$P$5,4,FALSE)</f>
        <v>0.99970000000000003</v>
      </c>
      <c r="BF173" s="30">
        <f>VLOOKUP(Inventory[[#This Row],[Qlty]],Lookups!$M$8:$P$22,4,FALSE)</f>
        <v>1.0019</v>
      </c>
      <c r="BG173" s="30">
        <f>VLOOKUP(Inventory[[#This Row],[Cnd]],Lookups!$R$8:$U$17,4,FALSE)</f>
        <v>1.0012000000000001</v>
      </c>
      <c r="BH173" s="30">
        <f>VLOOKUP(Inventory[[#This Row],[LivArea Range]],Lookups!$R$25:$U$43,4,FALSE)</f>
        <v>1.0007999999999999</v>
      </c>
      <c r="BI173" s="30">
        <f>VLOOKUP(Inventory[[#This Row],[Decade]],Lookups!$M$24:$P$40,4,FALSE)</f>
        <v>1</v>
      </c>
      <c r="BJ173" s="30">
        <f>Inventory[[#This Row],[Nbhd Adj]]*0.95</f>
        <v>0.94971499999999998</v>
      </c>
      <c r="BK173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173" s="30">
        <f>ROUND((SUM(Inventory[[#This Row],[Mdl Qlty]:[Mdl Garage Area]])+Inventory[[#This Row],[Mdl Res Intercept]])*Inventory[[#This Row],[Res Adj ]],-2)</f>
        <v>317400</v>
      </c>
      <c r="BM173" s="30">
        <f>ROUND(Inventory[[#This Row],[25Det]]*Inventory[[#This Row],[Det/Nbhd Adj]],-2)</f>
        <v>0</v>
      </c>
      <c r="BN173" s="30">
        <f>Inventory[[#This Row],[Adjusted Res]]+Inventory[[#This Row],[Adj Det ]]</f>
        <v>317400</v>
      </c>
      <c r="BO173" s="30">
        <f>ROUND((Inventory[[#This Row],[Mdl Land Intercept]]+Inventory[[#This Row],[Mdl LnAcres]])*Inventory[[#This Row],[Det/Nbhd Adj]],-2)</f>
        <v>61300</v>
      </c>
      <c r="BP173" s="30">
        <f>Inventory[[#This Row],[Adjusted Impr Total]]+Inventory[[#This Row],[Adjusted Land Total]]</f>
        <v>378700</v>
      </c>
      <c r="BQ173" s="30">
        <f>IFERROR((Inventory[[#This Row],[Adjusted Impr Total]]-Inventory[[#This Row],[24Bldg]])/Inventory[[#This Row],[24Bldg]],0)</f>
        <v>-3.7014563106796114E-2</v>
      </c>
      <c r="BR173" s="43">
        <f>(Inventory[[#This Row],[Adjusted Land Total]]-Inventory[[#This Row],[24Lnd]])/Inventory[[#This Row],[24Lnd]]</f>
        <v>8.2236842105263153E-3</v>
      </c>
      <c r="BS173" s="43">
        <f>(Inventory[[#This Row],[Adjusted Total]]-Inventory[[#This Row],[24Final]])/Inventory[[#This Row],[24Final]]</f>
        <v>-2.9969262295081966E-2</v>
      </c>
    </row>
    <row r="174" spans="1:71">
      <c r="A174" s="30">
        <v>2025</v>
      </c>
      <c r="B174" s="31" t="s">
        <v>683</v>
      </c>
      <c r="C174" s="31">
        <f>LN(Inventory[[#This Row],[Acres]])</f>
        <v>-1.8140050781753747</v>
      </c>
      <c r="D174" s="37">
        <f>ROUND(Inventory[[#This Row],[Sqft]]/43560,3)</f>
        <v>0.16300000000000001</v>
      </c>
      <c r="E174" s="30">
        <v>7100</v>
      </c>
      <c r="F174" s="31" t="s">
        <v>505</v>
      </c>
      <c r="G174" s="31" t="s">
        <v>155</v>
      </c>
      <c r="H174" s="31" t="s">
        <v>5</v>
      </c>
      <c r="I174" s="31" t="s">
        <v>506</v>
      </c>
      <c r="J174" s="31" t="s">
        <v>507</v>
      </c>
      <c r="K174" s="31" t="s">
        <v>330</v>
      </c>
      <c r="L174" s="31" t="s">
        <v>21</v>
      </c>
      <c r="M174" s="31" t="s">
        <v>24</v>
      </c>
      <c r="N174" s="31">
        <v>0</v>
      </c>
      <c r="O174" s="31">
        <f>2024-Inventory[[#This Row],[YrBlt]]</f>
        <v>4</v>
      </c>
      <c r="P174" s="31">
        <f>2024-Inventory[[#This Row],[EffYr]]</f>
        <v>4</v>
      </c>
      <c r="Q174" s="30">
        <v>2020</v>
      </c>
      <c r="R174" s="30">
        <v>2020</v>
      </c>
      <c r="S174" s="30">
        <v>1708</v>
      </c>
      <c r="T174" s="32"/>
      <c r="U174" s="32"/>
      <c r="V174" s="32"/>
      <c r="W174" s="32"/>
      <c r="X174" s="32">
        <f>Inventory[[#This Row],[Bsmt Area]]-Inventory[[#This Row],[FnBsmt]]</f>
        <v>0</v>
      </c>
      <c r="Y174" s="32">
        <f>Inventory[[#This Row],[MainFn]]+Inventory[[#This Row],[UpprFn]]+Inventory[[#This Row],[AddFn]]+Inventory[[#This Row],[FnBsmt]]</f>
        <v>1708</v>
      </c>
      <c r="Z174" s="32">
        <v>2000</v>
      </c>
      <c r="AA174" s="31" t="s">
        <v>56</v>
      </c>
      <c r="AB174" s="32"/>
      <c r="AC174" s="38">
        <v>420</v>
      </c>
      <c r="AD174" s="32"/>
      <c r="AE174" s="32"/>
      <c r="AF174" s="32"/>
      <c r="AG174" s="32"/>
      <c r="AH174" s="32"/>
      <c r="AI174" s="30">
        <v>372812</v>
      </c>
      <c r="AJ174" s="30">
        <v>361628</v>
      </c>
      <c r="AK174" s="30">
        <v>0</v>
      </c>
      <c r="AL174" s="30">
        <v>0</v>
      </c>
      <c r="AM174" s="30">
        <v>60800</v>
      </c>
      <c r="AN174" s="30">
        <v>324200</v>
      </c>
      <c r="AO174" s="30">
        <v>385000</v>
      </c>
      <c r="AP174" s="30">
        <f>Lookups!$B$58*0.6</f>
        <v>132535.48800000001</v>
      </c>
      <c r="AQ174" s="30">
        <f>Lookups!$B$58*0.4</f>
        <v>88356.992000000013</v>
      </c>
      <c r="AR174" s="30">
        <f>Lookups!$B$59*Inventory[[#This Row],[LnAcres]]</f>
        <v>-23807.584941603713</v>
      </c>
      <c r="AS174" s="30">
        <f>VLOOKUP(Inventory[[#This Row],[Qlty]],Lookups!$A$66:$E$79,2,FALSE)</f>
        <v>32917.849192000001</v>
      </c>
      <c r="AT174" s="30">
        <f>VLOOKUP(Inventory[[#This Row],[Cnd]],Lookups!$A$80:$E$88,2,FALSE)</f>
        <v>47371.278778200001</v>
      </c>
      <c r="AU174" s="30">
        <f>Inventory[[#This Row],[EffAge]]*Lookups!$B$65</f>
        <v>-434.96440000000001</v>
      </c>
      <c r="AV174" s="30">
        <f>Inventory[[#This Row],[MainFn]]*Lookups!$B$90</f>
        <v>106596.92904</v>
      </c>
      <c r="AW174" s="30">
        <f>Inventory[[#This Row],[UpprFn]]*Lookups!$B$91</f>
        <v>0</v>
      </c>
      <c r="AX174" s="30">
        <f>Inventory[[#This Row],[Bsmt Area]]*Lookups!$B$95</f>
        <v>0</v>
      </c>
      <c r="AY174" s="30">
        <f>Inventory[[#This Row],[AttGar]]*Lookups!$B$93</f>
        <v>14826.43302</v>
      </c>
      <c r="AZ174" s="30">
        <f>ROUND(Inventory[[#This Row],[25Det]],-2)</f>
        <v>0</v>
      </c>
      <c r="BA174" s="30">
        <f>ROUND(SUM(Inventory[[#This Row],[Mdl Qlty]:[Mdl Garage Area]])+Inventory[[#This Row],[Mdl Res Intercept]],-2)</f>
        <v>333800</v>
      </c>
      <c r="BB174" s="30">
        <f>ROUND(Inventory[[#This Row],[Mdl Land Intercept]]+Inventory[[#This Row],[Mdl LnAcres]],-2)</f>
        <v>64500</v>
      </c>
      <c r="BC174" s="30">
        <f>Inventory[[#This Row],[Unadj Res Value]]+Inventory[[#This Row],[Unadj Det Value]]+Inventory[[#This Row],[Unadj Land Value]]</f>
        <v>398300</v>
      </c>
      <c r="BD174" s="30">
        <f>(Inventory[[#This Row],[Unadj Total Value]]-Inventory[[#This Row],[24Final]])/Inventory[[#This Row],[24Final]]</f>
        <v>3.4545454545454546E-2</v>
      </c>
      <c r="BE174" s="30">
        <f>VLOOKUP(Inventory[[#This Row],[Nbhd]],Lookups!$M$3:$P$5,4,FALSE)</f>
        <v>0.99970000000000003</v>
      </c>
      <c r="BF174" s="30">
        <f>VLOOKUP(Inventory[[#This Row],[Qlty]],Lookups!$M$8:$P$22,4,FALSE)</f>
        <v>1.0019</v>
      </c>
      <c r="BG174" s="30">
        <f>VLOOKUP(Inventory[[#This Row],[Cnd]],Lookups!$R$8:$U$17,4,FALSE)</f>
        <v>1.0012000000000001</v>
      </c>
      <c r="BH174" s="30">
        <f>VLOOKUP(Inventory[[#This Row],[LivArea Range]],Lookups!$R$25:$U$43,4,FALSE)</f>
        <v>1.0007999999999999</v>
      </c>
      <c r="BI174" s="30">
        <f>VLOOKUP(Inventory[[#This Row],[Decade]],Lookups!$M$24:$P$40,4,FALSE)</f>
        <v>1</v>
      </c>
      <c r="BJ174" s="30">
        <f>Inventory[[#This Row],[Nbhd Adj]]*0.95</f>
        <v>0.94971499999999998</v>
      </c>
      <c r="BK174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174" s="30">
        <f>ROUND((SUM(Inventory[[#This Row],[Mdl Qlty]:[Mdl Garage Area]])+Inventory[[#This Row],[Mdl Res Intercept]])*Inventory[[#This Row],[Res Adj ]],-2)</f>
        <v>317400</v>
      </c>
      <c r="BM174" s="30">
        <f>ROUND(Inventory[[#This Row],[25Det]]*Inventory[[#This Row],[Det/Nbhd Adj]],-2)</f>
        <v>0</v>
      </c>
      <c r="BN174" s="30">
        <f>Inventory[[#This Row],[Adjusted Res]]+Inventory[[#This Row],[Adj Det ]]</f>
        <v>317400</v>
      </c>
      <c r="BO174" s="30">
        <f>ROUND((Inventory[[#This Row],[Mdl Land Intercept]]+Inventory[[#This Row],[Mdl LnAcres]])*Inventory[[#This Row],[Det/Nbhd Adj]],-2)</f>
        <v>61300</v>
      </c>
      <c r="BP174" s="30">
        <f>Inventory[[#This Row],[Adjusted Impr Total]]+Inventory[[#This Row],[Adjusted Land Total]]</f>
        <v>378700</v>
      </c>
      <c r="BQ174" s="30">
        <f>IFERROR((Inventory[[#This Row],[Adjusted Impr Total]]-Inventory[[#This Row],[24Bldg]])/Inventory[[#This Row],[24Bldg]],0)</f>
        <v>-2.0974706971005553E-2</v>
      </c>
      <c r="BR174" s="43">
        <f>(Inventory[[#This Row],[Adjusted Land Total]]-Inventory[[#This Row],[24Lnd]])/Inventory[[#This Row],[24Lnd]]</f>
        <v>8.2236842105263153E-3</v>
      </c>
      <c r="BS174" s="43">
        <f>(Inventory[[#This Row],[Adjusted Total]]-Inventory[[#This Row],[24Final]])/Inventory[[#This Row],[24Final]]</f>
        <v>-1.6363636363636365E-2</v>
      </c>
    </row>
    <row r="175" spans="1:71">
      <c r="A175" s="30">
        <v>2025</v>
      </c>
      <c r="B175" s="31" t="s">
        <v>684</v>
      </c>
      <c r="C175" s="31">
        <f>LN(Inventory[[#This Row],[Acres]])</f>
        <v>-1.8140050781753747</v>
      </c>
      <c r="D175" s="37">
        <f>ROUND(Inventory[[#This Row],[Sqft]]/43560,3)</f>
        <v>0.16300000000000001</v>
      </c>
      <c r="E175" s="30">
        <v>7100</v>
      </c>
      <c r="F175" s="31" t="s">
        <v>505</v>
      </c>
      <c r="G175" s="31" t="s">
        <v>155</v>
      </c>
      <c r="H175" s="31" t="s">
        <v>5</v>
      </c>
      <c r="I175" s="31" t="s">
        <v>506</v>
      </c>
      <c r="J175" s="31" t="s">
        <v>507</v>
      </c>
      <c r="K175" s="31" t="s">
        <v>330</v>
      </c>
      <c r="L175" s="31" t="s">
        <v>19</v>
      </c>
      <c r="M175" s="31" t="s">
        <v>24</v>
      </c>
      <c r="N175" s="31">
        <v>0</v>
      </c>
      <c r="O175" s="31">
        <f>2024-Inventory[[#This Row],[YrBlt]]</f>
        <v>4</v>
      </c>
      <c r="P175" s="31">
        <f>2024-Inventory[[#This Row],[EffYr]]</f>
        <v>4</v>
      </c>
      <c r="Q175" s="30">
        <v>2020</v>
      </c>
      <c r="R175" s="30">
        <v>2020</v>
      </c>
      <c r="S175" s="30">
        <v>1550</v>
      </c>
      <c r="T175" s="32"/>
      <c r="U175" s="32"/>
      <c r="V175" s="32"/>
      <c r="W175" s="32"/>
      <c r="X175" s="32">
        <f>Inventory[[#This Row],[Bsmt Area]]-Inventory[[#This Row],[FnBsmt]]</f>
        <v>0</v>
      </c>
      <c r="Y175" s="32">
        <f>Inventory[[#This Row],[MainFn]]+Inventory[[#This Row],[UpprFn]]+Inventory[[#This Row],[AddFn]]+Inventory[[#This Row],[FnBsmt]]</f>
        <v>1550</v>
      </c>
      <c r="Z175" s="32">
        <v>2000</v>
      </c>
      <c r="AA175" s="31" t="s">
        <v>56</v>
      </c>
      <c r="AB175" s="32"/>
      <c r="AC175" s="38">
        <v>420</v>
      </c>
      <c r="AD175" s="32"/>
      <c r="AE175" s="32"/>
      <c r="AF175" s="32"/>
      <c r="AG175" s="32"/>
      <c r="AH175" s="32"/>
      <c r="AI175" s="30">
        <v>303131</v>
      </c>
      <c r="AJ175" s="30">
        <v>294037</v>
      </c>
      <c r="AK175" s="30">
        <v>0</v>
      </c>
      <c r="AL175" s="30">
        <v>0</v>
      </c>
      <c r="AM175" s="30">
        <v>60800</v>
      </c>
      <c r="AN175" s="30">
        <v>316900</v>
      </c>
      <c r="AO175" s="30">
        <v>377700</v>
      </c>
      <c r="AP175" s="30">
        <f>Lookups!$B$58*0.6</f>
        <v>132535.48800000001</v>
      </c>
      <c r="AQ175" s="30">
        <f>Lookups!$B$58*0.4</f>
        <v>88356.992000000013</v>
      </c>
      <c r="AR175" s="30">
        <f>Lookups!$B$59*Inventory[[#This Row],[LnAcres]]</f>
        <v>-23807.584941603713</v>
      </c>
      <c r="AS175" s="30">
        <f>VLOOKUP(Inventory[[#This Row],[Qlty]],Lookups!$A$66:$E$79,2,FALSE)</f>
        <v>37154.252388000001</v>
      </c>
      <c r="AT175" s="30">
        <f>VLOOKUP(Inventory[[#This Row],[Cnd]],Lookups!$A$80:$E$88,2,FALSE)</f>
        <v>47371.278778200001</v>
      </c>
      <c r="AU175" s="30">
        <f>Inventory[[#This Row],[EffAge]]*Lookups!$B$65</f>
        <v>-434.96440000000001</v>
      </c>
      <c r="AV175" s="30">
        <f>Inventory[[#This Row],[MainFn]]*Lookups!$B$90</f>
        <v>96736.089000000007</v>
      </c>
      <c r="AW175" s="30">
        <f>Inventory[[#This Row],[UpprFn]]*Lookups!$B$91</f>
        <v>0</v>
      </c>
      <c r="AX175" s="30">
        <f>Inventory[[#This Row],[Bsmt Area]]*Lookups!$B$95</f>
        <v>0</v>
      </c>
      <c r="AY175" s="30">
        <f>Inventory[[#This Row],[AttGar]]*Lookups!$B$93</f>
        <v>14826.43302</v>
      </c>
      <c r="AZ175" s="30">
        <f>ROUND(Inventory[[#This Row],[25Det]],-2)</f>
        <v>0</v>
      </c>
      <c r="BA175" s="30">
        <f>ROUND(SUM(Inventory[[#This Row],[Mdl Qlty]:[Mdl Garage Area]])+Inventory[[#This Row],[Mdl Res Intercept]],-2)</f>
        <v>328200</v>
      </c>
      <c r="BB175" s="30">
        <f>ROUND(Inventory[[#This Row],[Mdl Land Intercept]]+Inventory[[#This Row],[Mdl LnAcres]],-2)</f>
        <v>64500</v>
      </c>
      <c r="BC175" s="30">
        <f>Inventory[[#This Row],[Unadj Res Value]]+Inventory[[#This Row],[Unadj Det Value]]+Inventory[[#This Row],[Unadj Land Value]]</f>
        <v>392700</v>
      </c>
      <c r="BD175" s="30">
        <f>(Inventory[[#This Row],[Unadj Total Value]]-Inventory[[#This Row],[24Final]])/Inventory[[#This Row],[24Final]]</f>
        <v>3.971405877680699E-2</v>
      </c>
      <c r="BE175" s="30">
        <f>VLOOKUP(Inventory[[#This Row],[Nbhd]],Lookups!$M$3:$P$5,4,FALSE)</f>
        <v>0.99970000000000003</v>
      </c>
      <c r="BF175" s="30">
        <f>VLOOKUP(Inventory[[#This Row],[Qlty]],Lookups!$M$8:$P$22,4,FALSE)</f>
        <v>0.99819999999999998</v>
      </c>
      <c r="BG175" s="30">
        <f>VLOOKUP(Inventory[[#This Row],[Cnd]],Lookups!$R$8:$U$17,4,FALSE)</f>
        <v>1.0012000000000001</v>
      </c>
      <c r="BH175" s="30">
        <f>VLOOKUP(Inventory[[#This Row],[LivArea Range]],Lookups!$R$25:$U$43,4,FALSE)</f>
        <v>1.0007999999999999</v>
      </c>
      <c r="BI175" s="30">
        <f>VLOOKUP(Inventory[[#This Row],[Decade]],Lookups!$M$24:$P$40,4,FALSE)</f>
        <v>1</v>
      </c>
      <c r="BJ175" s="30">
        <f>Inventory[[#This Row],[Nbhd Adj]]*0.95</f>
        <v>0.94971499999999998</v>
      </c>
      <c r="BK175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175" s="30">
        <f>ROUND((SUM(Inventory[[#This Row],[Mdl Qlty]:[Mdl Garage Area]])+Inventory[[#This Row],[Mdl Res Intercept]])*Inventory[[#This Row],[Res Adj ]],-2)</f>
        <v>311800</v>
      </c>
      <c r="BM175" s="30">
        <f>ROUND(Inventory[[#This Row],[25Det]]*Inventory[[#This Row],[Det/Nbhd Adj]],-2)</f>
        <v>0</v>
      </c>
      <c r="BN175" s="30">
        <f>Inventory[[#This Row],[Adjusted Res]]+Inventory[[#This Row],[Adj Det ]]</f>
        <v>311800</v>
      </c>
      <c r="BO175" s="30">
        <f>ROUND((Inventory[[#This Row],[Mdl Land Intercept]]+Inventory[[#This Row],[Mdl LnAcres]])*Inventory[[#This Row],[Det/Nbhd Adj]],-2)</f>
        <v>61300</v>
      </c>
      <c r="BP175" s="30">
        <f>Inventory[[#This Row],[Adjusted Impr Total]]+Inventory[[#This Row],[Adjusted Land Total]]</f>
        <v>373100</v>
      </c>
      <c r="BQ175" s="30">
        <f>IFERROR((Inventory[[#This Row],[Adjusted Impr Total]]-Inventory[[#This Row],[24Bldg]])/Inventory[[#This Row],[24Bldg]],0)</f>
        <v>-1.6093404859577155E-2</v>
      </c>
      <c r="BR175" s="43">
        <f>(Inventory[[#This Row],[Adjusted Land Total]]-Inventory[[#This Row],[24Lnd]])/Inventory[[#This Row],[24Lnd]]</f>
        <v>8.2236842105263153E-3</v>
      </c>
      <c r="BS175" s="43">
        <f>(Inventory[[#This Row],[Adjusted Total]]-Inventory[[#This Row],[24Final]])/Inventory[[#This Row],[24Final]]</f>
        <v>-1.2178978024887478E-2</v>
      </c>
    </row>
    <row r="176" spans="1:71">
      <c r="A176" s="30">
        <v>2025</v>
      </c>
      <c r="B176" s="31" t="s">
        <v>685</v>
      </c>
      <c r="C176" s="31">
        <f>LN(Inventory[[#This Row],[Acres]])</f>
        <v>-1.7897614665653818</v>
      </c>
      <c r="D176" s="37">
        <f>ROUND(Inventory[[#This Row],[Sqft]]/43560,3)</f>
        <v>0.16700000000000001</v>
      </c>
      <c r="E176" s="30">
        <v>7263</v>
      </c>
      <c r="F176" s="31" t="s">
        <v>505</v>
      </c>
      <c r="G176" s="31" t="s">
        <v>155</v>
      </c>
      <c r="H176" s="31" t="s">
        <v>5</v>
      </c>
      <c r="I176" s="31" t="s">
        <v>506</v>
      </c>
      <c r="J176" s="31" t="s">
        <v>507</v>
      </c>
      <c r="K176" s="31" t="s">
        <v>330</v>
      </c>
      <c r="L176" s="31" t="s">
        <v>19</v>
      </c>
      <c r="M176" s="31" t="s">
        <v>24</v>
      </c>
      <c r="N176" s="31">
        <v>0</v>
      </c>
      <c r="O176" s="31">
        <f>2024-Inventory[[#This Row],[YrBlt]]</f>
        <v>4</v>
      </c>
      <c r="P176" s="31">
        <f>2024-Inventory[[#This Row],[EffYr]]</f>
        <v>4</v>
      </c>
      <c r="Q176" s="30">
        <v>2020</v>
      </c>
      <c r="R176" s="30">
        <v>2020</v>
      </c>
      <c r="S176" s="30">
        <v>1164</v>
      </c>
      <c r="T176" s="38">
        <v>1426</v>
      </c>
      <c r="U176" s="32"/>
      <c r="V176" s="32"/>
      <c r="W176" s="32"/>
      <c r="X176" s="32">
        <f>Inventory[[#This Row],[Bsmt Area]]-Inventory[[#This Row],[FnBsmt]]</f>
        <v>0</v>
      </c>
      <c r="Y176" s="32">
        <f>Inventory[[#This Row],[MainFn]]+Inventory[[#This Row],[UpprFn]]+Inventory[[#This Row],[AddFn]]+Inventory[[#This Row],[FnBsmt]]</f>
        <v>2590</v>
      </c>
      <c r="Z176" s="32">
        <v>3000</v>
      </c>
      <c r="AA176" s="31" t="s">
        <v>56</v>
      </c>
      <c r="AB176" s="32"/>
      <c r="AC176" s="32"/>
      <c r="AD176" s="38">
        <v>528</v>
      </c>
      <c r="AE176" s="32"/>
      <c r="AF176" s="32"/>
      <c r="AG176" s="32"/>
      <c r="AH176" s="32"/>
      <c r="AI176" s="30">
        <v>433436</v>
      </c>
      <c r="AJ176" s="30">
        <v>420433</v>
      </c>
      <c r="AK176" s="30">
        <v>0</v>
      </c>
      <c r="AL176" s="30">
        <v>0</v>
      </c>
      <c r="AM176" s="30">
        <v>61700</v>
      </c>
      <c r="AN176" s="30">
        <v>394300</v>
      </c>
      <c r="AO176" s="30">
        <v>456000</v>
      </c>
      <c r="AP176" s="30">
        <f>Lookups!$B$58*0.6</f>
        <v>132535.48800000001</v>
      </c>
      <c r="AQ176" s="30">
        <f>Lookups!$B$58*0.4</f>
        <v>88356.992000000013</v>
      </c>
      <c r="AR176" s="30">
        <f>Lookups!$B$59*Inventory[[#This Row],[LnAcres]]</f>
        <v>-23489.404000634837</v>
      </c>
      <c r="AS176" s="30">
        <f>VLOOKUP(Inventory[[#This Row],[Qlty]],Lookups!$A$66:$E$79,2,FALSE)</f>
        <v>37154.252388000001</v>
      </c>
      <c r="AT176" s="30">
        <f>VLOOKUP(Inventory[[#This Row],[Cnd]],Lookups!$A$80:$E$88,2,FALSE)</f>
        <v>47371.278778200001</v>
      </c>
      <c r="AU176" s="30">
        <f>Inventory[[#This Row],[EffAge]]*Lookups!$B$65</f>
        <v>-434.96440000000001</v>
      </c>
      <c r="AV176" s="30">
        <f>Inventory[[#This Row],[MainFn]]*Lookups!$B$90</f>
        <v>72645.682320000007</v>
      </c>
      <c r="AW176" s="30">
        <f>Inventory[[#This Row],[UpprFn]]*Lookups!$B$91</f>
        <v>84961.626157999999</v>
      </c>
      <c r="AX176" s="30">
        <f>Inventory[[#This Row],[Bsmt Area]]*Lookups!$B$95</f>
        <v>0</v>
      </c>
      <c r="AY176" s="30">
        <f>Inventory[[#This Row],[AttGar]]*Lookups!$B$93</f>
        <v>0</v>
      </c>
      <c r="AZ176" s="30">
        <f>ROUND(Inventory[[#This Row],[25Det]],-2)</f>
        <v>0</v>
      </c>
      <c r="BA176" s="30">
        <f>ROUND(SUM(Inventory[[#This Row],[Mdl Qlty]:[Mdl Garage Area]])+Inventory[[#This Row],[Mdl Res Intercept]],-2)</f>
        <v>374200</v>
      </c>
      <c r="BB176" s="30">
        <f>ROUND(Inventory[[#This Row],[Mdl Land Intercept]]+Inventory[[#This Row],[Mdl LnAcres]],-2)</f>
        <v>64900</v>
      </c>
      <c r="BC176" s="30">
        <f>Inventory[[#This Row],[Unadj Res Value]]+Inventory[[#This Row],[Unadj Det Value]]+Inventory[[#This Row],[Unadj Land Value]]</f>
        <v>439100</v>
      </c>
      <c r="BD176" s="30">
        <f>(Inventory[[#This Row],[Unadj Total Value]]-Inventory[[#This Row],[24Final]])/Inventory[[#This Row],[24Final]]</f>
        <v>-3.7061403508771927E-2</v>
      </c>
      <c r="BE176" s="30">
        <f>VLOOKUP(Inventory[[#This Row],[Nbhd]],Lookups!$M$3:$P$5,4,FALSE)</f>
        <v>0.99970000000000003</v>
      </c>
      <c r="BF176" s="30">
        <f>VLOOKUP(Inventory[[#This Row],[Qlty]],Lookups!$M$8:$P$22,4,FALSE)</f>
        <v>0.99819999999999998</v>
      </c>
      <c r="BG176" s="30">
        <f>VLOOKUP(Inventory[[#This Row],[Cnd]],Lookups!$R$8:$U$17,4,FALSE)</f>
        <v>1.0012000000000001</v>
      </c>
      <c r="BH176" s="30">
        <f>VLOOKUP(Inventory[[#This Row],[LivArea Range]],Lookups!$R$25:$U$43,4,FALSE)</f>
        <v>1.0099</v>
      </c>
      <c r="BI176" s="30">
        <f>VLOOKUP(Inventory[[#This Row],[Decade]],Lookups!$M$24:$P$40,4,FALSE)</f>
        <v>1</v>
      </c>
      <c r="BJ176" s="30">
        <f>Inventory[[#This Row],[Nbhd Adj]]*0.95</f>
        <v>0.94971499999999998</v>
      </c>
      <c r="BK176" s="30">
        <f>AVERAGE(Inventory[[#This Row],[Nbhd Adj]],Inventory[[#This Row],[Quality Adj]],Inventory[[#This Row],[Condition Adj]],Inventory[[#This Row],[Living Area Adj]],Inventory[[#This Row],[Decade Adj]])*0.95</f>
        <v>0.95170999999999994</v>
      </c>
      <c r="BL176" s="30">
        <f>ROUND((SUM(Inventory[[#This Row],[Mdl Qlty]:[Mdl Garage Area]])+Inventory[[#This Row],[Mdl Res Intercept]])*Inventory[[#This Row],[Res Adj ]],-2)</f>
        <v>356200</v>
      </c>
      <c r="BM176" s="30">
        <f>ROUND(Inventory[[#This Row],[25Det]]*Inventory[[#This Row],[Det/Nbhd Adj]],-2)</f>
        <v>0</v>
      </c>
      <c r="BN176" s="30">
        <f>Inventory[[#This Row],[Adjusted Res]]+Inventory[[#This Row],[Adj Det ]]</f>
        <v>356200</v>
      </c>
      <c r="BO176" s="30">
        <f>ROUND((Inventory[[#This Row],[Mdl Land Intercept]]+Inventory[[#This Row],[Mdl LnAcres]])*Inventory[[#This Row],[Det/Nbhd Adj]],-2)</f>
        <v>61600</v>
      </c>
      <c r="BP176" s="30">
        <f>Inventory[[#This Row],[Adjusted Impr Total]]+Inventory[[#This Row],[Adjusted Land Total]]</f>
        <v>417800</v>
      </c>
      <c r="BQ176" s="30">
        <f>IFERROR((Inventory[[#This Row],[Adjusted Impr Total]]-Inventory[[#This Row],[24Bldg]])/Inventory[[#This Row],[24Bldg]],0)</f>
        <v>-9.6626933806746126E-2</v>
      </c>
      <c r="BR176" s="43">
        <f>(Inventory[[#This Row],[Adjusted Land Total]]-Inventory[[#This Row],[24Lnd]])/Inventory[[#This Row],[24Lnd]]</f>
        <v>-1.6207455429497568E-3</v>
      </c>
      <c r="BS176" s="43">
        <f>(Inventory[[#This Row],[Adjusted Total]]-Inventory[[#This Row],[24Final]])/Inventory[[#This Row],[24Final]]</f>
        <v>-8.37719298245614E-2</v>
      </c>
    </row>
    <row r="177" spans="1:71">
      <c r="A177" s="30">
        <v>2025</v>
      </c>
      <c r="B177" s="31" t="s">
        <v>686</v>
      </c>
      <c r="C177" s="31">
        <f>LN(Inventory[[#This Row],[Acres]])</f>
        <v>-1.7897614665653818</v>
      </c>
      <c r="D177" s="37">
        <f>ROUND(Inventory[[#This Row],[Sqft]]/43560,3)</f>
        <v>0.16700000000000001</v>
      </c>
      <c r="E177" s="30">
        <v>7263</v>
      </c>
      <c r="F177" s="31" t="s">
        <v>505</v>
      </c>
      <c r="G177" s="31" t="s">
        <v>155</v>
      </c>
      <c r="H177" s="31" t="s">
        <v>5</v>
      </c>
      <c r="I177" s="31" t="s">
        <v>506</v>
      </c>
      <c r="J177" s="31" t="s">
        <v>507</v>
      </c>
      <c r="K177" s="31" t="s">
        <v>330</v>
      </c>
      <c r="L177" s="31" t="s">
        <v>21</v>
      </c>
      <c r="M177" s="31" t="s">
        <v>22</v>
      </c>
      <c r="N177" s="31">
        <v>0</v>
      </c>
      <c r="O177" s="31">
        <f>2024-Inventory[[#This Row],[YrBlt]]</f>
        <v>4</v>
      </c>
      <c r="P177" s="31">
        <f>2024-Inventory[[#This Row],[EffYr]]</f>
        <v>4</v>
      </c>
      <c r="Q177" s="30">
        <v>2020</v>
      </c>
      <c r="R177" s="30">
        <v>2020</v>
      </c>
      <c r="S177" s="30">
        <v>1860</v>
      </c>
      <c r="T177" s="32"/>
      <c r="U177" s="32"/>
      <c r="V177" s="32"/>
      <c r="W177" s="32"/>
      <c r="X177" s="32">
        <f>Inventory[[#This Row],[Bsmt Area]]-Inventory[[#This Row],[FnBsmt]]</f>
        <v>0</v>
      </c>
      <c r="Y177" s="32">
        <f>Inventory[[#This Row],[MainFn]]+Inventory[[#This Row],[UpprFn]]+Inventory[[#This Row],[AddFn]]+Inventory[[#This Row],[FnBsmt]]</f>
        <v>1860</v>
      </c>
      <c r="Z177" s="32">
        <v>2000</v>
      </c>
      <c r="AA177" s="31" t="s">
        <v>56</v>
      </c>
      <c r="AB177" s="32"/>
      <c r="AC177" s="30">
        <v>420</v>
      </c>
      <c r="AD177" s="32"/>
      <c r="AE177" s="32"/>
      <c r="AF177" s="32"/>
      <c r="AG177" s="32"/>
      <c r="AH177" s="32"/>
      <c r="AI177" s="30">
        <v>396630</v>
      </c>
      <c r="AJ177" s="30">
        <v>380765</v>
      </c>
      <c r="AK177" s="30">
        <v>0</v>
      </c>
      <c r="AL177" s="30">
        <v>0</v>
      </c>
      <c r="AM177" s="30">
        <v>61700</v>
      </c>
      <c r="AN177" s="30">
        <v>342100</v>
      </c>
      <c r="AO177" s="30">
        <v>403800</v>
      </c>
      <c r="AP177" s="30">
        <f>Lookups!$B$58*0.6</f>
        <v>132535.48800000001</v>
      </c>
      <c r="AQ177" s="30">
        <f>Lookups!$B$58*0.4</f>
        <v>88356.992000000013</v>
      </c>
      <c r="AR177" s="30">
        <f>Lookups!$B$59*Inventory[[#This Row],[LnAcres]]</f>
        <v>-23489.404000634837</v>
      </c>
      <c r="AS177" s="30">
        <f>VLOOKUP(Inventory[[#This Row],[Qlty]],Lookups!$A$66:$E$79,2,FALSE)</f>
        <v>32917.849192000001</v>
      </c>
      <c r="AT177" s="30">
        <f>VLOOKUP(Inventory[[#This Row],[Cnd]],Lookups!$A$80:$E$88,2,FALSE)</f>
        <v>50438.379078999998</v>
      </c>
      <c r="AU177" s="30">
        <f>Inventory[[#This Row],[EffAge]]*Lookups!$B$65</f>
        <v>-434.96440000000001</v>
      </c>
      <c r="AV177" s="30">
        <f>Inventory[[#This Row],[MainFn]]*Lookups!$B$90</f>
        <v>116083.30680000001</v>
      </c>
      <c r="AW177" s="30">
        <f>Inventory[[#This Row],[UpprFn]]*Lookups!$B$91</f>
        <v>0</v>
      </c>
      <c r="AX177" s="30">
        <f>Inventory[[#This Row],[Bsmt Area]]*Lookups!$B$95</f>
        <v>0</v>
      </c>
      <c r="AY177" s="30">
        <f>Inventory[[#This Row],[AttGar]]*Lookups!$B$93</f>
        <v>14826.43302</v>
      </c>
      <c r="AZ177" s="30">
        <f>ROUND(Inventory[[#This Row],[25Det]],-2)</f>
        <v>0</v>
      </c>
      <c r="BA177" s="30">
        <f>ROUND(SUM(Inventory[[#This Row],[Mdl Qlty]:[Mdl Garage Area]])+Inventory[[#This Row],[Mdl Res Intercept]],-2)</f>
        <v>346400</v>
      </c>
      <c r="BB177" s="30">
        <f>ROUND(Inventory[[#This Row],[Mdl Land Intercept]]+Inventory[[#This Row],[Mdl LnAcres]],-2)</f>
        <v>64900</v>
      </c>
      <c r="BC177" s="30">
        <f>Inventory[[#This Row],[Unadj Res Value]]+Inventory[[#This Row],[Unadj Det Value]]+Inventory[[#This Row],[Unadj Land Value]]</f>
        <v>411300</v>
      </c>
      <c r="BD177" s="30">
        <f>(Inventory[[#This Row],[Unadj Total Value]]-Inventory[[#This Row],[24Final]])/Inventory[[#This Row],[24Final]]</f>
        <v>1.8573551263001486E-2</v>
      </c>
      <c r="BE177" s="30">
        <f>VLOOKUP(Inventory[[#This Row],[Nbhd]],Lookups!$M$3:$P$5,4,FALSE)</f>
        <v>0.99970000000000003</v>
      </c>
      <c r="BF177" s="30">
        <f>VLOOKUP(Inventory[[#This Row],[Qlty]],Lookups!$M$8:$P$22,4,FALSE)</f>
        <v>1.0019</v>
      </c>
      <c r="BG177" s="30">
        <f>VLOOKUP(Inventory[[#This Row],[Cnd]],Lookups!$R$8:$U$17,4,FALSE)</f>
        <v>1.0007999999999999</v>
      </c>
      <c r="BH177" s="30">
        <f>VLOOKUP(Inventory[[#This Row],[LivArea Range]],Lookups!$R$25:$U$43,4,FALSE)</f>
        <v>1.0007999999999999</v>
      </c>
      <c r="BI177" s="30">
        <f>VLOOKUP(Inventory[[#This Row],[Decade]],Lookups!$M$24:$P$40,4,FALSE)</f>
        <v>1</v>
      </c>
      <c r="BJ177" s="30">
        <f>Inventory[[#This Row],[Nbhd Adj]]*0.95</f>
        <v>0.94971499999999998</v>
      </c>
      <c r="BK177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177" s="30">
        <f>ROUND((SUM(Inventory[[#This Row],[Mdl Qlty]:[Mdl Garage Area]])+Inventory[[#This Row],[Mdl Res Intercept]])*Inventory[[#This Row],[Res Adj ]],-2)</f>
        <v>329300</v>
      </c>
      <c r="BM177" s="30">
        <f>ROUND(Inventory[[#This Row],[25Det]]*Inventory[[#This Row],[Det/Nbhd Adj]],-2)</f>
        <v>0</v>
      </c>
      <c r="BN177" s="30">
        <f>Inventory[[#This Row],[Adjusted Res]]+Inventory[[#This Row],[Adj Det ]]</f>
        <v>329300</v>
      </c>
      <c r="BO177" s="30">
        <f>ROUND((Inventory[[#This Row],[Mdl Land Intercept]]+Inventory[[#This Row],[Mdl LnAcres]])*Inventory[[#This Row],[Det/Nbhd Adj]],-2)</f>
        <v>61600</v>
      </c>
      <c r="BP177" s="30">
        <f>Inventory[[#This Row],[Adjusted Impr Total]]+Inventory[[#This Row],[Adjusted Land Total]]</f>
        <v>390900</v>
      </c>
      <c r="BQ177" s="30">
        <f>IFERROR((Inventory[[#This Row],[Adjusted Impr Total]]-Inventory[[#This Row],[24Bldg]])/Inventory[[#This Row],[24Bldg]],0)</f>
        <v>-3.7415960245542237E-2</v>
      </c>
      <c r="BR177" s="43">
        <f>(Inventory[[#This Row],[Adjusted Land Total]]-Inventory[[#This Row],[24Lnd]])/Inventory[[#This Row],[24Lnd]]</f>
        <v>-1.6207455429497568E-3</v>
      </c>
      <c r="BS177" s="43">
        <f>(Inventory[[#This Row],[Adjusted Total]]-Inventory[[#This Row],[24Final]])/Inventory[[#This Row],[24Final]]</f>
        <v>-3.1946508172362553E-2</v>
      </c>
    </row>
    <row r="178" spans="1:71">
      <c r="A178" s="30">
        <v>2025</v>
      </c>
      <c r="B178" s="31" t="s">
        <v>687</v>
      </c>
      <c r="C178" s="36">
        <f>LN(Inventory[[#This Row],[Acres]])</f>
        <v>-1.7897614665653818</v>
      </c>
      <c r="D178" s="32">
        <f>ROUND(Inventory[[#This Row],[Sqft]]/43560,3)</f>
        <v>0.16700000000000001</v>
      </c>
      <c r="E178" s="30">
        <v>7263</v>
      </c>
      <c r="F178" s="31" t="s">
        <v>505</v>
      </c>
      <c r="G178" s="31" t="s">
        <v>155</v>
      </c>
      <c r="H178" s="31" t="s">
        <v>5</v>
      </c>
      <c r="I178" s="31" t="s">
        <v>506</v>
      </c>
      <c r="J178" s="31" t="s">
        <v>507</v>
      </c>
      <c r="K178" s="31" t="s">
        <v>330</v>
      </c>
      <c r="L178" s="31" t="s">
        <v>21</v>
      </c>
      <c r="M178" s="31" t="s">
        <v>24</v>
      </c>
      <c r="N178" s="31">
        <v>0</v>
      </c>
      <c r="O178" s="31">
        <f>2024-Inventory[[#This Row],[YrBlt]]</f>
        <v>4</v>
      </c>
      <c r="P178" s="31">
        <f>2024-Inventory[[#This Row],[EffYr]]</f>
        <v>4</v>
      </c>
      <c r="Q178" s="30">
        <v>2020</v>
      </c>
      <c r="R178" s="30">
        <v>2020</v>
      </c>
      <c r="S178" s="30">
        <v>1708</v>
      </c>
      <c r="T178" s="32"/>
      <c r="U178" s="32"/>
      <c r="V178" s="32"/>
      <c r="W178" s="32"/>
      <c r="X178" s="32">
        <f>Inventory[[#This Row],[Bsmt Area]]-Inventory[[#This Row],[FnBsmt]]</f>
        <v>0</v>
      </c>
      <c r="Y178" s="32">
        <f>Inventory[[#This Row],[MainFn]]+Inventory[[#This Row],[UpprFn]]+Inventory[[#This Row],[AddFn]]+Inventory[[#This Row],[FnBsmt]]</f>
        <v>1708</v>
      </c>
      <c r="Z178" s="32">
        <v>2000</v>
      </c>
      <c r="AA178" s="31" t="s">
        <v>56</v>
      </c>
      <c r="AB178" s="32"/>
      <c r="AC178" s="38">
        <v>420</v>
      </c>
      <c r="AD178" s="32"/>
      <c r="AE178" s="32"/>
      <c r="AF178" s="32"/>
      <c r="AG178" s="32"/>
      <c r="AH178" s="32"/>
      <c r="AI178" s="30">
        <v>368337</v>
      </c>
      <c r="AJ178" s="30">
        <v>357287</v>
      </c>
      <c r="AK178" s="30">
        <v>0</v>
      </c>
      <c r="AL178" s="30">
        <v>0</v>
      </c>
      <c r="AM178" s="30">
        <v>61700</v>
      </c>
      <c r="AN178" s="30">
        <v>323400</v>
      </c>
      <c r="AO178" s="30">
        <v>385100</v>
      </c>
      <c r="AP178" s="30">
        <f>Lookups!$B$58*0.6</f>
        <v>132535.48800000001</v>
      </c>
      <c r="AQ178" s="30">
        <f>Lookups!$B$58*0.4</f>
        <v>88356.992000000013</v>
      </c>
      <c r="AR178" s="30">
        <f>Lookups!$B$59*Inventory[[#This Row],[LnAcres]]</f>
        <v>-23489.404000634837</v>
      </c>
      <c r="AS178" s="30">
        <f>VLOOKUP(Inventory[[#This Row],[Qlty]],Lookups!$A$66:$E$79,2,FALSE)</f>
        <v>32917.849192000001</v>
      </c>
      <c r="AT178" s="30">
        <f>VLOOKUP(Inventory[[#This Row],[Cnd]],Lookups!$A$80:$E$88,2,FALSE)</f>
        <v>47371.278778200001</v>
      </c>
      <c r="AU178" s="30">
        <f>Inventory[[#This Row],[EffAge]]*Lookups!$B$65</f>
        <v>-434.96440000000001</v>
      </c>
      <c r="AV178" s="30">
        <f>Inventory[[#This Row],[MainFn]]*Lookups!$B$90</f>
        <v>106596.92904</v>
      </c>
      <c r="AW178" s="30">
        <f>Inventory[[#This Row],[UpprFn]]*Lookups!$B$91</f>
        <v>0</v>
      </c>
      <c r="AX178" s="30">
        <f>Inventory[[#This Row],[Bsmt Area]]*Lookups!$B$95</f>
        <v>0</v>
      </c>
      <c r="AY178" s="30">
        <f>Inventory[[#This Row],[AttGar]]*Lookups!$B$93</f>
        <v>14826.43302</v>
      </c>
      <c r="AZ178" s="30">
        <f>ROUND(Inventory[[#This Row],[25Det]],-2)</f>
        <v>0</v>
      </c>
      <c r="BA178" s="30">
        <f>ROUND(SUM(Inventory[[#This Row],[Mdl Qlty]:[Mdl Garage Area]])+Inventory[[#This Row],[Mdl Res Intercept]],-2)</f>
        <v>333800</v>
      </c>
      <c r="BB178" s="30">
        <f>ROUND(Inventory[[#This Row],[Mdl Land Intercept]]+Inventory[[#This Row],[Mdl LnAcres]],-2)</f>
        <v>64900</v>
      </c>
      <c r="BC178" s="30">
        <f>Inventory[[#This Row],[Unadj Res Value]]+Inventory[[#This Row],[Unadj Det Value]]+Inventory[[#This Row],[Unadj Land Value]]</f>
        <v>398700</v>
      </c>
      <c r="BD178" s="30">
        <f>(Inventory[[#This Row],[Unadj Total Value]]-Inventory[[#This Row],[24Final]])/Inventory[[#This Row],[24Final]]</f>
        <v>3.5315502466891718E-2</v>
      </c>
      <c r="BE178" s="30">
        <f>VLOOKUP(Inventory[[#This Row],[Nbhd]],Lookups!$M$3:$P$5,4,FALSE)</f>
        <v>0.99970000000000003</v>
      </c>
      <c r="BF178" s="30">
        <f>VLOOKUP(Inventory[[#This Row],[Qlty]],Lookups!$M$8:$P$22,4,FALSE)</f>
        <v>1.0019</v>
      </c>
      <c r="BG178" s="30">
        <f>VLOOKUP(Inventory[[#This Row],[Cnd]],Lookups!$R$8:$U$17,4,FALSE)</f>
        <v>1.0012000000000001</v>
      </c>
      <c r="BH178" s="30">
        <f>VLOOKUP(Inventory[[#This Row],[LivArea Range]],Lookups!$R$25:$U$43,4,FALSE)</f>
        <v>1.0007999999999999</v>
      </c>
      <c r="BI178" s="30">
        <f>VLOOKUP(Inventory[[#This Row],[Decade]],Lookups!$M$24:$P$40,4,FALSE)</f>
        <v>1</v>
      </c>
      <c r="BJ178" s="30">
        <f>Inventory[[#This Row],[Nbhd Adj]]*0.95</f>
        <v>0.94971499999999998</v>
      </c>
      <c r="BK178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178" s="30">
        <f>ROUND((SUM(Inventory[[#This Row],[Mdl Qlty]:[Mdl Garage Area]])+Inventory[[#This Row],[Mdl Res Intercept]])*Inventory[[#This Row],[Res Adj ]],-2)</f>
        <v>317400</v>
      </c>
      <c r="BM178" s="30">
        <f>ROUND(Inventory[[#This Row],[25Det]]*Inventory[[#This Row],[Det/Nbhd Adj]],-2)</f>
        <v>0</v>
      </c>
      <c r="BN178" s="30">
        <f>Inventory[[#This Row],[Adjusted Res]]+Inventory[[#This Row],[Adj Det ]]</f>
        <v>317400</v>
      </c>
      <c r="BO178" s="30">
        <f>ROUND((Inventory[[#This Row],[Mdl Land Intercept]]+Inventory[[#This Row],[Mdl LnAcres]])*Inventory[[#This Row],[Det/Nbhd Adj]],-2)</f>
        <v>61600</v>
      </c>
      <c r="BP178" s="30">
        <f>Inventory[[#This Row],[Adjusted Impr Total]]+Inventory[[#This Row],[Adjusted Land Total]]</f>
        <v>379000</v>
      </c>
      <c r="BQ178" s="30">
        <f>IFERROR((Inventory[[#This Row],[Adjusted Impr Total]]-Inventory[[#This Row],[24Bldg]])/Inventory[[#This Row],[24Bldg]],0)</f>
        <v>-1.8552875695732839E-2</v>
      </c>
      <c r="BR178" s="43">
        <f>(Inventory[[#This Row],[Adjusted Land Total]]-Inventory[[#This Row],[24Lnd]])/Inventory[[#This Row],[24Lnd]]</f>
        <v>-1.6207455429497568E-3</v>
      </c>
      <c r="BS178" s="43">
        <f>(Inventory[[#This Row],[Adjusted Total]]-Inventory[[#This Row],[24Final]])/Inventory[[#This Row],[24Final]]</f>
        <v>-1.5840041547649963E-2</v>
      </c>
    </row>
    <row r="179" spans="1:71">
      <c r="A179" s="30">
        <v>2025</v>
      </c>
      <c r="B179" s="31" t="s">
        <v>688</v>
      </c>
      <c r="C179" s="31">
        <f>LN(Inventory[[#This Row],[Acres]])</f>
        <v>-1.725971728690052</v>
      </c>
      <c r="D179" s="37">
        <f>ROUND(Inventory[[#This Row],[Sqft]]/43560,3)</f>
        <v>0.17799999999999999</v>
      </c>
      <c r="E179" s="30">
        <v>7773</v>
      </c>
      <c r="F179" s="31" t="s">
        <v>505</v>
      </c>
      <c r="G179" s="31" t="s">
        <v>155</v>
      </c>
      <c r="H179" s="31" t="s">
        <v>5</v>
      </c>
      <c r="I179" s="31" t="s">
        <v>506</v>
      </c>
      <c r="J179" s="31" t="s">
        <v>507</v>
      </c>
      <c r="K179" s="31" t="s">
        <v>330</v>
      </c>
      <c r="L179" s="31" t="s">
        <v>21</v>
      </c>
      <c r="M179" s="31" t="s">
        <v>24</v>
      </c>
      <c r="N179" s="31">
        <v>0</v>
      </c>
      <c r="O179" s="31">
        <f>2024-Inventory[[#This Row],[YrBlt]]</f>
        <v>4</v>
      </c>
      <c r="P179" s="31">
        <f>2024-Inventory[[#This Row],[EffYr]]</f>
        <v>4</v>
      </c>
      <c r="Q179" s="30">
        <v>2020</v>
      </c>
      <c r="R179" s="30">
        <v>2020</v>
      </c>
      <c r="S179" s="30">
        <v>2025</v>
      </c>
      <c r="T179" s="32"/>
      <c r="U179" s="32"/>
      <c r="V179" s="32"/>
      <c r="W179" s="32"/>
      <c r="X179" s="32">
        <f>Inventory[[#This Row],[Bsmt Area]]-Inventory[[#This Row],[FnBsmt]]</f>
        <v>0</v>
      </c>
      <c r="Y179" s="32">
        <f>Inventory[[#This Row],[MainFn]]+Inventory[[#This Row],[UpprFn]]+Inventory[[#This Row],[AddFn]]+Inventory[[#This Row],[FnBsmt]]</f>
        <v>2025</v>
      </c>
      <c r="Z179" s="32">
        <v>2500</v>
      </c>
      <c r="AA179" s="31" t="s">
        <v>57</v>
      </c>
      <c r="AB179" s="38">
        <v>1</v>
      </c>
      <c r="AC179" s="38">
        <v>640</v>
      </c>
      <c r="AD179" s="32"/>
      <c r="AE179" s="32"/>
      <c r="AF179" s="32"/>
      <c r="AG179" s="32"/>
      <c r="AH179" s="32"/>
      <c r="AI179" s="30">
        <v>434726</v>
      </c>
      <c r="AJ179" s="30">
        <v>421684</v>
      </c>
      <c r="AK179" s="30">
        <v>0</v>
      </c>
      <c r="AL179" s="30">
        <v>0</v>
      </c>
      <c r="AM179" s="30">
        <v>62500</v>
      </c>
      <c r="AN179" s="30">
        <v>346700</v>
      </c>
      <c r="AO179" s="30">
        <v>409200</v>
      </c>
      <c r="AP179" s="30">
        <f>Lookups!$B$58*0.6</f>
        <v>132535.48800000001</v>
      </c>
      <c r="AQ179" s="30">
        <f>Lookups!$B$58*0.4</f>
        <v>88356.992000000013</v>
      </c>
      <c r="AR179" s="30">
        <f>Lookups!$B$59*Inventory[[#This Row],[LnAcres]]</f>
        <v>-22652.207004253152</v>
      </c>
      <c r="AS179" s="30">
        <f>VLOOKUP(Inventory[[#This Row],[Qlty]],Lookups!$A$66:$E$79,2,FALSE)</f>
        <v>32917.849192000001</v>
      </c>
      <c r="AT179" s="30">
        <f>VLOOKUP(Inventory[[#This Row],[Cnd]],Lookups!$A$80:$E$88,2,FALSE)</f>
        <v>47371.278778200001</v>
      </c>
      <c r="AU179" s="30">
        <f>Inventory[[#This Row],[EffAge]]*Lookups!$B$65</f>
        <v>-434.96440000000001</v>
      </c>
      <c r="AV179" s="30">
        <f>Inventory[[#This Row],[MainFn]]*Lookups!$B$90</f>
        <v>126381.01950000001</v>
      </c>
      <c r="AW179" s="30">
        <f>Inventory[[#This Row],[UpprFn]]*Lookups!$B$91</f>
        <v>0</v>
      </c>
      <c r="AX179" s="30">
        <f>Inventory[[#This Row],[Bsmt Area]]*Lookups!$B$95</f>
        <v>0</v>
      </c>
      <c r="AY179" s="30">
        <f>Inventory[[#This Row],[AttGar]]*Lookups!$B$93</f>
        <v>22592.65984</v>
      </c>
      <c r="AZ179" s="30">
        <f>ROUND(Inventory[[#This Row],[25Det]],-2)</f>
        <v>0</v>
      </c>
      <c r="BA179" s="30">
        <f>ROUND(SUM(Inventory[[#This Row],[Mdl Qlty]:[Mdl Garage Area]])+Inventory[[#This Row],[Mdl Res Intercept]],-2)</f>
        <v>361400</v>
      </c>
      <c r="BB179" s="30">
        <f>ROUND(Inventory[[#This Row],[Mdl Land Intercept]]+Inventory[[#This Row],[Mdl LnAcres]],-2)</f>
        <v>65700</v>
      </c>
      <c r="BC179" s="30">
        <f>Inventory[[#This Row],[Unadj Res Value]]+Inventory[[#This Row],[Unadj Det Value]]+Inventory[[#This Row],[Unadj Land Value]]</f>
        <v>427100</v>
      </c>
      <c r="BD179" s="30">
        <f>(Inventory[[#This Row],[Unadj Total Value]]-Inventory[[#This Row],[24Final]])/Inventory[[#This Row],[24Final]]</f>
        <v>4.3743890518084069E-2</v>
      </c>
      <c r="BE179" s="30">
        <f>VLOOKUP(Inventory[[#This Row],[Nbhd]],Lookups!$M$3:$P$5,4,FALSE)</f>
        <v>0.99970000000000003</v>
      </c>
      <c r="BF179" s="30">
        <f>VLOOKUP(Inventory[[#This Row],[Qlty]],Lookups!$M$8:$P$22,4,FALSE)</f>
        <v>1.0019</v>
      </c>
      <c r="BG179" s="30">
        <f>VLOOKUP(Inventory[[#This Row],[Cnd]],Lookups!$R$8:$U$17,4,FALSE)</f>
        <v>1.0012000000000001</v>
      </c>
      <c r="BH179" s="30">
        <f>VLOOKUP(Inventory[[#This Row],[LivArea Range]],Lookups!$R$25:$U$43,4,FALSE)</f>
        <v>1.0008999999999999</v>
      </c>
      <c r="BI179" s="30">
        <f>VLOOKUP(Inventory[[#This Row],[Decade]],Lookups!$M$24:$P$40,4,FALSE)</f>
        <v>1</v>
      </c>
      <c r="BJ179" s="30">
        <f>Inventory[[#This Row],[Nbhd Adj]]*0.95</f>
        <v>0.94971499999999998</v>
      </c>
      <c r="BK179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79" s="30">
        <f>ROUND((SUM(Inventory[[#This Row],[Mdl Qlty]:[Mdl Garage Area]])+Inventory[[#This Row],[Mdl Res Intercept]])*Inventory[[#This Row],[Res Adj ]],-2)</f>
        <v>343500</v>
      </c>
      <c r="BM179" s="30">
        <f>ROUND(Inventory[[#This Row],[25Det]]*Inventory[[#This Row],[Det/Nbhd Adj]],-2)</f>
        <v>0</v>
      </c>
      <c r="BN179" s="30">
        <f>Inventory[[#This Row],[Adjusted Res]]+Inventory[[#This Row],[Adj Det ]]</f>
        <v>343500</v>
      </c>
      <c r="BO179" s="30">
        <f>ROUND((Inventory[[#This Row],[Mdl Land Intercept]]+Inventory[[#This Row],[Mdl LnAcres]])*Inventory[[#This Row],[Det/Nbhd Adj]],-2)</f>
        <v>62400</v>
      </c>
      <c r="BP179" s="30">
        <f>Inventory[[#This Row],[Adjusted Impr Total]]+Inventory[[#This Row],[Adjusted Land Total]]</f>
        <v>405900</v>
      </c>
      <c r="BQ179" s="30">
        <f>IFERROR((Inventory[[#This Row],[Adjusted Impr Total]]-Inventory[[#This Row],[24Bldg]])/Inventory[[#This Row],[24Bldg]],0)</f>
        <v>-9.229881742140178E-3</v>
      </c>
      <c r="BR179" s="43">
        <f>(Inventory[[#This Row],[Adjusted Land Total]]-Inventory[[#This Row],[24Lnd]])/Inventory[[#This Row],[24Lnd]]</f>
        <v>-1.6000000000000001E-3</v>
      </c>
      <c r="BS179" s="43">
        <f>(Inventory[[#This Row],[Adjusted Total]]-Inventory[[#This Row],[24Final]])/Inventory[[#This Row],[24Final]]</f>
        <v>-8.0645161290322578E-3</v>
      </c>
    </row>
    <row r="180" spans="1:71">
      <c r="A180" s="30">
        <v>2025</v>
      </c>
      <c r="B180" s="31" t="s">
        <v>689</v>
      </c>
      <c r="C180" s="31">
        <f>LN(Inventory[[#This Row],[Acres]])</f>
        <v>-1.5095925774643841</v>
      </c>
      <c r="D180" s="37">
        <f>ROUND(Inventory[[#This Row],[Sqft]]/43560,3)</f>
        <v>0.221</v>
      </c>
      <c r="E180" s="30">
        <v>9640</v>
      </c>
      <c r="F180" s="31" t="s">
        <v>505</v>
      </c>
      <c r="G180" s="31" t="s">
        <v>155</v>
      </c>
      <c r="H180" s="31" t="s">
        <v>5</v>
      </c>
      <c r="I180" s="31" t="s">
        <v>506</v>
      </c>
      <c r="J180" s="31" t="s">
        <v>507</v>
      </c>
      <c r="K180" s="31" t="s">
        <v>330</v>
      </c>
      <c r="L180" s="31" t="s">
        <v>21</v>
      </c>
      <c r="M180" s="31" t="s">
        <v>24</v>
      </c>
      <c r="N180" s="31">
        <v>0</v>
      </c>
      <c r="O180" s="31">
        <f>2024-Inventory[[#This Row],[YrBlt]]</f>
        <v>4</v>
      </c>
      <c r="P180" s="31">
        <f>2024-Inventory[[#This Row],[EffYr]]</f>
        <v>4</v>
      </c>
      <c r="Q180" s="30">
        <v>2020</v>
      </c>
      <c r="R180" s="30">
        <v>2020</v>
      </c>
      <c r="S180" s="30">
        <v>2025</v>
      </c>
      <c r="T180" s="32"/>
      <c r="U180" s="32"/>
      <c r="V180" s="32"/>
      <c r="W180" s="32"/>
      <c r="X180" s="32">
        <f>Inventory[[#This Row],[Bsmt Area]]-Inventory[[#This Row],[FnBsmt]]</f>
        <v>0</v>
      </c>
      <c r="Y180" s="32">
        <f>Inventory[[#This Row],[MainFn]]+Inventory[[#This Row],[UpprFn]]+Inventory[[#This Row],[AddFn]]+Inventory[[#This Row],[FnBsmt]]</f>
        <v>2025</v>
      </c>
      <c r="Z180" s="32">
        <v>2500</v>
      </c>
      <c r="AA180" s="31" t="s">
        <v>56</v>
      </c>
      <c r="AB180" s="32"/>
      <c r="AC180" s="38">
        <v>640</v>
      </c>
      <c r="AD180" s="32"/>
      <c r="AE180" s="32"/>
      <c r="AF180" s="32"/>
      <c r="AG180" s="32"/>
      <c r="AH180" s="32"/>
      <c r="AI180" s="30">
        <v>440883</v>
      </c>
      <c r="AJ180" s="30">
        <v>427657</v>
      </c>
      <c r="AK180" s="30">
        <v>0</v>
      </c>
      <c r="AL180" s="30">
        <v>0</v>
      </c>
      <c r="AM180" s="30">
        <v>65300</v>
      </c>
      <c r="AN180" s="30">
        <v>353200</v>
      </c>
      <c r="AO180" s="30">
        <v>418500</v>
      </c>
      <c r="AP180" s="30">
        <f>Lookups!$B$58*0.6</f>
        <v>132535.48800000001</v>
      </c>
      <c r="AQ180" s="30">
        <f>Lookups!$B$58*0.4</f>
        <v>88356.992000000013</v>
      </c>
      <c r="AR180" s="30">
        <f>Lookups!$B$59*Inventory[[#This Row],[LnAcres]]</f>
        <v>-19812.377565859944</v>
      </c>
      <c r="AS180" s="30">
        <f>VLOOKUP(Inventory[[#This Row],[Qlty]],Lookups!$A$66:$E$79,2,FALSE)</f>
        <v>32917.849192000001</v>
      </c>
      <c r="AT180" s="30">
        <f>VLOOKUP(Inventory[[#This Row],[Cnd]],Lookups!$A$80:$E$88,2,FALSE)</f>
        <v>47371.278778200001</v>
      </c>
      <c r="AU180" s="30">
        <f>Inventory[[#This Row],[EffAge]]*Lookups!$B$65</f>
        <v>-434.96440000000001</v>
      </c>
      <c r="AV180" s="30">
        <f>Inventory[[#This Row],[MainFn]]*Lookups!$B$90</f>
        <v>126381.01950000001</v>
      </c>
      <c r="AW180" s="30">
        <f>Inventory[[#This Row],[UpprFn]]*Lookups!$B$91</f>
        <v>0</v>
      </c>
      <c r="AX180" s="30">
        <f>Inventory[[#This Row],[Bsmt Area]]*Lookups!$B$95</f>
        <v>0</v>
      </c>
      <c r="AY180" s="30">
        <f>Inventory[[#This Row],[AttGar]]*Lookups!$B$93</f>
        <v>22592.65984</v>
      </c>
      <c r="AZ180" s="30">
        <f>ROUND(Inventory[[#This Row],[25Det]],-2)</f>
        <v>0</v>
      </c>
      <c r="BA180" s="30">
        <f>ROUND(SUM(Inventory[[#This Row],[Mdl Qlty]:[Mdl Garage Area]])+Inventory[[#This Row],[Mdl Res Intercept]],-2)</f>
        <v>361400</v>
      </c>
      <c r="BB180" s="30">
        <f>ROUND(Inventory[[#This Row],[Mdl Land Intercept]]+Inventory[[#This Row],[Mdl LnAcres]],-2)</f>
        <v>68500</v>
      </c>
      <c r="BC180" s="30">
        <f>Inventory[[#This Row],[Unadj Res Value]]+Inventory[[#This Row],[Unadj Det Value]]+Inventory[[#This Row],[Unadj Land Value]]</f>
        <v>429900</v>
      </c>
      <c r="BD180" s="30">
        <f>(Inventory[[#This Row],[Unadj Total Value]]-Inventory[[#This Row],[24Final]])/Inventory[[#This Row],[24Final]]</f>
        <v>2.7240143369175629E-2</v>
      </c>
      <c r="BE180" s="30">
        <f>VLOOKUP(Inventory[[#This Row],[Nbhd]],Lookups!$M$3:$P$5,4,FALSE)</f>
        <v>0.99970000000000003</v>
      </c>
      <c r="BF180" s="30">
        <f>VLOOKUP(Inventory[[#This Row],[Qlty]],Lookups!$M$8:$P$22,4,FALSE)</f>
        <v>1.0019</v>
      </c>
      <c r="BG180" s="30">
        <f>VLOOKUP(Inventory[[#This Row],[Cnd]],Lookups!$R$8:$U$17,4,FALSE)</f>
        <v>1.0012000000000001</v>
      </c>
      <c r="BH180" s="30">
        <f>VLOOKUP(Inventory[[#This Row],[LivArea Range]],Lookups!$R$25:$U$43,4,FALSE)</f>
        <v>1.0008999999999999</v>
      </c>
      <c r="BI180" s="30">
        <f>VLOOKUP(Inventory[[#This Row],[Decade]],Lookups!$M$24:$P$40,4,FALSE)</f>
        <v>1</v>
      </c>
      <c r="BJ180" s="30">
        <f>Inventory[[#This Row],[Nbhd Adj]]*0.95</f>
        <v>0.94971499999999998</v>
      </c>
      <c r="BK180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80" s="30">
        <f>ROUND((SUM(Inventory[[#This Row],[Mdl Qlty]:[Mdl Garage Area]])+Inventory[[#This Row],[Mdl Res Intercept]])*Inventory[[#This Row],[Res Adj ]],-2)</f>
        <v>343500</v>
      </c>
      <c r="BM180" s="30">
        <f>ROUND(Inventory[[#This Row],[25Det]]*Inventory[[#This Row],[Det/Nbhd Adj]],-2)</f>
        <v>0</v>
      </c>
      <c r="BN180" s="30">
        <f>Inventory[[#This Row],[Adjusted Res]]+Inventory[[#This Row],[Adj Det ]]</f>
        <v>343500</v>
      </c>
      <c r="BO180" s="30">
        <f>ROUND((Inventory[[#This Row],[Mdl Land Intercept]]+Inventory[[#This Row],[Mdl LnAcres]])*Inventory[[#This Row],[Det/Nbhd Adj]],-2)</f>
        <v>65100</v>
      </c>
      <c r="BP180" s="30">
        <f>Inventory[[#This Row],[Adjusted Impr Total]]+Inventory[[#This Row],[Adjusted Land Total]]</f>
        <v>408600</v>
      </c>
      <c r="BQ180" s="30">
        <f>IFERROR((Inventory[[#This Row],[Adjusted Impr Total]]-Inventory[[#This Row],[24Bldg]])/Inventory[[#This Row],[24Bldg]],0)</f>
        <v>-2.7463193657984147E-2</v>
      </c>
      <c r="BR180" s="43">
        <f>(Inventory[[#This Row],[Adjusted Land Total]]-Inventory[[#This Row],[24Lnd]])/Inventory[[#This Row],[24Lnd]]</f>
        <v>-3.0627871362940277E-3</v>
      </c>
      <c r="BS180" s="43">
        <f>(Inventory[[#This Row],[Adjusted Total]]-Inventory[[#This Row],[24Final]])/Inventory[[#This Row],[24Final]]</f>
        <v>-2.3655913978494623E-2</v>
      </c>
    </row>
    <row r="181" spans="1:71">
      <c r="A181" s="30">
        <v>2025</v>
      </c>
      <c r="B181" s="31" t="s">
        <v>690</v>
      </c>
      <c r="C181" s="31">
        <f>LN(Inventory[[#This Row],[Acres]])</f>
        <v>-1.4696759700589417</v>
      </c>
      <c r="D181" s="37">
        <f>ROUND(Inventory[[#This Row],[Sqft]]/43560,3)</f>
        <v>0.23</v>
      </c>
      <c r="E181" s="30">
        <v>10020</v>
      </c>
      <c r="F181" s="31" t="s">
        <v>505</v>
      </c>
      <c r="G181" s="31" t="s">
        <v>155</v>
      </c>
      <c r="H181" s="31" t="s">
        <v>5</v>
      </c>
      <c r="I181" s="31" t="s">
        <v>506</v>
      </c>
      <c r="J181" s="31" t="s">
        <v>507</v>
      </c>
      <c r="K181" s="31" t="s">
        <v>330</v>
      </c>
      <c r="L181" s="31" t="s">
        <v>19</v>
      </c>
      <c r="M181" s="31" t="s">
        <v>24</v>
      </c>
      <c r="N181" s="31">
        <v>0</v>
      </c>
      <c r="O181" s="31">
        <f>2024-Inventory[[#This Row],[YrBlt]]</f>
        <v>4</v>
      </c>
      <c r="P181" s="31">
        <f>2024-Inventory[[#This Row],[EffYr]]</f>
        <v>4</v>
      </c>
      <c r="Q181" s="30">
        <v>2020</v>
      </c>
      <c r="R181" s="30">
        <v>2020</v>
      </c>
      <c r="S181" s="30">
        <v>1550</v>
      </c>
      <c r="T181" s="32"/>
      <c r="U181" s="32"/>
      <c r="V181" s="32"/>
      <c r="W181" s="32"/>
      <c r="X181" s="32">
        <f>Inventory[[#This Row],[Bsmt Area]]-Inventory[[#This Row],[FnBsmt]]</f>
        <v>0</v>
      </c>
      <c r="Y181" s="32">
        <f>Inventory[[#This Row],[MainFn]]+Inventory[[#This Row],[UpprFn]]+Inventory[[#This Row],[AddFn]]+Inventory[[#This Row],[FnBsmt]]</f>
        <v>1550</v>
      </c>
      <c r="Z181" s="32">
        <v>2000</v>
      </c>
      <c r="AA181" s="31" t="s">
        <v>56</v>
      </c>
      <c r="AB181" s="32"/>
      <c r="AC181" s="38">
        <v>420</v>
      </c>
      <c r="AD181" s="32"/>
      <c r="AE181" s="32"/>
      <c r="AF181" s="32"/>
      <c r="AG181" s="32"/>
      <c r="AH181" s="32"/>
      <c r="AI181" s="30">
        <v>302851</v>
      </c>
      <c r="AJ181" s="30">
        <v>293765</v>
      </c>
      <c r="AK181" s="30">
        <v>0</v>
      </c>
      <c r="AL181" s="30">
        <v>0</v>
      </c>
      <c r="AM181" s="30">
        <v>65900</v>
      </c>
      <c r="AN181" s="30">
        <v>316900</v>
      </c>
      <c r="AO181" s="30">
        <v>382800</v>
      </c>
      <c r="AP181" s="30">
        <f>Lookups!$B$58*0.6</f>
        <v>132535.48800000001</v>
      </c>
      <c r="AQ181" s="30">
        <f>Lookups!$B$58*0.4</f>
        <v>88356.992000000013</v>
      </c>
      <c r="AR181" s="30">
        <f>Lookups!$B$59*Inventory[[#This Row],[LnAcres]]</f>
        <v>-19288.499197039939</v>
      </c>
      <c r="AS181" s="30">
        <f>VLOOKUP(Inventory[[#This Row],[Qlty]],Lookups!$A$66:$E$79,2,FALSE)</f>
        <v>37154.252388000001</v>
      </c>
      <c r="AT181" s="30">
        <f>VLOOKUP(Inventory[[#This Row],[Cnd]],Lookups!$A$80:$E$88,2,FALSE)</f>
        <v>47371.278778200001</v>
      </c>
      <c r="AU181" s="30">
        <f>Inventory[[#This Row],[EffAge]]*Lookups!$B$65</f>
        <v>-434.96440000000001</v>
      </c>
      <c r="AV181" s="30">
        <f>Inventory[[#This Row],[MainFn]]*Lookups!$B$90</f>
        <v>96736.089000000007</v>
      </c>
      <c r="AW181" s="30">
        <f>Inventory[[#This Row],[UpprFn]]*Lookups!$B$91</f>
        <v>0</v>
      </c>
      <c r="AX181" s="30">
        <f>Inventory[[#This Row],[Bsmt Area]]*Lookups!$B$95</f>
        <v>0</v>
      </c>
      <c r="AY181" s="30">
        <f>Inventory[[#This Row],[AttGar]]*Lookups!$B$93</f>
        <v>14826.43302</v>
      </c>
      <c r="AZ181" s="30">
        <f>ROUND(Inventory[[#This Row],[25Det]],-2)</f>
        <v>0</v>
      </c>
      <c r="BA181" s="30">
        <f>ROUND(SUM(Inventory[[#This Row],[Mdl Qlty]:[Mdl Garage Area]])+Inventory[[#This Row],[Mdl Res Intercept]],-2)</f>
        <v>328200</v>
      </c>
      <c r="BB181" s="30">
        <f>ROUND(Inventory[[#This Row],[Mdl Land Intercept]]+Inventory[[#This Row],[Mdl LnAcres]],-2)</f>
        <v>69100</v>
      </c>
      <c r="BC181" s="30">
        <f>Inventory[[#This Row],[Unadj Res Value]]+Inventory[[#This Row],[Unadj Det Value]]+Inventory[[#This Row],[Unadj Land Value]]</f>
        <v>397300</v>
      </c>
      <c r="BD181" s="30">
        <f>(Inventory[[#This Row],[Unadj Total Value]]-Inventory[[#This Row],[24Final]])/Inventory[[#This Row],[24Final]]</f>
        <v>3.787878787878788E-2</v>
      </c>
      <c r="BE181" s="30">
        <f>VLOOKUP(Inventory[[#This Row],[Nbhd]],Lookups!$M$3:$P$5,4,FALSE)</f>
        <v>0.99970000000000003</v>
      </c>
      <c r="BF181" s="30">
        <f>VLOOKUP(Inventory[[#This Row],[Qlty]],Lookups!$M$8:$P$22,4,FALSE)</f>
        <v>0.99819999999999998</v>
      </c>
      <c r="BG181" s="30">
        <f>VLOOKUP(Inventory[[#This Row],[Cnd]],Lookups!$R$8:$U$17,4,FALSE)</f>
        <v>1.0012000000000001</v>
      </c>
      <c r="BH181" s="30">
        <f>VLOOKUP(Inventory[[#This Row],[LivArea Range]],Lookups!$R$25:$U$43,4,FALSE)</f>
        <v>1.0007999999999999</v>
      </c>
      <c r="BI181" s="30">
        <f>VLOOKUP(Inventory[[#This Row],[Decade]],Lookups!$M$24:$P$40,4,FALSE)</f>
        <v>1</v>
      </c>
      <c r="BJ181" s="30">
        <f>Inventory[[#This Row],[Nbhd Adj]]*0.95</f>
        <v>0.94971499999999998</v>
      </c>
      <c r="BK181" s="30">
        <f>AVERAGE(Inventory[[#This Row],[Nbhd Adj]],Inventory[[#This Row],[Quality Adj]],Inventory[[#This Row],[Condition Adj]],Inventory[[#This Row],[Living Area Adj]],Inventory[[#This Row],[Decade Adj]])*0.95</f>
        <v>0.94998100000000008</v>
      </c>
      <c r="BL181" s="30">
        <f>ROUND((SUM(Inventory[[#This Row],[Mdl Qlty]:[Mdl Garage Area]])+Inventory[[#This Row],[Mdl Res Intercept]])*Inventory[[#This Row],[Res Adj ]],-2)</f>
        <v>311800</v>
      </c>
      <c r="BM181" s="30">
        <f>ROUND(Inventory[[#This Row],[25Det]]*Inventory[[#This Row],[Det/Nbhd Adj]],-2)</f>
        <v>0</v>
      </c>
      <c r="BN181" s="30">
        <f>Inventory[[#This Row],[Adjusted Res]]+Inventory[[#This Row],[Adj Det ]]</f>
        <v>311800</v>
      </c>
      <c r="BO181" s="30">
        <f>ROUND((Inventory[[#This Row],[Mdl Land Intercept]]+Inventory[[#This Row],[Mdl LnAcres]])*Inventory[[#This Row],[Det/Nbhd Adj]],-2)</f>
        <v>65600</v>
      </c>
      <c r="BP181" s="30">
        <f>Inventory[[#This Row],[Adjusted Impr Total]]+Inventory[[#This Row],[Adjusted Land Total]]</f>
        <v>377400</v>
      </c>
      <c r="BQ181" s="30">
        <f>IFERROR((Inventory[[#This Row],[Adjusted Impr Total]]-Inventory[[#This Row],[24Bldg]])/Inventory[[#This Row],[24Bldg]],0)</f>
        <v>-1.6093404859577155E-2</v>
      </c>
      <c r="BR181" s="43">
        <f>(Inventory[[#This Row],[Adjusted Land Total]]-Inventory[[#This Row],[24Lnd]])/Inventory[[#This Row],[24Lnd]]</f>
        <v>-4.552352048558422E-3</v>
      </c>
      <c r="BS181" s="43">
        <f>(Inventory[[#This Row],[Adjusted Total]]-Inventory[[#This Row],[24Final]])/Inventory[[#This Row],[24Final]]</f>
        <v>-1.4106583072100314E-2</v>
      </c>
    </row>
    <row r="182" spans="1:71">
      <c r="A182" s="30">
        <v>2025</v>
      </c>
      <c r="B182" s="31" t="s">
        <v>691</v>
      </c>
      <c r="C182" s="31">
        <f>LN(Inventory[[#This Row],[Acres]])</f>
        <v>-1.3394107752210402</v>
      </c>
      <c r="D182" s="37">
        <f>ROUND(Inventory[[#This Row],[Sqft]]/43560,3)</f>
        <v>0.26200000000000001</v>
      </c>
      <c r="E182" s="38">
        <v>11422</v>
      </c>
      <c r="F182" s="31" t="s">
        <v>505</v>
      </c>
      <c r="G182" s="31" t="s">
        <v>155</v>
      </c>
      <c r="H182" s="31" t="s">
        <v>5</v>
      </c>
      <c r="I182" s="31" t="s">
        <v>506</v>
      </c>
      <c r="J182" s="31" t="s">
        <v>507</v>
      </c>
      <c r="K182" s="31" t="s">
        <v>330</v>
      </c>
      <c r="L182" s="31" t="s">
        <v>21</v>
      </c>
      <c r="M182" s="31" t="s">
        <v>24</v>
      </c>
      <c r="N182" s="31">
        <v>0</v>
      </c>
      <c r="O182" s="31">
        <f>2024-Inventory[[#This Row],[YrBlt]]</f>
        <v>4</v>
      </c>
      <c r="P182" s="31">
        <f>2024-Inventory[[#This Row],[EffYr]]</f>
        <v>4</v>
      </c>
      <c r="Q182" s="30">
        <v>2020</v>
      </c>
      <c r="R182" s="30">
        <v>2020</v>
      </c>
      <c r="S182" s="30">
        <v>1126</v>
      </c>
      <c r="T182" s="38">
        <v>1126</v>
      </c>
      <c r="U182" s="32"/>
      <c r="V182" s="32"/>
      <c r="W182" s="32"/>
      <c r="X182" s="32">
        <f>Inventory[[#This Row],[Bsmt Area]]-Inventory[[#This Row],[FnBsmt]]</f>
        <v>0</v>
      </c>
      <c r="Y182" s="32">
        <f>Inventory[[#This Row],[MainFn]]+Inventory[[#This Row],[UpprFn]]+Inventory[[#This Row],[AddFn]]+Inventory[[#This Row],[FnBsmt]]</f>
        <v>2252</v>
      </c>
      <c r="Z182" s="32">
        <v>2500</v>
      </c>
      <c r="AA182" s="31" t="s">
        <v>56</v>
      </c>
      <c r="AB182" s="32"/>
      <c r="AC182" s="38">
        <v>440</v>
      </c>
      <c r="AD182" s="32"/>
      <c r="AE182" s="32"/>
      <c r="AF182" s="32"/>
      <c r="AG182" s="32"/>
      <c r="AH182" s="32"/>
      <c r="AI182" s="30">
        <v>450514</v>
      </c>
      <c r="AJ182" s="30">
        <v>436999</v>
      </c>
      <c r="AK182" s="30">
        <v>0</v>
      </c>
      <c r="AL182" s="30">
        <v>0</v>
      </c>
      <c r="AM182" s="30">
        <v>67600</v>
      </c>
      <c r="AN182" s="30">
        <v>351700</v>
      </c>
      <c r="AO182" s="30">
        <v>419300</v>
      </c>
      <c r="AP182" s="30">
        <f>Lookups!$B$58*0.6</f>
        <v>132535.48800000001</v>
      </c>
      <c r="AQ182" s="30">
        <f>Lookups!$B$58*0.4</f>
        <v>88356.992000000013</v>
      </c>
      <c r="AR182" s="30">
        <f>Lookups!$B$59*Inventory[[#This Row],[LnAcres]]</f>
        <v>-17578.856964859777</v>
      </c>
      <c r="AS182" s="30">
        <f>VLOOKUP(Inventory[[#This Row],[Qlty]],Lookups!$A$66:$E$79,2,FALSE)</f>
        <v>32917.849192000001</v>
      </c>
      <c r="AT182" s="30">
        <f>VLOOKUP(Inventory[[#This Row],[Cnd]],Lookups!$A$80:$E$88,2,FALSE)</f>
        <v>47371.278778200001</v>
      </c>
      <c r="AU182" s="30">
        <f>Inventory[[#This Row],[EffAge]]*Lookups!$B$65</f>
        <v>-434.96440000000001</v>
      </c>
      <c r="AV182" s="30">
        <f>Inventory[[#This Row],[MainFn]]*Lookups!$B$90</f>
        <v>70274.087880000006</v>
      </c>
      <c r="AW182" s="30">
        <f>Inventory[[#This Row],[UpprFn]]*Lookups!$B$91</f>
        <v>67087.511257999999</v>
      </c>
      <c r="AX182" s="30">
        <f>Inventory[[#This Row],[Bsmt Area]]*Lookups!$B$95</f>
        <v>0</v>
      </c>
      <c r="AY182" s="30">
        <f>Inventory[[#This Row],[AttGar]]*Lookups!$B$93</f>
        <v>15532.453640000002</v>
      </c>
      <c r="AZ182" s="30">
        <f>ROUND(Inventory[[#This Row],[25Det]],-2)</f>
        <v>0</v>
      </c>
      <c r="BA182" s="30">
        <f>ROUND(SUM(Inventory[[#This Row],[Mdl Qlty]:[Mdl Garage Area]])+Inventory[[#This Row],[Mdl Res Intercept]],-2)</f>
        <v>365300</v>
      </c>
      <c r="BB182" s="30">
        <f>ROUND(Inventory[[#This Row],[Mdl Land Intercept]]+Inventory[[#This Row],[Mdl LnAcres]],-2)</f>
        <v>70800</v>
      </c>
      <c r="BC182" s="30">
        <f>Inventory[[#This Row],[Unadj Res Value]]+Inventory[[#This Row],[Unadj Det Value]]+Inventory[[#This Row],[Unadj Land Value]]</f>
        <v>436100</v>
      </c>
      <c r="BD182" s="30">
        <f>(Inventory[[#This Row],[Unadj Total Value]]-Inventory[[#This Row],[24Final]])/Inventory[[#This Row],[24Final]]</f>
        <v>4.006677796327212E-2</v>
      </c>
      <c r="BE182" s="30">
        <f>VLOOKUP(Inventory[[#This Row],[Nbhd]],Lookups!$M$3:$P$5,4,FALSE)</f>
        <v>0.99970000000000003</v>
      </c>
      <c r="BF182" s="30">
        <f>VLOOKUP(Inventory[[#This Row],[Qlty]],Lookups!$M$8:$P$22,4,FALSE)</f>
        <v>1.0019</v>
      </c>
      <c r="BG182" s="30">
        <f>VLOOKUP(Inventory[[#This Row],[Cnd]],Lookups!$R$8:$U$17,4,FALSE)</f>
        <v>1.0012000000000001</v>
      </c>
      <c r="BH182" s="30">
        <f>VLOOKUP(Inventory[[#This Row],[LivArea Range]],Lookups!$R$25:$U$43,4,FALSE)</f>
        <v>1.0008999999999999</v>
      </c>
      <c r="BI182" s="30">
        <f>VLOOKUP(Inventory[[#This Row],[Decade]],Lookups!$M$24:$P$40,4,FALSE)</f>
        <v>1</v>
      </c>
      <c r="BJ182" s="30">
        <f>Inventory[[#This Row],[Nbhd Adj]]*0.95</f>
        <v>0.94971499999999998</v>
      </c>
      <c r="BK182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82" s="30">
        <f>ROUND((SUM(Inventory[[#This Row],[Mdl Qlty]:[Mdl Garage Area]])+Inventory[[#This Row],[Mdl Res Intercept]])*Inventory[[#This Row],[Res Adj ]],-2)</f>
        <v>347300</v>
      </c>
      <c r="BM182" s="30">
        <f>ROUND(Inventory[[#This Row],[25Det]]*Inventory[[#This Row],[Det/Nbhd Adj]],-2)</f>
        <v>0</v>
      </c>
      <c r="BN182" s="30">
        <f>Inventory[[#This Row],[Adjusted Res]]+Inventory[[#This Row],[Adj Det ]]</f>
        <v>347300</v>
      </c>
      <c r="BO182" s="30">
        <f>ROUND((Inventory[[#This Row],[Mdl Land Intercept]]+Inventory[[#This Row],[Mdl LnAcres]])*Inventory[[#This Row],[Det/Nbhd Adj]],-2)</f>
        <v>67200</v>
      </c>
      <c r="BP182" s="30">
        <f>Inventory[[#This Row],[Adjusted Impr Total]]+Inventory[[#This Row],[Adjusted Land Total]]</f>
        <v>414500</v>
      </c>
      <c r="BQ182" s="30">
        <f>IFERROR((Inventory[[#This Row],[Adjusted Impr Total]]-Inventory[[#This Row],[24Bldg]])/Inventory[[#This Row],[24Bldg]],0)</f>
        <v>-1.2510662496445835E-2</v>
      </c>
      <c r="BR182" s="43">
        <f>(Inventory[[#This Row],[Adjusted Land Total]]-Inventory[[#This Row],[24Lnd]])/Inventory[[#This Row],[24Lnd]]</f>
        <v>-5.9171597633136093E-3</v>
      </c>
      <c r="BS182" s="43">
        <f>(Inventory[[#This Row],[Adjusted Total]]-Inventory[[#This Row],[24Final]])/Inventory[[#This Row],[24Final]]</f>
        <v>-1.1447650846649178E-2</v>
      </c>
    </row>
    <row r="183" spans="1:71">
      <c r="A183" s="30">
        <v>2025</v>
      </c>
      <c r="B183" s="31" t="s">
        <v>692</v>
      </c>
      <c r="C183" s="31">
        <f>LN(Inventory[[#This Row],[Acres]])</f>
        <v>-0.90881871703545403</v>
      </c>
      <c r="D183" s="37">
        <f>ROUND(Inventory[[#This Row],[Sqft]]/43560,3)</f>
        <v>0.40300000000000002</v>
      </c>
      <c r="E183" s="30">
        <v>17571</v>
      </c>
      <c r="F183" s="31" t="s">
        <v>505</v>
      </c>
      <c r="G183" s="31" t="s">
        <v>155</v>
      </c>
      <c r="H183" s="31" t="s">
        <v>5</v>
      </c>
      <c r="I183" s="31" t="s">
        <v>506</v>
      </c>
      <c r="J183" s="31" t="s">
        <v>507</v>
      </c>
      <c r="K183" s="31" t="s">
        <v>330</v>
      </c>
      <c r="L183" s="31" t="s">
        <v>21</v>
      </c>
      <c r="M183" s="31" t="s">
        <v>24</v>
      </c>
      <c r="N183" s="31">
        <v>0</v>
      </c>
      <c r="O183" s="31">
        <f>2024-Inventory[[#This Row],[YrBlt]]</f>
        <v>4</v>
      </c>
      <c r="P183" s="31">
        <f>2024-Inventory[[#This Row],[EffYr]]</f>
        <v>4</v>
      </c>
      <c r="Q183" s="30">
        <v>2020</v>
      </c>
      <c r="R183" s="30">
        <v>2020</v>
      </c>
      <c r="S183" s="30">
        <v>2129</v>
      </c>
      <c r="T183" s="32"/>
      <c r="U183" s="37"/>
      <c r="V183" s="32"/>
      <c r="W183" s="37"/>
      <c r="X183" s="37">
        <f>Inventory[[#This Row],[Bsmt Area]]-Inventory[[#This Row],[FnBsmt]]</f>
        <v>0</v>
      </c>
      <c r="Y183" s="37">
        <f>Inventory[[#This Row],[MainFn]]+Inventory[[#This Row],[UpprFn]]+Inventory[[#This Row],[AddFn]]+Inventory[[#This Row],[FnBsmt]]</f>
        <v>2129</v>
      </c>
      <c r="Z183" s="32">
        <v>2500</v>
      </c>
      <c r="AA183" s="31" t="s">
        <v>57</v>
      </c>
      <c r="AB183" s="32"/>
      <c r="AC183" s="38">
        <v>618</v>
      </c>
      <c r="AD183" s="32"/>
      <c r="AE183" s="32"/>
      <c r="AF183" s="32"/>
      <c r="AG183" s="32"/>
      <c r="AH183" s="32"/>
      <c r="AI183" s="30">
        <v>441720</v>
      </c>
      <c r="AJ183" s="30">
        <v>428468</v>
      </c>
      <c r="AK183" s="30">
        <v>62510</v>
      </c>
      <c r="AL183" s="30">
        <v>0</v>
      </c>
      <c r="AM183" s="30">
        <v>73700</v>
      </c>
      <c r="AN183" s="30">
        <v>413600</v>
      </c>
      <c r="AO183" s="30">
        <v>487300</v>
      </c>
      <c r="AP183" s="30">
        <f>Lookups!$B$58*0.6</f>
        <v>132535.48800000001</v>
      </c>
      <c r="AQ183" s="30">
        <f>Lookups!$B$58*0.4</f>
        <v>88356.992000000013</v>
      </c>
      <c r="AR183" s="30">
        <f>Lookups!$B$59*Inventory[[#This Row],[LnAcres]]</f>
        <v>-11927.628573181468</v>
      </c>
      <c r="AS183" s="30">
        <f>VLOOKUP(Inventory[[#This Row],[Qlty]],Lookups!$A$66:$E$79,2,FALSE)</f>
        <v>32917.849192000001</v>
      </c>
      <c r="AT183" s="30">
        <f>VLOOKUP(Inventory[[#This Row],[Cnd]],Lookups!$A$80:$E$88,2,FALSE)</f>
        <v>47371.278778200001</v>
      </c>
      <c r="AU183" s="30">
        <f>Inventory[[#This Row],[EffAge]]*Lookups!$B$65</f>
        <v>-434.96440000000001</v>
      </c>
      <c r="AV183" s="30">
        <f>Inventory[[#This Row],[MainFn]]*Lookups!$B$90</f>
        <v>132871.69902</v>
      </c>
      <c r="AW183" s="30">
        <f>Inventory[[#This Row],[UpprFn]]*Lookups!$B$91</f>
        <v>0</v>
      </c>
      <c r="AX183" s="30">
        <f>Inventory[[#This Row],[Bsmt Area]]*Lookups!$B$95</f>
        <v>0</v>
      </c>
      <c r="AY183" s="30">
        <f>Inventory[[#This Row],[AttGar]]*Lookups!$B$93</f>
        <v>21816.037158000003</v>
      </c>
      <c r="AZ183" s="30">
        <f>ROUND(Inventory[[#This Row],[25Det]],-2)</f>
        <v>62500</v>
      </c>
      <c r="BA183" s="30">
        <f>ROUND(SUM(Inventory[[#This Row],[Mdl Qlty]:[Mdl Garage Area]])+Inventory[[#This Row],[Mdl Res Intercept]],-2)</f>
        <v>367100</v>
      </c>
      <c r="BB183" s="30">
        <f>ROUND(Inventory[[#This Row],[Mdl Land Intercept]]+Inventory[[#This Row],[Mdl LnAcres]],-2)</f>
        <v>76400</v>
      </c>
      <c r="BC183" s="30">
        <f>Inventory[[#This Row],[Unadj Res Value]]+Inventory[[#This Row],[Unadj Det Value]]+Inventory[[#This Row],[Unadj Land Value]]</f>
        <v>506000</v>
      </c>
      <c r="BD183" s="30">
        <f>(Inventory[[#This Row],[Unadj Total Value]]-Inventory[[#This Row],[24Final]])/Inventory[[#This Row],[24Final]]</f>
        <v>3.8374717832957109E-2</v>
      </c>
      <c r="BE183" s="30">
        <f>VLOOKUP(Inventory[[#This Row],[Nbhd]],Lookups!$M$3:$P$5,4,FALSE)</f>
        <v>0.99970000000000003</v>
      </c>
      <c r="BF183" s="30">
        <f>VLOOKUP(Inventory[[#This Row],[Qlty]],Lookups!$M$8:$P$22,4,FALSE)</f>
        <v>1.0019</v>
      </c>
      <c r="BG183" s="30">
        <f>VLOOKUP(Inventory[[#This Row],[Cnd]],Lookups!$R$8:$U$17,4,FALSE)</f>
        <v>1.0012000000000001</v>
      </c>
      <c r="BH183" s="30">
        <f>VLOOKUP(Inventory[[#This Row],[LivArea Range]],Lookups!$R$25:$U$43,4,FALSE)</f>
        <v>1.0008999999999999</v>
      </c>
      <c r="BI183" s="30">
        <f>VLOOKUP(Inventory[[#This Row],[Decade]],Lookups!$M$24:$P$40,4,FALSE)</f>
        <v>1</v>
      </c>
      <c r="BJ183" s="30">
        <f>Inventory[[#This Row],[Nbhd Adj]]*0.95</f>
        <v>0.94971499999999998</v>
      </c>
      <c r="BK183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83" s="30">
        <f>ROUND((SUM(Inventory[[#This Row],[Mdl Qlty]:[Mdl Garage Area]])+Inventory[[#This Row],[Mdl Res Intercept]])*Inventory[[#This Row],[Res Adj ]],-2)</f>
        <v>349000</v>
      </c>
      <c r="BM183" s="30">
        <f>ROUND(Inventory[[#This Row],[25Det]]*Inventory[[#This Row],[Det/Nbhd Adj]],-2)</f>
        <v>59400</v>
      </c>
      <c r="BN183" s="30">
        <f>Inventory[[#This Row],[Adjusted Res]]+Inventory[[#This Row],[Adj Det ]]</f>
        <v>408400</v>
      </c>
      <c r="BO183" s="30">
        <f>ROUND((Inventory[[#This Row],[Mdl Land Intercept]]+Inventory[[#This Row],[Mdl LnAcres]])*Inventory[[#This Row],[Det/Nbhd Adj]],-2)</f>
        <v>72600</v>
      </c>
      <c r="BP183" s="30">
        <f>Inventory[[#This Row],[Adjusted Impr Total]]+Inventory[[#This Row],[Adjusted Land Total]]</f>
        <v>481000</v>
      </c>
      <c r="BQ183" s="30">
        <f>IFERROR((Inventory[[#This Row],[Adjusted Impr Total]]-Inventory[[#This Row],[24Bldg]])/Inventory[[#This Row],[24Bldg]],0)</f>
        <v>-1.2572533849129593E-2</v>
      </c>
      <c r="BR183" s="43">
        <f>(Inventory[[#This Row],[Adjusted Land Total]]-Inventory[[#This Row],[24Lnd]])/Inventory[[#This Row],[24Lnd]]</f>
        <v>-1.4925373134328358E-2</v>
      </c>
      <c r="BS183" s="43">
        <f>(Inventory[[#This Row],[Adjusted Total]]-Inventory[[#This Row],[24Final]])/Inventory[[#This Row],[24Final]]</f>
        <v>-1.2928380874204802E-2</v>
      </c>
    </row>
    <row r="184" spans="1:71">
      <c r="A184" s="30">
        <v>2025</v>
      </c>
      <c r="B184" s="31" t="s">
        <v>693</v>
      </c>
      <c r="C184" s="31">
        <f>LN(Inventory[[#This Row],[Acres]])</f>
        <v>-1.9519282213808764</v>
      </c>
      <c r="D184" s="37">
        <f>ROUND(Inventory[[#This Row],[Sqft]]/43560,3)</f>
        <v>0.14199999999999999</v>
      </c>
      <c r="E184" s="30">
        <v>6200</v>
      </c>
      <c r="F184" s="31" t="s">
        <v>505</v>
      </c>
      <c r="G184" s="31" t="s">
        <v>155</v>
      </c>
      <c r="H184" s="31" t="s">
        <v>5</v>
      </c>
      <c r="I184" s="31" t="s">
        <v>506</v>
      </c>
      <c r="J184" s="31" t="s">
        <v>507</v>
      </c>
      <c r="K184" s="31" t="s">
        <v>330</v>
      </c>
      <c r="L184" s="31" t="s">
        <v>21</v>
      </c>
      <c r="M184" s="31" t="s">
        <v>22</v>
      </c>
      <c r="N184" s="31">
        <v>0</v>
      </c>
      <c r="O184" s="31">
        <f>2024-Inventory[[#This Row],[YrBlt]]</f>
        <v>5</v>
      </c>
      <c r="P184" s="31">
        <f>2024-Inventory[[#This Row],[EffYr]]</f>
        <v>5</v>
      </c>
      <c r="Q184" s="30">
        <v>2019</v>
      </c>
      <c r="R184" s="30">
        <v>2019</v>
      </c>
      <c r="S184" s="30">
        <v>2000</v>
      </c>
      <c r="T184" s="37"/>
      <c r="U184" s="37"/>
      <c r="V184" s="32"/>
      <c r="W184" s="32"/>
      <c r="X184" s="32">
        <f>Inventory[[#This Row],[Bsmt Area]]-Inventory[[#This Row],[FnBsmt]]</f>
        <v>0</v>
      </c>
      <c r="Y184" s="32">
        <f>Inventory[[#This Row],[MainFn]]+Inventory[[#This Row],[UpprFn]]+Inventory[[#This Row],[AddFn]]+Inventory[[#This Row],[FnBsmt]]</f>
        <v>2000</v>
      </c>
      <c r="Z184" s="32">
        <v>2500</v>
      </c>
      <c r="AA184" s="31" t="s">
        <v>56</v>
      </c>
      <c r="AB184" s="38">
        <v>1</v>
      </c>
      <c r="AC184" s="38">
        <v>441</v>
      </c>
      <c r="AD184" s="32"/>
      <c r="AE184" s="32"/>
      <c r="AF184" s="32"/>
      <c r="AG184" s="32"/>
      <c r="AH184" s="32"/>
      <c r="AI184" s="30">
        <v>429546</v>
      </c>
      <c r="AJ184" s="30">
        <v>412364</v>
      </c>
      <c r="AK184" s="30">
        <v>0</v>
      </c>
      <c r="AL184" s="30">
        <v>0</v>
      </c>
      <c r="AM184" s="30">
        <v>59000</v>
      </c>
      <c r="AN184" s="30">
        <v>343700</v>
      </c>
      <c r="AO184" s="30">
        <v>402700</v>
      </c>
      <c r="AP184" s="30">
        <f>Lookups!$B$58*0.6</f>
        <v>132535.48800000001</v>
      </c>
      <c r="AQ184" s="30">
        <f>Lookups!$B$58*0.4</f>
        <v>88356.992000000013</v>
      </c>
      <c r="AR184" s="30">
        <f>Lookups!$B$59*Inventory[[#This Row],[LnAcres]]</f>
        <v>-25617.732546361683</v>
      </c>
      <c r="AS184" s="30">
        <f>VLOOKUP(Inventory[[#This Row],[Qlty]],Lookups!$A$66:$E$79,2,FALSE)</f>
        <v>32917.849192000001</v>
      </c>
      <c r="AT184" s="30">
        <f>VLOOKUP(Inventory[[#This Row],[Cnd]],Lookups!$A$80:$E$88,2,FALSE)</f>
        <v>50438.379078999998</v>
      </c>
      <c r="AU184" s="30">
        <f>Inventory[[#This Row],[EffAge]]*Lookups!$B$65</f>
        <v>-543.70550000000003</v>
      </c>
      <c r="AV184" s="30">
        <f>Inventory[[#This Row],[MainFn]]*Lookups!$B$90</f>
        <v>124820.76000000001</v>
      </c>
      <c r="AW184" s="30">
        <f>Inventory[[#This Row],[UpprFn]]*Lookups!$B$91</f>
        <v>0</v>
      </c>
      <c r="AX184" s="30">
        <f>Inventory[[#This Row],[Bsmt Area]]*Lookups!$B$95</f>
        <v>0</v>
      </c>
      <c r="AY184" s="30">
        <f>Inventory[[#This Row],[AttGar]]*Lookups!$B$93</f>
        <v>15567.754671000001</v>
      </c>
      <c r="AZ184" s="30">
        <f>ROUND(Inventory[[#This Row],[25Det]],-2)</f>
        <v>0</v>
      </c>
      <c r="BA184" s="30">
        <f>ROUND(SUM(Inventory[[#This Row],[Mdl Qlty]:[Mdl Garage Area]])+Inventory[[#This Row],[Mdl Res Intercept]],-2)</f>
        <v>355700</v>
      </c>
      <c r="BB184" s="30">
        <f>ROUND(Inventory[[#This Row],[Mdl Land Intercept]]+Inventory[[#This Row],[Mdl LnAcres]],-2)</f>
        <v>62700</v>
      </c>
      <c r="BC184" s="30">
        <f>Inventory[[#This Row],[Unadj Res Value]]+Inventory[[#This Row],[Unadj Det Value]]+Inventory[[#This Row],[Unadj Land Value]]</f>
        <v>418400</v>
      </c>
      <c r="BD184" s="30">
        <f>(Inventory[[#This Row],[Unadj Total Value]]-Inventory[[#This Row],[24Final]])/Inventory[[#This Row],[24Final]]</f>
        <v>3.8986838837844547E-2</v>
      </c>
      <c r="BE184" s="30">
        <f>VLOOKUP(Inventory[[#This Row],[Nbhd]],Lookups!$M$3:$P$5,4,FALSE)</f>
        <v>0.99970000000000003</v>
      </c>
      <c r="BF184" s="30">
        <f>VLOOKUP(Inventory[[#This Row],[Qlty]],Lookups!$M$8:$P$22,4,FALSE)</f>
        <v>1.0019</v>
      </c>
      <c r="BG184" s="30">
        <f>VLOOKUP(Inventory[[#This Row],[Cnd]],Lookups!$R$8:$U$17,4,FALSE)</f>
        <v>1.0007999999999999</v>
      </c>
      <c r="BH184" s="30">
        <f>VLOOKUP(Inventory[[#This Row],[LivArea Range]],Lookups!$R$25:$U$43,4,FALSE)</f>
        <v>1.0008999999999999</v>
      </c>
      <c r="BI184" s="30">
        <f>VLOOKUP(Inventory[[#This Row],[Decade]],Lookups!$M$24:$P$40,4,FALSE)</f>
        <v>1</v>
      </c>
      <c r="BJ184" s="30">
        <f>Inventory[[#This Row],[Nbhd Adj]]*0.95</f>
        <v>0.94971499999999998</v>
      </c>
      <c r="BK184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184" s="30">
        <f>ROUND((SUM(Inventory[[#This Row],[Mdl Qlty]:[Mdl Garage Area]])+Inventory[[#This Row],[Mdl Res Intercept]])*Inventory[[#This Row],[Res Adj ]],-2)</f>
        <v>338200</v>
      </c>
      <c r="BM184" s="30">
        <f>ROUND(Inventory[[#This Row],[25Det]]*Inventory[[#This Row],[Det/Nbhd Adj]],-2)</f>
        <v>0</v>
      </c>
      <c r="BN184" s="30">
        <f>Inventory[[#This Row],[Adjusted Res]]+Inventory[[#This Row],[Adj Det ]]</f>
        <v>338200</v>
      </c>
      <c r="BO184" s="30">
        <f>ROUND((Inventory[[#This Row],[Mdl Land Intercept]]+Inventory[[#This Row],[Mdl LnAcres]])*Inventory[[#This Row],[Det/Nbhd Adj]],-2)</f>
        <v>59600</v>
      </c>
      <c r="BP184" s="30">
        <f>Inventory[[#This Row],[Adjusted Impr Total]]+Inventory[[#This Row],[Adjusted Land Total]]</f>
        <v>397800</v>
      </c>
      <c r="BQ184" s="30">
        <f>IFERROR((Inventory[[#This Row],[Adjusted Impr Total]]-Inventory[[#This Row],[24Bldg]])/Inventory[[#This Row],[24Bldg]],0)</f>
        <v>-1.6002327611288916E-2</v>
      </c>
      <c r="BR184" s="43">
        <f>(Inventory[[#This Row],[Adjusted Land Total]]-Inventory[[#This Row],[24Lnd]])/Inventory[[#This Row],[24Lnd]]</f>
        <v>1.0169491525423728E-2</v>
      </c>
      <c r="BS184" s="43">
        <f>(Inventory[[#This Row],[Adjusted Total]]-Inventory[[#This Row],[24Final]])/Inventory[[#This Row],[24Final]]</f>
        <v>-1.216786689843556E-2</v>
      </c>
    </row>
    <row r="185" spans="1:71">
      <c r="A185" s="30">
        <v>2025</v>
      </c>
      <c r="B185" s="31" t="s">
        <v>694</v>
      </c>
      <c r="C185" s="31">
        <f>LN(Inventory[[#This Row],[Acres]])</f>
        <v>-1.9519282213808764</v>
      </c>
      <c r="D185" s="37">
        <f>ROUND(Inventory[[#This Row],[Sqft]]/43560,3)</f>
        <v>0.14199999999999999</v>
      </c>
      <c r="E185" s="30">
        <v>6200</v>
      </c>
      <c r="F185" s="31" t="s">
        <v>505</v>
      </c>
      <c r="G185" s="31" t="s">
        <v>155</v>
      </c>
      <c r="H185" s="31" t="s">
        <v>5</v>
      </c>
      <c r="I185" s="31" t="s">
        <v>506</v>
      </c>
      <c r="J185" s="31" t="s">
        <v>507</v>
      </c>
      <c r="K185" s="31" t="s">
        <v>330</v>
      </c>
      <c r="L185" s="31" t="s">
        <v>19</v>
      </c>
      <c r="M185" s="31" t="s">
        <v>22</v>
      </c>
      <c r="N185" s="31">
        <v>0</v>
      </c>
      <c r="O185" s="31">
        <f>2024-Inventory[[#This Row],[YrBlt]]</f>
        <v>5</v>
      </c>
      <c r="P185" s="31">
        <f>2024-Inventory[[#This Row],[EffYr]]</f>
        <v>5</v>
      </c>
      <c r="Q185" s="30">
        <v>2019</v>
      </c>
      <c r="R185" s="30">
        <v>2019</v>
      </c>
      <c r="S185" s="30">
        <v>1749</v>
      </c>
      <c r="T185" s="37"/>
      <c r="U185" s="37"/>
      <c r="V185" s="32"/>
      <c r="W185" s="32"/>
      <c r="X185" s="32">
        <f>Inventory[[#This Row],[Bsmt Area]]-Inventory[[#This Row],[FnBsmt]]</f>
        <v>0</v>
      </c>
      <c r="Y185" s="32">
        <f>Inventory[[#This Row],[MainFn]]+Inventory[[#This Row],[UpprFn]]+Inventory[[#This Row],[AddFn]]+Inventory[[#This Row],[FnBsmt]]</f>
        <v>1749</v>
      </c>
      <c r="Z185" s="32">
        <v>2000</v>
      </c>
      <c r="AA185" s="31" t="s">
        <v>56</v>
      </c>
      <c r="AB185" s="37"/>
      <c r="AC185" s="38">
        <v>441</v>
      </c>
      <c r="AD185" s="32"/>
      <c r="AE185" s="32"/>
      <c r="AF185" s="32"/>
      <c r="AG185" s="32"/>
      <c r="AH185" s="32"/>
      <c r="AI185" s="30">
        <v>334034</v>
      </c>
      <c r="AJ185" s="30">
        <v>320673</v>
      </c>
      <c r="AK185" s="30">
        <v>0</v>
      </c>
      <c r="AL185" s="30">
        <v>0</v>
      </c>
      <c r="AM185" s="30">
        <v>59000</v>
      </c>
      <c r="AN185" s="30">
        <v>331900</v>
      </c>
      <c r="AO185" s="30">
        <v>390900</v>
      </c>
      <c r="AP185" s="30">
        <f>Lookups!$B$58*0.6</f>
        <v>132535.48800000001</v>
      </c>
      <c r="AQ185" s="30">
        <f>Lookups!$B$58*0.4</f>
        <v>88356.992000000013</v>
      </c>
      <c r="AR185" s="30">
        <f>Lookups!$B$59*Inventory[[#This Row],[LnAcres]]</f>
        <v>-25617.732546361683</v>
      </c>
      <c r="AS185" s="30">
        <f>VLOOKUP(Inventory[[#This Row],[Qlty]],Lookups!$A$66:$E$79,2,FALSE)</f>
        <v>37154.252388000001</v>
      </c>
      <c r="AT185" s="30">
        <f>VLOOKUP(Inventory[[#This Row],[Cnd]],Lookups!$A$80:$E$88,2,FALSE)</f>
        <v>50438.379078999998</v>
      </c>
      <c r="AU185" s="30">
        <f>Inventory[[#This Row],[EffAge]]*Lookups!$B$65</f>
        <v>-543.70550000000003</v>
      </c>
      <c r="AV185" s="30">
        <f>Inventory[[#This Row],[MainFn]]*Lookups!$B$90</f>
        <v>109155.75462000001</v>
      </c>
      <c r="AW185" s="30">
        <f>Inventory[[#This Row],[UpprFn]]*Lookups!$B$91</f>
        <v>0</v>
      </c>
      <c r="AX185" s="30">
        <f>Inventory[[#This Row],[Bsmt Area]]*Lookups!$B$95</f>
        <v>0</v>
      </c>
      <c r="AY185" s="30">
        <f>Inventory[[#This Row],[AttGar]]*Lookups!$B$93</f>
        <v>15567.754671000001</v>
      </c>
      <c r="AZ185" s="30">
        <f>ROUND(Inventory[[#This Row],[25Det]],-2)</f>
        <v>0</v>
      </c>
      <c r="BA185" s="30">
        <f>ROUND(SUM(Inventory[[#This Row],[Mdl Qlty]:[Mdl Garage Area]])+Inventory[[#This Row],[Mdl Res Intercept]],-2)</f>
        <v>344300</v>
      </c>
      <c r="BB185" s="30">
        <f>ROUND(Inventory[[#This Row],[Mdl Land Intercept]]+Inventory[[#This Row],[Mdl LnAcres]],-2)</f>
        <v>62700</v>
      </c>
      <c r="BC185" s="30">
        <f>Inventory[[#This Row],[Unadj Res Value]]+Inventory[[#This Row],[Unadj Det Value]]+Inventory[[#This Row],[Unadj Land Value]]</f>
        <v>407000</v>
      </c>
      <c r="BD185" s="30">
        <f>(Inventory[[#This Row],[Unadj Total Value]]-Inventory[[#This Row],[24Final]])/Inventory[[#This Row],[24Final]]</f>
        <v>4.118700434893835E-2</v>
      </c>
      <c r="BE185" s="30">
        <f>VLOOKUP(Inventory[[#This Row],[Nbhd]],Lookups!$M$3:$P$5,4,FALSE)</f>
        <v>0.99970000000000003</v>
      </c>
      <c r="BF185" s="30">
        <f>VLOOKUP(Inventory[[#This Row],[Qlty]],Lookups!$M$8:$P$22,4,FALSE)</f>
        <v>0.99819999999999998</v>
      </c>
      <c r="BG185" s="30">
        <f>VLOOKUP(Inventory[[#This Row],[Cnd]],Lookups!$R$8:$U$17,4,FALSE)</f>
        <v>1.0007999999999999</v>
      </c>
      <c r="BH185" s="30">
        <f>VLOOKUP(Inventory[[#This Row],[LivArea Range]],Lookups!$R$25:$U$43,4,FALSE)</f>
        <v>1.0007999999999999</v>
      </c>
      <c r="BI185" s="30">
        <f>VLOOKUP(Inventory[[#This Row],[Decade]],Lookups!$M$24:$P$40,4,FALSE)</f>
        <v>1</v>
      </c>
      <c r="BJ185" s="30">
        <f>Inventory[[#This Row],[Nbhd Adj]]*0.95</f>
        <v>0.94971499999999998</v>
      </c>
      <c r="BK185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185" s="30">
        <f>ROUND((SUM(Inventory[[#This Row],[Mdl Qlty]:[Mdl Garage Area]])+Inventory[[#This Row],[Mdl Res Intercept]])*Inventory[[#This Row],[Res Adj ]],-2)</f>
        <v>327100</v>
      </c>
      <c r="BM185" s="30">
        <f>ROUND(Inventory[[#This Row],[25Det]]*Inventory[[#This Row],[Det/Nbhd Adj]],-2)</f>
        <v>0</v>
      </c>
      <c r="BN185" s="30">
        <f>Inventory[[#This Row],[Adjusted Res]]+Inventory[[#This Row],[Adj Det ]]</f>
        <v>327100</v>
      </c>
      <c r="BO185" s="30">
        <f>ROUND((Inventory[[#This Row],[Mdl Land Intercept]]+Inventory[[#This Row],[Mdl LnAcres]])*Inventory[[#This Row],[Det/Nbhd Adj]],-2)</f>
        <v>59600</v>
      </c>
      <c r="BP185" s="30">
        <f>Inventory[[#This Row],[Adjusted Impr Total]]+Inventory[[#This Row],[Adjusted Land Total]]</f>
        <v>386700</v>
      </c>
      <c r="BQ185" s="30">
        <f>IFERROR((Inventory[[#This Row],[Adjusted Impr Total]]-Inventory[[#This Row],[24Bldg]])/Inventory[[#This Row],[24Bldg]],0)</f>
        <v>-1.4462187405845135E-2</v>
      </c>
      <c r="BR185" s="43">
        <f>(Inventory[[#This Row],[Adjusted Land Total]]-Inventory[[#This Row],[24Lnd]])/Inventory[[#This Row],[24Lnd]]</f>
        <v>1.0169491525423728E-2</v>
      </c>
      <c r="BS185" s="43">
        <f>(Inventory[[#This Row],[Adjusted Total]]-Inventory[[#This Row],[24Final]])/Inventory[[#This Row],[24Final]]</f>
        <v>-1.0744435917114352E-2</v>
      </c>
    </row>
    <row r="186" spans="1:71">
      <c r="A186" s="30">
        <v>2025</v>
      </c>
      <c r="B186" s="31" t="s">
        <v>695</v>
      </c>
      <c r="C186" s="31">
        <f>LN(Inventory[[#This Row],[Acres]])</f>
        <v>-1.9310215365615626</v>
      </c>
      <c r="D186" s="37">
        <f>ROUND(Inventory[[#This Row],[Sqft]]/43560,3)</f>
        <v>0.14499999999999999</v>
      </c>
      <c r="E186" s="30">
        <v>6300</v>
      </c>
      <c r="F186" s="31" t="s">
        <v>505</v>
      </c>
      <c r="G186" s="31" t="s">
        <v>155</v>
      </c>
      <c r="H186" s="31" t="s">
        <v>5</v>
      </c>
      <c r="I186" s="31" t="s">
        <v>506</v>
      </c>
      <c r="J186" s="31" t="s">
        <v>507</v>
      </c>
      <c r="K186" s="31" t="s">
        <v>330</v>
      </c>
      <c r="L186" s="31" t="s">
        <v>21</v>
      </c>
      <c r="M186" s="31" t="s">
        <v>22</v>
      </c>
      <c r="N186" s="31">
        <v>0</v>
      </c>
      <c r="O186" s="31">
        <f>2024-Inventory[[#This Row],[YrBlt]]</f>
        <v>5</v>
      </c>
      <c r="P186" s="31">
        <f>2024-Inventory[[#This Row],[EffYr]]</f>
        <v>5</v>
      </c>
      <c r="Q186" s="30">
        <v>2019</v>
      </c>
      <c r="R186" s="30">
        <v>2019</v>
      </c>
      <c r="S186" s="30">
        <v>2000</v>
      </c>
      <c r="T186" s="32"/>
      <c r="U186" s="32"/>
      <c r="V186" s="32"/>
      <c r="W186" s="32"/>
      <c r="X186" s="32">
        <f>Inventory[[#This Row],[Bsmt Area]]-Inventory[[#This Row],[FnBsmt]]</f>
        <v>0</v>
      </c>
      <c r="Y186" s="32">
        <f>Inventory[[#This Row],[MainFn]]+Inventory[[#This Row],[UpprFn]]+Inventory[[#This Row],[AddFn]]+Inventory[[#This Row],[FnBsmt]]</f>
        <v>2000</v>
      </c>
      <c r="Z186" s="32">
        <v>2500</v>
      </c>
      <c r="AA186" s="31" t="s">
        <v>56</v>
      </c>
      <c r="AB186" s="32"/>
      <c r="AC186" s="38">
        <v>441</v>
      </c>
      <c r="AD186" s="32"/>
      <c r="AE186" s="32"/>
      <c r="AF186" s="32"/>
      <c r="AG186" s="32"/>
      <c r="AH186" s="32"/>
      <c r="AI186" s="30">
        <v>424739</v>
      </c>
      <c r="AJ186" s="30">
        <v>407749</v>
      </c>
      <c r="AK186" s="30">
        <v>0</v>
      </c>
      <c r="AL186" s="30">
        <v>0</v>
      </c>
      <c r="AM186" s="30">
        <v>59000</v>
      </c>
      <c r="AN186" s="30">
        <v>350600</v>
      </c>
      <c r="AO186" s="30">
        <v>409600</v>
      </c>
      <c r="AP186" s="30">
        <f>Lookups!$B$58*0.6</f>
        <v>132535.48800000001</v>
      </c>
      <c r="AQ186" s="30">
        <f>Lookups!$B$58*0.4</f>
        <v>88356.992000000013</v>
      </c>
      <c r="AR186" s="30">
        <f>Lookups!$B$59*Inventory[[#This Row],[LnAcres]]</f>
        <v>-25343.346503747183</v>
      </c>
      <c r="AS186" s="30">
        <f>VLOOKUP(Inventory[[#This Row],[Qlty]],Lookups!$A$66:$E$79,2,FALSE)</f>
        <v>32917.849192000001</v>
      </c>
      <c r="AT186" s="30">
        <f>VLOOKUP(Inventory[[#This Row],[Cnd]],Lookups!$A$80:$E$88,2,FALSE)</f>
        <v>50438.379078999998</v>
      </c>
      <c r="AU186" s="30">
        <f>Inventory[[#This Row],[EffAge]]*Lookups!$B$65</f>
        <v>-543.70550000000003</v>
      </c>
      <c r="AV186" s="30">
        <f>Inventory[[#This Row],[MainFn]]*Lookups!$B$90</f>
        <v>124820.76000000001</v>
      </c>
      <c r="AW186" s="30">
        <f>Inventory[[#This Row],[UpprFn]]*Lookups!$B$91</f>
        <v>0</v>
      </c>
      <c r="AX186" s="30">
        <f>Inventory[[#This Row],[Bsmt Area]]*Lookups!$B$95</f>
        <v>0</v>
      </c>
      <c r="AY186" s="30">
        <f>Inventory[[#This Row],[AttGar]]*Lookups!$B$93</f>
        <v>15567.754671000001</v>
      </c>
      <c r="AZ186" s="30">
        <f>ROUND(Inventory[[#This Row],[25Det]],-2)</f>
        <v>0</v>
      </c>
      <c r="BA186" s="30">
        <f>ROUND(SUM(Inventory[[#This Row],[Mdl Qlty]:[Mdl Garage Area]])+Inventory[[#This Row],[Mdl Res Intercept]],-2)</f>
        <v>355700</v>
      </c>
      <c r="BB186" s="30">
        <f>ROUND(Inventory[[#This Row],[Mdl Land Intercept]]+Inventory[[#This Row],[Mdl LnAcres]],-2)</f>
        <v>63000</v>
      </c>
      <c r="BC186" s="30">
        <f>Inventory[[#This Row],[Unadj Res Value]]+Inventory[[#This Row],[Unadj Det Value]]+Inventory[[#This Row],[Unadj Land Value]]</f>
        <v>418700</v>
      </c>
      <c r="BD186" s="30">
        <f>(Inventory[[#This Row],[Unadj Total Value]]-Inventory[[#This Row],[24Final]])/Inventory[[#This Row],[24Final]]</f>
        <v>2.2216796875E-2</v>
      </c>
      <c r="BE186" s="30">
        <f>VLOOKUP(Inventory[[#This Row],[Nbhd]],Lookups!$M$3:$P$5,4,FALSE)</f>
        <v>0.99970000000000003</v>
      </c>
      <c r="BF186" s="30">
        <f>VLOOKUP(Inventory[[#This Row],[Qlty]],Lookups!$M$8:$P$22,4,FALSE)</f>
        <v>1.0019</v>
      </c>
      <c r="BG186" s="30">
        <f>VLOOKUP(Inventory[[#This Row],[Cnd]],Lookups!$R$8:$U$17,4,FALSE)</f>
        <v>1.0007999999999999</v>
      </c>
      <c r="BH186" s="30">
        <f>VLOOKUP(Inventory[[#This Row],[LivArea Range]],Lookups!$R$25:$U$43,4,FALSE)</f>
        <v>1.0008999999999999</v>
      </c>
      <c r="BI186" s="30">
        <f>VLOOKUP(Inventory[[#This Row],[Decade]],Lookups!$M$24:$P$40,4,FALSE)</f>
        <v>1</v>
      </c>
      <c r="BJ186" s="30">
        <f>Inventory[[#This Row],[Nbhd Adj]]*0.95</f>
        <v>0.94971499999999998</v>
      </c>
      <c r="BK186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186" s="30">
        <f>ROUND((SUM(Inventory[[#This Row],[Mdl Qlty]:[Mdl Garage Area]])+Inventory[[#This Row],[Mdl Res Intercept]])*Inventory[[#This Row],[Res Adj ]],-2)</f>
        <v>338200</v>
      </c>
      <c r="BM186" s="30">
        <f>ROUND(Inventory[[#This Row],[25Det]]*Inventory[[#This Row],[Det/Nbhd Adj]],-2)</f>
        <v>0</v>
      </c>
      <c r="BN186" s="30">
        <f>Inventory[[#This Row],[Adjusted Res]]+Inventory[[#This Row],[Adj Det ]]</f>
        <v>338200</v>
      </c>
      <c r="BO186" s="30">
        <f>ROUND((Inventory[[#This Row],[Mdl Land Intercept]]+Inventory[[#This Row],[Mdl LnAcres]])*Inventory[[#This Row],[Det/Nbhd Adj]],-2)</f>
        <v>59800</v>
      </c>
      <c r="BP186" s="30">
        <f>Inventory[[#This Row],[Adjusted Impr Total]]+Inventory[[#This Row],[Adjusted Land Total]]</f>
        <v>398000</v>
      </c>
      <c r="BQ186" s="30">
        <f>IFERROR((Inventory[[#This Row],[Adjusted Impr Total]]-Inventory[[#This Row],[24Bldg]])/Inventory[[#This Row],[24Bldg]],0)</f>
        <v>-3.5367940673131773E-2</v>
      </c>
      <c r="BR186" s="43">
        <f>(Inventory[[#This Row],[Adjusted Land Total]]-Inventory[[#This Row],[24Lnd]])/Inventory[[#This Row],[24Lnd]]</f>
        <v>1.3559322033898305E-2</v>
      </c>
      <c r="BS186" s="43">
        <f>(Inventory[[#This Row],[Adjusted Total]]-Inventory[[#This Row],[24Final]])/Inventory[[#This Row],[24Final]]</f>
        <v>-2.83203125E-2</v>
      </c>
    </row>
    <row r="187" spans="1:71">
      <c r="A187" s="30">
        <v>2025</v>
      </c>
      <c r="B187" s="31" t="s">
        <v>696</v>
      </c>
      <c r="C187" s="31">
        <f>LN(Inventory[[#This Row],[Acres]])</f>
        <v>-1.9310215365615626</v>
      </c>
      <c r="D187" s="37">
        <f>ROUND(Inventory[[#This Row],[Sqft]]/43560,3)</f>
        <v>0.14499999999999999</v>
      </c>
      <c r="E187" s="30">
        <v>6300</v>
      </c>
      <c r="F187" s="31" t="s">
        <v>505</v>
      </c>
      <c r="G187" s="31" t="s">
        <v>155</v>
      </c>
      <c r="H187" s="31" t="s">
        <v>5</v>
      </c>
      <c r="I187" s="31" t="s">
        <v>506</v>
      </c>
      <c r="J187" s="31" t="s">
        <v>507</v>
      </c>
      <c r="K187" s="31" t="s">
        <v>330</v>
      </c>
      <c r="L187" s="31" t="s">
        <v>21</v>
      </c>
      <c r="M187" s="31" t="s">
        <v>22</v>
      </c>
      <c r="N187" s="31">
        <v>0</v>
      </c>
      <c r="O187" s="31">
        <f>2024-Inventory[[#This Row],[YrBlt]]</f>
        <v>5</v>
      </c>
      <c r="P187" s="31">
        <f>2024-Inventory[[#This Row],[EffYr]]</f>
        <v>5</v>
      </c>
      <c r="Q187" s="30">
        <v>2019</v>
      </c>
      <c r="R187" s="30">
        <v>2019</v>
      </c>
      <c r="S187" s="30">
        <v>1708</v>
      </c>
      <c r="T187" s="32"/>
      <c r="U187" s="37"/>
      <c r="V187" s="32"/>
      <c r="W187" s="32"/>
      <c r="X187" s="32">
        <f>Inventory[[#This Row],[Bsmt Area]]-Inventory[[#This Row],[FnBsmt]]</f>
        <v>0</v>
      </c>
      <c r="Y187" s="32">
        <f>Inventory[[#This Row],[MainFn]]+Inventory[[#This Row],[UpprFn]]+Inventory[[#This Row],[AddFn]]+Inventory[[#This Row],[FnBsmt]]</f>
        <v>1708</v>
      </c>
      <c r="Z187" s="32">
        <v>2000</v>
      </c>
      <c r="AA187" s="31" t="s">
        <v>56</v>
      </c>
      <c r="AB187" s="32"/>
      <c r="AC187" s="30">
        <v>420</v>
      </c>
      <c r="AD187" s="32"/>
      <c r="AE187" s="32"/>
      <c r="AF187" s="32"/>
      <c r="AG187" s="32"/>
      <c r="AH187" s="32"/>
      <c r="AI187" s="30">
        <v>372492</v>
      </c>
      <c r="AJ187" s="30">
        <v>357592</v>
      </c>
      <c r="AK187" s="30">
        <v>0</v>
      </c>
      <c r="AL187" s="30">
        <v>0</v>
      </c>
      <c r="AM187" s="30">
        <v>59000</v>
      </c>
      <c r="AN187" s="30">
        <v>328700</v>
      </c>
      <c r="AO187" s="30">
        <v>387700</v>
      </c>
      <c r="AP187" s="30">
        <f>Lookups!$B$58*0.6</f>
        <v>132535.48800000001</v>
      </c>
      <c r="AQ187" s="30">
        <f>Lookups!$B$58*0.4</f>
        <v>88356.992000000013</v>
      </c>
      <c r="AR187" s="30">
        <f>Lookups!$B$59*Inventory[[#This Row],[LnAcres]]</f>
        <v>-25343.346503747183</v>
      </c>
      <c r="AS187" s="30">
        <f>VLOOKUP(Inventory[[#This Row],[Qlty]],Lookups!$A$66:$E$79,2,FALSE)</f>
        <v>32917.849192000001</v>
      </c>
      <c r="AT187" s="30">
        <f>VLOOKUP(Inventory[[#This Row],[Cnd]],Lookups!$A$80:$E$88,2,FALSE)</f>
        <v>50438.379078999998</v>
      </c>
      <c r="AU187" s="30">
        <f>Inventory[[#This Row],[EffAge]]*Lookups!$B$65</f>
        <v>-543.70550000000003</v>
      </c>
      <c r="AV187" s="30">
        <f>Inventory[[#This Row],[MainFn]]*Lookups!$B$90</f>
        <v>106596.92904</v>
      </c>
      <c r="AW187" s="30">
        <f>Inventory[[#This Row],[UpprFn]]*Lookups!$B$91</f>
        <v>0</v>
      </c>
      <c r="AX187" s="30">
        <f>Inventory[[#This Row],[Bsmt Area]]*Lookups!$B$95</f>
        <v>0</v>
      </c>
      <c r="AY187" s="30">
        <f>Inventory[[#This Row],[AttGar]]*Lookups!$B$93</f>
        <v>14826.43302</v>
      </c>
      <c r="AZ187" s="30">
        <f>ROUND(Inventory[[#This Row],[25Det]],-2)</f>
        <v>0</v>
      </c>
      <c r="BA187" s="30">
        <f>ROUND(SUM(Inventory[[#This Row],[Mdl Qlty]:[Mdl Garage Area]])+Inventory[[#This Row],[Mdl Res Intercept]],-2)</f>
        <v>336800</v>
      </c>
      <c r="BB187" s="30">
        <f>ROUND(Inventory[[#This Row],[Mdl Land Intercept]]+Inventory[[#This Row],[Mdl LnAcres]],-2)</f>
        <v>63000</v>
      </c>
      <c r="BC187" s="30">
        <f>Inventory[[#This Row],[Unadj Res Value]]+Inventory[[#This Row],[Unadj Det Value]]+Inventory[[#This Row],[Unadj Land Value]]</f>
        <v>399800</v>
      </c>
      <c r="BD187" s="30">
        <f>(Inventory[[#This Row],[Unadj Total Value]]-Inventory[[#This Row],[24Final]])/Inventory[[#This Row],[24Final]]</f>
        <v>3.1209698220273408E-2</v>
      </c>
      <c r="BE187" s="30">
        <f>VLOOKUP(Inventory[[#This Row],[Nbhd]],Lookups!$M$3:$P$5,4,FALSE)</f>
        <v>0.99970000000000003</v>
      </c>
      <c r="BF187" s="30">
        <f>VLOOKUP(Inventory[[#This Row],[Qlty]],Lookups!$M$8:$P$22,4,FALSE)</f>
        <v>1.0019</v>
      </c>
      <c r="BG187" s="30">
        <f>VLOOKUP(Inventory[[#This Row],[Cnd]],Lookups!$R$8:$U$17,4,FALSE)</f>
        <v>1.0007999999999999</v>
      </c>
      <c r="BH187" s="30">
        <f>VLOOKUP(Inventory[[#This Row],[LivArea Range]],Lookups!$R$25:$U$43,4,FALSE)</f>
        <v>1.0007999999999999</v>
      </c>
      <c r="BI187" s="30">
        <f>VLOOKUP(Inventory[[#This Row],[Decade]],Lookups!$M$24:$P$40,4,FALSE)</f>
        <v>1</v>
      </c>
      <c r="BJ187" s="30">
        <f>Inventory[[#This Row],[Nbhd Adj]]*0.95</f>
        <v>0.94971499999999998</v>
      </c>
      <c r="BK187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187" s="30">
        <f>ROUND((SUM(Inventory[[#This Row],[Mdl Qlty]:[Mdl Garage Area]])+Inventory[[#This Row],[Mdl Res Intercept]])*Inventory[[#This Row],[Res Adj ]],-2)</f>
        <v>320100</v>
      </c>
      <c r="BM187" s="30">
        <f>ROUND(Inventory[[#This Row],[25Det]]*Inventory[[#This Row],[Det/Nbhd Adj]],-2)</f>
        <v>0</v>
      </c>
      <c r="BN187" s="30">
        <f>Inventory[[#This Row],[Adjusted Res]]+Inventory[[#This Row],[Adj Det ]]</f>
        <v>320100</v>
      </c>
      <c r="BO187" s="30">
        <f>ROUND((Inventory[[#This Row],[Mdl Land Intercept]]+Inventory[[#This Row],[Mdl LnAcres]])*Inventory[[#This Row],[Det/Nbhd Adj]],-2)</f>
        <v>59800</v>
      </c>
      <c r="BP187" s="30">
        <f>Inventory[[#This Row],[Adjusted Impr Total]]+Inventory[[#This Row],[Adjusted Land Total]]</f>
        <v>379900</v>
      </c>
      <c r="BQ187" s="30">
        <f>IFERROR((Inventory[[#This Row],[Adjusted Impr Total]]-Inventory[[#This Row],[24Bldg]])/Inventory[[#This Row],[24Bldg]],0)</f>
        <v>-2.6163675083662914E-2</v>
      </c>
      <c r="BR187" s="43">
        <f>(Inventory[[#This Row],[Adjusted Land Total]]-Inventory[[#This Row],[24Lnd]])/Inventory[[#This Row],[24Lnd]]</f>
        <v>1.3559322033898305E-2</v>
      </c>
      <c r="BS187" s="43">
        <f>(Inventory[[#This Row],[Adjusted Total]]-Inventory[[#This Row],[24Final]])/Inventory[[#This Row],[24Final]]</f>
        <v>-2.011864843951509E-2</v>
      </c>
    </row>
    <row r="188" spans="1:71">
      <c r="A188" s="30">
        <v>2025</v>
      </c>
      <c r="B188" s="31" t="s">
        <v>697</v>
      </c>
      <c r="C188" s="31">
        <f>LN(Inventory[[#This Row],[Acres]])</f>
        <v>-1.9310215365615626</v>
      </c>
      <c r="D188" s="37">
        <f>ROUND(Inventory[[#This Row],[Sqft]]/43560,3)</f>
        <v>0.14499999999999999</v>
      </c>
      <c r="E188" s="38">
        <v>6300</v>
      </c>
      <c r="F188" s="31" t="s">
        <v>505</v>
      </c>
      <c r="G188" s="31" t="s">
        <v>155</v>
      </c>
      <c r="H188" s="31" t="s">
        <v>5</v>
      </c>
      <c r="I188" s="31" t="s">
        <v>506</v>
      </c>
      <c r="J188" s="31" t="s">
        <v>507</v>
      </c>
      <c r="K188" s="31" t="s">
        <v>330</v>
      </c>
      <c r="L188" s="31" t="s">
        <v>19</v>
      </c>
      <c r="M188" s="31" t="s">
        <v>22</v>
      </c>
      <c r="N188" s="31">
        <v>0</v>
      </c>
      <c r="O188" s="31">
        <f>2024-Inventory[[#This Row],[YrBlt]]</f>
        <v>5</v>
      </c>
      <c r="P188" s="31">
        <f>2024-Inventory[[#This Row],[EffYr]]</f>
        <v>5</v>
      </c>
      <c r="Q188" s="30">
        <v>2019</v>
      </c>
      <c r="R188" s="30">
        <v>2019</v>
      </c>
      <c r="S188" s="30">
        <v>1529</v>
      </c>
      <c r="T188" s="32"/>
      <c r="U188" s="32"/>
      <c r="V188" s="32"/>
      <c r="W188" s="32"/>
      <c r="X188" s="32">
        <f>Inventory[[#This Row],[Bsmt Area]]-Inventory[[#This Row],[FnBsmt]]</f>
        <v>0</v>
      </c>
      <c r="Y188" s="32">
        <f>Inventory[[#This Row],[MainFn]]+Inventory[[#This Row],[UpprFn]]+Inventory[[#This Row],[AddFn]]+Inventory[[#This Row],[FnBsmt]]</f>
        <v>1529</v>
      </c>
      <c r="Z188" s="32">
        <v>2000</v>
      </c>
      <c r="AA188" s="31" t="s">
        <v>56</v>
      </c>
      <c r="AB188" s="32"/>
      <c r="AC188" s="38">
        <v>441</v>
      </c>
      <c r="AD188" s="32"/>
      <c r="AE188" s="32"/>
      <c r="AF188" s="32"/>
      <c r="AG188" s="32"/>
      <c r="AH188" s="32"/>
      <c r="AI188" s="30">
        <v>300667</v>
      </c>
      <c r="AJ188" s="30">
        <v>288640</v>
      </c>
      <c r="AK188" s="30">
        <v>0</v>
      </c>
      <c r="AL188" s="30">
        <v>0</v>
      </c>
      <c r="AM188" s="30">
        <v>59000</v>
      </c>
      <c r="AN188" s="30">
        <v>321600</v>
      </c>
      <c r="AO188" s="30">
        <v>380600</v>
      </c>
      <c r="AP188" s="30">
        <f>Lookups!$B$58*0.6</f>
        <v>132535.48800000001</v>
      </c>
      <c r="AQ188" s="30">
        <f>Lookups!$B$58*0.4</f>
        <v>88356.992000000013</v>
      </c>
      <c r="AR188" s="30">
        <f>Lookups!$B$59*Inventory[[#This Row],[LnAcres]]</f>
        <v>-25343.346503747183</v>
      </c>
      <c r="AS188" s="30">
        <f>VLOOKUP(Inventory[[#This Row],[Qlty]],Lookups!$A$66:$E$79,2,FALSE)</f>
        <v>37154.252388000001</v>
      </c>
      <c r="AT188" s="30">
        <f>VLOOKUP(Inventory[[#This Row],[Cnd]],Lookups!$A$80:$E$88,2,FALSE)</f>
        <v>50438.379078999998</v>
      </c>
      <c r="AU188" s="30">
        <f>Inventory[[#This Row],[EffAge]]*Lookups!$B$65</f>
        <v>-543.70550000000003</v>
      </c>
      <c r="AV188" s="30">
        <f>Inventory[[#This Row],[MainFn]]*Lookups!$B$90</f>
        <v>95425.471020000012</v>
      </c>
      <c r="AW188" s="30">
        <f>Inventory[[#This Row],[UpprFn]]*Lookups!$B$91</f>
        <v>0</v>
      </c>
      <c r="AX188" s="30">
        <f>Inventory[[#This Row],[Bsmt Area]]*Lookups!$B$95</f>
        <v>0</v>
      </c>
      <c r="AY188" s="30">
        <f>Inventory[[#This Row],[AttGar]]*Lookups!$B$93</f>
        <v>15567.754671000001</v>
      </c>
      <c r="AZ188" s="30">
        <f>ROUND(Inventory[[#This Row],[25Det]],-2)</f>
        <v>0</v>
      </c>
      <c r="BA188" s="30">
        <f>ROUND(SUM(Inventory[[#This Row],[Mdl Qlty]:[Mdl Garage Area]])+Inventory[[#This Row],[Mdl Res Intercept]],-2)</f>
        <v>330600</v>
      </c>
      <c r="BB188" s="30">
        <f>ROUND(Inventory[[#This Row],[Mdl Land Intercept]]+Inventory[[#This Row],[Mdl LnAcres]],-2)</f>
        <v>63000</v>
      </c>
      <c r="BC188" s="30">
        <f>Inventory[[#This Row],[Unadj Res Value]]+Inventory[[#This Row],[Unadj Det Value]]+Inventory[[#This Row],[Unadj Land Value]]</f>
        <v>393600</v>
      </c>
      <c r="BD188" s="30">
        <f>(Inventory[[#This Row],[Unadj Total Value]]-Inventory[[#This Row],[24Final]])/Inventory[[#This Row],[24Final]]</f>
        <v>3.415659485023647E-2</v>
      </c>
      <c r="BE188" s="30">
        <f>VLOOKUP(Inventory[[#This Row],[Nbhd]],Lookups!$M$3:$P$5,4,FALSE)</f>
        <v>0.99970000000000003</v>
      </c>
      <c r="BF188" s="30">
        <f>VLOOKUP(Inventory[[#This Row],[Qlty]],Lookups!$M$8:$P$22,4,FALSE)</f>
        <v>0.99819999999999998</v>
      </c>
      <c r="BG188" s="30">
        <f>VLOOKUP(Inventory[[#This Row],[Cnd]],Lookups!$R$8:$U$17,4,FALSE)</f>
        <v>1.0007999999999999</v>
      </c>
      <c r="BH188" s="30">
        <f>VLOOKUP(Inventory[[#This Row],[LivArea Range]],Lookups!$R$25:$U$43,4,FALSE)</f>
        <v>1.0007999999999999</v>
      </c>
      <c r="BI188" s="30">
        <f>VLOOKUP(Inventory[[#This Row],[Decade]],Lookups!$M$24:$P$40,4,FALSE)</f>
        <v>1</v>
      </c>
      <c r="BJ188" s="30">
        <f>Inventory[[#This Row],[Nbhd Adj]]*0.95</f>
        <v>0.94971499999999998</v>
      </c>
      <c r="BK188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188" s="30">
        <f>ROUND((SUM(Inventory[[#This Row],[Mdl Qlty]:[Mdl Garage Area]])+Inventory[[#This Row],[Mdl Res Intercept]])*Inventory[[#This Row],[Res Adj ]],-2)</f>
        <v>314000</v>
      </c>
      <c r="BM188" s="30">
        <f>ROUND(Inventory[[#This Row],[25Det]]*Inventory[[#This Row],[Det/Nbhd Adj]],-2)</f>
        <v>0</v>
      </c>
      <c r="BN188" s="30">
        <f>Inventory[[#This Row],[Adjusted Res]]+Inventory[[#This Row],[Adj Det ]]</f>
        <v>314000</v>
      </c>
      <c r="BO188" s="30">
        <f>ROUND((Inventory[[#This Row],[Mdl Land Intercept]]+Inventory[[#This Row],[Mdl LnAcres]])*Inventory[[#This Row],[Det/Nbhd Adj]],-2)</f>
        <v>59800</v>
      </c>
      <c r="BP188" s="30">
        <f>Inventory[[#This Row],[Adjusted Impr Total]]+Inventory[[#This Row],[Adjusted Land Total]]</f>
        <v>373800</v>
      </c>
      <c r="BQ188" s="30">
        <f>IFERROR((Inventory[[#This Row],[Adjusted Impr Total]]-Inventory[[#This Row],[24Bldg]])/Inventory[[#This Row],[24Bldg]],0)</f>
        <v>-2.36318407960199E-2</v>
      </c>
      <c r="BR188" s="43">
        <f>(Inventory[[#This Row],[Adjusted Land Total]]-Inventory[[#This Row],[24Lnd]])/Inventory[[#This Row],[24Lnd]]</f>
        <v>1.3559322033898305E-2</v>
      </c>
      <c r="BS188" s="43">
        <f>(Inventory[[#This Row],[Adjusted Total]]-Inventory[[#This Row],[24Final]])/Inventory[[#This Row],[24Final]]</f>
        <v>-1.7866526537046769E-2</v>
      </c>
    </row>
    <row r="189" spans="1:71">
      <c r="A189" s="30">
        <v>2025</v>
      </c>
      <c r="B189" s="31" t="s">
        <v>698</v>
      </c>
      <c r="C189" s="31">
        <f>LN(Inventory[[#This Row],[Acres]])</f>
        <v>-1.9310215365615626</v>
      </c>
      <c r="D189" s="37">
        <f>ROUND(Inventory[[#This Row],[Sqft]]/43560,3)</f>
        <v>0.14499999999999999</v>
      </c>
      <c r="E189" s="30">
        <v>6300</v>
      </c>
      <c r="F189" s="31" t="s">
        <v>505</v>
      </c>
      <c r="G189" s="31" t="s">
        <v>155</v>
      </c>
      <c r="H189" s="31" t="s">
        <v>5</v>
      </c>
      <c r="I189" s="31" t="s">
        <v>506</v>
      </c>
      <c r="J189" s="31" t="s">
        <v>507</v>
      </c>
      <c r="K189" s="31" t="s">
        <v>330</v>
      </c>
      <c r="L189" s="31" t="s">
        <v>19</v>
      </c>
      <c r="M189" s="31" t="s">
        <v>22</v>
      </c>
      <c r="N189" s="31">
        <v>0</v>
      </c>
      <c r="O189" s="31">
        <f>2024-Inventory[[#This Row],[YrBlt]]</f>
        <v>5</v>
      </c>
      <c r="P189" s="31">
        <f>2024-Inventory[[#This Row],[EffYr]]</f>
        <v>5</v>
      </c>
      <c r="Q189" s="30">
        <v>2019</v>
      </c>
      <c r="R189" s="30">
        <v>2019</v>
      </c>
      <c r="S189" s="30">
        <v>1529</v>
      </c>
      <c r="T189" s="32"/>
      <c r="U189" s="32"/>
      <c r="V189" s="32"/>
      <c r="W189" s="32"/>
      <c r="X189" s="32">
        <f>Inventory[[#This Row],[Bsmt Area]]-Inventory[[#This Row],[FnBsmt]]</f>
        <v>0</v>
      </c>
      <c r="Y189" s="32">
        <f>Inventory[[#This Row],[MainFn]]+Inventory[[#This Row],[UpprFn]]+Inventory[[#This Row],[AddFn]]+Inventory[[#This Row],[FnBsmt]]</f>
        <v>1529</v>
      </c>
      <c r="Z189" s="32">
        <v>2000</v>
      </c>
      <c r="AA189" s="31" t="s">
        <v>56</v>
      </c>
      <c r="AB189" s="38">
        <v>1</v>
      </c>
      <c r="AC189" s="38">
        <v>441</v>
      </c>
      <c r="AD189" s="32"/>
      <c r="AE189" s="32"/>
      <c r="AF189" s="32"/>
      <c r="AG189" s="32"/>
      <c r="AH189" s="32"/>
      <c r="AI189" s="30">
        <v>307649</v>
      </c>
      <c r="AJ189" s="30">
        <v>295343</v>
      </c>
      <c r="AK189" s="30">
        <v>0</v>
      </c>
      <c r="AL189" s="30">
        <v>0</v>
      </c>
      <c r="AM189" s="30">
        <v>59000</v>
      </c>
      <c r="AN189" s="30">
        <v>320800</v>
      </c>
      <c r="AO189" s="30">
        <v>379800</v>
      </c>
      <c r="AP189" s="30">
        <f>Lookups!$B$58*0.6</f>
        <v>132535.48800000001</v>
      </c>
      <c r="AQ189" s="30">
        <f>Lookups!$B$58*0.4</f>
        <v>88356.992000000013</v>
      </c>
      <c r="AR189" s="30">
        <f>Lookups!$B$59*Inventory[[#This Row],[LnAcres]]</f>
        <v>-25343.346503747183</v>
      </c>
      <c r="AS189" s="30">
        <f>VLOOKUP(Inventory[[#This Row],[Qlty]],Lookups!$A$66:$E$79,2,FALSE)</f>
        <v>37154.252388000001</v>
      </c>
      <c r="AT189" s="30">
        <f>VLOOKUP(Inventory[[#This Row],[Cnd]],Lookups!$A$80:$E$88,2,FALSE)</f>
        <v>50438.379078999998</v>
      </c>
      <c r="AU189" s="30">
        <f>Inventory[[#This Row],[EffAge]]*Lookups!$B$65</f>
        <v>-543.70550000000003</v>
      </c>
      <c r="AV189" s="30">
        <f>Inventory[[#This Row],[MainFn]]*Lookups!$B$90</f>
        <v>95425.471020000012</v>
      </c>
      <c r="AW189" s="30">
        <f>Inventory[[#This Row],[UpprFn]]*Lookups!$B$91</f>
        <v>0</v>
      </c>
      <c r="AX189" s="30">
        <f>Inventory[[#This Row],[Bsmt Area]]*Lookups!$B$95</f>
        <v>0</v>
      </c>
      <c r="AY189" s="30">
        <f>Inventory[[#This Row],[AttGar]]*Lookups!$B$93</f>
        <v>15567.754671000001</v>
      </c>
      <c r="AZ189" s="30">
        <f>ROUND(Inventory[[#This Row],[25Det]],-2)</f>
        <v>0</v>
      </c>
      <c r="BA189" s="30">
        <f>ROUND(SUM(Inventory[[#This Row],[Mdl Qlty]:[Mdl Garage Area]])+Inventory[[#This Row],[Mdl Res Intercept]],-2)</f>
        <v>330600</v>
      </c>
      <c r="BB189" s="30">
        <f>ROUND(Inventory[[#This Row],[Mdl Land Intercept]]+Inventory[[#This Row],[Mdl LnAcres]],-2)</f>
        <v>63000</v>
      </c>
      <c r="BC189" s="30">
        <f>Inventory[[#This Row],[Unadj Res Value]]+Inventory[[#This Row],[Unadj Det Value]]+Inventory[[#This Row],[Unadj Land Value]]</f>
        <v>393600</v>
      </c>
      <c r="BD189" s="30">
        <f>(Inventory[[#This Row],[Unadj Total Value]]-Inventory[[#This Row],[24Final]])/Inventory[[#This Row],[24Final]]</f>
        <v>3.6334913112164295E-2</v>
      </c>
      <c r="BE189" s="30">
        <f>VLOOKUP(Inventory[[#This Row],[Nbhd]],Lookups!$M$3:$P$5,4,FALSE)</f>
        <v>0.99970000000000003</v>
      </c>
      <c r="BF189" s="30">
        <f>VLOOKUP(Inventory[[#This Row],[Qlty]],Lookups!$M$8:$P$22,4,FALSE)</f>
        <v>0.99819999999999998</v>
      </c>
      <c r="BG189" s="30">
        <f>VLOOKUP(Inventory[[#This Row],[Cnd]],Lookups!$R$8:$U$17,4,FALSE)</f>
        <v>1.0007999999999999</v>
      </c>
      <c r="BH189" s="30">
        <f>VLOOKUP(Inventory[[#This Row],[LivArea Range]],Lookups!$R$25:$U$43,4,FALSE)</f>
        <v>1.0007999999999999</v>
      </c>
      <c r="BI189" s="30">
        <f>VLOOKUP(Inventory[[#This Row],[Decade]],Lookups!$M$24:$P$40,4,FALSE)</f>
        <v>1</v>
      </c>
      <c r="BJ189" s="30">
        <f>Inventory[[#This Row],[Nbhd Adj]]*0.95</f>
        <v>0.94971499999999998</v>
      </c>
      <c r="BK189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189" s="30">
        <f>ROUND((SUM(Inventory[[#This Row],[Mdl Qlty]:[Mdl Garage Area]])+Inventory[[#This Row],[Mdl Res Intercept]])*Inventory[[#This Row],[Res Adj ]],-2)</f>
        <v>314000</v>
      </c>
      <c r="BM189" s="30">
        <f>ROUND(Inventory[[#This Row],[25Det]]*Inventory[[#This Row],[Det/Nbhd Adj]],-2)</f>
        <v>0</v>
      </c>
      <c r="BN189" s="30">
        <f>Inventory[[#This Row],[Adjusted Res]]+Inventory[[#This Row],[Adj Det ]]</f>
        <v>314000</v>
      </c>
      <c r="BO189" s="30">
        <f>ROUND((Inventory[[#This Row],[Mdl Land Intercept]]+Inventory[[#This Row],[Mdl LnAcres]])*Inventory[[#This Row],[Det/Nbhd Adj]],-2)</f>
        <v>59800</v>
      </c>
      <c r="BP189" s="30">
        <f>Inventory[[#This Row],[Adjusted Impr Total]]+Inventory[[#This Row],[Adjusted Land Total]]</f>
        <v>373800</v>
      </c>
      <c r="BQ189" s="30">
        <f>IFERROR((Inventory[[#This Row],[Adjusted Impr Total]]-Inventory[[#This Row],[24Bldg]])/Inventory[[#This Row],[24Bldg]],0)</f>
        <v>-2.119700748129676E-2</v>
      </c>
      <c r="BR189" s="43">
        <f>(Inventory[[#This Row],[Adjusted Land Total]]-Inventory[[#This Row],[24Lnd]])/Inventory[[#This Row],[24Lnd]]</f>
        <v>1.3559322033898305E-2</v>
      </c>
      <c r="BS189" s="43">
        <f>(Inventory[[#This Row],[Adjusted Total]]-Inventory[[#This Row],[24Final]])/Inventory[[#This Row],[24Final]]</f>
        <v>-1.579778830963665E-2</v>
      </c>
    </row>
    <row r="190" spans="1:71">
      <c r="A190" s="30">
        <v>2025</v>
      </c>
      <c r="B190" s="31" t="s">
        <v>699</v>
      </c>
      <c r="C190" s="31">
        <f>LN(Inventory[[#This Row],[Acres]])</f>
        <v>-1.870802676568508</v>
      </c>
      <c r="D190" s="37">
        <f>ROUND(Inventory[[#This Row],[Sqft]]/43560,3)</f>
        <v>0.154</v>
      </c>
      <c r="E190" s="30">
        <v>6700</v>
      </c>
      <c r="F190" s="31" t="s">
        <v>505</v>
      </c>
      <c r="G190" s="31" t="s">
        <v>155</v>
      </c>
      <c r="H190" s="31" t="s">
        <v>5</v>
      </c>
      <c r="I190" s="31" t="s">
        <v>506</v>
      </c>
      <c r="J190" s="31" t="s">
        <v>507</v>
      </c>
      <c r="K190" s="31" t="s">
        <v>330</v>
      </c>
      <c r="L190" s="31" t="s">
        <v>19</v>
      </c>
      <c r="M190" s="31" t="s">
        <v>22</v>
      </c>
      <c r="N190" s="31">
        <v>0</v>
      </c>
      <c r="O190" s="31">
        <f>2024-Inventory[[#This Row],[YrBlt]]</f>
        <v>5</v>
      </c>
      <c r="P190" s="31">
        <f>2024-Inventory[[#This Row],[EffYr]]</f>
        <v>5</v>
      </c>
      <c r="Q190" s="30">
        <v>2019</v>
      </c>
      <c r="R190" s="30">
        <v>2019</v>
      </c>
      <c r="S190" s="30">
        <v>1529</v>
      </c>
      <c r="T190" s="32"/>
      <c r="U190" s="32"/>
      <c r="V190" s="32"/>
      <c r="W190" s="32"/>
      <c r="X190" s="32">
        <f>Inventory[[#This Row],[Bsmt Area]]-Inventory[[#This Row],[FnBsmt]]</f>
        <v>0</v>
      </c>
      <c r="Y190" s="32">
        <f>Inventory[[#This Row],[MainFn]]+Inventory[[#This Row],[UpprFn]]+Inventory[[#This Row],[AddFn]]+Inventory[[#This Row],[FnBsmt]]</f>
        <v>1529</v>
      </c>
      <c r="Z190" s="32">
        <v>2000</v>
      </c>
      <c r="AA190" s="31" t="s">
        <v>56</v>
      </c>
      <c r="AB190" s="32"/>
      <c r="AC190" s="38">
        <v>441</v>
      </c>
      <c r="AD190" s="32"/>
      <c r="AE190" s="32"/>
      <c r="AF190" s="32"/>
      <c r="AG190" s="32"/>
      <c r="AH190" s="32"/>
      <c r="AI190" s="30">
        <v>304233</v>
      </c>
      <c r="AJ190" s="30">
        <v>292064</v>
      </c>
      <c r="AK190" s="30">
        <v>0</v>
      </c>
      <c r="AL190" s="30">
        <v>0</v>
      </c>
      <c r="AM190" s="30">
        <v>59900</v>
      </c>
      <c r="AN190" s="30">
        <v>321600</v>
      </c>
      <c r="AO190" s="30">
        <v>381500</v>
      </c>
      <c r="AP190" s="30">
        <f>Lookups!$B$58*0.6</f>
        <v>132535.48800000001</v>
      </c>
      <c r="AQ190" s="30">
        <f>Lookups!$B$58*0.4</f>
        <v>88356.992000000013</v>
      </c>
      <c r="AR190" s="30">
        <f>Lookups!$B$59*Inventory[[#This Row],[LnAcres]]</f>
        <v>-24553.014854944278</v>
      </c>
      <c r="AS190" s="30">
        <f>VLOOKUP(Inventory[[#This Row],[Qlty]],Lookups!$A$66:$E$79,2,FALSE)</f>
        <v>37154.252388000001</v>
      </c>
      <c r="AT190" s="30">
        <f>VLOOKUP(Inventory[[#This Row],[Cnd]],Lookups!$A$80:$E$88,2,FALSE)</f>
        <v>50438.379078999998</v>
      </c>
      <c r="AU190" s="30">
        <f>Inventory[[#This Row],[EffAge]]*Lookups!$B$65</f>
        <v>-543.70550000000003</v>
      </c>
      <c r="AV190" s="30">
        <f>Inventory[[#This Row],[MainFn]]*Lookups!$B$90</f>
        <v>95425.471020000012</v>
      </c>
      <c r="AW190" s="30">
        <f>Inventory[[#This Row],[UpprFn]]*Lookups!$B$91</f>
        <v>0</v>
      </c>
      <c r="AX190" s="30">
        <f>Inventory[[#This Row],[Bsmt Area]]*Lookups!$B$95</f>
        <v>0</v>
      </c>
      <c r="AY190" s="30">
        <f>Inventory[[#This Row],[AttGar]]*Lookups!$B$93</f>
        <v>15567.754671000001</v>
      </c>
      <c r="AZ190" s="30">
        <f>ROUND(Inventory[[#This Row],[25Det]],-2)</f>
        <v>0</v>
      </c>
      <c r="BA190" s="30">
        <f>ROUND(SUM(Inventory[[#This Row],[Mdl Qlty]:[Mdl Garage Area]])+Inventory[[#This Row],[Mdl Res Intercept]],-2)</f>
        <v>330600</v>
      </c>
      <c r="BB190" s="30">
        <f>ROUND(Inventory[[#This Row],[Mdl Land Intercept]]+Inventory[[#This Row],[Mdl LnAcres]],-2)</f>
        <v>63800</v>
      </c>
      <c r="BC190" s="30">
        <f>Inventory[[#This Row],[Unadj Res Value]]+Inventory[[#This Row],[Unadj Det Value]]+Inventory[[#This Row],[Unadj Land Value]]</f>
        <v>394400</v>
      </c>
      <c r="BD190" s="30">
        <f>(Inventory[[#This Row],[Unadj Total Value]]-Inventory[[#This Row],[24Final]])/Inventory[[#This Row],[24Final]]</f>
        <v>3.3813892529488861E-2</v>
      </c>
      <c r="BE190" s="30">
        <f>VLOOKUP(Inventory[[#This Row],[Nbhd]],Lookups!$M$3:$P$5,4,FALSE)</f>
        <v>0.99970000000000003</v>
      </c>
      <c r="BF190" s="30">
        <f>VLOOKUP(Inventory[[#This Row],[Qlty]],Lookups!$M$8:$P$22,4,FALSE)</f>
        <v>0.99819999999999998</v>
      </c>
      <c r="BG190" s="30">
        <f>VLOOKUP(Inventory[[#This Row],[Cnd]],Lookups!$R$8:$U$17,4,FALSE)</f>
        <v>1.0007999999999999</v>
      </c>
      <c r="BH190" s="30">
        <f>VLOOKUP(Inventory[[#This Row],[LivArea Range]],Lookups!$R$25:$U$43,4,FALSE)</f>
        <v>1.0007999999999999</v>
      </c>
      <c r="BI190" s="30">
        <f>VLOOKUP(Inventory[[#This Row],[Decade]],Lookups!$M$24:$P$40,4,FALSE)</f>
        <v>1</v>
      </c>
      <c r="BJ190" s="30">
        <f>Inventory[[#This Row],[Nbhd Adj]]*0.95</f>
        <v>0.94971499999999998</v>
      </c>
      <c r="BK190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190" s="30">
        <f>ROUND((SUM(Inventory[[#This Row],[Mdl Qlty]:[Mdl Garage Area]])+Inventory[[#This Row],[Mdl Res Intercept]])*Inventory[[#This Row],[Res Adj ]],-2)</f>
        <v>314000</v>
      </c>
      <c r="BM190" s="30">
        <f>ROUND(Inventory[[#This Row],[25Det]]*Inventory[[#This Row],[Det/Nbhd Adj]],-2)</f>
        <v>0</v>
      </c>
      <c r="BN190" s="30">
        <f>Inventory[[#This Row],[Adjusted Res]]+Inventory[[#This Row],[Adj Det ]]</f>
        <v>314000</v>
      </c>
      <c r="BO190" s="30">
        <f>ROUND((Inventory[[#This Row],[Mdl Land Intercept]]+Inventory[[#This Row],[Mdl LnAcres]])*Inventory[[#This Row],[Det/Nbhd Adj]],-2)</f>
        <v>60600</v>
      </c>
      <c r="BP190" s="30">
        <f>Inventory[[#This Row],[Adjusted Impr Total]]+Inventory[[#This Row],[Adjusted Land Total]]</f>
        <v>374600</v>
      </c>
      <c r="BQ190" s="30">
        <f>IFERROR((Inventory[[#This Row],[Adjusted Impr Total]]-Inventory[[#This Row],[24Bldg]])/Inventory[[#This Row],[24Bldg]],0)</f>
        <v>-2.36318407960199E-2</v>
      </c>
      <c r="BR190" s="43">
        <f>(Inventory[[#This Row],[Adjusted Land Total]]-Inventory[[#This Row],[24Lnd]])/Inventory[[#This Row],[24Lnd]]</f>
        <v>1.1686143572621035E-2</v>
      </c>
      <c r="BS190" s="43">
        <f>(Inventory[[#This Row],[Adjusted Total]]-Inventory[[#This Row],[24Final]])/Inventory[[#This Row],[24Final]]</f>
        <v>-1.8086500655307994E-2</v>
      </c>
    </row>
    <row r="191" spans="1:71">
      <c r="A191" s="30">
        <v>2025</v>
      </c>
      <c r="B191" s="31" t="s">
        <v>700</v>
      </c>
      <c r="C191" s="31">
        <f>LN(Inventory[[#This Row],[Acres]])</f>
        <v>-1.870802676568508</v>
      </c>
      <c r="D191" s="37">
        <f>ROUND(Inventory[[#This Row],[Sqft]]/43560,3)</f>
        <v>0.154</v>
      </c>
      <c r="E191" s="30">
        <v>6708</v>
      </c>
      <c r="F191" s="31" t="s">
        <v>505</v>
      </c>
      <c r="G191" s="31" t="s">
        <v>155</v>
      </c>
      <c r="H191" s="31" t="s">
        <v>5</v>
      </c>
      <c r="I191" s="31" t="s">
        <v>506</v>
      </c>
      <c r="J191" s="31" t="s">
        <v>507</v>
      </c>
      <c r="K191" s="31" t="s">
        <v>330</v>
      </c>
      <c r="L191" s="31" t="s">
        <v>19</v>
      </c>
      <c r="M191" s="31" t="s">
        <v>22</v>
      </c>
      <c r="N191" s="31">
        <v>0</v>
      </c>
      <c r="O191" s="31">
        <f>2024-Inventory[[#This Row],[YrBlt]]</f>
        <v>5</v>
      </c>
      <c r="P191" s="31">
        <f>2024-Inventory[[#This Row],[EffYr]]</f>
        <v>5</v>
      </c>
      <c r="Q191" s="30">
        <v>2019</v>
      </c>
      <c r="R191" s="30">
        <v>2019</v>
      </c>
      <c r="S191" s="30">
        <v>1529</v>
      </c>
      <c r="T191" s="32"/>
      <c r="U191" s="32"/>
      <c r="V191" s="32"/>
      <c r="W191" s="32"/>
      <c r="X191" s="32">
        <f>Inventory[[#This Row],[Bsmt Area]]-Inventory[[#This Row],[FnBsmt]]</f>
        <v>0</v>
      </c>
      <c r="Y191" s="32">
        <f>Inventory[[#This Row],[MainFn]]+Inventory[[#This Row],[UpprFn]]+Inventory[[#This Row],[AddFn]]+Inventory[[#This Row],[FnBsmt]]</f>
        <v>1529</v>
      </c>
      <c r="Z191" s="32">
        <v>2000</v>
      </c>
      <c r="AA191" s="31" t="s">
        <v>56</v>
      </c>
      <c r="AB191" s="32"/>
      <c r="AC191" s="38">
        <v>441</v>
      </c>
      <c r="AD191" s="32"/>
      <c r="AE191" s="32"/>
      <c r="AF191" s="32"/>
      <c r="AG191" s="32"/>
      <c r="AH191" s="32"/>
      <c r="AI191" s="30">
        <v>306562</v>
      </c>
      <c r="AJ191" s="30">
        <v>294300</v>
      </c>
      <c r="AK191" s="30">
        <v>0</v>
      </c>
      <c r="AL191" s="30">
        <v>0</v>
      </c>
      <c r="AM191" s="30">
        <v>59900</v>
      </c>
      <c r="AN191" s="30">
        <v>321600</v>
      </c>
      <c r="AO191" s="30">
        <v>381500</v>
      </c>
      <c r="AP191" s="30">
        <f>Lookups!$B$58*0.6</f>
        <v>132535.48800000001</v>
      </c>
      <c r="AQ191" s="30">
        <f>Lookups!$B$58*0.4</f>
        <v>88356.992000000013</v>
      </c>
      <c r="AR191" s="30">
        <f>Lookups!$B$59*Inventory[[#This Row],[LnAcres]]</f>
        <v>-24553.014854944278</v>
      </c>
      <c r="AS191" s="30">
        <f>VLOOKUP(Inventory[[#This Row],[Qlty]],Lookups!$A$66:$E$79,2,FALSE)</f>
        <v>37154.252388000001</v>
      </c>
      <c r="AT191" s="30">
        <f>VLOOKUP(Inventory[[#This Row],[Cnd]],Lookups!$A$80:$E$88,2,FALSE)</f>
        <v>50438.379078999998</v>
      </c>
      <c r="AU191" s="30">
        <f>Inventory[[#This Row],[EffAge]]*Lookups!$B$65</f>
        <v>-543.70550000000003</v>
      </c>
      <c r="AV191" s="30">
        <f>Inventory[[#This Row],[MainFn]]*Lookups!$B$90</f>
        <v>95425.471020000012</v>
      </c>
      <c r="AW191" s="30">
        <f>Inventory[[#This Row],[UpprFn]]*Lookups!$B$91</f>
        <v>0</v>
      </c>
      <c r="AX191" s="30">
        <f>Inventory[[#This Row],[Bsmt Area]]*Lookups!$B$95</f>
        <v>0</v>
      </c>
      <c r="AY191" s="30">
        <f>Inventory[[#This Row],[AttGar]]*Lookups!$B$93</f>
        <v>15567.754671000001</v>
      </c>
      <c r="AZ191" s="30">
        <f>ROUND(Inventory[[#This Row],[25Det]],-2)</f>
        <v>0</v>
      </c>
      <c r="BA191" s="30">
        <f>ROUND(SUM(Inventory[[#This Row],[Mdl Qlty]:[Mdl Garage Area]])+Inventory[[#This Row],[Mdl Res Intercept]],-2)</f>
        <v>330600</v>
      </c>
      <c r="BB191" s="30">
        <f>ROUND(Inventory[[#This Row],[Mdl Land Intercept]]+Inventory[[#This Row],[Mdl LnAcres]],-2)</f>
        <v>63800</v>
      </c>
      <c r="BC191" s="30">
        <f>Inventory[[#This Row],[Unadj Res Value]]+Inventory[[#This Row],[Unadj Det Value]]+Inventory[[#This Row],[Unadj Land Value]]</f>
        <v>394400</v>
      </c>
      <c r="BD191" s="30">
        <f>(Inventory[[#This Row],[Unadj Total Value]]-Inventory[[#This Row],[24Final]])/Inventory[[#This Row],[24Final]]</f>
        <v>3.3813892529488861E-2</v>
      </c>
      <c r="BE191" s="30">
        <f>VLOOKUP(Inventory[[#This Row],[Nbhd]],Lookups!$M$3:$P$5,4,FALSE)</f>
        <v>0.99970000000000003</v>
      </c>
      <c r="BF191" s="30">
        <f>VLOOKUP(Inventory[[#This Row],[Qlty]],Lookups!$M$8:$P$22,4,FALSE)</f>
        <v>0.99819999999999998</v>
      </c>
      <c r="BG191" s="30">
        <f>VLOOKUP(Inventory[[#This Row],[Cnd]],Lookups!$R$8:$U$17,4,FALSE)</f>
        <v>1.0007999999999999</v>
      </c>
      <c r="BH191" s="30">
        <f>VLOOKUP(Inventory[[#This Row],[LivArea Range]],Lookups!$R$25:$U$43,4,FALSE)</f>
        <v>1.0007999999999999</v>
      </c>
      <c r="BI191" s="30">
        <f>VLOOKUP(Inventory[[#This Row],[Decade]],Lookups!$M$24:$P$40,4,FALSE)</f>
        <v>1</v>
      </c>
      <c r="BJ191" s="30">
        <f>Inventory[[#This Row],[Nbhd Adj]]*0.95</f>
        <v>0.94971499999999998</v>
      </c>
      <c r="BK191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191" s="30">
        <f>ROUND((SUM(Inventory[[#This Row],[Mdl Qlty]:[Mdl Garage Area]])+Inventory[[#This Row],[Mdl Res Intercept]])*Inventory[[#This Row],[Res Adj ]],-2)</f>
        <v>314000</v>
      </c>
      <c r="BM191" s="30">
        <f>ROUND(Inventory[[#This Row],[25Det]]*Inventory[[#This Row],[Det/Nbhd Adj]],-2)</f>
        <v>0</v>
      </c>
      <c r="BN191" s="30">
        <f>Inventory[[#This Row],[Adjusted Res]]+Inventory[[#This Row],[Adj Det ]]</f>
        <v>314000</v>
      </c>
      <c r="BO191" s="30">
        <f>ROUND((Inventory[[#This Row],[Mdl Land Intercept]]+Inventory[[#This Row],[Mdl LnAcres]])*Inventory[[#This Row],[Det/Nbhd Adj]],-2)</f>
        <v>60600</v>
      </c>
      <c r="BP191" s="30">
        <f>Inventory[[#This Row],[Adjusted Impr Total]]+Inventory[[#This Row],[Adjusted Land Total]]</f>
        <v>374600</v>
      </c>
      <c r="BQ191" s="30">
        <f>IFERROR((Inventory[[#This Row],[Adjusted Impr Total]]-Inventory[[#This Row],[24Bldg]])/Inventory[[#This Row],[24Bldg]],0)</f>
        <v>-2.36318407960199E-2</v>
      </c>
      <c r="BR191" s="43">
        <f>(Inventory[[#This Row],[Adjusted Land Total]]-Inventory[[#This Row],[24Lnd]])/Inventory[[#This Row],[24Lnd]]</f>
        <v>1.1686143572621035E-2</v>
      </c>
      <c r="BS191" s="43">
        <f>(Inventory[[#This Row],[Adjusted Total]]-Inventory[[#This Row],[24Final]])/Inventory[[#This Row],[24Final]]</f>
        <v>-1.8086500655307994E-2</v>
      </c>
    </row>
    <row r="192" spans="1:71">
      <c r="A192" s="30">
        <v>2025</v>
      </c>
      <c r="B192" s="31" t="s">
        <v>701</v>
      </c>
      <c r="C192" s="31">
        <f>LN(Inventory[[#This Row],[Acres]])</f>
        <v>-1.870802676568508</v>
      </c>
      <c r="D192" s="37">
        <f>ROUND(Inventory[[#This Row],[Sqft]]/43560,3)</f>
        <v>0.154</v>
      </c>
      <c r="E192" s="30">
        <v>6700</v>
      </c>
      <c r="F192" s="31" t="s">
        <v>505</v>
      </c>
      <c r="G192" s="31" t="s">
        <v>155</v>
      </c>
      <c r="H192" s="31" t="s">
        <v>5</v>
      </c>
      <c r="I192" s="31" t="s">
        <v>506</v>
      </c>
      <c r="J192" s="31" t="s">
        <v>507</v>
      </c>
      <c r="K192" s="31" t="s">
        <v>330</v>
      </c>
      <c r="L192" s="31" t="s">
        <v>19</v>
      </c>
      <c r="M192" s="31" t="s">
        <v>22</v>
      </c>
      <c r="N192" s="31">
        <v>0</v>
      </c>
      <c r="O192" s="31">
        <f>2024-Inventory[[#This Row],[YrBlt]]</f>
        <v>5</v>
      </c>
      <c r="P192" s="31">
        <f>2024-Inventory[[#This Row],[EffYr]]</f>
        <v>5</v>
      </c>
      <c r="Q192" s="30">
        <v>2019</v>
      </c>
      <c r="R192" s="30">
        <v>2019</v>
      </c>
      <c r="S192" s="30">
        <v>1550</v>
      </c>
      <c r="T192" s="32"/>
      <c r="U192" s="32"/>
      <c r="V192" s="32"/>
      <c r="W192" s="32"/>
      <c r="X192" s="32">
        <f>Inventory[[#This Row],[Bsmt Area]]-Inventory[[#This Row],[FnBsmt]]</f>
        <v>0</v>
      </c>
      <c r="Y192" s="32">
        <f>Inventory[[#This Row],[MainFn]]+Inventory[[#This Row],[UpprFn]]+Inventory[[#This Row],[AddFn]]+Inventory[[#This Row],[FnBsmt]]</f>
        <v>1550</v>
      </c>
      <c r="Z192" s="32">
        <v>2000</v>
      </c>
      <c r="AA192" s="31" t="s">
        <v>56</v>
      </c>
      <c r="AB192" s="32"/>
      <c r="AC192" s="38">
        <v>420</v>
      </c>
      <c r="AD192" s="32"/>
      <c r="AE192" s="32"/>
      <c r="AF192" s="32"/>
      <c r="AG192" s="32"/>
      <c r="AH192" s="32"/>
      <c r="AI192" s="30">
        <v>303583</v>
      </c>
      <c r="AJ192" s="30">
        <v>291440</v>
      </c>
      <c r="AK192" s="30">
        <v>0</v>
      </c>
      <c r="AL192" s="30">
        <v>0</v>
      </c>
      <c r="AM192" s="30">
        <v>59900</v>
      </c>
      <c r="AN192" s="30">
        <v>320600</v>
      </c>
      <c r="AO192" s="30">
        <v>380500</v>
      </c>
      <c r="AP192" s="30">
        <f>Lookups!$B$58*0.6</f>
        <v>132535.48800000001</v>
      </c>
      <c r="AQ192" s="30">
        <f>Lookups!$B$58*0.4</f>
        <v>88356.992000000013</v>
      </c>
      <c r="AR192" s="30">
        <f>Lookups!$B$59*Inventory[[#This Row],[LnAcres]]</f>
        <v>-24553.014854944278</v>
      </c>
      <c r="AS192" s="30">
        <f>VLOOKUP(Inventory[[#This Row],[Qlty]],Lookups!$A$66:$E$79,2,FALSE)</f>
        <v>37154.252388000001</v>
      </c>
      <c r="AT192" s="30">
        <f>VLOOKUP(Inventory[[#This Row],[Cnd]],Lookups!$A$80:$E$88,2,FALSE)</f>
        <v>50438.379078999998</v>
      </c>
      <c r="AU192" s="30">
        <f>Inventory[[#This Row],[EffAge]]*Lookups!$B$65</f>
        <v>-543.70550000000003</v>
      </c>
      <c r="AV192" s="30">
        <f>Inventory[[#This Row],[MainFn]]*Lookups!$B$90</f>
        <v>96736.089000000007</v>
      </c>
      <c r="AW192" s="30">
        <f>Inventory[[#This Row],[UpprFn]]*Lookups!$B$91</f>
        <v>0</v>
      </c>
      <c r="AX192" s="30">
        <f>Inventory[[#This Row],[Bsmt Area]]*Lookups!$B$95</f>
        <v>0</v>
      </c>
      <c r="AY192" s="30">
        <f>Inventory[[#This Row],[AttGar]]*Lookups!$B$93</f>
        <v>14826.43302</v>
      </c>
      <c r="AZ192" s="30">
        <f>ROUND(Inventory[[#This Row],[25Det]],-2)</f>
        <v>0</v>
      </c>
      <c r="BA192" s="30">
        <f>ROUND(SUM(Inventory[[#This Row],[Mdl Qlty]:[Mdl Garage Area]])+Inventory[[#This Row],[Mdl Res Intercept]],-2)</f>
        <v>331100</v>
      </c>
      <c r="BB192" s="30">
        <f>ROUND(Inventory[[#This Row],[Mdl Land Intercept]]+Inventory[[#This Row],[Mdl LnAcres]],-2)</f>
        <v>63800</v>
      </c>
      <c r="BC192" s="30">
        <f>Inventory[[#This Row],[Unadj Res Value]]+Inventory[[#This Row],[Unadj Det Value]]+Inventory[[#This Row],[Unadj Land Value]]</f>
        <v>394900</v>
      </c>
      <c r="BD192" s="30">
        <f>(Inventory[[#This Row],[Unadj Total Value]]-Inventory[[#This Row],[24Final]])/Inventory[[#This Row],[24Final]]</f>
        <v>3.7844940867279894E-2</v>
      </c>
      <c r="BE192" s="30">
        <f>VLOOKUP(Inventory[[#This Row],[Nbhd]],Lookups!$M$3:$P$5,4,FALSE)</f>
        <v>0.99970000000000003</v>
      </c>
      <c r="BF192" s="30">
        <f>VLOOKUP(Inventory[[#This Row],[Qlty]],Lookups!$M$8:$P$22,4,FALSE)</f>
        <v>0.99819999999999998</v>
      </c>
      <c r="BG192" s="30">
        <f>VLOOKUP(Inventory[[#This Row],[Cnd]],Lookups!$R$8:$U$17,4,FALSE)</f>
        <v>1.0007999999999999</v>
      </c>
      <c r="BH192" s="30">
        <f>VLOOKUP(Inventory[[#This Row],[LivArea Range]],Lookups!$R$25:$U$43,4,FALSE)</f>
        <v>1.0007999999999999</v>
      </c>
      <c r="BI192" s="30">
        <f>VLOOKUP(Inventory[[#This Row],[Decade]],Lookups!$M$24:$P$40,4,FALSE)</f>
        <v>1</v>
      </c>
      <c r="BJ192" s="30">
        <f>Inventory[[#This Row],[Nbhd Adj]]*0.95</f>
        <v>0.94971499999999998</v>
      </c>
      <c r="BK192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192" s="30">
        <f>ROUND((SUM(Inventory[[#This Row],[Mdl Qlty]:[Mdl Garage Area]])+Inventory[[#This Row],[Mdl Res Intercept]])*Inventory[[#This Row],[Res Adj ]],-2)</f>
        <v>314600</v>
      </c>
      <c r="BM192" s="30">
        <f>ROUND(Inventory[[#This Row],[25Det]]*Inventory[[#This Row],[Det/Nbhd Adj]],-2)</f>
        <v>0</v>
      </c>
      <c r="BN192" s="30">
        <f>Inventory[[#This Row],[Adjusted Res]]+Inventory[[#This Row],[Adj Det ]]</f>
        <v>314600</v>
      </c>
      <c r="BO192" s="30">
        <f>ROUND((Inventory[[#This Row],[Mdl Land Intercept]]+Inventory[[#This Row],[Mdl LnAcres]])*Inventory[[#This Row],[Det/Nbhd Adj]],-2)</f>
        <v>60600</v>
      </c>
      <c r="BP192" s="30">
        <f>Inventory[[#This Row],[Adjusted Impr Total]]+Inventory[[#This Row],[Adjusted Land Total]]</f>
        <v>375200</v>
      </c>
      <c r="BQ192" s="30">
        <f>IFERROR((Inventory[[#This Row],[Adjusted Impr Total]]-Inventory[[#This Row],[24Bldg]])/Inventory[[#This Row],[24Bldg]],0)</f>
        <v>-1.8714909544603867E-2</v>
      </c>
      <c r="BR192" s="43">
        <f>(Inventory[[#This Row],[Adjusted Land Total]]-Inventory[[#This Row],[24Lnd]])/Inventory[[#This Row],[24Lnd]]</f>
        <v>1.1686143572621035E-2</v>
      </c>
      <c r="BS192" s="43">
        <f>(Inventory[[#This Row],[Adjusted Total]]-Inventory[[#This Row],[24Final]])/Inventory[[#This Row],[24Final]]</f>
        <v>-1.392904073587385E-2</v>
      </c>
    </row>
    <row r="193" spans="1:71">
      <c r="A193" s="30">
        <v>2025</v>
      </c>
      <c r="B193" s="31" t="s">
        <v>702</v>
      </c>
      <c r="C193" s="31">
        <f>LN(Inventory[[#This Row],[Acres]])</f>
        <v>-1.8263509139976741</v>
      </c>
      <c r="D193" s="37">
        <f>ROUND(Inventory[[#This Row],[Sqft]]/43560,3)</f>
        <v>0.161</v>
      </c>
      <c r="E193" s="30">
        <v>7011</v>
      </c>
      <c r="F193" s="31" t="s">
        <v>505</v>
      </c>
      <c r="G193" s="31" t="s">
        <v>155</v>
      </c>
      <c r="H193" s="31" t="s">
        <v>5</v>
      </c>
      <c r="I193" s="31" t="s">
        <v>506</v>
      </c>
      <c r="J193" s="31" t="s">
        <v>507</v>
      </c>
      <c r="K193" s="31" t="s">
        <v>330</v>
      </c>
      <c r="L193" s="31" t="s">
        <v>21</v>
      </c>
      <c r="M193" s="31" t="s">
        <v>22</v>
      </c>
      <c r="N193" s="31">
        <v>0</v>
      </c>
      <c r="O193" s="31">
        <f>2024-Inventory[[#This Row],[YrBlt]]</f>
        <v>5</v>
      </c>
      <c r="P193" s="31">
        <f>2024-Inventory[[#This Row],[EffYr]]</f>
        <v>5</v>
      </c>
      <c r="Q193" s="30">
        <v>2019</v>
      </c>
      <c r="R193" s="30">
        <v>2019</v>
      </c>
      <c r="S193" s="30">
        <v>1723</v>
      </c>
      <c r="T193" s="32"/>
      <c r="U193" s="32"/>
      <c r="V193" s="32"/>
      <c r="W193" s="32"/>
      <c r="X193" s="32">
        <f>Inventory[[#This Row],[Bsmt Area]]-Inventory[[#This Row],[FnBsmt]]</f>
        <v>0</v>
      </c>
      <c r="Y193" s="32">
        <f>Inventory[[#This Row],[MainFn]]+Inventory[[#This Row],[UpprFn]]+Inventory[[#This Row],[AddFn]]+Inventory[[#This Row],[FnBsmt]]</f>
        <v>1723</v>
      </c>
      <c r="Z193" s="32">
        <v>2000</v>
      </c>
      <c r="AA193" s="31" t="s">
        <v>56</v>
      </c>
      <c r="AB193" s="32"/>
      <c r="AC193" s="30">
        <v>657</v>
      </c>
      <c r="AD193" s="32"/>
      <c r="AE193" s="32"/>
      <c r="AF193" s="32"/>
      <c r="AG193" s="32"/>
      <c r="AH193" s="32"/>
      <c r="AI193" s="30">
        <v>383961</v>
      </c>
      <c r="AJ193" s="30">
        <v>368603</v>
      </c>
      <c r="AK193" s="30">
        <v>0</v>
      </c>
      <c r="AL193" s="30">
        <v>0</v>
      </c>
      <c r="AM193" s="30">
        <v>60800</v>
      </c>
      <c r="AN193" s="30">
        <v>343700</v>
      </c>
      <c r="AO193" s="30">
        <v>404500</v>
      </c>
      <c r="AP193" s="30">
        <f>Lookups!$B$58*0.6</f>
        <v>132535.48800000001</v>
      </c>
      <c r="AQ193" s="30">
        <f>Lookups!$B$58*0.4</f>
        <v>88356.992000000013</v>
      </c>
      <c r="AR193" s="30">
        <f>Lookups!$B$59*Inventory[[#This Row],[LnAcres]]</f>
        <v>-23969.615653948869</v>
      </c>
      <c r="AS193" s="30">
        <f>VLOOKUP(Inventory[[#This Row],[Qlty]],Lookups!$A$66:$E$79,2,FALSE)</f>
        <v>32917.849192000001</v>
      </c>
      <c r="AT193" s="30">
        <f>VLOOKUP(Inventory[[#This Row],[Cnd]],Lookups!$A$80:$E$88,2,FALSE)</f>
        <v>50438.379078999998</v>
      </c>
      <c r="AU193" s="30">
        <f>Inventory[[#This Row],[EffAge]]*Lookups!$B$65</f>
        <v>-543.70550000000003</v>
      </c>
      <c r="AV193" s="30">
        <f>Inventory[[#This Row],[MainFn]]*Lookups!$B$90</f>
        <v>107533.08474000001</v>
      </c>
      <c r="AW193" s="30">
        <f>Inventory[[#This Row],[UpprFn]]*Lookups!$B$91</f>
        <v>0</v>
      </c>
      <c r="AX193" s="30">
        <f>Inventory[[#This Row],[Bsmt Area]]*Lookups!$B$95</f>
        <v>0</v>
      </c>
      <c r="AY193" s="30">
        <f>Inventory[[#This Row],[AttGar]]*Lookups!$B$93</f>
        <v>23192.777367000002</v>
      </c>
      <c r="AZ193" s="30">
        <f>ROUND(Inventory[[#This Row],[25Det]],-2)</f>
        <v>0</v>
      </c>
      <c r="BA193" s="30">
        <f>ROUND(SUM(Inventory[[#This Row],[Mdl Qlty]:[Mdl Garage Area]])+Inventory[[#This Row],[Mdl Res Intercept]],-2)</f>
        <v>346100</v>
      </c>
      <c r="BB193" s="30">
        <f>ROUND(Inventory[[#This Row],[Mdl Land Intercept]]+Inventory[[#This Row],[Mdl LnAcres]],-2)</f>
        <v>64400</v>
      </c>
      <c r="BC193" s="30">
        <f>Inventory[[#This Row],[Unadj Res Value]]+Inventory[[#This Row],[Unadj Det Value]]+Inventory[[#This Row],[Unadj Land Value]]</f>
        <v>410500</v>
      </c>
      <c r="BD193" s="30">
        <f>(Inventory[[#This Row],[Unadj Total Value]]-Inventory[[#This Row],[24Final]])/Inventory[[#This Row],[24Final]]</f>
        <v>1.4833127317676144E-2</v>
      </c>
      <c r="BE193" s="30">
        <f>VLOOKUP(Inventory[[#This Row],[Nbhd]],Lookups!$M$3:$P$5,4,FALSE)</f>
        <v>0.99970000000000003</v>
      </c>
      <c r="BF193" s="30">
        <f>VLOOKUP(Inventory[[#This Row],[Qlty]],Lookups!$M$8:$P$22,4,FALSE)</f>
        <v>1.0019</v>
      </c>
      <c r="BG193" s="30">
        <f>VLOOKUP(Inventory[[#This Row],[Cnd]],Lookups!$R$8:$U$17,4,FALSE)</f>
        <v>1.0007999999999999</v>
      </c>
      <c r="BH193" s="30">
        <f>VLOOKUP(Inventory[[#This Row],[LivArea Range]],Lookups!$R$25:$U$43,4,FALSE)</f>
        <v>1.0007999999999999</v>
      </c>
      <c r="BI193" s="30">
        <f>VLOOKUP(Inventory[[#This Row],[Decade]],Lookups!$M$24:$P$40,4,FALSE)</f>
        <v>1</v>
      </c>
      <c r="BJ193" s="30">
        <f>Inventory[[#This Row],[Nbhd Adj]]*0.95</f>
        <v>0.94971499999999998</v>
      </c>
      <c r="BK193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193" s="30">
        <f>ROUND((SUM(Inventory[[#This Row],[Mdl Qlty]:[Mdl Garage Area]])+Inventory[[#This Row],[Mdl Res Intercept]])*Inventory[[#This Row],[Res Adj ]],-2)</f>
        <v>329000</v>
      </c>
      <c r="BM193" s="30">
        <f>ROUND(Inventory[[#This Row],[25Det]]*Inventory[[#This Row],[Det/Nbhd Adj]],-2)</f>
        <v>0</v>
      </c>
      <c r="BN193" s="30">
        <f>Inventory[[#This Row],[Adjusted Res]]+Inventory[[#This Row],[Adj Det ]]</f>
        <v>329000</v>
      </c>
      <c r="BO193" s="30">
        <f>ROUND((Inventory[[#This Row],[Mdl Land Intercept]]+Inventory[[#This Row],[Mdl LnAcres]])*Inventory[[#This Row],[Det/Nbhd Adj]],-2)</f>
        <v>61100</v>
      </c>
      <c r="BP193" s="30">
        <f>Inventory[[#This Row],[Adjusted Impr Total]]+Inventory[[#This Row],[Adjusted Land Total]]</f>
        <v>390100</v>
      </c>
      <c r="BQ193" s="30">
        <f>IFERROR((Inventory[[#This Row],[Adjusted Impr Total]]-Inventory[[#This Row],[24Bldg]])/Inventory[[#This Row],[24Bldg]],0)</f>
        <v>-4.2769857433808553E-2</v>
      </c>
      <c r="BR193" s="43">
        <f>(Inventory[[#This Row],[Adjusted Land Total]]-Inventory[[#This Row],[24Lnd]])/Inventory[[#This Row],[24Lnd]]</f>
        <v>4.9342105263157892E-3</v>
      </c>
      <c r="BS193" s="43">
        <f>(Inventory[[#This Row],[Adjusted Total]]-Inventory[[#This Row],[24Final]])/Inventory[[#This Row],[24Final]]</f>
        <v>-3.5599505562422744E-2</v>
      </c>
    </row>
    <row r="194" spans="1:71">
      <c r="A194" s="30">
        <v>2025</v>
      </c>
      <c r="B194" s="31" t="s">
        <v>703</v>
      </c>
      <c r="C194" s="31">
        <f>LN(Inventory[[#This Row],[Acres]])</f>
        <v>-1.8263509139976741</v>
      </c>
      <c r="D194" s="37">
        <f>ROUND(Inventory[[#This Row],[Sqft]]/43560,3)</f>
        <v>0.161</v>
      </c>
      <c r="E194" s="30">
        <v>7004</v>
      </c>
      <c r="F194" s="31" t="s">
        <v>505</v>
      </c>
      <c r="G194" s="31" t="s">
        <v>155</v>
      </c>
      <c r="H194" s="31" t="s">
        <v>5</v>
      </c>
      <c r="I194" s="31" t="s">
        <v>506</v>
      </c>
      <c r="J194" s="31" t="s">
        <v>507</v>
      </c>
      <c r="K194" s="31" t="s">
        <v>330</v>
      </c>
      <c r="L194" s="31" t="s">
        <v>21</v>
      </c>
      <c r="M194" s="31" t="s">
        <v>22</v>
      </c>
      <c r="N194" s="31">
        <v>0</v>
      </c>
      <c r="O194" s="31">
        <f>2024-Inventory[[#This Row],[YrBlt]]</f>
        <v>5</v>
      </c>
      <c r="P194" s="31">
        <f>2024-Inventory[[#This Row],[EffYr]]</f>
        <v>5</v>
      </c>
      <c r="Q194" s="30">
        <v>2019</v>
      </c>
      <c r="R194" s="30">
        <v>2019</v>
      </c>
      <c r="S194" s="30">
        <v>1708</v>
      </c>
      <c r="T194" s="32"/>
      <c r="U194" s="32"/>
      <c r="V194" s="32"/>
      <c r="W194" s="32"/>
      <c r="X194" s="32">
        <f>Inventory[[#This Row],[Bsmt Area]]-Inventory[[#This Row],[FnBsmt]]</f>
        <v>0</v>
      </c>
      <c r="Y194" s="32">
        <f>Inventory[[#This Row],[MainFn]]+Inventory[[#This Row],[UpprFn]]+Inventory[[#This Row],[AddFn]]+Inventory[[#This Row],[FnBsmt]]</f>
        <v>1708</v>
      </c>
      <c r="Z194" s="32">
        <v>2000</v>
      </c>
      <c r="AA194" s="31" t="s">
        <v>56</v>
      </c>
      <c r="AB194" s="32"/>
      <c r="AC194" s="38">
        <v>420</v>
      </c>
      <c r="AD194" s="32"/>
      <c r="AE194" s="32"/>
      <c r="AF194" s="32"/>
      <c r="AG194" s="32"/>
      <c r="AH194" s="32"/>
      <c r="AI194" s="30">
        <v>371974</v>
      </c>
      <c r="AJ194" s="30">
        <v>357095</v>
      </c>
      <c r="AK194" s="30">
        <v>0</v>
      </c>
      <c r="AL194" s="30">
        <v>0</v>
      </c>
      <c r="AM194" s="30">
        <v>60800</v>
      </c>
      <c r="AN194" s="30">
        <v>334000</v>
      </c>
      <c r="AO194" s="30">
        <v>394800</v>
      </c>
      <c r="AP194" s="30">
        <f>Lookups!$B$58*0.6</f>
        <v>132535.48800000001</v>
      </c>
      <c r="AQ194" s="30">
        <f>Lookups!$B$58*0.4</f>
        <v>88356.992000000013</v>
      </c>
      <c r="AR194" s="30">
        <f>Lookups!$B$59*Inventory[[#This Row],[LnAcres]]</f>
        <v>-23969.615653948869</v>
      </c>
      <c r="AS194" s="30">
        <f>VLOOKUP(Inventory[[#This Row],[Qlty]],Lookups!$A$66:$E$79,2,FALSE)</f>
        <v>32917.849192000001</v>
      </c>
      <c r="AT194" s="30">
        <f>VLOOKUP(Inventory[[#This Row],[Cnd]],Lookups!$A$80:$E$88,2,FALSE)</f>
        <v>50438.379078999998</v>
      </c>
      <c r="AU194" s="30">
        <f>Inventory[[#This Row],[EffAge]]*Lookups!$B$65</f>
        <v>-543.70550000000003</v>
      </c>
      <c r="AV194" s="30">
        <f>Inventory[[#This Row],[MainFn]]*Lookups!$B$90</f>
        <v>106596.92904</v>
      </c>
      <c r="AW194" s="30">
        <f>Inventory[[#This Row],[UpprFn]]*Lookups!$B$91</f>
        <v>0</v>
      </c>
      <c r="AX194" s="30">
        <f>Inventory[[#This Row],[Bsmt Area]]*Lookups!$B$95</f>
        <v>0</v>
      </c>
      <c r="AY194" s="30">
        <f>Inventory[[#This Row],[AttGar]]*Lookups!$B$93</f>
        <v>14826.43302</v>
      </c>
      <c r="AZ194" s="30">
        <f>ROUND(Inventory[[#This Row],[25Det]],-2)</f>
        <v>0</v>
      </c>
      <c r="BA194" s="30">
        <f>ROUND(SUM(Inventory[[#This Row],[Mdl Qlty]:[Mdl Garage Area]])+Inventory[[#This Row],[Mdl Res Intercept]],-2)</f>
        <v>336800</v>
      </c>
      <c r="BB194" s="30">
        <f>ROUND(Inventory[[#This Row],[Mdl Land Intercept]]+Inventory[[#This Row],[Mdl LnAcres]],-2)</f>
        <v>64400</v>
      </c>
      <c r="BC194" s="30">
        <f>Inventory[[#This Row],[Unadj Res Value]]+Inventory[[#This Row],[Unadj Det Value]]+Inventory[[#This Row],[Unadj Land Value]]</f>
        <v>401200</v>
      </c>
      <c r="BD194" s="30">
        <f>(Inventory[[#This Row],[Unadj Total Value]]-Inventory[[#This Row],[24Final]])/Inventory[[#This Row],[24Final]]</f>
        <v>1.6210739614994935E-2</v>
      </c>
      <c r="BE194" s="30">
        <f>VLOOKUP(Inventory[[#This Row],[Nbhd]],Lookups!$M$3:$P$5,4,FALSE)</f>
        <v>0.99970000000000003</v>
      </c>
      <c r="BF194" s="30">
        <f>VLOOKUP(Inventory[[#This Row],[Qlty]],Lookups!$M$8:$P$22,4,FALSE)</f>
        <v>1.0019</v>
      </c>
      <c r="BG194" s="30">
        <f>VLOOKUP(Inventory[[#This Row],[Cnd]],Lookups!$R$8:$U$17,4,FALSE)</f>
        <v>1.0007999999999999</v>
      </c>
      <c r="BH194" s="30">
        <f>VLOOKUP(Inventory[[#This Row],[LivArea Range]],Lookups!$R$25:$U$43,4,FALSE)</f>
        <v>1.0007999999999999</v>
      </c>
      <c r="BI194" s="30">
        <f>VLOOKUP(Inventory[[#This Row],[Decade]],Lookups!$M$24:$P$40,4,FALSE)</f>
        <v>1</v>
      </c>
      <c r="BJ194" s="30">
        <f>Inventory[[#This Row],[Nbhd Adj]]*0.95</f>
        <v>0.94971499999999998</v>
      </c>
      <c r="BK194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194" s="30">
        <f>ROUND((SUM(Inventory[[#This Row],[Mdl Qlty]:[Mdl Garage Area]])+Inventory[[#This Row],[Mdl Res Intercept]])*Inventory[[#This Row],[Res Adj ]],-2)</f>
        <v>320100</v>
      </c>
      <c r="BM194" s="30">
        <f>ROUND(Inventory[[#This Row],[25Det]]*Inventory[[#This Row],[Det/Nbhd Adj]],-2)</f>
        <v>0</v>
      </c>
      <c r="BN194" s="30">
        <f>Inventory[[#This Row],[Adjusted Res]]+Inventory[[#This Row],[Adj Det ]]</f>
        <v>320100</v>
      </c>
      <c r="BO194" s="30">
        <f>ROUND((Inventory[[#This Row],[Mdl Land Intercept]]+Inventory[[#This Row],[Mdl LnAcres]])*Inventory[[#This Row],[Det/Nbhd Adj]],-2)</f>
        <v>61100</v>
      </c>
      <c r="BP194" s="30">
        <f>Inventory[[#This Row],[Adjusted Impr Total]]+Inventory[[#This Row],[Adjusted Land Total]]</f>
        <v>381200</v>
      </c>
      <c r="BQ194" s="30">
        <f>IFERROR((Inventory[[#This Row],[Adjusted Impr Total]]-Inventory[[#This Row],[24Bldg]])/Inventory[[#This Row],[24Bldg]],0)</f>
        <v>-4.1616766467065872E-2</v>
      </c>
      <c r="BR194" s="43">
        <f>(Inventory[[#This Row],[Adjusted Land Total]]-Inventory[[#This Row],[24Lnd]])/Inventory[[#This Row],[24Lnd]]</f>
        <v>4.9342105263157892E-3</v>
      </c>
      <c r="BS194" s="43">
        <f>(Inventory[[#This Row],[Adjusted Total]]-Inventory[[#This Row],[24Final]])/Inventory[[#This Row],[24Final]]</f>
        <v>-3.4447821681864235E-2</v>
      </c>
    </row>
    <row r="195" spans="1:71">
      <c r="A195" s="30">
        <v>2025</v>
      </c>
      <c r="B195" s="31" t="s">
        <v>704</v>
      </c>
      <c r="C195" s="31">
        <f>LN(Inventory[[#This Row],[Acres]])</f>
        <v>-1.820158943749753</v>
      </c>
      <c r="D195" s="37">
        <f>ROUND(Inventory[[#This Row],[Sqft]]/43560,3)</f>
        <v>0.16200000000000001</v>
      </c>
      <c r="E195" s="38">
        <v>7043</v>
      </c>
      <c r="F195" s="31" t="s">
        <v>505</v>
      </c>
      <c r="G195" s="31" t="s">
        <v>155</v>
      </c>
      <c r="H195" s="31" t="s">
        <v>5</v>
      </c>
      <c r="I195" s="31" t="s">
        <v>506</v>
      </c>
      <c r="J195" s="31" t="s">
        <v>507</v>
      </c>
      <c r="K195" s="31" t="s">
        <v>330</v>
      </c>
      <c r="L195" s="31" t="s">
        <v>21</v>
      </c>
      <c r="M195" s="31" t="s">
        <v>22</v>
      </c>
      <c r="N195" s="31">
        <v>0</v>
      </c>
      <c r="O195" s="31">
        <f>2024-Inventory[[#This Row],[YrBlt]]</f>
        <v>5</v>
      </c>
      <c r="P195" s="31">
        <f>2024-Inventory[[#This Row],[EffYr]]</f>
        <v>5</v>
      </c>
      <c r="Q195" s="30">
        <v>2019</v>
      </c>
      <c r="R195" s="30">
        <v>2019</v>
      </c>
      <c r="S195" s="30">
        <v>1708</v>
      </c>
      <c r="T195" s="32"/>
      <c r="U195" s="37"/>
      <c r="V195" s="32"/>
      <c r="W195" s="37"/>
      <c r="X195" s="37">
        <f>Inventory[[#This Row],[Bsmt Area]]-Inventory[[#This Row],[FnBsmt]]</f>
        <v>0</v>
      </c>
      <c r="Y195" s="37">
        <f>Inventory[[#This Row],[MainFn]]+Inventory[[#This Row],[UpprFn]]+Inventory[[#This Row],[AddFn]]+Inventory[[#This Row],[FnBsmt]]</f>
        <v>1708</v>
      </c>
      <c r="Z195" s="32">
        <v>2000</v>
      </c>
      <c r="AA195" s="31" t="s">
        <v>56</v>
      </c>
      <c r="AB195" s="32"/>
      <c r="AC195" s="38">
        <v>420</v>
      </c>
      <c r="AD195" s="32"/>
      <c r="AE195" s="32"/>
      <c r="AF195" s="32"/>
      <c r="AG195" s="32"/>
      <c r="AH195" s="32"/>
      <c r="AI195" s="30">
        <v>370372</v>
      </c>
      <c r="AJ195" s="30">
        <v>355557</v>
      </c>
      <c r="AK195" s="30">
        <v>0</v>
      </c>
      <c r="AL195" s="30">
        <v>0</v>
      </c>
      <c r="AM195" s="30">
        <v>60800</v>
      </c>
      <c r="AN195" s="30">
        <v>332000</v>
      </c>
      <c r="AO195" s="30">
        <v>392800</v>
      </c>
      <c r="AP195" s="30">
        <f>Lookups!$B$58*0.6</f>
        <v>132535.48800000001</v>
      </c>
      <c r="AQ195" s="30">
        <f>Lookups!$B$58*0.4</f>
        <v>88356.992000000013</v>
      </c>
      <c r="AR195" s="30">
        <f>Lookups!$B$59*Inventory[[#This Row],[LnAcres]]</f>
        <v>-23888.3502487927</v>
      </c>
      <c r="AS195" s="30">
        <f>VLOOKUP(Inventory[[#This Row],[Qlty]],Lookups!$A$66:$E$79,2,FALSE)</f>
        <v>32917.849192000001</v>
      </c>
      <c r="AT195" s="30">
        <f>VLOOKUP(Inventory[[#This Row],[Cnd]],Lookups!$A$80:$E$88,2,FALSE)</f>
        <v>50438.379078999998</v>
      </c>
      <c r="AU195" s="30">
        <f>Inventory[[#This Row],[EffAge]]*Lookups!$B$65</f>
        <v>-543.70550000000003</v>
      </c>
      <c r="AV195" s="30">
        <f>Inventory[[#This Row],[MainFn]]*Lookups!$B$90</f>
        <v>106596.92904</v>
      </c>
      <c r="AW195" s="30">
        <f>Inventory[[#This Row],[UpprFn]]*Lookups!$B$91</f>
        <v>0</v>
      </c>
      <c r="AX195" s="30">
        <f>Inventory[[#This Row],[Bsmt Area]]*Lookups!$B$95</f>
        <v>0</v>
      </c>
      <c r="AY195" s="30">
        <f>Inventory[[#This Row],[AttGar]]*Lookups!$B$93</f>
        <v>14826.43302</v>
      </c>
      <c r="AZ195" s="30">
        <f>ROUND(Inventory[[#This Row],[25Det]],-2)</f>
        <v>0</v>
      </c>
      <c r="BA195" s="30">
        <f>ROUND(SUM(Inventory[[#This Row],[Mdl Qlty]:[Mdl Garage Area]])+Inventory[[#This Row],[Mdl Res Intercept]],-2)</f>
        <v>336800</v>
      </c>
      <c r="BB195" s="30">
        <f>ROUND(Inventory[[#This Row],[Mdl Land Intercept]]+Inventory[[#This Row],[Mdl LnAcres]],-2)</f>
        <v>64500</v>
      </c>
      <c r="BC195" s="30">
        <f>Inventory[[#This Row],[Unadj Res Value]]+Inventory[[#This Row],[Unadj Det Value]]+Inventory[[#This Row],[Unadj Land Value]]</f>
        <v>401300</v>
      </c>
      <c r="BD195" s="30">
        <f>(Inventory[[#This Row],[Unadj Total Value]]-Inventory[[#This Row],[24Final]])/Inventory[[#This Row],[24Final]]</f>
        <v>2.1639511201629328E-2</v>
      </c>
      <c r="BE195" s="30">
        <f>VLOOKUP(Inventory[[#This Row],[Nbhd]],Lookups!$M$3:$P$5,4,FALSE)</f>
        <v>0.99970000000000003</v>
      </c>
      <c r="BF195" s="30">
        <f>VLOOKUP(Inventory[[#This Row],[Qlty]],Lookups!$M$8:$P$22,4,FALSE)</f>
        <v>1.0019</v>
      </c>
      <c r="BG195" s="30">
        <f>VLOOKUP(Inventory[[#This Row],[Cnd]],Lookups!$R$8:$U$17,4,FALSE)</f>
        <v>1.0007999999999999</v>
      </c>
      <c r="BH195" s="30">
        <f>VLOOKUP(Inventory[[#This Row],[LivArea Range]],Lookups!$R$25:$U$43,4,FALSE)</f>
        <v>1.0007999999999999</v>
      </c>
      <c r="BI195" s="30">
        <f>VLOOKUP(Inventory[[#This Row],[Decade]],Lookups!$M$24:$P$40,4,FALSE)</f>
        <v>1</v>
      </c>
      <c r="BJ195" s="30">
        <f>Inventory[[#This Row],[Nbhd Adj]]*0.95</f>
        <v>0.94971499999999998</v>
      </c>
      <c r="BK195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195" s="30">
        <f>ROUND((SUM(Inventory[[#This Row],[Mdl Qlty]:[Mdl Garage Area]])+Inventory[[#This Row],[Mdl Res Intercept]])*Inventory[[#This Row],[Res Adj ]],-2)</f>
        <v>320100</v>
      </c>
      <c r="BM195" s="30">
        <f>ROUND(Inventory[[#This Row],[25Det]]*Inventory[[#This Row],[Det/Nbhd Adj]],-2)</f>
        <v>0</v>
      </c>
      <c r="BN195" s="30">
        <f>Inventory[[#This Row],[Adjusted Res]]+Inventory[[#This Row],[Adj Det ]]</f>
        <v>320100</v>
      </c>
      <c r="BO195" s="30">
        <f>ROUND((Inventory[[#This Row],[Mdl Land Intercept]]+Inventory[[#This Row],[Mdl LnAcres]])*Inventory[[#This Row],[Det/Nbhd Adj]],-2)</f>
        <v>61200</v>
      </c>
      <c r="BP195" s="30">
        <f>Inventory[[#This Row],[Adjusted Impr Total]]+Inventory[[#This Row],[Adjusted Land Total]]</f>
        <v>381300</v>
      </c>
      <c r="BQ195" s="30">
        <f>IFERROR((Inventory[[#This Row],[Adjusted Impr Total]]-Inventory[[#This Row],[24Bldg]])/Inventory[[#This Row],[24Bldg]],0)</f>
        <v>-3.5843373493975907E-2</v>
      </c>
      <c r="BR195" s="43">
        <f>(Inventory[[#This Row],[Adjusted Land Total]]-Inventory[[#This Row],[24Lnd]])/Inventory[[#This Row],[24Lnd]]</f>
        <v>6.5789473684210523E-3</v>
      </c>
      <c r="BS195" s="43">
        <f>(Inventory[[#This Row],[Adjusted Total]]-Inventory[[#This Row],[24Final]])/Inventory[[#This Row],[24Final]]</f>
        <v>-2.9276985743380855E-2</v>
      </c>
    </row>
    <row r="196" spans="1:71">
      <c r="A196" s="30">
        <v>2025</v>
      </c>
      <c r="B196" s="31" t="s">
        <v>705</v>
      </c>
      <c r="C196" s="31">
        <f>LN(Inventory[[#This Row],[Acres]])</f>
        <v>-1.8140050781753747</v>
      </c>
      <c r="D196" s="37">
        <f>ROUND(Inventory[[#This Row],[Sqft]]/43560,3)</f>
        <v>0.16300000000000001</v>
      </c>
      <c r="E196" s="30">
        <v>7100</v>
      </c>
      <c r="F196" s="31" t="s">
        <v>505</v>
      </c>
      <c r="G196" s="31" t="s">
        <v>155</v>
      </c>
      <c r="H196" s="31" t="s">
        <v>5</v>
      </c>
      <c r="I196" s="31" t="s">
        <v>506</v>
      </c>
      <c r="J196" s="31" t="s">
        <v>507</v>
      </c>
      <c r="K196" s="31" t="s">
        <v>330</v>
      </c>
      <c r="L196" s="31" t="s">
        <v>19</v>
      </c>
      <c r="M196" s="31" t="s">
        <v>22</v>
      </c>
      <c r="N196" s="31">
        <v>0</v>
      </c>
      <c r="O196" s="31">
        <f>2024-Inventory[[#This Row],[YrBlt]]</f>
        <v>5</v>
      </c>
      <c r="P196" s="31">
        <f>2024-Inventory[[#This Row],[EffYr]]</f>
        <v>5</v>
      </c>
      <c r="Q196" s="30">
        <v>2019</v>
      </c>
      <c r="R196" s="30">
        <v>2019</v>
      </c>
      <c r="S196" s="30">
        <v>1550</v>
      </c>
      <c r="T196" s="32"/>
      <c r="U196" s="32"/>
      <c r="V196" s="32"/>
      <c r="W196" s="32"/>
      <c r="X196" s="32">
        <f>Inventory[[#This Row],[Bsmt Area]]-Inventory[[#This Row],[FnBsmt]]</f>
        <v>0</v>
      </c>
      <c r="Y196" s="32">
        <f>Inventory[[#This Row],[MainFn]]+Inventory[[#This Row],[UpprFn]]+Inventory[[#This Row],[AddFn]]+Inventory[[#This Row],[FnBsmt]]</f>
        <v>1550</v>
      </c>
      <c r="Z196" s="32">
        <v>2000</v>
      </c>
      <c r="AA196" s="31" t="s">
        <v>56</v>
      </c>
      <c r="AB196" s="32"/>
      <c r="AC196" s="38">
        <v>420</v>
      </c>
      <c r="AD196" s="32"/>
      <c r="AE196" s="32"/>
      <c r="AF196" s="32"/>
      <c r="AG196" s="32"/>
      <c r="AH196" s="32"/>
      <c r="AI196" s="30">
        <v>326191</v>
      </c>
      <c r="AJ196" s="30">
        <v>313143</v>
      </c>
      <c r="AK196" s="30">
        <v>32327</v>
      </c>
      <c r="AL196" s="30">
        <v>0</v>
      </c>
      <c r="AM196" s="30">
        <v>60800</v>
      </c>
      <c r="AN196" s="30">
        <v>384400</v>
      </c>
      <c r="AO196" s="30">
        <v>445200</v>
      </c>
      <c r="AP196" s="30">
        <f>Lookups!$B$58*0.6</f>
        <v>132535.48800000001</v>
      </c>
      <c r="AQ196" s="30">
        <f>Lookups!$B$58*0.4</f>
        <v>88356.992000000013</v>
      </c>
      <c r="AR196" s="30">
        <f>Lookups!$B$59*Inventory[[#This Row],[LnAcres]]</f>
        <v>-23807.584941603713</v>
      </c>
      <c r="AS196" s="30">
        <f>VLOOKUP(Inventory[[#This Row],[Qlty]],Lookups!$A$66:$E$79,2,FALSE)</f>
        <v>37154.252388000001</v>
      </c>
      <c r="AT196" s="30">
        <f>VLOOKUP(Inventory[[#This Row],[Cnd]],Lookups!$A$80:$E$88,2,FALSE)</f>
        <v>50438.379078999998</v>
      </c>
      <c r="AU196" s="30">
        <f>Inventory[[#This Row],[EffAge]]*Lookups!$B$65</f>
        <v>-543.70550000000003</v>
      </c>
      <c r="AV196" s="30">
        <f>Inventory[[#This Row],[MainFn]]*Lookups!$B$90</f>
        <v>96736.089000000007</v>
      </c>
      <c r="AW196" s="30">
        <f>Inventory[[#This Row],[UpprFn]]*Lookups!$B$91</f>
        <v>0</v>
      </c>
      <c r="AX196" s="30">
        <f>Inventory[[#This Row],[Bsmt Area]]*Lookups!$B$95</f>
        <v>0</v>
      </c>
      <c r="AY196" s="30">
        <f>Inventory[[#This Row],[AttGar]]*Lookups!$B$93</f>
        <v>14826.43302</v>
      </c>
      <c r="AZ196" s="30">
        <f>ROUND(Inventory[[#This Row],[25Det]],-2)</f>
        <v>32300</v>
      </c>
      <c r="BA196" s="30">
        <f>ROUND(SUM(Inventory[[#This Row],[Mdl Qlty]:[Mdl Garage Area]])+Inventory[[#This Row],[Mdl Res Intercept]],-2)</f>
        <v>331100</v>
      </c>
      <c r="BB196" s="30">
        <f>ROUND(Inventory[[#This Row],[Mdl Land Intercept]]+Inventory[[#This Row],[Mdl LnAcres]],-2)</f>
        <v>64500</v>
      </c>
      <c r="BC196" s="30">
        <f>Inventory[[#This Row],[Unadj Res Value]]+Inventory[[#This Row],[Unadj Det Value]]+Inventory[[#This Row],[Unadj Land Value]]</f>
        <v>427900</v>
      </c>
      <c r="BD196" s="30">
        <f>(Inventory[[#This Row],[Unadj Total Value]]-Inventory[[#This Row],[24Final]])/Inventory[[#This Row],[24Final]]</f>
        <v>-3.8858939802336026E-2</v>
      </c>
      <c r="BE196" s="30">
        <f>VLOOKUP(Inventory[[#This Row],[Nbhd]],Lookups!$M$3:$P$5,4,FALSE)</f>
        <v>0.99970000000000003</v>
      </c>
      <c r="BF196" s="30">
        <f>VLOOKUP(Inventory[[#This Row],[Qlty]],Lookups!$M$8:$P$22,4,FALSE)</f>
        <v>0.99819999999999998</v>
      </c>
      <c r="BG196" s="30">
        <f>VLOOKUP(Inventory[[#This Row],[Cnd]],Lookups!$R$8:$U$17,4,FALSE)</f>
        <v>1.0007999999999999</v>
      </c>
      <c r="BH196" s="30">
        <f>VLOOKUP(Inventory[[#This Row],[LivArea Range]],Lookups!$R$25:$U$43,4,FALSE)</f>
        <v>1.0007999999999999</v>
      </c>
      <c r="BI196" s="30">
        <f>VLOOKUP(Inventory[[#This Row],[Decade]],Lookups!$M$24:$P$40,4,FALSE)</f>
        <v>1</v>
      </c>
      <c r="BJ196" s="30">
        <f>Inventory[[#This Row],[Nbhd Adj]]*0.95</f>
        <v>0.94971499999999998</v>
      </c>
      <c r="BK196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196" s="30">
        <f>ROUND((SUM(Inventory[[#This Row],[Mdl Qlty]:[Mdl Garage Area]])+Inventory[[#This Row],[Mdl Res Intercept]])*Inventory[[#This Row],[Res Adj ]],-2)</f>
        <v>314600</v>
      </c>
      <c r="BM196" s="30">
        <f>ROUND(Inventory[[#This Row],[25Det]]*Inventory[[#This Row],[Det/Nbhd Adj]],-2)</f>
        <v>30700</v>
      </c>
      <c r="BN196" s="30">
        <f>Inventory[[#This Row],[Adjusted Res]]+Inventory[[#This Row],[Adj Det ]]</f>
        <v>345300</v>
      </c>
      <c r="BO196" s="30">
        <f>ROUND((Inventory[[#This Row],[Mdl Land Intercept]]+Inventory[[#This Row],[Mdl LnAcres]])*Inventory[[#This Row],[Det/Nbhd Adj]],-2)</f>
        <v>61300</v>
      </c>
      <c r="BP196" s="30">
        <f>Inventory[[#This Row],[Adjusted Impr Total]]+Inventory[[#This Row],[Adjusted Land Total]]</f>
        <v>406600</v>
      </c>
      <c r="BQ196" s="30">
        <f>IFERROR((Inventory[[#This Row],[Adjusted Impr Total]]-Inventory[[#This Row],[24Bldg]])/Inventory[[#This Row],[24Bldg]],0)</f>
        <v>-0.10171696149843913</v>
      </c>
      <c r="BR196" s="43">
        <f>(Inventory[[#This Row],[Adjusted Land Total]]-Inventory[[#This Row],[24Lnd]])/Inventory[[#This Row],[24Lnd]]</f>
        <v>8.2236842105263153E-3</v>
      </c>
      <c r="BS196" s="43">
        <f>(Inventory[[#This Row],[Adjusted Total]]-Inventory[[#This Row],[24Final]])/Inventory[[#This Row],[24Final]]</f>
        <v>-8.6702605570530097E-2</v>
      </c>
    </row>
    <row r="197" spans="1:71">
      <c r="A197" s="30">
        <v>2025</v>
      </c>
      <c r="B197" s="31" t="s">
        <v>706</v>
      </c>
      <c r="C197" s="31">
        <f>LN(Inventory[[#This Row],[Acres]])</f>
        <v>-1.8140050781753747</v>
      </c>
      <c r="D197" s="37">
        <f>ROUND(Inventory[[#This Row],[Sqft]]/43560,3)</f>
        <v>0.16300000000000001</v>
      </c>
      <c r="E197" s="30">
        <v>7099</v>
      </c>
      <c r="F197" s="31" t="s">
        <v>505</v>
      </c>
      <c r="G197" s="31" t="s">
        <v>155</v>
      </c>
      <c r="H197" s="31" t="s">
        <v>5</v>
      </c>
      <c r="I197" s="31" t="s">
        <v>506</v>
      </c>
      <c r="J197" s="31" t="s">
        <v>507</v>
      </c>
      <c r="K197" s="31" t="s">
        <v>330</v>
      </c>
      <c r="L197" s="31" t="s">
        <v>21</v>
      </c>
      <c r="M197" s="31" t="s">
        <v>22</v>
      </c>
      <c r="N197" s="31">
        <v>0</v>
      </c>
      <c r="O197" s="31">
        <f>2024-Inventory[[#This Row],[YrBlt]]</f>
        <v>5</v>
      </c>
      <c r="P197" s="31">
        <f>2024-Inventory[[#This Row],[EffYr]]</f>
        <v>5</v>
      </c>
      <c r="Q197" s="30">
        <v>2019</v>
      </c>
      <c r="R197" s="30">
        <v>2019</v>
      </c>
      <c r="S197" s="30">
        <v>1708</v>
      </c>
      <c r="T197" s="32"/>
      <c r="U197" s="32"/>
      <c r="V197" s="32"/>
      <c r="W197" s="32"/>
      <c r="X197" s="32">
        <f>Inventory[[#This Row],[Bsmt Area]]-Inventory[[#This Row],[FnBsmt]]</f>
        <v>0</v>
      </c>
      <c r="Y197" s="32">
        <f>Inventory[[#This Row],[MainFn]]+Inventory[[#This Row],[UpprFn]]+Inventory[[#This Row],[AddFn]]+Inventory[[#This Row],[FnBsmt]]</f>
        <v>1708</v>
      </c>
      <c r="Z197" s="32">
        <v>2000</v>
      </c>
      <c r="AA197" s="31" t="s">
        <v>56</v>
      </c>
      <c r="AB197" s="32"/>
      <c r="AC197" s="38">
        <v>420</v>
      </c>
      <c r="AD197" s="32"/>
      <c r="AE197" s="32"/>
      <c r="AF197" s="32"/>
      <c r="AG197" s="32"/>
      <c r="AH197" s="32"/>
      <c r="AI197" s="30">
        <v>376328</v>
      </c>
      <c r="AJ197" s="30">
        <v>361275</v>
      </c>
      <c r="AK197" s="30">
        <v>0</v>
      </c>
      <c r="AL197" s="30">
        <v>0</v>
      </c>
      <c r="AM197" s="30">
        <v>60800</v>
      </c>
      <c r="AN197" s="30">
        <v>339900</v>
      </c>
      <c r="AO197" s="30">
        <v>400700</v>
      </c>
      <c r="AP197" s="30">
        <f>Lookups!$B$58*0.6</f>
        <v>132535.48800000001</v>
      </c>
      <c r="AQ197" s="30">
        <f>Lookups!$B$58*0.4</f>
        <v>88356.992000000013</v>
      </c>
      <c r="AR197" s="30">
        <f>Lookups!$B$59*Inventory[[#This Row],[LnAcres]]</f>
        <v>-23807.584941603713</v>
      </c>
      <c r="AS197" s="30">
        <f>VLOOKUP(Inventory[[#This Row],[Qlty]],Lookups!$A$66:$E$79,2,FALSE)</f>
        <v>32917.849192000001</v>
      </c>
      <c r="AT197" s="30">
        <f>VLOOKUP(Inventory[[#This Row],[Cnd]],Lookups!$A$80:$E$88,2,FALSE)</f>
        <v>50438.379078999998</v>
      </c>
      <c r="AU197" s="30">
        <f>Inventory[[#This Row],[EffAge]]*Lookups!$B$65</f>
        <v>-543.70550000000003</v>
      </c>
      <c r="AV197" s="30">
        <f>Inventory[[#This Row],[MainFn]]*Lookups!$B$90</f>
        <v>106596.92904</v>
      </c>
      <c r="AW197" s="30">
        <f>Inventory[[#This Row],[UpprFn]]*Lookups!$B$91</f>
        <v>0</v>
      </c>
      <c r="AX197" s="30">
        <f>Inventory[[#This Row],[Bsmt Area]]*Lookups!$B$95</f>
        <v>0</v>
      </c>
      <c r="AY197" s="30">
        <f>Inventory[[#This Row],[AttGar]]*Lookups!$B$93</f>
        <v>14826.43302</v>
      </c>
      <c r="AZ197" s="30">
        <f>ROUND(Inventory[[#This Row],[25Det]],-2)</f>
        <v>0</v>
      </c>
      <c r="BA197" s="30">
        <f>ROUND(SUM(Inventory[[#This Row],[Mdl Qlty]:[Mdl Garage Area]])+Inventory[[#This Row],[Mdl Res Intercept]],-2)</f>
        <v>336800</v>
      </c>
      <c r="BB197" s="30">
        <f>ROUND(Inventory[[#This Row],[Mdl Land Intercept]]+Inventory[[#This Row],[Mdl LnAcres]],-2)</f>
        <v>64500</v>
      </c>
      <c r="BC197" s="30">
        <f>Inventory[[#This Row],[Unadj Res Value]]+Inventory[[#This Row],[Unadj Det Value]]+Inventory[[#This Row],[Unadj Land Value]]</f>
        <v>401300</v>
      </c>
      <c r="BD197" s="30">
        <f>(Inventory[[#This Row],[Unadj Total Value]]-Inventory[[#This Row],[24Final]])/Inventory[[#This Row],[24Final]]</f>
        <v>1.4973795857249812E-3</v>
      </c>
      <c r="BE197" s="30">
        <f>VLOOKUP(Inventory[[#This Row],[Nbhd]],Lookups!$M$3:$P$5,4,FALSE)</f>
        <v>0.99970000000000003</v>
      </c>
      <c r="BF197" s="30">
        <f>VLOOKUP(Inventory[[#This Row],[Qlty]],Lookups!$M$8:$P$22,4,FALSE)</f>
        <v>1.0019</v>
      </c>
      <c r="BG197" s="30">
        <f>VLOOKUP(Inventory[[#This Row],[Cnd]],Lookups!$R$8:$U$17,4,FALSE)</f>
        <v>1.0007999999999999</v>
      </c>
      <c r="BH197" s="30">
        <f>VLOOKUP(Inventory[[#This Row],[LivArea Range]],Lookups!$R$25:$U$43,4,FALSE)</f>
        <v>1.0007999999999999</v>
      </c>
      <c r="BI197" s="30">
        <f>VLOOKUP(Inventory[[#This Row],[Decade]],Lookups!$M$24:$P$40,4,FALSE)</f>
        <v>1</v>
      </c>
      <c r="BJ197" s="30">
        <f>Inventory[[#This Row],[Nbhd Adj]]*0.95</f>
        <v>0.94971499999999998</v>
      </c>
      <c r="BK197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197" s="30">
        <f>ROUND((SUM(Inventory[[#This Row],[Mdl Qlty]:[Mdl Garage Area]])+Inventory[[#This Row],[Mdl Res Intercept]])*Inventory[[#This Row],[Res Adj ]],-2)</f>
        <v>320100</v>
      </c>
      <c r="BM197" s="30">
        <f>ROUND(Inventory[[#This Row],[25Det]]*Inventory[[#This Row],[Det/Nbhd Adj]],-2)</f>
        <v>0</v>
      </c>
      <c r="BN197" s="30">
        <f>Inventory[[#This Row],[Adjusted Res]]+Inventory[[#This Row],[Adj Det ]]</f>
        <v>320100</v>
      </c>
      <c r="BO197" s="30">
        <f>ROUND((Inventory[[#This Row],[Mdl Land Intercept]]+Inventory[[#This Row],[Mdl LnAcres]])*Inventory[[#This Row],[Det/Nbhd Adj]],-2)</f>
        <v>61300</v>
      </c>
      <c r="BP197" s="30">
        <f>Inventory[[#This Row],[Adjusted Impr Total]]+Inventory[[#This Row],[Adjusted Land Total]]</f>
        <v>381400</v>
      </c>
      <c r="BQ197" s="30">
        <f>IFERROR((Inventory[[#This Row],[Adjusted Impr Total]]-Inventory[[#This Row],[24Bldg]])/Inventory[[#This Row],[24Bldg]],0)</f>
        <v>-5.8252427184466021E-2</v>
      </c>
      <c r="BR197" s="43">
        <f>(Inventory[[#This Row],[Adjusted Land Total]]-Inventory[[#This Row],[24Lnd]])/Inventory[[#This Row],[24Lnd]]</f>
        <v>8.2236842105263153E-3</v>
      </c>
      <c r="BS197" s="43">
        <f>(Inventory[[#This Row],[Adjusted Total]]-Inventory[[#This Row],[24Final]])/Inventory[[#This Row],[24Final]]</f>
        <v>-4.81657100074869E-2</v>
      </c>
    </row>
    <row r="198" spans="1:71">
      <c r="A198" s="30">
        <v>2025</v>
      </c>
      <c r="B198" s="31" t="s">
        <v>707</v>
      </c>
      <c r="C198" s="31">
        <f>LN(Inventory[[#This Row],[Acres]])</f>
        <v>-1.8140050781753747</v>
      </c>
      <c r="D198" s="37">
        <f>ROUND(Inventory[[#This Row],[Sqft]]/43560,3)</f>
        <v>0.16300000000000001</v>
      </c>
      <c r="E198" s="30">
        <v>7100</v>
      </c>
      <c r="F198" s="31" t="s">
        <v>505</v>
      </c>
      <c r="G198" s="31" t="s">
        <v>155</v>
      </c>
      <c r="H198" s="31" t="s">
        <v>5</v>
      </c>
      <c r="I198" s="31" t="s">
        <v>506</v>
      </c>
      <c r="J198" s="31" t="s">
        <v>507</v>
      </c>
      <c r="K198" s="31" t="s">
        <v>330</v>
      </c>
      <c r="L198" s="31" t="s">
        <v>21</v>
      </c>
      <c r="M198" s="31" t="s">
        <v>22</v>
      </c>
      <c r="N198" s="31">
        <v>0</v>
      </c>
      <c r="O198" s="31">
        <f>2024-Inventory[[#This Row],[YrBlt]]</f>
        <v>5</v>
      </c>
      <c r="P198" s="31">
        <f>2024-Inventory[[#This Row],[EffYr]]</f>
        <v>5</v>
      </c>
      <c r="Q198" s="30">
        <v>2019</v>
      </c>
      <c r="R198" s="30">
        <v>2019</v>
      </c>
      <c r="S198" s="30">
        <v>1150</v>
      </c>
      <c r="T198" s="32"/>
      <c r="U198" s="32"/>
      <c r="V198" s="32"/>
      <c r="W198" s="32"/>
      <c r="X198" s="32">
        <f>Inventory[[#This Row],[Bsmt Area]]-Inventory[[#This Row],[FnBsmt]]</f>
        <v>0</v>
      </c>
      <c r="Y198" s="32">
        <f>Inventory[[#This Row],[MainFn]]+Inventory[[#This Row],[UpprFn]]+Inventory[[#This Row],[AddFn]]+Inventory[[#This Row],[FnBsmt]]</f>
        <v>1150</v>
      </c>
      <c r="Z198" s="32">
        <v>1500</v>
      </c>
      <c r="AA198" s="31" t="s">
        <v>56</v>
      </c>
      <c r="AB198" s="32"/>
      <c r="AC198" s="38">
        <v>420</v>
      </c>
      <c r="AD198" s="32"/>
      <c r="AE198" s="32"/>
      <c r="AF198" s="32"/>
      <c r="AG198" s="32"/>
      <c r="AH198" s="32"/>
      <c r="AI198" s="30">
        <v>271650</v>
      </c>
      <c r="AJ198" s="30">
        <v>260784</v>
      </c>
      <c r="AK198" s="30">
        <v>0</v>
      </c>
      <c r="AL198" s="30">
        <v>0</v>
      </c>
      <c r="AM198" s="30">
        <v>60800</v>
      </c>
      <c r="AN198" s="30">
        <v>297800</v>
      </c>
      <c r="AO198" s="30">
        <v>358600</v>
      </c>
      <c r="AP198" s="30">
        <f>Lookups!$B$58*0.6</f>
        <v>132535.48800000001</v>
      </c>
      <c r="AQ198" s="30">
        <f>Lookups!$B$58*0.4</f>
        <v>88356.992000000013</v>
      </c>
      <c r="AR198" s="30">
        <f>Lookups!$B$59*Inventory[[#This Row],[LnAcres]]</f>
        <v>-23807.584941603713</v>
      </c>
      <c r="AS198" s="30">
        <f>VLOOKUP(Inventory[[#This Row],[Qlty]],Lookups!$A$66:$E$79,2,FALSE)</f>
        <v>32917.849192000001</v>
      </c>
      <c r="AT198" s="30">
        <f>VLOOKUP(Inventory[[#This Row],[Cnd]],Lookups!$A$80:$E$88,2,FALSE)</f>
        <v>50438.379078999998</v>
      </c>
      <c r="AU198" s="30">
        <f>Inventory[[#This Row],[EffAge]]*Lookups!$B$65</f>
        <v>-543.70550000000003</v>
      </c>
      <c r="AV198" s="30">
        <f>Inventory[[#This Row],[MainFn]]*Lookups!$B$90</f>
        <v>71771.937000000005</v>
      </c>
      <c r="AW198" s="30">
        <f>Inventory[[#This Row],[UpprFn]]*Lookups!$B$91</f>
        <v>0</v>
      </c>
      <c r="AX198" s="30">
        <f>Inventory[[#This Row],[Bsmt Area]]*Lookups!$B$95</f>
        <v>0</v>
      </c>
      <c r="AY198" s="30">
        <f>Inventory[[#This Row],[AttGar]]*Lookups!$B$93</f>
        <v>14826.43302</v>
      </c>
      <c r="AZ198" s="30">
        <f>ROUND(Inventory[[#This Row],[25Det]],-2)</f>
        <v>0</v>
      </c>
      <c r="BA198" s="30">
        <f>ROUND(SUM(Inventory[[#This Row],[Mdl Qlty]:[Mdl Garage Area]])+Inventory[[#This Row],[Mdl Res Intercept]],-2)</f>
        <v>301900</v>
      </c>
      <c r="BB198" s="30">
        <f>ROUND(Inventory[[#This Row],[Mdl Land Intercept]]+Inventory[[#This Row],[Mdl LnAcres]],-2)</f>
        <v>64500</v>
      </c>
      <c r="BC198" s="30">
        <f>Inventory[[#This Row],[Unadj Res Value]]+Inventory[[#This Row],[Unadj Det Value]]+Inventory[[#This Row],[Unadj Land Value]]</f>
        <v>366400</v>
      </c>
      <c r="BD198" s="30">
        <f>(Inventory[[#This Row],[Unadj Total Value]]-Inventory[[#This Row],[24Final]])/Inventory[[#This Row],[24Final]]</f>
        <v>2.1751254880089235E-2</v>
      </c>
      <c r="BE198" s="30">
        <f>VLOOKUP(Inventory[[#This Row],[Nbhd]],Lookups!$M$3:$P$5,4,FALSE)</f>
        <v>0.99970000000000003</v>
      </c>
      <c r="BF198" s="30">
        <f>VLOOKUP(Inventory[[#This Row],[Qlty]],Lookups!$M$8:$P$22,4,FALSE)</f>
        <v>1.0019</v>
      </c>
      <c r="BG198" s="30">
        <f>VLOOKUP(Inventory[[#This Row],[Cnd]],Lookups!$R$8:$U$17,4,FALSE)</f>
        <v>1.0007999999999999</v>
      </c>
      <c r="BH198" s="30">
        <f>VLOOKUP(Inventory[[#This Row],[LivArea Range]],Lookups!$R$25:$U$43,4,FALSE)</f>
        <v>0.99519999999999997</v>
      </c>
      <c r="BI198" s="30">
        <f>VLOOKUP(Inventory[[#This Row],[Decade]],Lookups!$M$24:$P$40,4,FALSE)</f>
        <v>1</v>
      </c>
      <c r="BJ198" s="30">
        <f>Inventory[[#This Row],[Nbhd Adj]]*0.95</f>
        <v>0.94971499999999998</v>
      </c>
      <c r="BK198" s="30">
        <f>AVERAGE(Inventory[[#This Row],[Nbhd Adj]],Inventory[[#This Row],[Quality Adj]],Inventory[[#This Row],[Condition Adj]],Inventory[[#This Row],[Living Area Adj]],Inventory[[#This Row],[Decade Adj]])*0.95</f>
        <v>0.94954400000000005</v>
      </c>
      <c r="BL198" s="30">
        <f>ROUND((SUM(Inventory[[#This Row],[Mdl Qlty]:[Mdl Garage Area]])+Inventory[[#This Row],[Mdl Res Intercept]])*Inventory[[#This Row],[Res Adj ]],-2)</f>
        <v>286700</v>
      </c>
      <c r="BM198" s="30">
        <f>ROUND(Inventory[[#This Row],[25Det]]*Inventory[[#This Row],[Det/Nbhd Adj]],-2)</f>
        <v>0</v>
      </c>
      <c r="BN198" s="30">
        <f>Inventory[[#This Row],[Adjusted Res]]+Inventory[[#This Row],[Adj Det ]]</f>
        <v>286700</v>
      </c>
      <c r="BO198" s="30">
        <f>ROUND((Inventory[[#This Row],[Mdl Land Intercept]]+Inventory[[#This Row],[Mdl LnAcres]])*Inventory[[#This Row],[Det/Nbhd Adj]],-2)</f>
        <v>61300</v>
      </c>
      <c r="BP198" s="30">
        <f>Inventory[[#This Row],[Adjusted Impr Total]]+Inventory[[#This Row],[Adjusted Land Total]]</f>
        <v>348000</v>
      </c>
      <c r="BQ198" s="30">
        <f>IFERROR((Inventory[[#This Row],[Adjusted Impr Total]]-Inventory[[#This Row],[24Bldg]])/Inventory[[#This Row],[24Bldg]],0)</f>
        <v>-3.7273337810611151E-2</v>
      </c>
      <c r="BR198" s="43">
        <f>(Inventory[[#This Row],[Adjusted Land Total]]-Inventory[[#This Row],[24Lnd]])/Inventory[[#This Row],[24Lnd]]</f>
        <v>8.2236842105263153E-3</v>
      </c>
      <c r="BS198" s="43">
        <f>(Inventory[[#This Row],[Adjusted Total]]-Inventory[[#This Row],[24Final]])/Inventory[[#This Row],[24Final]]</f>
        <v>-2.9559397657557166E-2</v>
      </c>
    </row>
    <row r="199" spans="1:71">
      <c r="A199" s="30">
        <v>2025</v>
      </c>
      <c r="B199" s="31" t="s">
        <v>708</v>
      </c>
      <c r="C199" s="31">
        <f>LN(Inventory[[#This Row],[Acres]])</f>
        <v>-1.8140050781753747</v>
      </c>
      <c r="D199" s="37">
        <f>ROUND(Inventory[[#This Row],[Sqft]]/43560,3)</f>
        <v>0.16300000000000001</v>
      </c>
      <c r="E199" s="30">
        <v>7100</v>
      </c>
      <c r="F199" s="31" t="s">
        <v>505</v>
      </c>
      <c r="G199" s="31" t="s">
        <v>155</v>
      </c>
      <c r="H199" s="31" t="s">
        <v>5</v>
      </c>
      <c r="I199" s="31" t="s">
        <v>506</v>
      </c>
      <c r="J199" s="31" t="s">
        <v>507</v>
      </c>
      <c r="K199" s="31" t="s">
        <v>330</v>
      </c>
      <c r="L199" s="31" t="s">
        <v>21</v>
      </c>
      <c r="M199" s="31" t="s">
        <v>22</v>
      </c>
      <c r="N199" s="31">
        <v>0</v>
      </c>
      <c r="O199" s="31">
        <f>2024-Inventory[[#This Row],[YrBlt]]</f>
        <v>5</v>
      </c>
      <c r="P199" s="31">
        <f>2024-Inventory[[#This Row],[EffYr]]</f>
        <v>5</v>
      </c>
      <c r="Q199" s="30">
        <v>2019</v>
      </c>
      <c r="R199" s="30">
        <v>2019</v>
      </c>
      <c r="S199" s="30">
        <v>1708</v>
      </c>
      <c r="T199" s="32"/>
      <c r="U199" s="32"/>
      <c r="V199" s="32"/>
      <c r="W199" s="32"/>
      <c r="X199" s="32">
        <f>Inventory[[#This Row],[Bsmt Area]]-Inventory[[#This Row],[FnBsmt]]</f>
        <v>0</v>
      </c>
      <c r="Y199" s="32">
        <f>Inventory[[#This Row],[MainFn]]+Inventory[[#This Row],[UpprFn]]+Inventory[[#This Row],[AddFn]]+Inventory[[#This Row],[FnBsmt]]</f>
        <v>1708</v>
      </c>
      <c r="Z199" s="32">
        <v>2000</v>
      </c>
      <c r="AA199" s="31" t="s">
        <v>56</v>
      </c>
      <c r="AB199" s="38">
        <v>1</v>
      </c>
      <c r="AC199" s="38">
        <v>420</v>
      </c>
      <c r="AD199" s="32"/>
      <c r="AE199" s="32"/>
      <c r="AF199" s="32"/>
      <c r="AG199" s="32"/>
      <c r="AH199" s="32"/>
      <c r="AI199" s="30">
        <v>374202</v>
      </c>
      <c r="AJ199" s="30">
        <v>359234</v>
      </c>
      <c r="AK199" s="30">
        <v>0</v>
      </c>
      <c r="AL199" s="30">
        <v>0</v>
      </c>
      <c r="AM199" s="30">
        <v>60800</v>
      </c>
      <c r="AN199" s="30">
        <v>330000</v>
      </c>
      <c r="AO199" s="30">
        <v>390800</v>
      </c>
      <c r="AP199" s="30">
        <f>Lookups!$B$58*0.6</f>
        <v>132535.48800000001</v>
      </c>
      <c r="AQ199" s="30">
        <f>Lookups!$B$58*0.4</f>
        <v>88356.992000000013</v>
      </c>
      <c r="AR199" s="30">
        <f>Lookups!$B$59*Inventory[[#This Row],[LnAcres]]</f>
        <v>-23807.584941603713</v>
      </c>
      <c r="AS199" s="30">
        <f>VLOOKUP(Inventory[[#This Row],[Qlty]],Lookups!$A$66:$E$79,2,FALSE)</f>
        <v>32917.849192000001</v>
      </c>
      <c r="AT199" s="30">
        <f>VLOOKUP(Inventory[[#This Row],[Cnd]],Lookups!$A$80:$E$88,2,FALSE)</f>
        <v>50438.379078999998</v>
      </c>
      <c r="AU199" s="30">
        <f>Inventory[[#This Row],[EffAge]]*Lookups!$B$65</f>
        <v>-543.70550000000003</v>
      </c>
      <c r="AV199" s="30">
        <f>Inventory[[#This Row],[MainFn]]*Lookups!$B$90</f>
        <v>106596.92904</v>
      </c>
      <c r="AW199" s="30">
        <f>Inventory[[#This Row],[UpprFn]]*Lookups!$B$91</f>
        <v>0</v>
      </c>
      <c r="AX199" s="30">
        <f>Inventory[[#This Row],[Bsmt Area]]*Lookups!$B$95</f>
        <v>0</v>
      </c>
      <c r="AY199" s="30">
        <f>Inventory[[#This Row],[AttGar]]*Lookups!$B$93</f>
        <v>14826.43302</v>
      </c>
      <c r="AZ199" s="30">
        <f>ROUND(Inventory[[#This Row],[25Det]],-2)</f>
        <v>0</v>
      </c>
      <c r="BA199" s="30">
        <f>ROUND(SUM(Inventory[[#This Row],[Mdl Qlty]:[Mdl Garage Area]])+Inventory[[#This Row],[Mdl Res Intercept]],-2)</f>
        <v>336800</v>
      </c>
      <c r="BB199" s="30">
        <f>ROUND(Inventory[[#This Row],[Mdl Land Intercept]]+Inventory[[#This Row],[Mdl LnAcres]],-2)</f>
        <v>64500</v>
      </c>
      <c r="BC199" s="30">
        <f>Inventory[[#This Row],[Unadj Res Value]]+Inventory[[#This Row],[Unadj Det Value]]+Inventory[[#This Row],[Unadj Land Value]]</f>
        <v>401300</v>
      </c>
      <c r="BD199" s="30">
        <f>(Inventory[[#This Row],[Unadj Total Value]]-Inventory[[#This Row],[24Final]])/Inventory[[#This Row],[24Final]]</f>
        <v>2.6867963152507678E-2</v>
      </c>
      <c r="BE199" s="30">
        <f>VLOOKUP(Inventory[[#This Row],[Nbhd]],Lookups!$M$3:$P$5,4,FALSE)</f>
        <v>0.99970000000000003</v>
      </c>
      <c r="BF199" s="30">
        <f>VLOOKUP(Inventory[[#This Row],[Qlty]],Lookups!$M$8:$P$22,4,FALSE)</f>
        <v>1.0019</v>
      </c>
      <c r="BG199" s="30">
        <f>VLOOKUP(Inventory[[#This Row],[Cnd]],Lookups!$R$8:$U$17,4,FALSE)</f>
        <v>1.0007999999999999</v>
      </c>
      <c r="BH199" s="30">
        <f>VLOOKUP(Inventory[[#This Row],[LivArea Range]],Lookups!$R$25:$U$43,4,FALSE)</f>
        <v>1.0007999999999999</v>
      </c>
      <c r="BI199" s="30">
        <f>VLOOKUP(Inventory[[#This Row],[Decade]],Lookups!$M$24:$P$40,4,FALSE)</f>
        <v>1</v>
      </c>
      <c r="BJ199" s="30">
        <f>Inventory[[#This Row],[Nbhd Adj]]*0.95</f>
        <v>0.94971499999999998</v>
      </c>
      <c r="BK199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199" s="30">
        <f>ROUND((SUM(Inventory[[#This Row],[Mdl Qlty]:[Mdl Garage Area]])+Inventory[[#This Row],[Mdl Res Intercept]])*Inventory[[#This Row],[Res Adj ]],-2)</f>
        <v>320100</v>
      </c>
      <c r="BM199" s="30">
        <f>ROUND(Inventory[[#This Row],[25Det]]*Inventory[[#This Row],[Det/Nbhd Adj]],-2)</f>
        <v>0</v>
      </c>
      <c r="BN199" s="30">
        <f>Inventory[[#This Row],[Adjusted Res]]+Inventory[[#This Row],[Adj Det ]]</f>
        <v>320100</v>
      </c>
      <c r="BO199" s="30">
        <f>ROUND((Inventory[[#This Row],[Mdl Land Intercept]]+Inventory[[#This Row],[Mdl LnAcres]])*Inventory[[#This Row],[Det/Nbhd Adj]],-2)</f>
        <v>61300</v>
      </c>
      <c r="BP199" s="30">
        <f>Inventory[[#This Row],[Adjusted Impr Total]]+Inventory[[#This Row],[Adjusted Land Total]]</f>
        <v>381400</v>
      </c>
      <c r="BQ199" s="30">
        <f>IFERROR((Inventory[[#This Row],[Adjusted Impr Total]]-Inventory[[#This Row],[24Bldg]])/Inventory[[#This Row],[24Bldg]],0)</f>
        <v>-0.03</v>
      </c>
      <c r="BR199" s="43">
        <f>(Inventory[[#This Row],[Adjusted Land Total]]-Inventory[[#This Row],[24Lnd]])/Inventory[[#This Row],[24Lnd]]</f>
        <v>8.2236842105263153E-3</v>
      </c>
      <c r="BS199" s="43">
        <f>(Inventory[[#This Row],[Adjusted Total]]-Inventory[[#This Row],[24Final]])/Inventory[[#This Row],[24Final]]</f>
        <v>-2.4053224155578302E-2</v>
      </c>
    </row>
    <row r="200" spans="1:71">
      <c r="A200" s="30">
        <v>2025</v>
      </c>
      <c r="B200" s="31" t="s">
        <v>709</v>
      </c>
      <c r="C200" s="31">
        <f>LN(Inventory[[#This Row],[Acres]])</f>
        <v>-1.8140050781753747</v>
      </c>
      <c r="D200" s="37">
        <f>ROUND(Inventory[[#This Row],[Sqft]]/43560,3)</f>
        <v>0.16300000000000001</v>
      </c>
      <c r="E200" s="38">
        <v>7100</v>
      </c>
      <c r="F200" s="31" t="s">
        <v>505</v>
      </c>
      <c r="G200" s="31" t="s">
        <v>155</v>
      </c>
      <c r="H200" s="31" t="s">
        <v>5</v>
      </c>
      <c r="I200" s="31" t="s">
        <v>506</v>
      </c>
      <c r="J200" s="31" t="s">
        <v>507</v>
      </c>
      <c r="K200" s="31" t="s">
        <v>330</v>
      </c>
      <c r="L200" s="31" t="s">
        <v>21</v>
      </c>
      <c r="M200" s="31" t="s">
        <v>22</v>
      </c>
      <c r="N200" s="31">
        <v>0</v>
      </c>
      <c r="O200" s="31">
        <f>2024-Inventory[[#This Row],[YrBlt]]</f>
        <v>5</v>
      </c>
      <c r="P200" s="31">
        <f>2024-Inventory[[#This Row],[EffYr]]</f>
        <v>5</v>
      </c>
      <c r="Q200" s="30">
        <v>2019</v>
      </c>
      <c r="R200" s="30">
        <v>2019</v>
      </c>
      <c r="S200" s="30">
        <v>1708</v>
      </c>
      <c r="T200" s="32"/>
      <c r="U200" s="32"/>
      <c r="V200" s="32"/>
      <c r="W200" s="32"/>
      <c r="X200" s="32">
        <f>Inventory[[#This Row],[Bsmt Area]]-Inventory[[#This Row],[FnBsmt]]</f>
        <v>0</v>
      </c>
      <c r="Y200" s="32">
        <f>Inventory[[#This Row],[MainFn]]+Inventory[[#This Row],[UpprFn]]+Inventory[[#This Row],[AddFn]]+Inventory[[#This Row],[FnBsmt]]</f>
        <v>1708</v>
      </c>
      <c r="Z200" s="32">
        <v>2000</v>
      </c>
      <c r="AA200" s="31" t="s">
        <v>56</v>
      </c>
      <c r="AB200" s="32"/>
      <c r="AC200" s="38">
        <v>420</v>
      </c>
      <c r="AD200" s="32"/>
      <c r="AE200" s="32"/>
      <c r="AF200" s="32"/>
      <c r="AG200" s="32"/>
      <c r="AH200" s="32"/>
      <c r="AI200" s="30">
        <v>374577</v>
      </c>
      <c r="AJ200" s="30">
        <v>359594</v>
      </c>
      <c r="AK200" s="30">
        <v>0</v>
      </c>
      <c r="AL200" s="30">
        <v>0</v>
      </c>
      <c r="AM200" s="30">
        <v>60800</v>
      </c>
      <c r="AN200" s="30">
        <v>329100</v>
      </c>
      <c r="AO200" s="30">
        <v>389900</v>
      </c>
      <c r="AP200" s="30">
        <f>Lookups!$B$58*0.6</f>
        <v>132535.48800000001</v>
      </c>
      <c r="AQ200" s="30">
        <f>Lookups!$B$58*0.4</f>
        <v>88356.992000000013</v>
      </c>
      <c r="AR200" s="30">
        <f>Lookups!$B$59*Inventory[[#This Row],[LnAcres]]</f>
        <v>-23807.584941603713</v>
      </c>
      <c r="AS200" s="30">
        <f>VLOOKUP(Inventory[[#This Row],[Qlty]],Lookups!$A$66:$E$79,2,FALSE)</f>
        <v>32917.849192000001</v>
      </c>
      <c r="AT200" s="30">
        <f>VLOOKUP(Inventory[[#This Row],[Cnd]],Lookups!$A$80:$E$88,2,FALSE)</f>
        <v>50438.379078999998</v>
      </c>
      <c r="AU200" s="30">
        <f>Inventory[[#This Row],[EffAge]]*Lookups!$B$65</f>
        <v>-543.70550000000003</v>
      </c>
      <c r="AV200" s="30">
        <f>Inventory[[#This Row],[MainFn]]*Lookups!$B$90</f>
        <v>106596.92904</v>
      </c>
      <c r="AW200" s="30">
        <f>Inventory[[#This Row],[UpprFn]]*Lookups!$B$91</f>
        <v>0</v>
      </c>
      <c r="AX200" s="30">
        <f>Inventory[[#This Row],[Bsmt Area]]*Lookups!$B$95</f>
        <v>0</v>
      </c>
      <c r="AY200" s="30">
        <f>Inventory[[#This Row],[AttGar]]*Lookups!$B$93</f>
        <v>14826.43302</v>
      </c>
      <c r="AZ200" s="30">
        <f>ROUND(Inventory[[#This Row],[25Det]],-2)</f>
        <v>0</v>
      </c>
      <c r="BA200" s="30">
        <f>ROUND(SUM(Inventory[[#This Row],[Mdl Qlty]:[Mdl Garage Area]])+Inventory[[#This Row],[Mdl Res Intercept]],-2)</f>
        <v>336800</v>
      </c>
      <c r="BB200" s="30">
        <f>ROUND(Inventory[[#This Row],[Mdl Land Intercept]]+Inventory[[#This Row],[Mdl LnAcres]],-2)</f>
        <v>64500</v>
      </c>
      <c r="BC200" s="30">
        <f>Inventory[[#This Row],[Unadj Res Value]]+Inventory[[#This Row],[Unadj Det Value]]+Inventory[[#This Row],[Unadj Land Value]]</f>
        <v>401300</v>
      </c>
      <c r="BD200" s="30">
        <f>(Inventory[[#This Row],[Unadj Total Value]]-Inventory[[#This Row],[24Final]])/Inventory[[#This Row],[24Final]]</f>
        <v>2.9238266222108233E-2</v>
      </c>
      <c r="BE200" s="30">
        <f>VLOOKUP(Inventory[[#This Row],[Nbhd]],Lookups!$M$3:$P$5,4,FALSE)</f>
        <v>0.99970000000000003</v>
      </c>
      <c r="BF200" s="30">
        <f>VLOOKUP(Inventory[[#This Row],[Qlty]],Lookups!$M$8:$P$22,4,FALSE)</f>
        <v>1.0019</v>
      </c>
      <c r="BG200" s="30">
        <f>VLOOKUP(Inventory[[#This Row],[Cnd]],Lookups!$R$8:$U$17,4,FALSE)</f>
        <v>1.0007999999999999</v>
      </c>
      <c r="BH200" s="30">
        <f>VLOOKUP(Inventory[[#This Row],[LivArea Range]],Lookups!$R$25:$U$43,4,FALSE)</f>
        <v>1.0007999999999999</v>
      </c>
      <c r="BI200" s="30">
        <f>VLOOKUP(Inventory[[#This Row],[Decade]],Lookups!$M$24:$P$40,4,FALSE)</f>
        <v>1</v>
      </c>
      <c r="BJ200" s="30">
        <f>Inventory[[#This Row],[Nbhd Adj]]*0.95</f>
        <v>0.94971499999999998</v>
      </c>
      <c r="BK200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200" s="30">
        <f>ROUND((SUM(Inventory[[#This Row],[Mdl Qlty]:[Mdl Garage Area]])+Inventory[[#This Row],[Mdl Res Intercept]])*Inventory[[#This Row],[Res Adj ]],-2)</f>
        <v>320100</v>
      </c>
      <c r="BM200" s="30">
        <f>ROUND(Inventory[[#This Row],[25Det]]*Inventory[[#This Row],[Det/Nbhd Adj]],-2)</f>
        <v>0</v>
      </c>
      <c r="BN200" s="30">
        <f>Inventory[[#This Row],[Adjusted Res]]+Inventory[[#This Row],[Adj Det ]]</f>
        <v>320100</v>
      </c>
      <c r="BO200" s="30">
        <f>ROUND((Inventory[[#This Row],[Mdl Land Intercept]]+Inventory[[#This Row],[Mdl LnAcres]])*Inventory[[#This Row],[Det/Nbhd Adj]],-2)</f>
        <v>61300</v>
      </c>
      <c r="BP200" s="30">
        <f>Inventory[[#This Row],[Adjusted Impr Total]]+Inventory[[#This Row],[Adjusted Land Total]]</f>
        <v>381400</v>
      </c>
      <c r="BQ200" s="30">
        <f>IFERROR((Inventory[[#This Row],[Adjusted Impr Total]]-Inventory[[#This Row],[24Bldg]])/Inventory[[#This Row],[24Bldg]],0)</f>
        <v>-2.7347310847766638E-2</v>
      </c>
      <c r="BR200" s="43">
        <f>(Inventory[[#This Row],[Adjusted Land Total]]-Inventory[[#This Row],[24Lnd]])/Inventory[[#This Row],[24Lnd]]</f>
        <v>8.2236842105263153E-3</v>
      </c>
      <c r="BS200" s="43">
        <f>(Inventory[[#This Row],[Adjusted Total]]-Inventory[[#This Row],[24Final]])/Inventory[[#This Row],[24Final]]</f>
        <v>-2.1800461656835086E-2</v>
      </c>
    </row>
    <row r="201" spans="1:71">
      <c r="A201" s="30">
        <v>2025</v>
      </c>
      <c r="B201" s="31" t="s">
        <v>710</v>
      </c>
      <c r="C201" s="31">
        <f>LN(Inventory[[#This Row],[Acres]])</f>
        <v>-1.8140050781753747</v>
      </c>
      <c r="D201" s="37">
        <f>ROUND(Inventory[[#This Row],[Sqft]]/43560,3)</f>
        <v>0.16300000000000001</v>
      </c>
      <c r="E201" s="30">
        <v>7100</v>
      </c>
      <c r="F201" s="31" t="s">
        <v>505</v>
      </c>
      <c r="G201" s="31" t="s">
        <v>155</v>
      </c>
      <c r="H201" s="31" t="s">
        <v>5</v>
      </c>
      <c r="I201" s="31" t="s">
        <v>506</v>
      </c>
      <c r="J201" s="31" t="s">
        <v>507</v>
      </c>
      <c r="K201" s="31" t="s">
        <v>330</v>
      </c>
      <c r="L201" s="31" t="s">
        <v>21</v>
      </c>
      <c r="M201" s="31" t="s">
        <v>22</v>
      </c>
      <c r="N201" s="31">
        <v>0</v>
      </c>
      <c r="O201" s="31">
        <f>2024-Inventory[[#This Row],[YrBlt]]</f>
        <v>5</v>
      </c>
      <c r="P201" s="31">
        <f>2024-Inventory[[#This Row],[EffYr]]</f>
        <v>5</v>
      </c>
      <c r="Q201" s="30">
        <v>2019</v>
      </c>
      <c r="R201" s="30">
        <v>2019</v>
      </c>
      <c r="S201" s="30">
        <v>1708</v>
      </c>
      <c r="T201" s="37"/>
      <c r="U201" s="37"/>
      <c r="V201" s="32"/>
      <c r="W201" s="32"/>
      <c r="X201" s="32">
        <f>Inventory[[#This Row],[Bsmt Area]]-Inventory[[#This Row],[FnBsmt]]</f>
        <v>0</v>
      </c>
      <c r="Y201" s="32">
        <f>Inventory[[#This Row],[MainFn]]+Inventory[[#This Row],[UpprFn]]+Inventory[[#This Row],[AddFn]]+Inventory[[#This Row],[FnBsmt]]</f>
        <v>1708</v>
      </c>
      <c r="Z201" s="32">
        <v>2000</v>
      </c>
      <c r="AA201" s="31" t="s">
        <v>56</v>
      </c>
      <c r="AB201" s="32"/>
      <c r="AC201" s="38">
        <v>420</v>
      </c>
      <c r="AD201" s="32"/>
      <c r="AE201" s="32"/>
      <c r="AF201" s="32"/>
      <c r="AG201" s="32"/>
      <c r="AH201" s="32"/>
      <c r="AI201" s="30">
        <v>378452</v>
      </c>
      <c r="AJ201" s="30">
        <v>363314</v>
      </c>
      <c r="AK201" s="30">
        <v>0</v>
      </c>
      <c r="AL201" s="30">
        <v>0</v>
      </c>
      <c r="AM201" s="30">
        <v>60800</v>
      </c>
      <c r="AN201" s="30">
        <v>329100</v>
      </c>
      <c r="AO201" s="30">
        <v>389900</v>
      </c>
      <c r="AP201" s="30">
        <f>Lookups!$B$58*0.6</f>
        <v>132535.48800000001</v>
      </c>
      <c r="AQ201" s="30">
        <f>Lookups!$B$58*0.4</f>
        <v>88356.992000000013</v>
      </c>
      <c r="AR201" s="30">
        <f>Lookups!$B$59*Inventory[[#This Row],[LnAcres]]</f>
        <v>-23807.584941603713</v>
      </c>
      <c r="AS201" s="30">
        <f>VLOOKUP(Inventory[[#This Row],[Qlty]],Lookups!$A$66:$E$79,2,FALSE)</f>
        <v>32917.849192000001</v>
      </c>
      <c r="AT201" s="30">
        <f>VLOOKUP(Inventory[[#This Row],[Cnd]],Lookups!$A$80:$E$88,2,FALSE)</f>
        <v>50438.379078999998</v>
      </c>
      <c r="AU201" s="30">
        <f>Inventory[[#This Row],[EffAge]]*Lookups!$B$65</f>
        <v>-543.70550000000003</v>
      </c>
      <c r="AV201" s="30">
        <f>Inventory[[#This Row],[MainFn]]*Lookups!$B$90</f>
        <v>106596.92904</v>
      </c>
      <c r="AW201" s="30">
        <f>Inventory[[#This Row],[UpprFn]]*Lookups!$B$91</f>
        <v>0</v>
      </c>
      <c r="AX201" s="30">
        <f>Inventory[[#This Row],[Bsmt Area]]*Lookups!$B$95</f>
        <v>0</v>
      </c>
      <c r="AY201" s="30">
        <f>Inventory[[#This Row],[AttGar]]*Lookups!$B$93</f>
        <v>14826.43302</v>
      </c>
      <c r="AZ201" s="30">
        <f>ROUND(Inventory[[#This Row],[25Det]],-2)</f>
        <v>0</v>
      </c>
      <c r="BA201" s="30">
        <f>ROUND(SUM(Inventory[[#This Row],[Mdl Qlty]:[Mdl Garage Area]])+Inventory[[#This Row],[Mdl Res Intercept]],-2)</f>
        <v>336800</v>
      </c>
      <c r="BB201" s="30">
        <f>ROUND(Inventory[[#This Row],[Mdl Land Intercept]]+Inventory[[#This Row],[Mdl LnAcres]],-2)</f>
        <v>64500</v>
      </c>
      <c r="BC201" s="30">
        <f>Inventory[[#This Row],[Unadj Res Value]]+Inventory[[#This Row],[Unadj Det Value]]+Inventory[[#This Row],[Unadj Land Value]]</f>
        <v>401300</v>
      </c>
      <c r="BD201" s="30">
        <f>(Inventory[[#This Row],[Unadj Total Value]]-Inventory[[#This Row],[24Final]])/Inventory[[#This Row],[24Final]]</f>
        <v>2.9238266222108233E-2</v>
      </c>
      <c r="BE201" s="30">
        <f>VLOOKUP(Inventory[[#This Row],[Nbhd]],Lookups!$M$3:$P$5,4,FALSE)</f>
        <v>0.99970000000000003</v>
      </c>
      <c r="BF201" s="30">
        <f>VLOOKUP(Inventory[[#This Row],[Qlty]],Lookups!$M$8:$P$22,4,FALSE)</f>
        <v>1.0019</v>
      </c>
      <c r="BG201" s="30">
        <f>VLOOKUP(Inventory[[#This Row],[Cnd]],Lookups!$R$8:$U$17,4,FALSE)</f>
        <v>1.0007999999999999</v>
      </c>
      <c r="BH201" s="30">
        <f>VLOOKUP(Inventory[[#This Row],[LivArea Range]],Lookups!$R$25:$U$43,4,FALSE)</f>
        <v>1.0007999999999999</v>
      </c>
      <c r="BI201" s="30">
        <f>VLOOKUP(Inventory[[#This Row],[Decade]],Lookups!$M$24:$P$40,4,FALSE)</f>
        <v>1</v>
      </c>
      <c r="BJ201" s="30">
        <f>Inventory[[#This Row],[Nbhd Adj]]*0.95</f>
        <v>0.94971499999999998</v>
      </c>
      <c r="BK201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201" s="30">
        <f>ROUND((SUM(Inventory[[#This Row],[Mdl Qlty]:[Mdl Garage Area]])+Inventory[[#This Row],[Mdl Res Intercept]])*Inventory[[#This Row],[Res Adj ]],-2)</f>
        <v>320100</v>
      </c>
      <c r="BM201" s="30">
        <f>ROUND(Inventory[[#This Row],[25Det]]*Inventory[[#This Row],[Det/Nbhd Adj]],-2)</f>
        <v>0</v>
      </c>
      <c r="BN201" s="30">
        <f>Inventory[[#This Row],[Adjusted Res]]+Inventory[[#This Row],[Adj Det ]]</f>
        <v>320100</v>
      </c>
      <c r="BO201" s="30">
        <f>ROUND((Inventory[[#This Row],[Mdl Land Intercept]]+Inventory[[#This Row],[Mdl LnAcres]])*Inventory[[#This Row],[Det/Nbhd Adj]],-2)</f>
        <v>61300</v>
      </c>
      <c r="BP201" s="30">
        <f>Inventory[[#This Row],[Adjusted Impr Total]]+Inventory[[#This Row],[Adjusted Land Total]]</f>
        <v>381400</v>
      </c>
      <c r="BQ201" s="30">
        <f>IFERROR((Inventory[[#This Row],[Adjusted Impr Total]]-Inventory[[#This Row],[24Bldg]])/Inventory[[#This Row],[24Bldg]],0)</f>
        <v>-2.7347310847766638E-2</v>
      </c>
      <c r="BR201" s="43">
        <f>(Inventory[[#This Row],[Adjusted Land Total]]-Inventory[[#This Row],[24Lnd]])/Inventory[[#This Row],[24Lnd]]</f>
        <v>8.2236842105263153E-3</v>
      </c>
      <c r="BS201" s="43">
        <f>(Inventory[[#This Row],[Adjusted Total]]-Inventory[[#This Row],[24Final]])/Inventory[[#This Row],[24Final]]</f>
        <v>-2.1800461656835086E-2</v>
      </c>
    </row>
    <row r="202" spans="1:71">
      <c r="A202" s="30">
        <v>2025</v>
      </c>
      <c r="B202" s="31" t="s">
        <v>711</v>
      </c>
      <c r="C202" s="31">
        <f>LN(Inventory[[#This Row],[Acres]])</f>
        <v>-1.8140050781753747</v>
      </c>
      <c r="D202" s="37">
        <f>ROUND(Inventory[[#This Row],[Sqft]]/43560,3)</f>
        <v>0.16300000000000001</v>
      </c>
      <c r="E202" s="30">
        <v>7100</v>
      </c>
      <c r="F202" s="31" t="s">
        <v>505</v>
      </c>
      <c r="G202" s="31" t="s">
        <v>155</v>
      </c>
      <c r="H202" s="31" t="s">
        <v>5</v>
      </c>
      <c r="I202" s="31" t="s">
        <v>506</v>
      </c>
      <c r="J202" s="31" t="s">
        <v>507</v>
      </c>
      <c r="K202" s="31" t="s">
        <v>330</v>
      </c>
      <c r="L202" s="31" t="s">
        <v>19</v>
      </c>
      <c r="M202" s="31" t="s">
        <v>22</v>
      </c>
      <c r="N202" s="31">
        <v>0</v>
      </c>
      <c r="O202" s="31">
        <f>2024-Inventory[[#This Row],[YrBlt]]</f>
        <v>5</v>
      </c>
      <c r="P202" s="31">
        <f>2024-Inventory[[#This Row],[EffYr]]</f>
        <v>5</v>
      </c>
      <c r="Q202" s="30">
        <v>2019</v>
      </c>
      <c r="R202" s="30">
        <v>2019</v>
      </c>
      <c r="S202" s="30">
        <v>1529</v>
      </c>
      <c r="T202" s="32"/>
      <c r="U202" s="32"/>
      <c r="V202" s="32"/>
      <c r="W202" s="32"/>
      <c r="X202" s="32">
        <f>Inventory[[#This Row],[Bsmt Area]]-Inventory[[#This Row],[FnBsmt]]</f>
        <v>0</v>
      </c>
      <c r="Y202" s="32">
        <f>Inventory[[#This Row],[MainFn]]+Inventory[[#This Row],[UpprFn]]+Inventory[[#This Row],[AddFn]]+Inventory[[#This Row],[FnBsmt]]</f>
        <v>1529</v>
      </c>
      <c r="Z202" s="32">
        <v>2000</v>
      </c>
      <c r="AA202" s="31" t="s">
        <v>56</v>
      </c>
      <c r="AB202" s="32"/>
      <c r="AC202" s="30">
        <v>441</v>
      </c>
      <c r="AD202" s="32"/>
      <c r="AE202" s="32"/>
      <c r="AF202" s="32"/>
      <c r="AG202" s="32"/>
      <c r="AH202" s="32"/>
      <c r="AI202" s="30">
        <v>300947</v>
      </c>
      <c r="AJ202" s="30">
        <v>288909</v>
      </c>
      <c r="AK202" s="30">
        <v>0</v>
      </c>
      <c r="AL202" s="30">
        <v>0</v>
      </c>
      <c r="AM202" s="30">
        <v>60800</v>
      </c>
      <c r="AN202" s="30">
        <v>321600</v>
      </c>
      <c r="AO202" s="30">
        <v>382400</v>
      </c>
      <c r="AP202" s="30">
        <f>Lookups!$B$58*0.6</f>
        <v>132535.48800000001</v>
      </c>
      <c r="AQ202" s="30">
        <f>Lookups!$B$58*0.4</f>
        <v>88356.992000000013</v>
      </c>
      <c r="AR202" s="30">
        <f>Lookups!$B$59*Inventory[[#This Row],[LnAcres]]</f>
        <v>-23807.584941603713</v>
      </c>
      <c r="AS202" s="30">
        <f>VLOOKUP(Inventory[[#This Row],[Qlty]],Lookups!$A$66:$E$79,2,FALSE)</f>
        <v>37154.252388000001</v>
      </c>
      <c r="AT202" s="30">
        <f>VLOOKUP(Inventory[[#This Row],[Cnd]],Lookups!$A$80:$E$88,2,FALSE)</f>
        <v>50438.379078999998</v>
      </c>
      <c r="AU202" s="30">
        <f>Inventory[[#This Row],[EffAge]]*Lookups!$B$65</f>
        <v>-543.70550000000003</v>
      </c>
      <c r="AV202" s="30">
        <f>Inventory[[#This Row],[MainFn]]*Lookups!$B$90</f>
        <v>95425.471020000012</v>
      </c>
      <c r="AW202" s="30">
        <f>Inventory[[#This Row],[UpprFn]]*Lookups!$B$91</f>
        <v>0</v>
      </c>
      <c r="AX202" s="30">
        <f>Inventory[[#This Row],[Bsmt Area]]*Lookups!$B$95</f>
        <v>0</v>
      </c>
      <c r="AY202" s="30">
        <f>Inventory[[#This Row],[AttGar]]*Lookups!$B$93</f>
        <v>15567.754671000001</v>
      </c>
      <c r="AZ202" s="30">
        <f>ROUND(Inventory[[#This Row],[25Det]],-2)</f>
        <v>0</v>
      </c>
      <c r="BA202" s="30">
        <f>ROUND(SUM(Inventory[[#This Row],[Mdl Qlty]:[Mdl Garage Area]])+Inventory[[#This Row],[Mdl Res Intercept]],-2)</f>
        <v>330600</v>
      </c>
      <c r="BB202" s="30">
        <f>ROUND(Inventory[[#This Row],[Mdl Land Intercept]]+Inventory[[#This Row],[Mdl LnAcres]],-2)</f>
        <v>64500</v>
      </c>
      <c r="BC202" s="30">
        <f>Inventory[[#This Row],[Unadj Res Value]]+Inventory[[#This Row],[Unadj Det Value]]+Inventory[[#This Row],[Unadj Land Value]]</f>
        <v>395100</v>
      </c>
      <c r="BD202" s="30">
        <f>(Inventory[[#This Row],[Unadj Total Value]]-Inventory[[#This Row],[24Final]])/Inventory[[#This Row],[24Final]]</f>
        <v>3.3211297071129707E-2</v>
      </c>
      <c r="BE202" s="30">
        <f>VLOOKUP(Inventory[[#This Row],[Nbhd]],Lookups!$M$3:$P$5,4,FALSE)</f>
        <v>0.99970000000000003</v>
      </c>
      <c r="BF202" s="30">
        <f>VLOOKUP(Inventory[[#This Row],[Qlty]],Lookups!$M$8:$P$22,4,FALSE)</f>
        <v>0.99819999999999998</v>
      </c>
      <c r="BG202" s="30">
        <f>VLOOKUP(Inventory[[#This Row],[Cnd]],Lookups!$R$8:$U$17,4,FALSE)</f>
        <v>1.0007999999999999</v>
      </c>
      <c r="BH202" s="30">
        <f>VLOOKUP(Inventory[[#This Row],[LivArea Range]],Lookups!$R$25:$U$43,4,FALSE)</f>
        <v>1.0007999999999999</v>
      </c>
      <c r="BI202" s="30">
        <f>VLOOKUP(Inventory[[#This Row],[Decade]],Lookups!$M$24:$P$40,4,FALSE)</f>
        <v>1</v>
      </c>
      <c r="BJ202" s="30">
        <f>Inventory[[#This Row],[Nbhd Adj]]*0.95</f>
        <v>0.94971499999999998</v>
      </c>
      <c r="BK202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202" s="30">
        <f>ROUND((SUM(Inventory[[#This Row],[Mdl Qlty]:[Mdl Garage Area]])+Inventory[[#This Row],[Mdl Res Intercept]])*Inventory[[#This Row],[Res Adj ]],-2)</f>
        <v>314000</v>
      </c>
      <c r="BM202" s="30">
        <f>ROUND(Inventory[[#This Row],[25Det]]*Inventory[[#This Row],[Det/Nbhd Adj]],-2)</f>
        <v>0</v>
      </c>
      <c r="BN202" s="30">
        <f>Inventory[[#This Row],[Adjusted Res]]+Inventory[[#This Row],[Adj Det ]]</f>
        <v>314000</v>
      </c>
      <c r="BO202" s="30">
        <f>ROUND((Inventory[[#This Row],[Mdl Land Intercept]]+Inventory[[#This Row],[Mdl LnAcres]])*Inventory[[#This Row],[Det/Nbhd Adj]],-2)</f>
        <v>61300</v>
      </c>
      <c r="BP202" s="30">
        <f>Inventory[[#This Row],[Adjusted Impr Total]]+Inventory[[#This Row],[Adjusted Land Total]]</f>
        <v>375300</v>
      </c>
      <c r="BQ202" s="30">
        <f>IFERROR((Inventory[[#This Row],[Adjusted Impr Total]]-Inventory[[#This Row],[24Bldg]])/Inventory[[#This Row],[24Bldg]],0)</f>
        <v>-2.36318407960199E-2</v>
      </c>
      <c r="BR202" s="43">
        <f>(Inventory[[#This Row],[Adjusted Land Total]]-Inventory[[#This Row],[24Lnd]])/Inventory[[#This Row],[24Lnd]]</f>
        <v>8.2236842105263153E-3</v>
      </c>
      <c r="BS202" s="43">
        <f>(Inventory[[#This Row],[Adjusted Total]]-Inventory[[#This Row],[24Final]])/Inventory[[#This Row],[24Final]]</f>
        <v>-1.8566945606694561E-2</v>
      </c>
    </row>
    <row r="203" spans="1:71">
      <c r="A203" s="30">
        <v>2025</v>
      </c>
      <c r="B203" s="31" t="s">
        <v>712</v>
      </c>
      <c r="C203" s="31">
        <f>LN(Inventory[[#This Row],[Acres]])</f>
        <v>-1.8140050781753747</v>
      </c>
      <c r="D203" s="37">
        <f>ROUND(Inventory[[#This Row],[Sqft]]/43560,3)</f>
        <v>0.16300000000000001</v>
      </c>
      <c r="E203" s="38">
        <v>7100</v>
      </c>
      <c r="F203" s="31" t="s">
        <v>505</v>
      </c>
      <c r="G203" s="31" t="s">
        <v>155</v>
      </c>
      <c r="H203" s="31" t="s">
        <v>5</v>
      </c>
      <c r="I203" s="31" t="s">
        <v>506</v>
      </c>
      <c r="J203" s="31" t="s">
        <v>507</v>
      </c>
      <c r="K203" s="31" t="s">
        <v>330</v>
      </c>
      <c r="L203" s="31" t="s">
        <v>19</v>
      </c>
      <c r="M203" s="31" t="s">
        <v>22</v>
      </c>
      <c r="N203" s="31">
        <v>0</v>
      </c>
      <c r="O203" s="31">
        <f>2024-Inventory[[#This Row],[YrBlt]]</f>
        <v>5</v>
      </c>
      <c r="P203" s="31">
        <f>2024-Inventory[[#This Row],[EffYr]]</f>
        <v>5</v>
      </c>
      <c r="Q203" s="30">
        <v>2019</v>
      </c>
      <c r="R203" s="30">
        <v>2019</v>
      </c>
      <c r="S203" s="30">
        <v>1550</v>
      </c>
      <c r="T203" s="32"/>
      <c r="U203" s="32"/>
      <c r="V203" s="32"/>
      <c r="W203" s="32"/>
      <c r="X203" s="32">
        <f>Inventory[[#This Row],[Bsmt Area]]-Inventory[[#This Row],[FnBsmt]]</f>
        <v>0</v>
      </c>
      <c r="Y203" s="32">
        <f>Inventory[[#This Row],[MainFn]]+Inventory[[#This Row],[UpprFn]]+Inventory[[#This Row],[AddFn]]+Inventory[[#This Row],[FnBsmt]]</f>
        <v>1550</v>
      </c>
      <c r="Z203" s="32">
        <v>2000</v>
      </c>
      <c r="AA203" s="31" t="s">
        <v>56</v>
      </c>
      <c r="AB203" s="32"/>
      <c r="AC203" s="38">
        <v>420</v>
      </c>
      <c r="AD203" s="32"/>
      <c r="AE203" s="32"/>
      <c r="AF203" s="32"/>
      <c r="AG203" s="32"/>
      <c r="AH203" s="32"/>
      <c r="AI203" s="30">
        <v>300270</v>
      </c>
      <c r="AJ203" s="30">
        <v>288259</v>
      </c>
      <c r="AK203" s="30">
        <v>0</v>
      </c>
      <c r="AL203" s="30">
        <v>0</v>
      </c>
      <c r="AM203" s="30">
        <v>60800</v>
      </c>
      <c r="AN203" s="30">
        <v>319400</v>
      </c>
      <c r="AO203" s="30">
        <v>380200</v>
      </c>
      <c r="AP203" s="30">
        <f>Lookups!$B$58*0.6</f>
        <v>132535.48800000001</v>
      </c>
      <c r="AQ203" s="30">
        <f>Lookups!$B$58*0.4</f>
        <v>88356.992000000013</v>
      </c>
      <c r="AR203" s="30">
        <f>Lookups!$B$59*Inventory[[#This Row],[LnAcres]]</f>
        <v>-23807.584941603713</v>
      </c>
      <c r="AS203" s="30">
        <f>VLOOKUP(Inventory[[#This Row],[Qlty]],Lookups!$A$66:$E$79,2,FALSE)</f>
        <v>37154.252388000001</v>
      </c>
      <c r="AT203" s="30">
        <f>VLOOKUP(Inventory[[#This Row],[Cnd]],Lookups!$A$80:$E$88,2,FALSE)</f>
        <v>50438.379078999998</v>
      </c>
      <c r="AU203" s="30">
        <f>Inventory[[#This Row],[EffAge]]*Lookups!$B$65</f>
        <v>-543.70550000000003</v>
      </c>
      <c r="AV203" s="30">
        <f>Inventory[[#This Row],[MainFn]]*Lookups!$B$90</f>
        <v>96736.089000000007</v>
      </c>
      <c r="AW203" s="30">
        <f>Inventory[[#This Row],[UpprFn]]*Lookups!$B$91</f>
        <v>0</v>
      </c>
      <c r="AX203" s="30">
        <f>Inventory[[#This Row],[Bsmt Area]]*Lookups!$B$95</f>
        <v>0</v>
      </c>
      <c r="AY203" s="30">
        <f>Inventory[[#This Row],[AttGar]]*Lookups!$B$93</f>
        <v>14826.43302</v>
      </c>
      <c r="AZ203" s="30">
        <f>ROUND(Inventory[[#This Row],[25Det]],-2)</f>
        <v>0</v>
      </c>
      <c r="BA203" s="30">
        <f>ROUND(SUM(Inventory[[#This Row],[Mdl Qlty]:[Mdl Garage Area]])+Inventory[[#This Row],[Mdl Res Intercept]],-2)</f>
        <v>331100</v>
      </c>
      <c r="BB203" s="30">
        <f>ROUND(Inventory[[#This Row],[Mdl Land Intercept]]+Inventory[[#This Row],[Mdl LnAcres]],-2)</f>
        <v>64500</v>
      </c>
      <c r="BC203" s="30">
        <f>Inventory[[#This Row],[Unadj Res Value]]+Inventory[[#This Row],[Unadj Det Value]]+Inventory[[#This Row],[Unadj Land Value]]</f>
        <v>395600</v>
      </c>
      <c r="BD203" s="30">
        <f>(Inventory[[#This Row],[Unadj Total Value]]-Inventory[[#This Row],[24Final]])/Inventory[[#This Row],[24Final]]</f>
        <v>4.0504997369805368E-2</v>
      </c>
      <c r="BE203" s="30">
        <f>VLOOKUP(Inventory[[#This Row],[Nbhd]],Lookups!$M$3:$P$5,4,FALSE)</f>
        <v>0.99970000000000003</v>
      </c>
      <c r="BF203" s="30">
        <f>VLOOKUP(Inventory[[#This Row],[Qlty]],Lookups!$M$8:$P$22,4,FALSE)</f>
        <v>0.99819999999999998</v>
      </c>
      <c r="BG203" s="30">
        <f>VLOOKUP(Inventory[[#This Row],[Cnd]],Lookups!$R$8:$U$17,4,FALSE)</f>
        <v>1.0007999999999999</v>
      </c>
      <c r="BH203" s="30">
        <f>VLOOKUP(Inventory[[#This Row],[LivArea Range]],Lookups!$R$25:$U$43,4,FALSE)</f>
        <v>1.0007999999999999</v>
      </c>
      <c r="BI203" s="30">
        <f>VLOOKUP(Inventory[[#This Row],[Decade]],Lookups!$M$24:$P$40,4,FALSE)</f>
        <v>1</v>
      </c>
      <c r="BJ203" s="30">
        <f>Inventory[[#This Row],[Nbhd Adj]]*0.95</f>
        <v>0.94971499999999998</v>
      </c>
      <c r="BK203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203" s="30">
        <f>ROUND((SUM(Inventory[[#This Row],[Mdl Qlty]:[Mdl Garage Area]])+Inventory[[#This Row],[Mdl Res Intercept]])*Inventory[[#This Row],[Res Adj ]],-2)</f>
        <v>314600</v>
      </c>
      <c r="BM203" s="30">
        <f>ROUND(Inventory[[#This Row],[25Det]]*Inventory[[#This Row],[Det/Nbhd Adj]],-2)</f>
        <v>0</v>
      </c>
      <c r="BN203" s="30">
        <f>Inventory[[#This Row],[Adjusted Res]]+Inventory[[#This Row],[Adj Det ]]</f>
        <v>314600</v>
      </c>
      <c r="BO203" s="30">
        <f>ROUND((Inventory[[#This Row],[Mdl Land Intercept]]+Inventory[[#This Row],[Mdl LnAcres]])*Inventory[[#This Row],[Det/Nbhd Adj]],-2)</f>
        <v>61300</v>
      </c>
      <c r="BP203" s="30">
        <f>Inventory[[#This Row],[Adjusted Impr Total]]+Inventory[[#This Row],[Adjusted Land Total]]</f>
        <v>375900</v>
      </c>
      <c r="BQ203" s="30">
        <f>IFERROR((Inventory[[#This Row],[Adjusted Impr Total]]-Inventory[[#This Row],[24Bldg]])/Inventory[[#This Row],[24Bldg]],0)</f>
        <v>-1.5028177833437696E-2</v>
      </c>
      <c r="BR203" s="43">
        <f>(Inventory[[#This Row],[Adjusted Land Total]]-Inventory[[#This Row],[24Lnd]])/Inventory[[#This Row],[24Lnd]]</f>
        <v>8.2236842105263153E-3</v>
      </c>
      <c r="BS203" s="43">
        <f>(Inventory[[#This Row],[Adjusted Total]]-Inventory[[#This Row],[24Final]])/Inventory[[#This Row],[24Final]]</f>
        <v>-1.1309836927932667E-2</v>
      </c>
    </row>
    <row r="204" spans="1:71">
      <c r="A204" s="30">
        <v>2025</v>
      </c>
      <c r="B204" s="31" t="s">
        <v>713</v>
      </c>
      <c r="C204" s="31">
        <f>LN(Inventory[[#This Row],[Acres]])</f>
        <v>-1.8140050781753747</v>
      </c>
      <c r="D204" s="37">
        <f>ROUND(Inventory[[#This Row],[Sqft]]/43560,3)</f>
        <v>0.16300000000000001</v>
      </c>
      <c r="E204" s="30">
        <v>7100</v>
      </c>
      <c r="F204" s="31" t="s">
        <v>505</v>
      </c>
      <c r="G204" s="31" t="s">
        <v>155</v>
      </c>
      <c r="H204" s="31" t="s">
        <v>5</v>
      </c>
      <c r="I204" s="31" t="s">
        <v>506</v>
      </c>
      <c r="J204" s="31" t="s">
        <v>507</v>
      </c>
      <c r="K204" s="31" t="s">
        <v>330</v>
      </c>
      <c r="L204" s="31" t="s">
        <v>21</v>
      </c>
      <c r="M204" s="31" t="s">
        <v>22</v>
      </c>
      <c r="N204" s="31">
        <v>0</v>
      </c>
      <c r="O204" s="31">
        <f>2024-Inventory[[#This Row],[YrBlt]]</f>
        <v>5</v>
      </c>
      <c r="P204" s="31">
        <f>2024-Inventory[[#This Row],[EffYr]]</f>
        <v>5</v>
      </c>
      <c r="Q204" s="30">
        <v>2019</v>
      </c>
      <c r="R204" s="30">
        <v>2019</v>
      </c>
      <c r="S204" s="30">
        <v>1848</v>
      </c>
      <c r="T204" s="32"/>
      <c r="U204" s="32"/>
      <c r="V204" s="32"/>
      <c r="W204" s="32"/>
      <c r="X204" s="32">
        <f>Inventory[[#This Row],[Bsmt Area]]-Inventory[[#This Row],[FnBsmt]]</f>
        <v>0</v>
      </c>
      <c r="Y204" s="32">
        <f>Inventory[[#This Row],[MainFn]]+Inventory[[#This Row],[UpprFn]]+Inventory[[#This Row],[AddFn]]+Inventory[[#This Row],[FnBsmt]]</f>
        <v>1848</v>
      </c>
      <c r="Z204" s="32">
        <v>2000</v>
      </c>
      <c r="AA204" s="31" t="s">
        <v>56</v>
      </c>
      <c r="AB204" s="38">
        <v>1</v>
      </c>
      <c r="AC204" s="30">
        <v>668</v>
      </c>
      <c r="AD204" s="32"/>
      <c r="AE204" s="32"/>
      <c r="AF204" s="32"/>
      <c r="AG204" s="32"/>
      <c r="AH204" s="32"/>
      <c r="AI204" s="30">
        <v>404278</v>
      </c>
      <c r="AJ204" s="30">
        <v>388107</v>
      </c>
      <c r="AK204" s="30">
        <v>0</v>
      </c>
      <c r="AL204" s="30">
        <v>0</v>
      </c>
      <c r="AM204" s="30">
        <v>60800</v>
      </c>
      <c r="AN204" s="30">
        <v>342100</v>
      </c>
      <c r="AO204" s="30">
        <v>402900</v>
      </c>
      <c r="AP204" s="30">
        <f>Lookups!$B$58*0.6</f>
        <v>132535.48800000001</v>
      </c>
      <c r="AQ204" s="30">
        <f>Lookups!$B$58*0.4</f>
        <v>88356.992000000013</v>
      </c>
      <c r="AR204" s="30">
        <f>Lookups!$B$59*Inventory[[#This Row],[LnAcres]]</f>
        <v>-23807.584941603713</v>
      </c>
      <c r="AS204" s="30">
        <f>VLOOKUP(Inventory[[#This Row],[Qlty]],Lookups!$A$66:$E$79,2,FALSE)</f>
        <v>32917.849192000001</v>
      </c>
      <c r="AT204" s="30">
        <f>VLOOKUP(Inventory[[#This Row],[Cnd]],Lookups!$A$80:$E$88,2,FALSE)</f>
        <v>50438.379078999998</v>
      </c>
      <c r="AU204" s="30">
        <f>Inventory[[#This Row],[EffAge]]*Lookups!$B$65</f>
        <v>-543.70550000000003</v>
      </c>
      <c r="AV204" s="30">
        <f>Inventory[[#This Row],[MainFn]]*Lookups!$B$90</f>
        <v>115334.38224000001</v>
      </c>
      <c r="AW204" s="30">
        <f>Inventory[[#This Row],[UpprFn]]*Lookups!$B$91</f>
        <v>0</v>
      </c>
      <c r="AX204" s="30">
        <f>Inventory[[#This Row],[Bsmt Area]]*Lookups!$B$95</f>
        <v>0</v>
      </c>
      <c r="AY204" s="30">
        <f>Inventory[[#This Row],[AttGar]]*Lookups!$B$93</f>
        <v>23581.088708000003</v>
      </c>
      <c r="AZ204" s="30">
        <f>ROUND(Inventory[[#This Row],[25Det]],-2)</f>
        <v>0</v>
      </c>
      <c r="BA204" s="30">
        <f>ROUND(SUM(Inventory[[#This Row],[Mdl Qlty]:[Mdl Garage Area]])+Inventory[[#This Row],[Mdl Res Intercept]],-2)</f>
        <v>354300</v>
      </c>
      <c r="BB204" s="30">
        <f>ROUND(Inventory[[#This Row],[Mdl Land Intercept]]+Inventory[[#This Row],[Mdl LnAcres]],-2)</f>
        <v>64500</v>
      </c>
      <c r="BC204" s="30">
        <f>Inventory[[#This Row],[Unadj Res Value]]+Inventory[[#This Row],[Unadj Det Value]]+Inventory[[#This Row],[Unadj Land Value]]</f>
        <v>418800</v>
      </c>
      <c r="BD204" s="30">
        <f>(Inventory[[#This Row],[Unadj Total Value]]-Inventory[[#This Row],[24Final]])/Inventory[[#This Row],[24Final]]</f>
        <v>3.9463886820551006E-2</v>
      </c>
      <c r="BE204" s="30">
        <f>VLOOKUP(Inventory[[#This Row],[Nbhd]],Lookups!$M$3:$P$5,4,FALSE)</f>
        <v>0.99970000000000003</v>
      </c>
      <c r="BF204" s="30">
        <f>VLOOKUP(Inventory[[#This Row],[Qlty]],Lookups!$M$8:$P$22,4,FALSE)</f>
        <v>1.0019</v>
      </c>
      <c r="BG204" s="30">
        <f>VLOOKUP(Inventory[[#This Row],[Cnd]],Lookups!$R$8:$U$17,4,FALSE)</f>
        <v>1.0007999999999999</v>
      </c>
      <c r="BH204" s="30">
        <f>VLOOKUP(Inventory[[#This Row],[LivArea Range]],Lookups!$R$25:$U$43,4,FALSE)</f>
        <v>1.0007999999999999</v>
      </c>
      <c r="BI204" s="30">
        <f>VLOOKUP(Inventory[[#This Row],[Decade]],Lookups!$M$24:$P$40,4,FALSE)</f>
        <v>1</v>
      </c>
      <c r="BJ204" s="30">
        <f>Inventory[[#This Row],[Nbhd Adj]]*0.95</f>
        <v>0.94971499999999998</v>
      </c>
      <c r="BK204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204" s="30">
        <f>ROUND((SUM(Inventory[[#This Row],[Mdl Qlty]:[Mdl Garage Area]])+Inventory[[#This Row],[Mdl Res Intercept]])*Inventory[[#This Row],[Res Adj ]],-2)</f>
        <v>336800</v>
      </c>
      <c r="BM204" s="30">
        <f>ROUND(Inventory[[#This Row],[25Det]]*Inventory[[#This Row],[Det/Nbhd Adj]],-2)</f>
        <v>0</v>
      </c>
      <c r="BN204" s="30">
        <f>Inventory[[#This Row],[Adjusted Res]]+Inventory[[#This Row],[Adj Det ]]</f>
        <v>336800</v>
      </c>
      <c r="BO204" s="30">
        <f>ROUND((Inventory[[#This Row],[Mdl Land Intercept]]+Inventory[[#This Row],[Mdl LnAcres]])*Inventory[[#This Row],[Det/Nbhd Adj]],-2)</f>
        <v>61300</v>
      </c>
      <c r="BP204" s="30">
        <f>Inventory[[#This Row],[Adjusted Impr Total]]+Inventory[[#This Row],[Adjusted Land Total]]</f>
        <v>398100</v>
      </c>
      <c r="BQ204" s="30">
        <f>IFERROR((Inventory[[#This Row],[Adjusted Impr Total]]-Inventory[[#This Row],[24Bldg]])/Inventory[[#This Row],[24Bldg]],0)</f>
        <v>-1.5492546039169833E-2</v>
      </c>
      <c r="BR204" s="43">
        <f>(Inventory[[#This Row],[Adjusted Land Total]]-Inventory[[#This Row],[24Lnd]])/Inventory[[#This Row],[24Lnd]]</f>
        <v>8.2236842105263153E-3</v>
      </c>
      <c r="BS204" s="43">
        <f>(Inventory[[#This Row],[Adjusted Total]]-Inventory[[#This Row],[24Final]])/Inventory[[#This Row],[24Final]]</f>
        <v>-1.1913626209977662E-2</v>
      </c>
    </row>
    <row r="205" spans="1:71">
      <c r="A205" s="30">
        <v>2025</v>
      </c>
      <c r="B205" s="31" t="s">
        <v>714</v>
      </c>
      <c r="C205" s="31">
        <f>LN(Inventory[[#This Row],[Acres]])</f>
        <v>-1.8140050781753747</v>
      </c>
      <c r="D205" s="37">
        <f>ROUND(Inventory[[#This Row],[Sqft]]/43560,3)</f>
        <v>0.16300000000000001</v>
      </c>
      <c r="E205" s="30">
        <v>7100</v>
      </c>
      <c r="F205" s="31" t="s">
        <v>505</v>
      </c>
      <c r="G205" s="31" t="s">
        <v>155</v>
      </c>
      <c r="H205" s="31" t="s">
        <v>5</v>
      </c>
      <c r="I205" s="31" t="s">
        <v>506</v>
      </c>
      <c r="J205" s="31" t="s">
        <v>507</v>
      </c>
      <c r="K205" s="31" t="s">
        <v>330</v>
      </c>
      <c r="L205" s="31" t="s">
        <v>19</v>
      </c>
      <c r="M205" s="31" t="s">
        <v>22</v>
      </c>
      <c r="N205" s="31">
        <v>0</v>
      </c>
      <c r="O205" s="31">
        <f>2024-Inventory[[#This Row],[YrBlt]]</f>
        <v>5</v>
      </c>
      <c r="P205" s="31">
        <f>2024-Inventory[[#This Row],[EffYr]]</f>
        <v>5</v>
      </c>
      <c r="Q205" s="30">
        <v>2019</v>
      </c>
      <c r="R205" s="30">
        <v>2019</v>
      </c>
      <c r="S205" s="30">
        <v>1760</v>
      </c>
      <c r="T205" s="32"/>
      <c r="U205" s="32"/>
      <c r="V205" s="32"/>
      <c r="W205" s="32"/>
      <c r="X205" s="32">
        <f>Inventory[[#This Row],[Bsmt Area]]-Inventory[[#This Row],[FnBsmt]]</f>
        <v>0</v>
      </c>
      <c r="Y205" s="32">
        <f>Inventory[[#This Row],[MainFn]]+Inventory[[#This Row],[UpprFn]]+Inventory[[#This Row],[AddFn]]+Inventory[[#This Row],[FnBsmt]]</f>
        <v>1760</v>
      </c>
      <c r="Z205" s="32">
        <v>2000</v>
      </c>
      <c r="AA205" s="31" t="s">
        <v>56</v>
      </c>
      <c r="AB205" s="32"/>
      <c r="AC205" s="30">
        <v>420</v>
      </c>
      <c r="AD205" s="32"/>
      <c r="AE205" s="32"/>
      <c r="AF205" s="32"/>
      <c r="AG205" s="32"/>
      <c r="AH205" s="32"/>
      <c r="AI205" s="30">
        <v>333987</v>
      </c>
      <c r="AJ205" s="30">
        <v>320628</v>
      </c>
      <c r="AK205" s="30">
        <v>0</v>
      </c>
      <c r="AL205" s="30">
        <v>0</v>
      </c>
      <c r="AM205" s="30">
        <v>60800</v>
      </c>
      <c r="AN205" s="30">
        <v>331200</v>
      </c>
      <c r="AO205" s="30">
        <v>392000</v>
      </c>
      <c r="AP205" s="30">
        <f>Lookups!$B$58*0.6</f>
        <v>132535.48800000001</v>
      </c>
      <c r="AQ205" s="30">
        <f>Lookups!$B$58*0.4</f>
        <v>88356.992000000013</v>
      </c>
      <c r="AR205" s="30">
        <f>Lookups!$B$59*Inventory[[#This Row],[LnAcres]]</f>
        <v>-23807.584941603713</v>
      </c>
      <c r="AS205" s="30">
        <f>VLOOKUP(Inventory[[#This Row],[Qlty]],Lookups!$A$66:$E$79,2,FALSE)</f>
        <v>37154.252388000001</v>
      </c>
      <c r="AT205" s="30">
        <f>VLOOKUP(Inventory[[#This Row],[Cnd]],Lookups!$A$80:$E$88,2,FALSE)</f>
        <v>50438.379078999998</v>
      </c>
      <c r="AU205" s="30">
        <f>Inventory[[#This Row],[EffAge]]*Lookups!$B$65</f>
        <v>-543.70550000000003</v>
      </c>
      <c r="AV205" s="30">
        <f>Inventory[[#This Row],[MainFn]]*Lookups!$B$90</f>
        <v>109842.26880000001</v>
      </c>
      <c r="AW205" s="30">
        <f>Inventory[[#This Row],[UpprFn]]*Lookups!$B$91</f>
        <v>0</v>
      </c>
      <c r="AX205" s="30">
        <f>Inventory[[#This Row],[Bsmt Area]]*Lookups!$B$95</f>
        <v>0</v>
      </c>
      <c r="AY205" s="30">
        <f>Inventory[[#This Row],[AttGar]]*Lookups!$B$93</f>
        <v>14826.43302</v>
      </c>
      <c r="AZ205" s="30">
        <f>ROUND(Inventory[[#This Row],[25Det]],-2)</f>
        <v>0</v>
      </c>
      <c r="BA205" s="30">
        <f>ROUND(SUM(Inventory[[#This Row],[Mdl Qlty]:[Mdl Garage Area]])+Inventory[[#This Row],[Mdl Res Intercept]],-2)</f>
        <v>344300</v>
      </c>
      <c r="BB205" s="30">
        <f>ROUND(Inventory[[#This Row],[Mdl Land Intercept]]+Inventory[[#This Row],[Mdl LnAcres]],-2)</f>
        <v>64500</v>
      </c>
      <c r="BC205" s="30">
        <f>Inventory[[#This Row],[Unadj Res Value]]+Inventory[[#This Row],[Unadj Det Value]]+Inventory[[#This Row],[Unadj Land Value]]</f>
        <v>408800</v>
      </c>
      <c r="BD205" s="30">
        <f>(Inventory[[#This Row],[Unadj Total Value]]-Inventory[[#This Row],[24Final]])/Inventory[[#This Row],[24Final]]</f>
        <v>4.2857142857142858E-2</v>
      </c>
      <c r="BE205" s="30">
        <f>VLOOKUP(Inventory[[#This Row],[Nbhd]],Lookups!$M$3:$P$5,4,FALSE)</f>
        <v>0.99970000000000003</v>
      </c>
      <c r="BF205" s="30">
        <f>VLOOKUP(Inventory[[#This Row],[Qlty]],Lookups!$M$8:$P$22,4,FALSE)</f>
        <v>0.99819999999999998</v>
      </c>
      <c r="BG205" s="30">
        <f>VLOOKUP(Inventory[[#This Row],[Cnd]],Lookups!$R$8:$U$17,4,FALSE)</f>
        <v>1.0007999999999999</v>
      </c>
      <c r="BH205" s="30">
        <f>VLOOKUP(Inventory[[#This Row],[LivArea Range]],Lookups!$R$25:$U$43,4,FALSE)</f>
        <v>1.0007999999999999</v>
      </c>
      <c r="BI205" s="30">
        <f>VLOOKUP(Inventory[[#This Row],[Decade]],Lookups!$M$24:$P$40,4,FALSE)</f>
        <v>1</v>
      </c>
      <c r="BJ205" s="30">
        <f>Inventory[[#This Row],[Nbhd Adj]]*0.95</f>
        <v>0.94971499999999998</v>
      </c>
      <c r="BK205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205" s="30">
        <f>ROUND((SUM(Inventory[[#This Row],[Mdl Qlty]:[Mdl Garage Area]])+Inventory[[#This Row],[Mdl Res Intercept]])*Inventory[[#This Row],[Res Adj ]],-2)</f>
        <v>327000</v>
      </c>
      <c r="BM205" s="30">
        <f>ROUND(Inventory[[#This Row],[25Det]]*Inventory[[#This Row],[Det/Nbhd Adj]],-2)</f>
        <v>0</v>
      </c>
      <c r="BN205" s="30">
        <f>Inventory[[#This Row],[Adjusted Res]]+Inventory[[#This Row],[Adj Det ]]</f>
        <v>327000</v>
      </c>
      <c r="BO205" s="30">
        <f>ROUND((Inventory[[#This Row],[Mdl Land Intercept]]+Inventory[[#This Row],[Mdl LnAcres]])*Inventory[[#This Row],[Det/Nbhd Adj]],-2)</f>
        <v>61300</v>
      </c>
      <c r="BP205" s="30">
        <f>Inventory[[#This Row],[Adjusted Impr Total]]+Inventory[[#This Row],[Adjusted Land Total]]</f>
        <v>388300</v>
      </c>
      <c r="BQ205" s="30">
        <f>IFERROR((Inventory[[#This Row],[Adjusted Impr Total]]-Inventory[[#This Row],[24Bldg]])/Inventory[[#This Row],[24Bldg]],0)</f>
        <v>-1.2681159420289856E-2</v>
      </c>
      <c r="BR205" s="43">
        <f>(Inventory[[#This Row],[Adjusted Land Total]]-Inventory[[#This Row],[24Lnd]])/Inventory[[#This Row],[24Lnd]]</f>
        <v>8.2236842105263153E-3</v>
      </c>
      <c r="BS205" s="43">
        <f>(Inventory[[#This Row],[Adjusted Total]]-Inventory[[#This Row],[24Final]])/Inventory[[#This Row],[24Final]]</f>
        <v>-9.4387755102040821E-3</v>
      </c>
    </row>
    <row r="206" spans="1:71">
      <c r="A206" s="30">
        <v>2025</v>
      </c>
      <c r="B206" s="31" t="s">
        <v>715</v>
      </c>
      <c r="C206" s="31">
        <f>LN(Inventory[[#This Row],[Acres]])</f>
        <v>-1.8140050781753747</v>
      </c>
      <c r="D206" s="37">
        <f>ROUND(Inventory[[#This Row],[Sqft]]/43560,3)</f>
        <v>0.16300000000000001</v>
      </c>
      <c r="E206" s="30">
        <v>7100</v>
      </c>
      <c r="F206" s="31" t="s">
        <v>505</v>
      </c>
      <c r="G206" s="31" t="s">
        <v>155</v>
      </c>
      <c r="H206" s="31" t="s">
        <v>5</v>
      </c>
      <c r="I206" s="31" t="s">
        <v>506</v>
      </c>
      <c r="J206" s="31" t="s">
        <v>507</v>
      </c>
      <c r="K206" s="31" t="s">
        <v>330</v>
      </c>
      <c r="L206" s="31" t="s">
        <v>21</v>
      </c>
      <c r="M206" s="31" t="s">
        <v>22</v>
      </c>
      <c r="N206" s="31">
        <v>0</v>
      </c>
      <c r="O206" s="31">
        <f>2024-Inventory[[#This Row],[YrBlt]]</f>
        <v>5</v>
      </c>
      <c r="P206" s="31">
        <f>2024-Inventory[[#This Row],[EffYr]]</f>
        <v>5</v>
      </c>
      <c r="Q206" s="30">
        <v>2019</v>
      </c>
      <c r="R206" s="30">
        <v>2019</v>
      </c>
      <c r="S206" s="30">
        <v>1781</v>
      </c>
      <c r="T206" s="32"/>
      <c r="U206" s="32"/>
      <c r="V206" s="32"/>
      <c r="W206" s="32"/>
      <c r="X206" s="32">
        <f>Inventory[[#This Row],[Bsmt Area]]-Inventory[[#This Row],[FnBsmt]]</f>
        <v>0</v>
      </c>
      <c r="Y206" s="32">
        <f>Inventory[[#This Row],[MainFn]]+Inventory[[#This Row],[UpprFn]]+Inventory[[#This Row],[AddFn]]+Inventory[[#This Row],[FnBsmt]]</f>
        <v>1781</v>
      </c>
      <c r="Z206" s="32">
        <v>2000</v>
      </c>
      <c r="AA206" s="31" t="s">
        <v>56</v>
      </c>
      <c r="AB206" s="32"/>
      <c r="AC206" s="38">
        <v>506</v>
      </c>
      <c r="AD206" s="32"/>
      <c r="AE206" s="32"/>
      <c r="AF206" s="32"/>
      <c r="AG206" s="32"/>
      <c r="AH206" s="32"/>
      <c r="AI206" s="30">
        <v>383390</v>
      </c>
      <c r="AJ206" s="30">
        <v>368054</v>
      </c>
      <c r="AK206" s="30">
        <v>0</v>
      </c>
      <c r="AL206" s="30">
        <v>0</v>
      </c>
      <c r="AM206" s="30">
        <v>60800</v>
      </c>
      <c r="AN206" s="30">
        <v>331600</v>
      </c>
      <c r="AO206" s="30">
        <v>392400</v>
      </c>
      <c r="AP206" s="30">
        <f>Lookups!$B$58*0.6</f>
        <v>132535.48800000001</v>
      </c>
      <c r="AQ206" s="30">
        <f>Lookups!$B$58*0.4</f>
        <v>88356.992000000013</v>
      </c>
      <c r="AR206" s="30">
        <f>Lookups!$B$59*Inventory[[#This Row],[LnAcres]]</f>
        <v>-23807.584941603713</v>
      </c>
      <c r="AS206" s="30">
        <f>VLOOKUP(Inventory[[#This Row],[Qlty]],Lookups!$A$66:$E$79,2,FALSE)</f>
        <v>32917.849192000001</v>
      </c>
      <c r="AT206" s="30">
        <f>VLOOKUP(Inventory[[#This Row],[Cnd]],Lookups!$A$80:$E$88,2,FALSE)</f>
        <v>50438.379078999998</v>
      </c>
      <c r="AU206" s="30">
        <f>Inventory[[#This Row],[EffAge]]*Lookups!$B$65</f>
        <v>-543.70550000000003</v>
      </c>
      <c r="AV206" s="30">
        <f>Inventory[[#This Row],[MainFn]]*Lookups!$B$90</f>
        <v>111152.88678</v>
      </c>
      <c r="AW206" s="30">
        <f>Inventory[[#This Row],[UpprFn]]*Lookups!$B$91</f>
        <v>0</v>
      </c>
      <c r="AX206" s="30">
        <f>Inventory[[#This Row],[Bsmt Area]]*Lookups!$B$95</f>
        <v>0</v>
      </c>
      <c r="AY206" s="30">
        <f>Inventory[[#This Row],[AttGar]]*Lookups!$B$93</f>
        <v>17862.321685999999</v>
      </c>
      <c r="AZ206" s="30">
        <f>ROUND(Inventory[[#This Row],[25Det]],-2)</f>
        <v>0</v>
      </c>
      <c r="BA206" s="30">
        <f>ROUND(SUM(Inventory[[#This Row],[Mdl Qlty]:[Mdl Garage Area]])+Inventory[[#This Row],[Mdl Res Intercept]],-2)</f>
        <v>344400</v>
      </c>
      <c r="BB206" s="30">
        <f>ROUND(Inventory[[#This Row],[Mdl Land Intercept]]+Inventory[[#This Row],[Mdl LnAcres]],-2)</f>
        <v>64500</v>
      </c>
      <c r="BC206" s="30">
        <f>Inventory[[#This Row],[Unadj Res Value]]+Inventory[[#This Row],[Unadj Det Value]]+Inventory[[#This Row],[Unadj Land Value]]</f>
        <v>408900</v>
      </c>
      <c r="BD206" s="30">
        <f>(Inventory[[#This Row],[Unadj Total Value]]-Inventory[[#This Row],[24Final]])/Inventory[[#This Row],[24Final]]</f>
        <v>4.2048929663608563E-2</v>
      </c>
      <c r="BE206" s="30">
        <f>VLOOKUP(Inventory[[#This Row],[Nbhd]],Lookups!$M$3:$P$5,4,FALSE)</f>
        <v>0.99970000000000003</v>
      </c>
      <c r="BF206" s="30">
        <f>VLOOKUP(Inventory[[#This Row],[Qlty]],Lookups!$M$8:$P$22,4,FALSE)</f>
        <v>1.0019</v>
      </c>
      <c r="BG206" s="30">
        <f>VLOOKUP(Inventory[[#This Row],[Cnd]],Lookups!$R$8:$U$17,4,FALSE)</f>
        <v>1.0007999999999999</v>
      </c>
      <c r="BH206" s="30">
        <f>VLOOKUP(Inventory[[#This Row],[LivArea Range]],Lookups!$R$25:$U$43,4,FALSE)</f>
        <v>1.0007999999999999</v>
      </c>
      <c r="BI206" s="30">
        <f>VLOOKUP(Inventory[[#This Row],[Decade]],Lookups!$M$24:$P$40,4,FALSE)</f>
        <v>1</v>
      </c>
      <c r="BJ206" s="30">
        <f>Inventory[[#This Row],[Nbhd Adj]]*0.95</f>
        <v>0.94971499999999998</v>
      </c>
      <c r="BK206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206" s="30">
        <f>ROUND((SUM(Inventory[[#This Row],[Mdl Qlty]:[Mdl Garage Area]])+Inventory[[#This Row],[Mdl Res Intercept]])*Inventory[[#This Row],[Res Adj ]],-2)</f>
        <v>327400</v>
      </c>
      <c r="BM206" s="30">
        <f>ROUND(Inventory[[#This Row],[25Det]]*Inventory[[#This Row],[Det/Nbhd Adj]],-2)</f>
        <v>0</v>
      </c>
      <c r="BN206" s="30">
        <f>Inventory[[#This Row],[Adjusted Res]]+Inventory[[#This Row],[Adj Det ]]</f>
        <v>327400</v>
      </c>
      <c r="BO206" s="30">
        <f>ROUND((Inventory[[#This Row],[Mdl Land Intercept]]+Inventory[[#This Row],[Mdl LnAcres]])*Inventory[[#This Row],[Det/Nbhd Adj]],-2)</f>
        <v>61300</v>
      </c>
      <c r="BP206" s="30">
        <f>Inventory[[#This Row],[Adjusted Impr Total]]+Inventory[[#This Row],[Adjusted Land Total]]</f>
        <v>388700</v>
      </c>
      <c r="BQ206" s="30">
        <f>IFERROR((Inventory[[#This Row],[Adjusted Impr Total]]-Inventory[[#This Row],[24Bldg]])/Inventory[[#This Row],[24Bldg]],0)</f>
        <v>-1.2665862484921592E-2</v>
      </c>
      <c r="BR206" s="43">
        <f>(Inventory[[#This Row],[Adjusted Land Total]]-Inventory[[#This Row],[24Lnd]])/Inventory[[#This Row],[24Lnd]]</f>
        <v>8.2236842105263153E-3</v>
      </c>
      <c r="BS206" s="43">
        <f>(Inventory[[#This Row],[Adjusted Total]]-Inventory[[#This Row],[24Final]])/Inventory[[#This Row],[24Final]]</f>
        <v>-9.4291539245667678E-3</v>
      </c>
    </row>
    <row r="207" spans="1:71">
      <c r="A207" s="30">
        <v>2025</v>
      </c>
      <c r="B207" s="31" t="s">
        <v>716</v>
      </c>
      <c r="C207" s="31">
        <f>LN(Inventory[[#This Row],[Acres]])</f>
        <v>-1.8140050781753747</v>
      </c>
      <c r="D207" s="37">
        <f>ROUND(Inventory[[#This Row],[Sqft]]/43560,3)</f>
        <v>0.16300000000000001</v>
      </c>
      <c r="E207" s="38">
        <v>7120</v>
      </c>
      <c r="F207" s="31" t="s">
        <v>505</v>
      </c>
      <c r="G207" s="31" t="s">
        <v>155</v>
      </c>
      <c r="H207" s="31" t="s">
        <v>5</v>
      </c>
      <c r="I207" s="31" t="s">
        <v>506</v>
      </c>
      <c r="J207" s="31" t="s">
        <v>507</v>
      </c>
      <c r="K207" s="31" t="s">
        <v>330</v>
      </c>
      <c r="L207" s="31" t="s">
        <v>21</v>
      </c>
      <c r="M207" s="31" t="s">
        <v>22</v>
      </c>
      <c r="N207" s="31">
        <v>0</v>
      </c>
      <c r="O207" s="31">
        <f>2024-Inventory[[#This Row],[YrBlt]]</f>
        <v>5</v>
      </c>
      <c r="P207" s="31">
        <f>2024-Inventory[[#This Row],[EffYr]]</f>
        <v>5</v>
      </c>
      <c r="Q207" s="30">
        <v>2019</v>
      </c>
      <c r="R207" s="30">
        <v>2019</v>
      </c>
      <c r="S207" s="30">
        <v>1752</v>
      </c>
      <c r="T207" s="32"/>
      <c r="U207" s="32"/>
      <c r="V207" s="32"/>
      <c r="W207" s="32"/>
      <c r="X207" s="32">
        <f>Inventory[[#This Row],[Bsmt Area]]-Inventory[[#This Row],[FnBsmt]]</f>
        <v>0</v>
      </c>
      <c r="Y207" s="32">
        <f>Inventory[[#This Row],[MainFn]]+Inventory[[#This Row],[UpprFn]]+Inventory[[#This Row],[AddFn]]+Inventory[[#This Row],[FnBsmt]]</f>
        <v>1752</v>
      </c>
      <c r="Z207" s="32">
        <v>2000</v>
      </c>
      <c r="AA207" s="31" t="s">
        <v>56</v>
      </c>
      <c r="AB207" s="32"/>
      <c r="AC207" s="38">
        <v>420</v>
      </c>
      <c r="AD207" s="32"/>
      <c r="AE207" s="32"/>
      <c r="AF207" s="32"/>
      <c r="AG207" s="32"/>
      <c r="AH207" s="32"/>
      <c r="AI207" s="30">
        <v>371295</v>
      </c>
      <c r="AJ207" s="30">
        <v>356443</v>
      </c>
      <c r="AK207" s="30">
        <v>0</v>
      </c>
      <c r="AL207" s="30">
        <v>0</v>
      </c>
      <c r="AM207" s="30">
        <v>60800</v>
      </c>
      <c r="AN207" s="30">
        <v>326800</v>
      </c>
      <c r="AO207" s="30">
        <v>387600</v>
      </c>
      <c r="AP207" s="30">
        <f>Lookups!$B$58*0.6</f>
        <v>132535.48800000001</v>
      </c>
      <c r="AQ207" s="30">
        <f>Lookups!$B$58*0.4</f>
        <v>88356.992000000013</v>
      </c>
      <c r="AR207" s="30">
        <f>Lookups!$B$59*Inventory[[#This Row],[LnAcres]]</f>
        <v>-23807.584941603713</v>
      </c>
      <c r="AS207" s="30">
        <f>VLOOKUP(Inventory[[#This Row],[Qlty]],Lookups!$A$66:$E$79,2,FALSE)</f>
        <v>32917.849192000001</v>
      </c>
      <c r="AT207" s="30">
        <f>VLOOKUP(Inventory[[#This Row],[Cnd]],Lookups!$A$80:$E$88,2,FALSE)</f>
        <v>50438.379078999998</v>
      </c>
      <c r="AU207" s="30">
        <f>Inventory[[#This Row],[EffAge]]*Lookups!$B$65</f>
        <v>-543.70550000000003</v>
      </c>
      <c r="AV207" s="30">
        <f>Inventory[[#This Row],[MainFn]]*Lookups!$B$90</f>
        <v>109342.98576000001</v>
      </c>
      <c r="AW207" s="30">
        <f>Inventory[[#This Row],[UpprFn]]*Lookups!$B$91</f>
        <v>0</v>
      </c>
      <c r="AX207" s="30">
        <f>Inventory[[#This Row],[Bsmt Area]]*Lookups!$B$95</f>
        <v>0</v>
      </c>
      <c r="AY207" s="30">
        <f>Inventory[[#This Row],[AttGar]]*Lookups!$B$93</f>
        <v>14826.43302</v>
      </c>
      <c r="AZ207" s="30">
        <f>ROUND(Inventory[[#This Row],[25Det]],-2)</f>
        <v>0</v>
      </c>
      <c r="BA207" s="30">
        <f>ROUND(SUM(Inventory[[#This Row],[Mdl Qlty]:[Mdl Garage Area]])+Inventory[[#This Row],[Mdl Res Intercept]],-2)</f>
        <v>339500</v>
      </c>
      <c r="BB207" s="30">
        <f>ROUND(Inventory[[#This Row],[Mdl Land Intercept]]+Inventory[[#This Row],[Mdl LnAcres]],-2)</f>
        <v>64500</v>
      </c>
      <c r="BC207" s="30">
        <f>Inventory[[#This Row],[Unadj Res Value]]+Inventory[[#This Row],[Unadj Det Value]]+Inventory[[#This Row],[Unadj Land Value]]</f>
        <v>404000</v>
      </c>
      <c r="BD207" s="30">
        <f>(Inventory[[#This Row],[Unadj Total Value]]-Inventory[[#This Row],[24Final]])/Inventory[[#This Row],[24Final]]</f>
        <v>4.2311661506707947E-2</v>
      </c>
      <c r="BE207" s="30">
        <f>VLOOKUP(Inventory[[#This Row],[Nbhd]],Lookups!$M$3:$P$5,4,FALSE)</f>
        <v>0.99970000000000003</v>
      </c>
      <c r="BF207" s="30">
        <f>VLOOKUP(Inventory[[#This Row],[Qlty]],Lookups!$M$8:$P$22,4,FALSE)</f>
        <v>1.0019</v>
      </c>
      <c r="BG207" s="30">
        <f>VLOOKUP(Inventory[[#This Row],[Cnd]],Lookups!$R$8:$U$17,4,FALSE)</f>
        <v>1.0007999999999999</v>
      </c>
      <c r="BH207" s="30">
        <f>VLOOKUP(Inventory[[#This Row],[LivArea Range]],Lookups!$R$25:$U$43,4,FALSE)</f>
        <v>1.0007999999999999</v>
      </c>
      <c r="BI207" s="30">
        <f>VLOOKUP(Inventory[[#This Row],[Decade]],Lookups!$M$24:$P$40,4,FALSE)</f>
        <v>1</v>
      </c>
      <c r="BJ207" s="30">
        <f>Inventory[[#This Row],[Nbhd Adj]]*0.95</f>
        <v>0.94971499999999998</v>
      </c>
      <c r="BK207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207" s="30">
        <f>ROUND((SUM(Inventory[[#This Row],[Mdl Qlty]:[Mdl Garage Area]])+Inventory[[#This Row],[Mdl Res Intercept]])*Inventory[[#This Row],[Res Adj ]],-2)</f>
        <v>322700</v>
      </c>
      <c r="BM207" s="30">
        <f>ROUND(Inventory[[#This Row],[25Det]]*Inventory[[#This Row],[Det/Nbhd Adj]],-2)</f>
        <v>0</v>
      </c>
      <c r="BN207" s="30">
        <f>Inventory[[#This Row],[Adjusted Res]]+Inventory[[#This Row],[Adj Det ]]</f>
        <v>322700</v>
      </c>
      <c r="BO207" s="30">
        <f>ROUND((Inventory[[#This Row],[Mdl Land Intercept]]+Inventory[[#This Row],[Mdl LnAcres]])*Inventory[[#This Row],[Det/Nbhd Adj]],-2)</f>
        <v>61300</v>
      </c>
      <c r="BP207" s="30">
        <f>Inventory[[#This Row],[Adjusted Impr Total]]+Inventory[[#This Row],[Adjusted Land Total]]</f>
        <v>384000</v>
      </c>
      <c r="BQ207" s="30">
        <f>IFERROR((Inventory[[#This Row],[Adjusted Impr Total]]-Inventory[[#This Row],[24Bldg]])/Inventory[[#This Row],[24Bldg]],0)</f>
        <v>-1.2545899632802938E-2</v>
      </c>
      <c r="BR207" s="43">
        <f>(Inventory[[#This Row],[Adjusted Land Total]]-Inventory[[#This Row],[24Lnd]])/Inventory[[#This Row],[24Lnd]]</f>
        <v>8.2236842105263153E-3</v>
      </c>
      <c r="BS207" s="43">
        <f>(Inventory[[#This Row],[Adjusted Total]]-Inventory[[#This Row],[24Final]])/Inventory[[#This Row],[24Final]]</f>
        <v>-9.2879256965944269E-3</v>
      </c>
    </row>
    <row r="208" spans="1:71">
      <c r="A208" s="30">
        <v>2025</v>
      </c>
      <c r="B208" s="31" t="s">
        <v>717</v>
      </c>
      <c r="C208" s="31">
        <f>LN(Inventory[[#This Row],[Acres]])</f>
        <v>-1.8140050781753747</v>
      </c>
      <c r="D208" s="37">
        <f>ROUND(Inventory[[#This Row],[Sqft]]/43560,3)</f>
        <v>0.16300000000000001</v>
      </c>
      <c r="E208" s="38">
        <v>7100</v>
      </c>
      <c r="F208" s="31" t="s">
        <v>505</v>
      </c>
      <c r="G208" s="31" t="s">
        <v>155</v>
      </c>
      <c r="H208" s="31" t="s">
        <v>5</v>
      </c>
      <c r="I208" s="31" t="s">
        <v>506</v>
      </c>
      <c r="J208" s="31" t="s">
        <v>507</v>
      </c>
      <c r="K208" s="31" t="s">
        <v>330</v>
      </c>
      <c r="L208" s="31" t="s">
        <v>21</v>
      </c>
      <c r="M208" s="31" t="s">
        <v>22</v>
      </c>
      <c r="N208" s="31">
        <v>0</v>
      </c>
      <c r="O208" s="31">
        <f>2024-Inventory[[#This Row],[YrBlt]]</f>
        <v>5</v>
      </c>
      <c r="P208" s="31">
        <f>2024-Inventory[[#This Row],[EffYr]]</f>
        <v>5</v>
      </c>
      <c r="Q208" s="30">
        <v>2019</v>
      </c>
      <c r="R208" s="30">
        <v>2019</v>
      </c>
      <c r="S208" s="30">
        <v>2016</v>
      </c>
      <c r="T208" s="37"/>
      <c r="U208" s="32"/>
      <c r="V208" s="32"/>
      <c r="W208" s="32"/>
      <c r="X208" s="32">
        <f>Inventory[[#This Row],[Bsmt Area]]-Inventory[[#This Row],[FnBsmt]]</f>
        <v>0</v>
      </c>
      <c r="Y208" s="32">
        <f>Inventory[[#This Row],[MainFn]]+Inventory[[#This Row],[UpprFn]]+Inventory[[#This Row],[AddFn]]+Inventory[[#This Row],[FnBsmt]]</f>
        <v>2016</v>
      </c>
      <c r="Z208" s="32">
        <v>2500</v>
      </c>
      <c r="AA208" s="31" t="s">
        <v>56</v>
      </c>
      <c r="AB208" s="32"/>
      <c r="AC208" s="38">
        <v>420</v>
      </c>
      <c r="AD208" s="32"/>
      <c r="AE208" s="32"/>
      <c r="AF208" s="32"/>
      <c r="AG208" s="32"/>
      <c r="AH208" s="32"/>
      <c r="AI208" s="30">
        <v>415670</v>
      </c>
      <c r="AJ208" s="30">
        <v>399043</v>
      </c>
      <c r="AK208" s="30">
        <v>0</v>
      </c>
      <c r="AL208" s="30">
        <v>0</v>
      </c>
      <c r="AM208" s="30">
        <v>60800</v>
      </c>
      <c r="AN208" s="30">
        <v>340100</v>
      </c>
      <c r="AO208" s="30">
        <v>400900</v>
      </c>
      <c r="AP208" s="30">
        <f>Lookups!$B$58*0.6</f>
        <v>132535.48800000001</v>
      </c>
      <c r="AQ208" s="30">
        <f>Lookups!$B$58*0.4</f>
        <v>88356.992000000013</v>
      </c>
      <c r="AR208" s="30">
        <f>Lookups!$B$59*Inventory[[#This Row],[LnAcres]]</f>
        <v>-23807.584941603713</v>
      </c>
      <c r="AS208" s="30">
        <f>VLOOKUP(Inventory[[#This Row],[Qlty]],Lookups!$A$66:$E$79,2,FALSE)</f>
        <v>32917.849192000001</v>
      </c>
      <c r="AT208" s="30">
        <f>VLOOKUP(Inventory[[#This Row],[Cnd]],Lookups!$A$80:$E$88,2,FALSE)</f>
        <v>50438.379078999998</v>
      </c>
      <c r="AU208" s="30">
        <f>Inventory[[#This Row],[EffAge]]*Lookups!$B$65</f>
        <v>-543.70550000000003</v>
      </c>
      <c r="AV208" s="30">
        <f>Inventory[[#This Row],[MainFn]]*Lookups!$B$90</f>
        <v>125819.32608000001</v>
      </c>
      <c r="AW208" s="30">
        <f>Inventory[[#This Row],[UpprFn]]*Lookups!$B$91</f>
        <v>0</v>
      </c>
      <c r="AX208" s="30">
        <f>Inventory[[#This Row],[Bsmt Area]]*Lookups!$B$95</f>
        <v>0</v>
      </c>
      <c r="AY208" s="30">
        <f>Inventory[[#This Row],[AttGar]]*Lookups!$B$93</f>
        <v>14826.43302</v>
      </c>
      <c r="AZ208" s="30">
        <f>ROUND(Inventory[[#This Row],[25Det]],-2)</f>
        <v>0</v>
      </c>
      <c r="BA208" s="30">
        <f>ROUND(SUM(Inventory[[#This Row],[Mdl Qlty]:[Mdl Garage Area]])+Inventory[[#This Row],[Mdl Res Intercept]],-2)</f>
        <v>356000</v>
      </c>
      <c r="BB208" s="30">
        <f>ROUND(Inventory[[#This Row],[Mdl Land Intercept]]+Inventory[[#This Row],[Mdl LnAcres]],-2)</f>
        <v>64500</v>
      </c>
      <c r="BC208" s="30">
        <f>Inventory[[#This Row],[Unadj Res Value]]+Inventory[[#This Row],[Unadj Det Value]]+Inventory[[#This Row],[Unadj Land Value]]</f>
        <v>420500</v>
      </c>
      <c r="BD208" s="30">
        <f>(Inventory[[#This Row],[Unadj Total Value]]-Inventory[[#This Row],[24Final]])/Inventory[[#This Row],[24Final]]</f>
        <v>4.8889997505612369E-2</v>
      </c>
      <c r="BE208" s="30">
        <f>VLOOKUP(Inventory[[#This Row],[Nbhd]],Lookups!$M$3:$P$5,4,FALSE)</f>
        <v>0.99970000000000003</v>
      </c>
      <c r="BF208" s="30">
        <f>VLOOKUP(Inventory[[#This Row],[Qlty]],Lookups!$M$8:$P$22,4,FALSE)</f>
        <v>1.0019</v>
      </c>
      <c r="BG208" s="30">
        <f>VLOOKUP(Inventory[[#This Row],[Cnd]],Lookups!$R$8:$U$17,4,FALSE)</f>
        <v>1.0007999999999999</v>
      </c>
      <c r="BH208" s="30">
        <f>VLOOKUP(Inventory[[#This Row],[LivArea Range]],Lookups!$R$25:$U$43,4,FALSE)</f>
        <v>1.0008999999999999</v>
      </c>
      <c r="BI208" s="30">
        <f>VLOOKUP(Inventory[[#This Row],[Decade]],Lookups!$M$24:$P$40,4,FALSE)</f>
        <v>1</v>
      </c>
      <c r="BJ208" s="30">
        <f>Inventory[[#This Row],[Nbhd Adj]]*0.95</f>
        <v>0.94971499999999998</v>
      </c>
      <c r="BK208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208" s="30">
        <f>ROUND((SUM(Inventory[[#This Row],[Mdl Qlty]:[Mdl Garage Area]])+Inventory[[#This Row],[Mdl Res Intercept]])*Inventory[[#This Row],[Res Adj ]],-2)</f>
        <v>338400</v>
      </c>
      <c r="BM208" s="30">
        <f>ROUND(Inventory[[#This Row],[25Det]]*Inventory[[#This Row],[Det/Nbhd Adj]],-2)</f>
        <v>0</v>
      </c>
      <c r="BN208" s="30">
        <f>Inventory[[#This Row],[Adjusted Res]]+Inventory[[#This Row],[Adj Det ]]</f>
        <v>338400</v>
      </c>
      <c r="BO208" s="30">
        <f>ROUND((Inventory[[#This Row],[Mdl Land Intercept]]+Inventory[[#This Row],[Mdl LnAcres]])*Inventory[[#This Row],[Det/Nbhd Adj]],-2)</f>
        <v>61300</v>
      </c>
      <c r="BP208" s="30">
        <f>Inventory[[#This Row],[Adjusted Impr Total]]+Inventory[[#This Row],[Adjusted Land Total]]</f>
        <v>399700</v>
      </c>
      <c r="BQ208" s="30">
        <f>IFERROR((Inventory[[#This Row],[Adjusted Impr Total]]-Inventory[[#This Row],[24Bldg]])/Inventory[[#This Row],[24Bldg]],0)</f>
        <v>-4.9985298441634811E-3</v>
      </c>
      <c r="BR208" s="43">
        <f>(Inventory[[#This Row],[Adjusted Land Total]]-Inventory[[#This Row],[24Lnd]])/Inventory[[#This Row],[24Lnd]]</f>
        <v>8.2236842105263153E-3</v>
      </c>
      <c r="BS208" s="43">
        <f>(Inventory[[#This Row],[Adjusted Total]]-Inventory[[#This Row],[24Final]])/Inventory[[#This Row],[24Final]]</f>
        <v>-2.9932651534048389E-3</v>
      </c>
    </row>
    <row r="209" spans="1:71">
      <c r="A209" s="30">
        <v>2025</v>
      </c>
      <c r="B209" s="31" t="s">
        <v>718</v>
      </c>
      <c r="C209" s="31">
        <f>LN(Inventory[[#This Row],[Acres]])</f>
        <v>-1.8018098050815563</v>
      </c>
      <c r="D209" s="37">
        <f>ROUND(Inventory[[#This Row],[Sqft]]/43560,3)</f>
        <v>0.16500000000000001</v>
      </c>
      <c r="E209" s="30">
        <v>7200</v>
      </c>
      <c r="F209" s="31" t="s">
        <v>505</v>
      </c>
      <c r="G209" s="31" t="s">
        <v>155</v>
      </c>
      <c r="H209" s="31" t="s">
        <v>5</v>
      </c>
      <c r="I209" s="31" t="s">
        <v>506</v>
      </c>
      <c r="J209" s="31" t="s">
        <v>507</v>
      </c>
      <c r="K209" s="31" t="s">
        <v>330</v>
      </c>
      <c r="L209" s="31" t="s">
        <v>21</v>
      </c>
      <c r="M209" s="31" t="s">
        <v>22</v>
      </c>
      <c r="N209" s="31">
        <v>0</v>
      </c>
      <c r="O209" s="31">
        <f>2024-Inventory[[#This Row],[YrBlt]]</f>
        <v>5</v>
      </c>
      <c r="P209" s="31">
        <f>2024-Inventory[[#This Row],[EffYr]]</f>
        <v>5</v>
      </c>
      <c r="Q209" s="30">
        <v>2019</v>
      </c>
      <c r="R209" s="30">
        <v>2019</v>
      </c>
      <c r="S209" s="30">
        <v>2025</v>
      </c>
      <c r="T209" s="32"/>
      <c r="U209" s="32"/>
      <c r="V209" s="32"/>
      <c r="W209" s="32"/>
      <c r="X209" s="32">
        <f>Inventory[[#This Row],[Bsmt Area]]-Inventory[[#This Row],[FnBsmt]]</f>
        <v>0</v>
      </c>
      <c r="Y209" s="32">
        <f>Inventory[[#This Row],[MainFn]]+Inventory[[#This Row],[UpprFn]]+Inventory[[#This Row],[AddFn]]+Inventory[[#This Row],[FnBsmt]]</f>
        <v>2025</v>
      </c>
      <c r="Z209" s="32">
        <v>2500</v>
      </c>
      <c r="AA209" s="31" t="s">
        <v>56</v>
      </c>
      <c r="AB209" s="32"/>
      <c r="AC209" s="38">
        <v>670</v>
      </c>
      <c r="AD209" s="32"/>
      <c r="AE209" s="32"/>
      <c r="AF209" s="32"/>
      <c r="AG209" s="32"/>
      <c r="AH209" s="32"/>
      <c r="AI209" s="30">
        <v>439321</v>
      </c>
      <c r="AJ209" s="30">
        <v>421748</v>
      </c>
      <c r="AK209" s="30">
        <v>0</v>
      </c>
      <c r="AL209" s="30">
        <v>0</v>
      </c>
      <c r="AM209" s="30">
        <v>61700</v>
      </c>
      <c r="AN209" s="30">
        <v>360100</v>
      </c>
      <c r="AO209" s="30">
        <v>421800</v>
      </c>
      <c r="AP209" s="30">
        <f>Lookups!$B$58*0.6</f>
        <v>132535.48800000001</v>
      </c>
      <c r="AQ209" s="30">
        <f>Lookups!$B$58*0.4</f>
        <v>88356.992000000013</v>
      </c>
      <c r="AR209" s="30">
        <f>Lookups!$B$59*Inventory[[#This Row],[LnAcres]]</f>
        <v>-23647.530262837776</v>
      </c>
      <c r="AS209" s="30">
        <f>VLOOKUP(Inventory[[#This Row],[Qlty]],Lookups!$A$66:$E$79,2,FALSE)</f>
        <v>32917.849192000001</v>
      </c>
      <c r="AT209" s="30">
        <f>VLOOKUP(Inventory[[#This Row],[Cnd]],Lookups!$A$80:$E$88,2,FALSE)</f>
        <v>50438.379078999998</v>
      </c>
      <c r="AU209" s="30">
        <f>Inventory[[#This Row],[EffAge]]*Lookups!$B$65</f>
        <v>-543.70550000000003</v>
      </c>
      <c r="AV209" s="30">
        <f>Inventory[[#This Row],[MainFn]]*Lookups!$B$90</f>
        <v>126381.01950000001</v>
      </c>
      <c r="AW209" s="30">
        <f>Inventory[[#This Row],[UpprFn]]*Lookups!$B$91</f>
        <v>0</v>
      </c>
      <c r="AX209" s="30">
        <f>Inventory[[#This Row],[Bsmt Area]]*Lookups!$B$95</f>
        <v>0</v>
      </c>
      <c r="AY209" s="30">
        <f>Inventory[[#This Row],[AttGar]]*Lookups!$B$93</f>
        <v>23651.690770000001</v>
      </c>
      <c r="AZ209" s="30">
        <f>ROUND(Inventory[[#This Row],[25Det]],-2)</f>
        <v>0</v>
      </c>
      <c r="BA209" s="30">
        <f>ROUND(SUM(Inventory[[#This Row],[Mdl Qlty]:[Mdl Garage Area]])+Inventory[[#This Row],[Mdl Res Intercept]],-2)</f>
        <v>365400</v>
      </c>
      <c r="BB209" s="30">
        <f>ROUND(Inventory[[#This Row],[Mdl Land Intercept]]+Inventory[[#This Row],[Mdl LnAcres]],-2)</f>
        <v>64700</v>
      </c>
      <c r="BC209" s="30">
        <f>Inventory[[#This Row],[Unadj Res Value]]+Inventory[[#This Row],[Unadj Det Value]]+Inventory[[#This Row],[Unadj Land Value]]</f>
        <v>430100</v>
      </c>
      <c r="BD209" s="30">
        <f>(Inventory[[#This Row],[Unadj Total Value]]-Inventory[[#This Row],[24Final]])/Inventory[[#This Row],[24Final]]</f>
        <v>1.9677572309151257E-2</v>
      </c>
      <c r="BE209" s="30">
        <f>VLOOKUP(Inventory[[#This Row],[Nbhd]],Lookups!$M$3:$P$5,4,FALSE)</f>
        <v>0.99970000000000003</v>
      </c>
      <c r="BF209" s="30">
        <f>VLOOKUP(Inventory[[#This Row],[Qlty]],Lookups!$M$8:$P$22,4,FALSE)</f>
        <v>1.0019</v>
      </c>
      <c r="BG209" s="30">
        <f>VLOOKUP(Inventory[[#This Row],[Cnd]],Lookups!$R$8:$U$17,4,FALSE)</f>
        <v>1.0007999999999999</v>
      </c>
      <c r="BH209" s="30">
        <f>VLOOKUP(Inventory[[#This Row],[LivArea Range]],Lookups!$R$25:$U$43,4,FALSE)</f>
        <v>1.0008999999999999</v>
      </c>
      <c r="BI209" s="30">
        <f>VLOOKUP(Inventory[[#This Row],[Decade]],Lookups!$M$24:$P$40,4,FALSE)</f>
        <v>1</v>
      </c>
      <c r="BJ209" s="30">
        <f>Inventory[[#This Row],[Nbhd Adj]]*0.95</f>
        <v>0.94971499999999998</v>
      </c>
      <c r="BK209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209" s="30">
        <f>ROUND((SUM(Inventory[[#This Row],[Mdl Qlty]:[Mdl Garage Area]])+Inventory[[#This Row],[Mdl Res Intercept]])*Inventory[[#This Row],[Res Adj ]],-2)</f>
        <v>347300</v>
      </c>
      <c r="BM209" s="30">
        <f>ROUND(Inventory[[#This Row],[25Det]]*Inventory[[#This Row],[Det/Nbhd Adj]],-2)</f>
        <v>0</v>
      </c>
      <c r="BN209" s="30">
        <f>Inventory[[#This Row],[Adjusted Res]]+Inventory[[#This Row],[Adj Det ]]</f>
        <v>347300</v>
      </c>
      <c r="BO209" s="30">
        <f>ROUND((Inventory[[#This Row],[Mdl Land Intercept]]+Inventory[[#This Row],[Mdl LnAcres]])*Inventory[[#This Row],[Det/Nbhd Adj]],-2)</f>
        <v>61500</v>
      </c>
      <c r="BP209" s="30">
        <f>Inventory[[#This Row],[Adjusted Impr Total]]+Inventory[[#This Row],[Adjusted Land Total]]</f>
        <v>408800</v>
      </c>
      <c r="BQ209" s="30">
        <f>IFERROR((Inventory[[#This Row],[Adjusted Impr Total]]-Inventory[[#This Row],[24Bldg]])/Inventory[[#This Row],[24Bldg]],0)</f>
        <v>-3.5545681755068038E-2</v>
      </c>
      <c r="BR209" s="43">
        <f>(Inventory[[#This Row],[Adjusted Land Total]]-Inventory[[#This Row],[24Lnd]])/Inventory[[#This Row],[24Lnd]]</f>
        <v>-3.2414910858995136E-3</v>
      </c>
      <c r="BS209" s="43">
        <f>(Inventory[[#This Row],[Adjusted Total]]-Inventory[[#This Row],[24Final]])/Inventory[[#This Row],[24Final]]</f>
        <v>-3.0820293978188716E-2</v>
      </c>
    </row>
    <row r="210" spans="1:71">
      <c r="A210" s="30">
        <v>2025</v>
      </c>
      <c r="B210" s="31" t="s">
        <v>719</v>
      </c>
      <c r="C210" s="31">
        <f>LN(Inventory[[#This Row],[Acres]])</f>
        <v>-1.8018098050815563</v>
      </c>
      <c r="D210" s="37">
        <f>ROUND(Inventory[[#This Row],[Sqft]]/43560,3)</f>
        <v>0.16500000000000001</v>
      </c>
      <c r="E210" s="30">
        <v>7190</v>
      </c>
      <c r="F210" s="31" t="s">
        <v>505</v>
      </c>
      <c r="G210" s="31" t="s">
        <v>155</v>
      </c>
      <c r="H210" s="31" t="s">
        <v>5</v>
      </c>
      <c r="I210" s="31" t="s">
        <v>506</v>
      </c>
      <c r="J210" s="31" t="s">
        <v>507</v>
      </c>
      <c r="K210" s="31" t="s">
        <v>330</v>
      </c>
      <c r="L210" s="31" t="s">
        <v>19</v>
      </c>
      <c r="M210" s="31" t="s">
        <v>22</v>
      </c>
      <c r="N210" s="31">
        <v>0</v>
      </c>
      <c r="O210" s="31">
        <f>2024-Inventory[[#This Row],[YrBlt]]</f>
        <v>5</v>
      </c>
      <c r="P210" s="31">
        <f>2024-Inventory[[#This Row],[EffYr]]</f>
        <v>5</v>
      </c>
      <c r="Q210" s="30">
        <v>2019</v>
      </c>
      <c r="R210" s="30">
        <v>2019</v>
      </c>
      <c r="S210" s="30">
        <v>1529</v>
      </c>
      <c r="T210" s="32"/>
      <c r="U210" s="32"/>
      <c r="V210" s="32"/>
      <c r="W210" s="32"/>
      <c r="X210" s="32">
        <f>Inventory[[#This Row],[Bsmt Area]]-Inventory[[#This Row],[FnBsmt]]</f>
        <v>0</v>
      </c>
      <c r="Y210" s="32">
        <f>Inventory[[#This Row],[MainFn]]+Inventory[[#This Row],[UpprFn]]+Inventory[[#This Row],[AddFn]]+Inventory[[#This Row],[FnBsmt]]</f>
        <v>1529</v>
      </c>
      <c r="Z210" s="32">
        <v>2000</v>
      </c>
      <c r="AA210" s="31" t="s">
        <v>56</v>
      </c>
      <c r="AB210" s="32"/>
      <c r="AC210" s="38">
        <v>441</v>
      </c>
      <c r="AD210" s="32"/>
      <c r="AE210" s="32"/>
      <c r="AF210" s="32"/>
      <c r="AG210" s="32"/>
      <c r="AH210" s="32"/>
      <c r="AI210" s="30">
        <v>304722</v>
      </c>
      <c r="AJ210" s="30">
        <v>292533</v>
      </c>
      <c r="AK210" s="30">
        <v>0</v>
      </c>
      <c r="AL210" s="30">
        <v>0</v>
      </c>
      <c r="AM210" s="30">
        <v>61700</v>
      </c>
      <c r="AN210" s="30">
        <v>321600</v>
      </c>
      <c r="AO210" s="30">
        <v>383300</v>
      </c>
      <c r="AP210" s="30">
        <f>Lookups!$B$58*0.6</f>
        <v>132535.48800000001</v>
      </c>
      <c r="AQ210" s="30">
        <f>Lookups!$B$58*0.4</f>
        <v>88356.992000000013</v>
      </c>
      <c r="AR210" s="30">
        <f>Lookups!$B$59*Inventory[[#This Row],[LnAcres]]</f>
        <v>-23647.530262837776</v>
      </c>
      <c r="AS210" s="30">
        <f>VLOOKUP(Inventory[[#This Row],[Qlty]],Lookups!$A$66:$E$79,2,FALSE)</f>
        <v>37154.252388000001</v>
      </c>
      <c r="AT210" s="30">
        <f>VLOOKUP(Inventory[[#This Row],[Cnd]],Lookups!$A$80:$E$88,2,FALSE)</f>
        <v>50438.379078999998</v>
      </c>
      <c r="AU210" s="30">
        <f>Inventory[[#This Row],[EffAge]]*Lookups!$B$65</f>
        <v>-543.70550000000003</v>
      </c>
      <c r="AV210" s="30">
        <f>Inventory[[#This Row],[MainFn]]*Lookups!$B$90</f>
        <v>95425.471020000012</v>
      </c>
      <c r="AW210" s="30">
        <f>Inventory[[#This Row],[UpprFn]]*Lookups!$B$91</f>
        <v>0</v>
      </c>
      <c r="AX210" s="30">
        <f>Inventory[[#This Row],[Bsmt Area]]*Lookups!$B$95</f>
        <v>0</v>
      </c>
      <c r="AY210" s="30">
        <f>Inventory[[#This Row],[AttGar]]*Lookups!$B$93</f>
        <v>15567.754671000001</v>
      </c>
      <c r="AZ210" s="30">
        <f>ROUND(Inventory[[#This Row],[25Det]],-2)</f>
        <v>0</v>
      </c>
      <c r="BA210" s="30">
        <f>ROUND(SUM(Inventory[[#This Row],[Mdl Qlty]:[Mdl Garage Area]])+Inventory[[#This Row],[Mdl Res Intercept]],-2)</f>
        <v>330600</v>
      </c>
      <c r="BB210" s="30">
        <f>ROUND(Inventory[[#This Row],[Mdl Land Intercept]]+Inventory[[#This Row],[Mdl LnAcres]],-2)</f>
        <v>64700</v>
      </c>
      <c r="BC210" s="30">
        <f>Inventory[[#This Row],[Unadj Res Value]]+Inventory[[#This Row],[Unadj Det Value]]+Inventory[[#This Row],[Unadj Land Value]]</f>
        <v>395300</v>
      </c>
      <c r="BD210" s="30">
        <f>(Inventory[[#This Row],[Unadj Total Value]]-Inventory[[#This Row],[24Final]])/Inventory[[#This Row],[24Final]]</f>
        <v>3.1307070180015655E-2</v>
      </c>
      <c r="BE210" s="30">
        <f>VLOOKUP(Inventory[[#This Row],[Nbhd]],Lookups!$M$3:$P$5,4,FALSE)</f>
        <v>0.99970000000000003</v>
      </c>
      <c r="BF210" s="30">
        <f>VLOOKUP(Inventory[[#This Row],[Qlty]],Lookups!$M$8:$P$22,4,FALSE)</f>
        <v>0.99819999999999998</v>
      </c>
      <c r="BG210" s="30">
        <f>VLOOKUP(Inventory[[#This Row],[Cnd]],Lookups!$R$8:$U$17,4,FALSE)</f>
        <v>1.0007999999999999</v>
      </c>
      <c r="BH210" s="30">
        <f>VLOOKUP(Inventory[[#This Row],[LivArea Range]],Lookups!$R$25:$U$43,4,FALSE)</f>
        <v>1.0007999999999999</v>
      </c>
      <c r="BI210" s="30">
        <f>VLOOKUP(Inventory[[#This Row],[Decade]],Lookups!$M$24:$P$40,4,FALSE)</f>
        <v>1</v>
      </c>
      <c r="BJ210" s="30">
        <f>Inventory[[#This Row],[Nbhd Adj]]*0.95</f>
        <v>0.94971499999999998</v>
      </c>
      <c r="BK210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210" s="30">
        <f>ROUND((SUM(Inventory[[#This Row],[Mdl Qlty]:[Mdl Garage Area]])+Inventory[[#This Row],[Mdl Res Intercept]])*Inventory[[#This Row],[Res Adj ]],-2)</f>
        <v>314000</v>
      </c>
      <c r="BM210" s="30">
        <f>ROUND(Inventory[[#This Row],[25Det]]*Inventory[[#This Row],[Det/Nbhd Adj]],-2)</f>
        <v>0</v>
      </c>
      <c r="BN210" s="30">
        <f>Inventory[[#This Row],[Adjusted Res]]+Inventory[[#This Row],[Adj Det ]]</f>
        <v>314000</v>
      </c>
      <c r="BO210" s="30">
        <f>ROUND((Inventory[[#This Row],[Mdl Land Intercept]]+Inventory[[#This Row],[Mdl LnAcres]])*Inventory[[#This Row],[Det/Nbhd Adj]],-2)</f>
        <v>61500</v>
      </c>
      <c r="BP210" s="30">
        <f>Inventory[[#This Row],[Adjusted Impr Total]]+Inventory[[#This Row],[Adjusted Land Total]]</f>
        <v>375500</v>
      </c>
      <c r="BQ210" s="30">
        <f>IFERROR((Inventory[[#This Row],[Adjusted Impr Total]]-Inventory[[#This Row],[24Bldg]])/Inventory[[#This Row],[24Bldg]],0)</f>
        <v>-2.36318407960199E-2</v>
      </c>
      <c r="BR210" s="43">
        <f>(Inventory[[#This Row],[Adjusted Land Total]]-Inventory[[#This Row],[24Lnd]])/Inventory[[#This Row],[24Lnd]]</f>
        <v>-3.2414910858995136E-3</v>
      </c>
      <c r="BS210" s="43">
        <f>(Inventory[[#This Row],[Adjusted Total]]-Inventory[[#This Row],[24Final]])/Inventory[[#This Row],[24Final]]</f>
        <v>-2.0349595617010174E-2</v>
      </c>
    </row>
    <row r="211" spans="1:71">
      <c r="A211" s="30">
        <v>2025</v>
      </c>
      <c r="B211" s="31" t="s">
        <v>720</v>
      </c>
      <c r="C211" s="31">
        <f>LN(Inventory[[#This Row],[Acres]])</f>
        <v>-1.8018098050815563</v>
      </c>
      <c r="D211" s="37">
        <f>ROUND(Inventory[[#This Row],[Sqft]]/43560,3)</f>
        <v>0.16500000000000001</v>
      </c>
      <c r="E211" s="30">
        <v>7200</v>
      </c>
      <c r="F211" s="31" t="s">
        <v>505</v>
      </c>
      <c r="G211" s="31" t="s">
        <v>155</v>
      </c>
      <c r="H211" s="31" t="s">
        <v>5</v>
      </c>
      <c r="I211" s="31" t="s">
        <v>506</v>
      </c>
      <c r="J211" s="31" t="s">
        <v>507</v>
      </c>
      <c r="K211" s="31" t="s">
        <v>330</v>
      </c>
      <c r="L211" s="31" t="s">
        <v>21</v>
      </c>
      <c r="M211" s="31" t="s">
        <v>22</v>
      </c>
      <c r="N211" s="31">
        <v>0</v>
      </c>
      <c r="O211" s="31">
        <f>2024-Inventory[[#This Row],[YrBlt]]</f>
        <v>5</v>
      </c>
      <c r="P211" s="31">
        <f>2024-Inventory[[#This Row],[EffYr]]</f>
        <v>5</v>
      </c>
      <c r="Q211" s="30">
        <v>2019</v>
      </c>
      <c r="R211" s="30">
        <v>2019</v>
      </c>
      <c r="S211" s="30">
        <v>1756</v>
      </c>
      <c r="T211" s="32"/>
      <c r="U211" s="32"/>
      <c r="V211" s="32"/>
      <c r="W211" s="32"/>
      <c r="X211" s="32">
        <f>Inventory[[#This Row],[Bsmt Area]]-Inventory[[#This Row],[FnBsmt]]</f>
        <v>0</v>
      </c>
      <c r="Y211" s="32">
        <f>Inventory[[#This Row],[MainFn]]+Inventory[[#This Row],[UpprFn]]+Inventory[[#This Row],[AddFn]]+Inventory[[#This Row],[FnBsmt]]</f>
        <v>1756</v>
      </c>
      <c r="Z211" s="32">
        <v>2000</v>
      </c>
      <c r="AA211" s="31" t="s">
        <v>56</v>
      </c>
      <c r="AB211" s="32"/>
      <c r="AC211" s="38">
        <v>441</v>
      </c>
      <c r="AD211" s="32"/>
      <c r="AE211" s="32"/>
      <c r="AF211" s="32"/>
      <c r="AG211" s="32"/>
      <c r="AH211" s="32"/>
      <c r="AI211" s="30">
        <v>374366</v>
      </c>
      <c r="AJ211" s="30">
        <v>359391</v>
      </c>
      <c r="AK211" s="30">
        <v>0</v>
      </c>
      <c r="AL211" s="30">
        <v>0</v>
      </c>
      <c r="AM211" s="30">
        <v>61700</v>
      </c>
      <c r="AN211" s="30">
        <v>327600</v>
      </c>
      <c r="AO211" s="30">
        <v>389300</v>
      </c>
      <c r="AP211" s="30">
        <f>Lookups!$B$58*0.6</f>
        <v>132535.48800000001</v>
      </c>
      <c r="AQ211" s="30">
        <f>Lookups!$B$58*0.4</f>
        <v>88356.992000000013</v>
      </c>
      <c r="AR211" s="30">
        <f>Lookups!$B$59*Inventory[[#This Row],[LnAcres]]</f>
        <v>-23647.530262837776</v>
      </c>
      <c r="AS211" s="30">
        <f>VLOOKUP(Inventory[[#This Row],[Qlty]],Lookups!$A$66:$E$79,2,FALSE)</f>
        <v>32917.849192000001</v>
      </c>
      <c r="AT211" s="30">
        <f>VLOOKUP(Inventory[[#This Row],[Cnd]],Lookups!$A$80:$E$88,2,FALSE)</f>
        <v>50438.379078999998</v>
      </c>
      <c r="AU211" s="30">
        <f>Inventory[[#This Row],[EffAge]]*Lookups!$B$65</f>
        <v>-543.70550000000003</v>
      </c>
      <c r="AV211" s="30">
        <f>Inventory[[#This Row],[MainFn]]*Lookups!$B$90</f>
        <v>109592.62728</v>
      </c>
      <c r="AW211" s="30">
        <f>Inventory[[#This Row],[UpprFn]]*Lookups!$B$91</f>
        <v>0</v>
      </c>
      <c r="AX211" s="30">
        <f>Inventory[[#This Row],[Bsmt Area]]*Lookups!$B$95</f>
        <v>0</v>
      </c>
      <c r="AY211" s="30">
        <f>Inventory[[#This Row],[AttGar]]*Lookups!$B$93</f>
        <v>15567.754671000001</v>
      </c>
      <c r="AZ211" s="30">
        <f>ROUND(Inventory[[#This Row],[25Det]],-2)</f>
        <v>0</v>
      </c>
      <c r="BA211" s="30">
        <f>ROUND(SUM(Inventory[[#This Row],[Mdl Qlty]:[Mdl Garage Area]])+Inventory[[#This Row],[Mdl Res Intercept]],-2)</f>
        <v>340500</v>
      </c>
      <c r="BB211" s="30">
        <f>ROUND(Inventory[[#This Row],[Mdl Land Intercept]]+Inventory[[#This Row],[Mdl LnAcres]],-2)</f>
        <v>64700</v>
      </c>
      <c r="BC211" s="30">
        <f>Inventory[[#This Row],[Unadj Res Value]]+Inventory[[#This Row],[Unadj Det Value]]+Inventory[[#This Row],[Unadj Land Value]]</f>
        <v>405200</v>
      </c>
      <c r="BD211" s="30">
        <f>(Inventory[[#This Row],[Unadj Total Value]]-Inventory[[#This Row],[24Final]])/Inventory[[#This Row],[24Final]]</f>
        <v>4.0842537888517855E-2</v>
      </c>
      <c r="BE211" s="30">
        <f>VLOOKUP(Inventory[[#This Row],[Nbhd]],Lookups!$M$3:$P$5,4,FALSE)</f>
        <v>0.99970000000000003</v>
      </c>
      <c r="BF211" s="30">
        <f>VLOOKUP(Inventory[[#This Row],[Qlty]],Lookups!$M$8:$P$22,4,FALSE)</f>
        <v>1.0019</v>
      </c>
      <c r="BG211" s="30">
        <f>VLOOKUP(Inventory[[#This Row],[Cnd]],Lookups!$R$8:$U$17,4,FALSE)</f>
        <v>1.0007999999999999</v>
      </c>
      <c r="BH211" s="30">
        <f>VLOOKUP(Inventory[[#This Row],[LivArea Range]],Lookups!$R$25:$U$43,4,FALSE)</f>
        <v>1.0007999999999999</v>
      </c>
      <c r="BI211" s="30">
        <f>VLOOKUP(Inventory[[#This Row],[Decade]],Lookups!$M$24:$P$40,4,FALSE)</f>
        <v>1</v>
      </c>
      <c r="BJ211" s="30">
        <f>Inventory[[#This Row],[Nbhd Adj]]*0.95</f>
        <v>0.94971499999999998</v>
      </c>
      <c r="BK211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211" s="30">
        <f>ROUND((SUM(Inventory[[#This Row],[Mdl Qlty]:[Mdl Garage Area]])+Inventory[[#This Row],[Mdl Res Intercept]])*Inventory[[#This Row],[Res Adj ]],-2)</f>
        <v>323700</v>
      </c>
      <c r="BM211" s="30">
        <f>ROUND(Inventory[[#This Row],[25Det]]*Inventory[[#This Row],[Det/Nbhd Adj]],-2)</f>
        <v>0</v>
      </c>
      <c r="BN211" s="30">
        <f>Inventory[[#This Row],[Adjusted Res]]+Inventory[[#This Row],[Adj Det ]]</f>
        <v>323700</v>
      </c>
      <c r="BO211" s="30">
        <f>ROUND((Inventory[[#This Row],[Mdl Land Intercept]]+Inventory[[#This Row],[Mdl LnAcres]])*Inventory[[#This Row],[Det/Nbhd Adj]],-2)</f>
        <v>61500</v>
      </c>
      <c r="BP211" s="30">
        <f>Inventory[[#This Row],[Adjusted Impr Total]]+Inventory[[#This Row],[Adjusted Land Total]]</f>
        <v>385200</v>
      </c>
      <c r="BQ211" s="30">
        <f>IFERROR((Inventory[[#This Row],[Adjusted Impr Total]]-Inventory[[#This Row],[24Bldg]])/Inventory[[#This Row],[24Bldg]],0)</f>
        <v>-1.1904761904761904E-2</v>
      </c>
      <c r="BR211" s="43">
        <f>(Inventory[[#This Row],[Adjusted Land Total]]-Inventory[[#This Row],[24Lnd]])/Inventory[[#This Row],[24Lnd]]</f>
        <v>-3.2414910858995136E-3</v>
      </c>
      <c r="BS211" s="43">
        <f>(Inventory[[#This Row],[Adjusted Total]]-Inventory[[#This Row],[24Final]])/Inventory[[#This Row],[24Final]]</f>
        <v>-1.0531723606473156E-2</v>
      </c>
    </row>
    <row r="212" spans="1:71">
      <c r="A212" s="30">
        <v>2025</v>
      </c>
      <c r="B212" s="31" t="s">
        <v>721</v>
      </c>
      <c r="C212" s="31">
        <f>LN(Inventory[[#This Row],[Acres]])</f>
        <v>-1.8018098050815563</v>
      </c>
      <c r="D212" s="37">
        <f>ROUND(Inventory[[#This Row],[Sqft]]/43560,3)</f>
        <v>0.16500000000000001</v>
      </c>
      <c r="E212" s="30">
        <v>7200</v>
      </c>
      <c r="F212" s="31" t="s">
        <v>505</v>
      </c>
      <c r="G212" s="31" t="s">
        <v>155</v>
      </c>
      <c r="H212" s="31" t="s">
        <v>5</v>
      </c>
      <c r="I212" s="31" t="s">
        <v>506</v>
      </c>
      <c r="J212" s="31" t="s">
        <v>507</v>
      </c>
      <c r="K212" s="31" t="s">
        <v>330</v>
      </c>
      <c r="L212" s="31" t="s">
        <v>21</v>
      </c>
      <c r="M212" s="31" t="s">
        <v>22</v>
      </c>
      <c r="N212" s="31">
        <v>0</v>
      </c>
      <c r="O212" s="31">
        <f>2024-Inventory[[#This Row],[YrBlt]]</f>
        <v>5</v>
      </c>
      <c r="P212" s="31">
        <f>2024-Inventory[[#This Row],[EffYr]]</f>
        <v>5</v>
      </c>
      <c r="Q212" s="30">
        <v>2019</v>
      </c>
      <c r="R212" s="30">
        <v>2019</v>
      </c>
      <c r="S212" s="30">
        <v>2000</v>
      </c>
      <c r="T212" s="32"/>
      <c r="U212" s="32"/>
      <c r="V212" s="32"/>
      <c r="W212" s="32"/>
      <c r="X212" s="32">
        <f>Inventory[[#This Row],[Bsmt Area]]-Inventory[[#This Row],[FnBsmt]]</f>
        <v>0</v>
      </c>
      <c r="Y212" s="32">
        <f>Inventory[[#This Row],[MainFn]]+Inventory[[#This Row],[UpprFn]]+Inventory[[#This Row],[AddFn]]+Inventory[[#This Row],[FnBsmt]]</f>
        <v>2000</v>
      </c>
      <c r="Z212" s="32">
        <v>2500</v>
      </c>
      <c r="AA212" s="31" t="s">
        <v>56</v>
      </c>
      <c r="AB212" s="32"/>
      <c r="AC212" s="38">
        <v>702</v>
      </c>
      <c r="AD212" s="32"/>
      <c r="AE212" s="32"/>
      <c r="AF212" s="32"/>
      <c r="AG212" s="32"/>
      <c r="AH212" s="32"/>
      <c r="AI212" s="30">
        <v>436101</v>
      </c>
      <c r="AJ212" s="30">
        <v>418657</v>
      </c>
      <c r="AK212" s="30">
        <v>0</v>
      </c>
      <c r="AL212" s="30">
        <v>0</v>
      </c>
      <c r="AM212" s="30">
        <v>59000</v>
      </c>
      <c r="AN212" s="30">
        <v>352600</v>
      </c>
      <c r="AO212" s="30">
        <v>411600</v>
      </c>
      <c r="AP212" s="30">
        <f>Lookups!$B$58*0.6</f>
        <v>132535.48800000001</v>
      </c>
      <c r="AQ212" s="30">
        <f>Lookups!$B$58*0.4</f>
        <v>88356.992000000013</v>
      </c>
      <c r="AR212" s="30">
        <f>Lookups!$B$59*Inventory[[#This Row],[LnAcres]]</f>
        <v>-23647.530262837776</v>
      </c>
      <c r="AS212" s="30">
        <f>VLOOKUP(Inventory[[#This Row],[Qlty]],Lookups!$A$66:$E$79,2,FALSE)</f>
        <v>32917.849192000001</v>
      </c>
      <c r="AT212" s="30">
        <f>VLOOKUP(Inventory[[#This Row],[Cnd]],Lookups!$A$80:$E$88,2,FALSE)</f>
        <v>50438.379078999998</v>
      </c>
      <c r="AU212" s="30">
        <f>Inventory[[#This Row],[EffAge]]*Lookups!$B$65</f>
        <v>-543.70550000000003</v>
      </c>
      <c r="AV212" s="30">
        <f>Inventory[[#This Row],[MainFn]]*Lookups!$B$90</f>
        <v>124820.76000000001</v>
      </c>
      <c r="AW212" s="30">
        <f>Inventory[[#This Row],[UpprFn]]*Lookups!$B$91</f>
        <v>0</v>
      </c>
      <c r="AX212" s="30">
        <f>Inventory[[#This Row],[Bsmt Area]]*Lookups!$B$95</f>
        <v>0</v>
      </c>
      <c r="AY212" s="30">
        <f>Inventory[[#This Row],[AttGar]]*Lookups!$B$93</f>
        <v>24781.323762</v>
      </c>
      <c r="AZ212" s="30">
        <f>ROUND(Inventory[[#This Row],[25Det]],-2)</f>
        <v>0</v>
      </c>
      <c r="BA212" s="30">
        <f>ROUND(SUM(Inventory[[#This Row],[Mdl Qlty]:[Mdl Garage Area]])+Inventory[[#This Row],[Mdl Res Intercept]],-2)</f>
        <v>365000</v>
      </c>
      <c r="BB212" s="30">
        <f>ROUND(Inventory[[#This Row],[Mdl Land Intercept]]+Inventory[[#This Row],[Mdl LnAcres]],-2)</f>
        <v>64700</v>
      </c>
      <c r="BC212" s="30">
        <f>Inventory[[#This Row],[Unadj Res Value]]+Inventory[[#This Row],[Unadj Det Value]]+Inventory[[#This Row],[Unadj Land Value]]</f>
        <v>429700</v>
      </c>
      <c r="BD212" s="30">
        <f>(Inventory[[#This Row],[Unadj Total Value]]-Inventory[[#This Row],[24Final]])/Inventory[[#This Row],[24Final]]</f>
        <v>4.3974732750242954E-2</v>
      </c>
      <c r="BE212" s="30">
        <f>VLOOKUP(Inventory[[#This Row],[Nbhd]],Lookups!$M$3:$P$5,4,FALSE)</f>
        <v>0.99970000000000003</v>
      </c>
      <c r="BF212" s="30">
        <f>VLOOKUP(Inventory[[#This Row],[Qlty]],Lookups!$M$8:$P$22,4,FALSE)</f>
        <v>1.0019</v>
      </c>
      <c r="BG212" s="30">
        <f>VLOOKUP(Inventory[[#This Row],[Cnd]],Lookups!$R$8:$U$17,4,FALSE)</f>
        <v>1.0007999999999999</v>
      </c>
      <c r="BH212" s="30">
        <f>VLOOKUP(Inventory[[#This Row],[LivArea Range]],Lookups!$R$25:$U$43,4,FALSE)</f>
        <v>1.0008999999999999</v>
      </c>
      <c r="BI212" s="30">
        <f>VLOOKUP(Inventory[[#This Row],[Decade]],Lookups!$M$24:$P$40,4,FALSE)</f>
        <v>1</v>
      </c>
      <c r="BJ212" s="30">
        <f>Inventory[[#This Row],[Nbhd Adj]]*0.95</f>
        <v>0.94971499999999998</v>
      </c>
      <c r="BK212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212" s="30">
        <f>ROUND((SUM(Inventory[[#This Row],[Mdl Qlty]:[Mdl Garage Area]])+Inventory[[#This Row],[Mdl Res Intercept]])*Inventory[[#This Row],[Res Adj ]],-2)</f>
        <v>346900</v>
      </c>
      <c r="BM212" s="30">
        <f>ROUND(Inventory[[#This Row],[25Det]]*Inventory[[#This Row],[Det/Nbhd Adj]],-2)</f>
        <v>0</v>
      </c>
      <c r="BN212" s="30">
        <f>Inventory[[#This Row],[Adjusted Res]]+Inventory[[#This Row],[Adj Det ]]</f>
        <v>346900</v>
      </c>
      <c r="BO212" s="30">
        <f>ROUND((Inventory[[#This Row],[Mdl Land Intercept]]+Inventory[[#This Row],[Mdl LnAcres]])*Inventory[[#This Row],[Det/Nbhd Adj]],-2)</f>
        <v>61500</v>
      </c>
      <c r="BP212" s="30">
        <f>Inventory[[#This Row],[Adjusted Impr Total]]+Inventory[[#This Row],[Adjusted Land Total]]</f>
        <v>408400</v>
      </c>
      <c r="BQ212" s="30">
        <f>IFERROR((Inventory[[#This Row],[Adjusted Impr Total]]-Inventory[[#This Row],[24Bldg]])/Inventory[[#This Row],[24Bldg]],0)</f>
        <v>-1.6165626772546796E-2</v>
      </c>
      <c r="BR212" s="43">
        <f>(Inventory[[#This Row],[Adjusted Land Total]]-Inventory[[#This Row],[24Lnd]])/Inventory[[#This Row],[24Lnd]]</f>
        <v>4.2372881355932202E-2</v>
      </c>
      <c r="BS212" s="43">
        <f>(Inventory[[#This Row],[Adjusted Total]]-Inventory[[#This Row],[24Final]])/Inventory[[#This Row],[24Final]]</f>
        <v>-7.7745383867832843E-3</v>
      </c>
    </row>
    <row r="213" spans="1:71">
      <c r="A213" s="30">
        <v>2025</v>
      </c>
      <c r="B213" s="31" t="s">
        <v>722</v>
      </c>
      <c r="C213" s="31">
        <f>LN(Inventory[[#This Row],[Acres]])</f>
        <v>-1.7957674906255938</v>
      </c>
      <c r="D213" s="37">
        <f>ROUND(Inventory[[#This Row],[Sqft]]/43560,3)</f>
        <v>0.16600000000000001</v>
      </c>
      <c r="E213" s="30">
        <v>7252</v>
      </c>
      <c r="F213" s="31" t="s">
        <v>505</v>
      </c>
      <c r="G213" s="31" t="s">
        <v>155</v>
      </c>
      <c r="H213" s="31" t="s">
        <v>5</v>
      </c>
      <c r="I213" s="31" t="s">
        <v>506</v>
      </c>
      <c r="J213" s="31" t="s">
        <v>507</v>
      </c>
      <c r="K213" s="31" t="s">
        <v>157</v>
      </c>
      <c r="L213" s="31" t="s">
        <v>21</v>
      </c>
      <c r="M213" s="31" t="s">
        <v>22</v>
      </c>
      <c r="N213" s="31">
        <v>0</v>
      </c>
      <c r="O213" s="31">
        <f>2024-Inventory[[#This Row],[YrBlt]]</f>
        <v>5</v>
      </c>
      <c r="P213" s="31">
        <f>2024-Inventory[[#This Row],[EffYr]]</f>
        <v>5</v>
      </c>
      <c r="Q213" s="30">
        <v>2019</v>
      </c>
      <c r="R213" s="30">
        <v>2019</v>
      </c>
      <c r="S213" s="30">
        <v>1752</v>
      </c>
      <c r="T213" s="32"/>
      <c r="U213" s="37"/>
      <c r="V213" s="32"/>
      <c r="W213" s="37"/>
      <c r="X213" s="37">
        <f>Inventory[[#This Row],[Bsmt Area]]-Inventory[[#This Row],[FnBsmt]]</f>
        <v>0</v>
      </c>
      <c r="Y213" s="37">
        <f>Inventory[[#This Row],[MainFn]]+Inventory[[#This Row],[UpprFn]]+Inventory[[#This Row],[AddFn]]+Inventory[[#This Row],[FnBsmt]]</f>
        <v>1752</v>
      </c>
      <c r="Z213" s="32">
        <v>2000</v>
      </c>
      <c r="AA213" s="31" t="s">
        <v>57</v>
      </c>
      <c r="AB213" s="32"/>
      <c r="AC213" s="38">
        <v>420</v>
      </c>
      <c r="AD213" s="37"/>
      <c r="AE213" s="32"/>
      <c r="AF213" s="32"/>
      <c r="AG213" s="32"/>
      <c r="AH213" s="32"/>
      <c r="AI213" s="30">
        <v>379110</v>
      </c>
      <c r="AJ213" s="30">
        <v>363946</v>
      </c>
      <c r="AK213" s="30">
        <v>0</v>
      </c>
      <c r="AL213" s="30">
        <v>0</v>
      </c>
      <c r="AM213" s="30">
        <v>61700</v>
      </c>
      <c r="AN213" s="30">
        <v>336000</v>
      </c>
      <c r="AO213" s="30">
        <v>397700</v>
      </c>
      <c r="AP213" s="30">
        <f>Lookups!$B$58*0.6</f>
        <v>132535.48800000001</v>
      </c>
      <c r="AQ213" s="30">
        <f>Lookups!$B$58*0.4</f>
        <v>88356.992000000013</v>
      </c>
      <c r="AR213" s="30">
        <f>Lookups!$B$59*Inventory[[#This Row],[LnAcres]]</f>
        <v>-23568.228988334784</v>
      </c>
      <c r="AS213" s="30">
        <f>VLOOKUP(Inventory[[#This Row],[Qlty]],Lookups!$A$66:$E$79,2,FALSE)</f>
        <v>32917.849192000001</v>
      </c>
      <c r="AT213" s="30">
        <f>VLOOKUP(Inventory[[#This Row],[Cnd]],Lookups!$A$80:$E$88,2,FALSE)</f>
        <v>50438.379078999998</v>
      </c>
      <c r="AU213" s="30">
        <f>Inventory[[#This Row],[EffAge]]*Lookups!$B$65</f>
        <v>-543.70550000000003</v>
      </c>
      <c r="AV213" s="30">
        <f>Inventory[[#This Row],[MainFn]]*Lookups!$B$90</f>
        <v>109342.98576000001</v>
      </c>
      <c r="AW213" s="30">
        <f>Inventory[[#This Row],[UpprFn]]*Lookups!$B$91</f>
        <v>0</v>
      </c>
      <c r="AX213" s="30">
        <f>Inventory[[#This Row],[Bsmt Area]]*Lookups!$B$95</f>
        <v>0</v>
      </c>
      <c r="AY213" s="30">
        <f>Inventory[[#This Row],[AttGar]]*Lookups!$B$93</f>
        <v>14826.43302</v>
      </c>
      <c r="AZ213" s="30">
        <f>ROUND(Inventory[[#This Row],[25Det]],-2)</f>
        <v>0</v>
      </c>
      <c r="BA213" s="30">
        <f>ROUND(SUM(Inventory[[#This Row],[Mdl Qlty]:[Mdl Garage Area]])+Inventory[[#This Row],[Mdl Res Intercept]],-2)</f>
        <v>339500</v>
      </c>
      <c r="BB213" s="30">
        <f>ROUND(Inventory[[#This Row],[Mdl Land Intercept]]+Inventory[[#This Row],[Mdl LnAcres]],-2)</f>
        <v>64800</v>
      </c>
      <c r="BC213" s="30">
        <f>Inventory[[#This Row],[Unadj Res Value]]+Inventory[[#This Row],[Unadj Det Value]]+Inventory[[#This Row],[Unadj Land Value]]</f>
        <v>404300</v>
      </c>
      <c r="BD213" s="30">
        <f>(Inventory[[#This Row],[Unadj Total Value]]-Inventory[[#This Row],[24Final]])/Inventory[[#This Row],[24Final]]</f>
        <v>1.6595423686195626E-2</v>
      </c>
      <c r="BE213" s="30">
        <f>VLOOKUP(Inventory[[#This Row],[Nbhd]],Lookups!$M$3:$P$5,4,FALSE)</f>
        <v>0.99970000000000003</v>
      </c>
      <c r="BF213" s="30">
        <f>VLOOKUP(Inventory[[#This Row],[Qlty]],Lookups!$M$8:$P$22,4,FALSE)</f>
        <v>1.0019</v>
      </c>
      <c r="BG213" s="30">
        <f>VLOOKUP(Inventory[[#This Row],[Cnd]],Lookups!$R$8:$U$17,4,FALSE)</f>
        <v>1.0007999999999999</v>
      </c>
      <c r="BH213" s="30">
        <f>VLOOKUP(Inventory[[#This Row],[LivArea Range]],Lookups!$R$25:$U$43,4,FALSE)</f>
        <v>1.0007999999999999</v>
      </c>
      <c r="BI213" s="30">
        <f>VLOOKUP(Inventory[[#This Row],[Decade]],Lookups!$M$24:$P$40,4,FALSE)</f>
        <v>1</v>
      </c>
      <c r="BJ213" s="30">
        <f>Inventory[[#This Row],[Nbhd Adj]]*0.95</f>
        <v>0.94971499999999998</v>
      </c>
      <c r="BK213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213" s="30">
        <f>ROUND((SUM(Inventory[[#This Row],[Mdl Qlty]:[Mdl Garage Area]])+Inventory[[#This Row],[Mdl Res Intercept]])*Inventory[[#This Row],[Res Adj ]],-2)</f>
        <v>322700</v>
      </c>
      <c r="BM213" s="30">
        <f>ROUND(Inventory[[#This Row],[25Det]]*Inventory[[#This Row],[Det/Nbhd Adj]],-2)</f>
        <v>0</v>
      </c>
      <c r="BN213" s="30">
        <f>Inventory[[#This Row],[Adjusted Res]]+Inventory[[#This Row],[Adj Det ]]</f>
        <v>322700</v>
      </c>
      <c r="BO213" s="30">
        <f>ROUND((Inventory[[#This Row],[Mdl Land Intercept]]+Inventory[[#This Row],[Mdl LnAcres]])*Inventory[[#This Row],[Det/Nbhd Adj]],-2)</f>
        <v>61500</v>
      </c>
      <c r="BP213" s="30">
        <f>Inventory[[#This Row],[Adjusted Impr Total]]+Inventory[[#This Row],[Adjusted Land Total]]</f>
        <v>384200</v>
      </c>
      <c r="BQ213" s="30">
        <f>IFERROR((Inventory[[#This Row],[Adjusted Impr Total]]-Inventory[[#This Row],[24Bldg]])/Inventory[[#This Row],[24Bldg]],0)</f>
        <v>-3.9583333333333331E-2</v>
      </c>
      <c r="BR213" s="43">
        <f>(Inventory[[#This Row],[Adjusted Land Total]]-Inventory[[#This Row],[24Lnd]])/Inventory[[#This Row],[24Lnd]]</f>
        <v>-3.2414910858995136E-3</v>
      </c>
      <c r="BS213" s="43">
        <f>(Inventory[[#This Row],[Adjusted Total]]-Inventory[[#This Row],[24Final]])/Inventory[[#This Row],[24Final]]</f>
        <v>-3.394518481267287E-2</v>
      </c>
    </row>
    <row r="214" spans="1:71">
      <c r="A214" s="30">
        <v>2025</v>
      </c>
      <c r="B214" s="31" t="s">
        <v>723</v>
      </c>
      <c r="C214" s="31">
        <f>LN(Inventory[[#This Row],[Acres]])</f>
        <v>-1.7957674906255938</v>
      </c>
      <c r="D214" s="37">
        <f>ROUND(Inventory[[#This Row],[Sqft]]/43560,3)</f>
        <v>0.16600000000000001</v>
      </c>
      <c r="E214" s="30">
        <v>7224</v>
      </c>
      <c r="F214" s="31" t="s">
        <v>505</v>
      </c>
      <c r="G214" s="31" t="s">
        <v>155</v>
      </c>
      <c r="H214" s="31" t="s">
        <v>5</v>
      </c>
      <c r="I214" s="31" t="s">
        <v>506</v>
      </c>
      <c r="J214" s="31" t="s">
        <v>507</v>
      </c>
      <c r="K214" s="31" t="s">
        <v>330</v>
      </c>
      <c r="L214" s="31" t="s">
        <v>19</v>
      </c>
      <c r="M214" s="31" t="s">
        <v>22</v>
      </c>
      <c r="N214" s="31">
        <v>0</v>
      </c>
      <c r="O214" s="31">
        <f>2024-Inventory[[#This Row],[YrBlt]]</f>
        <v>5</v>
      </c>
      <c r="P214" s="31">
        <f>2024-Inventory[[#This Row],[EffYr]]</f>
        <v>5</v>
      </c>
      <c r="Q214" s="30">
        <v>2019</v>
      </c>
      <c r="R214" s="30">
        <v>2019</v>
      </c>
      <c r="S214" s="30">
        <v>1529</v>
      </c>
      <c r="T214" s="32"/>
      <c r="U214" s="32"/>
      <c r="V214" s="32"/>
      <c r="W214" s="32"/>
      <c r="X214" s="32">
        <f>Inventory[[#This Row],[Bsmt Area]]-Inventory[[#This Row],[FnBsmt]]</f>
        <v>0</v>
      </c>
      <c r="Y214" s="32">
        <f>Inventory[[#This Row],[MainFn]]+Inventory[[#This Row],[UpprFn]]+Inventory[[#This Row],[AddFn]]+Inventory[[#This Row],[FnBsmt]]</f>
        <v>1529</v>
      </c>
      <c r="Z214" s="32">
        <v>2000</v>
      </c>
      <c r="AA214" s="31" t="s">
        <v>56</v>
      </c>
      <c r="AB214" s="32"/>
      <c r="AC214" s="38">
        <v>441</v>
      </c>
      <c r="AD214" s="32"/>
      <c r="AE214" s="32"/>
      <c r="AF214" s="32"/>
      <c r="AG214" s="32"/>
      <c r="AH214" s="32"/>
      <c r="AI214" s="30">
        <v>324007</v>
      </c>
      <c r="AJ214" s="30">
        <v>311047</v>
      </c>
      <c r="AK214" s="30">
        <v>0</v>
      </c>
      <c r="AL214" s="30">
        <v>0</v>
      </c>
      <c r="AM214" s="30">
        <v>61700</v>
      </c>
      <c r="AN214" s="30">
        <v>358400</v>
      </c>
      <c r="AO214" s="30">
        <v>420100</v>
      </c>
      <c r="AP214" s="30">
        <f>Lookups!$B$58*0.6</f>
        <v>132535.48800000001</v>
      </c>
      <c r="AQ214" s="30">
        <f>Lookups!$B$58*0.4</f>
        <v>88356.992000000013</v>
      </c>
      <c r="AR214" s="30">
        <f>Lookups!$B$59*Inventory[[#This Row],[LnAcres]]</f>
        <v>-23568.228988334784</v>
      </c>
      <c r="AS214" s="30">
        <f>VLOOKUP(Inventory[[#This Row],[Qlty]],Lookups!$A$66:$E$79,2,FALSE)</f>
        <v>37154.252388000001</v>
      </c>
      <c r="AT214" s="30">
        <f>VLOOKUP(Inventory[[#This Row],[Cnd]],Lookups!$A$80:$E$88,2,FALSE)</f>
        <v>50438.379078999998</v>
      </c>
      <c r="AU214" s="30">
        <f>Inventory[[#This Row],[EffAge]]*Lookups!$B$65</f>
        <v>-543.70550000000003</v>
      </c>
      <c r="AV214" s="30">
        <f>Inventory[[#This Row],[MainFn]]*Lookups!$B$90</f>
        <v>95425.471020000012</v>
      </c>
      <c r="AW214" s="30">
        <f>Inventory[[#This Row],[UpprFn]]*Lookups!$B$91</f>
        <v>0</v>
      </c>
      <c r="AX214" s="30">
        <f>Inventory[[#This Row],[Bsmt Area]]*Lookups!$B$95</f>
        <v>0</v>
      </c>
      <c r="AY214" s="30">
        <f>Inventory[[#This Row],[AttGar]]*Lookups!$B$93</f>
        <v>15567.754671000001</v>
      </c>
      <c r="AZ214" s="30">
        <f>ROUND(Inventory[[#This Row],[25Det]],-2)</f>
        <v>0</v>
      </c>
      <c r="BA214" s="30">
        <f>ROUND(SUM(Inventory[[#This Row],[Mdl Qlty]:[Mdl Garage Area]])+Inventory[[#This Row],[Mdl Res Intercept]],-2)</f>
        <v>330600</v>
      </c>
      <c r="BB214" s="30">
        <f>ROUND(Inventory[[#This Row],[Mdl Land Intercept]]+Inventory[[#This Row],[Mdl LnAcres]],-2)</f>
        <v>64800</v>
      </c>
      <c r="BC214" s="30">
        <f>Inventory[[#This Row],[Unadj Res Value]]+Inventory[[#This Row],[Unadj Det Value]]+Inventory[[#This Row],[Unadj Land Value]]</f>
        <v>395400</v>
      </c>
      <c r="BD214" s="30">
        <f>(Inventory[[#This Row],[Unadj Total Value]]-Inventory[[#This Row],[24Final]])/Inventory[[#This Row],[24Final]]</f>
        <v>-5.8795524875029752E-2</v>
      </c>
      <c r="BE214" s="30">
        <f>VLOOKUP(Inventory[[#This Row],[Nbhd]],Lookups!$M$3:$P$5,4,FALSE)</f>
        <v>0.99970000000000003</v>
      </c>
      <c r="BF214" s="30">
        <f>VLOOKUP(Inventory[[#This Row],[Qlty]],Lookups!$M$8:$P$22,4,FALSE)</f>
        <v>0.99819999999999998</v>
      </c>
      <c r="BG214" s="30">
        <f>VLOOKUP(Inventory[[#This Row],[Cnd]],Lookups!$R$8:$U$17,4,FALSE)</f>
        <v>1.0007999999999999</v>
      </c>
      <c r="BH214" s="30">
        <f>VLOOKUP(Inventory[[#This Row],[LivArea Range]],Lookups!$R$25:$U$43,4,FALSE)</f>
        <v>1.0007999999999999</v>
      </c>
      <c r="BI214" s="30">
        <f>VLOOKUP(Inventory[[#This Row],[Decade]],Lookups!$M$24:$P$40,4,FALSE)</f>
        <v>1</v>
      </c>
      <c r="BJ214" s="30">
        <f>Inventory[[#This Row],[Nbhd Adj]]*0.95</f>
        <v>0.94971499999999998</v>
      </c>
      <c r="BK214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214" s="30">
        <f>ROUND((SUM(Inventory[[#This Row],[Mdl Qlty]:[Mdl Garage Area]])+Inventory[[#This Row],[Mdl Res Intercept]])*Inventory[[#This Row],[Res Adj ]],-2)</f>
        <v>314000</v>
      </c>
      <c r="BM214" s="30">
        <f>ROUND(Inventory[[#This Row],[25Det]]*Inventory[[#This Row],[Det/Nbhd Adj]],-2)</f>
        <v>0</v>
      </c>
      <c r="BN214" s="30">
        <f>Inventory[[#This Row],[Adjusted Res]]+Inventory[[#This Row],[Adj Det ]]</f>
        <v>314000</v>
      </c>
      <c r="BO214" s="30">
        <f>ROUND((Inventory[[#This Row],[Mdl Land Intercept]]+Inventory[[#This Row],[Mdl LnAcres]])*Inventory[[#This Row],[Det/Nbhd Adj]],-2)</f>
        <v>61500</v>
      </c>
      <c r="BP214" s="30">
        <f>Inventory[[#This Row],[Adjusted Impr Total]]+Inventory[[#This Row],[Adjusted Land Total]]</f>
        <v>375500</v>
      </c>
      <c r="BQ214" s="30">
        <f>IFERROR((Inventory[[#This Row],[Adjusted Impr Total]]-Inventory[[#This Row],[24Bldg]])/Inventory[[#This Row],[24Bldg]],0)</f>
        <v>-0.12388392857142858</v>
      </c>
      <c r="BR214" s="43">
        <f>(Inventory[[#This Row],[Adjusted Land Total]]-Inventory[[#This Row],[24Lnd]])/Inventory[[#This Row],[24Lnd]]</f>
        <v>-3.2414910858995136E-3</v>
      </c>
      <c r="BS214" s="43">
        <f>(Inventory[[#This Row],[Adjusted Total]]-Inventory[[#This Row],[24Final]])/Inventory[[#This Row],[24Final]]</f>
        <v>-0.10616519876219947</v>
      </c>
    </row>
    <row r="215" spans="1:71">
      <c r="A215" s="30">
        <v>2025</v>
      </c>
      <c r="B215" s="31" t="s">
        <v>724</v>
      </c>
      <c r="C215" s="31">
        <f>LN(Inventory[[#This Row],[Acres]])</f>
        <v>-1.7957674906255938</v>
      </c>
      <c r="D215" s="37">
        <f>ROUND(Inventory[[#This Row],[Sqft]]/43560,3)</f>
        <v>0.16600000000000001</v>
      </c>
      <c r="E215" s="30">
        <v>7252</v>
      </c>
      <c r="F215" s="31" t="s">
        <v>505</v>
      </c>
      <c r="G215" s="31" t="s">
        <v>155</v>
      </c>
      <c r="H215" s="31" t="s">
        <v>5</v>
      </c>
      <c r="I215" s="31" t="s">
        <v>506</v>
      </c>
      <c r="J215" s="31" t="s">
        <v>507</v>
      </c>
      <c r="K215" s="31" t="s">
        <v>330</v>
      </c>
      <c r="L215" s="31" t="s">
        <v>19</v>
      </c>
      <c r="M215" s="31" t="s">
        <v>22</v>
      </c>
      <c r="N215" s="31">
        <v>0</v>
      </c>
      <c r="O215" s="31">
        <f>2024-Inventory[[#This Row],[YrBlt]]</f>
        <v>5</v>
      </c>
      <c r="P215" s="31">
        <f>2024-Inventory[[#This Row],[EffYr]]</f>
        <v>5</v>
      </c>
      <c r="Q215" s="30">
        <v>2019</v>
      </c>
      <c r="R215" s="30">
        <v>2019</v>
      </c>
      <c r="S215" s="30">
        <v>1550</v>
      </c>
      <c r="T215" s="32"/>
      <c r="U215" s="32"/>
      <c r="V215" s="32"/>
      <c r="W215" s="32"/>
      <c r="X215" s="32">
        <f>Inventory[[#This Row],[Bsmt Area]]-Inventory[[#This Row],[FnBsmt]]</f>
        <v>0</v>
      </c>
      <c r="Y215" s="32">
        <f>Inventory[[#This Row],[MainFn]]+Inventory[[#This Row],[UpprFn]]+Inventory[[#This Row],[AddFn]]+Inventory[[#This Row],[FnBsmt]]</f>
        <v>1550</v>
      </c>
      <c r="Z215" s="32">
        <v>2000</v>
      </c>
      <c r="AA215" s="31" t="s">
        <v>56</v>
      </c>
      <c r="AB215" s="38">
        <v>1</v>
      </c>
      <c r="AC215" s="38">
        <v>420</v>
      </c>
      <c r="AD215" s="32"/>
      <c r="AE215" s="32"/>
      <c r="AF215" s="32"/>
      <c r="AG215" s="32"/>
      <c r="AH215" s="32"/>
      <c r="AI215" s="30">
        <v>311288</v>
      </c>
      <c r="AJ215" s="30">
        <v>298836</v>
      </c>
      <c r="AK215" s="30">
        <v>0</v>
      </c>
      <c r="AL215" s="30">
        <v>0</v>
      </c>
      <c r="AM215" s="30">
        <v>61700</v>
      </c>
      <c r="AN215" s="30">
        <v>330100</v>
      </c>
      <c r="AO215" s="30">
        <v>391800</v>
      </c>
      <c r="AP215" s="30">
        <f>Lookups!$B$58*0.6</f>
        <v>132535.48800000001</v>
      </c>
      <c r="AQ215" s="30">
        <f>Lookups!$B$58*0.4</f>
        <v>88356.992000000013</v>
      </c>
      <c r="AR215" s="30">
        <f>Lookups!$B$59*Inventory[[#This Row],[LnAcres]]</f>
        <v>-23568.228988334784</v>
      </c>
      <c r="AS215" s="30">
        <f>VLOOKUP(Inventory[[#This Row],[Qlty]],Lookups!$A$66:$E$79,2,FALSE)</f>
        <v>37154.252388000001</v>
      </c>
      <c r="AT215" s="30">
        <f>VLOOKUP(Inventory[[#This Row],[Cnd]],Lookups!$A$80:$E$88,2,FALSE)</f>
        <v>50438.379078999998</v>
      </c>
      <c r="AU215" s="30">
        <f>Inventory[[#This Row],[EffAge]]*Lookups!$B$65</f>
        <v>-543.70550000000003</v>
      </c>
      <c r="AV215" s="30">
        <f>Inventory[[#This Row],[MainFn]]*Lookups!$B$90</f>
        <v>96736.089000000007</v>
      </c>
      <c r="AW215" s="30">
        <f>Inventory[[#This Row],[UpprFn]]*Lookups!$B$91</f>
        <v>0</v>
      </c>
      <c r="AX215" s="30">
        <f>Inventory[[#This Row],[Bsmt Area]]*Lookups!$B$95</f>
        <v>0</v>
      </c>
      <c r="AY215" s="30">
        <f>Inventory[[#This Row],[AttGar]]*Lookups!$B$93</f>
        <v>14826.43302</v>
      </c>
      <c r="AZ215" s="30">
        <f>ROUND(Inventory[[#This Row],[25Det]],-2)</f>
        <v>0</v>
      </c>
      <c r="BA215" s="30">
        <f>ROUND(SUM(Inventory[[#This Row],[Mdl Qlty]:[Mdl Garage Area]])+Inventory[[#This Row],[Mdl Res Intercept]],-2)</f>
        <v>331100</v>
      </c>
      <c r="BB215" s="30">
        <f>ROUND(Inventory[[#This Row],[Mdl Land Intercept]]+Inventory[[#This Row],[Mdl LnAcres]],-2)</f>
        <v>64800</v>
      </c>
      <c r="BC215" s="30">
        <f>Inventory[[#This Row],[Unadj Res Value]]+Inventory[[#This Row],[Unadj Det Value]]+Inventory[[#This Row],[Unadj Land Value]]</f>
        <v>395900</v>
      </c>
      <c r="BD215" s="30">
        <f>(Inventory[[#This Row],[Unadj Total Value]]-Inventory[[#This Row],[24Final]])/Inventory[[#This Row],[24Final]]</f>
        <v>1.0464522715671261E-2</v>
      </c>
      <c r="BE215" s="30">
        <f>VLOOKUP(Inventory[[#This Row],[Nbhd]],Lookups!$M$3:$P$5,4,FALSE)</f>
        <v>0.99970000000000003</v>
      </c>
      <c r="BF215" s="30">
        <f>VLOOKUP(Inventory[[#This Row],[Qlty]],Lookups!$M$8:$P$22,4,FALSE)</f>
        <v>0.99819999999999998</v>
      </c>
      <c r="BG215" s="30">
        <f>VLOOKUP(Inventory[[#This Row],[Cnd]],Lookups!$R$8:$U$17,4,FALSE)</f>
        <v>1.0007999999999999</v>
      </c>
      <c r="BH215" s="30">
        <f>VLOOKUP(Inventory[[#This Row],[LivArea Range]],Lookups!$R$25:$U$43,4,FALSE)</f>
        <v>1.0007999999999999</v>
      </c>
      <c r="BI215" s="30">
        <f>VLOOKUP(Inventory[[#This Row],[Decade]],Lookups!$M$24:$P$40,4,FALSE)</f>
        <v>1</v>
      </c>
      <c r="BJ215" s="30">
        <f>Inventory[[#This Row],[Nbhd Adj]]*0.95</f>
        <v>0.94971499999999998</v>
      </c>
      <c r="BK215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215" s="30">
        <f>ROUND((SUM(Inventory[[#This Row],[Mdl Qlty]:[Mdl Garage Area]])+Inventory[[#This Row],[Mdl Res Intercept]])*Inventory[[#This Row],[Res Adj ]],-2)</f>
        <v>314600</v>
      </c>
      <c r="BM215" s="30">
        <f>ROUND(Inventory[[#This Row],[25Det]]*Inventory[[#This Row],[Det/Nbhd Adj]],-2)</f>
        <v>0</v>
      </c>
      <c r="BN215" s="30">
        <f>Inventory[[#This Row],[Adjusted Res]]+Inventory[[#This Row],[Adj Det ]]</f>
        <v>314600</v>
      </c>
      <c r="BO215" s="30">
        <f>ROUND((Inventory[[#This Row],[Mdl Land Intercept]]+Inventory[[#This Row],[Mdl LnAcres]])*Inventory[[#This Row],[Det/Nbhd Adj]],-2)</f>
        <v>61500</v>
      </c>
      <c r="BP215" s="30">
        <f>Inventory[[#This Row],[Adjusted Impr Total]]+Inventory[[#This Row],[Adjusted Land Total]]</f>
        <v>376100</v>
      </c>
      <c r="BQ215" s="30">
        <f>IFERROR((Inventory[[#This Row],[Adjusted Impr Total]]-Inventory[[#This Row],[24Bldg]])/Inventory[[#This Row],[24Bldg]],0)</f>
        <v>-4.6955468039987881E-2</v>
      </c>
      <c r="BR215" s="43">
        <f>(Inventory[[#This Row],[Adjusted Land Total]]-Inventory[[#This Row],[24Lnd]])/Inventory[[#This Row],[24Lnd]]</f>
        <v>-3.2414910858995136E-3</v>
      </c>
      <c r="BS215" s="43">
        <f>(Inventory[[#This Row],[Adjusted Total]]-Inventory[[#This Row],[24Final]])/Inventory[[#This Row],[24Final]]</f>
        <v>-4.0071465033180195E-2</v>
      </c>
    </row>
    <row r="216" spans="1:71">
      <c r="A216" s="30">
        <v>2025</v>
      </c>
      <c r="B216" s="31" t="s">
        <v>725</v>
      </c>
      <c r="C216" s="31">
        <f>LN(Inventory[[#This Row],[Acres]])</f>
        <v>-1.7957674906255938</v>
      </c>
      <c r="D216" s="37">
        <f>ROUND(Inventory[[#This Row],[Sqft]]/43560,3)</f>
        <v>0.16600000000000001</v>
      </c>
      <c r="E216" s="30">
        <v>7252</v>
      </c>
      <c r="F216" s="31" t="s">
        <v>505</v>
      </c>
      <c r="G216" s="31" t="s">
        <v>155</v>
      </c>
      <c r="H216" s="31" t="s">
        <v>5</v>
      </c>
      <c r="I216" s="31" t="s">
        <v>506</v>
      </c>
      <c r="J216" s="31" t="s">
        <v>507</v>
      </c>
      <c r="K216" s="31" t="s">
        <v>330</v>
      </c>
      <c r="L216" s="31" t="s">
        <v>21</v>
      </c>
      <c r="M216" s="31" t="s">
        <v>22</v>
      </c>
      <c r="N216" s="31">
        <v>0</v>
      </c>
      <c r="O216" s="31">
        <f>2024-Inventory[[#This Row],[YrBlt]]</f>
        <v>5</v>
      </c>
      <c r="P216" s="31">
        <f>2024-Inventory[[#This Row],[EffYr]]</f>
        <v>5</v>
      </c>
      <c r="Q216" s="30">
        <v>2019</v>
      </c>
      <c r="R216" s="30">
        <v>2019</v>
      </c>
      <c r="S216" s="30">
        <v>1770</v>
      </c>
      <c r="T216" s="32"/>
      <c r="U216" s="32"/>
      <c r="V216" s="32"/>
      <c r="W216" s="32"/>
      <c r="X216" s="32">
        <f>Inventory[[#This Row],[Bsmt Area]]-Inventory[[#This Row],[FnBsmt]]</f>
        <v>0</v>
      </c>
      <c r="Y216" s="32">
        <f>Inventory[[#This Row],[MainFn]]+Inventory[[#This Row],[UpprFn]]+Inventory[[#This Row],[AddFn]]+Inventory[[#This Row],[FnBsmt]]</f>
        <v>1770</v>
      </c>
      <c r="Z216" s="32">
        <v>2000</v>
      </c>
      <c r="AA216" s="31" t="s">
        <v>56</v>
      </c>
      <c r="AB216" s="32"/>
      <c r="AC216" s="30">
        <v>420</v>
      </c>
      <c r="AD216" s="32"/>
      <c r="AE216" s="32"/>
      <c r="AF216" s="32"/>
      <c r="AG216" s="32"/>
      <c r="AH216" s="32"/>
      <c r="AI216" s="30">
        <v>380108</v>
      </c>
      <c r="AJ216" s="30">
        <v>364904</v>
      </c>
      <c r="AK216" s="30">
        <v>0</v>
      </c>
      <c r="AL216" s="30">
        <v>0</v>
      </c>
      <c r="AM216" s="30">
        <v>61700</v>
      </c>
      <c r="AN216" s="30">
        <v>327600</v>
      </c>
      <c r="AO216" s="30">
        <v>389300</v>
      </c>
      <c r="AP216" s="30">
        <f>Lookups!$B$58*0.6</f>
        <v>132535.48800000001</v>
      </c>
      <c r="AQ216" s="30">
        <f>Lookups!$B$58*0.4</f>
        <v>88356.992000000013</v>
      </c>
      <c r="AR216" s="30">
        <f>Lookups!$B$59*Inventory[[#This Row],[LnAcres]]</f>
        <v>-23568.228988334784</v>
      </c>
      <c r="AS216" s="30">
        <f>VLOOKUP(Inventory[[#This Row],[Qlty]],Lookups!$A$66:$E$79,2,FALSE)</f>
        <v>32917.849192000001</v>
      </c>
      <c r="AT216" s="30">
        <f>VLOOKUP(Inventory[[#This Row],[Cnd]],Lookups!$A$80:$E$88,2,FALSE)</f>
        <v>50438.379078999998</v>
      </c>
      <c r="AU216" s="30">
        <f>Inventory[[#This Row],[EffAge]]*Lookups!$B$65</f>
        <v>-543.70550000000003</v>
      </c>
      <c r="AV216" s="30">
        <f>Inventory[[#This Row],[MainFn]]*Lookups!$B$90</f>
        <v>110466.3726</v>
      </c>
      <c r="AW216" s="30">
        <f>Inventory[[#This Row],[UpprFn]]*Lookups!$B$91</f>
        <v>0</v>
      </c>
      <c r="AX216" s="30">
        <f>Inventory[[#This Row],[Bsmt Area]]*Lookups!$B$95</f>
        <v>0</v>
      </c>
      <c r="AY216" s="30">
        <f>Inventory[[#This Row],[AttGar]]*Lookups!$B$93</f>
        <v>14826.43302</v>
      </c>
      <c r="AZ216" s="30">
        <f>ROUND(Inventory[[#This Row],[25Det]],-2)</f>
        <v>0</v>
      </c>
      <c r="BA216" s="30">
        <f>ROUND(SUM(Inventory[[#This Row],[Mdl Qlty]:[Mdl Garage Area]])+Inventory[[#This Row],[Mdl Res Intercept]],-2)</f>
        <v>340600</v>
      </c>
      <c r="BB216" s="30">
        <f>ROUND(Inventory[[#This Row],[Mdl Land Intercept]]+Inventory[[#This Row],[Mdl LnAcres]],-2)</f>
        <v>64800</v>
      </c>
      <c r="BC216" s="30">
        <f>Inventory[[#This Row],[Unadj Res Value]]+Inventory[[#This Row],[Unadj Det Value]]+Inventory[[#This Row],[Unadj Land Value]]</f>
        <v>405400</v>
      </c>
      <c r="BD216" s="30">
        <f>(Inventory[[#This Row],[Unadj Total Value]]-Inventory[[#This Row],[24Final]])/Inventory[[#This Row],[24Final]]</f>
        <v>4.1356280503467763E-2</v>
      </c>
      <c r="BE216" s="30">
        <f>VLOOKUP(Inventory[[#This Row],[Nbhd]],Lookups!$M$3:$P$5,4,FALSE)</f>
        <v>0.99970000000000003</v>
      </c>
      <c r="BF216" s="30">
        <f>VLOOKUP(Inventory[[#This Row],[Qlty]],Lookups!$M$8:$P$22,4,FALSE)</f>
        <v>1.0019</v>
      </c>
      <c r="BG216" s="30">
        <f>VLOOKUP(Inventory[[#This Row],[Cnd]],Lookups!$R$8:$U$17,4,FALSE)</f>
        <v>1.0007999999999999</v>
      </c>
      <c r="BH216" s="30">
        <f>VLOOKUP(Inventory[[#This Row],[LivArea Range]],Lookups!$R$25:$U$43,4,FALSE)</f>
        <v>1.0007999999999999</v>
      </c>
      <c r="BI216" s="30">
        <f>VLOOKUP(Inventory[[#This Row],[Decade]],Lookups!$M$24:$P$40,4,FALSE)</f>
        <v>1</v>
      </c>
      <c r="BJ216" s="30">
        <f>Inventory[[#This Row],[Nbhd Adj]]*0.95</f>
        <v>0.94971499999999998</v>
      </c>
      <c r="BK216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216" s="30">
        <f>ROUND((SUM(Inventory[[#This Row],[Mdl Qlty]:[Mdl Garage Area]])+Inventory[[#This Row],[Mdl Res Intercept]])*Inventory[[#This Row],[Res Adj ]],-2)</f>
        <v>323800</v>
      </c>
      <c r="BM216" s="30">
        <f>ROUND(Inventory[[#This Row],[25Det]]*Inventory[[#This Row],[Det/Nbhd Adj]],-2)</f>
        <v>0</v>
      </c>
      <c r="BN216" s="30">
        <f>Inventory[[#This Row],[Adjusted Res]]+Inventory[[#This Row],[Adj Det ]]</f>
        <v>323800</v>
      </c>
      <c r="BO216" s="30">
        <f>ROUND((Inventory[[#This Row],[Mdl Land Intercept]]+Inventory[[#This Row],[Mdl LnAcres]])*Inventory[[#This Row],[Det/Nbhd Adj]],-2)</f>
        <v>61500</v>
      </c>
      <c r="BP216" s="30">
        <f>Inventory[[#This Row],[Adjusted Impr Total]]+Inventory[[#This Row],[Adjusted Land Total]]</f>
        <v>385300</v>
      </c>
      <c r="BQ216" s="30">
        <f>IFERROR((Inventory[[#This Row],[Adjusted Impr Total]]-Inventory[[#This Row],[24Bldg]])/Inventory[[#This Row],[24Bldg]],0)</f>
        <v>-1.15995115995116E-2</v>
      </c>
      <c r="BR216" s="43">
        <f>(Inventory[[#This Row],[Adjusted Land Total]]-Inventory[[#This Row],[24Lnd]])/Inventory[[#This Row],[24Lnd]]</f>
        <v>-3.2414910858995136E-3</v>
      </c>
      <c r="BS216" s="43">
        <f>(Inventory[[#This Row],[Adjusted Total]]-Inventory[[#This Row],[24Final]])/Inventory[[#This Row],[24Final]]</f>
        <v>-1.0274852298998202E-2</v>
      </c>
    </row>
    <row r="217" spans="1:71">
      <c r="A217" s="30">
        <v>2025</v>
      </c>
      <c r="B217" s="31" t="s">
        <v>726</v>
      </c>
      <c r="C217" s="31">
        <f>LN(Inventory[[#This Row],[Acres]])</f>
        <v>-1.7897614665653818</v>
      </c>
      <c r="D217" s="37">
        <f>ROUND(Inventory[[#This Row],[Sqft]]/43560,3)</f>
        <v>0.16700000000000001</v>
      </c>
      <c r="E217" s="30">
        <v>7263</v>
      </c>
      <c r="F217" s="31" t="s">
        <v>505</v>
      </c>
      <c r="G217" s="31" t="s">
        <v>155</v>
      </c>
      <c r="H217" s="31" t="s">
        <v>5</v>
      </c>
      <c r="I217" s="31" t="s">
        <v>506</v>
      </c>
      <c r="J217" s="31" t="s">
        <v>507</v>
      </c>
      <c r="K217" s="31" t="s">
        <v>330</v>
      </c>
      <c r="L217" s="31" t="s">
        <v>19</v>
      </c>
      <c r="M217" s="31" t="s">
        <v>22</v>
      </c>
      <c r="N217" s="31">
        <v>0</v>
      </c>
      <c r="O217" s="31">
        <f>2024-Inventory[[#This Row],[YrBlt]]</f>
        <v>5</v>
      </c>
      <c r="P217" s="31">
        <f>2024-Inventory[[#This Row],[EffYr]]</f>
        <v>5</v>
      </c>
      <c r="Q217" s="30">
        <v>2019</v>
      </c>
      <c r="R217" s="30">
        <v>2019</v>
      </c>
      <c r="S217" s="30">
        <v>1672</v>
      </c>
      <c r="T217" s="38">
        <v>1107</v>
      </c>
      <c r="U217" s="32"/>
      <c r="V217" s="32"/>
      <c r="W217" s="32"/>
      <c r="X217" s="32">
        <f>Inventory[[#This Row],[Bsmt Area]]-Inventory[[#This Row],[FnBsmt]]</f>
        <v>0</v>
      </c>
      <c r="Y217" s="32">
        <f>Inventory[[#This Row],[MainFn]]+Inventory[[#This Row],[UpprFn]]+Inventory[[#This Row],[AddFn]]+Inventory[[#This Row],[FnBsmt]]</f>
        <v>2779</v>
      </c>
      <c r="Z217" s="32">
        <v>3000</v>
      </c>
      <c r="AA217" s="31" t="s">
        <v>56</v>
      </c>
      <c r="AB217" s="38">
        <v>1</v>
      </c>
      <c r="AC217" s="32"/>
      <c r="AD217" s="38">
        <v>420</v>
      </c>
      <c r="AE217" s="32"/>
      <c r="AF217" s="32"/>
      <c r="AG217" s="32"/>
      <c r="AH217" s="32"/>
      <c r="AI217" s="30">
        <v>454720</v>
      </c>
      <c r="AJ217" s="30">
        <v>436531</v>
      </c>
      <c r="AK217" s="30">
        <v>0</v>
      </c>
      <c r="AL217" s="30">
        <v>0</v>
      </c>
      <c r="AM217" s="30">
        <v>61700</v>
      </c>
      <c r="AN217" s="30">
        <v>384000</v>
      </c>
      <c r="AO217" s="30">
        <v>445700</v>
      </c>
      <c r="AP217" s="30">
        <f>Lookups!$B$58*0.6</f>
        <v>132535.48800000001</v>
      </c>
      <c r="AQ217" s="30">
        <f>Lookups!$B$58*0.4</f>
        <v>88356.992000000013</v>
      </c>
      <c r="AR217" s="30">
        <f>Lookups!$B$59*Inventory[[#This Row],[LnAcres]]</f>
        <v>-23489.404000634837</v>
      </c>
      <c r="AS217" s="30">
        <f>VLOOKUP(Inventory[[#This Row],[Qlty]],Lookups!$A$66:$E$79,2,FALSE)</f>
        <v>37154.252388000001</v>
      </c>
      <c r="AT217" s="30">
        <f>VLOOKUP(Inventory[[#This Row],[Cnd]],Lookups!$A$80:$E$88,2,FALSE)</f>
        <v>50438.379078999998</v>
      </c>
      <c r="AU217" s="30">
        <f>Inventory[[#This Row],[EffAge]]*Lookups!$B$65</f>
        <v>-543.70550000000003</v>
      </c>
      <c r="AV217" s="30">
        <f>Inventory[[#This Row],[MainFn]]*Lookups!$B$90</f>
        <v>104350.15536</v>
      </c>
      <c r="AW217" s="30">
        <f>Inventory[[#This Row],[UpprFn]]*Lookups!$B$91</f>
        <v>65955.483980999998</v>
      </c>
      <c r="AX217" s="30">
        <f>Inventory[[#This Row],[Bsmt Area]]*Lookups!$B$95</f>
        <v>0</v>
      </c>
      <c r="AY217" s="30">
        <f>Inventory[[#This Row],[AttGar]]*Lookups!$B$93</f>
        <v>0</v>
      </c>
      <c r="AZ217" s="30">
        <f>ROUND(Inventory[[#This Row],[25Det]],-2)</f>
        <v>0</v>
      </c>
      <c r="BA217" s="30">
        <f>ROUND(SUM(Inventory[[#This Row],[Mdl Qlty]:[Mdl Garage Area]])+Inventory[[#This Row],[Mdl Res Intercept]],-2)</f>
        <v>389900</v>
      </c>
      <c r="BB217" s="30">
        <f>ROUND(Inventory[[#This Row],[Mdl Land Intercept]]+Inventory[[#This Row],[Mdl LnAcres]],-2)</f>
        <v>64900</v>
      </c>
      <c r="BC217" s="30">
        <f>Inventory[[#This Row],[Unadj Res Value]]+Inventory[[#This Row],[Unadj Det Value]]+Inventory[[#This Row],[Unadj Land Value]]</f>
        <v>454800</v>
      </c>
      <c r="BD217" s="30">
        <f>(Inventory[[#This Row],[Unadj Total Value]]-Inventory[[#This Row],[24Final]])/Inventory[[#This Row],[24Final]]</f>
        <v>2.0417321067982948E-2</v>
      </c>
      <c r="BE217" s="30">
        <f>VLOOKUP(Inventory[[#This Row],[Nbhd]],Lookups!$M$3:$P$5,4,FALSE)</f>
        <v>0.99970000000000003</v>
      </c>
      <c r="BF217" s="30">
        <f>VLOOKUP(Inventory[[#This Row],[Qlty]],Lookups!$M$8:$P$22,4,FALSE)</f>
        <v>0.99819999999999998</v>
      </c>
      <c r="BG217" s="30">
        <f>VLOOKUP(Inventory[[#This Row],[Cnd]],Lookups!$R$8:$U$17,4,FALSE)</f>
        <v>1.0007999999999999</v>
      </c>
      <c r="BH217" s="30">
        <f>VLOOKUP(Inventory[[#This Row],[LivArea Range]],Lookups!$R$25:$U$43,4,FALSE)</f>
        <v>1.0099</v>
      </c>
      <c r="BI217" s="30">
        <f>VLOOKUP(Inventory[[#This Row],[Decade]],Lookups!$M$24:$P$40,4,FALSE)</f>
        <v>1</v>
      </c>
      <c r="BJ217" s="30">
        <f>Inventory[[#This Row],[Nbhd Adj]]*0.95</f>
        <v>0.94971499999999998</v>
      </c>
      <c r="BK217" s="30">
        <f>AVERAGE(Inventory[[#This Row],[Nbhd Adj]],Inventory[[#This Row],[Quality Adj]],Inventory[[#This Row],[Condition Adj]],Inventory[[#This Row],[Living Area Adj]],Inventory[[#This Row],[Decade Adj]])*0.95</f>
        <v>0.95163399999999987</v>
      </c>
      <c r="BL217" s="30">
        <f>ROUND((SUM(Inventory[[#This Row],[Mdl Qlty]:[Mdl Garage Area]])+Inventory[[#This Row],[Mdl Res Intercept]])*Inventory[[#This Row],[Res Adj ]],-2)</f>
        <v>371000</v>
      </c>
      <c r="BM217" s="30">
        <f>ROUND(Inventory[[#This Row],[25Det]]*Inventory[[#This Row],[Det/Nbhd Adj]],-2)</f>
        <v>0</v>
      </c>
      <c r="BN217" s="30">
        <f>Inventory[[#This Row],[Adjusted Res]]+Inventory[[#This Row],[Adj Det ]]</f>
        <v>371000</v>
      </c>
      <c r="BO217" s="30">
        <f>ROUND((Inventory[[#This Row],[Mdl Land Intercept]]+Inventory[[#This Row],[Mdl LnAcres]])*Inventory[[#This Row],[Det/Nbhd Adj]],-2)</f>
        <v>61600</v>
      </c>
      <c r="BP217" s="30">
        <f>Inventory[[#This Row],[Adjusted Impr Total]]+Inventory[[#This Row],[Adjusted Land Total]]</f>
        <v>432600</v>
      </c>
      <c r="BQ217" s="30">
        <f>IFERROR((Inventory[[#This Row],[Adjusted Impr Total]]-Inventory[[#This Row],[24Bldg]])/Inventory[[#This Row],[24Bldg]],0)</f>
        <v>-3.3854166666666664E-2</v>
      </c>
      <c r="BR217" s="43">
        <f>(Inventory[[#This Row],[Adjusted Land Total]]-Inventory[[#This Row],[24Lnd]])/Inventory[[#This Row],[24Lnd]]</f>
        <v>-1.6207455429497568E-3</v>
      </c>
      <c r="BS217" s="43">
        <f>(Inventory[[#This Row],[Adjusted Total]]-Inventory[[#This Row],[24Final]])/Inventory[[#This Row],[24Final]]</f>
        <v>-2.9391967691272156E-2</v>
      </c>
    </row>
    <row r="218" spans="1:71">
      <c r="A218" s="30">
        <v>2025</v>
      </c>
      <c r="B218" s="31" t="s">
        <v>727</v>
      </c>
      <c r="C218" s="31">
        <f>LN(Inventory[[#This Row],[Acres]])</f>
        <v>-1.7837912995788781</v>
      </c>
      <c r="D218" s="37">
        <f>ROUND(Inventory[[#This Row],[Sqft]]/43560,3)</f>
        <v>0.16800000000000001</v>
      </c>
      <c r="E218" s="30">
        <v>7300</v>
      </c>
      <c r="F218" s="31" t="s">
        <v>505</v>
      </c>
      <c r="G218" s="31" t="s">
        <v>155</v>
      </c>
      <c r="H218" s="31" t="s">
        <v>5</v>
      </c>
      <c r="I218" s="31" t="s">
        <v>506</v>
      </c>
      <c r="J218" s="31" t="s">
        <v>507</v>
      </c>
      <c r="K218" s="31" t="s">
        <v>330</v>
      </c>
      <c r="L218" s="31" t="s">
        <v>19</v>
      </c>
      <c r="M218" s="31" t="s">
        <v>22</v>
      </c>
      <c r="N218" s="31">
        <v>0</v>
      </c>
      <c r="O218" s="31">
        <f>2024-Inventory[[#This Row],[YrBlt]]</f>
        <v>5</v>
      </c>
      <c r="P218" s="31">
        <f>2024-Inventory[[#This Row],[EffYr]]</f>
        <v>5</v>
      </c>
      <c r="Q218" s="30">
        <v>2019</v>
      </c>
      <c r="R218" s="30">
        <v>2019</v>
      </c>
      <c r="S218" s="30">
        <v>861</v>
      </c>
      <c r="T218" s="38">
        <v>1302</v>
      </c>
      <c r="U218" s="32"/>
      <c r="V218" s="32"/>
      <c r="W218" s="32"/>
      <c r="X218" s="32">
        <f>Inventory[[#This Row],[Bsmt Area]]-Inventory[[#This Row],[FnBsmt]]</f>
        <v>0</v>
      </c>
      <c r="Y218" s="32">
        <f>Inventory[[#This Row],[MainFn]]+Inventory[[#This Row],[UpprFn]]+Inventory[[#This Row],[AddFn]]+Inventory[[#This Row],[FnBsmt]]</f>
        <v>2163</v>
      </c>
      <c r="Z218" s="32">
        <v>2500</v>
      </c>
      <c r="AA218" s="31" t="s">
        <v>56</v>
      </c>
      <c r="AB218" s="38">
        <v>1</v>
      </c>
      <c r="AC218" s="37"/>
      <c r="AD218" s="38">
        <v>441</v>
      </c>
      <c r="AE218" s="32"/>
      <c r="AF218" s="32"/>
      <c r="AG218" s="32"/>
      <c r="AH218" s="32"/>
      <c r="AI218" s="30">
        <v>381415</v>
      </c>
      <c r="AJ218" s="30">
        <v>366158</v>
      </c>
      <c r="AK218" s="30">
        <v>0</v>
      </c>
      <c r="AL218" s="30">
        <v>0</v>
      </c>
      <c r="AM218" s="30">
        <v>61700</v>
      </c>
      <c r="AN218" s="30">
        <v>360000</v>
      </c>
      <c r="AO218" s="30">
        <v>421700</v>
      </c>
      <c r="AP218" s="30">
        <f>Lookups!$B$58*0.6</f>
        <v>132535.48800000001</v>
      </c>
      <c r="AQ218" s="30">
        <f>Lookups!$B$58*0.4</f>
        <v>88356.992000000013</v>
      </c>
      <c r="AR218" s="30">
        <f>Lookups!$B$59*Inventory[[#This Row],[LnAcres]]</f>
        <v>-23411.049612680359</v>
      </c>
      <c r="AS218" s="30">
        <f>VLOOKUP(Inventory[[#This Row],[Qlty]],Lookups!$A$66:$E$79,2,FALSE)</f>
        <v>37154.252388000001</v>
      </c>
      <c r="AT218" s="30">
        <f>VLOOKUP(Inventory[[#This Row],[Cnd]],Lookups!$A$80:$E$88,2,FALSE)</f>
        <v>50438.379078999998</v>
      </c>
      <c r="AU218" s="30">
        <f>Inventory[[#This Row],[EffAge]]*Lookups!$B$65</f>
        <v>-543.70550000000003</v>
      </c>
      <c r="AV218" s="30">
        <f>Inventory[[#This Row],[MainFn]]*Lookups!$B$90</f>
        <v>53735.337180000002</v>
      </c>
      <c r="AW218" s="30">
        <f>Inventory[[#This Row],[UpprFn]]*Lookups!$B$91</f>
        <v>77573.658666000003</v>
      </c>
      <c r="AX218" s="30">
        <f>Inventory[[#This Row],[Bsmt Area]]*Lookups!$B$95</f>
        <v>0</v>
      </c>
      <c r="AY218" s="30">
        <f>Inventory[[#This Row],[AttGar]]*Lookups!$B$93</f>
        <v>0</v>
      </c>
      <c r="AZ218" s="30">
        <f>ROUND(Inventory[[#This Row],[25Det]],-2)</f>
        <v>0</v>
      </c>
      <c r="BA218" s="30">
        <f>ROUND(SUM(Inventory[[#This Row],[Mdl Qlty]:[Mdl Garage Area]])+Inventory[[#This Row],[Mdl Res Intercept]],-2)</f>
        <v>350900</v>
      </c>
      <c r="BB218" s="30">
        <f>ROUND(Inventory[[#This Row],[Mdl Land Intercept]]+Inventory[[#This Row],[Mdl LnAcres]],-2)</f>
        <v>64900</v>
      </c>
      <c r="BC218" s="30">
        <f>Inventory[[#This Row],[Unadj Res Value]]+Inventory[[#This Row],[Unadj Det Value]]+Inventory[[#This Row],[Unadj Land Value]]</f>
        <v>415800</v>
      </c>
      <c r="BD218" s="30">
        <f>(Inventory[[#This Row],[Unadj Total Value]]-Inventory[[#This Row],[24Final]])/Inventory[[#This Row],[24Final]]</f>
        <v>-1.3990988854635997E-2</v>
      </c>
      <c r="BE218" s="30">
        <f>VLOOKUP(Inventory[[#This Row],[Nbhd]],Lookups!$M$3:$P$5,4,FALSE)</f>
        <v>0.99970000000000003</v>
      </c>
      <c r="BF218" s="30">
        <f>VLOOKUP(Inventory[[#This Row],[Qlty]],Lookups!$M$8:$P$22,4,FALSE)</f>
        <v>0.99819999999999998</v>
      </c>
      <c r="BG218" s="30">
        <f>VLOOKUP(Inventory[[#This Row],[Cnd]],Lookups!$R$8:$U$17,4,FALSE)</f>
        <v>1.0007999999999999</v>
      </c>
      <c r="BH218" s="30">
        <f>VLOOKUP(Inventory[[#This Row],[LivArea Range]],Lookups!$R$25:$U$43,4,FALSE)</f>
        <v>1.0008999999999999</v>
      </c>
      <c r="BI218" s="30">
        <f>VLOOKUP(Inventory[[#This Row],[Decade]],Lookups!$M$24:$P$40,4,FALSE)</f>
        <v>1</v>
      </c>
      <c r="BJ218" s="30">
        <f>Inventory[[#This Row],[Nbhd Adj]]*0.95</f>
        <v>0.94971499999999998</v>
      </c>
      <c r="BK218" s="30">
        <f>AVERAGE(Inventory[[#This Row],[Nbhd Adj]],Inventory[[#This Row],[Quality Adj]],Inventory[[#This Row],[Condition Adj]],Inventory[[#This Row],[Living Area Adj]],Inventory[[#This Row],[Decade Adj]])*0.95</f>
        <v>0.94992399999999999</v>
      </c>
      <c r="BL218" s="30">
        <f>ROUND((SUM(Inventory[[#This Row],[Mdl Qlty]:[Mdl Garage Area]])+Inventory[[#This Row],[Mdl Res Intercept]])*Inventory[[#This Row],[Res Adj ]],-2)</f>
        <v>333300</v>
      </c>
      <c r="BM218" s="30">
        <f>ROUND(Inventory[[#This Row],[25Det]]*Inventory[[#This Row],[Det/Nbhd Adj]],-2)</f>
        <v>0</v>
      </c>
      <c r="BN218" s="30">
        <f>Inventory[[#This Row],[Adjusted Res]]+Inventory[[#This Row],[Adj Det ]]</f>
        <v>333300</v>
      </c>
      <c r="BO218" s="30">
        <f>ROUND((Inventory[[#This Row],[Mdl Land Intercept]]+Inventory[[#This Row],[Mdl LnAcres]])*Inventory[[#This Row],[Det/Nbhd Adj]],-2)</f>
        <v>61700</v>
      </c>
      <c r="BP218" s="30">
        <f>Inventory[[#This Row],[Adjusted Impr Total]]+Inventory[[#This Row],[Adjusted Land Total]]</f>
        <v>395000</v>
      </c>
      <c r="BQ218" s="30">
        <f>IFERROR((Inventory[[#This Row],[Adjusted Impr Total]]-Inventory[[#This Row],[24Bldg]])/Inventory[[#This Row],[24Bldg]],0)</f>
        <v>-7.4166666666666672E-2</v>
      </c>
      <c r="BR218" s="43">
        <f>(Inventory[[#This Row],[Adjusted Land Total]]-Inventory[[#This Row],[24Lnd]])/Inventory[[#This Row],[24Lnd]]</f>
        <v>0</v>
      </c>
      <c r="BS218" s="43">
        <f>(Inventory[[#This Row],[Adjusted Total]]-Inventory[[#This Row],[24Final]])/Inventory[[#This Row],[24Final]]</f>
        <v>-6.3315152952335779E-2</v>
      </c>
    </row>
    <row r="219" spans="1:71">
      <c r="A219" s="30">
        <v>2025</v>
      </c>
      <c r="B219" s="31" t="s">
        <v>728</v>
      </c>
      <c r="C219" s="31">
        <f>LN(Inventory[[#This Row],[Acres]])</f>
        <v>-1.7837912995788781</v>
      </c>
      <c r="D219" s="37">
        <f>ROUND(Inventory[[#This Row],[Sqft]]/43560,3)</f>
        <v>0.16800000000000001</v>
      </c>
      <c r="E219" s="30">
        <v>7300</v>
      </c>
      <c r="F219" s="31" t="s">
        <v>505</v>
      </c>
      <c r="G219" s="31" t="s">
        <v>155</v>
      </c>
      <c r="H219" s="31" t="s">
        <v>5</v>
      </c>
      <c r="I219" s="31" t="s">
        <v>506</v>
      </c>
      <c r="J219" s="31" t="s">
        <v>507</v>
      </c>
      <c r="K219" s="31" t="s">
        <v>330</v>
      </c>
      <c r="L219" s="31" t="s">
        <v>21</v>
      </c>
      <c r="M219" s="31" t="s">
        <v>22</v>
      </c>
      <c r="N219" s="31">
        <v>0</v>
      </c>
      <c r="O219" s="31">
        <f>2024-Inventory[[#This Row],[YrBlt]]</f>
        <v>5</v>
      </c>
      <c r="P219" s="31">
        <f>2024-Inventory[[#This Row],[EffYr]]</f>
        <v>5</v>
      </c>
      <c r="Q219" s="30">
        <v>2019</v>
      </c>
      <c r="R219" s="30">
        <v>2019</v>
      </c>
      <c r="S219" s="30">
        <v>1846</v>
      </c>
      <c r="T219" s="32"/>
      <c r="U219" s="32"/>
      <c r="V219" s="32"/>
      <c r="W219" s="32"/>
      <c r="X219" s="32">
        <f>Inventory[[#This Row],[Bsmt Area]]-Inventory[[#This Row],[FnBsmt]]</f>
        <v>0</v>
      </c>
      <c r="Y219" s="32">
        <f>Inventory[[#This Row],[MainFn]]+Inventory[[#This Row],[UpprFn]]+Inventory[[#This Row],[AddFn]]+Inventory[[#This Row],[FnBsmt]]</f>
        <v>1846</v>
      </c>
      <c r="Z219" s="32">
        <v>2000</v>
      </c>
      <c r="AA219" s="31" t="s">
        <v>56</v>
      </c>
      <c r="AB219" s="38">
        <v>1</v>
      </c>
      <c r="AC219" s="38">
        <v>441</v>
      </c>
      <c r="AD219" s="32"/>
      <c r="AE219" s="32"/>
      <c r="AF219" s="32"/>
      <c r="AG219" s="32"/>
      <c r="AH219" s="32"/>
      <c r="AI219" s="30">
        <v>404614</v>
      </c>
      <c r="AJ219" s="30">
        <v>388429</v>
      </c>
      <c r="AK219" s="30">
        <v>0</v>
      </c>
      <c r="AL219" s="30">
        <v>0</v>
      </c>
      <c r="AM219" s="30">
        <v>61700</v>
      </c>
      <c r="AN219" s="30">
        <v>343000</v>
      </c>
      <c r="AO219" s="30">
        <v>404700</v>
      </c>
      <c r="AP219" s="30">
        <f>Lookups!$B$58*0.6</f>
        <v>132535.48800000001</v>
      </c>
      <c r="AQ219" s="30">
        <f>Lookups!$B$58*0.4</f>
        <v>88356.992000000013</v>
      </c>
      <c r="AR219" s="30">
        <f>Lookups!$B$59*Inventory[[#This Row],[LnAcres]]</f>
        <v>-23411.049612680359</v>
      </c>
      <c r="AS219" s="30">
        <f>VLOOKUP(Inventory[[#This Row],[Qlty]],Lookups!$A$66:$E$79,2,FALSE)</f>
        <v>32917.849192000001</v>
      </c>
      <c r="AT219" s="30">
        <f>VLOOKUP(Inventory[[#This Row],[Cnd]],Lookups!$A$80:$E$88,2,FALSE)</f>
        <v>50438.379078999998</v>
      </c>
      <c r="AU219" s="30">
        <f>Inventory[[#This Row],[EffAge]]*Lookups!$B$65</f>
        <v>-543.70550000000003</v>
      </c>
      <c r="AV219" s="30">
        <f>Inventory[[#This Row],[MainFn]]*Lookups!$B$90</f>
        <v>115209.56148</v>
      </c>
      <c r="AW219" s="30">
        <f>Inventory[[#This Row],[UpprFn]]*Lookups!$B$91</f>
        <v>0</v>
      </c>
      <c r="AX219" s="30">
        <f>Inventory[[#This Row],[Bsmt Area]]*Lookups!$B$95</f>
        <v>0</v>
      </c>
      <c r="AY219" s="30">
        <f>Inventory[[#This Row],[AttGar]]*Lookups!$B$93</f>
        <v>15567.754671000001</v>
      </c>
      <c r="AZ219" s="30">
        <f>ROUND(Inventory[[#This Row],[25Det]],-2)</f>
        <v>0</v>
      </c>
      <c r="BA219" s="30">
        <f>ROUND(SUM(Inventory[[#This Row],[Mdl Qlty]:[Mdl Garage Area]])+Inventory[[#This Row],[Mdl Res Intercept]],-2)</f>
        <v>346100</v>
      </c>
      <c r="BB219" s="30">
        <f>ROUND(Inventory[[#This Row],[Mdl Land Intercept]]+Inventory[[#This Row],[Mdl LnAcres]],-2)</f>
        <v>64900</v>
      </c>
      <c r="BC219" s="30">
        <f>Inventory[[#This Row],[Unadj Res Value]]+Inventory[[#This Row],[Unadj Det Value]]+Inventory[[#This Row],[Unadj Land Value]]</f>
        <v>411000</v>
      </c>
      <c r="BD219" s="30">
        <f>(Inventory[[#This Row],[Unadj Total Value]]-Inventory[[#This Row],[24Final]])/Inventory[[#This Row],[24Final]]</f>
        <v>1.5567086730911787E-2</v>
      </c>
      <c r="BE219" s="30">
        <f>VLOOKUP(Inventory[[#This Row],[Nbhd]],Lookups!$M$3:$P$5,4,FALSE)</f>
        <v>0.99970000000000003</v>
      </c>
      <c r="BF219" s="30">
        <f>VLOOKUP(Inventory[[#This Row],[Qlty]],Lookups!$M$8:$P$22,4,FALSE)</f>
        <v>1.0019</v>
      </c>
      <c r="BG219" s="30">
        <f>VLOOKUP(Inventory[[#This Row],[Cnd]],Lookups!$R$8:$U$17,4,FALSE)</f>
        <v>1.0007999999999999</v>
      </c>
      <c r="BH219" s="30">
        <f>VLOOKUP(Inventory[[#This Row],[LivArea Range]],Lookups!$R$25:$U$43,4,FALSE)</f>
        <v>1.0007999999999999</v>
      </c>
      <c r="BI219" s="30">
        <f>VLOOKUP(Inventory[[#This Row],[Decade]],Lookups!$M$24:$P$40,4,FALSE)</f>
        <v>1</v>
      </c>
      <c r="BJ219" s="30">
        <f>Inventory[[#This Row],[Nbhd Adj]]*0.95</f>
        <v>0.94971499999999998</v>
      </c>
      <c r="BK219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219" s="30">
        <f>ROUND((SUM(Inventory[[#This Row],[Mdl Qlty]:[Mdl Garage Area]])+Inventory[[#This Row],[Mdl Res Intercept]])*Inventory[[#This Row],[Res Adj ]],-2)</f>
        <v>329000</v>
      </c>
      <c r="BM219" s="30">
        <f>ROUND(Inventory[[#This Row],[25Det]]*Inventory[[#This Row],[Det/Nbhd Adj]],-2)</f>
        <v>0</v>
      </c>
      <c r="BN219" s="30">
        <f>Inventory[[#This Row],[Adjusted Res]]+Inventory[[#This Row],[Adj Det ]]</f>
        <v>329000</v>
      </c>
      <c r="BO219" s="30">
        <f>ROUND((Inventory[[#This Row],[Mdl Land Intercept]]+Inventory[[#This Row],[Mdl LnAcres]])*Inventory[[#This Row],[Det/Nbhd Adj]],-2)</f>
        <v>61700</v>
      </c>
      <c r="BP219" s="30">
        <f>Inventory[[#This Row],[Adjusted Impr Total]]+Inventory[[#This Row],[Adjusted Land Total]]</f>
        <v>390700</v>
      </c>
      <c r="BQ219" s="30">
        <f>IFERROR((Inventory[[#This Row],[Adjusted Impr Total]]-Inventory[[#This Row],[24Bldg]])/Inventory[[#This Row],[24Bldg]],0)</f>
        <v>-4.0816326530612242E-2</v>
      </c>
      <c r="BR219" s="43">
        <f>(Inventory[[#This Row],[Adjusted Land Total]]-Inventory[[#This Row],[24Lnd]])/Inventory[[#This Row],[24Lnd]]</f>
        <v>0</v>
      </c>
      <c r="BS219" s="43">
        <f>(Inventory[[#This Row],[Adjusted Total]]-Inventory[[#This Row],[24Final]])/Inventory[[#This Row],[24Final]]</f>
        <v>-3.4593526068692856E-2</v>
      </c>
    </row>
    <row r="220" spans="1:71">
      <c r="A220" s="30">
        <v>2025</v>
      </c>
      <c r="B220" s="31" t="s">
        <v>729</v>
      </c>
      <c r="C220" s="31">
        <f>LN(Inventory[[#This Row],[Acres]])</f>
        <v>-1.7837912995788781</v>
      </c>
      <c r="D220" s="37">
        <f>ROUND(Inventory[[#This Row],[Sqft]]/43560,3)</f>
        <v>0.16800000000000001</v>
      </c>
      <c r="E220" s="30">
        <v>7300</v>
      </c>
      <c r="F220" s="31" t="s">
        <v>505</v>
      </c>
      <c r="G220" s="31" t="s">
        <v>155</v>
      </c>
      <c r="H220" s="31" t="s">
        <v>5</v>
      </c>
      <c r="I220" s="31" t="s">
        <v>506</v>
      </c>
      <c r="J220" s="31" t="s">
        <v>507</v>
      </c>
      <c r="K220" s="31" t="s">
        <v>330</v>
      </c>
      <c r="L220" s="31" t="s">
        <v>21</v>
      </c>
      <c r="M220" s="31" t="s">
        <v>22</v>
      </c>
      <c r="N220" s="31">
        <v>0</v>
      </c>
      <c r="O220" s="31">
        <f>2024-Inventory[[#This Row],[YrBlt]]</f>
        <v>5</v>
      </c>
      <c r="P220" s="31">
        <f>2024-Inventory[[#This Row],[EffYr]]</f>
        <v>5</v>
      </c>
      <c r="Q220" s="30">
        <v>2019</v>
      </c>
      <c r="R220" s="30">
        <v>2019</v>
      </c>
      <c r="S220" s="30">
        <v>2000</v>
      </c>
      <c r="T220" s="32"/>
      <c r="U220" s="32"/>
      <c r="V220" s="32"/>
      <c r="W220" s="32"/>
      <c r="X220" s="32">
        <f>Inventory[[#This Row],[Bsmt Area]]-Inventory[[#This Row],[FnBsmt]]</f>
        <v>0</v>
      </c>
      <c r="Y220" s="32">
        <f>Inventory[[#This Row],[MainFn]]+Inventory[[#This Row],[UpprFn]]+Inventory[[#This Row],[AddFn]]+Inventory[[#This Row],[FnBsmt]]</f>
        <v>2000</v>
      </c>
      <c r="Z220" s="32">
        <v>2500</v>
      </c>
      <c r="AA220" s="31" t="s">
        <v>56</v>
      </c>
      <c r="AB220" s="32"/>
      <c r="AC220" s="30">
        <v>441</v>
      </c>
      <c r="AD220" s="32"/>
      <c r="AE220" s="32"/>
      <c r="AF220" s="32"/>
      <c r="AG220" s="32"/>
      <c r="AH220" s="32"/>
      <c r="AI220" s="30">
        <v>421652</v>
      </c>
      <c r="AJ220" s="30">
        <v>404786</v>
      </c>
      <c r="AK220" s="30">
        <v>0</v>
      </c>
      <c r="AL220" s="30">
        <v>0</v>
      </c>
      <c r="AM220" s="30">
        <v>61700</v>
      </c>
      <c r="AN220" s="30">
        <v>351400</v>
      </c>
      <c r="AO220" s="30">
        <v>413100</v>
      </c>
      <c r="AP220" s="30">
        <f>Lookups!$B$58*0.6</f>
        <v>132535.48800000001</v>
      </c>
      <c r="AQ220" s="30">
        <f>Lookups!$B$58*0.4</f>
        <v>88356.992000000013</v>
      </c>
      <c r="AR220" s="30">
        <f>Lookups!$B$59*Inventory[[#This Row],[LnAcres]]</f>
        <v>-23411.049612680359</v>
      </c>
      <c r="AS220" s="30">
        <f>VLOOKUP(Inventory[[#This Row],[Qlty]],Lookups!$A$66:$E$79,2,FALSE)</f>
        <v>32917.849192000001</v>
      </c>
      <c r="AT220" s="30">
        <f>VLOOKUP(Inventory[[#This Row],[Cnd]],Lookups!$A$80:$E$88,2,FALSE)</f>
        <v>50438.379078999998</v>
      </c>
      <c r="AU220" s="30">
        <f>Inventory[[#This Row],[EffAge]]*Lookups!$B$65</f>
        <v>-543.70550000000003</v>
      </c>
      <c r="AV220" s="30">
        <f>Inventory[[#This Row],[MainFn]]*Lookups!$B$90</f>
        <v>124820.76000000001</v>
      </c>
      <c r="AW220" s="30">
        <f>Inventory[[#This Row],[UpprFn]]*Lookups!$B$91</f>
        <v>0</v>
      </c>
      <c r="AX220" s="30">
        <f>Inventory[[#This Row],[Bsmt Area]]*Lookups!$B$95</f>
        <v>0</v>
      </c>
      <c r="AY220" s="30">
        <f>Inventory[[#This Row],[AttGar]]*Lookups!$B$93</f>
        <v>15567.754671000001</v>
      </c>
      <c r="AZ220" s="30">
        <f>ROUND(Inventory[[#This Row],[25Det]],-2)</f>
        <v>0</v>
      </c>
      <c r="BA220" s="30">
        <f>ROUND(SUM(Inventory[[#This Row],[Mdl Qlty]:[Mdl Garage Area]])+Inventory[[#This Row],[Mdl Res Intercept]],-2)</f>
        <v>355700</v>
      </c>
      <c r="BB220" s="30">
        <f>ROUND(Inventory[[#This Row],[Mdl Land Intercept]]+Inventory[[#This Row],[Mdl LnAcres]],-2)</f>
        <v>64900</v>
      </c>
      <c r="BC220" s="30">
        <f>Inventory[[#This Row],[Unadj Res Value]]+Inventory[[#This Row],[Unadj Det Value]]+Inventory[[#This Row],[Unadj Land Value]]</f>
        <v>420600</v>
      </c>
      <c r="BD220" s="30">
        <f>(Inventory[[#This Row],[Unadj Total Value]]-Inventory[[#This Row],[24Final]])/Inventory[[#This Row],[24Final]]</f>
        <v>1.8155410312273058E-2</v>
      </c>
      <c r="BE220" s="30">
        <f>VLOOKUP(Inventory[[#This Row],[Nbhd]],Lookups!$M$3:$P$5,4,FALSE)</f>
        <v>0.99970000000000003</v>
      </c>
      <c r="BF220" s="30">
        <f>VLOOKUP(Inventory[[#This Row],[Qlty]],Lookups!$M$8:$P$22,4,FALSE)</f>
        <v>1.0019</v>
      </c>
      <c r="BG220" s="30">
        <f>VLOOKUP(Inventory[[#This Row],[Cnd]],Lookups!$R$8:$U$17,4,FALSE)</f>
        <v>1.0007999999999999</v>
      </c>
      <c r="BH220" s="30">
        <f>VLOOKUP(Inventory[[#This Row],[LivArea Range]],Lookups!$R$25:$U$43,4,FALSE)</f>
        <v>1.0008999999999999</v>
      </c>
      <c r="BI220" s="30">
        <f>VLOOKUP(Inventory[[#This Row],[Decade]],Lookups!$M$24:$P$40,4,FALSE)</f>
        <v>1</v>
      </c>
      <c r="BJ220" s="30">
        <f>Inventory[[#This Row],[Nbhd Adj]]*0.95</f>
        <v>0.94971499999999998</v>
      </c>
      <c r="BK220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220" s="30">
        <f>ROUND((SUM(Inventory[[#This Row],[Mdl Qlty]:[Mdl Garage Area]])+Inventory[[#This Row],[Mdl Res Intercept]])*Inventory[[#This Row],[Res Adj ]],-2)</f>
        <v>338200</v>
      </c>
      <c r="BM220" s="30">
        <f>ROUND(Inventory[[#This Row],[25Det]]*Inventory[[#This Row],[Det/Nbhd Adj]],-2)</f>
        <v>0</v>
      </c>
      <c r="BN220" s="30">
        <f>Inventory[[#This Row],[Adjusted Res]]+Inventory[[#This Row],[Adj Det ]]</f>
        <v>338200</v>
      </c>
      <c r="BO220" s="30">
        <f>ROUND((Inventory[[#This Row],[Mdl Land Intercept]]+Inventory[[#This Row],[Mdl LnAcres]])*Inventory[[#This Row],[Det/Nbhd Adj]],-2)</f>
        <v>61700</v>
      </c>
      <c r="BP220" s="30">
        <f>Inventory[[#This Row],[Adjusted Impr Total]]+Inventory[[#This Row],[Adjusted Land Total]]</f>
        <v>399900</v>
      </c>
      <c r="BQ220" s="30">
        <f>IFERROR((Inventory[[#This Row],[Adjusted Impr Total]]-Inventory[[#This Row],[24Bldg]])/Inventory[[#This Row],[24Bldg]],0)</f>
        <v>-3.7564029595902104E-2</v>
      </c>
      <c r="BR220" s="43">
        <f>(Inventory[[#This Row],[Adjusted Land Total]]-Inventory[[#This Row],[24Lnd]])/Inventory[[#This Row],[24Lnd]]</f>
        <v>0</v>
      </c>
      <c r="BS220" s="43">
        <f>(Inventory[[#This Row],[Adjusted Total]]-Inventory[[#This Row],[24Final]])/Inventory[[#This Row],[24Final]]</f>
        <v>-3.195352214960058E-2</v>
      </c>
    </row>
    <row r="221" spans="1:71">
      <c r="A221" s="30">
        <v>2025</v>
      </c>
      <c r="B221" s="31" t="s">
        <v>730</v>
      </c>
      <c r="C221" s="31">
        <f>LN(Inventory[[#This Row],[Acres]])</f>
        <v>-1.7837912995788781</v>
      </c>
      <c r="D221" s="37">
        <f>ROUND(Inventory[[#This Row],[Sqft]]/43560,3)</f>
        <v>0.16800000000000001</v>
      </c>
      <c r="E221" s="30">
        <v>7319</v>
      </c>
      <c r="F221" s="31" t="s">
        <v>505</v>
      </c>
      <c r="G221" s="31" t="s">
        <v>155</v>
      </c>
      <c r="H221" s="31" t="s">
        <v>5</v>
      </c>
      <c r="I221" s="31" t="s">
        <v>506</v>
      </c>
      <c r="J221" s="31" t="s">
        <v>507</v>
      </c>
      <c r="K221" s="31" t="s">
        <v>330</v>
      </c>
      <c r="L221" s="31" t="s">
        <v>19</v>
      </c>
      <c r="M221" s="31" t="s">
        <v>22</v>
      </c>
      <c r="N221" s="31">
        <v>0</v>
      </c>
      <c r="O221" s="31">
        <f>2024-Inventory[[#This Row],[YrBlt]]</f>
        <v>5</v>
      </c>
      <c r="P221" s="31">
        <f>2024-Inventory[[#This Row],[EffYr]]</f>
        <v>5</v>
      </c>
      <c r="Q221" s="30">
        <v>2019</v>
      </c>
      <c r="R221" s="30">
        <v>2019</v>
      </c>
      <c r="S221" s="30">
        <v>1708</v>
      </c>
      <c r="T221" s="32"/>
      <c r="U221" s="32"/>
      <c r="V221" s="32"/>
      <c r="W221" s="32"/>
      <c r="X221" s="32">
        <f>Inventory[[#This Row],[Bsmt Area]]-Inventory[[#This Row],[FnBsmt]]</f>
        <v>0</v>
      </c>
      <c r="Y221" s="32">
        <f>Inventory[[#This Row],[MainFn]]+Inventory[[#This Row],[UpprFn]]+Inventory[[#This Row],[AddFn]]+Inventory[[#This Row],[FnBsmt]]</f>
        <v>1708</v>
      </c>
      <c r="Z221" s="32">
        <v>2000</v>
      </c>
      <c r="AA221" s="31" t="s">
        <v>56</v>
      </c>
      <c r="AB221" s="38">
        <v>1</v>
      </c>
      <c r="AC221" s="30">
        <v>420</v>
      </c>
      <c r="AD221" s="32"/>
      <c r="AE221" s="32"/>
      <c r="AF221" s="32"/>
      <c r="AG221" s="32"/>
      <c r="AH221" s="32"/>
      <c r="AI221" s="30">
        <v>332718</v>
      </c>
      <c r="AJ221" s="30">
        <v>319409</v>
      </c>
      <c r="AK221" s="30">
        <v>0</v>
      </c>
      <c r="AL221" s="30">
        <v>0</v>
      </c>
      <c r="AM221" s="30">
        <v>61700</v>
      </c>
      <c r="AN221" s="30">
        <v>331100</v>
      </c>
      <c r="AO221" s="30">
        <v>392800</v>
      </c>
      <c r="AP221" s="30">
        <f>Lookups!$B$58*0.6</f>
        <v>132535.48800000001</v>
      </c>
      <c r="AQ221" s="30">
        <f>Lookups!$B$58*0.4</f>
        <v>88356.992000000013</v>
      </c>
      <c r="AR221" s="30">
        <f>Lookups!$B$59*Inventory[[#This Row],[LnAcres]]</f>
        <v>-23411.049612680359</v>
      </c>
      <c r="AS221" s="30">
        <f>VLOOKUP(Inventory[[#This Row],[Qlty]],Lookups!$A$66:$E$79,2,FALSE)</f>
        <v>37154.252388000001</v>
      </c>
      <c r="AT221" s="30">
        <f>VLOOKUP(Inventory[[#This Row],[Cnd]],Lookups!$A$80:$E$88,2,FALSE)</f>
        <v>50438.379078999998</v>
      </c>
      <c r="AU221" s="30">
        <f>Inventory[[#This Row],[EffAge]]*Lookups!$B$65</f>
        <v>-543.70550000000003</v>
      </c>
      <c r="AV221" s="30">
        <f>Inventory[[#This Row],[MainFn]]*Lookups!$B$90</f>
        <v>106596.92904</v>
      </c>
      <c r="AW221" s="30">
        <f>Inventory[[#This Row],[UpprFn]]*Lookups!$B$91</f>
        <v>0</v>
      </c>
      <c r="AX221" s="30">
        <f>Inventory[[#This Row],[Bsmt Area]]*Lookups!$B$95</f>
        <v>0</v>
      </c>
      <c r="AY221" s="30">
        <f>Inventory[[#This Row],[AttGar]]*Lookups!$B$93</f>
        <v>14826.43302</v>
      </c>
      <c r="AZ221" s="30">
        <f>ROUND(Inventory[[#This Row],[25Det]],-2)</f>
        <v>0</v>
      </c>
      <c r="BA221" s="30">
        <f>ROUND(SUM(Inventory[[#This Row],[Mdl Qlty]:[Mdl Garage Area]])+Inventory[[#This Row],[Mdl Res Intercept]],-2)</f>
        <v>341000</v>
      </c>
      <c r="BB221" s="30">
        <f>ROUND(Inventory[[#This Row],[Mdl Land Intercept]]+Inventory[[#This Row],[Mdl LnAcres]],-2)</f>
        <v>64900</v>
      </c>
      <c r="BC221" s="30">
        <f>Inventory[[#This Row],[Unadj Res Value]]+Inventory[[#This Row],[Unadj Det Value]]+Inventory[[#This Row],[Unadj Land Value]]</f>
        <v>405900</v>
      </c>
      <c r="BD221" s="30">
        <f>(Inventory[[#This Row],[Unadj Total Value]]-Inventory[[#This Row],[24Final]])/Inventory[[#This Row],[24Final]]</f>
        <v>3.3350305498981672E-2</v>
      </c>
      <c r="BE221" s="30">
        <f>VLOOKUP(Inventory[[#This Row],[Nbhd]],Lookups!$M$3:$P$5,4,FALSE)</f>
        <v>0.99970000000000003</v>
      </c>
      <c r="BF221" s="30">
        <f>VLOOKUP(Inventory[[#This Row],[Qlty]],Lookups!$M$8:$P$22,4,FALSE)</f>
        <v>0.99819999999999998</v>
      </c>
      <c r="BG221" s="30">
        <f>VLOOKUP(Inventory[[#This Row],[Cnd]],Lookups!$R$8:$U$17,4,FALSE)</f>
        <v>1.0007999999999999</v>
      </c>
      <c r="BH221" s="30">
        <f>VLOOKUP(Inventory[[#This Row],[LivArea Range]],Lookups!$R$25:$U$43,4,FALSE)</f>
        <v>1.0007999999999999</v>
      </c>
      <c r="BI221" s="30">
        <f>VLOOKUP(Inventory[[#This Row],[Decade]],Lookups!$M$24:$P$40,4,FALSE)</f>
        <v>1</v>
      </c>
      <c r="BJ221" s="30">
        <f>Inventory[[#This Row],[Nbhd Adj]]*0.95</f>
        <v>0.94971499999999998</v>
      </c>
      <c r="BK221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221" s="30">
        <f>ROUND((SUM(Inventory[[#This Row],[Mdl Qlty]:[Mdl Garage Area]])+Inventory[[#This Row],[Mdl Res Intercept]])*Inventory[[#This Row],[Res Adj ]],-2)</f>
        <v>323900</v>
      </c>
      <c r="BM221" s="30">
        <f>ROUND(Inventory[[#This Row],[25Det]]*Inventory[[#This Row],[Det/Nbhd Adj]],-2)</f>
        <v>0</v>
      </c>
      <c r="BN221" s="30">
        <f>Inventory[[#This Row],[Adjusted Res]]+Inventory[[#This Row],[Adj Det ]]</f>
        <v>323900</v>
      </c>
      <c r="BO221" s="30">
        <f>ROUND((Inventory[[#This Row],[Mdl Land Intercept]]+Inventory[[#This Row],[Mdl LnAcres]])*Inventory[[#This Row],[Det/Nbhd Adj]],-2)</f>
        <v>61700</v>
      </c>
      <c r="BP221" s="30">
        <f>Inventory[[#This Row],[Adjusted Impr Total]]+Inventory[[#This Row],[Adjusted Land Total]]</f>
        <v>385600</v>
      </c>
      <c r="BQ221" s="30">
        <f>IFERROR((Inventory[[#This Row],[Adjusted Impr Total]]-Inventory[[#This Row],[24Bldg]])/Inventory[[#This Row],[24Bldg]],0)</f>
        <v>-2.1745696164300814E-2</v>
      </c>
      <c r="BR221" s="43">
        <f>(Inventory[[#This Row],[Adjusted Land Total]]-Inventory[[#This Row],[24Lnd]])/Inventory[[#This Row],[24Lnd]]</f>
        <v>0</v>
      </c>
      <c r="BS221" s="43">
        <f>(Inventory[[#This Row],[Adjusted Total]]-Inventory[[#This Row],[24Final]])/Inventory[[#This Row],[24Final]]</f>
        <v>-1.8329938900203666E-2</v>
      </c>
    </row>
    <row r="222" spans="1:71">
      <c r="A222" s="30">
        <v>2025</v>
      </c>
      <c r="B222" s="31" t="s">
        <v>731</v>
      </c>
      <c r="C222" s="31">
        <f>LN(Inventory[[#This Row],[Acres]])</f>
        <v>-1.7837912995788781</v>
      </c>
      <c r="D222" s="37">
        <f>ROUND(Inventory[[#This Row],[Sqft]]/43560,3)</f>
        <v>0.16800000000000001</v>
      </c>
      <c r="E222" s="30">
        <v>7300</v>
      </c>
      <c r="F222" s="31" t="s">
        <v>505</v>
      </c>
      <c r="G222" s="31" t="s">
        <v>155</v>
      </c>
      <c r="H222" s="31" t="s">
        <v>5</v>
      </c>
      <c r="I222" s="31" t="s">
        <v>506</v>
      </c>
      <c r="J222" s="31" t="s">
        <v>507</v>
      </c>
      <c r="K222" s="31" t="s">
        <v>330</v>
      </c>
      <c r="L222" s="31" t="s">
        <v>21</v>
      </c>
      <c r="M222" s="31" t="s">
        <v>22</v>
      </c>
      <c r="N222" s="31">
        <v>0</v>
      </c>
      <c r="O222" s="31">
        <f>2024-Inventory[[#This Row],[YrBlt]]</f>
        <v>5</v>
      </c>
      <c r="P222" s="31">
        <f>2024-Inventory[[#This Row],[EffYr]]</f>
        <v>5</v>
      </c>
      <c r="Q222" s="30">
        <v>2019</v>
      </c>
      <c r="R222" s="30">
        <v>2019</v>
      </c>
      <c r="S222" s="30">
        <v>1756</v>
      </c>
      <c r="T222" s="32"/>
      <c r="U222" s="32"/>
      <c r="V222" s="32"/>
      <c r="W222" s="32"/>
      <c r="X222" s="32">
        <f>Inventory[[#This Row],[Bsmt Area]]-Inventory[[#This Row],[FnBsmt]]</f>
        <v>0</v>
      </c>
      <c r="Y222" s="32">
        <f>Inventory[[#This Row],[MainFn]]+Inventory[[#This Row],[UpprFn]]+Inventory[[#This Row],[AddFn]]+Inventory[[#This Row],[FnBsmt]]</f>
        <v>1756</v>
      </c>
      <c r="Z222" s="32">
        <v>2000</v>
      </c>
      <c r="AA222" s="31" t="s">
        <v>56</v>
      </c>
      <c r="AB222" s="32"/>
      <c r="AC222" s="38">
        <v>441</v>
      </c>
      <c r="AD222" s="32"/>
      <c r="AE222" s="32"/>
      <c r="AF222" s="32"/>
      <c r="AG222" s="32"/>
      <c r="AH222" s="32"/>
      <c r="AI222" s="30">
        <v>382208</v>
      </c>
      <c r="AJ222" s="30">
        <v>366920</v>
      </c>
      <c r="AK222" s="30">
        <v>0</v>
      </c>
      <c r="AL222" s="30">
        <v>0</v>
      </c>
      <c r="AM222" s="30">
        <v>61700</v>
      </c>
      <c r="AN222" s="30">
        <v>327600</v>
      </c>
      <c r="AO222" s="30">
        <v>389300</v>
      </c>
      <c r="AP222" s="30">
        <f>Lookups!$B$58*0.6</f>
        <v>132535.48800000001</v>
      </c>
      <c r="AQ222" s="30">
        <f>Lookups!$B$58*0.4</f>
        <v>88356.992000000013</v>
      </c>
      <c r="AR222" s="30">
        <f>Lookups!$B$59*Inventory[[#This Row],[LnAcres]]</f>
        <v>-23411.049612680359</v>
      </c>
      <c r="AS222" s="30">
        <f>VLOOKUP(Inventory[[#This Row],[Qlty]],Lookups!$A$66:$E$79,2,FALSE)</f>
        <v>32917.849192000001</v>
      </c>
      <c r="AT222" s="30">
        <f>VLOOKUP(Inventory[[#This Row],[Cnd]],Lookups!$A$80:$E$88,2,FALSE)</f>
        <v>50438.379078999998</v>
      </c>
      <c r="AU222" s="30">
        <f>Inventory[[#This Row],[EffAge]]*Lookups!$B$65</f>
        <v>-543.70550000000003</v>
      </c>
      <c r="AV222" s="30">
        <f>Inventory[[#This Row],[MainFn]]*Lookups!$B$90</f>
        <v>109592.62728</v>
      </c>
      <c r="AW222" s="30">
        <f>Inventory[[#This Row],[UpprFn]]*Lookups!$B$91</f>
        <v>0</v>
      </c>
      <c r="AX222" s="30">
        <f>Inventory[[#This Row],[Bsmt Area]]*Lookups!$B$95</f>
        <v>0</v>
      </c>
      <c r="AY222" s="30">
        <f>Inventory[[#This Row],[AttGar]]*Lookups!$B$93</f>
        <v>15567.754671000001</v>
      </c>
      <c r="AZ222" s="30">
        <f>ROUND(Inventory[[#This Row],[25Det]],-2)</f>
        <v>0</v>
      </c>
      <c r="BA222" s="30">
        <f>ROUND(SUM(Inventory[[#This Row],[Mdl Qlty]:[Mdl Garage Area]])+Inventory[[#This Row],[Mdl Res Intercept]],-2)</f>
        <v>340500</v>
      </c>
      <c r="BB222" s="30">
        <f>ROUND(Inventory[[#This Row],[Mdl Land Intercept]]+Inventory[[#This Row],[Mdl LnAcres]],-2)</f>
        <v>64900</v>
      </c>
      <c r="BC222" s="30">
        <f>Inventory[[#This Row],[Unadj Res Value]]+Inventory[[#This Row],[Unadj Det Value]]+Inventory[[#This Row],[Unadj Land Value]]</f>
        <v>405400</v>
      </c>
      <c r="BD222" s="30">
        <f>(Inventory[[#This Row],[Unadj Total Value]]-Inventory[[#This Row],[24Final]])/Inventory[[#This Row],[24Final]]</f>
        <v>4.1356280503467763E-2</v>
      </c>
      <c r="BE222" s="30">
        <f>VLOOKUP(Inventory[[#This Row],[Nbhd]],Lookups!$M$3:$P$5,4,FALSE)</f>
        <v>0.99970000000000003</v>
      </c>
      <c r="BF222" s="30">
        <f>VLOOKUP(Inventory[[#This Row],[Qlty]],Lookups!$M$8:$P$22,4,FALSE)</f>
        <v>1.0019</v>
      </c>
      <c r="BG222" s="30">
        <f>VLOOKUP(Inventory[[#This Row],[Cnd]],Lookups!$R$8:$U$17,4,FALSE)</f>
        <v>1.0007999999999999</v>
      </c>
      <c r="BH222" s="30">
        <f>VLOOKUP(Inventory[[#This Row],[LivArea Range]],Lookups!$R$25:$U$43,4,FALSE)</f>
        <v>1.0007999999999999</v>
      </c>
      <c r="BI222" s="30">
        <f>VLOOKUP(Inventory[[#This Row],[Decade]],Lookups!$M$24:$P$40,4,FALSE)</f>
        <v>1</v>
      </c>
      <c r="BJ222" s="30">
        <f>Inventory[[#This Row],[Nbhd Adj]]*0.95</f>
        <v>0.94971499999999998</v>
      </c>
      <c r="BK222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222" s="30">
        <f>ROUND((SUM(Inventory[[#This Row],[Mdl Qlty]:[Mdl Garage Area]])+Inventory[[#This Row],[Mdl Res Intercept]])*Inventory[[#This Row],[Res Adj ]],-2)</f>
        <v>323700</v>
      </c>
      <c r="BM222" s="30">
        <f>ROUND(Inventory[[#This Row],[25Det]]*Inventory[[#This Row],[Det/Nbhd Adj]],-2)</f>
        <v>0</v>
      </c>
      <c r="BN222" s="30">
        <f>Inventory[[#This Row],[Adjusted Res]]+Inventory[[#This Row],[Adj Det ]]</f>
        <v>323700</v>
      </c>
      <c r="BO222" s="30">
        <f>ROUND((Inventory[[#This Row],[Mdl Land Intercept]]+Inventory[[#This Row],[Mdl LnAcres]])*Inventory[[#This Row],[Det/Nbhd Adj]],-2)</f>
        <v>61700</v>
      </c>
      <c r="BP222" s="30">
        <f>Inventory[[#This Row],[Adjusted Impr Total]]+Inventory[[#This Row],[Adjusted Land Total]]</f>
        <v>385400</v>
      </c>
      <c r="BQ222" s="30">
        <f>IFERROR((Inventory[[#This Row],[Adjusted Impr Total]]-Inventory[[#This Row],[24Bldg]])/Inventory[[#This Row],[24Bldg]],0)</f>
        <v>-1.1904761904761904E-2</v>
      </c>
      <c r="BR222" s="43">
        <f>(Inventory[[#This Row],[Adjusted Land Total]]-Inventory[[#This Row],[24Lnd]])/Inventory[[#This Row],[24Lnd]]</f>
        <v>0</v>
      </c>
      <c r="BS222" s="43">
        <f>(Inventory[[#This Row],[Adjusted Total]]-Inventory[[#This Row],[24Final]])/Inventory[[#This Row],[24Final]]</f>
        <v>-1.0017980991523246E-2</v>
      </c>
    </row>
    <row r="223" spans="1:71">
      <c r="A223" s="30">
        <v>2025</v>
      </c>
      <c r="B223" s="31" t="s">
        <v>732</v>
      </c>
      <c r="C223" s="31">
        <f>LN(Inventory[[#This Row],[Acres]])</f>
        <v>-1.7719568419318752</v>
      </c>
      <c r="D223" s="37">
        <f>ROUND(Inventory[[#This Row],[Sqft]]/43560,3)</f>
        <v>0.17</v>
      </c>
      <c r="E223" s="30">
        <v>7403</v>
      </c>
      <c r="F223" s="31" t="s">
        <v>505</v>
      </c>
      <c r="G223" s="31" t="s">
        <v>155</v>
      </c>
      <c r="H223" s="31" t="s">
        <v>5</v>
      </c>
      <c r="I223" s="31" t="s">
        <v>506</v>
      </c>
      <c r="J223" s="31" t="s">
        <v>507</v>
      </c>
      <c r="K223" s="31" t="s">
        <v>330</v>
      </c>
      <c r="L223" s="31" t="s">
        <v>19</v>
      </c>
      <c r="M223" s="31" t="s">
        <v>22</v>
      </c>
      <c r="N223" s="31">
        <v>0</v>
      </c>
      <c r="O223" s="31">
        <f>2024-Inventory[[#This Row],[YrBlt]]</f>
        <v>5</v>
      </c>
      <c r="P223" s="31">
        <f>2024-Inventory[[#This Row],[EffYr]]</f>
        <v>5</v>
      </c>
      <c r="Q223" s="30">
        <v>2019</v>
      </c>
      <c r="R223" s="30">
        <v>2019</v>
      </c>
      <c r="S223" s="30">
        <v>1523</v>
      </c>
      <c r="T223" s="32"/>
      <c r="U223" s="32"/>
      <c r="V223" s="32"/>
      <c r="W223" s="32"/>
      <c r="X223" s="32">
        <f>Inventory[[#This Row],[Bsmt Area]]-Inventory[[#This Row],[FnBsmt]]</f>
        <v>0</v>
      </c>
      <c r="Y223" s="32">
        <f>Inventory[[#This Row],[MainFn]]+Inventory[[#This Row],[UpprFn]]+Inventory[[#This Row],[AddFn]]+Inventory[[#This Row],[FnBsmt]]</f>
        <v>1523</v>
      </c>
      <c r="Z223" s="32">
        <v>2000</v>
      </c>
      <c r="AA223" s="31" t="s">
        <v>56</v>
      </c>
      <c r="AB223" s="37"/>
      <c r="AC223" s="30">
        <v>441</v>
      </c>
      <c r="AD223" s="32"/>
      <c r="AE223" s="32"/>
      <c r="AF223" s="32"/>
      <c r="AG223" s="32"/>
      <c r="AH223" s="32"/>
      <c r="AI223" s="30">
        <v>300069</v>
      </c>
      <c r="AJ223" s="30">
        <v>288066</v>
      </c>
      <c r="AK223" s="30">
        <v>0</v>
      </c>
      <c r="AL223" s="30">
        <v>0</v>
      </c>
      <c r="AM223" s="30">
        <v>61700</v>
      </c>
      <c r="AN223" s="30">
        <v>321300</v>
      </c>
      <c r="AO223" s="30">
        <v>383000</v>
      </c>
      <c r="AP223" s="30">
        <f>Lookups!$B$58*0.6</f>
        <v>132535.48800000001</v>
      </c>
      <c r="AQ223" s="30">
        <f>Lookups!$B$58*0.4</f>
        <v>88356.992000000013</v>
      </c>
      <c r="AR223" s="30">
        <f>Lookups!$B$59*Inventory[[#This Row],[LnAcres]]</f>
        <v>-23255.730391660189</v>
      </c>
      <c r="AS223" s="30">
        <f>VLOOKUP(Inventory[[#This Row],[Qlty]],Lookups!$A$66:$E$79,2,FALSE)</f>
        <v>37154.252388000001</v>
      </c>
      <c r="AT223" s="30">
        <f>VLOOKUP(Inventory[[#This Row],[Cnd]],Lookups!$A$80:$E$88,2,FALSE)</f>
        <v>50438.379078999998</v>
      </c>
      <c r="AU223" s="30">
        <f>Inventory[[#This Row],[EffAge]]*Lookups!$B$65</f>
        <v>-543.70550000000003</v>
      </c>
      <c r="AV223" s="30">
        <f>Inventory[[#This Row],[MainFn]]*Lookups!$B$90</f>
        <v>95051.008740000005</v>
      </c>
      <c r="AW223" s="30">
        <f>Inventory[[#This Row],[UpprFn]]*Lookups!$B$91</f>
        <v>0</v>
      </c>
      <c r="AX223" s="30">
        <f>Inventory[[#This Row],[Bsmt Area]]*Lookups!$B$95</f>
        <v>0</v>
      </c>
      <c r="AY223" s="30">
        <f>Inventory[[#This Row],[AttGar]]*Lookups!$B$93</f>
        <v>15567.754671000001</v>
      </c>
      <c r="AZ223" s="30">
        <f>ROUND(Inventory[[#This Row],[25Det]],-2)</f>
        <v>0</v>
      </c>
      <c r="BA223" s="30">
        <f>ROUND(SUM(Inventory[[#This Row],[Mdl Qlty]:[Mdl Garage Area]])+Inventory[[#This Row],[Mdl Res Intercept]],-2)</f>
        <v>330200</v>
      </c>
      <c r="BB223" s="30">
        <f>ROUND(Inventory[[#This Row],[Mdl Land Intercept]]+Inventory[[#This Row],[Mdl LnAcres]],-2)</f>
        <v>65100</v>
      </c>
      <c r="BC223" s="30">
        <f>Inventory[[#This Row],[Unadj Res Value]]+Inventory[[#This Row],[Unadj Det Value]]+Inventory[[#This Row],[Unadj Land Value]]</f>
        <v>395300</v>
      </c>
      <c r="BD223" s="30">
        <f>(Inventory[[#This Row],[Unadj Total Value]]-Inventory[[#This Row],[24Final]])/Inventory[[#This Row],[24Final]]</f>
        <v>3.2114882506527415E-2</v>
      </c>
      <c r="BE223" s="30">
        <f>VLOOKUP(Inventory[[#This Row],[Nbhd]],Lookups!$M$3:$P$5,4,FALSE)</f>
        <v>0.99970000000000003</v>
      </c>
      <c r="BF223" s="30">
        <f>VLOOKUP(Inventory[[#This Row],[Qlty]],Lookups!$M$8:$P$22,4,FALSE)</f>
        <v>0.99819999999999998</v>
      </c>
      <c r="BG223" s="30">
        <f>VLOOKUP(Inventory[[#This Row],[Cnd]],Lookups!$R$8:$U$17,4,FALSE)</f>
        <v>1.0007999999999999</v>
      </c>
      <c r="BH223" s="30">
        <f>VLOOKUP(Inventory[[#This Row],[LivArea Range]],Lookups!$R$25:$U$43,4,FALSE)</f>
        <v>1.0007999999999999</v>
      </c>
      <c r="BI223" s="30">
        <f>VLOOKUP(Inventory[[#This Row],[Decade]],Lookups!$M$24:$P$40,4,FALSE)</f>
        <v>1</v>
      </c>
      <c r="BJ223" s="30">
        <f>Inventory[[#This Row],[Nbhd Adj]]*0.95</f>
        <v>0.94971499999999998</v>
      </c>
      <c r="BK223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223" s="30">
        <f>ROUND((SUM(Inventory[[#This Row],[Mdl Qlty]:[Mdl Garage Area]])+Inventory[[#This Row],[Mdl Res Intercept]])*Inventory[[#This Row],[Res Adj ]],-2)</f>
        <v>313700</v>
      </c>
      <c r="BM223" s="30">
        <f>ROUND(Inventory[[#This Row],[25Det]]*Inventory[[#This Row],[Det/Nbhd Adj]],-2)</f>
        <v>0</v>
      </c>
      <c r="BN223" s="30">
        <f>Inventory[[#This Row],[Adjusted Res]]+Inventory[[#This Row],[Adj Det ]]</f>
        <v>313700</v>
      </c>
      <c r="BO223" s="30">
        <f>ROUND((Inventory[[#This Row],[Mdl Land Intercept]]+Inventory[[#This Row],[Mdl LnAcres]])*Inventory[[#This Row],[Det/Nbhd Adj]],-2)</f>
        <v>61800</v>
      </c>
      <c r="BP223" s="30">
        <f>Inventory[[#This Row],[Adjusted Impr Total]]+Inventory[[#This Row],[Adjusted Land Total]]</f>
        <v>375500</v>
      </c>
      <c r="BQ223" s="30">
        <f>IFERROR((Inventory[[#This Row],[Adjusted Impr Total]]-Inventory[[#This Row],[24Bldg]])/Inventory[[#This Row],[24Bldg]],0)</f>
        <v>-2.3653906006847185E-2</v>
      </c>
      <c r="BR223" s="43">
        <f>(Inventory[[#This Row],[Adjusted Land Total]]-Inventory[[#This Row],[24Lnd]])/Inventory[[#This Row],[24Lnd]]</f>
        <v>1.6207455429497568E-3</v>
      </c>
      <c r="BS223" s="43">
        <f>(Inventory[[#This Row],[Adjusted Total]]-Inventory[[#This Row],[24Final]])/Inventory[[#This Row],[24Final]]</f>
        <v>-1.95822454308094E-2</v>
      </c>
    </row>
    <row r="224" spans="1:71">
      <c r="A224" s="30">
        <v>2025</v>
      </c>
      <c r="B224" s="31" t="s">
        <v>733</v>
      </c>
      <c r="C224" s="31">
        <f>LN(Inventory[[#This Row],[Acres]])</f>
        <v>-1.7719568419318752</v>
      </c>
      <c r="D224" s="30">
        <v>0.17</v>
      </c>
      <c r="E224" s="30">
        <v>7200</v>
      </c>
      <c r="F224" s="31" t="s">
        <v>505</v>
      </c>
      <c r="G224" s="31" t="s">
        <v>155</v>
      </c>
      <c r="H224" s="31" t="s">
        <v>5</v>
      </c>
      <c r="I224" s="31" t="s">
        <v>506</v>
      </c>
      <c r="J224" s="31" t="s">
        <v>507</v>
      </c>
      <c r="K224" s="31" t="s">
        <v>330</v>
      </c>
      <c r="L224" s="31" t="s">
        <v>19</v>
      </c>
      <c r="M224" s="31" t="s">
        <v>22</v>
      </c>
      <c r="N224" s="31">
        <v>0</v>
      </c>
      <c r="O224" s="31">
        <f>2024-Inventory[[#This Row],[YrBlt]]</f>
        <v>5</v>
      </c>
      <c r="P224" s="31">
        <f>2024-Inventory[[#This Row],[EffYr]]</f>
        <v>5</v>
      </c>
      <c r="Q224" s="30">
        <v>2019</v>
      </c>
      <c r="R224" s="30">
        <v>2019</v>
      </c>
      <c r="S224" s="30">
        <v>1529</v>
      </c>
      <c r="T224" s="32"/>
      <c r="U224" s="32"/>
      <c r="V224" s="32"/>
      <c r="W224" s="32"/>
      <c r="X224" s="32">
        <f>Inventory[[#This Row],[Bsmt Area]]-Inventory[[#This Row],[FnBsmt]]</f>
        <v>0</v>
      </c>
      <c r="Y224" s="32">
        <f>Inventory[[#This Row],[MainFn]]+Inventory[[#This Row],[UpprFn]]+Inventory[[#This Row],[AddFn]]+Inventory[[#This Row],[FnBsmt]]</f>
        <v>1529</v>
      </c>
      <c r="Z224" s="32">
        <v>2000</v>
      </c>
      <c r="AA224" s="31" t="s">
        <v>56</v>
      </c>
      <c r="AB224" s="38">
        <v>1</v>
      </c>
      <c r="AC224" s="38">
        <v>441</v>
      </c>
      <c r="AD224" s="32"/>
      <c r="AE224" s="32"/>
      <c r="AF224" s="32"/>
      <c r="AG224" s="32"/>
      <c r="AH224" s="32"/>
      <c r="AI224" s="30">
        <v>302134</v>
      </c>
      <c r="AJ224" s="30">
        <v>290049</v>
      </c>
      <c r="AK224" s="30">
        <v>0</v>
      </c>
      <c r="AL224" s="30">
        <v>0</v>
      </c>
      <c r="AM224" s="30">
        <v>61700</v>
      </c>
      <c r="AN224" s="30">
        <v>320800</v>
      </c>
      <c r="AO224" s="30">
        <v>382500</v>
      </c>
      <c r="AP224" s="30">
        <f>Lookups!$B$58*0.6</f>
        <v>132535.48800000001</v>
      </c>
      <c r="AQ224" s="30">
        <f>Lookups!$B$58*0.4</f>
        <v>88356.992000000013</v>
      </c>
      <c r="AR224" s="30">
        <f>Lookups!$B$59*Inventory[[#This Row],[LnAcres]]</f>
        <v>-23255.730391660189</v>
      </c>
      <c r="AS224" s="30">
        <f>VLOOKUP(Inventory[[#This Row],[Qlty]],Lookups!$A$66:$E$79,2,FALSE)</f>
        <v>37154.252388000001</v>
      </c>
      <c r="AT224" s="30">
        <f>VLOOKUP(Inventory[[#This Row],[Cnd]],Lookups!$A$80:$E$88,2,FALSE)</f>
        <v>50438.379078999998</v>
      </c>
      <c r="AU224" s="30">
        <f>Inventory[[#This Row],[EffAge]]*Lookups!$B$65</f>
        <v>-543.70550000000003</v>
      </c>
      <c r="AV224" s="30">
        <f>Inventory[[#This Row],[MainFn]]*Lookups!$B$90</f>
        <v>95425.471020000012</v>
      </c>
      <c r="AW224" s="30">
        <f>Inventory[[#This Row],[UpprFn]]*Lookups!$B$91</f>
        <v>0</v>
      </c>
      <c r="AX224" s="30">
        <f>Inventory[[#This Row],[Bsmt Area]]*Lookups!$B$95</f>
        <v>0</v>
      </c>
      <c r="AY224" s="30">
        <f>Inventory[[#This Row],[AttGar]]*Lookups!$B$93</f>
        <v>15567.754671000001</v>
      </c>
      <c r="AZ224" s="30">
        <f>ROUND(Inventory[[#This Row],[25Det]],-2)</f>
        <v>0</v>
      </c>
      <c r="BA224" s="30">
        <f>ROUND(SUM(Inventory[[#This Row],[Mdl Qlty]:[Mdl Garage Area]])+Inventory[[#This Row],[Mdl Res Intercept]],-2)</f>
        <v>330600</v>
      </c>
      <c r="BB224" s="30">
        <f>ROUND(Inventory[[#This Row],[Mdl Land Intercept]]+Inventory[[#This Row],[Mdl LnAcres]],-2)</f>
        <v>65100</v>
      </c>
      <c r="BC224" s="30">
        <f>Inventory[[#This Row],[Unadj Res Value]]+Inventory[[#This Row],[Unadj Det Value]]+Inventory[[#This Row],[Unadj Land Value]]</f>
        <v>395700</v>
      </c>
      <c r="BD224" s="30">
        <f>(Inventory[[#This Row],[Unadj Total Value]]-Inventory[[#This Row],[24Final]])/Inventory[[#This Row],[24Final]]</f>
        <v>3.4509803921568626E-2</v>
      </c>
      <c r="BE224" s="30">
        <f>VLOOKUP(Inventory[[#This Row],[Nbhd]],Lookups!$M$3:$P$5,4,FALSE)</f>
        <v>0.99970000000000003</v>
      </c>
      <c r="BF224" s="30">
        <f>VLOOKUP(Inventory[[#This Row],[Qlty]],Lookups!$M$8:$P$22,4,FALSE)</f>
        <v>0.99819999999999998</v>
      </c>
      <c r="BG224" s="30">
        <f>VLOOKUP(Inventory[[#This Row],[Cnd]],Lookups!$R$8:$U$17,4,FALSE)</f>
        <v>1.0007999999999999</v>
      </c>
      <c r="BH224" s="30">
        <f>VLOOKUP(Inventory[[#This Row],[LivArea Range]],Lookups!$R$25:$U$43,4,FALSE)</f>
        <v>1.0007999999999999</v>
      </c>
      <c r="BI224" s="30">
        <f>VLOOKUP(Inventory[[#This Row],[Decade]],Lookups!$M$24:$P$40,4,FALSE)</f>
        <v>1</v>
      </c>
      <c r="BJ224" s="30">
        <f>Inventory[[#This Row],[Nbhd Adj]]*0.95</f>
        <v>0.94971499999999998</v>
      </c>
      <c r="BK224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224" s="30">
        <f>ROUND((SUM(Inventory[[#This Row],[Mdl Qlty]:[Mdl Garage Area]])+Inventory[[#This Row],[Mdl Res Intercept]])*Inventory[[#This Row],[Res Adj ]],-2)</f>
        <v>314000</v>
      </c>
      <c r="BM224" s="30">
        <f>ROUND(Inventory[[#This Row],[25Det]]*Inventory[[#This Row],[Det/Nbhd Adj]],-2)</f>
        <v>0</v>
      </c>
      <c r="BN224" s="30">
        <f>Inventory[[#This Row],[Adjusted Res]]+Inventory[[#This Row],[Adj Det ]]</f>
        <v>314000</v>
      </c>
      <c r="BO224" s="30">
        <f>ROUND((Inventory[[#This Row],[Mdl Land Intercept]]+Inventory[[#This Row],[Mdl LnAcres]])*Inventory[[#This Row],[Det/Nbhd Adj]],-2)</f>
        <v>61800</v>
      </c>
      <c r="BP224" s="30">
        <f>Inventory[[#This Row],[Adjusted Impr Total]]+Inventory[[#This Row],[Adjusted Land Total]]</f>
        <v>375800</v>
      </c>
      <c r="BQ224" s="30">
        <f>IFERROR((Inventory[[#This Row],[Adjusted Impr Total]]-Inventory[[#This Row],[24Bldg]])/Inventory[[#This Row],[24Bldg]],0)</f>
        <v>-2.119700748129676E-2</v>
      </c>
      <c r="BR224" s="43">
        <f>(Inventory[[#This Row],[Adjusted Land Total]]-Inventory[[#This Row],[24Lnd]])/Inventory[[#This Row],[24Lnd]]</f>
        <v>1.6207455429497568E-3</v>
      </c>
      <c r="BS224" s="43">
        <f>(Inventory[[#This Row],[Adjusted Total]]-Inventory[[#This Row],[24Final]])/Inventory[[#This Row],[24Final]]</f>
        <v>-1.7516339869281045E-2</v>
      </c>
    </row>
    <row r="225" spans="1:71">
      <c r="A225" s="30">
        <v>2025</v>
      </c>
      <c r="B225" s="31" t="s">
        <v>734</v>
      </c>
      <c r="C225" s="31">
        <f>LN(Inventory[[#This Row],[Acres]])</f>
        <v>-1.7660917224794772</v>
      </c>
      <c r="D225" s="37">
        <f>ROUND(Inventory[[#This Row],[Sqft]]/43560,3)</f>
        <v>0.17100000000000001</v>
      </c>
      <c r="E225" s="30">
        <v>7434</v>
      </c>
      <c r="F225" s="31" t="s">
        <v>505</v>
      </c>
      <c r="G225" s="31" t="s">
        <v>155</v>
      </c>
      <c r="H225" s="31" t="s">
        <v>5</v>
      </c>
      <c r="I225" s="31" t="s">
        <v>506</v>
      </c>
      <c r="J225" s="31" t="s">
        <v>507</v>
      </c>
      <c r="K225" s="31" t="s">
        <v>330</v>
      </c>
      <c r="L225" s="31" t="s">
        <v>21</v>
      </c>
      <c r="M225" s="31" t="s">
        <v>22</v>
      </c>
      <c r="N225" s="31">
        <v>0</v>
      </c>
      <c r="O225" s="31">
        <f>2024-Inventory[[#This Row],[YrBlt]]</f>
        <v>5</v>
      </c>
      <c r="P225" s="31">
        <f>2024-Inventory[[#This Row],[EffYr]]</f>
        <v>5</v>
      </c>
      <c r="Q225" s="30">
        <v>2019</v>
      </c>
      <c r="R225" s="30">
        <v>2019</v>
      </c>
      <c r="S225" s="30">
        <v>1188</v>
      </c>
      <c r="T225" s="38">
        <v>1364</v>
      </c>
      <c r="U225" s="32"/>
      <c r="V225" s="32"/>
      <c r="W225" s="32"/>
      <c r="X225" s="32">
        <f>Inventory[[#This Row],[Bsmt Area]]-Inventory[[#This Row],[FnBsmt]]</f>
        <v>0</v>
      </c>
      <c r="Y225" s="32">
        <f>Inventory[[#This Row],[MainFn]]+Inventory[[#This Row],[UpprFn]]+Inventory[[#This Row],[AddFn]]+Inventory[[#This Row],[FnBsmt]]</f>
        <v>2552</v>
      </c>
      <c r="Z225" s="32">
        <v>3000</v>
      </c>
      <c r="AA225" s="31" t="s">
        <v>56</v>
      </c>
      <c r="AB225" s="32"/>
      <c r="AC225" s="30">
        <v>288</v>
      </c>
      <c r="AD225" s="38">
        <v>484</v>
      </c>
      <c r="AE225" s="32"/>
      <c r="AF225" s="32"/>
      <c r="AG225" s="32"/>
      <c r="AH225" s="32"/>
      <c r="AI225" s="30">
        <v>524482</v>
      </c>
      <c r="AJ225" s="30">
        <v>503503</v>
      </c>
      <c r="AK225" s="30">
        <v>0</v>
      </c>
      <c r="AL225" s="30">
        <v>0</v>
      </c>
      <c r="AM225" s="30">
        <v>61700</v>
      </c>
      <c r="AN225" s="30">
        <v>397500</v>
      </c>
      <c r="AO225" s="30">
        <v>459200</v>
      </c>
      <c r="AP225" s="30">
        <f>Lookups!$B$58*0.6</f>
        <v>132535.48800000001</v>
      </c>
      <c r="AQ225" s="30">
        <f>Lookups!$B$58*0.4</f>
        <v>88356.992000000013</v>
      </c>
      <c r="AR225" s="30">
        <f>Lookups!$B$59*Inventory[[#This Row],[LnAcres]]</f>
        <v>-23178.754681263574</v>
      </c>
      <c r="AS225" s="30">
        <f>VLOOKUP(Inventory[[#This Row],[Qlty]],Lookups!$A$66:$E$79,2,FALSE)</f>
        <v>32917.849192000001</v>
      </c>
      <c r="AT225" s="30">
        <f>VLOOKUP(Inventory[[#This Row],[Cnd]],Lookups!$A$80:$E$88,2,FALSE)</f>
        <v>50438.379078999998</v>
      </c>
      <c r="AU225" s="30">
        <f>Inventory[[#This Row],[EffAge]]*Lookups!$B$65</f>
        <v>-543.70550000000003</v>
      </c>
      <c r="AV225" s="30">
        <f>Inventory[[#This Row],[MainFn]]*Lookups!$B$90</f>
        <v>74143.531440000006</v>
      </c>
      <c r="AW225" s="30">
        <f>Inventory[[#This Row],[UpprFn]]*Lookups!$B$91</f>
        <v>81267.642412000001</v>
      </c>
      <c r="AX225" s="30">
        <f>Inventory[[#This Row],[Bsmt Area]]*Lookups!$B$95</f>
        <v>0</v>
      </c>
      <c r="AY225" s="30">
        <f>Inventory[[#This Row],[AttGar]]*Lookups!$B$93</f>
        <v>10166.696928000001</v>
      </c>
      <c r="AZ225" s="30">
        <f>ROUND(Inventory[[#This Row],[25Det]],-2)</f>
        <v>0</v>
      </c>
      <c r="BA225" s="30">
        <f>ROUND(SUM(Inventory[[#This Row],[Mdl Qlty]:[Mdl Garage Area]])+Inventory[[#This Row],[Mdl Res Intercept]],-2)</f>
        <v>380900</v>
      </c>
      <c r="BB225" s="30">
        <f>ROUND(Inventory[[#This Row],[Mdl Land Intercept]]+Inventory[[#This Row],[Mdl LnAcres]],-2)</f>
        <v>65200</v>
      </c>
      <c r="BC225" s="30">
        <f>Inventory[[#This Row],[Unadj Res Value]]+Inventory[[#This Row],[Unadj Det Value]]+Inventory[[#This Row],[Unadj Land Value]]</f>
        <v>446100</v>
      </c>
      <c r="BD225" s="30">
        <f>(Inventory[[#This Row],[Unadj Total Value]]-Inventory[[#This Row],[24Final]])/Inventory[[#This Row],[24Final]]</f>
        <v>-2.8527874564459932E-2</v>
      </c>
      <c r="BE225" s="30">
        <f>VLOOKUP(Inventory[[#This Row],[Nbhd]],Lookups!$M$3:$P$5,4,FALSE)</f>
        <v>0.99970000000000003</v>
      </c>
      <c r="BF225" s="30">
        <f>VLOOKUP(Inventory[[#This Row],[Qlty]],Lookups!$M$8:$P$22,4,FALSE)</f>
        <v>1.0019</v>
      </c>
      <c r="BG225" s="30">
        <f>VLOOKUP(Inventory[[#This Row],[Cnd]],Lookups!$R$8:$U$17,4,FALSE)</f>
        <v>1.0007999999999999</v>
      </c>
      <c r="BH225" s="30">
        <f>VLOOKUP(Inventory[[#This Row],[LivArea Range]],Lookups!$R$25:$U$43,4,FALSE)</f>
        <v>1.0099</v>
      </c>
      <c r="BI225" s="30">
        <f>VLOOKUP(Inventory[[#This Row],[Decade]],Lookups!$M$24:$P$40,4,FALSE)</f>
        <v>1</v>
      </c>
      <c r="BJ225" s="30">
        <f>Inventory[[#This Row],[Nbhd Adj]]*0.95</f>
        <v>0.94971499999999998</v>
      </c>
      <c r="BK225" s="30">
        <f>AVERAGE(Inventory[[#This Row],[Nbhd Adj]],Inventory[[#This Row],[Quality Adj]],Inventory[[#This Row],[Condition Adj]],Inventory[[#This Row],[Living Area Adj]],Inventory[[#This Row],[Decade Adj]])*0.95</f>
        <v>0.95233699999999988</v>
      </c>
      <c r="BL225" s="30">
        <f>ROUND((SUM(Inventory[[#This Row],[Mdl Qlty]:[Mdl Garage Area]])+Inventory[[#This Row],[Mdl Res Intercept]])*Inventory[[#This Row],[Res Adj ]],-2)</f>
        <v>362800</v>
      </c>
      <c r="BM225" s="30">
        <f>ROUND(Inventory[[#This Row],[25Det]]*Inventory[[#This Row],[Det/Nbhd Adj]],-2)</f>
        <v>0</v>
      </c>
      <c r="BN225" s="30">
        <f>Inventory[[#This Row],[Adjusted Res]]+Inventory[[#This Row],[Adj Det ]]</f>
        <v>362800</v>
      </c>
      <c r="BO225" s="30">
        <f>ROUND((Inventory[[#This Row],[Mdl Land Intercept]]+Inventory[[#This Row],[Mdl LnAcres]])*Inventory[[#This Row],[Det/Nbhd Adj]],-2)</f>
        <v>61900</v>
      </c>
      <c r="BP225" s="30">
        <f>Inventory[[#This Row],[Adjusted Impr Total]]+Inventory[[#This Row],[Adjusted Land Total]]</f>
        <v>424700</v>
      </c>
      <c r="BQ225" s="30">
        <f>IFERROR((Inventory[[#This Row],[Adjusted Impr Total]]-Inventory[[#This Row],[24Bldg]])/Inventory[[#This Row],[24Bldg]],0)</f>
        <v>-8.7295597484276732E-2</v>
      </c>
      <c r="BR225" s="43">
        <f>(Inventory[[#This Row],[Adjusted Land Total]]-Inventory[[#This Row],[24Lnd]])/Inventory[[#This Row],[24Lnd]]</f>
        <v>3.2414910858995136E-3</v>
      </c>
      <c r="BS225" s="43">
        <f>(Inventory[[#This Row],[Adjusted Total]]-Inventory[[#This Row],[24Final]])/Inventory[[#This Row],[24Final]]</f>
        <v>-7.5130662020905917E-2</v>
      </c>
    </row>
    <row r="226" spans="1:71">
      <c r="A226" s="30">
        <v>2025</v>
      </c>
      <c r="B226" s="31" t="s">
        <v>735</v>
      </c>
      <c r="C226" s="31">
        <f>LN(Inventory[[#This Row],[Acres]])</f>
        <v>-1.7203694731413821</v>
      </c>
      <c r="D226" s="37">
        <f>ROUND(Inventory[[#This Row],[Sqft]]/43560,3)</f>
        <v>0.17899999999999999</v>
      </c>
      <c r="E226" s="30">
        <v>7809</v>
      </c>
      <c r="F226" s="31" t="s">
        <v>505</v>
      </c>
      <c r="G226" s="31" t="s">
        <v>155</v>
      </c>
      <c r="H226" s="31" t="s">
        <v>5</v>
      </c>
      <c r="I226" s="31" t="s">
        <v>506</v>
      </c>
      <c r="J226" s="31" t="s">
        <v>507</v>
      </c>
      <c r="K226" s="31" t="s">
        <v>330</v>
      </c>
      <c r="L226" s="31" t="s">
        <v>19</v>
      </c>
      <c r="M226" s="31" t="s">
        <v>22</v>
      </c>
      <c r="N226" s="31">
        <v>0</v>
      </c>
      <c r="O226" s="31">
        <f>2024-Inventory[[#This Row],[YrBlt]]</f>
        <v>5</v>
      </c>
      <c r="P226" s="31">
        <f>2024-Inventory[[#This Row],[EffYr]]</f>
        <v>5</v>
      </c>
      <c r="Q226" s="30">
        <v>2019</v>
      </c>
      <c r="R226" s="30">
        <v>2019</v>
      </c>
      <c r="S226" s="30">
        <v>1529</v>
      </c>
      <c r="T226" s="32"/>
      <c r="U226" s="32"/>
      <c r="V226" s="32"/>
      <c r="W226" s="32"/>
      <c r="X226" s="32">
        <f>Inventory[[#This Row],[Bsmt Area]]-Inventory[[#This Row],[FnBsmt]]</f>
        <v>0</v>
      </c>
      <c r="Y226" s="32">
        <f>Inventory[[#This Row],[MainFn]]+Inventory[[#This Row],[UpprFn]]+Inventory[[#This Row],[AddFn]]+Inventory[[#This Row],[FnBsmt]]</f>
        <v>1529</v>
      </c>
      <c r="Z226" s="32">
        <v>2000</v>
      </c>
      <c r="AA226" s="31" t="s">
        <v>56</v>
      </c>
      <c r="AB226" s="32"/>
      <c r="AC226" s="38">
        <v>441</v>
      </c>
      <c r="AD226" s="32"/>
      <c r="AE226" s="32"/>
      <c r="AF226" s="32"/>
      <c r="AG226" s="32"/>
      <c r="AH226" s="32"/>
      <c r="AI226" s="30">
        <v>305415</v>
      </c>
      <c r="AJ226" s="30">
        <v>293198</v>
      </c>
      <c r="AK226" s="30">
        <v>0</v>
      </c>
      <c r="AL226" s="30">
        <v>0</v>
      </c>
      <c r="AM226" s="30">
        <v>62500</v>
      </c>
      <c r="AN226" s="30">
        <v>330000</v>
      </c>
      <c r="AO226" s="30">
        <v>392500</v>
      </c>
      <c r="AP226" s="30">
        <f>Lookups!$B$58*0.6</f>
        <v>132535.48800000001</v>
      </c>
      <c r="AQ226" s="30">
        <f>Lookups!$B$58*0.4</f>
        <v>88356.992000000013</v>
      </c>
      <c r="AR226" s="30">
        <f>Lookups!$B$59*Inventory[[#This Row],[LnAcres]]</f>
        <v>-22578.681204108376</v>
      </c>
      <c r="AS226" s="30">
        <f>VLOOKUP(Inventory[[#This Row],[Qlty]],Lookups!$A$66:$E$79,2,FALSE)</f>
        <v>37154.252388000001</v>
      </c>
      <c r="AT226" s="30">
        <f>VLOOKUP(Inventory[[#This Row],[Cnd]],Lookups!$A$80:$E$88,2,FALSE)</f>
        <v>50438.379078999998</v>
      </c>
      <c r="AU226" s="30">
        <f>Inventory[[#This Row],[EffAge]]*Lookups!$B$65</f>
        <v>-543.70550000000003</v>
      </c>
      <c r="AV226" s="30">
        <f>Inventory[[#This Row],[MainFn]]*Lookups!$B$90</f>
        <v>95425.471020000012</v>
      </c>
      <c r="AW226" s="30">
        <f>Inventory[[#This Row],[UpprFn]]*Lookups!$B$91</f>
        <v>0</v>
      </c>
      <c r="AX226" s="30">
        <f>Inventory[[#This Row],[Bsmt Area]]*Lookups!$B$95</f>
        <v>0</v>
      </c>
      <c r="AY226" s="30">
        <f>Inventory[[#This Row],[AttGar]]*Lookups!$B$93</f>
        <v>15567.754671000001</v>
      </c>
      <c r="AZ226" s="30">
        <f>ROUND(Inventory[[#This Row],[25Det]],-2)</f>
        <v>0</v>
      </c>
      <c r="BA226" s="30">
        <f>ROUND(SUM(Inventory[[#This Row],[Mdl Qlty]:[Mdl Garage Area]])+Inventory[[#This Row],[Mdl Res Intercept]],-2)</f>
        <v>330600</v>
      </c>
      <c r="BB226" s="30">
        <f>ROUND(Inventory[[#This Row],[Mdl Land Intercept]]+Inventory[[#This Row],[Mdl LnAcres]],-2)</f>
        <v>65800</v>
      </c>
      <c r="BC226" s="30">
        <f>Inventory[[#This Row],[Unadj Res Value]]+Inventory[[#This Row],[Unadj Det Value]]+Inventory[[#This Row],[Unadj Land Value]]</f>
        <v>396400</v>
      </c>
      <c r="BD226" s="30">
        <f>(Inventory[[#This Row],[Unadj Total Value]]-Inventory[[#This Row],[24Final]])/Inventory[[#This Row],[24Final]]</f>
        <v>9.9363057324840763E-3</v>
      </c>
      <c r="BE226" s="30">
        <f>VLOOKUP(Inventory[[#This Row],[Nbhd]],Lookups!$M$3:$P$5,4,FALSE)</f>
        <v>0.99970000000000003</v>
      </c>
      <c r="BF226" s="30">
        <f>VLOOKUP(Inventory[[#This Row],[Qlty]],Lookups!$M$8:$P$22,4,FALSE)</f>
        <v>0.99819999999999998</v>
      </c>
      <c r="BG226" s="30">
        <f>VLOOKUP(Inventory[[#This Row],[Cnd]],Lookups!$R$8:$U$17,4,FALSE)</f>
        <v>1.0007999999999999</v>
      </c>
      <c r="BH226" s="30">
        <f>VLOOKUP(Inventory[[#This Row],[LivArea Range]],Lookups!$R$25:$U$43,4,FALSE)</f>
        <v>1.0007999999999999</v>
      </c>
      <c r="BI226" s="30">
        <f>VLOOKUP(Inventory[[#This Row],[Decade]],Lookups!$M$24:$P$40,4,FALSE)</f>
        <v>1</v>
      </c>
      <c r="BJ226" s="30">
        <f>Inventory[[#This Row],[Nbhd Adj]]*0.95</f>
        <v>0.94971499999999998</v>
      </c>
      <c r="BK226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226" s="30">
        <f>ROUND((SUM(Inventory[[#This Row],[Mdl Qlty]:[Mdl Garage Area]])+Inventory[[#This Row],[Mdl Res Intercept]])*Inventory[[#This Row],[Res Adj ]],-2)</f>
        <v>314000</v>
      </c>
      <c r="BM226" s="30">
        <f>ROUND(Inventory[[#This Row],[25Det]]*Inventory[[#This Row],[Det/Nbhd Adj]],-2)</f>
        <v>0</v>
      </c>
      <c r="BN226" s="30">
        <f>Inventory[[#This Row],[Adjusted Res]]+Inventory[[#This Row],[Adj Det ]]</f>
        <v>314000</v>
      </c>
      <c r="BO226" s="30">
        <f>ROUND((Inventory[[#This Row],[Mdl Land Intercept]]+Inventory[[#This Row],[Mdl LnAcres]])*Inventory[[#This Row],[Det/Nbhd Adj]],-2)</f>
        <v>62500</v>
      </c>
      <c r="BP226" s="30">
        <f>Inventory[[#This Row],[Adjusted Impr Total]]+Inventory[[#This Row],[Adjusted Land Total]]</f>
        <v>376500</v>
      </c>
      <c r="BQ226" s="30">
        <f>IFERROR((Inventory[[#This Row],[Adjusted Impr Total]]-Inventory[[#This Row],[24Bldg]])/Inventory[[#This Row],[24Bldg]],0)</f>
        <v>-4.8484848484848485E-2</v>
      </c>
      <c r="BR226" s="43">
        <f>(Inventory[[#This Row],[Adjusted Land Total]]-Inventory[[#This Row],[24Lnd]])/Inventory[[#This Row],[24Lnd]]</f>
        <v>0</v>
      </c>
      <c r="BS226" s="43">
        <f>(Inventory[[#This Row],[Adjusted Total]]-Inventory[[#This Row],[24Final]])/Inventory[[#This Row],[24Final]]</f>
        <v>-4.0764331210191081E-2</v>
      </c>
    </row>
    <row r="227" spans="1:71">
      <c r="A227" s="30">
        <v>2025</v>
      </c>
      <c r="B227" s="31" t="s">
        <v>736</v>
      </c>
      <c r="C227" s="31">
        <f>LN(Inventory[[#This Row],[Acres]])</f>
        <v>-1.7147984280919266</v>
      </c>
      <c r="D227" s="37">
        <f>ROUND(Inventory[[#This Row],[Sqft]]/43560,3)</f>
        <v>0.18</v>
      </c>
      <c r="E227" s="30">
        <v>7832</v>
      </c>
      <c r="F227" s="31" t="s">
        <v>505</v>
      </c>
      <c r="G227" s="31" t="s">
        <v>155</v>
      </c>
      <c r="H227" s="31" t="s">
        <v>5</v>
      </c>
      <c r="I227" s="31" t="s">
        <v>506</v>
      </c>
      <c r="J227" s="31" t="s">
        <v>507</v>
      </c>
      <c r="K227" s="31" t="s">
        <v>330</v>
      </c>
      <c r="L227" s="31" t="s">
        <v>21</v>
      </c>
      <c r="M227" s="31" t="s">
        <v>22</v>
      </c>
      <c r="N227" s="31">
        <v>0</v>
      </c>
      <c r="O227" s="31">
        <f>2024-Inventory[[#This Row],[YrBlt]]</f>
        <v>5</v>
      </c>
      <c r="P227" s="31">
        <f>2024-Inventory[[#This Row],[EffYr]]</f>
        <v>5</v>
      </c>
      <c r="Q227" s="30">
        <v>2019</v>
      </c>
      <c r="R227" s="30">
        <v>2019</v>
      </c>
      <c r="S227" s="30">
        <v>2316</v>
      </c>
      <c r="T227" s="32"/>
      <c r="U227" s="32"/>
      <c r="V227" s="32"/>
      <c r="W227" s="32"/>
      <c r="X227" s="32">
        <f>Inventory[[#This Row],[Bsmt Area]]-Inventory[[#This Row],[FnBsmt]]</f>
        <v>0</v>
      </c>
      <c r="Y227" s="32">
        <f>Inventory[[#This Row],[MainFn]]+Inventory[[#This Row],[UpprFn]]+Inventory[[#This Row],[AddFn]]+Inventory[[#This Row],[FnBsmt]]</f>
        <v>2316</v>
      </c>
      <c r="Z227" s="32">
        <v>2500</v>
      </c>
      <c r="AA227" s="31" t="s">
        <v>57</v>
      </c>
      <c r="AB227" s="38">
        <v>1</v>
      </c>
      <c r="AC227" s="30">
        <v>660</v>
      </c>
      <c r="AD227" s="32"/>
      <c r="AE227" s="32"/>
      <c r="AF227" s="32"/>
      <c r="AG227" s="32"/>
      <c r="AH227" s="32"/>
      <c r="AI227" s="30">
        <v>493582</v>
      </c>
      <c r="AJ227" s="30">
        <v>473839</v>
      </c>
      <c r="AK227" s="30">
        <v>0</v>
      </c>
      <c r="AL227" s="30">
        <v>0</v>
      </c>
      <c r="AM227" s="30">
        <v>62500</v>
      </c>
      <c r="AN227" s="30">
        <v>374300</v>
      </c>
      <c r="AO227" s="30">
        <v>436800</v>
      </c>
      <c r="AP227" s="30">
        <f>Lookups!$B$58*0.6</f>
        <v>132535.48800000001</v>
      </c>
      <c r="AQ227" s="30">
        <f>Lookups!$B$58*0.4</f>
        <v>88356.992000000013</v>
      </c>
      <c r="AR227" s="30">
        <f>Lookups!$B$59*Inventory[[#This Row],[LnAcres]]</f>
        <v>-22505.565020573864</v>
      </c>
      <c r="AS227" s="30">
        <f>VLOOKUP(Inventory[[#This Row],[Qlty]],Lookups!$A$66:$E$79,2,FALSE)</f>
        <v>32917.849192000001</v>
      </c>
      <c r="AT227" s="30">
        <f>VLOOKUP(Inventory[[#This Row],[Cnd]],Lookups!$A$80:$E$88,2,FALSE)</f>
        <v>50438.379078999998</v>
      </c>
      <c r="AU227" s="30">
        <f>Inventory[[#This Row],[EffAge]]*Lookups!$B$65</f>
        <v>-543.70550000000003</v>
      </c>
      <c r="AV227" s="30">
        <f>Inventory[[#This Row],[MainFn]]*Lookups!$B$90</f>
        <v>144542.44008</v>
      </c>
      <c r="AW227" s="30">
        <f>Inventory[[#This Row],[UpprFn]]*Lookups!$B$91</f>
        <v>0</v>
      </c>
      <c r="AX227" s="30">
        <f>Inventory[[#This Row],[Bsmt Area]]*Lookups!$B$95</f>
        <v>0</v>
      </c>
      <c r="AY227" s="30">
        <f>Inventory[[#This Row],[AttGar]]*Lookups!$B$93</f>
        <v>23298.68046</v>
      </c>
      <c r="AZ227" s="30">
        <f>ROUND(Inventory[[#This Row],[25Det]],-2)</f>
        <v>0</v>
      </c>
      <c r="BA227" s="30">
        <f>ROUND(SUM(Inventory[[#This Row],[Mdl Qlty]:[Mdl Garage Area]])+Inventory[[#This Row],[Mdl Res Intercept]],-2)</f>
        <v>383200</v>
      </c>
      <c r="BB227" s="30">
        <f>ROUND(Inventory[[#This Row],[Mdl Land Intercept]]+Inventory[[#This Row],[Mdl LnAcres]],-2)</f>
        <v>65900</v>
      </c>
      <c r="BC227" s="30">
        <f>Inventory[[#This Row],[Unadj Res Value]]+Inventory[[#This Row],[Unadj Det Value]]+Inventory[[#This Row],[Unadj Land Value]]</f>
        <v>449100</v>
      </c>
      <c r="BD227" s="30">
        <f>(Inventory[[#This Row],[Unadj Total Value]]-Inventory[[#This Row],[24Final]])/Inventory[[#This Row],[24Final]]</f>
        <v>2.815934065934066E-2</v>
      </c>
      <c r="BE227" s="30">
        <f>VLOOKUP(Inventory[[#This Row],[Nbhd]],Lookups!$M$3:$P$5,4,FALSE)</f>
        <v>0.99970000000000003</v>
      </c>
      <c r="BF227" s="30">
        <f>VLOOKUP(Inventory[[#This Row],[Qlty]],Lookups!$M$8:$P$22,4,FALSE)</f>
        <v>1.0019</v>
      </c>
      <c r="BG227" s="30">
        <f>VLOOKUP(Inventory[[#This Row],[Cnd]],Lookups!$R$8:$U$17,4,FALSE)</f>
        <v>1.0007999999999999</v>
      </c>
      <c r="BH227" s="30">
        <f>VLOOKUP(Inventory[[#This Row],[LivArea Range]],Lookups!$R$25:$U$43,4,FALSE)</f>
        <v>1.0008999999999999</v>
      </c>
      <c r="BI227" s="30">
        <f>VLOOKUP(Inventory[[#This Row],[Decade]],Lookups!$M$24:$P$40,4,FALSE)</f>
        <v>1</v>
      </c>
      <c r="BJ227" s="30">
        <f>Inventory[[#This Row],[Nbhd Adj]]*0.95</f>
        <v>0.94971499999999998</v>
      </c>
      <c r="BK227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227" s="30">
        <f>ROUND((SUM(Inventory[[#This Row],[Mdl Qlty]:[Mdl Garage Area]])+Inventory[[#This Row],[Mdl Res Intercept]])*Inventory[[#This Row],[Res Adj ]],-2)</f>
        <v>364300</v>
      </c>
      <c r="BM227" s="30">
        <f>ROUND(Inventory[[#This Row],[25Det]]*Inventory[[#This Row],[Det/Nbhd Adj]],-2)</f>
        <v>0</v>
      </c>
      <c r="BN227" s="30">
        <f>Inventory[[#This Row],[Adjusted Res]]+Inventory[[#This Row],[Adj Det ]]</f>
        <v>364300</v>
      </c>
      <c r="BO227" s="30">
        <f>ROUND((Inventory[[#This Row],[Mdl Land Intercept]]+Inventory[[#This Row],[Mdl LnAcres]])*Inventory[[#This Row],[Det/Nbhd Adj]],-2)</f>
        <v>62500</v>
      </c>
      <c r="BP227" s="30">
        <f>Inventory[[#This Row],[Adjusted Impr Total]]+Inventory[[#This Row],[Adjusted Land Total]]</f>
        <v>426800</v>
      </c>
      <c r="BQ227" s="30">
        <f>IFERROR((Inventory[[#This Row],[Adjusted Impr Total]]-Inventory[[#This Row],[24Bldg]])/Inventory[[#This Row],[24Bldg]],0)</f>
        <v>-2.6716537536735238E-2</v>
      </c>
      <c r="BR227" s="43">
        <f>(Inventory[[#This Row],[Adjusted Land Total]]-Inventory[[#This Row],[24Lnd]])/Inventory[[#This Row],[24Lnd]]</f>
        <v>0</v>
      </c>
      <c r="BS227" s="43">
        <f>(Inventory[[#This Row],[Adjusted Total]]-Inventory[[#This Row],[24Final]])/Inventory[[#This Row],[24Final]]</f>
        <v>-2.2893772893772892E-2</v>
      </c>
    </row>
    <row r="228" spans="1:71">
      <c r="A228" s="30">
        <v>2025</v>
      </c>
      <c r="B228" s="31" t="s">
        <v>737</v>
      </c>
      <c r="C228" s="31">
        <f>LN(Inventory[[#This Row],[Acres]])</f>
        <v>-1.6450650900772514</v>
      </c>
      <c r="D228" s="37">
        <f>ROUND(Inventory[[#This Row],[Sqft]]/43560,3)</f>
        <v>0.193</v>
      </c>
      <c r="E228" s="38">
        <v>8418</v>
      </c>
      <c r="F228" s="31" t="s">
        <v>505</v>
      </c>
      <c r="G228" s="31" t="s">
        <v>155</v>
      </c>
      <c r="H228" s="31" t="s">
        <v>5</v>
      </c>
      <c r="I228" s="31" t="s">
        <v>506</v>
      </c>
      <c r="J228" s="31" t="s">
        <v>507</v>
      </c>
      <c r="K228" s="31" t="s">
        <v>330</v>
      </c>
      <c r="L228" s="31" t="s">
        <v>21</v>
      </c>
      <c r="M228" s="31" t="s">
        <v>22</v>
      </c>
      <c r="N228" s="31">
        <v>0</v>
      </c>
      <c r="O228" s="31">
        <f>2024-Inventory[[#This Row],[YrBlt]]</f>
        <v>5</v>
      </c>
      <c r="P228" s="31">
        <f>2024-Inventory[[#This Row],[EffYr]]</f>
        <v>5</v>
      </c>
      <c r="Q228" s="30">
        <v>2019</v>
      </c>
      <c r="R228" s="30">
        <v>2019</v>
      </c>
      <c r="S228" s="30">
        <v>2025</v>
      </c>
      <c r="T228" s="32"/>
      <c r="U228" s="32"/>
      <c r="V228" s="32"/>
      <c r="W228" s="32"/>
      <c r="X228" s="32">
        <f>Inventory[[#This Row],[Bsmt Area]]-Inventory[[#This Row],[FnBsmt]]</f>
        <v>0</v>
      </c>
      <c r="Y228" s="32">
        <f>Inventory[[#This Row],[MainFn]]+Inventory[[#This Row],[UpprFn]]+Inventory[[#This Row],[AddFn]]+Inventory[[#This Row],[FnBsmt]]</f>
        <v>2025</v>
      </c>
      <c r="Z228" s="32">
        <v>2500</v>
      </c>
      <c r="AA228" s="31" t="s">
        <v>56</v>
      </c>
      <c r="AB228" s="38">
        <v>1</v>
      </c>
      <c r="AC228" s="38">
        <v>640</v>
      </c>
      <c r="AD228" s="32"/>
      <c r="AE228" s="32"/>
      <c r="AF228" s="32"/>
      <c r="AG228" s="32"/>
      <c r="AH228" s="32"/>
      <c r="AI228" s="30">
        <v>436600</v>
      </c>
      <c r="AJ228" s="30">
        <v>419136</v>
      </c>
      <c r="AK228" s="30">
        <v>0</v>
      </c>
      <c r="AL228" s="30">
        <v>0</v>
      </c>
      <c r="AM228" s="30">
        <v>63200</v>
      </c>
      <c r="AN228" s="30">
        <v>351600</v>
      </c>
      <c r="AO228" s="30">
        <v>414800</v>
      </c>
      <c r="AP228" s="30">
        <f>Lookups!$B$58*0.6</f>
        <v>132535.48800000001</v>
      </c>
      <c r="AQ228" s="30">
        <f>Lookups!$B$58*0.4</f>
        <v>88356.992000000013</v>
      </c>
      <c r="AR228" s="30">
        <f>Lookups!$B$59*Inventory[[#This Row],[LnAcres]]</f>
        <v>-21590.362308067761</v>
      </c>
      <c r="AS228" s="30">
        <f>VLOOKUP(Inventory[[#This Row],[Qlty]],Lookups!$A$66:$E$79,2,FALSE)</f>
        <v>32917.849192000001</v>
      </c>
      <c r="AT228" s="30">
        <f>VLOOKUP(Inventory[[#This Row],[Cnd]],Lookups!$A$80:$E$88,2,FALSE)</f>
        <v>50438.379078999998</v>
      </c>
      <c r="AU228" s="30">
        <f>Inventory[[#This Row],[EffAge]]*Lookups!$B$65</f>
        <v>-543.70550000000003</v>
      </c>
      <c r="AV228" s="30">
        <f>Inventory[[#This Row],[MainFn]]*Lookups!$B$90</f>
        <v>126381.01950000001</v>
      </c>
      <c r="AW228" s="30">
        <f>Inventory[[#This Row],[UpprFn]]*Lookups!$B$91</f>
        <v>0</v>
      </c>
      <c r="AX228" s="30">
        <f>Inventory[[#This Row],[Bsmt Area]]*Lookups!$B$95</f>
        <v>0</v>
      </c>
      <c r="AY228" s="30">
        <f>Inventory[[#This Row],[AttGar]]*Lookups!$B$93</f>
        <v>22592.65984</v>
      </c>
      <c r="AZ228" s="30">
        <f>ROUND(Inventory[[#This Row],[25Det]],-2)</f>
        <v>0</v>
      </c>
      <c r="BA228" s="30">
        <f>ROUND(SUM(Inventory[[#This Row],[Mdl Qlty]:[Mdl Garage Area]])+Inventory[[#This Row],[Mdl Res Intercept]],-2)</f>
        <v>364300</v>
      </c>
      <c r="BB228" s="30">
        <f>ROUND(Inventory[[#This Row],[Mdl Land Intercept]]+Inventory[[#This Row],[Mdl LnAcres]],-2)</f>
        <v>66800</v>
      </c>
      <c r="BC228" s="30">
        <f>Inventory[[#This Row],[Unadj Res Value]]+Inventory[[#This Row],[Unadj Det Value]]+Inventory[[#This Row],[Unadj Land Value]]</f>
        <v>431100</v>
      </c>
      <c r="BD228" s="30">
        <f>(Inventory[[#This Row],[Unadj Total Value]]-Inventory[[#This Row],[24Final]])/Inventory[[#This Row],[24Final]]</f>
        <v>3.9296046287367409E-2</v>
      </c>
      <c r="BE228" s="30">
        <f>VLOOKUP(Inventory[[#This Row],[Nbhd]],Lookups!$M$3:$P$5,4,FALSE)</f>
        <v>0.99970000000000003</v>
      </c>
      <c r="BF228" s="30">
        <f>VLOOKUP(Inventory[[#This Row],[Qlty]],Lookups!$M$8:$P$22,4,FALSE)</f>
        <v>1.0019</v>
      </c>
      <c r="BG228" s="30">
        <f>VLOOKUP(Inventory[[#This Row],[Cnd]],Lookups!$R$8:$U$17,4,FALSE)</f>
        <v>1.0007999999999999</v>
      </c>
      <c r="BH228" s="30">
        <f>VLOOKUP(Inventory[[#This Row],[LivArea Range]],Lookups!$R$25:$U$43,4,FALSE)</f>
        <v>1.0008999999999999</v>
      </c>
      <c r="BI228" s="30">
        <f>VLOOKUP(Inventory[[#This Row],[Decade]],Lookups!$M$24:$P$40,4,FALSE)</f>
        <v>1</v>
      </c>
      <c r="BJ228" s="30">
        <f>Inventory[[#This Row],[Nbhd Adj]]*0.95</f>
        <v>0.94971499999999998</v>
      </c>
      <c r="BK228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228" s="30">
        <f>ROUND((SUM(Inventory[[#This Row],[Mdl Qlty]:[Mdl Garage Area]])+Inventory[[#This Row],[Mdl Res Intercept]])*Inventory[[#This Row],[Res Adj ]],-2)</f>
        <v>346300</v>
      </c>
      <c r="BM228" s="30">
        <f>ROUND(Inventory[[#This Row],[25Det]]*Inventory[[#This Row],[Det/Nbhd Adj]],-2)</f>
        <v>0</v>
      </c>
      <c r="BN228" s="30">
        <f>Inventory[[#This Row],[Adjusted Res]]+Inventory[[#This Row],[Adj Det ]]</f>
        <v>346300</v>
      </c>
      <c r="BO228" s="30">
        <f>ROUND((Inventory[[#This Row],[Mdl Land Intercept]]+Inventory[[#This Row],[Mdl LnAcres]])*Inventory[[#This Row],[Det/Nbhd Adj]],-2)</f>
        <v>63400</v>
      </c>
      <c r="BP228" s="30">
        <f>Inventory[[#This Row],[Adjusted Impr Total]]+Inventory[[#This Row],[Adjusted Land Total]]</f>
        <v>409700</v>
      </c>
      <c r="BQ228" s="30">
        <f>IFERROR((Inventory[[#This Row],[Adjusted Impr Total]]-Inventory[[#This Row],[24Bldg]])/Inventory[[#This Row],[24Bldg]],0)</f>
        <v>-1.5073947667804323E-2</v>
      </c>
      <c r="BR228" s="43">
        <f>(Inventory[[#This Row],[Adjusted Land Total]]-Inventory[[#This Row],[24Lnd]])/Inventory[[#This Row],[24Lnd]]</f>
        <v>3.1645569620253164E-3</v>
      </c>
      <c r="BS228" s="43">
        <f>(Inventory[[#This Row],[Adjusted Total]]-Inventory[[#This Row],[24Final]])/Inventory[[#This Row],[24Final]]</f>
        <v>-1.2295081967213115E-2</v>
      </c>
    </row>
    <row r="229" spans="1:71">
      <c r="A229" s="30">
        <v>2025</v>
      </c>
      <c r="B229" s="31" t="s">
        <v>738</v>
      </c>
      <c r="C229" s="31">
        <f>LN(Inventory[[#This Row],[Acres]])</f>
        <v>-1.4740332754278973</v>
      </c>
      <c r="D229" s="37">
        <f>ROUND(Inventory[[#This Row],[Sqft]]/43560,3)</f>
        <v>0.22900000000000001</v>
      </c>
      <c r="E229" s="30">
        <v>9986</v>
      </c>
      <c r="F229" s="31" t="s">
        <v>505</v>
      </c>
      <c r="G229" s="31" t="s">
        <v>155</v>
      </c>
      <c r="H229" s="31" t="s">
        <v>5</v>
      </c>
      <c r="I229" s="31" t="s">
        <v>506</v>
      </c>
      <c r="J229" s="31" t="s">
        <v>507</v>
      </c>
      <c r="K229" s="31" t="s">
        <v>330</v>
      </c>
      <c r="L229" s="31" t="s">
        <v>19</v>
      </c>
      <c r="M229" s="31" t="s">
        <v>22</v>
      </c>
      <c r="N229" s="31">
        <v>0</v>
      </c>
      <c r="O229" s="31">
        <f>2024-Inventory[[#This Row],[YrBlt]]</f>
        <v>5</v>
      </c>
      <c r="P229" s="31">
        <f>2024-Inventory[[#This Row],[EffYr]]</f>
        <v>5</v>
      </c>
      <c r="Q229" s="30">
        <v>2019</v>
      </c>
      <c r="R229" s="30">
        <v>2019</v>
      </c>
      <c r="S229" s="30">
        <v>1550</v>
      </c>
      <c r="T229" s="32"/>
      <c r="U229" s="32"/>
      <c r="V229" s="32"/>
      <c r="W229" s="32"/>
      <c r="X229" s="32">
        <f>Inventory[[#This Row],[Bsmt Area]]-Inventory[[#This Row],[FnBsmt]]</f>
        <v>0</v>
      </c>
      <c r="Y229" s="32">
        <f>Inventory[[#This Row],[MainFn]]+Inventory[[#This Row],[UpprFn]]+Inventory[[#This Row],[AddFn]]+Inventory[[#This Row],[FnBsmt]]</f>
        <v>1550</v>
      </c>
      <c r="Z229" s="32">
        <v>2000</v>
      </c>
      <c r="AA229" s="31" t="s">
        <v>56</v>
      </c>
      <c r="AB229" s="32"/>
      <c r="AC229" s="30">
        <v>420</v>
      </c>
      <c r="AD229" s="32"/>
      <c r="AE229" s="32"/>
      <c r="AF229" s="32"/>
      <c r="AG229" s="32"/>
      <c r="AH229" s="32"/>
      <c r="AI229" s="30">
        <v>307865</v>
      </c>
      <c r="AJ229" s="30">
        <v>295550</v>
      </c>
      <c r="AK229" s="30">
        <v>0</v>
      </c>
      <c r="AL229" s="30">
        <v>0</v>
      </c>
      <c r="AM229" s="30">
        <v>65900</v>
      </c>
      <c r="AN229" s="30">
        <v>330500</v>
      </c>
      <c r="AO229" s="30">
        <v>396400</v>
      </c>
      <c r="AP229" s="30">
        <f>Lookups!$B$58*0.6</f>
        <v>132535.48800000001</v>
      </c>
      <c r="AQ229" s="30">
        <f>Lookups!$B$58*0.4</f>
        <v>88356.992000000013</v>
      </c>
      <c r="AR229" s="30">
        <f>Lookups!$B$59*Inventory[[#This Row],[LnAcres]]</f>
        <v>-19345.685871397138</v>
      </c>
      <c r="AS229" s="30">
        <f>VLOOKUP(Inventory[[#This Row],[Qlty]],Lookups!$A$66:$E$79,2,FALSE)</f>
        <v>37154.252388000001</v>
      </c>
      <c r="AT229" s="30">
        <f>VLOOKUP(Inventory[[#This Row],[Cnd]],Lookups!$A$80:$E$88,2,FALSE)</f>
        <v>50438.379078999998</v>
      </c>
      <c r="AU229" s="30">
        <f>Inventory[[#This Row],[EffAge]]*Lookups!$B$65</f>
        <v>-543.70550000000003</v>
      </c>
      <c r="AV229" s="30">
        <f>Inventory[[#This Row],[MainFn]]*Lookups!$B$90</f>
        <v>96736.089000000007</v>
      </c>
      <c r="AW229" s="30">
        <f>Inventory[[#This Row],[UpprFn]]*Lookups!$B$91</f>
        <v>0</v>
      </c>
      <c r="AX229" s="30">
        <f>Inventory[[#This Row],[Bsmt Area]]*Lookups!$B$95</f>
        <v>0</v>
      </c>
      <c r="AY229" s="30">
        <f>Inventory[[#This Row],[AttGar]]*Lookups!$B$93</f>
        <v>14826.43302</v>
      </c>
      <c r="AZ229" s="30">
        <f>ROUND(Inventory[[#This Row],[25Det]],-2)</f>
        <v>0</v>
      </c>
      <c r="BA229" s="30">
        <f>ROUND(SUM(Inventory[[#This Row],[Mdl Qlty]:[Mdl Garage Area]])+Inventory[[#This Row],[Mdl Res Intercept]],-2)</f>
        <v>331100</v>
      </c>
      <c r="BB229" s="30">
        <f>ROUND(Inventory[[#This Row],[Mdl Land Intercept]]+Inventory[[#This Row],[Mdl LnAcres]],-2)</f>
        <v>69000</v>
      </c>
      <c r="BC229" s="30">
        <f>Inventory[[#This Row],[Unadj Res Value]]+Inventory[[#This Row],[Unadj Det Value]]+Inventory[[#This Row],[Unadj Land Value]]</f>
        <v>400100</v>
      </c>
      <c r="BD229" s="30">
        <f>(Inventory[[#This Row],[Unadj Total Value]]-Inventory[[#This Row],[24Final]])/Inventory[[#This Row],[24Final]]</f>
        <v>9.3340060544904145E-3</v>
      </c>
      <c r="BE229" s="30">
        <f>VLOOKUP(Inventory[[#This Row],[Nbhd]],Lookups!$M$3:$P$5,4,FALSE)</f>
        <v>0.99970000000000003</v>
      </c>
      <c r="BF229" s="30">
        <f>VLOOKUP(Inventory[[#This Row],[Qlty]],Lookups!$M$8:$P$22,4,FALSE)</f>
        <v>0.99819999999999998</v>
      </c>
      <c r="BG229" s="30">
        <f>VLOOKUP(Inventory[[#This Row],[Cnd]],Lookups!$R$8:$U$17,4,FALSE)</f>
        <v>1.0007999999999999</v>
      </c>
      <c r="BH229" s="30">
        <f>VLOOKUP(Inventory[[#This Row],[LivArea Range]],Lookups!$R$25:$U$43,4,FALSE)</f>
        <v>1.0007999999999999</v>
      </c>
      <c r="BI229" s="30">
        <f>VLOOKUP(Inventory[[#This Row],[Decade]],Lookups!$M$24:$P$40,4,FALSE)</f>
        <v>1</v>
      </c>
      <c r="BJ229" s="30">
        <f>Inventory[[#This Row],[Nbhd Adj]]*0.95</f>
        <v>0.94971499999999998</v>
      </c>
      <c r="BK229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229" s="30">
        <f>ROUND((SUM(Inventory[[#This Row],[Mdl Qlty]:[Mdl Garage Area]])+Inventory[[#This Row],[Mdl Res Intercept]])*Inventory[[#This Row],[Res Adj ]],-2)</f>
        <v>314600</v>
      </c>
      <c r="BM229" s="30">
        <f>ROUND(Inventory[[#This Row],[25Det]]*Inventory[[#This Row],[Det/Nbhd Adj]],-2)</f>
        <v>0</v>
      </c>
      <c r="BN229" s="30">
        <f>Inventory[[#This Row],[Adjusted Res]]+Inventory[[#This Row],[Adj Det ]]</f>
        <v>314600</v>
      </c>
      <c r="BO229" s="30">
        <f>ROUND((Inventory[[#This Row],[Mdl Land Intercept]]+Inventory[[#This Row],[Mdl LnAcres]])*Inventory[[#This Row],[Det/Nbhd Adj]],-2)</f>
        <v>65500</v>
      </c>
      <c r="BP229" s="30">
        <f>Inventory[[#This Row],[Adjusted Impr Total]]+Inventory[[#This Row],[Adjusted Land Total]]</f>
        <v>380100</v>
      </c>
      <c r="BQ229" s="30">
        <f>IFERROR((Inventory[[#This Row],[Adjusted Impr Total]]-Inventory[[#This Row],[24Bldg]])/Inventory[[#This Row],[24Bldg]],0)</f>
        <v>-4.8108925869894098E-2</v>
      </c>
      <c r="BR229" s="43">
        <f>(Inventory[[#This Row],[Adjusted Land Total]]-Inventory[[#This Row],[24Lnd]])/Inventory[[#This Row],[24Lnd]]</f>
        <v>-6.0698027314112293E-3</v>
      </c>
      <c r="BS229" s="43">
        <f>(Inventory[[#This Row],[Adjusted Total]]-Inventory[[#This Row],[24Final]])/Inventory[[#This Row],[24Final]]</f>
        <v>-4.1120080726538846E-2</v>
      </c>
    </row>
    <row r="230" spans="1:71">
      <c r="A230" s="30">
        <v>2025</v>
      </c>
      <c r="B230" s="31" t="s">
        <v>739</v>
      </c>
      <c r="C230" s="31">
        <f>LN(Inventory[[#This Row],[Acres]])</f>
        <v>-1.4696759700589417</v>
      </c>
      <c r="D230" s="37">
        <f>ROUND(Inventory[[#This Row],[Sqft]]/43560,3)</f>
        <v>0.23</v>
      </c>
      <c r="E230" s="30">
        <v>10030</v>
      </c>
      <c r="F230" s="31" t="s">
        <v>505</v>
      </c>
      <c r="G230" s="31" t="s">
        <v>155</v>
      </c>
      <c r="H230" s="31" t="s">
        <v>5</v>
      </c>
      <c r="I230" s="31" t="s">
        <v>506</v>
      </c>
      <c r="J230" s="31" t="s">
        <v>507</v>
      </c>
      <c r="K230" s="31" t="s">
        <v>330</v>
      </c>
      <c r="L230" s="31" t="s">
        <v>19</v>
      </c>
      <c r="M230" s="31" t="s">
        <v>22</v>
      </c>
      <c r="N230" s="31">
        <v>0</v>
      </c>
      <c r="O230" s="31">
        <f>2024-Inventory[[#This Row],[YrBlt]]</f>
        <v>5</v>
      </c>
      <c r="P230" s="31">
        <f>2024-Inventory[[#This Row],[EffYr]]</f>
        <v>5</v>
      </c>
      <c r="Q230" s="30">
        <v>2019</v>
      </c>
      <c r="R230" s="30">
        <v>2019</v>
      </c>
      <c r="S230" s="30">
        <v>1102</v>
      </c>
      <c r="T230" s="30">
        <v>1360</v>
      </c>
      <c r="U230" s="32"/>
      <c r="V230" s="32"/>
      <c r="W230" s="32"/>
      <c r="X230" s="32">
        <f>Inventory[[#This Row],[Bsmt Area]]-Inventory[[#This Row],[FnBsmt]]</f>
        <v>0</v>
      </c>
      <c r="Y230" s="32">
        <f>Inventory[[#This Row],[MainFn]]+Inventory[[#This Row],[UpprFn]]+Inventory[[#This Row],[AddFn]]+Inventory[[#This Row],[FnBsmt]]</f>
        <v>2462</v>
      </c>
      <c r="Z230" s="32">
        <v>2500</v>
      </c>
      <c r="AA230" s="31" t="s">
        <v>56</v>
      </c>
      <c r="AB230" s="32"/>
      <c r="AC230" s="32"/>
      <c r="AD230" s="38">
        <v>520</v>
      </c>
      <c r="AE230" s="32"/>
      <c r="AF230" s="32"/>
      <c r="AG230" s="32"/>
      <c r="AH230" s="32"/>
      <c r="AI230" s="30">
        <v>420707</v>
      </c>
      <c r="AJ230" s="30">
        <v>403879</v>
      </c>
      <c r="AK230" s="30">
        <v>0</v>
      </c>
      <c r="AL230" s="30">
        <v>0</v>
      </c>
      <c r="AM230" s="30">
        <v>65900</v>
      </c>
      <c r="AN230" s="30">
        <v>394500</v>
      </c>
      <c r="AO230" s="30">
        <v>460400</v>
      </c>
      <c r="AP230" s="30">
        <f>Lookups!$B$58*0.6</f>
        <v>132535.48800000001</v>
      </c>
      <c r="AQ230" s="30">
        <f>Lookups!$B$58*0.4</f>
        <v>88356.992000000013</v>
      </c>
      <c r="AR230" s="30">
        <f>Lookups!$B$59*Inventory[[#This Row],[LnAcres]]</f>
        <v>-19288.499197039939</v>
      </c>
      <c r="AS230" s="30">
        <f>VLOOKUP(Inventory[[#This Row],[Qlty]],Lookups!$A$66:$E$79,2,FALSE)</f>
        <v>37154.252388000001</v>
      </c>
      <c r="AT230" s="30">
        <f>VLOOKUP(Inventory[[#This Row],[Cnd]],Lookups!$A$80:$E$88,2,FALSE)</f>
        <v>50438.379078999998</v>
      </c>
      <c r="AU230" s="30">
        <f>Inventory[[#This Row],[EffAge]]*Lookups!$B$65</f>
        <v>-543.70550000000003</v>
      </c>
      <c r="AV230" s="30">
        <f>Inventory[[#This Row],[MainFn]]*Lookups!$B$90</f>
        <v>68776.238760000007</v>
      </c>
      <c r="AW230" s="30">
        <f>Inventory[[#This Row],[UpprFn]]*Lookups!$B$91</f>
        <v>81029.320879999999</v>
      </c>
      <c r="AX230" s="30">
        <f>Inventory[[#This Row],[Bsmt Area]]*Lookups!$B$95</f>
        <v>0</v>
      </c>
      <c r="AY230" s="30">
        <f>Inventory[[#This Row],[AttGar]]*Lookups!$B$93</f>
        <v>0</v>
      </c>
      <c r="AZ230" s="30">
        <f>ROUND(Inventory[[#This Row],[25Det]],-2)</f>
        <v>0</v>
      </c>
      <c r="BA230" s="30">
        <f>ROUND(SUM(Inventory[[#This Row],[Mdl Qlty]:[Mdl Garage Area]])+Inventory[[#This Row],[Mdl Res Intercept]],-2)</f>
        <v>369400</v>
      </c>
      <c r="BB230" s="30">
        <f>ROUND(Inventory[[#This Row],[Mdl Land Intercept]]+Inventory[[#This Row],[Mdl LnAcres]],-2)</f>
        <v>69100</v>
      </c>
      <c r="BC230" s="30">
        <f>Inventory[[#This Row],[Unadj Res Value]]+Inventory[[#This Row],[Unadj Det Value]]+Inventory[[#This Row],[Unadj Land Value]]</f>
        <v>438500</v>
      </c>
      <c r="BD230" s="30">
        <f>(Inventory[[#This Row],[Unadj Total Value]]-Inventory[[#This Row],[24Final]])/Inventory[[#This Row],[24Final]]</f>
        <v>-4.7567332754126848E-2</v>
      </c>
      <c r="BE230" s="30">
        <f>VLOOKUP(Inventory[[#This Row],[Nbhd]],Lookups!$M$3:$P$5,4,FALSE)</f>
        <v>0.99970000000000003</v>
      </c>
      <c r="BF230" s="30">
        <f>VLOOKUP(Inventory[[#This Row],[Qlty]],Lookups!$M$8:$P$22,4,FALSE)</f>
        <v>0.99819999999999998</v>
      </c>
      <c r="BG230" s="30">
        <f>VLOOKUP(Inventory[[#This Row],[Cnd]],Lookups!$R$8:$U$17,4,FALSE)</f>
        <v>1.0007999999999999</v>
      </c>
      <c r="BH230" s="30">
        <f>VLOOKUP(Inventory[[#This Row],[LivArea Range]],Lookups!$R$25:$U$43,4,FALSE)</f>
        <v>1.0008999999999999</v>
      </c>
      <c r="BI230" s="30">
        <f>VLOOKUP(Inventory[[#This Row],[Decade]],Lookups!$M$24:$P$40,4,FALSE)</f>
        <v>1</v>
      </c>
      <c r="BJ230" s="30">
        <f>Inventory[[#This Row],[Nbhd Adj]]*0.95</f>
        <v>0.94971499999999998</v>
      </c>
      <c r="BK230" s="30">
        <f>AVERAGE(Inventory[[#This Row],[Nbhd Adj]],Inventory[[#This Row],[Quality Adj]],Inventory[[#This Row],[Condition Adj]],Inventory[[#This Row],[Living Area Adj]],Inventory[[#This Row],[Decade Adj]])*0.95</f>
        <v>0.94992399999999999</v>
      </c>
      <c r="BL230" s="30">
        <f>ROUND((SUM(Inventory[[#This Row],[Mdl Qlty]:[Mdl Garage Area]])+Inventory[[#This Row],[Mdl Res Intercept]])*Inventory[[#This Row],[Res Adj ]],-2)</f>
        <v>350900</v>
      </c>
      <c r="BM230" s="30">
        <f>ROUND(Inventory[[#This Row],[25Det]]*Inventory[[#This Row],[Det/Nbhd Adj]],-2)</f>
        <v>0</v>
      </c>
      <c r="BN230" s="30">
        <f>Inventory[[#This Row],[Adjusted Res]]+Inventory[[#This Row],[Adj Det ]]</f>
        <v>350900</v>
      </c>
      <c r="BO230" s="30">
        <f>ROUND((Inventory[[#This Row],[Mdl Land Intercept]]+Inventory[[#This Row],[Mdl LnAcres]])*Inventory[[#This Row],[Det/Nbhd Adj]],-2)</f>
        <v>65600</v>
      </c>
      <c r="BP230" s="30">
        <f>Inventory[[#This Row],[Adjusted Impr Total]]+Inventory[[#This Row],[Adjusted Land Total]]</f>
        <v>416500</v>
      </c>
      <c r="BQ230" s="30">
        <f>IFERROR((Inventory[[#This Row],[Adjusted Impr Total]]-Inventory[[#This Row],[24Bldg]])/Inventory[[#This Row],[24Bldg]],0)</f>
        <v>-0.11051964512040557</v>
      </c>
      <c r="BR230" s="43">
        <f>(Inventory[[#This Row],[Adjusted Land Total]]-Inventory[[#This Row],[24Lnd]])/Inventory[[#This Row],[24Lnd]]</f>
        <v>-4.552352048558422E-3</v>
      </c>
      <c r="BS230" s="43">
        <f>(Inventory[[#This Row],[Adjusted Total]]-Inventory[[#This Row],[24Final]])/Inventory[[#This Row],[24Final]]</f>
        <v>-9.5351867940920945E-2</v>
      </c>
    </row>
    <row r="231" spans="1:71">
      <c r="A231" s="30">
        <v>2025</v>
      </c>
      <c r="B231" s="31" t="s">
        <v>740</v>
      </c>
      <c r="C231" s="31">
        <f>LN(Inventory[[#This Row],[Acres]])</f>
        <v>-1.4653375684603434</v>
      </c>
      <c r="D231" s="37">
        <f>ROUND(Inventory[[#This Row],[Sqft]]/43560,3)</f>
        <v>0.23100000000000001</v>
      </c>
      <c r="E231" s="30">
        <v>10045</v>
      </c>
      <c r="F231" s="31" t="s">
        <v>505</v>
      </c>
      <c r="G231" s="31" t="s">
        <v>155</v>
      </c>
      <c r="H231" s="31" t="s">
        <v>5</v>
      </c>
      <c r="I231" s="31" t="s">
        <v>506</v>
      </c>
      <c r="J231" s="31" t="s">
        <v>507</v>
      </c>
      <c r="K231" s="31" t="s">
        <v>330</v>
      </c>
      <c r="L231" s="31" t="s">
        <v>21</v>
      </c>
      <c r="M231" s="31" t="s">
        <v>22</v>
      </c>
      <c r="N231" s="31">
        <v>0</v>
      </c>
      <c r="O231" s="31">
        <f>2024-Inventory[[#This Row],[YrBlt]]</f>
        <v>5</v>
      </c>
      <c r="P231" s="31">
        <f>2024-Inventory[[#This Row],[EffYr]]</f>
        <v>5</v>
      </c>
      <c r="Q231" s="30">
        <v>2019</v>
      </c>
      <c r="R231" s="30">
        <v>2019</v>
      </c>
      <c r="S231" s="30">
        <v>2013</v>
      </c>
      <c r="T231" s="32"/>
      <c r="U231" s="32"/>
      <c r="V231" s="32"/>
      <c r="W231" s="32"/>
      <c r="X231" s="32">
        <f>Inventory[[#This Row],[Bsmt Area]]-Inventory[[#This Row],[FnBsmt]]</f>
        <v>0</v>
      </c>
      <c r="Y231" s="32">
        <f>Inventory[[#This Row],[MainFn]]+Inventory[[#This Row],[UpprFn]]+Inventory[[#This Row],[AddFn]]+Inventory[[#This Row],[FnBsmt]]</f>
        <v>2013</v>
      </c>
      <c r="Z231" s="32">
        <v>2500</v>
      </c>
      <c r="AA231" s="31" t="s">
        <v>56</v>
      </c>
      <c r="AB231" s="32"/>
      <c r="AC231" s="30">
        <v>428</v>
      </c>
      <c r="AD231" s="32"/>
      <c r="AE231" s="32"/>
      <c r="AF231" s="32"/>
      <c r="AG231" s="32"/>
      <c r="AH231" s="32"/>
      <c r="AI231" s="30">
        <v>424739</v>
      </c>
      <c r="AJ231" s="30">
        <v>407749</v>
      </c>
      <c r="AK231" s="30">
        <v>0</v>
      </c>
      <c r="AL231" s="30">
        <v>0</v>
      </c>
      <c r="AM231" s="30">
        <v>65900</v>
      </c>
      <c r="AN231" s="30">
        <v>341500</v>
      </c>
      <c r="AO231" s="30">
        <v>407400</v>
      </c>
      <c r="AP231" s="30">
        <f>Lookups!$B$58*0.6</f>
        <v>132535.48800000001</v>
      </c>
      <c r="AQ231" s="30">
        <f>Lookups!$B$58*0.4</f>
        <v>88356.992000000013</v>
      </c>
      <c r="AR231" s="30">
        <f>Lookups!$B$59*Inventory[[#This Row],[LnAcres]]</f>
        <v>-19231.560621833021</v>
      </c>
      <c r="AS231" s="30">
        <f>VLOOKUP(Inventory[[#This Row],[Qlty]],Lookups!$A$66:$E$79,2,FALSE)</f>
        <v>32917.849192000001</v>
      </c>
      <c r="AT231" s="30">
        <f>VLOOKUP(Inventory[[#This Row],[Cnd]],Lookups!$A$80:$E$88,2,FALSE)</f>
        <v>50438.379078999998</v>
      </c>
      <c r="AU231" s="30">
        <f>Inventory[[#This Row],[EffAge]]*Lookups!$B$65</f>
        <v>-543.70550000000003</v>
      </c>
      <c r="AV231" s="30">
        <f>Inventory[[#This Row],[MainFn]]*Lookups!$B$90</f>
        <v>125632.09494000001</v>
      </c>
      <c r="AW231" s="30">
        <f>Inventory[[#This Row],[UpprFn]]*Lookups!$B$91</f>
        <v>0</v>
      </c>
      <c r="AX231" s="30">
        <f>Inventory[[#This Row],[Bsmt Area]]*Lookups!$B$95</f>
        <v>0</v>
      </c>
      <c r="AY231" s="30">
        <f>Inventory[[#This Row],[AttGar]]*Lookups!$B$93</f>
        <v>15108.841268</v>
      </c>
      <c r="AZ231" s="30">
        <f>ROUND(Inventory[[#This Row],[25Det]],-2)</f>
        <v>0</v>
      </c>
      <c r="BA231" s="30">
        <f>ROUND(SUM(Inventory[[#This Row],[Mdl Qlty]:[Mdl Garage Area]])+Inventory[[#This Row],[Mdl Res Intercept]],-2)</f>
        <v>356100</v>
      </c>
      <c r="BB231" s="30">
        <f>ROUND(Inventory[[#This Row],[Mdl Land Intercept]]+Inventory[[#This Row],[Mdl LnAcres]],-2)</f>
        <v>69100</v>
      </c>
      <c r="BC231" s="30">
        <f>Inventory[[#This Row],[Unadj Res Value]]+Inventory[[#This Row],[Unadj Det Value]]+Inventory[[#This Row],[Unadj Land Value]]</f>
        <v>425200</v>
      </c>
      <c r="BD231" s="30">
        <f>(Inventory[[#This Row],[Unadj Total Value]]-Inventory[[#This Row],[24Final]])/Inventory[[#This Row],[24Final]]</f>
        <v>4.3691703485517916E-2</v>
      </c>
      <c r="BE231" s="30">
        <f>VLOOKUP(Inventory[[#This Row],[Nbhd]],Lookups!$M$3:$P$5,4,FALSE)</f>
        <v>0.99970000000000003</v>
      </c>
      <c r="BF231" s="30">
        <f>VLOOKUP(Inventory[[#This Row],[Qlty]],Lookups!$M$8:$P$22,4,FALSE)</f>
        <v>1.0019</v>
      </c>
      <c r="BG231" s="30">
        <f>VLOOKUP(Inventory[[#This Row],[Cnd]],Lookups!$R$8:$U$17,4,FALSE)</f>
        <v>1.0007999999999999</v>
      </c>
      <c r="BH231" s="30">
        <f>VLOOKUP(Inventory[[#This Row],[LivArea Range]],Lookups!$R$25:$U$43,4,FALSE)</f>
        <v>1.0008999999999999</v>
      </c>
      <c r="BI231" s="30">
        <f>VLOOKUP(Inventory[[#This Row],[Decade]],Lookups!$M$24:$P$40,4,FALSE)</f>
        <v>1</v>
      </c>
      <c r="BJ231" s="30">
        <f>Inventory[[#This Row],[Nbhd Adj]]*0.95</f>
        <v>0.94971499999999998</v>
      </c>
      <c r="BK231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231" s="30">
        <f>ROUND((SUM(Inventory[[#This Row],[Mdl Qlty]:[Mdl Garage Area]])+Inventory[[#This Row],[Mdl Res Intercept]])*Inventory[[#This Row],[Res Adj ]],-2)</f>
        <v>338500</v>
      </c>
      <c r="BM231" s="30">
        <f>ROUND(Inventory[[#This Row],[25Det]]*Inventory[[#This Row],[Det/Nbhd Adj]],-2)</f>
        <v>0</v>
      </c>
      <c r="BN231" s="30">
        <f>Inventory[[#This Row],[Adjusted Res]]+Inventory[[#This Row],[Adj Det ]]</f>
        <v>338500</v>
      </c>
      <c r="BO231" s="30">
        <f>ROUND((Inventory[[#This Row],[Mdl Land Intercept]]+Inventory[[#This Row],[Mdl LnAcres]])*Inventory[[#This Row],[Det/Nbhd Adj]],-2)</f>
        <v>65600</v>
      </c>
      <c r="BP231" s="30">
        <f>Inventory[[#This Row],[Adjusted Impr Total]]+Inventory[[#This Row],[Adjusted Land Total]]</f>
        <v>404100</v>
      </c>
      <c r="BQ231" s="30">
        <f>IFERROR((Inventory[[#This Row],[Adjusted Impr Total]]-Inventory[[#This Row],[24Bldg]])/Inventory[[#This Row],[24Bldg]],0)</f>
        <v>-8.7847730600292828E-3</v>
      </c>
      <c r="BR231" s="43">
        <f>(Inventory[[#This Row],[Adjusted Land Total]]-Inventory[[#This Row],[24Lnd]])/Inventory[[#This Row],[24Lnd]]</f>
        <v>-4.552352048558422E-3</v>
      </c>
      <c r="BS231" s="43">
        <f>(Inventory[[#This Row],[Adjusted Total]]-Inventory[[#This Row],[24Final]])/Inventory[[#This Row],[24Final]]</f>
        <v>-8.1001472754050081E-3</v>
      </c>
    </row>
    <row r="232" spans="1:71">
      <c r="A232" s="30">
        <v>2025</v>
      </c>
      <c r="B232" s="31" t="s">
        <v>741</v>
      </c>
      <c r="C232" s="31">
        <f>LN(Inventory[[#This Row],[Acres]])</f>
        <v>-1.4567168254164364</v>
      </c>
      <c r="D232" s="37">
        <f>ROUND(Inventory[[#This Row],[Sqft]]/43560,3)</f>
        <v>0.23300000000000001</v>
      </c>
      <c r="E232" s="30">
        <v>10141</v>
      </c>
      <c r="F232" s="31" t="s">
        <v>505</v>
      </c>
      <c r="G232" s="31" t="s">
        <v>155</v>
      </c>
      <c r="H232" s="31" t="s">
        <v>5</v>
      </c>
      <c r="I232" s="31" t="s">
        <v>506</v>
      </c>
      <c r="J232" s="31" t="s">
        <v>507</v>
      </c>
      <c r="K232" s="31" t="s">
        <v>330</v>
      </c>
      <c r="L232" s="31" t="s">
        <v>19</v>
      </c>
      <c r="M232" s="31" t="s">
        <v>22</v>
      </c>
      <c r="N232" s="31">
        <v>0</v>
      </c>
      <c r="O232" s="31">
        <f>2024-Inventory[[#This Row],[YrBlt]]</f>
        <v>5</v>
      </c>
      <c r="P232" s="31">
        <f>2024-Inventory[[#This Row],[EffYr]]</f>
        <v>5</v>
      </c>
      <c r="Q232" s="30">
        <v>2019</v>
      </c>
      <c r="R232" s="30">
        <v>2019</v>
      </c>
      <c r="S232" s="30">
        <v>1098</v>
      </c>
      <c r="T232" s="38">
        <v>1508</v>
      </c>
      <c r="U232" s="32"/>
      <c r="V232" s="32"/>
      <c r="W232" s="32"/>
      <c r="X232" s="32">
        <f>Inventory[[#This Row],[Bsmt Area]]-Inventory[[#This Row],[FnBsmt]]</f>
        <v>0</v>
      </c>
      <c r="Y232" s="32">
        <f>Inventory[[#This Row],[MainFn]]+Inventory[[#This Row],[UpprFn]]+Inventory[[#This Row],[AddFn]]+Inventory[[#This Row],[FnBsmt]]</f>
        <v>2606</v>
      </c>
      <c r="Z232" s="32">
        <v>3000</v>
      </c>
      <c r="AA232" s="31" t="s">
        <v>57</v>
      </c>
      <c r="AB232" s="32"/>
      <c r="AC232" s="30">
        <v>240</v>
      </c>
      <c r="AD232" s="38">
        <v>484</v>
      </c>
      <c r="AE232" s="32"/>
      <c r="AF232" s="32"/>
      <c r="AG232" s="32"/>
      <c r="AH232" s="32"/>
      <c r="AI232" s="30">
        <v>447885</v>
      </c>
      <c r="AJ232" s="30">
        <v>429970</v>
      </c>
      <c r="AK232" s="30">
        <v>0</v>
      </c>
      <c r="AL232" s="30">
        <v>0</v>
      </c>
      <c r="AM232" s="30">
        <v>65900</v>
      </c>
      <c r="AN232" s="30">
        <v>401700</v>
      </c>
      <c r="AO232" s="30">
        <v>467600</v>
      </c>
      <c r="AP232" s="30">
        <f>Lookups!$B$58*0.6</f>
        <v>132535.48800000001</v>
      </c>
      <c r="AQ232" s="30">
        <f>Lookups!$B$58*0.4</f>
        <v>88356.992000000013</v>
      </c>
      <c r="AR232" s="30">
        <f>Lookups!$B$59*Inventory[[#This Row],[LnAcres]]</f>
        <v>-19118.419222866269</v>
      </c>
      <c r="AS232" s="30">
        <f>VLOOKUP(Inventory[[#This Row],[Qlty]],Lookups!$A$66:$E$79,2,FALSE)</f>
        <v>37154.252388000001</v>
      </c>
      <c r="AT232" s="30">
        <f>VLOOKUP(Inventory[[#This Row],[Cnd]],Lookups!$A$80:$E$88,2,FALSE)</f>
        <v>50438.379078999998</v>
      </c>
      <c r="AU232" s="30">
        <f>Inventory[[#This Row],[EffAge]]*Lookups!$B$65</f>
        <v>-543.70550000000003</v>
      </c>
      <c r="AV232" s="30">
        <f>Inventory[[#This Row],[MainFn]]*Lookups!$B$90</f>
        <v>68526.597240000003</v>
      </c>
      <c r="AW232" s="30">
        <f>Inventory[[#This Row],[UpprFn]]*Lookups!$B$91</f>
        <v>89847.217563999991</v>
      </c>
      <c r="AX232" s="30">
        <f>Inventory[[#This Row],[Bsmt Area]]*Lookups!$B$95</f>
        <v>0</v>
      </c>
      <c r="AY232" s="30">
        <f>Inventory[[#This Row],[AttGar]]*Lookups!$B$93</f>
        <v>8472.247440000001</v>
      </c>
      <c r="AZ232" s="30">
        <f>ROUND(Inventory[[#This Row],[25Det]],-2)</f>
        <v>0</v>
      </c>
      <c r="BA232" s="30">
        <f>ROUND(SUM(Inventory[[#This Row],[Mdl Qlty]:[Mdl Garage Area]])+Inventory[[#This Row],[Mdl Res Intercept]],-2)</f>
        <v>386400</v>
      </c>
      <c r="BB232" s="30">
        <f>ROUND(Inventory[[#This Row],[Mdl Land Intercept]]+Inventory[[#This Row],[Mdl LnAcres]],-2)</f>
        <v>69200</v>
      </c>
      <c r="BC232" s="30">
        <f>Inventory[[#This Row],[Unadj Res Value]]+Inventory[[#This Row],[Unadj Det Value]]+Inventory[[#This Row],[Unadj Land Value]]</f>
        <v>455600</v>
      </c>
      <c r="BD232" s="30">
        <f>(Inventory[[#This Row],[Unadj Total Value]]-Inventory[[#This Row],[24Final]])/Inventory[[#This Row],[24Final]]</f>
        <v>-2.5662959794696322E-2</v>
      </c>
      <c r="BE232" s="30">
        <f>VLOOKUP(Inventory[[#This Row],[Nbhd]],Lookups!$M$3:$P$5,4,FALSE)</f>
        <v>0.99970000000000003</v>
      </c>
      <c r="BF232" s="30">
        <f>VLOOKUP(Inventory[[#This Row],[Qlty]],Lookups!$M$8:$P$22,4,FALSE)</f>
        <v>0.99819999999999998</v>
      </c>
      <c r="BG232" s="30">
        <f>VLOOKUP(Inventory[[#This Row],[Cnd]],Lookups!$R$8:$U$17,4,FALSE)</f>
        <v>1.0007999999999999</v>
      </c>
      <c r="BH232" s="30">
        <f>VLOOKUP(Inventory[[#This Row],[LivArea Range]],Lookups!$R$25:$U$43,4,FALSE)</f>
        <v>1.0099</v>
      </c>
      <c r="BI232" s="30">
        <f>VLOOKUP(Inventory[[#This Row],[Decade]],Lookups!$M$24:$P$40,4,FALSE)</f>
        <v>1</v>
      </c>
      <c r="BJ232" s="30">
        <f>Inventory[[#This Row],[Nbhd Adj]]*0.95</f>
        <v>0.94971499999999998</v>
      </c>
      <c r="BK232" s="30">
        <f>AVERAGE(Inventory[[#This Row],[Nbhd Adj]],Inventory[[#This Row],[Quality Adj]],Inventory[[#This Row],[Condition Adj]],Inventory[[#This Row],[Living Area Adj]],Inventory[[#This Row],[Decade Adj]])*0.95</f>
        <v>0.95163399999999987</v>
      </c>
      <c r="BL232" s="30">
        <f>ROUND((SUM(Inventory[[#This Row],[Mdl Qlty]:[Mdl Garage Area]])+Inventory[[#This Row],[Mdl Res Intercept]])*Inventory[[#This Row],[Res Adj ]],-2)</f>
        <v>367700</v>
      </c>
      <c r="BM232" s="30">
        <f>ROUND(Inventory[[#This Row],[25Det]]*Inventory[[#This Row],[Det/Nbhd Adj]],-2)</f>
        <v>0</v>
      </c>
      <c r="BN232" s="30">
        <f>Inventory[[#This Row],[Adjusted Res]]+Inventory[[#This Row],[Adj Det ]]</f>
        <v>367700</v>
      </c>
      <c r="BO232" s="30">
        <f>ROUND((Inventory[[#This Row],[Mdl Land Intercept]]+Inventory[[#This Row],[Mdl LnAcres]])*Inventory[[#This Row],[Det/Nbhd Adj]],-2)</f>
        <v>65800</v>
      </c>
      <c r="BP232" s="30">
        <f>Inventory[[#This Row],[Adjusted Impr Total]]+Inventory[[#This Row],[Adjusted Land Total]]</f>
        <v>433500</v>
      </c>
      <c r="BQ232" s="30">
        <f>IFERROR((Inventory[[#This Row],[Adjusted Impr Total]]-Inventory[[#This Row],[24Bldg]])/Inventory[[#This Row],[24Bldg]],0)</f>
        <v>-8.4640278815036094E-2</v>
      </c>
      <c r="BR232" s="43">
        <f>(Inventory[[#This Row],[Adjusted Land Total]]-Inventory[[#This Row],[24Lnd]])/Inventory[[#This Row],[24Lnd]]</f>
        <v>-1.5174506828528073E-3</v>
      </c>
      <c r="BS232" s="43">
        <f>(Inventory[[#This Row],[Adjusted Total]]-Inventory[[#This Row],[24Final]])/Inventory[[#This Row],[24Final]]</f>
        <v>-7.2925577416595375E-2</v>
      </c>
    </row>
    <row r="233" spans="1:71">
      <c r="A233" s="30">
        <v>2025</v>
      </c>
      <c r="B233" s="31" t="s">
        <v>742</v>
      </c>
      <c r="C233" s="31">
        <f>LN(Inventory[[#This Row],[Acres]])</f>
        <v>-1.4567168254164364</v>
      </c>
      <c r="D233" s="37">
        <f>ROUND(Inventory[[#This Row],[Sqft]]/43560,3)</f>
        <v>0.23300000000000001</v>
      </c>
      <c r="E233" s="30">
        <v>10141</v>
      </c>
      <c r="F233" s="31" t="s">
        <v>505</v>
      </c>
      <c r="G233" s="31" t="s">
        <v>155</v>
      </c>
      <c r="H233" s="31" t="s">
        <v>5</v>
      </c>
      <c r="I233" s="31" t="s">
        <v>506</v>
      </c>
      <c r="J233" s="31" t="s">
        <v>507</v>
      </c>
      <c r="K233" s="31" t="s">
        <v>330</v>
      </c>
      <c r="L233" s="31" t="s">
        <v>19</v>
      </c>
      <c r="M233" s="31" t="s">
        <v>22</v>
      </c>
      <c r="N233" s="31">
        <v>0</v>
      </c>
      <c r="O233" s="31">
        <f>2024-Inventory[[#This Row],[YrBlt]]</f>
        <v>5</v>
      </c>
      <c r="P233" s="31">
        <f>2024-Inventory[[#This Row],[EffYr]]</f>
        <v>5</v>
      </c>
      <c r="Q233" s="30">
        <v>2019</v>
      </c>
      <c r="R233" s="30">
        <v>2019</v>
      </c>
      <c r="S233" s="30">
        <v>780</v>
      </c>
      <c r="T233" s="38">
        <v>1080</v>
      </c>
      <c r="U233" s="32"/>
      <c r="V233" s="32"/>
      <c r="W233" s="32"/>
      <c r="X233" s="32">
        <f>Inventory[[#This Row],[Bsmt Area]]-Inventory[[#This Row],[FnBsmt]]</f>
        <v>0</v>
      </c>
      <c r="Y233" s="32">
        <f>Inventory[[#This Row],[MainFn]]+Inventory[[#This Row],[UpprFn]]+Inventory[[#This Row],[AddFn]]+Inventory[[#This Row],[FnBsmt]]</f>
        <v>1860</v>
      </c>
      <c r="Z233" s="32">
        <v>2000</v>
      </c>
      <c r="AA233" s="31" t="s">
        <v>56</v>
      </c>
      <c r="AB233" s="32"/>
      <c r="AC233" s="37"/>
      <c r="AD233" s="38">
        <v>420</v>
      </c>
      <c r="AE233" s="32"/>
      <c r="AF233" s="32"/>
      <c r="AG233" s="32"/>
      <c r="AH233" s="32"/>
      <c r="AI233" s="30">
        <v>321528</v>
      </c>
      <c r="AJ233" s="30">
        <v>308667</v>
      </c>
      <c r="AK233" s="30">
        <v>0</v>
      </c>
      <c r="AL233" s="30">
        <v>0</v>
      </c>
      <c r="AM233" s="30">
        <v>65900</v>
      </c>
      <c r="AN233" s="30">
        <v>343500</v>
      </c>
      <c r="AO233" s="30">
        <v>409400</v>
      </c>
      <c r="AP233" s="30">
        <f>Lookups!$B$58*0.6</f>
        <v>132535.48800000001</v>
      </c>
      <c r="AQ233" s="30">
        <f>Lookups!$B$58*0.4</f>
        <v>88356.992000000013</v>
      </c>
      <c r="AR233" s="30">
        <f>Lookups!$B$59*Inventory[[#This Row],[LnAcres]]</f>
        <v>-19118.419222866269</v>
      </c>
      <c r="AS233" s="30">
        <f>VLOOKUP(Inventory[[#This Row],[Qlty]],Lookups!$A$66:$E$79,2,FALSE)</f>
        <v>37154.252388000001</v>
      </c>
      <c r="AT233" s="30">
        <f>VLOOKUP(Inventory[[#This Row],[Cnd]],Lookups!$A$80:$E$88,2,FALSE)</f>
        <v>50438.379078999998</v>
      </c>
      <c r="AU233" s="30">
        <f>Inventory[[#This Row],[EffAge]]*Lookups!$B$65</f>
        <v>-543.70550000000003</v>
      </c>
      <c r="AV233" s="30">
        <f>Inventory[[#This Row],[MainFn]]*Lookups!$B$90</f>
        <v>48680.096400000002</v>
      </c>
      <c r="AW233" s="30">
        <f>Inventory[[#This Row],[UpprFn]]*Lookups!$B$91</f>
        <v>64346.81364</v>
      </c>
      <c r="AX233" s="30">
        <f>Inventory[[#This Row],[Bsmt Area]]*Lookups!$B$95</f>
        <v>0</v>
      </c>
      <c r="AY233" s="30">
        <f>Inventory[[#This Row],[AttGar]]*Lookups!$B$93</f>
        <v>0</v>
      </c>
      <c r="AZ233" s="30">
        <f>ROUND(Inventory[[#This Row],[25Det]],-2)</f>
        <v>0</v>
      </c>
      <c r="BA233" s="30">
        <f>ROUND(SUM(Inventory[[#This Row],[Mdl Qlty]:[Mdl Garage Area]])+Inventory[[#This Row],[Mdl Res Intercept]],-2)</f>
        <v>332600</v>
      </c>
      <c r="BB233" s="30">
        <f>ROUND(Inventory[[#This Row],[Mdl Land Intercept]]+Inventory[[#This Row],[Mdl LnAcres]],-2)</f>
        <v>69200</v>
      </c>
      <c r="BC233" s="30">
        <f>Inventory[[#This Row],[Unadj Res Value]]+Inventory[[#This Row],[Unadj Det Value]]+Inventory[[#This Row],[Unadj Land Value]]</f>
        <v>401800</v>
      </c>
      <c r="BD233" s="30">
        <f>(Inventory[[#This Row],[Unadj Total Value]]-Inventory[[#This Row],[24Final]])/Inventory[[#This Row],[24Final]]</f>
        <v>-1.8563751831949193E-2</v>
      </c>
      <c r="BE233" s="30">
        <f>VLOOKUP(Inventory[[#This Row],[Nbhd]],Lookups!$M$3:$P$5,4,FALSE)</f>
        <v>0.99970000000000003</v>
      </c>
      <c r="BF233" s="30">
        <f>VLOOKUP(Inventory[[#This Row],[Qlty]],Lookups!$M$8:$P$22,4,FALSE)</f>
        <v>0.99819999999999998</v>
      </c>
      <c r="BG233" s="30">
        <f>VLOOKUP(Inventory[[#This Row],[Cnd]],Lookups!$R$8:$U$17,4,FALSE)</f>
        <v>1.0007999999999999</v>
      </c>
      <c r="BH233" s="30">
        <f>VLOOKUP(Inventory[[#This Row],[LivArea Range]],Lookups!$R$25:$U$43,4,FALSE)</f>
        <v>1.0007999999999999</v>
      </c>
      <c r="BI233" s="30">
        <f>VLOOKUP(Inventory[[#This Row],[Decade]],Lookups!$M$24:$P$40,4,FALSE)</f>
        <v>1</v>
      </c>
      <c r="BJ233" s="30">
        <f>Inventory[[#This Row],[Nbhd Adj]]*0.95</f>
        <v>0.94971499999999998</v>
      </c>
      <c r="BK233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233" s="30">
        <f>ROUND((SUM(Inventory[[#This Row],[Mdl Qlty]:[Mdl Garage Area]])+Inventory[[#This Row],[Mdl Res Intercept]])*Inventory[[#This Row],[Res Adj ]],-2)</f>
        <v>315900</v>
      </c>
      <c r="BM233" s="30">
        <f>ROUND(Inventory[[#This Row],[25Det]]*Inventory[[#This Row],[Det/Nbhd Adj]],-2)</f>
        <v>0</v>
      </c>
      <c r="BN233" s="30">
        <f>Inventory[[#This Row],[Adjusted Res]]+Inventory[[#This Row],[Adj Det ]]</f>
        <v>315900</v>
      </c>
      <c r="BO233" s="30">
        <f>ROUND((Inventory[[#This Row],[Mdl Land Intercept]]+Inventory[[#This Row],[Mdl LnAcres]])*Inventory[[#This Row],[Det/Nbhd Adj]],-2)</f>
        <v>65800</v>
      </c>
      <c r="BP233" s="30">
        <f>Inventory[[#This Row],[Adjusted Impr Total]]+Inventory[[#This Row],[Adjusted Land Total]]</f>
        <v>381700</v>
      </c>
      <c r="BQ233" s="30">
        <f>IFERROR((Inventory[[#This Row],[Adjusted Impr Total]]-Inventory[[#This Row],[24Bldg]])/Inventory[[#This Row],[24Bldg]],0)</f>
        <v>-8.034934497816594E-2</v>
      </c>
      <c r="BR233" s="43">
        <f>(Inventory[[#This Row],[Adjusted Land Total]]-Inventory[[#This Row],[24Lnd]])/Inventory[[#This Row],[24Lnd]]</f>
        <v>-1.5174506828528073E-3</v>
      </c>
      <c r="BS233" s="43">
        <f>(Inventory[[#This Row],[Adjusted Total]]-Inventory[[#This Row],[24Final]])/Inventory[[#This Row],[24Final]]</f>
        <v>-6.7659990229604297E-2</v>
      </c>
    </row>
    <row r="234" spans="1:71">
      <c r="A234" s="30">
        <v>2025</v>
      </c>
      <c r="B234" s="31" t="s">
        <v>743</v>
      </c>
      <c r="C234" s="31">
        <f>LN(Inventory[[#This Row],[Acres]])</f>
        <v>-1.4567168254164364</v>
      </c>
      <c r="D234" s="37">
        <f>ROUND(Inventory[[#This Row],[Sqft]]/43560,3)</f>
        <v>0.23300000000000001</v>
      </c>
      <c r="E234" s="30">
        <v>10141</v>
      </c>
      <c r="F234" s="31" t="s">
        <v>505</v>
      </c>
      <c r="G234" s="31" t="s">
        <v>155</v>
      </c>
      <c r="H234" s="31" t="s">
        <v>5</v>
      </c>
      <c r="I234" s="31" t="s">
        <v>506</v>
      </c>
      <c r="J234" s="31" t="s">
        <v>507</v>
      </c>
      <c r="K234" s="31" t="s">
        <v>330</v>
      </c>
      <c r="L234" s="31" t="s">
        <v>21</v>
      </c>
      <c r="M234" s="31" t="s">
        <v>22</v>
      </c>
      <c r="N234" s="31">
        <v>0</v>
      </c>
      <c r="O234" s="31">
        <f>2024-Inventory[[#This Row],[YrBlt]]</f>
        <v>5</v>
      </c>
      <c r="P234" s="31">
        <f>2024-Inventory[[#This Row],[EffYr]]</f>
        <v>5</v>
      </c>
      <c r="Q234" s="30">
        <v>2019</v>
      </c>
      <c r="R234" s="30">
        <v>2019</v>
      </c>
      <c r="S234" s="30">
        <v>2075</v>
      </c>
      <c r="T234" s="32"/>
      <c r="U234" s="32"/>
      <c r="V234" s="32"/>
      <c r="W234" s="32"/>
      <c r="X234" s="32">
        <f>Inventory[[#This Row],[Bsmt Area]]-Inventory[[#This Row],[FnBsmt]]</f>
        <v>0</v>
      </c>
      <c r="Y234" s="32">
        <f>Inventory[[#This Row],[MainFn]]+Inventory[[#This Row],[UpprFn]]+Inventory[[#This Row],[AddFn]]+Inventory[[#This Row],[FnBsmt]]</f>
        <v>2075</v>
      </c>
      <c r="Z234" s="32">
        <v>2500</v>
      </c>
      <c r="AA234" s="31" t="s">
        <v>56</v>
      </c>
      <c r="AB234" s="38">
        <v>1</v>
      </c>
      <c r="AC234" s="30">
        <v>620</v>
      </c>
      <c r="AD234" s="32"/>
      <c r="AE234" s="32"/>
      <c r="AF234" s="32"/>
      <c r="AG234" s="32"/>
      <c r="AH234" s="32"/>
      <c r="AI234" s="30">
        <v>457714</v>
      </c>
      <c r="AJ234" s="30">
        <v>439405</v>
      </c>
      <c r="AK234" s="30">
        <v>0</v>
      </c>
      <c r="AL234" s="30">
        <v>0</v>
      </c>
      <c r="AM234" s="30">
        <v>65900</v>
      </c>
      <c r="AN234" s="30">
        <v>378800</v>
      </c>
      <c r="AO234" s="30">
        <v>444700</v>
      </c>
      <c r="AP234" s="30">
        <f>Lookups!$B$58*0.6</f>
        <v>132535.48800000001</v>
      </c>
      <c r="AQ234" s="30">
        <f>Lookups!$B$58*0.4</f>
        <v>88356.992000000013</v>
      </c>
      <c r="AR234" s="30">
        <f>Lookups!$B$59*Inventory[[#This Row],[LnAcres]]</f>
        <v>-19118.419222866269</v>
      </c>
      <c r="AS234" s="30">
        <f>VLOOKUP(Inventory[[#This Row],[Qlty]],Lookups!$A$66:$E$79,2,FALSE)</f>
        <v>32917.849192000001</v>
      </c>
      <c r="AT234" s="30">
        <f>VLOOKUP(Inventory[[#This Row],[Cnd]],Lookups!$A$80:$E$88,2,FALSE)</f>
        <v>50438.379078999998</v>
      </c>
      <c r="AU234" s="30">
        <f>Inventory[[#This Row],[EffAge]]*Lookups!$B$65</f>
        <v>-543.70550000000003</v>
      </c>
      <c r="AV234" s="30">
        <f>Inventory[[#This Row],[MainFn]]*Lookups!$B$90</f>
        <v>129501.53850000001</v>
      </c>
      <c r="AW234" s="30">
        <f>Inventory[[#This Row],[UpprFn]]*Lookups!$B$91</f>
        <v>0</v>
      </c>
      <c r="AX234" s="30">
        <f>Inventory[[#This Row],[Bsmt Area]]*Lookups!$B$95</f>
        <v>0</v>
      </c>
      <c r="AY234" s="30">
        <f>Inventory[[#This Row],[AttGar]]*Lookups!$B$93</f>
        <v>21886.639220000001</v>
      </c>
      <c r="AZ234" s="30">
        <f>ROUND(Inventory[[#This Row],[25Det]],-2)</f>
        <v>0</v>
      </c>
      <c r="BA234" s="30">
        <f>ROUND(SUM(Inventory[[#This Row],[Mdl Qlty]:[Mdl Garage Area]])+Inventory[[#This Row],[Mdl Res Intercept]],-2)</f>
        <v>366700</v>
      </c>
      <c r="BB234" s="30">
        <f>ROUND(Inventory[[#This Row],[Mdl Land Intercept]]+Inventory[[#This Row],[Mdl LnAcres]],-2)</f>
        <v>69200</v>
      </c>
      <c r="BC234" s="30">
        <f>Inventory[[#This Row],[Unadj Res Value]]+Inventory[[#This Row],[Unadj Det Value]]+Inventory[[#This Row],[Unadj Land Value]]</f>
        <v>435900</v>
      </c>
      <c r="BD234" s="30">
        <f>(Inventory[[#This Row],[Unadj Total Value]]-Inventory[[#This Row],[24Final]])/Inventory[[#This Row],[24Final]]</f>
        <v>-1.9788621542612999E-2</v>
      </c>
      <c r="BE234" s="30">
        <f>VLOOKUP(Inventory[[#This Row],[Nbhd]],Lookups!$M$3:$P$5,4,FALSE)</f>
        <v>0.99970000000000003</v>
      </c>
      <c r="BF234" s="30">
        <f>VLOOKUP(Inventory[[#This Row],[Qlty]],Lookups!$M$8:$P$22,4,FALSE)</f>
        <v>1.0019</v>
      </c>
      <c r="BG234" s="30">
        <f>VLOOKUP(Inventory[[#This Row],[Cnd]],Lookups!$R$8:$U$17,4,FALSE)</f>
        <v>1.0007999999999999</v>
      </c>
      <c r="BH234" s="30">
        <f>VLOOKUP(Inventory[[#This Row],[LivArea Range]],Lookups!$R$25:$U$43,4,FALSE)</f>
        <v>1.0008999999999999</v>
      </c>
      <c r="BI234" s="30">
        <f>VLOOKUP(Inventory[[#This Row],[Decade]],Lookups!$M$24:$P$40,4,FALSE)</f>
        <v>1</v>
      </c>
      <c r="BJ234" s="30">
        <f>Inventory[[#This Row],[Nbhd Adj]]*0.95</f>
        <v>0.94971499999999998</v>
      </c>
      <c r="BK234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234" s="30">
        <f>ROUND((SUM(Inventory[[#This Row],[Mdl Qlty]:[Mdl Garage Area]])+Inventory[[#This Row],[Mdl Res Intercept]])*Inventory[[#This Row],[Res Adj ]],-2)</f>
        <v>348600</v>
      </c>
      <c r="BM234" s="30">
        <f>ROUND(Inventory[[#This Row],[25Det]]*Inventory[[#This Row],[Det/Nbhd Adj]],-2)</f>
        <v>0</v>
      </c>
      <c r="BN234" s="30">
        <f>Inventory[[#This Row],[Adjusted Res]]+Inventory[[#This Row],[Adj Det ]]</f>
        <v>348600</v>
      </c>
      <c r="BO234" s="30">
        <f>ROUND((Inventory[[#This Row],[Mdl Land Intercept]]+Inventory[[#This Row],[Mdl LnAcres]])*Inventory[[#This Row],[Det/Nbhd Adj]],-2)</f>
        <v>65800</v>
      </c>
      <c r="BP234" s="30">
        <f>Inventory[[#This Row],[Adjusted Impr Total]]+Inventory[[#This Row],[Adjusted Land Total]]</f>
        <v>414400</v>
      </c>
      <c r="BQ234" s="30">
        <f>IFERROR((Inventory[[#This Row],[Adjusted Impr Total]]-Inventory[[#This Row],[24Bldg]])/Inventory[[#This Row],[24Bldg]],0)</f>
        <v>-7.9725448785638864E-2</v>
      </c>
      <c r="BR234" s="43">
        <f>(Inventory[[#This Row],[Adjusted Land Total]]-Inventory[[#This Row],[24Lnd]])/Inventory[[#This Row],[24Lnd]]</f>
        <v>-1.5174506828528073E-3</v>
      </c>
      <c r="BS234" s="43">
        <f>(Inventory[[#This Row],[Adjusted Total]]-Inventory[[#This Row],[24Final]])/Inventory[[#This Row],[24Final]]</f>
        <v>-6.8135821902406121E-2</v>
      </c>
    </row>
    <row r="235" spans="1:71">
      <c r="A235" s="30">
        <v>2025</v>
      </c>
      <c r="B235" s="31" t="s">
        <v>744</v>
      </c>
      <c r="C235" s="31">
        <f>LN(Inventory[[#This Row],[Acres]])</f>
        <v>-1.4567168254164364</v>
      </c>
      <c r="D235" s="37">
        <f>ROUND(Inventory[[#This Row],[Sqft]]/43560,3)</f>
        <v>0.23300000000000001</v>
      </c>
      <c r="E235" s="30">
        <v>10141</v>
      </c>
      <c r="F235" s="31" t="s">
        <v>505</v>
      </c>
      <c r="G235" s="31" t="s">
        <v>155</v>
      </c>
      <c r="H235" s="31" t="s">
        <v>5</v>
      </c>
      <c r="I235" s="31" t="s">
        <v>506</v>
      </c>
      <c r="J235" s="31" t="s">
        <v>507</v>
      </c>
      <c r="K235" s="31" t="s">
        <v>330</v>
      </c>
      <c r="L235" s="31" t="s">
        <v>21</v>
      </c>
      <c r="M235" s="31" t="s">
        <v>22</v>
      </c>
      <c r="N235" s="31">
        <v>0</v>
      </c>
      <c r="O235" s="31">
        <f>2024-Inventory[[#This Row],[YrBlt]]</f>
        <v>5</v>
      </c>
      <c r="P235" s="31">
        <f>2024-Inventory[[#This Row],[EffYr]]</f>
        <v>5</v>
      </c>
      <c r="Q235" s="30">
        <v>2019</v>
      </c>
      <c r="R235" s="30">
        <v>2019</v>
      </c>
      <c r="S235" s="30">
        <v>1836</v>
      </c>
      <c r="T235" s="32"/>
      <c r="U235" s="32"/>
      <c r="V235" s="32"/>
      <c r="W235" s="32"/>
      <c r="X235" s="32">
        <f>Inventory[[#This Row],[Bsmt Area]]-Inventory[[#This Row],[FnBsmt]]</f>
        <v>0</v>
      </c>
      <c r="Y235" s="32">
        <f>Inventory[[#This Row],[MainFn]]+Inventory[[#This Row],[UpprFn]]+Inventory[[#This Row],[AddFn]]+Inventory[[#This Row],[FnBsmt]]</f>
        <v>1836</v>
      </c>
      <c r="Z235" s="32">
        <v>2000</v>
      </c>
      <c r="AA235" s="31" t="s">
        <v>56</v>
      </c>
      <c r="AB235" s="32"/>
      <c r="AC235" s="38">
        <v>420</v>
      </c>
      <c r="AD235" s="32"/>
      <c r="AE235" s="32"/>
      <c r="AF235" s="32"/>
      <c r="AG235" s="32"/>
      <c r="AH235" s="32"/>
      <c r="AI235" s="30">
        <v>399044</v>
      </c>
      <c r="AJ235" s="30">
        <v>383082</v>
      </c>
      <c r="AK235" s="30">
        <v>0</v>
      </c>
      <c r="AL235" s="30">
        <v>0</v>
      </c>
      <c r="AM235" s="30">
        <v>65900</v>
      </c>
      <c r="AN235" s="30">
        <v>340100</v>
      </c>
      <c r="AO235" s="30">
        <v>406000</v>
      </c>
      <c r="AP235" s="30">
        <f>Lookups!$B$58*0.6</f>
        <v>132535.48800000001</v>
      </c>
      <c r="AQ235" s="30">
        <f>Lookups!$B$58*0.4</f>
        <v>88356.992000000013</v>
      </c>
      <c r="AR235" s="30">
        <f>Lookups!$B$59*Inventory[[#This Row],[LnAcres]]</f>
        <v>-19118.419222866269</v>
      </c>
      <c r="AS235" s="30">
        <f>VLOOKUP(Inventory[[#This Row],[Qlty]],Lookups!$A$66:$E$79,2,FALSE)</f>
        <v>32917.849192000001</v>
      </c>
      <c r="AT235" s="30">
        <f>VLOOKUP(Inventory[[#This Row],[Cnd]],Lookups!$A$80:$E$88,2,FALSE)</f>
        <v>50438.379078999998</v>
      </c>
      <c r="AU235" s="30">
        <f>Inventory[[#This Row],[EffAge]]*Lookups!$B$65</f>
        <v>-543.70550000000003</v>
      </c>
      <c r="AV235" s="30">
        <f>Inventory[[#This Row],[MainFn]]*Lookups!$B$90</f>
        <v>114585.45768000001</v>
      </c>
      <c r="AW235" s="30">
        <f>Inventory[[#This Row],[UpprFn]]*Lookups!$B$91</f>
        <v>0</v>
      </c>
      <c r="AX235" s="30">
        <f>Inventory[[#This Row],[Bsmt Area]]*Lookups!$B$95</f>
        <v>0</v>
      </c>
      <c r="AY235" s="30">
        <f>Inventory[[#This Row],[AttGar]]*Lookups!$B$93</f>
        <v>14826.43302</v>
      </c>
      <c r="AZ235" s="30">
        <f>ROUND(Inventory[[#This Row],[25Det]],-2)</f>
        <v>0</v>
      </c>
      <c r="BA235" s="30">
        <f>ROUND(SUM(Inventory[[#This Row],[Mdl Qlty]:[Mdl Garage Area]])+Inventory[[#This Row],[Mdl Res Intercept]],-2)</f>
        <v>344800</v>
      </c>
      <c r="BB235" s="30">
        <f>ROUND(Inventory[[#This Row],[Mdl Land Intercept]]+Inventory[[#This Row],[Mdl LnAcres]],-2)</f>
        <v>69200</v>
      </c>
      <c r="BC235" s="30">
        <f>Inventory[[#This Row],[Unadj Res Value]]+Inventory[[#This Row],[Unadj Det Value]]+Inventory[[#This Row],[Unadj Land Value]]</f>
        <v>414000</v>
      </c>
      <c r="BD235" s="30">
        <f>(Inventory[[#This Row],[Unadj Total Value]]-Inventory[[#This Row],[24Final]])/Inventory[[#This Row],[24Final]]</f>
        <v>1.9704433497536946E-2</v>
      </c>
      <c r="BE235" s="30">
        <f>VLOOKUP(Inventory[[#This Row],[Nbhd]],Lookups!$M$3:$P$5,4,FALSE)</f>
        <v>0.99970000000000003</v>
      </c>
      <c r="BF235" s="30">
        <f>VLOOKUP(Inventory[[#This Row],[Qlty]],Lookups!$M$8:$P$22,4,FALSE)</f>
        <v>1.0019</v>
      </c>
      <c r="BG235" s="30">
        <f>VLOOKUP(Inventory[[#This Row],[Cnd]],Lookups!$R$8:$U$17,4,FALSE)</f>
        <v>1.0007999999999999</v>
      </c>
      <c r="BH235" s="30">
        <f>VLOOKUP(Inventory[[#This Row],[LivArea Range]],Lookups!$R$25:$U$43,4,FALSE)</f>
        <v>1.0007999999999999</v>
      </c>
      <c r="BI235" s="30">
        <f>VLOOKUP(Inventory[[#This Row],[Decade]],Lookups!$M$24:$P$40,4,FALSE)</f>
        <v>1</v>
      </c>
      <c r="BJ235" s="30">
        <f>Inventory[[#This Row],[Nbhd Adj]]*0.95</f>
        <v>0.94971499999999998</v>
      </c>
      <c r="BK235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235" s="30">
        <f>ROUND((SUM(Inventory[[#This Row],[Mdl Qlty]:[Mdl Garage Area]])+Inventory[[#This Row],[Mdl Res Intercept]])*Inventory[[#This Row],[Res Adj ]],-2)</f>
        <v>327700</v>
      </c>
      <c r="BM235" s="30">
        <f>ROUND(Inventory[[#This Row],[25Det]]*Inventory[[#This Row],[Det/Nbhd Adj]],-2)</f>
        <v>0</v>
      </c>
      <c r="BN235" s="30">
        <f>Inventory[[#This Row],[Adjusted Res]]+Inventory[[#This Row],[Adj Det ]]</f>
        <v>327700</v>
      </c>
      <c r="BO235" s="30">
        <f>ROUND((Inventory[[#This Row],[Mdl Land Intercept]]+Inventory[[#This Row],[Mdl LnAcres]])*Inventory[[#This Row],[Det/Nbhd Adj]],-2)</f>
        <v>65800</v>
      </c>
      <c r="BP235" s="30">
        <f>Inventory[[#This Row],[Adjusted Impr Total]]+Inventory[[#This Row],[Adjusted Land Total]]</f>
        <v>393500</v>
      </c>
      <c r="BQ235" s="30">
        <f>IFERROR((Inventory[[#This Row],[Adjusted Impr Total]]-Inventory[[#This Row],[24Bldg]])/Inventory[[#This Row],[24Bldg]],0)</f>
        <v>-3.645986474566304E-2</v>
      </c>
      <c r="BR235" s="43">
        <f>(Inventory[[#This Row],[Adjusted Land Total]]-Inventory[[#This Row],[24Lnd]])/Inventory[[#This Row],[24Lnd]]</f>
        <v>-1.5174506828528073E-3</v>
      </c>
      <c r="BS235" s="43">
        <f>(Inventory[[#This Row],[Adjusted Total]]-Inventory[[#This Row],[24Final]])/Inventory[[#This Row],[24Final]]</f>
        <v>-3.0788177339901478E-2</v>
      </c>
    </row>
    <row r="236" spans="1:71">
      <c r="A236" s="30">
        <v>2025</v>
      </c>
      <c r="B236" s="31" t="s">
        <v>745</v>
      </c>
      <c r="C236" s="31">
        <f>LN(Inventory[[#This Row],[Acres]])</f>
        <v>-1.1679623668029029</v>
      </c>
      <c r="D236" s="37">
        <f>ROUND(Inventory[[#This Row],[Sqft]]/43560,3)</f>
        <v>0.311</v>
      </c>
      <c r="E236" s="30">
        <v>13534</v>
      </c>
      <c r="F236" s="31" t="s">
        <v>505</v>
      </c>
      <c r="G236" s="31" t="s">
        <v>155</v>
      </c>
      <c r="H236" s="31" t="s">
        <v>5</v>
      </c>
      <c r="I236" s="31" t="s">
        <v>506</v>
      </c>
      <c r="J236" s="31" t="s">
        <v>507</v>
      </c>
      <c r="K236" s="31" t="s">
        <v>330</v>
      </c>
      <c r="L236" s="31" t="s">
        <v>21</v>
      </c>
      <c r="M236" s="31" t="s">
        <v>22</v>
      </c>
      <c r="N236" s="31">
        <v>0</v>
      </c>
      <c r="O236" s="31">
        <f>2024-Inventory[[#This Row],[YrBlt]]</f>
        <v>5</v>
      </c>
      <c r="P236" s="31">
        <f>2024-Inventory[[#This Row],[EffYr]]</f>
        <v>5</v>
      </c>
      <c r="Q236" s="30">
        <v>2019</v>
      </c>
      <c r="R236" s="30">
        <v>2019</v>
      </c>
      <c r="S236" s="30">
        <v>1708</v>
      </c>
      <c r="T236" s="32"/>
      <c r="U236" s="32"/>
      <c r="V236" s="32"/>
      <c r="W236" s="32"/>
      <c r="X236" s="32">
        <f>Inventory[[#This Row],[Bsmt Area]]-Inventory[[#This Row],[FnBsmt]]</f>
        <v>0</v>
      </c>
      <c r="Y236" s="32">
        <f>Inventory[[#This Row],[MainFn]]+Inventory[[#This Row],[UpprFn]]+Inventory[[#This Row],[AddFn]]+Inventory[[#This Row],[FnBsmt]]</f>
        <v>1708</v>
      </c>
      <c r="Z236" s="32">
        <v>2000</v>
      </c>
      <c r="AA236" s="31" t="s">
        <v>56</v>
      </c>
      <c r="AB236" s="32"/>
      <c r="AC236" s="30">
        <v>420</v>
      </c>
      <c r="AD236" s="32"/>
      <c r="AE236" s="32"/>
      <c r="AF236" s="32"/>
      <c r="AG236" s="32"/>
      <c r="AH236" s="32"/>
      <c r="AI236" s="30">
        <v>368496</v>
      </c>
      <c r="AJ236" s="30">
        <v>353756</v>
      </c>
      <c r="AK236" s="30">
        <v>0</v>
      </c>
      <c r="AL236" s="30">
        <v>0</v>
      </c>
      <c r="AM236" s="30">
        <v>70100</v>
      </c>
      <c r="AN236" s="30">
        <v>328300</v>
      </c>
      <c r="AO236" s="30">
        <v>398400</v>
      </c>
      <c r="AP236" s="30">
        <f>Lookups!$B$58*0.6</f>
        <v>132535.48800000001</v>
      </c>
      <c r="AQ236" s="30">
        <f>Lookups!$B$58*0.4</f>
        <v>88356.992000000013</v>
      </c>
      <c r="AR236" s="30">
        <f>Lookups!$B$59*Inventory[[#This Row],[LnAcres]]</f>
        <v>-15328.713017841041</v>
      </c>
      <c r="AS236" s="30">
        <f>VLOOKUP(Inventory[[#This Row],[Qlty]],Lookups!$A$66:$E$79,2,FALSE)</f>
        <v>32917.849192000001</v>
      </c>
      <c r="AT236" s="30">
        <f>VLOOKUP(Inventory[[#This Row],[Cnd]],Lookups!$A$80:$E$88,2,FALSE)</f>
        <v>50438.379078999998</v>
      </c>
      <c r="AU236" s="30">
        <f>Inventory[[#This Row],[EffAge]]*Lookups!$B$65</f>
        <v>-543.70550000000003</v>
      </c>
      <c r="AV236" s="30">
        <f>Inventory[[#This Row],[MainFn]]*Lookups!$B$90</f>
        <v>106596.92904</v>
      </c>
      <c r="AW236" s="30">
        <f>Inventory[[#This Row],[UpprFn]]*Lookups!$B$91</f>
        <v>0</v>
      </c>
      <c r="AX236" s="30">
        <f>Inventory[[#This Row],[Bsmt Area]]*Lookups!$B$95</f>
        <v>0</v>
      </c>
      <c r="AY236" s="30">
        <f>Inventory[[#This Row],[AttGar]]*Lookups!$B$93</f>
        <v>14826.43302</v>
      </c>
      <c r="AZ236" s="30">
        <f>ROUND(Inventory[[#This Row],[25Det]],-2)</f>
        <v>0</v>
      </c>
      <c r="BA236" s="30">
        <f>ROUND(SUM(Inventory[[#This Row],[Mdl Qlty]:[Mdl Garage Area]])+Inventory[[#This Row],[Mdl Res Intercept]],-2)</f>
        <v>336800</v>
      </c>
      <c r="BB236" s="30">
        <f>ROUND(Inventory[[#This Row],[Mdl Land Intercept]]+Inventory[[#This Row],[Mdl LnAcres]],-2)</f>
        <v>73000</v>
      </c>
      <c r="BC236" s="30">
        <f>Inventory[[#This Row],[Unadj Res Value]]+Inventory[[#This Row],[Unadj Det Value]]+Inventory[[#This Row],[Unadj Land Value]]</f>
        <v>409800</v>
      </c>
      <c r="BD236" s="30">
        <f>(Inventory[[#This Row],[Unadj Total Value]]-Inventory[[#This Row],[24Final]])/Inventory[[#This Row],[24Final]]</f>
        <v>2.86144578313253E-2</v>
      </c>
      <c r="BE236" s="30">
        <f>VLOOKUP(Inventory[[#This Row],[Nbhd]],Lookups!$M$3:$P$5,4,FALSE)</f>
        <v>0.99970000000000003</v>
      </c>
      <c r="BF236" s="30">
        <f>VLOOKUP(Inventory[[#This Row],[Qlty]],Lookups!$M$8:$P$22,4,FALSE)</f>
        <v>1.0019</v>
      </c>
      <c r="BG236" s="30">
        <f>VLOOKUP(Inventory[[#This Row],[Cnd]],Lookups!$R$8:$U$17,4,FALSE)</f>
        <v>1.0007999999999999</v>
      </c>
      <c r="BH236" s="30">
        <f>VLOOKUP(Inventory[[#This Row],[LivArea Range]],Lookups!$R$25:$U$43,4,FALSE)</f>
        <v>1.0007999999999999</v>
      </c>
      <c r="BI236" s="30">
        <f>VLOOKUP(Inventory[[#This Row],[Decade]],Lookups!$M$24:$P$40,4,FALSE)</f>
        <v>1</v>
      </c>
      <c r="BJ236" s="30">
        <f>Inventory[[#This Row],[Nbhd Adj]]*0.95</f>
        <v>0.94971499999999998</v>
      </c>
      <c r="BK236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236" s="30">
        <f>ROUND((SUM(Inventory[[#This Row],[Mdl Qlty]:[Mdl Garage Area]])+Inventory[[#This Row],[Mdl Res Intercept]])*Inventory[[#This Row],[Res Adj ]],-2)</f>
        <v>320100</v>
      </c>
      <c r="BM236" s="30">
        <f>ROUND(Inventory[[#This Row],[25Det]]*Inventory[[#This Row],[Det/Nbhd Adj]],-2)</f>
        <v>0</v>
      </c>
      <c r="BN236" s="30">
        <f>Inventory[[#This Row],[Adjusted Res]]+Inventory[[#This Row],[Adj Det ]]</f>
        <v>320100</v>
      </c>
      <c r="BO236" s="30">
        <f>ROUND((Inventory[[#This Row],[Mdl Land Intercept]]+Inventory[[#This Row],[Mdl LnAcres]])*Inventory[[#This Row],[Det/Nbhd Adj]],-2)</f>
        <v>69400</v>
      </c>
      <c r="BP236" s="30">
        <f>Inventory[[#This Row],[Adjusted Impr Total]]+Inventory[[#This Row],[Adjusted Land Total]]</f>
        <v>389500</v>
      </c>
      <c r="BQ236" s="30">
        <f>IFERROR((Inventory[[#This Row],[Adjusted Impr Total]]-Inventory[[#This Row],[24Bldg]])/Inventory[[#This Row],[24Bldg]],0)</f>
        <v>-2.4977155041120927E-2</v>
      </c>
      <c r="BR236" s="43">
        <f>(Inventory[[#This Row],[Adjusted Land Total]]-Inventory[[#This Row],[24Lnd]])/Inventory[[#This Row],[24Lnd]]</f>
        <v>-9.9857346647646214E-3</v>
      </c>
      <c r="BS236" s="43">
        <f>(Inventory[[#This Row],[Adjusted Total]]-Inventory[[#This Row],[24Final]])/Inventory[[#This Row],[24Final]]</f>
        <v>-2.2339357429718876E-2</v>
      </c>
    </row>
    <row r="237" spans="1:71">
      <c r="A237" s="30">
        <v>2025</v>
      </c>
      <c r="B237" s="31" t="s">
        <v>746</v>
      </c>
      <c r="C237" s="31">
        <f>LN(Inventory[[#This Row],[Acres]])</f>
        <v>-1.1394342831883648</v>
      </c>
      <c r="D237" s="30">
        <v>0.32</v>
      </c>
      <c r="E237" s="30">
        <v>14127</v>
      </c>
      <c r="F237" s="31" t="s">
        <v>505</v>
      </c>
      <c r="G237" s="31" t="s">
        <v>155</v>
      </c>
      <c r="H237" s="31" t="s">
        <v>5</v>
      </c>
      <c r="I237" s="31" t="s">
        <v>506</v>
      </c>
      <c r="J237" s="31" t="s">
        <v>507</v>
      </c>
      <c r="K237" s="31" t="s">
        <v>330</v>
      </c>
      <c r="L237" s="31" t="s">
        <v>19</v>
      </c>
      <c r="M237" s="31" t="s">
        <v>22</v>
      </c>
      <c r="N237" s="31">
        <v>0</v>
      </c>
      <c r="O237" s="31">
        <f>2024-Inventory[[#This Row],[YrBlt]]</f>
        <v>5</v>
      </c>
      <c r="P237" s="31">
        <f>2024-Inventory[[#This Row],[EffYr]]</f>
        <v>5</v>
      </c>
      <c r="Q237" s="30">
        <v>2019</v>
      </c>
      <c r="R237" s="30">
        <v>2019</v>
      </c>
      <c r="S237" s="30">
        <v>1896</v>
      </c>
      <c r="T237" s="32"/>
      <c r="U237" s="32"/>
      <c r="V237" s="32"/>
      <c r="W237" s="32"/>
      <c r="X237" s="32">
        <f>Inventory[[#This Row],[Bsmt Area]]-Inventory[[#This Row],[FnBsmt]]</f>
        <v>0</v>
      </c>
      <c r="Y237" s="32">
        <f>Inventory[[#This Row],[MainFn]]+Inventory[[#This Row],[UpprFn]]+Inventory[[#This Row],[AddFn]]+Inventory[[#This Row],[FnBsmt]]</f>
        <v>1896</v>
      </c>
      <c r="Z237" s="32">
        <v>2000</v>
      </c>
      <c r="AA237" s="31" t="s">
        <v>56</v>
      </c>
      <c r="AB237" s="38">
        <v>1</v>
      </c>
      <c r="AC237" s="30">
        <v>484</v>
      </c>
      <c r="AD237" s="32"/>
      <c r="AE237" s="32"/>
      <c r="AF237" s="32"/>
      <c r="AG237" s="32"/>
      <c r="AH237" s="32"/>
      <c r="AI237" s="30">
        <v>377190</v>
      </c>
      <c r="AJ237" s="30">
        <v>362102</v>
      </c>
      <c r="AK237" s="30">
        <v>0</v>
      </c>
      <c r="AL237" s="30">
        <v>0</v>
      </c>
      <c r="AM237" s="30">
        <v>70500</v>
      </c>
      <c r="AN237" s="30">
        <v>371600</v>
      </c>
      <c r="AO237" s="30">
        <v>442100</v>
      </c>
      <c r="AP237" s="30">
        <f>Lookups!$B$58*0.6</f>
        <v>132535.48800000001</v>
      </c>
      <c r="AQ237" s="30">
        <f>Lookups!$B$58*0.4</f>
        <v>88356.992000000013</v>
      </c>
      <c r="AR237" s="30">
        <f>Lookups!$B$59*Inventory[[#This Row],[LnAcres]]</f>
        <v>-14954.301290969002</v>
      </c>
      <c r="AS237" s="30">
        <f>VLOOKUP(Inventory[[#This Row],[Qlty]],Lookups!$A$66:$E$79,2,FALSE)</f>
        <v>37154.252388000001</v>
      </c>
      <c r="AT237" s="30">
        <f>VLOOKUP(Inventory[[#This Row],[Cnd]],Lookups!$A$80:$E$88,2,FALSE)</f>
        <v>50438.379078999998</v>
      </c>
      <c r="AU237" s="30">
        <f>Inventory[[#This Row],[EffAge]]*Lookups!$B$65</f>
        <v>-543.70550000000003</v>
      </c>
      <c r="AV237" s="30">
        <f>Inventory[[#This Row],[MainFn]]*Lookups!$B$90</f>
        <v>118330.08048</v>
      </c>
      <c r="AW237" s="30">
        <f>Inventory[[#This Row],[UpprFn]]*Lookups!$B$91</f>
        <v>0</v>
      </c>
      <c r="AX237" s="30">
        <f>Inventory[[#This Row],[Bsmt Area]]*Lookups!$B$95</f>
        <v>0</v>
      </c>
      <c r="AY237" s="30">
        <f>Inventory[[#This Row],[AttGar]]*Lookups!$B$93</f>
        <v>17085.699004000002</v>
      </c>
      <c r="AZ237" s="30">
        <f>ROUND(Inventory[[#This Row],[25Det]],-2)</f>
        <v>0</v>
      </c>
      <c r="BA237" s="30">
        <f>ROUND(SUM(Inventory[[#This Row],[Mdl Qlty]:[Mdl Garage Area]])+Inventory[[#This Row],[Mdl Res Intercept]],-2)</f>
        <v>355000</v>
      </c>
      <c r="BB237" s="30">
        <f>ROUND(Inventory[[#This Row],[Mdl Land Intercept]]+Inventory[[#This Row],[Mdl LnAcres]],-2)</f>
        <v>73400</v>
      </c>
      <c r="BC237" s="30">
        <f>Inventory[[#This Row],[Unadj Res Value]]+Inventory[[#This Row],[Unadj Det Value]]+Inventory[[#This Row],[Unadj Land Value]]</f>
        <v>428400</v>
      </c>
      <c r="BD237" s="30">
        <f>(Inventory[[#This Row],[Unadj Total Value]]-Inventory[[#This Row],[24Final]])/Inventory[[#This Row],[24Final]]</f>
        <v>-3.098846414838272E-2</v>
      </c>
      <c r="BE237" s="30">
        <f>VLOOKUP(Inventory[[#This Row],[Nbhd]],Lookups!$M$3:$P$5,4,FALSE)</f>
        <v>0.99970000000000003</v>
      </c>
      <c r="BF237" s="30">
        <f>VLOOKUP(Inventory[[#This Row],[Qlty]],Lookups!$M$8:$P$22,4,FALSE)</f>
        <v>0.99819999999999998</v>
      </c>
      <c r="BG237" s="30">
        <f>VLOOKUP(Inventory[[#This Row],[Cnd]],Lookups!$R$8:$U$17,4,FALSE)</f>
        <v>1.0007999999999999</v>
      </c>
      <c r="BH237" s="30">
        <f>VLOOKUP(Inventory[[#This Row],[LivArea Range]],Lookups!$R$25:$U$43,4,FALSE)</f>
        <v>1.0007999999999999</v>
      </c>
      <c r="BI237" s="30">
        <f>VLOOKUP(Inventory[[#This Row],[Decade]],Lookups!$M$24:$P$40,4,FALSE)</f>
        <v>1</v>
      </c>
      <c r="BJ237" s="30">
        <f>Inventory[[#This Row],[Nbhd Adj]]*0.95</f>
        <v>0.94971499999999998</v>
      </c>
      <c r="BK237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237" s="30">
        <f>ROUND((SUM(Inventory[[#This Row],[Mdl Qlty]:[Mdl Garage Area]])+Inventory[[#This Row],[Mdl Res Intercept]])*Inventory[[#This Row],[Res Adj ]],-2)</f>
        <v>337200</v>
      </c>
      <c r="BM237" s="30">
        <f>ROUND(Inventory[[#This Row],[25Det]]*Inventory[[#This Row],[Det/Nbhd Adj]],-2)</f>
        <v>0</v>
      </c>
      <c r="BN237" s="30">
        <f>Inventory[[#This Row],[Adjusted Res]]+Inventory[[#This Row],[Adj Det ]]</f>
        <v>337200</v>
      </c>
      <c r="BO237" s="30">
        <f>ROUND((Inventory[[#This Row],[Mdl Land Intercept]]+Inventory[[#This Row],[Mdl LnAcres]])*Inventory[[#This Row],[Det/Nbhd Adj]],-2)</f>
        <v>69700</v>
      </c>
      <c r="BP237" s="30">
        <f>Inventory[[#This Row],[Adjusted Impr Total]]+Inventory[[#This Row],[Adjusted Land Total]]</f>
        <v>406900</v>
      </c>
      <c r="BQ237" s="30">
        <f>IFERROR((Inventory[[#This Row],[Adjusted Impr Total]]-Inventory[[#This Row],[24Bldg]])/Inventory[[#This Row],[24Bldg]],0)</f>
        <v>-9.2572658772874059E-2</v>
      </c>
      <c r="BR237" s="43">
        <f>(Inventory[[#This Row],[Adjusted Land Total]]-Inventory[[#This Row],[24Lnd]])/Inventory[[#This Row],[24Lnd]]</f>
        <v>-1.1347517730496455E-2</v>
      </c>
      <c r="BS237" s="43">
        <f>(Inventory[[#This Row],[Adjusted Total]]-Inventory[[#This Row],[24Final]])/Inventory[[#This Row],[24Final]]</f>
        <v>-7.9619995476136615E-2</v>
      </c>
    </row>
    <row r="238" spans="1:71">
      <c r="A238" s="30">
        <v>2025</v>
      </c>
      <c r="B238" s="31" t="s">
        <v>747</v>
      </c>
      <c r="C238" s="31">
        <f>LN(Inventory[[#This Row],[Acres]])</f>
        <v>0</v>
      </c>
      <c r="D238" s="30">
        <v>1</v>
      </c>
      <c r="E238" s="37"/>
      <c r="F238" s="31" t="s">
        <v>505</v>
      </c>
      <c r="G238" s="31" t="s">
        <v>155</v>
      </c>
      <c r="H238" s="31" t="s">
        <v>5</v>
      </c>
      <c r="I238" s="31" t="s">
        <v>506</v>
      </c>
      <c r="J238" s="31" t="s">
        <v>507</v>
      </c>
      <c r="K238" s="31" t="s">
        <v>568</v>
      </c>
      <c r="L238" s="31" t="s">
        <v>23</v>
      </c>
      <c r="M238" s="31" t="s">
        <v>22</v>
      </c>
      <c r="N238" s="31">
        <v>0</v>
      </c>
      <c r="O238" s="31">
        <f>2024-Inventory[[#This Row],[YrBlt]]</f>
        <v>5</v>
      </c>
      <c r="P238" s="31">
        <f>2024-Inventory[[#This Row],[EffYr]]</f>
        <v>5</v>
      </c>
      <c r="Q238" s="30">
        <v>2019</v>
      </c>
      <c r="R238" s="30">
        <v>2019</v>
      </c>
      <c r="S238" s="30">
        <v>3018</v>
      </c>
      <c r="T238" s="32"/>
      <c r="U238" s="32"/>
      <c r="V238" s="32"/>
      <c r="W238" s="32"/>
      <c r="X238" s="32">
        <f>Inventory[[#This Row],[Bsmt Area]]-Inventory[[#This Row],[FnBsmt]]</f>
        <v>0</v>
      </c>
      <c r="Y238" s="32">
        <f>Inventory[[#This Row],[MainFn]]+Inventory[[#This Row],[UpprFn]]+Inventory[[#This Row],[AddFn]]+Inventory[[#This Row],[FnBsmt]]</f>
        <v>3018</v>
      </c>
      <c r="Z238" s="32">
        <v>3500</v>
      </c>
      <c r="AA238" s="31" t="s">
        <v>56</v>
      </c>
      <c r="AB238" s="30">
        <v>1</v>
      </c>
      <c r="AC238" s="38">
        <v>1752</v>
      </c>
      <c r="AD238" s="32"/>
      <c r="AE238" s="32"/>
      <c r="AF238" s="32"/>
      <c r="AG238" s="32"/>
      <c r="AH238" s="32"/>
      <c r="AI238" s="30">
        <v>741253</v>
      </c>
      <c r="AJ238" s="30">
        <v>719015</v>
      </c>
      <c r="AK238" s="30">
        <v>0</v>
      </c>
      <c r="AL238" s="30">
        <v>0</v>
      </c>
      <c r="AM238" s="30">
        <v>86500</v>
      </c>
      <c r="AN238" s="30">
        <v>523100</v>
      </c>
      <c r="AO238" s="30">
        <v>609600</v>
      </c>
      <c r="AP238" s="30">
        <f>Lookups!$B$58*0.6</f>
        <v>132535.48800000001</v>
      </c>
      <c r="AQ238" s="30">
        <f>Lookups!$B$58*0.4</f>
        <v>88356.992000000013</v>
      </c>
      <c r="AR238" s="30">
        <f>Lookups!$B$59*Inventory[[#This Row],[LnAcres]]</f>
        <v>0</v>
      </c>
      <c r="AS238" s="30">
        <f>VLOOKUP(Inventory[[#This Row],[Qlty]],Lookups!$A$66:$E$79,2,FALSE)</f>
        <v>39366.494398000003</v>
      </c>
      <c r="AT238" s="30">
        <f>VLOOKUP(Inventory[[#This Row],[Cnd]],Lookups!$A$80:$E$88,2,FALSE)</f>
        <v>50438.379078999998</v>
      </c>
      <c r="AU238" s="30">
        <f>Inventory[[#This Row],[EffAge]]*Lookups!$B$65</f>
        <v>-543.70550000000003</v>
      </c>
      <c r="AV238" s="30">
        <f>Inventory[[#This Row],[MainFn]]*Lookups!$B$90</f>
        <v>188354.52684000001</v>
      </c>
      <c r="AW238" s="30">
        <f>Inventory[[#This Row],[UpprFn]]*Lookups!$B$91</f>
        <v>0</v>
      </c>
      <c r="AX238" s="30">
        <f>Inventory[[#This Row],[Bsmt Area]]*Lookups!$B$95</f>
        <v>0</v>
      </c>
      <c r="AY238" s="30">
        <f>Inventory[[#This Row],[AttGar]]*Lookups!$B$93</f>
        <v>61847.406312000006</v>
      </c>
      <c r="AZ238" s="30">
        <f>ROUND(Inventory[[#This Row],[25Det]],-2)</f>
        <v>0</v>
      </c>
      <c r="BA238" s="30">
        <f>ROUND(SUM(Inventory[[#This Row],[Mdl Qlty]:[Mdl Garage Area]])+Inventory[[#This Row],[Mdl Res Intercept]],-2)</f>
        <v>472000</v>
      </c>
      <c r="BB238" s="30">
        <f>ROUND(Inventory[[#This Row],[Mdl Land Intercept]]+Inventory[[#This Row],[Mdl LnAcres]],-2)</f>
        <v>88400</v>
      </c>
      <c r="BC238" s="30">
        <f>Inventory[[#This Row],[Unadj Res Value]]+Inventory[[#This Row],[Unadj Det Value]]+Inventory[[#This Row],[Unadj Land Value]]</f>
        <v>560400</v>
      </c>
      <c r="BD238" s="30">
        <f>(Inventory[[#This Row],[Unadj Total Value]]-Inventory[[#This Row],[24Final]])/Inventory[[#This Row],[24Final]]</f>
        <v>-8.070866141732283E-2</v>
      </c>
      <c r="BE238" s="30">
        <f>VLOOKUP(Inventory[[#This Row],[Nbhd]],Lookups!$M$3:$P$5,4,FALSE)</f>
        <v>0.99970000000000003</v>
      </c>
      <c r="BF238" s="30">
        <f>VLOOKUP(Inventory[[#This Row],[Qlty]],Lookups!$M$8:$P$22,4,FALSE)</f>
        <v>0.99980000000000002</v>
      </c>
      <c r="BG238" s="30">
        <f>VLOOKUP(Inventory[[#This Row],[Cnd]],Lookups!$R$8:$U$17,4,FALSE)</f>
        <v>1.0007999999999999</v>
      </c>
      <c r="BH238" s="30">
        <f>VLOOKUP(Inventory[[#This Row],[LivArea Range]],Lookups!$R$25:$U$43,4,FALSE)</f>
        <v>0.98509999999999998</v>
      </c>
      <c r="BI238" s="30">
        <f>VLOOKUP(Inventory[[#This Row],[Decade]],Lookups!$M$24:$P$40,4,FALSE)</f>
        <v>1</v>
      </c>
      <c r="BJ238" s="30">
        <f>Inventory[[#This Row],[Nbhd Adj]]*0.95</f>
        <v>0.94971499999999998</v>
      </c>
      <c r="BK238" s="30">
        <f>AVERAGE(Inventory[[#This Row],[Nbhd Adj]],Inventory[[#This Row],[Quality Adj]],Inventory[[#This Row],[Condition Adj]],Inventory[[#This Row],[Living Area Adj]],Inventory[[#This Row],[Decade Adj]])*0.95</f>
        <v>0.94722600000000001</v>
      </c>
      <c r="BL238" s="30">
        <f>ROUND((SUM(Inventory[[#This Row],[Mdl Qlty]:[Mdl Garage Area]])+Inventory[[#This Row],[Mdl Res Intercept]])*Inventory[[#This Row],[Res Adj ]],-2)</f>
        <v>447100</v>
      </c>
      <c r="BM238" s="30">
        <f>ROUND(Inventory[[#This Row],[25Det]]*Inventory[[#This Row],[Det/Nbhd Adj]],-2)</f>
        <v>0</v>
      </c>
      <c r="BN238" s="30">
        <f>Inventory[[#This Row],[Adjusted Res]]+Inventory[[#This Row],[Adj Det ]]</f>
        <v>447100</v>
      </c>
      <c r="BO238" s="30">
        <f>ROUND((Inventory[[#This Row],[Mdl Land Intercept]]+Inventory[[#This Row],[Mdl LnAcres]])*Inventory[[#This Row],[Det/Nbhd Adj]],-2)</f>
        <v>83900</v>
      </c>
      <c r="BP238" s="30">
        <f>Inventory[[#This Row],[Adjusted Impr Total]]+Inventory[[#This Row],[Adjusted Land Total]]</f>
        <v>531000</v>
      </c>
      <c r="BQ238" s="30">
        <f>IFERROR((Inventory[[#This Row],[Adjusted Impr Total]]-Inventory[[#This Row],[24Bldg]])/Inventory[[#This Row],[24Bldg]],0)</f>
        <v>-0.14528770789523993</v>
      </c>
      <c r="BR238" s="43">
        <f>(Inventory[[#This Row],[Adjusted Land Total]]-Inventory[[#This Row],[24Lnd]])/Inventory[[#This Row],[24Lnd]]</f>
        <v>-3.0057803468208091E-2</v>
      </c>
      <c r="BS238" s="43">
        <f>(Inventory[[#This Row],[Adjusted Total]]-Inventory[[#This Row],[24Final]])/Inventory[[#This Row],[24Final]]</f>
        <v>-0.12893700787401574</v>
      </c>
    </row>
    <row r="239" spans="1:71">
      <c r="A239" s="30">
        <v>2025</v>
      </c>
      <c r="B239" s="31" t="s">
        <v>748</v>
      </c>
      <c r="C239" s="31">
        <f>LN(Inventory[[#This Row],[Acres]])</f>
        <v>-1.9519282213808764</v>
      </c>
      <c r="D239" s="37">
        <f>ROUND(Inventory[[#This Row],[Sqft]]/43560,3)</f>
        <v>0.14199999999999999</v>
      </c>
      <c r="E239" s="30">
        <v>6200</v>
      </c>
      <c r="F239" s="31" t="s">
        <v>505</v>
      </c>
      <c r="G239" s="31" t="s">
        <v>155</v>
      </c>
      <c r="H239" s="31" t="s">
        <v>5</v>
      </c>
      <c r="I239" s="31" t="s">
        <v>506</v>
      </c>
      <c r="J239" s="31" t="s">
        <v>507</v>
      </c>
      <c r="K239" s="31" t="s">
        <v>330</v>
      </c>
      <c r="L239" s="31" t="s">
        <v>21</v>
      </c>
      <c r="M239" s="31" t="s">
        <v>22</v>
      </c>
      <c r="N239" s="31">
        <v>0</v>
      </c>
      <c r="O239" s="31">
        <f>2024-Inventory[[#This Row],[YrBlt]]</f>
        <v>6</v>
      </c>
      <c r="P239" s="31">
        <f>2024-Inventory[[#This Row],[EffYr]]</f>
        <v>6</v>
      </c>
      <c r="Q239" s="30">
        <v>2018</v>
      </c>
      <c r="R239" s="30">
        <v>2018</v>
      </c>
      <c r="S239" s="30">
        <v>1687</v>
      </c>
      <c r="T239" s="32"/>
      <c r="U239" s="32"/>
      <c r="V239" s="32"/>
      <c r="W239" s="32"/>
      <c r="X239" s="32">
        <f>Inventory[[#This Row],[Bsmt Area]]-Inventory[[#This Row],[FnBsmt]]</f>
        <v>0</v>
      </c>
      <c r="Y239" s="32">
        <f>Inventory[[#This Row],[MainFn]]+Inventory[[#This Row],[UpprFn]]+Inventory[[#This Row],[AddFn]]+Inventory[[#This Row],[FnBsmt]]</f>
        <v>1687</v>
      </c>
      <c r="Z239" s="32">
        <v>2000</v>
      </c>
      <c r="AA239" s="31" t="s">
        <v>56</v>
      </c>
      <c r="AB239" s="32"/>
      <c r="AC239" s="38">
        <v>441</v>
      </c>
      <c r="AD239" s="32"/>
      <c r="AE239" s="32"/>
      <c r="AF239" s="32"/>
      <c r="AG239" s="32"/>
      <c r="AH239" s="32"/>
      <c r="AI239" s="30">
        <v>370665</v>
      </c>
      <c r="AJ239" s="30">
        <v>355838</v>
      </c>
      <c r="AK239" s="30">
        <v>0</v>
      </c>
      <c r="AL239" s="30">
        <v>0</v>
      </c>
      <c r="AM239" s="30">
        <v>59000</v>
      </c>
      <c r="AN239" s="30">
        <v>328400</v>
      </c>
      <c r="AO239" s="30">
        <v>387400</v>
      </c>
      <c r="AP239" s="30">
        <f>Lookups!$B$58*0.6</f>
        <v>132535.48800000001</v>
      </c>
      <c r="AQ239" s="30">
        <f>Lookups!$B$58*0.4</f>
        <v>88356.992000000013</v>
      </c>
      <c r="AR239" s="30">
        <f>Lookups!$B$59*Inventory[[#This Row],[LnAcres]]</f>
        <v>-25617.732546361683</v>
      </c>
      <c r="AS239" s="30">
        <f>VLOOKUP(Inventory[[#This Row],[Qlty]],Lookups!$A$66:$E$79,2,FALSE)</f>
        <v>32917.849192000001</v>
      </c>
      <c r="AT239" s="30">
        <f>VLOOKUP(Inventory[[#This Row],[Cnd]],Lookups!$A$80:$E$88,2,FALSE)</f>
        <v>50438.379078999998</v>
      </c>
      <c r="AU239" s="30">
        <f>Inventory[[#This Row],[EffAge]]*Lookups!$B$65</f>
        <v>-652.44659999999999</v>
      </c>
      <c r="AV239" s="30">
        <f>Inventory[[#This Row],[MainFn]]*Lookups!$B$90</f>
        <v>105286.31106000001</v>
      </c>
      <c r="AW239" s="30">
        <f>Inventory[[#This Row],[UpprFn]]*Lookups!$B$91</f>
        <v>0</v>
      </c>
      <c r="AX239" s="30">
        <f>Inventory[[#This Row],[Bsmt Area]]*Lookups!$B$95</f>
        <v>0</v>
      </c>
      <c r="AY239" s="30">
        <f>Inventory[[#This Row],[AttGar]]*Lookups!$B$93</f>
        <v>15567.754671000001</v>
      </c>
      <c r="AZ239" s="30">
        <f>ROUND(Inventory[[#This Row],[25Det]],-2)</f>
        <v>0</v>
      </c>
      <c r="BA239" s="30">
        <f>ROUND(SUM(Inventory[[#This Row],[Mdl Qlty]:[Mdl Garage Area]])+Inventory[[#This Row],[Mdl Res Intercept]],-2)</f>
        <v>336100</v>
      </c>
      <c r="BB239" s="30">
        <f>ROUND(Inventory[[#This Row],[Mdl Land Intercept]]+Inventory[[#This Row],[Mdl LnAcres]],-2)</f>
        <v>62700</v>
      </c>
      <c r="BC239" s="30">
        <f>Inventory[[#This Row],[Unadj Res Value]]+Inventory[[#This Row],[Unadj Det Value]]+Inventory[[#This Row],[Unadj Land Value]]</f>
        <v>398800</v>
      </c>
      <c r="BD239" s="30">
        <f>(Inventory[[#This Row],[Unadj Total Value]]-Inventory[[#This Row],[24Final]])/Inventory[[#This Row],[24Final]]</f>
        <v>2.942694889003614E-2</v>
      </c>
      <c r="BE239" s="30">
        <f>VLOOKUP(Inventory[[#This Row],[Nbhd]],Lookups!$M$3:$P$5,4,FALSE)</f>
        <v>0.99970000000000003</v>
      </c>
      <c r="BF239" s="30">
        <f>VLOOKUP(Inventory[[#This Row],[Qlty]],Lookups!$M$8:$P$22,4,FALSE)</f>
        <v>1.0019</v>
      </c>
      <c r="BG239" s="30">
        <f>VLOOKUP(Inventory[[#This Row],[Cnd]],Lookups!$R$8:$U$17,4,FALSE)</f>
        <v>1.0007999999999999</v>
      </c>
      <c r="BH239" s="30">
        <f>VLOOKUP(Inventory[[#This Row],[LivArea Range]],Lookups!$R$25:$U$43,4,FALSE)</f>
        <v>1.0007999999999999</v>
      </c>
      <c r="BI239" s="30">
        <f>VLOOKUP(Inventory[[#This Row],[Decade]],Lookups!$M$24:$P$40,4,FALSE)</f>
        <v>1</v>
      </c>
      <c r="BJ239" s="30">
        <f>Inventory[[#This Row],[Nbhd Adj]]*0.95</f>
        <v>0.94971499999999998</v>
      </c>
      <c r="BK239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239" s="30">
        <f>ROUND((SUM(Inventory[[#This Row],[Mdl Qlty]:[Mdl Garage Area]])+Inventory[[#This Row],[Mdl Res Intercept]])*Inventory[[#This Row],[Res Adj ]],-2)</f>
        <v>319500</v>
      </c>
      <c r="BM239" s="30">
        <f>ROUND(Inventory[[#This Row],[25Det]]*Inventory[[#This Row],[Det/Nbhd Adj]],-2)</f>
        <v>0</v>
      </c>
      <c r="BN239" s="30">
        <f>Inventory[[#This Row],[Adjusted Res]]+Inventory[[#This Row],[Adj Det ]]</f>
        <v>319500</v>
      </c>
      <c r="BO239" s="30">
        <f>ROUND((Inventory[[#This Row],[Mdl Land Intercept]]+Inventory[[#This Row],[Mdl LnAcres]])*Inventory[[#This Row],[Det/Nbhd Adj]],-2)</f>
        <v>59600</v>
      </c>
      <c r="BP239" s="30">
        <f>Inventory[[#This Row],[Adjusted Impr Total]]+Inventory[[#This Row],[Adjusted Land Total]]</f>
        <v>379100</v>
      </c>
      <c r="BQ239" s="30">
        <f>IFERROR((Inventory[[#This Row],[Adjusted Impr Total]]-Inventory[[#This Row],[24Bldg]])/Inventory[[#This Row],[24Bldg]],0)</f>
        <v>-2.7101096224116931E-2</v>
      </c>
      <c r="BR239" s="43">
        <f>(Inventory[[#This Row],[Adjusted Land Total]]-Inventory[[#This Row],[24Lnd]])/Inventory[[#This Row],[24Lnd]]</f>
        <v>1.0169491525423728E-2</v>
      </c>
      <c r="BS239" s="43">
        <f>(Inventory[[#This Row],[Adjusted Total]]-Inventory[[#This Row],[24Final]])/Inventory[[#This Row],[24Final]]</f>
        <v>-2.1424883840991223E-2</v>
      </c>
    </row>
    <row r="240" spans="1:71">
      <c r="A240" s="30">
        <v>2025</v>
      </c>
      <c r="B240" s="31" t="s">
        <v>749</v>
      </c>
      <c r="C240" s="31">
        <f>LN(Inventory[[#This Row],[Acres]])</f>
        <v>-1.9241486572738007</v>
      </c>
      <c r="D240" s="37">
        <f>ROUND(Inventory[[#This Row],[Sqft]]/43560,3)</f>
        <v>0.14599999999999999</v>
      </c>
      <c r="E240" s="30">
        <v>6338</v>
      </c>
      <c r="F240" s="31" t="s">
        <v>505</v>
      </c>
      <c r="G240" s="31" t="s">
        <v>155</v>
      </c>
      <c r="H240" s="31" t="s">
        <v>5</v>
      </c>
      <c r="I240" s="31" t="s">
        <v>506</v>
      </c>
      <c r="J240" s="31" t="s">
        <v>507</v>
      </c>
      <c r="K240" s="31" t="s">
        <v>330</v>
      </c>
      <c r="L240" s="31" t="s">
        <v>21</v>
      </c>
      <c r="M240" s="31" t="s">
        <v>22</v>
      </c>
      <c r="N240" s="31">
        <v>0</v>
      </c>
      <c r="O240" s="31">
        <f>2024-Inventory[[#This Row],[YrBlt]]</f>
        <v>6</v>
      </c>
      <c r="P240" s="31">
        <f>2024-Inventory[[#This Row],[EffYr]]</f>
        <v>6</v>
      </c>
      <c r="Q240" s="30">
        <v>2018</v>
      </c>
      <c r="R240" s="30">
        <v>2018</v>
      </c>
      <c r="S240" s="30">
        <v>1749</v>
      </c>
      <c r="T240" s="32"/>
      <c r="U240" s="32"/>
      <c r="V240" s="32"/>
      <c r="W240" s="32"/>
      <c r="X240" s="32">
        <f>Inventory[[#This Row],[Bsmt Area]]-Inventory[[#This Row],[FnBsmt]]</f>
        <v>0</v>
      </c>
      <c r="Y240" s="32">
        <f>Inventory[[#This Row],[MainFn]]+Inventory[[#This Row],[UpprFn]]+Inventory[[#This Row],[AddFn]]+Inventory[[#This Row],[FnBsmt]]</f>
        <v>1749</v>
      </c>
      <c r="Z240" s="32">
        <v>2000</v>
      </c>
      <c r="AA240" s="31" t="s">
        <v>56</v>
      </c>
      <c r="AB240" s="32"/>
      <c r="AC240" s="30">
        <v>441</v>
      </c>
      <c r="AD240" s="32"/>
      <c r="AE240" s="32"/>
      <c r="AF240" s="32"/>
      <c r="AG240" s="32"/>
      <c r="AH240" s="32"/>
      <c r="AI240" s="30">
        <v>380960</v>
      </c>
      <c r="AJ240" s="30">
        <v>365722</v>
      </c>
      <c r="AK240" s="30">
        <v>0</v>
      </c>
      <c r="AL240" s="30">
        <v>0</v>
      </c>
      <c r="AM240" s="30">
        <v>59900</v>
      </c>
      <c r="AN240" s="30">
        <v>335800</v>
      </c>
      <c r="AO240" s="30">
        <v>395700</v>
      </c>
      <c r="AP240" s="30">
        <f>Lookups!$B$58*0.6</f>
        <v>132535.48800000001</v>
      </c>
      <c r="AQ240" s="30">
        <f>Lookups!$B$58*0.4</f>
        <v>88356.992000000013</v>
      </c>
      <c r="AR240" s="30">
        <f>Lookups!$B$59*Inventory[[#This Row],[LnAcres]]</f>
        <v>-25253.144629780345</v>
      </c>
      <c r="AS240" s="30">
        <f>VLOOKUP(Inventory[[#This Row],[Qlty]],Lookups!$A$66:$E$79,2,FALSE)</f>
        <v>32917.849192000001</v>
      </c>
      <c r="AT240" s="30">
        <f>VLOOKUP(Inventory[[#This Row],[Cnd]],Lookups!$A$80:$E$88,2,FALSE)</f>
        <v>50438.379078999998</v>
      </c>
      <c r="AU240" s="30">
        <f>Inventory[[#This Row],[EffAge]]*Lookups!$B$65</f>
        <v>-652.44659999999999</v>
      </c>
      <c r="AV240" s="30">
        <f>Inventory[[#This Row],[MainFn]]*Lookups!$B$90</f>
        <v>109155.75462000001</v>
      </c>
      <c r="AW240" s="30">
        <f>Inventory[[#This Row],[UpprFn]]*Lookups!$B$91</f>
        <v>0</v>
      </c>
      <c r="AX240" s="30">
        <f>Inventory[[#This Row],[Bsmt Area]]*Lookups!$B$95</f>
        <v>0</v>
      </c>
      <c r="AY240" s="30">
        <f>Inventory[[#This Row],[AttGar]]*Lookups!$B$93</f>
        <v>15567.754671000001</v>
      </c>
      <c r="AZ240" s="30">
        <f>ROUND(Inventory[[#This Row],[25Det]],-2)</f>
        <v>0</v>
      </c>
      <c r="BA240" s="30">
        <f>ROUND(SUM(Inventory[[#This Row],[Mdl Qlty]:[Mdl Garage Area]])+Inventory[[#This Row],[Mdl Res Intercept]],-2)</f>
        <v>340000</v>
      </c>
      <c r="BB240" s="30">
        <f>ROUND(Inventory[[#This Row],[Mdl Land Intercept]]+Inventory[[#This Row],[Mdl LnAcres]],-2)</f>
        <v>63100</v>
      </c>
      <c r="BC240" s="30">
        <f>Inventory[[#This Row],[Unadj Res Value]]+Inventory[[#This Row],[Unadj Det Value]]+Inventory[[#This Row],[Unadj Land Value]]</f>
        <v>403100</v>
      </c>
      <c r="BD240" s="30">
        <f>(Inventory[[#This Row],[Unadj Total Value]]-Inventory[[#This Row],[24Final]])/Inventory[[#This Row],[24Final]]</f>
        <v>1.8701036138488752E-2</v>
      </c>
      <c r="BE240" s="30">
        <f>VLOOKUP(Inventory[[#This Row],[Nbhd]],Lookups!$M$3:$P$5,4,FALSE)</f>
        <v>0.99970000000000003</v>
      </c>
      <c r="BF240" s="30">
        <f>VLOOKUP(Inventory[[#This Row],[Qlty]],Lookups!$M$8:$P$22,4,FALSE)</f>
        <v>1.0019</v>
      </c>
      <c r="BG240" s="30">
        <f>VLOOKUP(Inventory[[#This Row],[Cnd]],Lookups!$R$8:$U$17,4,FALSE)</f>
        <v>1.0007999999999999</v>
      </c>
      <c r="BH240" s="30">
        <f>VLOOKUP(Inventory[[#This Row],[LivArea Range]],Lookups!$R$25:$U$43,4,FALSE)</f>
        <v>1.0007999999999999</v>
      </c>
      <c r="BI240" s="30">
        <f>VLOOKUP(Inventory[[#This Row],[Decade]],Lookups!$M$24:$P$40,4,FALSE)</f>
        <v>1</v>
      </c>
      <c r="BJ240" s="30">
        <f>Inventory[[#This Row],[Nbhd Adj]]*0.95</f>
        <v>0.94971499999999998</v>
      </c>
      <c r="BK240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240" s="30">
        <f>ROUND((SUM(Inventory[[#This Row],[Mdl Qlty]:[Mdl Garage Area]])+Inventory[[#This Row],[Mdl Res Intercept]])*Inventory[[#This Row],[Res Adj ]],-2)</f>
        <v>323200</v>
      </c>
      <c r="BM240" s="30">
        <f>ROUND(Inventory[[#This Row],[25Det]]*Inventory[[#This Row],[Det/Nbhd Adj]],-2)</f>
        <v>0</v>
      </c>
      <c r="BN240" s="30">
        <f>Inventory[[#This Row],[Adjusted Res]]+Inventory[[#This Row],[Adj Det ]]</f>
        <v>323200</v>
      </c>
      <c r="BO240" s="30">
        <f>ROUND((Inventory[[#This Row],[Mdl Land Intercept]]+Inventory[[#This Row],[Mdl LnAcres]])*Inventory[[#This Row],[Det/Nbhd Adj]],-2)</f>
        <v>59900</v>
      </c>
      <c r="BP240" s="30">
        <f>Inventory[[#This Row],[Adjusted Impr Total]]+Inventory[[#This Row],[Adjusted Land Total]]</f>
        <v>383100</v>
      </c>
      <c r="BQ240" s="30">
        <f>IFERROR((Inventory[[#This Row],[Adjusted Impr Total]]-Inventory[[#This Row],[24Bldg]])/Inventory[[#This Row],[24Bldg]],0)</f>
        <v>-3.7522334723049437E-2</v>
      </c>
      <c r="BR240" s="43">
        <f>(Inventory[[#This Row],[Adjusted Land Total]]-Inventory[[#This Row],[24Lnd]])/Inventory[[#This Row],[24Lnd]]</f>
        <v>0</v>
      </c>
      <c r="BS240" s="43">
        <f>(Inventory[[#This Row],[Adjusted Total]]-Inventory[[#This Row],[24Final]])/Inventory[[#This Row],[24Final]]</f>
        <v>-3.1842304776345719E-2</v>
      </c>
    </row>
    <row r="241" spans="1:71">
      <c r="A241" s="30">
        <v>2025</v>
      </c>
      <c r="B241" s="31" t="s">
        <v>750</v>
      </c>
      <c r="C241" s="31">
        <f>LN(Inventory[[#This Row],[Acres]])</f>
        <v>-1.9241486572738007</v>
      </c>
      <c r="D241" s="37">
        <f>ROUND(Inventory[[#This Row],[Sqft]]/43560,3)</f>
        <v>0.14599999999999999</v>
      </c>
      <c r="E241" s="30">
        <v>6350</v>
      </c>
      <c r="F241" s="31" t="s">
        <v>505</v>
      </c>
      <c r="G241" s="31" t="s">
        <v>155</v>
      </c>
      <c r="H241" s="31" t="s">
        <v>5</v>
      </c>
      <c r="I241" s="31" t="s">
        <v>506</v>
      </c>
      <c r="J241" s="31" t="s">
        <v>507</v>
      </c>
      <c r="K241" s="31" t="s">
        <v>330</v>
      </c>
      <c r="L241" s="31" t="s">
        <v>19</v>
      </c>
      <c r="M241" s="31" t="s">
        <v>22</v>
      </c>
      <c r="N241" s="31">
        <v>0</v>
      </c>
      <c r="O241" s="31">
        <f>2024-Inventory[[#This Row],[YrBlt]]</f>
        <v>6</v>
      </c>
      <c r="P241" s="31">
        <f>2024-Inventory[[#This Row],[EffYr]]</f>
        <v>6</v>
      </c>
      <c r="Q241" s="30">
        <v>2018</v>
      </c>
      <c r="R241" s="30">
        <v>2018</v>
      </c>
      <c r="S241" s="30">
        <v>1529</v>
      </c>
      <c r="T241" s="32"/>
      <c r="U241" s="32"/>
      <c r="V241" s="32"/>
      <c r="W241" s="32"/>
      <c r="X241" s="32">
        <f>Inventory[[#This Row],[Bsmt Area]]-Inventory[[#This Row],[FnBsmt]]</f>
        <v>0</v>
      </c>
      <c r="Y241" s="32">
        <f>Inventory[[#This Row],[MainFn]]+Inventory[[#This Row],[UpprFn]]+Inventory[[#This Row],[AddFn]]+Inventory[[#This Row],[FnBsmt]]</f>
        <v>1529</v>
      </c>
      <c r="Z241" s="32">
        <v>2000</v>
      </c>
      <c r="AA241" s="31" t="s">
        <v>56</v>
      </c>
      <c r="AB241" s="32"/>
      <c r="AC241" s="38">
        <v>441</v>
      </c>
      <c r="AD241" s="32"/>
      <c r="AE241" s="32"/>
      <c r="AF241" s="32"/>
      <c r="AG241" s="32"/>
      <c r="AH241" s="32"/>
      <c r="AI241" s="30">
        <v>299905</v>
      </c>
      <c r="AJ241" s="30">
        <v>287909</v>
      </c>
      <c r="AK241" s="30">
        <v>0</v>
      </c>
      <c r="AL241" s="30">
        <v>0</v>
      </c>
      <c r="AM241" s="30">
        <v>59900</v>
      </c>
      <c r="AN241" s="30">
        <v>319900</v>
      </c>
      <c r="AO241" s="30">
        <v>379800</v>
      </c>
      <c r="AP241" s="30">
        <f>Lookups!$B$58*0.6</f>
        <v>132535.48800000001</v>
      </c>
      <c r="AQ241" s="30">
        <f>Lookups!$B$58*0.4</f>
        <v>88356.992000000013</v>
      </c>
      <c r="AR241" s="30">
        <f>Lookups!$B$59*Inventory[[#This Row],[LnAcres]]</f>
        <v>-25253.144629780345</v>
      </c>
      <c r="AS241" s="30">
        <f>VLOOKUP(Inventory[[#This Row],[Qlty]],Lookups!$A$66:$E$79,2,FALSE)</f>
        <v>37154.252388000001</v>
      </c>
      <c r="AT241" s="30">
        <f>VLOOKUP(Inventory[[#This Row],[Cnd]],Lookups!$A$80:$E$88,2,FALSE)</f>
        <v>50438.379078999998</v>
      </c>
      <c r="AU241" s="30">
        <f>Inventory[[#This Row],[EffAge]]*Lookups!$B$65</f>
        <v>-652.44659999999999</v>
      </c>
      <c r="AV241" s="30">
        <f>Inventory[[#This Row],[MainFn]]*Lookups!$B$90</f>
        <v>95425.471020000012</v>
      </c>
      <c r="AW241" s="30">
        <f>Inventory[[#This Row],[UpprFn]]*Lookups!$B$91</f>
        <v>0</v>
      </c>
      <c r="AX241" s="30">
        <f>Inventory[[#This Row],[Bsmt Area]]*Lookups!$B$95</f>
        <v>0</v>
      </c>
      <c r="AY241" s="30">
        <f>Inventory[[#This Row],[AttGar]]*Lookups!$B$93</f>
        <v>15567.754671000001</v>
      </c>
      <c r="AZ241" s="30">
        <f>ROUND(Inventory[[#This Row],[25Det]],-2)</f>
        <v>0</v>
      </c>
      <c r="BA241" s="30">
        <f>ROUND(SUM(Inventory[[#This Row],[Mdl Qlty]:[Mdl Garage Area]])+Inventory[[#This Row],[Mdl Res Intercept]],-2)</f>
        <v>330500</v>
      </c>
      <c r="BB241" s="30">
        <f>ROUND(Inventory[[#This Row],[Mdl Land Intercept]]+Inventory[[#This Row],[Mdl LnAcres]],-2)</f>
        <v>63100</v>
      </c>
      <c r="BC241" s="30">
        <f>Inventory[[#This Row],[Unadj Res Value]]+Inventory[[#This Row],[Unadj Det Value]]+Inventory[[#This Row],[Unadj Land Value]]</f>
        <v>393600</v>
      </c>
      <c r="BD241" s="30">
        <f>(Inventory[[#This Row],[Unadj Total Value]]-Inventory[[#This Row],[24Final]])/Inventory[[#This Row],[24Final]]</f>
        <v>3.6334913112164295E-2</v>
      </c>
      <c r="BE241" s="30">
        <f>VLOOKUP(Inventory[[#This Row],[Nbhd]],Lookups!$M$3:$P$5,4,FALSE)</f>
        <v>0.99970000000000003</v>
      </c>
      <c r="BF241" s="30">
        <f>VLOOKUP(Inventory[[#This Row],[Qlty]],Lookups!$M$8:$P$22,4,FALSE)</f>
        <v>0.99819999999999998</v>
      </c>
      <c r="BG241" s="30">
        <f>VLOOKUP(Inventory[[#This Row],[Cnd]],Lookups!$R$8:$U$17,4,FALSE)</f>
        <v>1.0007999999999999</v>
      </c>
      <c r="BH241" s="30">
        <f>VLOOKUP(Inventory[[#This Row],[LivArea Range]],Lookups!$R$25:$U$43,4,FALSE)</f>
        <v>1.0007999999999999</v>
      </c>
      <c r="BI241" s="30">
        <f>VLOOKUP(Inventory[[#This Row],[Decade]],Lookups!$M$24:$P$40,4,FALSE)</f>
        <v>1</v>
      </c>
      <c r="BJ241" s="30">
        <f>Inventory[[#This Row],[Nbhd Adj]]*0.95</f>
        <v>0.94971499999999998</v>
      </c>
      <c r="BK241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241" s="30">
        <f>ROUND((SUM(Inventory[[#This Row],[Mdl Qlty]:[Mdl Garage Area]])+Inventory[[#This Row],[Mdl Res Intercept]])*Inventory[[#This Row],[Res Adj ]],-2)</f>
        <v>313900</v>
      </c>
      <c r="BM241" s="30">
        <f>ROUND(Inventory[[#This Row],[25Det]]*Inventory[[#This Row],[Det/Nbhd Adj]],-2)</f>
        <v>0</v>
      </c>
      <c r="BN241" s="30">
        <f>Inventory[[#This Row],[Adjusted Res]]+Inventory[[#This Row],[Adj Det ]]</f>
        <v>313900</v>
      </c>
      <c r="BO241" s="30">
        <f>ROUND((Inventory[[#This Row],[Mdl Land Intercept]]+Inventory[[#This Row],[Mdl LnAcres]])*Inventory[[#This Row],[Det/Nbhd Adj]],-2)</f>
        <v>59900</v>
      </c>
      <c r="BP241" s="30">
        <f>Inventory[[#This Row],[Adjusted Impr Total]]+Inventory[[#This Row],[Adjusted Land Total]]</f>
        <v>373800</v>
      </c>
      <c r="BQ241" s="30">
        <f>IFERROR((Inventory[[#This Row],[Adjusted Impr Total]]-Inventory[[#This Row],[24Bldg]])/Inventory[[#This Row],[24Bldg]],0)</f>
        <v>-1.8755861206627072E-2</v>
      </c>
      <c r="BR241" s="43">
        <f>(Inventory[[#This Row],[Adjusted Land Total]]-Inventory[[#This Row],[24Lnd]])/Inventory[[#This Row],[24Lnd]]</f>
        <v>0</v>
      </c>
      <c r="BS241" s="43">
        <f>(Inventory[[#This Row],[Adjusted Total]]-Inventory[[#This Row],[24Final]])/Inventory[[#This Row],[24Final]]</f>
        <v>-1.579778830963665E-2</v>
      </c>
    </row>
    <row r="242" spans="1:71">
      <c r="A242" s="30">
        <v>2025</v>
      </c>
      <c r="B242" s="31" t="s">
        <v>751</v>
      </c>
      <c r="C242" s="31">
        <f>LN(Inventory[[#This Row],[Acres]])</f>
        <v>-1.9241486572738007</v>
      </c>
      <c r="D242" s="37">
        <f>ROUND(Inventory[[#This Row],[Sqft]]/43560,3)</f>
        <v>0.14599999999999999</v>
      </c>
      <c r="E242" s="30">
        <v>6344</v>
      </c>
      <c r="F242" s="31" t="s">
        <v>505</v>
      </c>
      <c r="G242" s="31" t="s">
        <v>155</v>
      </c>
      <c r="H242" s="31" t="s">
        <v>5</v>
      </c>
      <c r="I242" s="31" t="s">
        <v>506</v>
      </c>
      <c r="J242" s="31" t="s">
        <v>507</v>
      </c>
      <c r="K242" s="31" t="s">
        <v>330</v>
      </c>
      <c r="L242" s="31" t="s">
        <v>21</v>
      </c>
      <c r="M242" s="31" t="s">
        <v>22</v>
      </c>
      <c r="N242" s="31">
        <v>0</v>
      </c>
      <c r="O242" s="31">
        <f>2024-Inventory[[#This Row],[YrBlt]]</f>
        <v>6</v>
      </c>
      <c r="P242" s="31">
        <f>2024-Inventory[[#This Row],[EffYr]]</f>
        <v>6</v>
      </c>
      <c r="Q242" s="30">
        <v>2018</v>
      </c>
      <c r="R242" s="30">
        <v>2018</v>
      </c>
      <c r="S242" s="30">
        <v>1756</v>
      </c>
      <c r="T242" s="32"/>
      <c r="U242" s="37"/>
      <c r="V242" s="32"/>
      <c r="W242" s="37"/>
      <c r="X242" s="37">
        <f>Inventory[[#This Row],[Bsmt Area]]-Inventory[[#This Row],[FnBsmt]]</f>
        <v>0</v>
      </c>
      <c r="Y242" s="37">
        <f>Inventory[[#This Row],[MainFn]]+Inventory[[#This Row],[UpprFn]]+Inventory[[#This Row],[AddFn]]+Inventory[[#This Row],[FnBsmt]]</f>
        <v>1756</v>
      </c>
      <c r="Z242" s="32">
        <v>2000</v>
      </c>
      <c r="AA242" s="31" t="s">
        <v>56</v>
      </c>
      <c r="AB242" s="32"/>
      <c r="AC242" s="38">
        <v>441</v>
      </c>
      <c r="AD242" s="32"/>
      <c r="AE242" s="32"/>
      <c r="AF242" s="32"/>
      <c r="AG242" s="32"/>
      <c r="AH242" s="32"/>
      <c r="AI242" s="30">
        <v>378824</v>
      </c>
      <c r="AJ242" s="30">
        <v>363671</v>
      </c>
      <c r="AK242" s="30">
        <v>0</v>
      </c>
      <c r="AL242" s="30">
        <v>0</v>
      </c>
      <c r="AM242" s="30">
        <v>59900</v>
      </c>
      <c r="AN242" s="30">
        <v>326700</v>
      </c>
      <c r="AO242" s="30">
        <v>386600</v>
      </c>
      <c r="AP242" s="30">
        <f>Lookups!$B$58*0.6</f>
        <v>132535.48800000001</v>
      </c>
      <c r="AQ242" s="30">
        <f>Lookups!$B$58*0.4</f>
        <v>88356.992000000013</v>
      </c>
      <c r="AR242" s="30">
        <f>Lookups!$B$59*Inventory[[#This Row],[LnAcres]]</f>
        <v>-25253.144629780345</v>
      </c>
      <c r="AS242" s="30">
        <f>VLOOKUP(Inventory[[#This Row],[Qlty]],Lookups!$A$66:$E$79,2,FALSE)</f>
        <v>32917.849192000001</v>
      </c>
      <c r="AT242" s="30">
        <f>VLOOKUP(Inventory[[#This Row],[Cnd]],Lookups!$A$80:$E$88,2,FALSE)</f>
        <v>50438.379078999998</v>
      </c>
      <c r="AU242" s="30">
        <f>Inventory[[#This Row],[EffAge]]*Lookups!$B$65</f>
        <v>-652.44659999999999</v>
      </c>
      <c r="AV242" s="30">
        <f>Inventory[[#This Row],[MainFn]]*Lookups!$B$90</f>
        <v>109592.62728</v>
      </c>
      <c r="AW242" s="30">
        <f>Inventory[[#This Row],[UpprFn]]*Lookups!$B$91</f>
        <v>0</v>
      </c>
      <c r="AX242" s="30">
        <f>Inventory[[#This Row],[Bsmt Area]]*Lookups!$B$95</f>
        <v>0</v>
      </c>
      <c r="AY242" s="30">
        <f>Inventory[[#This Row],[AttGar]]*Lookups!$B$93</f>
        <v>15567.754671000001</v>
      </c>
      <c r="AZ242" s="30">
        <f>ROUND(Inventory[[#This Row],[25Det]],-2)</f>
        <v>0</v>
      </c>
      <c r="BA242" s="30">
        <f>ROUND(SUM(Inventory[[#This Row],[Mdl Qlty]:[Mdl Garage Area]])+Inventory[[#This Row],[Mdl Res Intercept]],-2)</f>
        <v>340400</v>
      </c>
      <c r="BB242" s="30">
        <f>ROUND(Inventory[[#This Row],[Mdl Land Intercept]]+Inventory[[#This Row],[Mdl LnAcres]],-2)</f>
        <v>63100</v>
      </c>
      <c r="BC242" s="30">
        <f>Inventory[[#This Row],[Unadj Res Value]]+Inventory[[#This Row],[Unadj Det Value]]+Inventory[[#This Row],[Unadj Land Value]]</f>
        <v>403500</v>
      </c>
      <c r="BD242" s="30">
        <f>(Inventory[[#This Row],[Unadj Total Value]]-Inventory[[#This Row],[24Final]])/Inventory[[#This Row],[24Final]]</f>
        <v>4.3714433523021214E-2</v>
      </c>
      <c r="BE242" s="30">
        <f>VLOOKUP(Inventory[[#This Row],[Nbhd]],Lookups!$M$3:$P$5,4,FALSE)</f>
        <v>0.99970000000000003</v>
      </c>
      <c r="BF242" s="30">
        <f>VLOOKUP(Inventory[[#This Row],[Qlty]],Lookups!$M$8:$P$22,4,FALSE)</f>
        <v>1.0019</v>
      </c>
      <c r="BG242" s="30">
        <f>VLOOKUP(Inventory[[#This Row],[Cnd]],Lookups!$R$8:$U$17,4,FALSE)</f>
        <v>1.0007999999999999</v>
      </c>
      <c r="BH242" s="30">
        <f>VLOOKUP(Inventory[[#This Row],[LivArea Range]],Lookups!$R$25:$U$43,4,FALSE)</f>
        <v>1.0007999999999999</v>
      </c>
      <c r="BI242" s="30">
        <f>VLOOKUP(Inventory[[#This Row],[Decade]],Lookups!$M$24:$P$40,4,FALSE)</f>
        <v>1</v>
      </c>
      <c r="BJ242" s="30">
        <f>Inventory[[#This Row],[Nbhd Adj]]*0.95</f>
        <v>0.94971499999999998</v>
      </c>
      <c r="BK242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242" s="30">
        <f>ROUND((SUM(Inventory[[#This Row],[Mdl Qlty]:[Mdl Garage Area]])+Inventory[[#This Row],[Mdl Res Intercept]])*Inventory[[#This Row],[Res Adj ]],-2)</f>
        <v>323600</v>
      </c>
      <c r="BM242" s="30">
        <f>ROUND(Inventory[[#This Row],[25Det]]*Inventory[[#This Row],[Det/Nbhd Adj]],-2)</f>
        <v>0</v>
      </c>
      <c r="BN242" s="30">
        <f>Inventory[[#This Row],[Adjusted Res]]+Inventory[[#This Row],[Adj Det ]]</f>
        <v>323600</v>
      </c>
      <c r="BO242" s="30">
        <f>ROUND((Inventory[[#This Row],[Mdl Land Intercept]]+Inventory[[#This Row],[Mdl LnAcres]])*Inventory[[#This Row],[Det/Nbhd Adj]],-2)</f>
        <v>59900</v>
      </c>
      <c r="BP242" s="30">
        <f>Inventory[[#This Row],[Adjusted Impr Total]]+Inventory[[#This Row],[Adjusted Land Total]]</f>
        <v>383500</v>
      </c>
      <c r="BQ242" s="30">
        <f>IFERROR((Inventory[[#This Row],[Adjusted Impr Total]]-Inventory[[#This Row],[24Bldg]])/Inventory[[#This Row],[24Bldg]],0)</f>
        <v>-9.4888276706458531E-3</v>
      </c>
      <c r="BR242" s="43">
        <f>(Inventory[[#This Row],[Adjusted Land Total]]-Inventory[[#This Row],[24Lnd]])/Inventory[[#This Row],[24Lnd]]</f>
        <v>0</v>
      </c>
      <c r="BS242" s="43">
        <f>(Inventory[[#This Row],[Adjusted Total]]-Inventory[[#This Row],[24Final]])/Inventory[[#This Row],[24Final]]</f>
        <v>-8.0186239006725304E-3</v>
      </c>
    </row>
    <row r="243" spans="1:71">
      <c r="A243" s="30">
        <v>2025</v>
      </c>
      <c r="B243" s="31" t="s">
        <v>752</v>
      </c>
      <c r="C243" s="31">
        <f>LN(Inventory[[#This Row],[Acres]])</f>
        <v>-1.9105430052180221</v>
      </c>
      <c r="D243" s="37">
        <f>ROUND(Inventory[[#This Row],[Sqft]]/43560,3)</f>
        <v>0.14799999999999999</v>
      </c>
      <c r="E243" s="30">
        <v>6434</v>
      </c>
      <c r="F243" s="31" t="s">
        <v>505</v>
      </c>
      <c r="G243" s="31" t="s">
        <v>155</v>
      </c>
      <c r="H243" s="31" t="s">
        <v>5</v>
      </c>
      <c r="I243" s="31" t="s">
        <v>506</v>
      </c>
      <c r="J243" s="31" t="s">
        <v>507</v>
      </c>
      <c r="K243" s="31" t="s">
        <v>330</v>
      </c>
      <c r="L243" s="31" t="s">
        <v>21</v>
      </c>
      <c r="M243" s="31" t="s">
        <v>22</v>
      </c>
      <c r="N243" s="31">
        <v>0</v>
      </c>
      <c r="O243" s="31">
        <f>2024-Inventory[[#This Row],[YrBlt]]</f>
        <v>6</v>
      </c>
      <c r="P243" s="31">
        <f>2024-Inventory[[#This Row],[EffYr]]</f>
        <v>6</v>
      </c>
      <c r="Q243" s="30">
        <v>2018</v>
      </c>
      <c r="R243" s="30">
        <v>2018</v>
      </c>
      <c r="S243" s="30">
        <v>861</v>
      </c>
      <c r="T243" s="38">
        <v>1323</v>
      </c>
      <c r="U243" s="32"/>
      <c r="V243" s="32"/>
      <c r="W243" s="32"/>
      <c r="X243" s="32">
        <f>Inventory[[#This Row],[Bsmt Area]]-Inventory[[#This Row],[FnBsmt]]</f>
        <v>0</v>
      </c>
      <c r="Y243" s="32">
        <f>Inventory[[#This Row],[MainFn]]+Inventory[[#This Row],[UpprFn]]+Inventory[[#This Row],[AddFn]]+Inventory[[#This Row],[FnBsmt]]</f>
        <v>2184</v>
      </c>
      <c r="Z243" s="32">
        <v>2500</v>
      </c>
      <c r="AA243" s="31" t="s">
        <v>56</v>
      </c>
      <c r="AB243" s="38">
        <v>1</v>
      </c>
      <c r="AC243" s="30">
        <v>294</v>
      </c>
      <c r="AD243" s="38">
        <v>441</v>
      </c>
      <c r="AE243" s="32"/>
      <c r="AF243" s="32"/>
      <c r="AG243" s="32"/>
      <c r="AH243" s="32"/>
      <c r="AI243" s="30">
        <v>459129</v>
      </c>
      <c r="AJ243" s="30">
        <v>440764</v>
      </c>
      <c r="AK243" s="30">
        <v>0</v>
      </c>
      <c r="AL243" s="30">
        <v>0</v>
      </c>
      <c r="AM243" s="30">
        <v>59900</v>
      </c>
      <c r="AN243" s="30">
        <v>369200</v>
      </c>
      <c r="AO243" s="30">
        <v>429100</v>
      </c>
      <c r="AP243" s="30">
        <f>Lookups!$B$58*0.6</f>
        <v>132535.48800000001</v>
      </c>
      <c r="AQ243" s="30">
        <f>Lookups!$B$58*0.4</f>
        <v>88356.992000000013</v>
      </c>
      <c r="AR243" s="30">
        <f>Lookups!$B$59*Inventory[[#This Row],[LnAcres]]</f>
        <v>-25074.579684785997</v>
      </c>
      <c r="AS243" s="30">
        <f>VLOOKUP(Inventory[[#This Row],[Qlty]],Lookups!$A$66:$E$79,2,FALSE)</f>
        <v>32917.849192000001</v>
      </c>
      <c r="AT243" s="30">
        <f>VLOOKUP(Inventory[[#This Row],[Cnd]],Lookups!$A$80:$E$88,2,FALSE)</f>
        <v>50438.379078999998</v>
      </c>
      <c r="AU243" s="30">
        <f>Inventory[[#This Row],[EffAge]]*Lookups!$B$65</f>
        <v>-652.44659999999999</v>
      </c>
      <c r="AV243" s="30">
        <f>Inventory[[#This Row],[MainFn]]*Lookups!$B$90</f>
        <v>53735.337180000002</v>
      </c>
      <c r="AW243" s="30">
        <f>Inventory[[#This Row],[UpprFn]]*Lookups!$B$91</f>
        <v>78824.84670899999</v>
      </c>
      <c r="AX243" s="30">
        <f>Inventory[[#This Row],[Bsmt Area]]*Lookups!$B$95</f>
        <v>0</v>
      </c>
      <c r="AY243" s="30">
        <f>Inventory[[#This Row],[AttGar]]*Lookups!$B$93</f>
        <v>10378.503114000001</v>
      </c>
      <c r="AZ243" s="30">
        <f>ROUND(Inventory[[#This Row],[25Det]],-2)</f>
        <v>0</v>
      </c>
      <c r="BA243" s="30">
        <f>ROUND(SUM(Inventory[[#This Row],[Mdl Qlty]:[Mdl Garage Area]])+Inventory[[#This Row],[Mdl Res Intercept]],-2)</f>
        <v>358200</v>
      </c>
      <c r="BB243" s="30">
        <f>ROUND(Inventory[[#This Row],[Mdl Land Intercept]]+Inventory[[#This Row],[Mdl LnAcres]],-2)</f>
        <v>63300</v>
      </c>
      <c r="BC243" s="30">
        <f>Inventory[[#This Row],[Unadj Res Value]]+Inventory[[#This Row],[Unadj Det Value]]+Inventory[[#This Row],[Unadj Land Value]]</f>
        <v>421500</v>
      </c>
      <c r="BD243" s="30">
        <f>(Inventory[[#This Row],[Unadj Total Value]]-Inventory[[#This Row],[24Final]])/Inventory[[#This Row],[24Final]]</f>
        <v>-1.7711489163365183E-2</v>
      </c>
      <c r="BE243" s="30">
        <f>VLOOKUP(Inventory[[#This Row],[Nbhd]],Lookups!$M$3:$P$5,4,FALSE)</f>
        <v>0.99970000000000003</v>
      </c>
      <c r="BF243" s="30">
        <f>VLOOKUP(Inventory[[#This Row],[Qlty]],Lookups!$M$8:$P$22,4,FALSE)</f>
        <v>1.0019</v>
      </c>
      <c r="BG243" s="30">
        <f>VLOOKUP(Inventory[[#This Row],[Cnd]],Lookups!$R$8:$U$17,4,FALSE)</f>
        <v>1.0007999999999999</v>
      </c>
      <c r="BH243" s="30">
        <f>VLOOKUP(Inventory[[#This Row],[LivArea Range]],Lookups!$R$25:$U$43,4,FALSE)</f>
        <v>1.0008999999999999</v>
      </c>
      <c r="BI243" s="30">
        <f>VLOOKUP(Inventory[[#This Row],[Decade]],Lookups!$M$24:$P$40,4,FALSE)</f>
        <v>1</v>
      </c>
      <c r="BJ243" s="30">
        <f>Inventory[[#This Row],[Nbhd Adj]]*0.95</f>
        <v>0.94971499999999998</v>
      </c>
      <c r="BK243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243" s="30">
        <f>ROUND((SUM(Inventory[[#This Row],[Mdl Qlty]:[Mdl Garage Area]])+Inventory[[#This Row],[Mdl Res Intercept]])*Inventory[[#This Row],[Res Adj ]],-2)</f>
        <v>340500</v>
      </c>
      <c r="BM243" s="30">
        <f>ROUND(Inventory[[#This Row],[25Det]]*Inventory[[#This Row],[Det/Nbhd Adj]],-2)</f>
        <v>0</v>
      </c>
      <c r="BN243" s="30">
        <f>Inventory[[#This Row],[Adjusted Res]]+Inventory[[#This Row],[Adj Det ]]</f>
        <v>340500</v>
      </c>
      <c r="BO243" s="30">
        <f>ROUND((Inventory[[#This Row],[Mdl Land Intercept]]+Inventory[[#This Row],[Mdl LnAcres]])*Inventory[[#This Row],[Det/Nbhd Adj]],-2)</f>
        <v>60100</v>
      </c>
      <c r="BP243" s="30">
        <f>Inventory[[#This Row],[Adjusted Impr Total]]+Inventory[[#This Row],[Adjusted Land Total]]</f>
        <v>400600</v>
      </c>
      <c r="BQ243" s="30">
        <f>IFERROR((Inventory[[#This Row],[Adjusted Impr Total]]-Inventory[[#This Row],[24Bldg]])/Inventory[[#This Row],[24Bldg]],0)</f>
        <v>-7.7735644637053083E-2</v>
      </c>
      <c r="BR243" s="43">
        <f>(Inventory[[#This Row],[Adjusted Land Total]]-Inventory[[#This Row],[24Lnd]])/Inventory[[#This Row],[24Lnd]]</f>
        <v>3.3388981636060101E-3</v>
      </c>
      <c r="BS243" s="43">
        <f>(Inventory[[#This Row],[Adjusted Total]]-Inventory[[#This Row],[24Final]])/Inventory[[#This Row],[24Final]]</f>
        <v>-6.6418084362619437E-2</v>
      </c>
    </row>
    <row r="244" spans="1:71">
      <c r="A244" s="30">
        <v>2025</v>
      </c>
      <c r="B244" s="31" t="s">
        <v>753</v>
      </c>
      <c r="C244" s="31">
        <f>LN(Inventory[[#This Row],[Acres]])</f>
        <v>-1.9105430052180221</v>
      </c>
      <c r="D244" s="37">
        <f>ROUND(Inventory[[#This Row],[Sqft]]/43560,3)</f>
        <v>0.14799999999999999</v>
      </c>
      <c r="E244" s="30">
        <v>6458</v>
      </c>
      <c r="F244" s="31" t="s">
        <v>505</v>
      </c>
      <c r="G244" s="31" t="s">
        <v>155</v>
      </c>
      <c r="H244" s="31" t="s">
        <v>5</v>
      </c>
      <c r="I244" s="31" t="s">
        <v>506</v>
      </c>
      <c r="J244" s="31" t="s">
        <v>507</v>
      </c>
      <c r="K244" s="31" t="s">
        <v>157</v>
      </c>
      <c r="L244" s="31" t="s">
        <v>19</v>
      </c>
      <c r="M244" s="31" t="s">
        <v>22</v>
      </c>
      <c r="N244" s="31">
        <v>0</v>
      </c>
      <c r="O244" s="31">
        <f>2024-Inventory[[#This Row],[YrBlt]]</f>
        <v>6</v>
      </c>
      <c r="P244" s="31">
        <f>2024-Inventory[[#This Row],[EffYr]]</f>
        <v>6</v>
      </c>
      <c r="Q244" s="30">
        <v>2018</v>
      </c>
      <c r="R244" s="30">
        <v>2018</v>
      </c>
      <c r="S244" s="30">
        <v>1529</v>
      </c>
      <c r="T244" s="32"/>
      <c r="U244" s="32"/>
      <c r="V244" s="32"/>
      <c r="W244" s="32"/>
      <c r="X244" s="32">
        <f>Inventory[[#This Row],[Bsmt Area]]-Inventory[[#This Row],[FnBsmt]]</f>
        <v>0</v>
      </c>
      <c r="Y244" s="32">
        <f>Inventory[[#This Row],[MainFn]]+Inventory[[#This Row],[UpprFn]]+Inventory[[#This Row],[AddFn]]+Inventory[[#This Row],[FnBsmt]]</f>
        <v>1529</v>
      </c>
      <c r="Z244" s="32">
        <v>2000</v>
      </c>
      <c r="AA244" s="31" t="s">
        <v>56</v>
      </c>
      <c r="AB244" s="32"/>
      <c r="AC244" s="30">
        <v>441</v>
      </c>
      <c r="AD244" s="32"/>
      <c r="AE244" s="32"/>
      <c r="AF244" s="32"/>
      <c r="AG244" s="32"/>
      <c r="AH244" s="32"/>
      <c r="AI244" s="30">
        <v>305415</v>
      </c>
      <c r="AJ244" s="30">
        <v>293198</v>
      </c>
      <c r="AK244" s="30">
        <v>0</v>
      </c>
      <c r="AL244" s="30">
        <v>0</v>
      </c>
      <c r="AM244" s="30">
        <v>59900</v>
      </c>
      <c r="AN244" s="30">
        <v>329100</v>
      </c>
      <c r="AO244" s="30">
        <v>389000</v>
      </c>
      <c r="AP244" s="30">
        <f>Lookups!$B$58*0.6</f>
        <v>132535.48800000001</v>
      </c>
      <c r="AQ244" s="30">
        <f>Lookups!$B$58*0.4</f>
        <v>88356.992000000013</v>
      </c>
      <c r="AR244" s="30">
        <f>Lookups!$B$59*Inventory[[#This Row],[LnAcres]]</f>
        <v>-25074.579684785997</v>
      </c>
      <c r="AS244" s="30">
        <f>VLOOKUP(Inventory[[#This Row],[Qlty]],Lookups!$A$66:$E$79,2,FALSE)</f>
        <v>37154.252388000001</v>
      </c>
      <c r="AT244" s="30">
        <f>VLOOKUP(Inventory[[#This Row],[Cnd]],Lookups!$A$80:$E$88,2,FALSE)</f>
        <v>50438.379078999998</v>
      </c>
      <c r="AU244" s="30">
        <f>Inventory[[#This Row],[EffAge]]*Lookups!$B$65</f>
        <v>-652.44659999999999</v>
      </c>
      <c r="AV244" s="30">
        <f>Inventory[[#This Row],[MainFn]]*Lookups!$B$90</f>
        <v>95425.471020000012</v>
      </c>
      <c r="AW244" s="30">
        <f>Inventory[[#This Row],[UpprFn]]*Lookups!$B$91</f>
        <v>0</v>
      </c>
      <c r="AX244" s="30">
        <f>Inventory[[#This Row],[Bsmt Area]]*Lookups!$B$95</f>
        <v>0</v>
      </c>
      <c r="AY244" s="30">
        <f>Inventory[[#This Row],[AttGar]]*Lookups!$B$93</f>
        <v>15567.754671000001</v>
      </c>
      <c r="AZ244" s="30">
        <f>ROUND(Inventory[[#This Row],[25Det]],-2)</f>
        <v>0</v>
      </c>
      <c r="BA244" s="30">
        <f>ROUND(SUM(Inventory[[#This Row],[Mdl Qlty]:[Mdl Garage Area]])+Inventory[[#This Row],[Mdl Res Intercept]],-2)</f>
        <v>330500</v>
      </c>
      <c r="BB244" s="30">
        <f>ROUND(Inventory[[#This Row],[Mdl Land Intercept]]+Inventory[[#This Row],[Mdl LnAcres]],-2)</f>
        <v>63300</v>
      </c>
      <c r="BC244" s="30">
        <f>Inventory[[#This Row],[Unadj Res Value]]+Inventory[[#This Row],[Unadj Det Value]]+Inventory[[#This Row],[Unadj Land Value]]</f>
        <v>393800</v>
      </c>
      <c r="BD244" s="30">
        <f>(Inventory[[#This Row],[Unadj Total Value]]-Inventory[[#This Row],[24Final]])/Inventory[[#This Row],[24Final]]</f>
        <v>1.2339331619537276E-2</v>
      </c>
      <c r="BE244" s="30">
        <f>VLOOKUP(Inventory[[#This Row],[Nbhd]],Lookups!$M$3:$P$5,4,FALSE)</f>
        <v>0.99970000000000003</v>
      </c>
      <c r="BF244" s="30">
        <f>VLOOKUP(Inventory[[#This Row],[Qlty]],Lookups!$M$8:$P$22,4,FALSE)</f>
        <v>0.99819999999999998</v>
      </c>
      <c r="BG244" s="30">
        <f>VLOOKUP(Inventory[[#This Row],[Cnd]],Lookups!$R$8:$U$17,4,FALSE)</f>
        <v>1.0007999999999999</v>
      </c>
      <c r="BH244" s="30">
        <f>VLOOKUP(Inventory[[#This Row],[LivArea Range]],Lookups!$R$25:$U$43,4,FALSE)</f>
        <v>1.0007999999999999</v>
      </c>
      <c r="BI244" s="30">
        <f>VLOOKUP(Inventory[[#This Row],[Decade]],Lookups!$M$24:$P$40,4,FALSE)</f>
        <v>1</v>
      </c>
      <c r="BJ244" s="30">
        <f>Inventory[[#This Row],[Nbhd Adj]]*0.95</f>
        <v>0.94971499999999998</v>
      </c>
      <c r="BK244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244" s="30">
        <f>ROUND((SUM(Inventory[[#This Row],[Mdl Qlty]:[Mdl Garage Area]])+Inventory[[#This Row],[Mdl Res Intercept]])*Inventory[[#This Row],[Res Adj ]],-2)</f>
        <v>313900</v>
      </c>
      <c r="BM244" s="30">
        <f>ROUND(Inventory[[#This Row],[25Det]]*Inventory[[#This Row],[Det/Nbhd Adj]],-2)</f>
        <v>0</v>
      </c>
      <c r="BN244" s="30">
        <f>Inventory[[#This Row],[Adjusted Res]]+Inventory[[#This Row],[Adj Det ]]</f>
        <v>313900</v>
      </c>
      <c r="BO244" s="30">
        <f>ROUND((Inventory[[#This Row],[Mdl Land Intercept]]+Inventory[[#This Row],[Mdl LnAcres]])*Inventory[[#This Row],[Det/Nbhd Adj]],-2)</f>
        <v>60100</v>
      </c>
      <c r="BP244" s="30">
        <f>Inventory[[#This Row],[Adjusted Impr Total]]+Inventory[[#This Row],[Adjusted Land Total]]</f>
        <v>374000</v>
      </c>
      <c r="BQ244" s="30">
        <f>IFERROR((Inventory[[#This Row],[Adjusted Impr Total]]-Inventory[[#This Row],[24Bldg]])/Inventory[[#This Row],[24Bldg]],0)</f>
        <v>-4.6186569431783654E-2</v>
      </c>
      <c r="BR244" s="43">
        <f>(Inventory[[#This Row],[Adjusted Land Total]]-Inventory[[#This Row],[24Lnd]])/Inventory[[#This Row],[24Lnd]]</f>
        <v>3.3388981636060101E-3</v>
      </c>
      <c r="BS244" s="43">
        <f>(Inventory[[#This Row],[Adjusted Total]]-Inventory[[#This Row],[24Final]])/Inventory[[#This Row],[24Final]]</f>
        <v>-3.8560411311053984E-2</v>
      </c>
    </row>
    <row r="245" spans="1:71">
      <c r="A245" s="30">
        <v>2025</v>
      </c>
      <c r="B245" s="31" t="s">
        <v>754</v>
      </c>
      <c r="C245" s="31">
        <f>LN(Inventory[[#This Row],[Acres]])</f>
        <v>-1.8018098050815563</v>
      </c>
      <c r="D245" s="37">
        <f>ROUND(Inventory[[#This Row],[Sqft]]/43560,3)</f>
        <v>0.16500000000000001</v>
      </c>
      <c r="E245" s="30">
        <v>7200</v>
      </c>
      <c r="F245" s="31" t="s">
        <v>505</v>
      </c>
      <c r="G245" s="31" t="s">
        <v>155</v>
      </c>
      <c r="H245" s="31" t="s">
        <v>5</v>
      </c>
      <c r="I245" s="31" t="s">
        <v>506</v>
      </c>
      <c r="J245" s="31" t="s">
        <v>507</v>
      </c>
      <c r="K245" s="31" t="s">
        <v>330</v>
      </c>
      <c r="L245" s="31" t="s">
        <v>21</v>
      </c>
      <c r="M245" s="31" t="s">
        <v>22</v>
      </c>
      <c r="N245" s="31">
        <v>0</v>
      </c>
      <c r="O245" s="31">
        <f>2024-Inventory[[#This Row],[YrBlt]]</f>
        <v>6</v>
      </c>
      <c r="P245" s="31">
        <f>2024-Inventory[[#This Row],[EffYr]]</f>
        <v>6</v>
      </c>
      <c r="Q245" s="30">
        <v>2018</v>
      </c>
      <c r="R245" s="30">
        <v>2018</v>
      </c>
      <c r="S245" s="30">
        <v>1094</v>
      </c>
      <c r="T245" s="38">
        <v>1192</v>
      </c>
      <c r="U245" s="32"/>
      <c r="V245" s="32"/>
      <c r="W245" s="32"/>
      <c r="X245" s="32">
        <f>Inventory[[#This Row],[Bsmt Area]]-Inventory[[#This Row],[FnBsmt]]</f>
        <v>0</v>
      </c>
      <c r="Y245" s="32">
        <f>Inventory[[#This Row],[MainFn]]+Inventory[[#This Row],[UpprFn]]+Inventory[[#This Row],[AddFn]]+Inventory[[#This Row],[FnBsmt]]</f>
        <v>2286</v>
      </c>
      <c r="Z245" s="32">
        <v>2500</v>
      </c>
      <c r="AA245" s="31" t="s">
        <v>56</v>
      </c>
      <c r="AB245" s="32"/>
      <c r="AC245" s="38">
        <v>520</v>
      </c>
      <c r="AD245" s="32"/>
      <c r="AE245" s="32"/>
      <c r="AF245" s="32"/>
      <c r="AG245" s="32"/>
      <c r="AH245" s="32"/>
      <c r="AI245" s="30">
        <v>476075</v>
      </c>
      <c r="AJ245" s="30">
        <v>457032</v>
      </c>
      <c r="AK245" s="30">
        <v>0</v>
      </c>
      <c r="AL245" s="30">
        <v>0</v>
      </c>
      <c r="AM245" s="30">
        <v>61700</v>
      </c>
      <c r="AN245" s="30">
        <v>397400</v>
      </c>
      <c r="AO245" s="30">
        <v>459100</v>
      </c>
      <c r="AP245" s="30">
        <f>Lookups!$B$58*0.6</f>
        <v>132535.48800000001</v>
      </c>
      <c r="AQ245" s="30">
        <f>Lookups!$B$58*0.4</f>
        <v>88356.992000000013</v>
      </c>
      <c r="AR245" s="30">
        <f>Lookups!$B$59*Inventory[[#This Row],[LnAcres]]</f>
        <v>-23647.530262837776</v>
      </c>
      <c r="AS245" s="30">
        <f>VLOOKUP(Inventory[[#This Row],[Qlty]],Lookups!$A$66:$E$79,2,FALSE)</f>
        <v>32917.849192000001</v>
      </c>
      <c r="AT245" s="30">
        <f>VLOOKUP(Inventory[[#This Row],[Cnd]],Lookups!$A$80:$E$88,2,FALSE)</f>
        <v>50438.379078999998</v>
      </c>
      <c r="AU245" s="30">
        <f>Inventory[[#This Row],[EffAge]]*Lookups!$B$65</f>
        <v>-652.44659999999999</v>
      </c>
      <c r="AV245" s="30">
        <f>Inventory[[#This Row],[MainFn]]*Lookups!$B$90</f>
        <v>68276.955719999998</v>
      </c>
      <c r="AW245" s="30">
        <f>Inventory[[#This Row],[UpprFn]]*Lookups!$B$91</f>
        <v>71019.816535999998</v>
      </c>
      <c r="AX245" s="30">
        <f>Inventory[[#This Row],[Bsmt Area]]*Lookups!$B$95</f>
        <v>0</v>
      </c>
      <c r="AY245" s="30">
        <f>Inventory[[#This Row],[AttGar]]*Lookups!$B$93</f>
        <v>18356.536120000001</v>
      </c>
      <c r="AZ245" s="30">
        <f>ROUND(Inventory[[#This Row],[25Det]],-2)</f>
        <v>0</v>
      </c>
      <c r="BA245" s="30">
        <f>ROUND(SUM(Inventory[[#This Row],[Mdl Qlty]:[Mdl Garage Area]])+Inventory[[#This Row],[Mdl Res Intercept]],-2)</f>
        <v>372900</v>
      </c>
      <c r="BB245" s="30">
        <f>ROUND(Inventory[[#This Row],[Mdl Land Intercept]]+Inventory[[#This Row],[Mdl LnAcres]],-2)</f>
        <v>64700</v>
      </c>
      <c r="BC245" s="30">
        <f>Inventory[[#This Row],[Unadj Res Value]]+Inventory[[#This Row],[Unadj Det Value]]+Inventory[[#This Row],[Unadj Land Value]]</f>
        <v>437600</v>
      </c>
      <c r="BD245" s="30">
        <f>(Inventory[[#This Row],[Unadj Total Value]]-Inventory[[#This Row],[24Final]])/Inventory[[#This Row],[24Final]]</f>
        <v>-4.6830755826617297E-2</v>
      </c>
      <c r="BE245" s="30">
        <f>VLOOKUP(Inventory[[#This Row],[Nbhd]],Lookups!$M$3:$P$5,4,FALSE)</f>
        <v>0.99970000000000003</v>
      </c>
      <c r="BF245" s="30">
        <f>VLOOKUP(Inventory[[#This Row],[Qlty]],Lookups!$M$8:$P$22,4,FALSE)</f>
        <v>1.0019</v>
      </c>
      <c r="BG245" s="30">
        <f>VLOOKUP(Inventory[[#This Row],[Cnd]],Lookups!$R$8:$U$17,4,FALSE)</f>
        <v>1.0007999999999999</v>
      </c>
      <c r="BH245" s="30">
        <f>VLOOKUP(Inventory[[#This Row],[LivArea Range]],Lookups!$R$25:$U$43,4,FALSE)</f>
        <v>1.0008999999999999</v>
      </c>
      <c r="BI245" s="30">
        <f>VLOOKUP(Inventory[[#This Row],[Decade]],Lookups!$M$24:$P$40,4,FALSE)</f>
        <v>1</v>
      </c>
      <c r="BJ245" s="30">
        <f>Inventory[[#This Row],[Nbhd Adj]]*0.95</f>
        <v>0.94971499999999998</v>
      </c>
      <c r="BK245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245" s="30">
        <f>ROUND((SUM(Inventory[[#This Row],[Mdl Qlty]:[Mdl Garage Area]])+Inventory[[#This Row],[Mdl Res Intercept]])*Inventory[[#This Row],[Res Adj ]],-2)</f>
        <v>354500</v>
      </c>
      <c r="BM245" s="30">
        <f>ROUND(Inventory[[#This Row],[25Det]]*Inventory[[#This Row],[Det/Nbhd Adj]],-2)</f>
        <v>0</v>
      </c>
      <c r="BN245" s="30">
        <f>Inventory[[#This Row],[Adjusted Res]]+Inventory[[#This Row],[Adj Det ]]</f>
        <v>354500</v>
      </c>
      <c r="BO245" s="30">
        <f>ROUND((Inventory[[#This Row],[Mdl Land Intercept]]+Inventory[[#This Row],[Mdl LnAcres]])*Inventory[[#This Row],[Det/Nbhd Adj]],-2)</f>
        <v>61500</v>
      </c>
      <c r="BP245" s="30">
        <f>Inventory[[#This Row],[Adjusted Impr Total]]+Inventory[[#This Row],[Adjusted Land Total]]</f>
        <v>416000</v>
      </c>
      <c r="BQ245" s="30">
        <f>IFERROR((Inventory[[#This Row],[Adjusted Impr Total]]-Inventory[[#This Row],[24Bldg]])/Inventory[[#This Row],[24Bldg]],0)</f>
        <v>-0.10795168595873175</v>
      </c>
      <c r="BR245" s="43">
        <f>(Inventory[[#This Row],[Adjusted Land Total]]-Inventory[[#This Row],[24Lnd]])/Inventory[[#This Row],[24Lnd]]</f>
        <v>-3.2414910858995136E-3</v>
      </c>
      <c r="BS245" s="43">
        <f>(Inventory[[#This Row],[Adjusted Total]]-Inventory[[#This Row],[24Final]])/Inventory[[#This Row],[24Final]]</f>
        <v>-9.3879329122195598E-2</v>
      </c>
    </row>
    <row r="246" spans="1:71">
      <c r="A246" s="30">
        <v>2025</v>
      </c>
      <c r="B246" s="31" t="s">
        <v>755</v>
      </c>
      <c r="C246" s="31">
        <f>LN(Inventory[[#This Row],[Acres]])</f>
        <v>-1.8018098050815563</v>
      </c>
      <c r="D246" s="37">
        <f>ROUND(Inventory[[#This Row],[Sqft]]/43560,3)</f>
        <v>0.16500000000000001</v>
      </c>
      <c r="E246" s="30">
        <v>7200</v>
      </c>
      <c r="F246" s="31" t="s">
        <v>505</v>
      </c>
      <c r="G246" s="31" t="s">
        <v>155</v>
      </c>
      <c r="H246" s="31" t="s">
        <v>5</v>
      </c>
      <c r="I246" s="31" t="s">
        <v>506</v>
      </c>
      <c r="J246" s="31" t="s">
        <v>507</v>
      </c>
      <c r="K246" s="31" t="s">
        <v>330</v>
      </c>
      <c r="L246" s="31" t="s">
        <v>21</v>
      </c>
      <c r="M246" s="31" t="s">
        <v>22</v>
      </c>
      <c r="N246" s="31">
        <v>0</v>
      </c>
      <c r="O246" s="31">
        <f>2024-Inventory[[#This Row],[YrBlt]]</f>
        <v>6</v>
      </c>
      <c r="P246" s="31">
        <f>2024-Inventory[[#This Row],[EffYr]]</f>
        <v>6</v>
      </c>
      <c r="Q246" s="30">
        <v>2018</v>
      </c>
      <c r="R246" s="30">
        <v>2018</v>
      </c>
      <c r="S246" s="30">
        <v>2020</v>
      </c>
      <c r="T246" s="32"/>
      <c r="U246" s="32"/>
      <c r="V246" s="32"/>
      <c r="W246" s="32"/>
      <c r="X246" s="32">
        <f>Inventory[[#This Row],[Bsmt Area]]-Inventory[[#This Row],[FnBsmt]]</f>
        <v>0</v>
      </c>
      <c r="Y246" s="32">
        <f>Inventory[[#This Row],[MainFn]]+Inventory[[#This Row],[UpprFn]]+Inventory[[#This Row],[AddFn]]+Inventory[[#This Row],[FnBsmt]]</f>
        <v>2020</v>
      </c>
      <c r="Z246" s="32">
        <v>2500</v>
      </c>
      <c r="AA246" s="31" t="s">
        <v>56</v>
      </c>
      <c r="AB246" s="32"/>
      <c r="AC246" s="38">
        <v>670</v>
      </c>
      <c r="AD246" s="32"/>
      <c r="AE246" s="32"/>
      <c r="AF246" s="32"/>
      <c r="AG246" s="32"/>
      <c r="AH246" s="32"/>
      <c r="AI246" s="30">
        <v>447220</v>
      </c>
      <c r="AJ246" s="30">
        <v>429331</v>
      </c>
      <c r="AK246" s="30">
        <v>0</v>
      </c>
      <c r="AL246" s="30">
        <v>0</v>
      </c>
      <c r="AM246" s="30">
        <v>61700</v>
      </c>
      <c r="AN246" s="30">
        <v>366700</v>
      </c>
      <c r="AO246" s="30">
        <v>428400</v>
      </c>
      <c r="AP246" s="30">
        <f>Lookups!$B$58*0.6</f>
        <v>132535.48800000001</v>
      </c>
      <c r="AQ246" s="30">
        <f>Lookups!$B$58*0.4</f>
        <v>88356.992000000013</v>
      </c>
      <c r="AR246" s="30">
        <f>Lookups!$B$59*Inventory[[#This Row],[LnAcres]]</f>
        <v>-23647.530262837776</v>
      </c>
      <c r="AS246" s="30">
        <f>VLOOKUP(Inventory[[#This Row],[Qlty]],Lookups!$A$66:$E$79,2,FALSE)</f>
        <v>32917.849192000001</v>
      </c>
      <c r="AT246" s="30">
        <f>VLOOKUP(Inventory[[#This Row],[Cnd]],Lookups!$A$80:$E$88,2,FALSE)</f>
        <v>50438.379078999998</v>
      </c>
      <c r="AU246" s="30">
        <f>Inventory[[#This Row],[EffAge]]*Lookups!$B$65</f>
        <v>-652.44659999999999</v>
      </c>
      <c r="AV246" s="30">
        <f>Inventory[[#This Row],[MainFn]]*Lookups!$B$90</f>
        <v>126068.9676</v>
      </c>
      <c r="AW246" s="30">
        <f>Inventory[[#This Row],[UpprFn]]*Lookups!$B$91</f>
        <v>0</v>
      </c>
      <c r="AX246" s="30">
        <f>Inventory[[#This Row],[Bsmt Area]]*Lookups!$B$95</f>
        <v>0</v>
      </c>
      <c r="AY246" s="30">
        <f>Inventory[[#This Row],[AttGar]]*Lookups!$B$93</f>
        <v>23651.690770000001</v>
      </c>
      <c r="AZ246" s="30">
        <f>ROUND(Inventory[[#This Row],[25Det]],-2)</f>
        <v>0</v>
      </c>
      <c r="BA246" s="30">
        <f>ROUND(SUM(Inventory[[#This Row],[Mdl Qlty]:[Mdl Garage Area]])+Inventory[[#This Row],[Mdl Res Intercept]],-2)</f>
        <v>365000</v>
      </c>
      <c r="BB246" s="30">
        <f>ROUND(Inventory[[#This Row],[Mdl Land Intercept]]+Inventory[[#This Row],[Mdl LnAcres]],-2)</f>
        <v>64700</v>
      </c>
      <c r="BC246" s="30">
        <f>Inventory[[#This Row],[Unadj Res Value]]+Inventory[[#This Row],[Unadj Det Value]]+Inventory[[#This Row],[Unadj Land Value]]</f>
        <v>429700</v>
      </c>
      <c r="BD246" s="30">
        <f>(Inventory[[#This Row],[Unadj Total Value]]-Inventory[[#This Row],[24Final]])/Inventory[[#This Row],[24Final]]</f>
        <v>3.0345471521942111E-3</v>
      </c>
      <c r="BE246" s="30">
        <f>VLOOKUP(Inventory[[#This Row],[Nbhd]],Lookups!$M$3:$P$5,4,FALSE)</f>
        <v>0.99970000000000003</v>
      </c>
      <c r="BF246" s="30">
        <f>VLOOKUP(Inventory[[#This Row],[Qlty]],Lookups!$M$8:$P$22,4,FALSE)</f>
        <v>1.0019</v>
      </c>
      <c r="BG246" s="30">
        <f>VLOOKUP(Inventory[[#This Row],[Cnd]],Lookups!$R$8:$U$17,4,FALSE)</f>
        <v>1.0007999999999999</v>
      </c>
      <c r="BH246" s="30">
        <f>VLOOKUP(Inventory[[#This Row],[LivArea Range]],Lookups!$R$25:$U$43,4,FALSE)</f>
        <v>1.0008999999999999</v>
      </c>
      <c r="BI246" s="30">
        <f>VLOOKUP(Inventory[[#This Row],[Decade]],Lookups!$M$24:$P$40,4,FALSE)</f>
        <v>1</v>
      </c>
      <c r="BJ246" s="30">
        <f>Inventory[[#This Row],[Nbhd Adj]]*0.95</f>
        <v>0.94971499999999998</v>
      </c>
      <c r="BK246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246" s="30">
        <f>ROUND((SUM(Inventory[[#This Row],[Mdl Qlty]:[Mdl Garage Area]])+Inventory[[#This Row],[Mdl Res Intercept]])*Inventory[[#This Row],[Res Adj ]],-2)</f>
        <v>346900</v>
      </c>
      <c r="BM246" s="30">
        <f>ROUND(Inventory[[#This Row],[25Det]]*Inventory[[#This Row],[Det/Nbhd Adj]],-2)</f>
        <v>0</v>
      </c>
      <c r="BN246" s="30">
        <f>Inventory[[#This Row],[Adjusted Res]]+Inventory[[#This Row],[Adj Det ]]</f>
        <v>346900</v>
      </c>
      <c r="BO246" s="30">
        <f>ROUND((Inventory[[#This Row],[Mdl Land Intercept]]+Inventory[[#This Row],[Mdl LnAcres]])*Inventory[[#This Row],[Det/Nbhd Adj]],-2)</f>
        <v>61500</v>
      </c>
      <c r="BP246" s="30">
        <f>Inventory[[#This Row],[Adjusted Impr Total]]+Inventory[[#This Row],[Adjusted Land Total]]</f>
        <v>408400</v>
      </c>
      <c r="BQ246" s="30">
        <f>IFERROR((Inventory[[#This Row],[Adjusted Impr Total]]-Inventory[[#This Row],[24Bldg]])/Inventory[[#This Row],[24Bldg]],0)</f>
        <v>-5.3995091355331336E-2</v>
      </c>
      <c r="BR246" s="43">
        <f>(Inventory[[#This Row],[Adjusted Land Total]]-Inventory[[#This Row],[24Lnd]])/Inventory[[#This Row],[24Lnd]]</f>
        <v>-3.2414910858995136E-3</v>
      </c>
      <c r="BS246" s="43">
        <f>(Inventory[[#This Row],[Adjusted Total]]-Inventory[[#This Row],[24Final]])/Inventory[[#This Row],[24Final]]</f>
        <v>-4.6685340802987862E-2</v>
      </c>
    </row>
    <row r="247" spans="1:71">
      <c r="A247" s="30">
        <v>2025</v>
      </c>
      <c r="B247" s="31" t="s">
        <v>756</v>
      </c>
      <c r="C247" s="31">
        <f>LN(Inventory[[#This Row],[Acres]])</f>
        <v>-1.8018098050815563</v>
      </c>
      <c r="D247" s="37">
        <f>ROUND(Inventory[[#This Row],[Sqft]]/43560,3)</f>
        <v>0.16500000000000001</v>
      </c>
      <c r="E247" s="30">
        <v>7200</v>
      </c>
      <c r="F247" s="31" t="s">
        <v>505</v>
      </c>
      <c r="G247" s="31" t="s">
        <v>155</v>
      </c>
      <c r="H247" s="31" t="s">
        <v>5</v>
      </c>
      <c r="I247" s="31" t="s">
        <v>506</v>
      </c>
      <c r="J247" s="31" t="s">
        <v>507</v>
      </c>
      <c r="K247" s="31" t="s">
        <v>330</v>
      </c>
      <c r="L247" s="31" t="s">
        <v>21</v>
      </c>
      <c r="M247" s="31" t="s">
        <v>22</v>
      </c>
      <c r="N247" s="31">
        <v>0</v>
      </c>
      <c r="O247" s="31">
        <f>2024-Inventory[[#This Row],[YrBlt]]</f>
        <v>6</v>
      </c>
      <c r="P247" s="31">
        <f>2024-Inventory[[#This Row],[EffYr]]</f>
        <v>6</v>
      </c>
      <c r="Q247" s="30">
        <v>2018</v>
      </c>
      <c r="R247" s="30">
        <v>2018</v>
      </c>
      <c r="S247" s="30">
        <v>1126</v>
      </c>
      <c r="T247" s="38">
        <v>1126</v>
      </c>
      <c r="U247" s="32"/>
      <c r="V247" s="32"/>
      <c r="W247" s="32"/>
      <c r="X247" s="32">
        <f>Inventory[[#This Row],[Bsmt Area]]-Inventory[[#This Row],[FnBsmt]]</f>
        <v>0</v>
      </c>
      <c r="Y247" s="32">
        <f>Inventory[[#This Row],[MainFn]]+Inventory[[#This Row],[UpprFn]]+Inventory[[#This Row],[AddFn]]+Inventory[[#This Row],[FnBsmt]]</f>
        <v>2252</v>
      </c>
      <c r="Z247" s="32">
        <v>2500</v>
      </c>
      <c r="AA247" s="31" t="s">
        <v>56</v>
      </c>
      <c r="AB247" s="32"/>
      <c r="AC247" s="38">
        <v>440</v>
      </c>
      <c r="AD247" s="32"/>
      <c r="AE247" s="32"/>
      <c r="AF247" s="32"/>
      <c r="AG247" s="32"/>
      <c r="AH247" s="32"/>
      <c r="AI247" s="30">
        <v>448061</v>
      </c>
      <c r="AJ247" s="30">
        <v>430139</v>
      </c>
      <c r="AK247" s="30">
        <v>0</v>
      </c>
      <c r="AL247" s="30">
        <v>0</v>
      </c>
      <c r="AM247" s="30">
        <v>61700</v>
      </c>
      <c r="AN247" s="30">
        <v>366500</v>
      </c>
      <c r="AO247" s="30">
        <v>428200</v>
      </c>
      <c r="AP247" s="30">
        <f>Lookups!$B$58*0.6</f>
        <v>132535.48800000001</v>
      </c>
      <c r="AQ247" s="30">
        <f>Lookups!$B$58*0.4</f>
        <v>88356.992000000013</v>
      </c>
      <c r="AR247" s="30">
        <f>Lookups!$B$59*Inventory[[#This Row],[LnAcres]]</f>
        <v>-23647.530262837776</v>
      </c>
      <c r="AS247" s="30">
        <f>VLOOKUP(Inventory[[#This Row],[Qlty]],Lookups!$A$66:$E$79,2,FALSE)</f>
        <v>32917.849192000001</v>
      </c>
      <c r="AT247" s="30">
        <f>VLOOKUP(Inventory[[#This Row],[Cnd]],Lookups!$A$80:$E$88,2,FALSE)</f>
        <v>50438.379078999998</v>
      </c>
      <c r="AU247" s="30">
        <f>Inventory[[#This Row],[EffAge]]*Lookups!$B$65</f>
        <v>-652.44659999999999</v>
      </c>
      <c r="AV247" s="30">
        <f>Inventory[[#This Row],[MainFn]]*Lookups!$B$90</f>
        <v>70274.087880000006</v>
      </c>
      <c r="AW247" s="30">
        <f>Inventory[[#This Row],[UpprFn]]*Lookups!$B$91</f>
        <v>67087.511257999999</v>
      </c>
      <c r="AX247" s="30">
        <f>Inventory[[#This Row],[Bsmt Area]]*Lookups!$B$95</f>
        <v>0</v>
      </c>
      <c r="AY247" s="30">
        <f>Inventory[[#This Row],[AttGar]]*Lookups!$B$93</f>
        <v>15532.453640000002</v>
      </c>
      <c r="AZ247" s="30">
        <f>ROUND(Inventory[[#This Row],[25Det]],-2)</f>
        <v>0</v>
      </c>
      <c r="BA247" s="30">
        <f>ROUND(SUM(Inventory[[#This Row],[Mdl Qlty]:[Mdl Garage Area]])+Inventory[[#This Row],[Mdl Res Intercept]],-2)</f>
        <v>368100</v>
      </c>
      <c r="BB247" s="30">
        <f>ROUND(Inventory[[#This Row],[Mdl Land Intercept]]+Inventory[[#This Row],[Mdl LnAcres]],-2)</f>
        <v>64700</v>
      </c>
      <c r="BC247" s="30">
        <f>Inventory[[#This Row],[Unadj Res Value]]+Inventory[[#This Row],[Unadj Det Value]]+Inventory[[#This Row],[Unadj Land Value]]</f>
        <v>432800</v>
      </c>
      <c r="BD247" s="30">
        <f>(Inventory[[#This Row],[Unadj Total Value]]-Inventory[[#This Row],[24Final]])/Inventory[[#This Row],[24Final]]</f>
        <v>1.0742643624474545E-2</v>
      </c>
      <c r="BE247" s="30">
        <f>VLOOKUP(Inventory[[#This Row],[Nbhd]],Lookups!$M$3:$P$5,4,FALSE)</f>
        <v>0.99970000000000003</v>
      </c>
      <c r="BF247" s="30">
        <f>VLOOKUP(Inventory[[#This Row],[Qlty]],Lookups!$M$8:$P$22,4,FALSE)</f>
        <v>1.0019</v>
      </c>
      <c r="BG247" s="30">
        <f>VLOOKUP(Inventory[[#This Row],[Cnd]],Lookups!$R$8:$U$17,4,FALSE)</f>
        <v>1.0007999999999999</v>
      </c>
      <c r="BH247" s="30">
        <f>VLOOKUP(Inventory[[#This Row],[LivArea Range]],Lookups!$R$25:$U$43,4,FALSE)</f>
        <v>1.0008999999999999</v>
      </c>
      <c r="BI247" s="30">
        <f>VLOOKUP(Inventory[[#This Row],[Decade]],Lookups!$M$24:$P$40,4,FALSE)</f>
        <v>1</v>
      </c>
      <c r="BJ247" s="30">
        <f>Inventory[[#This Row],[Nbhd Adj]]*0.95</f>
        <v>0.94971499999999998</v>
      </c>
      <c r="BK247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247" s="30">
        <f>ROUND((SUM(Inventory[[#This Row],[Mdl Qlty]:[Mdl Garage Area]])+Inventory[[#This Row],[Mdl Res Intercept]])*Inventory[[#This Row],[Res Adj ]],-2)</f>
        <v>350000</v>
      </c>
      <c r="BM247" s="30">
        <f>ROUND(Inventory[[#This Row],[25Det]]*Inventory[[#This Row],[Det/Nbhd Adj]],-2)</f>
        <v>0</v>
      </c>
      <c r="BN247" s="30">
        <f>Inventory[[#This Row],[Adjusted Res]]+Inventory[[#This Row],[Adj Det ]]</f>
        <v>350000</v>
      </c>
      <c r="BO247" s="30">
        <f>ROUND((Inventory[[#This Row],[Mdl Land Intercept]]+Inventory[[#This Row],[Mdl LnAcres]])*Inventory[[#This Row],[Det/Nbhd Adj]],-2)</f>
        <v>61500</v>
      </c>
      <c r="BP247" s="30">
        <f>Inventory[[#This Row],[Adjusted Impr Total]]+Inventory[[#This Row],[Adjusted Land Total]]</f>
        <v>411500</v>
      </c>
      <c r="BQ247" s="30">
        <f>IFERROR((Inventory[[#This Row],[Adjusted Impr Total]]-Inventory[[#This Row],[24Bldg]])/Inventory[[#This Row],[24Bldg]],0)</f>
        <v>-4.5020463847203276E-2</v>
      </c>
      <c r="BR247" s="43">
        <f>(Inventory[[#This Row],[Adjusted Land Total]]-Inventory[[#This Row],[24Lnd]])/Inventory[[#This Row],[24Lnd]]</f>
        <v>-3.2414910858995136E-3</v>
      </c>
      <c r="BS247" s="43">
        <f>(Inventory[[#This Row],[Adjusted Total]]-Inventory[[#This Row],[24Final]])/Inventory[[#This Row],[24Final]]</f>
        <v>-3.9000467071461931E-2</v>
      </c>
    </row>
    <row r="248" spans="1:71">
      <c r="A248" s="30">
        <v>2025</v>
      </c>
      <c r="B248" s="31" t="s">
        <v>757</v>
      </c>
      <c r="C248" s="31">
        <f>LN(Inventory[[#This Row],[Acres]])</f>
        <v>-1.8018098050815563</v>
      </c>
      <c r="D248" s="37">
        <f>ROUND(Inventory[[#This Row],[Sqft]]/43560,3)</f>
        <v>0.16500000000000001</v>
      </c>
      <c r="E248" s="30">
        <v>7200</v>
      </c>
      <c r="F248" s="31" t="s">
        <v>505</v>
      </c>
      <c r="G248" s="31" t="s">
        <v>155</v>
      </c>
      <c r="H248" s="31" t="s">
        <v>5</v>
      </c>
      <c r="I248" s="31" t="s">
        <v>506</v>
      </c>
      <c r="J248" s="31" t="s">
        <v>507</v>
      </c>
      <c r="K248" s="31" t="s">
        <v>330</v>
      </c>
      <c r="L248" s="31" t="s">
        <v>21</v>
      </c>
      <c r="M248" s="31" t="s">
        <v>22</v>
      </c>
      <c r="N248" s="31">
        <v>0</v>
      </c>
      <c r="O248" s="31">
        <f>2024-Inventory[[#This Row],[YrBlt]]</f>
        <v>6</v>
      </c>
      <c r="P248" s="31">
        <f>2024-Inventory[[#This Row],[EffYr]]</f>
        <v>6</v>
      </c>
      <c r="Q248" s="30">
        <v>2018</v>
      </c>
      <c r="R248" s="30">
        <v>2018</v>
      </c>
      <c r="S248" s="30">
        <v>1706</v>
      </c>
      <c r="T248" s="32"/>
      <c r="U248" s="32"/>
      <c r="V248" s="32"/>
      <c r="W248" s="32"/>
      <c r="X248" s="32">
        <f>Inventory[[#This Row],[Bsmt Area]]-Inventory[[#This Row],[FnBsmt]]</f>
        <v>0</v>
      </c>
      <c r="Y248" s="32">
        <f>Inventory[[#This Row],[MainFn]]+Inventory[[#This Row],[UpprFn]]+Inventory[[#This Row],[AddFn]]+Inventory[[#This Row],[FnBsmt]]</f>
        <v>1706</v>
      </c>
      <c r="Z248" s="32">
        <v>2000</v>
      </c>
      <c r="AA248" s="31" t="s">
        <v>56</v>
      </c>
      <c r="AB248" s="37"/>
      <c r="AC248" s="30">
        <v>441</v>
      </c>
      <c r="AD248" s="32"/>
      <c r="AE248" s="32"/>
      <c r="AF248" s="32"/>
      <c r="AG248" s="32"/>
      <c r="AH248" s="32"/>
      <c r="AI248" s="30">
        <v>373726</v>
      </c>
      <c r="AJ248" s="30">
        <v>358777</v>
      </c>
      <c r="AK248" s="30">
        <v>0</v>
      </c>
      <c r="AL248" s="30">
        <v>0</v>
      </c>
      <c r="AM248" s="30">
        <v>61700</v>
      </c>
      <c r="AN248" s="30">
        <v>333200</v>
      </c>
      <c r="AO248" s="30">
        <v>394900</v>
      </c>
      <c r="AP248" s="30">
        <f>Lookups!$B$58*0.6</f>
        <v>132535.48800000001</v>
      </c>
      <c r="AQ248" s="30">
        <f>Lookups!$B$58*0.4</f>
        <v>88356.992000000013</v>
      </c>
      <c r="AR248" s="30">
        <f>Lookups!$B$59*Inventory[[#This Row],[LnAcres]]</f>
        <v>-23647.530262837776</v>
      </c>
      <c r="AS248" s="30">
        <f>VLOOKUP(Inventory[[#This Row],[Qlty]],Lookups!$A$66:$E$79,2,FALSE)</f>
        <v>32917.849192000001</v>
      </c>
      <c r="AT248" s="30">
        <f>VLOOKUP(Inventory[[#This Row],[Cnd]],Lookups!$A$80:$E$88,2,FALSE)</f>
        <v>50438.379078999998</v>
      </c>
      <c r="AU248" s="30">
        <f>Inventory[[#This Row],[EffAge]]*Lookups!$B$65</f>
        <v>-652.44659999999999</v>
      </c>
      <c r="AV248" s="30">
        <f>Inventory[[#This Row],[MainFn]]*Lookups!$B$90</f>
        <v>106472.10828</v>
      </c>
      <c r="AW248" s="30">
        <f>Inventory[[#This Row],[UpprFn]]*Lookups!$B$91</f>
        <v>0</v>
      </c>
      <c r="AX248" s="30">
        <f>Inventory[[#This Row],[Bsmt Area]]*Lookups!$B$95</f>
        <v>0</v>
      </c>
      <c r="AY248" s="30">
        <f>Inventory[[#This Row],[AttGar]]*Lookups!$B$93</f>
        <v>15567.754671000001</v>
      </c>
      <c r="AZ248" s="30">
        <f>ROUND(Inventory[[#This Row],[25Det]],-2)</f>
        <v>0</v>
      </c>
      <c r="BA248" s="30">
        <f>ROUND(SUM(Inventory[[#This Row],[Mdl Qlty]:[Mdl Garage Area]])+Inventory[[#This Row],[Mdl Res Intercept]],-2)</f>
        <v>337300</v>
      </c>
      <c r="BB248" s="30">
        <f>ROUND(Inventory[[#This Row],[Mdl Land Intercept]]+Inventory[[#This Row],[Mdl LnAcres]],-2)</f>
        <v>64700</v>
      </c>
      <c r="BC248" s="30">
        <f>Inventory[[#This Row],[Unadj Res Value]]+Inventory[[#This Row],[Unadj Det Value]]+Inventory[[#This Row],[Unadj Land Value]]</f>
        <v>402000</v>
      </c>
      <c r="BD248" s="30">
        <f>(Inventory[[#This Row],[Unadj Total Value]]-Inventory[[#This Row],[24Final]])/Inventory[[#This Row],[24Final]]</f>
        <v>1.7979235249430237E-2</v>
      </c>
      <c r="BE248" s="30">
        <f>VLOOKUP(Inventory[[#This Row],[Nbhd]],Lookups!$M$3:$P$5,4,FALSE)</f>
        <v>0.99970000000000003</v>
      </c>
      <c r="BF248" s="30">
        <f>VLOOKUP(Inventory[[#This Row],[Qlty]],Lookups!$M$8:$P$22,4,FALSE)</f>
        <v>1.0019</v>
      </c>
      <c r="BG248" s="30">
        <f>VLOOKUP(Inventory[[#This Row],[Cnd]],Lookups!$R$8:$U$17,4,FALSE)</f>
        <v>1.0007999999999999</v>
      </c>
      <c r="BH248" s="30">
        <f>VLOOKUP(Inventory[[#This Row],[LivArea Range]],Lookups!$R$25:$U$43,4,FALSE)</f>
        <v>1.0007999999999999</v>
      </c>
      <c r="BI248" s="30">
        <f>VLOOKUP(Inventory[[#This Row],[Decade]],Lookups!$M$24:$P$40,4,FALSE)</f>
        <v>1</v>
      </c>
      <c r="BJ248" s="30">
        <f>Inventory[[#This Row],[Nbhd Adj]]*0.95</f>
        <v>0.94971499999999998</v>
      </c>
      <c r="BK248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248" s="30">
        <f>ROUND((SUM(Inventory[[#This Row],[Mdl Qlty]:[Mdl Garage Area]])+Inventory[[#This Row],[Mdl Res Intercept]])*Inventory[[#This Row],[Res Adj ]],-2)</f>
        <v>320600</v>
      </c>
      <c r="BM248" s="30">
        <f>ROUND(Inventory[[#This Row],[25Det]]*Inventory[[#This Row],[Det/Nbhd Adj]],-2)</f>
        <v>0</v>
      </c>
      <c r="BN248" s="30">
        <f>Inventory[[#This Row],[Adjusted Res]]+Inventory[[#This Row],[Adj Det ]]</f>
        <v>320600</v>
      </c>
      <c r="BO248" s="30">
        <f>ROUND((Inventory[[#This Row],[Mdl Land Intercept]]+Inventory[[#This Row],[Mdl LnAcres]])*Inventory[[#This Row],[Det/Nbhd Adj]],-2)</f>
        <v>61500</v>
      </c>
      <c r="BP248" s="30">
        <f>Inventory[[#This Row],[Adjusted Impr Total]]+Inventory[[#This Row],[Adjusted Land Total]]</f>
        <v>382100</v>
      </c>
      <c r="BQ248" s="30">
        <f>IFERROR((Inventory[[#This Row],[Adjusted Impr Total]]-Inventory[[#This Row],[24Bldg]])/Inventory[[#This Row],[24Bldg]],0)</f>
        <v>-3.7815126050420166E-2</v>
      </c>
      <c r="BR248" s="43">
        <f>(Inventory[[#This Row],[Adjusted Land Total]]-Inventory[[#This Row],[24Lnd]])/Inventory[[#This Row],[24Lnd]]</f>
        <v>-3.2414910858995136E-3</v>
      </c>
      <c r="BS248" s="43">
        <f>(Inventory[[#This Row],[Adjusted Total]]-Inventory[[#This Row],[24Final]])/Inventory[[#This Row],[24Final]]</f>
        <v>-3.2413269182071408E-2</v>
      </c>
    </row>
    <row r="249" spans="1:71">
      <c r="A249" s="30">
        <v>2025</v>
      </c>
      <c r="B249" s="31" t="s">
        <v>758</v>
      </c>
      <c r="C249" s="31">
        <f>LN(Inventory[[#This Row],[Acres]])</f>
        <v>-1.8018098050815563</v>
      </c>
      <c r="D249" s="37">
        <f>ROUND(Inventory[[#This Row],[Sqft]]/43560,3)</f>
        <v>0.16500000000000001</v>
      </c>
      <c r="E249" s="30">
        <v>7200</v>
      </c>
      <c r="F249" s="31" t="s">
        <v>505</v>
      </c>
      <c r="G249" s="31" t="s">
        <v>155</v>
      </c>
      <c r="H249" s="31" t="s">
        <v>5</v>
      </c>
      <c r="I249" s="31" t="s">
        <v>506</v>
      </c>
      <c r="J249" s="31" t="s">
        <v>507</v>
      </c>
      <c r="K249" s="31" t="s">
        <v>330</v>
      </c>
      <c r="L249" s="31" t="s">
        <v>19</v>
      </c>
      <c r="M249" s="31" t="s">
        <v>22</v>
      </c>
      <c r="N249" s="31">
        <v>0</v>
      </c>
      <c r="O249" s="31">
        <f>2024-Inventory[[#This Row],[YrBlt]]</f>
        <v>6</v>
      </c>
      <c r="P249" s="31">
        <f>2024-Inventory[[#This Row],[EffYr]]</f>
        <v>6</v>
      </c>
      <c r="Q249" s="30">
        <v>2018</v>
      </c>
      <c r="R249" s="30">
        <v>2018</v>
      </c>
      <c r="S249" s="30">
        <v>1687</v>
      </c>
      <c r="T249" s="32"/>
      <c r="U249" s="32"/>
      <c r="V249" s="32"/>
      <c r="W249" s="32"/>
      <c r="X249" s="32">
        <f>Inventory[[#This Row],[Bsmt Area]]-Inventory[[#This Row],[FnBsmt]]</f>
        <v>0</v>
      </c>
      <c r="Y249" s="32">
        <f>Inventory[[#This Row],[MainFn]]+Inventory[[#This Row],[UpprFn]]+Inventory[[#This Row],[AddFn]]+Inventory[[#This Row],[FnBsmt]]</f>
        <v>1687</v>
      </c>
      <c r="Z249" s="32">
        <v>2000</v>
      </c>
      <c r="AA249" s="31" t="s">
        <v>56</v>
      </c>
      <c r="AB249" s="32"/>
      <c r="AC249" s="38">
        <v>681</v>
      </c>
      <c r="AD249" s="32"/>
      <c r="AE249" s="32"/>
      <c r="AF249" s="32"/>
      <c r="AG249" s="32"/>
      <c r="AH249" s="32"/>
      <c r="AI249" s="30">
        <v>338142</v>
      </c>
      <c r="AJ249" s="30">
        <v>327998</v>
      </c>
      <c r="AK249" s="30">
        <v>0</v>
      </c>
      <c r="AL249" s="30">
        <v>0</v>
      </c>
      <c r="AM249" s="30">
        <v>61700</v>
      </c>
      <c r="AN249" s="30">
        <v>337400</v>
      </c>
      <c r="AO249" s="30">
        <v>399100</v>
      </c>
      <c r="AP249" s="30">
        <f>Lookups!$B$58*0.6</f>
        <v>132535.48800000001</v>
      </c>
      <c r="AQ249" s="30">
        <f>Lookups!$B$58*0.4</f>
        <v>88356.992000000013</v>
      </c>
      <c r="AR249" s="30">
        <f>Lookups!$B$59*Inventory[[#This Row],[LnAcres]]</f>
        <v>-23647.530262837776</v>
      </c>
      <c r="AS249" s="30">
        <f>VLOOKUP(Inventory[[#This Row],[Qlty]],Lookups!$A$66:$E$79,2,FALSE)</f>
        <v>37154.252388000001</v>
      </c>
      <c r="AT249" s="30">
        <f>VLOOKUP(Inventory[[#This Row],[Cnd]],Lookups!$A$80:$E$88,2,FALSE)</f>
        <v>50438.379078999998</v>
      </c>
      <c r="AU249" s="30">
        <f>Inventory[[#This Row],[EffAge]]*Lookups!$B$65</f>
        <v>-652.44659999999999</v>
      </c>
      <c r="AV249" s="30">
        <f>Inventory[[#This Row],[MainFn]]*Lookups!$B$90</f>
        <v>105286.31106000001</v>
      </c>
      <c r="AW249" s="30">
        <f>Inventory[[#This Row],[UpprFn]]*Lookups!$B$91</f>
        <v>0</v>
      </c>
      <c r="AX249" s="30">
        <f>Inventory[[#This Row],[Bsmt Area]]*Lookups!$B$95</f>
        <v>0</v>
      </c>
      <c r="AY249" s="30">
        <f>Inventory[[#This Row],[AttGar]]*Lookups!$B$93</f>
        <v>24040.002111000002</v>
      </c>
      <c r="AZ249" s="30">
        <f>ROUND(Inventory[[#This Row],[25Det]],-2)</f>
        <v>0</v>
      </c>
      <c r="BA249" s="30">
        <f>ROUND(SUM(Inventory[[#This Row],[Mdl Qlty]:[Mdl Garage Area]])+Inventory[[#This Row],[Mdl Res Intercept]],-2)</f>
        <v>348800</v>
      </c>
      <c r="BB249" s="30">
        <f>ROUND(Inventory[[#This Row],[Mdl Land Intercept]]+Inventory[[#This Row],[Mdl LnAcres]],-2)</f>
        <v>64700</v>
      </c>
      <c r="BC249" s="30">
        <f>Inventory[[#This Row],[Unadj Res Value]]+Inventory[[#This Row],[Unadj Det Value]]+Inventory[[#This Row],[Unadj Land Value]]</f>
        <v>413500</v>
      </c>
      <c r="BD249" s="30">
        <f>(Inventory[[#This Row],[Unadj Total Value]]-Inventory[[#This Row],[24Final]])/Inventory[[#This Row],[24Final]]</f>
        <v>3.608118266098722E-2</v>
      </c>
      <c r="BE249" s="30">
        <f>VLOOKUP(Inventory[[#This Row],[Nbhd]],Lookups!$M$3:$P$5,4,FALSE)</f>
        <v>0.99970000000000003</v>
      </c>
      <c r="BF249" s="30">
        <f>VLOOKUP(Inventory[[#This Row],[Qlty]],Lookups!$M$8:$P$22,4,FALSE)</f>
        <v>0.99819999999999998</v>
      </c>
      <c r="BG249" s="30">
        <f>VLOOKUP(Inventory[[#This Row],[Cnd]],Lookups!$R$8:$U$17,4,FALSE)</f>
        <v>1.0007999999999999</v>
      </c>
      <c r="BH249" s="30">
        <f>VLOOKUP(Inventory[[#This Row],[LivArea Range]],Lookups!$R$25:$U$43,4,FALSE)</f>
        <v>1.0007999999999999</v>
      </c>
      <c r="BI249" s="30">
        <f>VLOOKUP(Inventory[[#This Row],[Decade]],Lookups!$M$24:$P$40,4,FALSE)</f>
        <v>1</v>
      </c>
      <c r="BJ249" s="30">
        <f>Inventory[[#This Row],[Nbhd Adj]]*0.95</f>
        <v>0.94971499999999998</v>
      </c>
      <c r="BK249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249" s="30">
        <f>ROUND((SUM(Inventory[[#This Row],[Mdl Qlty]:[Mdl Garage Area]])+Inventory[[#This Row],[Mdl Res Intercept]])*Inventory[[#This Row],[Res Adj ]],-2)</f>
        <v>331300</v>
      </c>
      <c r="BM249" s="30">
        <f>ROUND(Inventory[[#This Row],[25Det]]*Inventory[[#This Row],[Det/Nbhd Adj]],-2)</f>
        <v>0</v>
      </c>
      <c r="BN249" s="30">
        <f>Inventory[[#This Row],[Adjusted Res]]+Inventory[[#This Row],[Adj Det ]]</f>
        <v>331300</v>
      </c>
      <c r="BO249" s="30">
        <f>ROUND((Inventory[[#This Row],[Mdl Land Intercept]]+Inventory[[#This Row],[Mdl LnAcres]])*Inventory[[#This Row],[Det/Nbhd Adj]],-2)</f>
        <v>61500</v>
      </c>
      <c r="BP249" s="30">
        <f>Inventory[[#This Row],[Adjusted Impr Total]]+Inventory[[#This Row],[Adjusted Land Total]]</f>
        <v>392800</v>
      </c>
      <c r="BQ249" s="30">
        <f>IFERROR((Inventory[[#This Row],[Adjusted Impr Total]]-Inventory[[#This Row],[24Bldg]])/Inventory[[#This Row],[24Bldg]],0)</f>
        <v>-1.8079430942501484E-2</v>
      </c>
      <c r="BR249" s="43">
        <f>(Inventory[[#This Row],[Adjusted Land Total]]-Inventory[[#This Row],[24Lnd]])/Inventory[[#This Row],[24Lnd]]</f>
        <v>-3.2414910858995136E-3</v>
      </c>
      <c r="BS249" s="43">
        <f>(Inventory[[#This Row],[Adjusted Total]]-Inventory[[#This Row],[24Final]])/Inventory[[#This Row],[24Final]]</f>
        <v>-1.578551741418191E-2</v>
      </c>
    </row>
    <row r="250" spans="1:71">
      <c r="A250" s="30">
        <v>2025</v>
      </c>
      <c r="B250" s="31" t="s">
        <v>759</v>
      </c>
      <c r="C250" s="31">
        <f>LN(Inventory[[#This Row],[Acres]])</f>
        <v>-1.7897614665653818</v>
      </c>
      <c r="D250" s="37">
        <f>ROUND(Inventory[[#This Row],[Sqft]]/43560,3)</f>
        <v>0.16700000000000001</v>
      </c>
      <c r="E250" s="30">
        <v>7279</v>
      </c>
      <c r="F250" s="31" t="s">
        <v>505</v>
      </c>
      <c r="G250" s="31" t="s">
        <v>155</v>
      </c>
      <c r="H250" s="31" t="s">
        <v>5</v>
      </c>
      <c r="I250" s="31" t="s">
        <v>506</v>
      </c>
      <c r="J250" s="31" t="s">
        <v>507</v>
      </c>
      <c r="K250" s="31" t="s">
        <v>330</v>
      </c>
      <c r="L250" s="31" t="s">
        <v>21</v>
      </c>
      <c r="M250" s="31" t="s">
        <v>22</v>
      </c>
      <c r="N250" s="31">
        <v>0</v>
      </c>
      <c r="O250" s="31">
        <f>2024-Inventory[[#This Row],[YrBlt]]</f>
        <v>6</v>
      </c>
      <c r="P250" s="31">
        <f>2024-Inventory[[#This Row],[EffYr]]</f>
        <v>6</v>
      </c>
      <c r="Q250" s="30">
        <v>2018</v>
      </c>
      <c r="R250" s="30">
        <v>2018</v>
      </c>
      <c r="S250" s="30">
        <v>1756</v>
      </c>
      <c r="T250" s="32"/>
      <c r="U250" s="32"/>
      <c r="V250" s="32"/>
      <c r="W250" s="32"/>
      <c r="X250" s="32">
        <f>Inventory[[#This Row],[Bsmt Area]]-Inventory[[#This Row],[FnBsmt]]</f>
        <v>0</v>
      </c>
      <c r="Y250" s="32">
        <f>Inventory[[#This Row],[MainFn]]+Inventory[[#This Row],[UpprFn]]+Inventory[[#This Row],[AddFn]]+Inventory[[#This Row],[FnBsmt]]</f>
        <v>1756</v>
      </c>
      <c r="Z250" s="32">
        <v>2000</v>
      </c>
      <c r="AA250" s="31" t="s">
        <v>56</v>
      </c>
      <c r="AB250" s="32"/>
      <c r="AC250" s="38">
        <v>441</v>
      </c>
      <c r="AD250" s="32"/>
      <c r="AE250" s="32"/>
      <c r="AF250" s="32"/>
      <c r="AG250" s="32"/>
      <c r="AH250" s="32"/>
      <c r="AI250" s="30">
        <v>379912</v>
      </c>
      <c r="AJ250" s="30">
        <v>364716</v>
      </c>
      <c r="AK250" s="30">
        <v>0</v>
      </c>
      <c r="AL250" s="30">
        <v>0</v>
      </c>
      <c r="AM250" s="30">
        <v>61700</v>
      </c>
      <c r="AN250" s="30">
        <v>326700</v>
      </c>
      <c r="AO250" s="30">
        <v>388400</v>
      </c>
      <c r="AP250" s="30">
        <f>Lookups!$B$58*0.6</f>
        <v>132535.48800000001</v>
      </c>
      <c r="AQ250" s="30">
        <f>Lookups!$B$58*0.4</f>
        <v>88356.992000000013</v>
      </c>
      <c r="AR250" s="30">
        <f>Lookups!$B$59*Inventory[[#This Row],[LnAcres]]</f>
        <v>-23489.404000634837</v>
      </c>
      <c r="AS250" s="30">
        <f>VLOOKUP(Inventory[[#This Row],[Qlty]],Lookups!$A$66:$E$79,2,FALSE)</f>
        <v>32917.849192000001</v>
      </c>
      <c r="AT250" s="30">
        <f>VLOOKUP(Inventory[[#This Row],[Cnd]],Lookups!$A$80:$E$88,2,FALSE)</f>
        <v>50438.379078999998</v>
      </c>
      <c r="AU250" s="30">
        <f>Inventory[[#This Row],[EffAge]]*Lookups!$B$65</f>
        <v>-652.44659999999999</v>
      </c>
      <c r="AV250" s="30">
        <f>Inventory[[#This Row],[MainFn]]*Lookups!$B$90</f>
        <v>109592.62728</v>
      </c>
      <c r="AW250" s="30">
        <f>Inventory[[#This Row],[UpprFn]]*Lookups!$B$91</f>
        <v>0</v>
      </c>
      <c r="AX250" s="30">
        <f>Inventory[[#This Row],[Bsmt Area]]*Lookups!$B$95</f>
        <v>0</v>
      </c>
      <c r="AY250" s="30">
        <f>Inventory[[#This Row],[AttGar]]*Lookups!$B$93</f>
        <v>15567.754671000001</v>
      </c>
      <c r="AZ250" s="30">
        <f>ROUND(Inventory[[#This Row],[25Det]],-2)</f>
        <v>0</v>
      </c>
      <c r="BA250" s="30">
        <f>ROUND(SUM(Inventory[[#This Row],[Mdl Qlty]:[Mdl Garage Area]])+Inventory[[#This Row],[Mdl Res Intercept]],-2)</f>
        <v>340400</v>
      </c>
      <c r="BB250" s="30">
        <f>ROUND(Inventory[[#This Row],[Mdl Land Intercept]]+Inventory[[#This Row],[Mdl LnAcres]],-2)</f>
        <v>64900</v>
      </c>
      <c r="BC250" s="30">
        <f>Inventory[[#This Row],[Unadj Res Value]]+Inventory[[#This Row],[Unadj Det Value]]+Inventory[[#This Row],[Unadj Land Value]]</f>
        <v>405300</v>
      </c>
      <c r="BD250" s="30">
        <f>(Inventory[[#This Row],[Unadj Total Value]]-Inventory[[#This Row],[24Final]])/Inventory[[#This Row],[24Final]]</f>
        <v>4.3511843460350155E-2</v>
      </c>
      <c r="BE250" s="30">
        <f>VLOOKUP(Inventory[[#This Row],[Nbhd]],Lookups!$M$3:$P$5,4,FALSE)</f>
        <v>0.99970000000000003</v>
      </c>
      <c r="BF250" s="30">
        <f>VLOOKUP(Inventory[[#This Row],[Qlty]],Lookups!$M$8:$P$22,4,FALSE)</f>
        <v>1.0019</v>
      </c>
      <c r="BG250" s="30">
        <f>VLOOKUP(Inventory[[#This Row],[Cnd]],Lookups!$R$8:$U$17,4,FALSE)</f>
        <v>1.0007999999999999</v>
      </c>
      <c r="BH250" s="30">
        <f>VLOOKUP(Inventory[[#This Row],[LivArea Range]],Lookups!$R$25:$U$43,4,FALSE)</f>
        <v>1.0007999999999999</v>
      </c>
      <c r="BI250" s="30">
        <f>VLOOKUP(Inventory[[#This Row],[Decade]],Lookups!$M$24:$P$40,4,FALSE)</f>
        <v>1</v>
      </c>
      <c r="BJ250" s="30">
        <f>Inventory[[#This Row],[Nbhd Adj]]*0.95</f>
        <v>0.94971499999999998</v>
      </c>
      <c r="BK250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250" s="30">
        <f>ROUND((SUM(Inventory[[#This Row],[Mdl Qlty]:[Mdl Garage Area]])+Inventory[[#This Row],[Mdl Res Intercept]])*Inventory[[#This Row],[Res Adj ]],-2)</f>
        <v>323600</v>
      </c>
      <c r="BM250" s="30">
        <f>ROUND(Inventory[[#This Row],[25Det]]*Inventory[[#This Row],[Det/Nbhd Adj]],-2)</f>
        <v>0</v>
      </c>
      <c r="BN250" s="30">
        <f>Inventory[[#This Row],[Adjusted Res]]+Inventory[[#This Row],[Adj Det ]]</f>
        <v>323600</v>
      </c>
      <c r="BO250" s="30">
        <f>ROUND((Inventory[[#This Row],[Mdl Land Intercept]]+Inventory[[#This Row],[Mdl LnAcres]])*Inventory[[#This Row],[Det/Nbhd Adj]],-2)</f>
        <v>61600</v>
      </c>
      <c r="BP250" s="30">
        <f>Inventory[[#This Row],[Adjusted Impr Total]]+Inventory[[#This Row],[Adjusted Land Total]]</f>
        <v>385200</v>
      </c>
      <c r="BQ250" s="30">
        <f>IFERROR((Inventory[[#This Row],[Adjusted Impr Total]]-Inventory[[#This Row],[24Bldg]])/Inventory[[#This Row],[24Bldg]],0)</f>
        <v>-9.4888276706458531E-3</v>
      </c>
      <c r="BR250" s="43">
        <f>(Inventory[[#This Row],[Adjusted Land Total]]-Inventory[[#This Row],[24Lnd]])/Inventory[[#This Row],[24Lnd]]</f>
        <v>-1.6207455429497568E-3</v>
      </c>
      <c r="BS250" s="43">
        <f>(Inventory[[#This Row],[Adjusted Total]]-Inventory[[#This Row],[24Final]])/Inventory[[#This Row],[24Final]]</f>
        <v>-8.2389289392378988E-3</v>
      </c>
    </row>
    <row r="251" spans="1:71">
      <c r="A251" s="30">
        <v>2025</v>
      </c>
      <c r="B251" s="31" t="s">
        <v>760</v>
      </c>
      <c r="C251" s="31">
        <f>LN(Inventory[[#This Row],[Acres]])</f>
        <v>-1.7837912995788781</v>
      </c>
      <c r="D251" s="37">
        <f>ROUND(Inventory[[#This Row],[Sqft]]/43560,3)</f>
        <v>0.16800000000000001</v>
      </c>
      <c r="E251" s="30">
        <v>7314</v>
      </c>
      <c r="F251" s="31" t="s">
        <v>505</v>
      </c>
      <c r="G251" s="31" t="s">
        <v>155</v>
      </c>
      <c r="H251" s="31" t="s">
        <v>5</v>
      </c>
      <c r="I251" s="31" t="s">
        <v>506</v>
      </c>
      <c r="J251" s="31" t="s">
        <v>507</v>
      </c>
      <c r="K251" s="31" t="s">
        <v>330</v>
      </c>
      <c r="L251" s="31" t="s">
        <v>21</v>
      </c>
      <c r="M251" s="31" t="s">
        <v>22</v>
      </c>
      <c r="N251" s="31">
        <v>0</v>
      </c>
      <c r="O251" s="31">
        <f>2024-Inventory[[#This Row],[YrBlt]]</f>
        <v>6</v>
      </c>
      <c r="P251" s="31">
        <f>2024-Inventory[[#This Row],[EffYr]]</f>
        <v>6</v>
      </c>
      <c r="Q251" s="30">
        <v>2018</v>
      </c>
      <c r="R251" s="30">
        <v>2018</v>
      </c>
      <c r="S251" s="30">
        <v>1126</v>
      </c>
      <c r="T251" s="38">
        <v>1126</v>
      </c>
      <c r="U251" s="32"/>
      <c r="V251" s="32"/>
      <c r="W251" s="32"/>
      <c r="X251" s="32">
        <f>Inventory[[#This Row],[Bsmt Area]]-Inventory[[#This Row],[FnBsmt]]</f>
        <v>0</v>
      </c>
      <c r="Y251" s="32">
        <f>Inventory[[#This Row],[MainFn]]+Inventory[[#This Row],[UpprFn]]+Inventory[[#This Row],[AddFn]]+Inventory[[#This Row],[FnBsmt]]</f>
        <v>2252</v>
      </c>
      <c r="Z251" s="32">
        <v>2500</v>
      </c>
      <c r="AA251" s="31" t="s">
        <v>56</v>
      </c>
      <c r="AB251" s="32"/>
      <c r="AC251" s="38">
        <v>440</v>
      </c>
      <c r="AD251" s="32"/>
      <c r="AE251" s="32"/>
      <c r="AF251" s="32"/>
      <c r="AG251" s="32"/>
      <c r="AH251" s="32"/>
      <c r="AI251" s="30">
        <v>447824</v>
      </c>
      <c r="AJ251" s="30">
        <v>429911</v>
      </c>
      <c r="AK251" s="30">
        <v>0</v>
      </c>
      <c r="AL251" s="30">
        <v>0</v>
      </c>
      <c r="AM251" s="30">
        <v>61700</v>
      </c>
      <c r="AN251" s="30">
        <v>366500</v>
      </c>
      <c r="AO251" s="30">
        <v>428200</v>
      </c>
      <c r="AP251" s="30">
        <f>Lookups!$B$58*0.6</f>
        <v>132535.48800000001</v>
      </c>
      <c r="AQ251" s="30">
        <f>Lookups!$B$58*0.4</f>
        <v>88356.992000000013</v>
      </c>
      <c r="AR251" s="30">
        <f>Lookups!$B$59*Inventory[[#This Row],[LnAcres]]</f>
        <v>-23411.049612680359</v>
      </c>
      <c r="AS251" s="30">
        <f>VLOOKUP(Inventory[[#This Row],[Qlty]],Lookups!$A$66:$E$79,2,FALSE)</f>
        <v>32917.849192000001</v>
      </c>
      <c r="AT251" s="30">
        <f>VLOOKUP(Inventory[[#This Row],[Cnd]],Lookups!$A$80:$E$88,2,FALSE)</f>
        <v>50438.379078999998</v>
      </c>
      <c r="AU251" s="30">
        <f>Inventory[[#This Row],[EffAge]]*Lookups!$B$65</f>
        <v>-652.44659999999999</v>
      </c>
      <c r="AV251" s="30">
        <f>Inventory[[#This Row],[MainFn]]*Lookups!$B$90</f>
        <v>70274.087880000006</v>
      </c>
      <c r="AW251" s="30">
        <f>Inventory[[#This Row],[UpprFn]]*Lookups!$B$91</f>
        <v>67087.511257999999</v>
      </c>
      <c r="AX251" s="30">
        <f>Inventory[[#This Row],[Bsmt Area]]*Lookups!$B$95</f>
        <v>0</v>
      </c>
      <c r="AY251" s="30">
        <f>Inventory[[#This Row],[AttGar]]*Lookups!$B$93</f>
        <v>15532.453640000002</v>
      </c>
      <c r="AZ251" s="30">
        <f>ROUND(Inventory[[#This Row],[25Det]],-2)</f>
        <v>0</v>
      </c>
      <c r="BA251" s="30">
        <f>ROUND(SUM(Inventory[[#This Row],[Mdl Qlty]:[Mdl Garage Area]])+Inventory[[#This Row],[Mdl Res Intercept]],-2)</f>
        <v>368100</v>
      </c>
      <c r="BB251" s="30">
        <f>ROUND(Inventory[[#This Row],[Mdl Land Intercept]]+Inventory[[#This Row],[Mdl LnAcres]],-2)</f>
        <v>64900</v>
      </c>
      <c r="BC251" s="30">
        <f>Inventory[[#This Row],[Unadj Res Value]]+Inventory[[#This Row],[Unadj Det Value]]+Inventory[[#This Row],[Unadj Land Value]]</f>
        <v>433000</v>
      </c>
      <c r="BD251" s="30">
        <f>(Inventory[[#This Row],[Unadj Total Value]]-Inventory[[#This Row],[24Final]])/Inventory[[#This Row],[24Final]]</f>
        <v>1.1209715086408221E-2</v>
      </c>
      <c r="BE251" s="30">
        <f>VLOOKUP(Inventory[[#This Row],[Nbhd]],Lookups!$M$3:$P$5,4,FALSE)</f>
        <v>0.99970000000000003</v>
      </c>
      <c r="BF251" s="30">
        <f>VLOOKUP(Inventory[[#This Row],[Qlty]],Lookups!$M$8:$P$22,4,FALSE)</f>
        <v>1.0019</v>
      </c>
      <c r="BG251" s="30">
        <f>VLOOKUP(Inventory[[#This Row],[Cnd]],Lookups!$R$8:$U$17,4,FALSE)</f>
        <v>1.0007999999999999</v>
      </c>
      <c r="BH251" s="30">
        <f>VLOOKUP(Inventory[[#This Row],[LivArea Range]],Lookups!$R$25:$U$43,4,FALSE)</f>
        <v>1.0008999999999999</v>
      </c>
      <c r="BI251" s="30">
        <f>VLOOKUP(Inventory[[#This Row],[Decade]],Lookups!$M$24:$P$40,4,FALSE)</f>
        <v>1</v>
      </c>
      <c r="BJ251" s="30">
        <f>Inventory[[#This Row],[Nbhd Adj]]*0.95</f>
        <v>0.94971499999999998</v>
      </c>
      <c r="BK251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251" s="30">
        <f>ROUND((SUM(Inventory[[#This Row],[Mdl Qlty]:[Mdl Garage Area]])+Inventory[[#This Row],[Mdl Res Intercept]])*Inventory[[#This Row],[Res Adj ]],-2)</f>
        <v>350000</v>
      </c>
      <c r="BM251" s="30">
        <f>ROUND(Inventory[[#This Row],[25Det]]*Inventory[[#This Row],[Det/Nbhd Adj]],-2)</f>
        <v>0</v>
      </c>
      <c r="BN251" s="30">
        <f>Inventory[[#This Row],[Adjusted Res]]+Inventory[[#This Row],[Adj Det ]]</f>
        <v>350000</v>
      </c>
      <c r="BO251" s="30">
        <f>ROUND((Inventory[[#This Row],[Mdl Land Intercept]]+Inventory[[#This Row],[Mdl LnAcres]])*Inventory[[#This Row],[Det/Nbhd Adj]],-2)</f>
        <v>61700</v>
      </c>
      <c r="BP251" s="30">
        <f>Inventory[[#This Row],[Adjusted Impr Total]]+Inventory[[#This Row],[Adjusted Land Total]]</f>
        <v>411700</v>
      </c>
      <c r="BQ251" s="30">
        <f>IFERROR((Inventory[[#This Row],[Adjusted Impr Total]]-Inventory[[#This Row],[24Bldg]])/Inventory[[#This Row],[24Bldg]],0)</f>
        <v>-4.5020463847203276E-2</v>
      </c>
      <c r="BR251" s="43">
        <f>(Inventory[[#This Row],[Adjusted Land Total]]-Inventory[[#This Row],[24Lnd]])/Inventory[[#This Row],[24Lnd]]</f>
        <v>0</v>
      </c>
      <c r="BS251" s="43">
        <f>(Inventory[[#This Row],[Adjusted Total]]-Inventory[[#This Row],[24Final]])/Inventory[[#This Row],[24Final]]</f>
        <v>-3.8533395609528259E-2</v>
      </c>
    </row>
    <row r="252" spans="1:71">
      <c r="A252" s="30">
        <v>2025</v>
      </c>
      <c r="B252" s="31" t="s">
        <v>761</v>
      </c>
      <c r="C252" s="31">
        <f>LN(Inventory[[#This Row],[Acres]])</f>
        <v>-1.7837912995788781</v>
      </c>
      <c r="D252" s="37">
        <f>ROUND(Inventory[[#This Row],[Sqft]]/43560,3)</f>
        <v>0.16800000000000001</v>
      </c>
      <c r="E252" s="30">
        <v>7300</v>
      </c>
      <c r="F252" s="31" t="s">
        <v>505</v>
      </c>
      <c r="G252" s="31" t="s">
        <v>155</v>
      </c>
      <c r="H252" s="31" t="s">
        <v>5</v>
      </c>
      <c r="I252" s="31" t="s">
        <v>506</v>
      </c>
      <c r="J252" s="31" t="s">
        <v>507</v>
      </c>
      <c r="K252" s="31" t="s">
        <v>330</v>
      </c>
      <c r="L252" s="31" t="s">
        <v>21</v>
      </c>
      <c r="M252" s="31" t="s">
        <v>22</v>
      </c>
      <c r="N252" s="31">
        <v>0</v>
      </c>
      <c r="O252" s="31">
        <f>2024-Inventory[[#This Row],[YrBlt]]</f>
        <v>6</v>
      </c>
      <c r="P252" s="31">
        <f>2024-Inventory[[#This Row],[EffYr]]</f>
        <v>6</v>
      </c>
      <c r="Q252" s="30">
        <v>2018</v>
      </c>
      <c r="R252" s="30">
        <v>2018</v>
      </c>
      <c r="S252" s="30">
        <v>1756</v>
      </c>
      <c r="T252" s="32"/>
      <c r="U252" s="32"/>
      <c r="V252" s="32"/>
      <c r="W252" s="32"/>
      <c r="X252" s="32">
        <f>Inventory[[#This Row],[Bsmt Area]]-Inventory[[#This Row],[FnBsmt]]</f>
        <v>0</v>
      </c>
      <c r="Y252" s="32">
        <f>Inventory[[#This Row],[MainFn]]+Inventory[[#This Row],[UpprFn]]+Inventory[[#This Row],[AddFn]]+Inventory[[#This Row],[FnBsmt]]</f>
        <v>1756</v>
      </c>
      <c r="Z252" s="32">
        <v>2000</v>
      </c>
      <c r="AA252" s="31" t="s">
        <v>56</v>
      </c>
      <c r="AB252" s="32"/>
      <c r="AC252" s="30">
        <v>669</v>
      </c>
      <c r="AD252" s="32"/>
      <c r="AE252" s="32"/>
      <c r="AF252" s="32"/>
      <c r="AG252" s="32"/>
      <c r="AH252" s="32"/>
      <c r="AI252" s="30">
        <v>390580</v>
      </c>
      <c r="AJ252" s="30">
        <v>374957</v>
      </c>
      <c r="AK252" s="30">
        <v>0</v>
      </c>
      <c r="AL252" s="30">
        <v>0</v>
      </c>
      <c r="AM252" s="30">
        <v>61700</v>
      </c>
      <c r="AN252" s="30">
        <v>345700</v>
      </c>
      <c r="AO252" s="30">
        <v>407400</v>
      </c>
      <c r="AP252" s="30">
        <f>Lookups!$B$58*0.6</f>
        <v>132535.48800000001</v>
      </c>
      <c r="AQ252" s="30">
        <f>Lookups!$B$58*0.4</f>
        <v>88356.992000000013</v>
      </c>
      <c r="AR252" s="30">
        <f>Lookups!$B$59*Inventory[[#This Row],[LnAcres]]</f>
        <v>-23411.049612680359</v>
      </c>
      <c r="AS252" s="30">
        <f>VLOOKUP(Inventory[[#This Row],[Qlty]],Lookups!$A$66:$E$79,2,FALSE)</f>
        <v>32917.849192000001</v>
      </c>
      <c r="AT252" s="30">
        <f>VLOOKUP(Inventory[[#This Row],[Cnd]],Lookups!$A$80:$E$88,2,FALSE)</f>
        <v>50438.379078999998</v>
      </c>
      <c r="AU252" s="30">
        <f>Inventory[[#This Row],[EffAge]]*Lookups!$B$65</f>
        <v>-652.44659999999999</v>
      </c>
      <c r="AV252" s="30">
        <f>Inventory[[#This Row],[MainFn]]*Lookups!$B$90</f>
        <v>109592.62728</v>
      </c>
      <c r="AW252" s="30">
        <f>Inventory[[#This Row],[UpprFn]]*Lookups!$B$91</f>
        <v>0</v>
      </c>
      <c r="AX252" s="30">
        <f>Inventory[[#This Row],[Bsmt Area]]*Lookups!$B$95</f>
        <v>0</v>
      </c>
      <c r="AY252" s="30">
        <f>Inventory[[#This Row],[AttGar]]*Lookups!$B$93</f>
        <v>23616.389739000002</v>
      </c>
      <c r="AZ252" s="30">
        <f>ROUND(Inventory[[#This Row],[25Det]],-2)</f>
        <v>0</v>
      </c>
      <c r="BA252" s="30">
        <f>ROUND(SUM(Inventory[[#This Row],[Mdl Qlty]:[Mdl Garage Area]])+Inventory[[#This Row],[Mdl Res Intercept]],-2)</f>
        <v>348400</v>
      </c>
      <c r="BB252" s="30">
        <f>ROUND(Inventory[[#This Row],[Mdl Land Intercept]]+Inventory[[#This Row],[Mdl LnAcres]],-2)</f>
        <v>64900</v>
      </c>
      <c r="BC252" s="30">
        <f>Inventory[[#This Row],[Unadj Res Value]]+Inventory[[#This Row],[Unadj Det Value]]+Inventory[[#This Row],[Unadj Land Value]]</f>
        <v>413300</v>
      </c>
      <c r="BD252" s="30">
        <f>(Inventory[[#This Row],[Unadj Total Value]]-Inventory[[#This Row],[24Final]])/Inventory[[#This Row],[24Final]]</f>
        <v>1.4482081492390771E-2</v>
      </c>
      <c r="BE252" s="30">
        <f>VLOOKUP(Inventory[[#This Row],[Nbhd]],Lookups!$M$3:$P$5,4,FALSE)</f>
        <v>0.99970000000000003</v>
      </c>
      <c r="BF252" s="30">
        <f>VLOOKUP(Inventory[[#This Row],[Qlty]],Lookups!$M$8:$P$22,4,FALSE)</f>
        <v>1.0019</v>
      </c>
      <c r="BG252" s="30">
        <f>VLOOKUP(Inventory[[#This Row],[Cnd]],Lookups!$R$8:$U$17,4,FALSE)</f>
        <v>1.0007999999999999</v>
      </c>
      <c r="BH252" s="30">
        <f>VLOOKUP(Inventory[[#This Row],[LivArea Range]],Lookups!$R$25:$U$43,4,FALSE)</f>
        <v>1.0007999999999999</v>
      </c>
      <c r="BI252" s="30">
        <f>VLOOKUP(Inventory[[#This Row],[Decade]],Lookups!$M$24:$P$40,4,FALSE)</f>
        <v>1</v>
      </c>
      <c r="BJ252" s="30">
        <f>Inventory[[#This Row],[Nbhd Adj]]*0.95</f>
        <v>0.94971499999999998</v>
      </c>
      <c r="BK252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252" s="30">
        <f>ROUND((SUM(Inventory[[#This Row],[Mdl Qlty]:[Mdl Garage Area]])+Inventory[[#This Row],[Mdl Res Intercept]])*Inventory[[#This Row],[Res Adj ]],-2)</f>
        <v>331200</v>
      </c>
      <c r="BM252" s="30">
        <f>ROUND(Inventory[[#This Row],[25Det]]*Inventory[[#This Row],[Det/Nbhd Adj]],-2)</f>
        <v>0</v>
      </c>
      <c r="BN252" s="30">
        <f>Inventory[[#This Row],[Adjusted Res]]+Inventory[[#This Row],[Adj Det ]]</f>
        <v>331200</v>
      </c>
      <c r="BO252" s="30">
        <f>ROUND((Inventory[[#This Row],[Mdl Land Intercept]]+Inventory[[#This Row],[Mdl LnAcres]])*Inventory[[#This Row],[Det/Nbhd Adj]],-2)</f>
        <v>61700</v>
      </c>
      <c r="BP252" s="30">
        <f>Inventory[[#This Row],[Adjusted Impr Total]]+Inventory[[#This Row],[Adjusted Land Total]]</f>
        <v>392900</v>
      </c>
      <c r="BQ252" s="30">
        <f>IFERROR((Inventory[[#This Row],[Adjusted Impr Total]]-Inventory[[#This Row],[24Bldg]])/Inventory[[#This Row],[24Bldg]],0)</f>
        <v>-4.1943881978594159E-2</v>
      </c>
      <c r="BR252" s="43">
        <f>(Inventory[[#This Row],[Adjusted Land Total]]-Inventory[[#This Row],[24Lnd]])/Inventory[[#This Row],[24Lnd]]</f>
        <v>0</v>
      </c>
      <c r="BS252" s="43">
        <f>(Inventory[[#This Row],[Adjusted Total]]-Inventory[[#This Row],[24Final]])/Inventory[[#This Row],[24Final]]</f>
        <v>-3.559155621011291E-2</v>
      </c>
    </row>
    <row r="253" spans="1:71">
      <c r="A253" s="30">
        <v>2025</v>
      </c>
      <c r="B253" s="31" t="s">
        <v>762</v>
      </c>
      <c r="C253" s="31">
        <f>LN(Inventory[[#This Row],[Acres]])</f>
        <v>-1.7837912995788781</v>
      </c>
      <c r="D253" s="37">
        <f>ROUND(Inventory[[#This Row],[Sqft]]/43560,3)</f>
        <v>0.16800000000000001</v>
      </c>
      <c r="E253" s="30">
        <v>7300</v>
      </c>
      <c r="F253" s="31" t="s">
        <v>505</v>
      </c>
      <c r="G253" s="31" t="s">
        <v>155</v>
      </c>
      <c r="H253" s="31" t="s">
        <v>5</v>
      </c>
      <c r="I253" s="31" t="s">
        <v>506</v>
      </c>
      <c r="J253" s="31" t="s">
        <v>507</v>
      </c>
      <c r="K253" s="31" t="s">
        <v>157</v>
      </c>
      <c r="L253" s="31" t="s">
        <v>21</v>
      </c>
      <c r="M253" s="31" t="s">
        <v>22</v>
      </c>
      <c r="N253" s="31">
        <v>0</v>
      </c>
      <c r="O253" s="31">
        <f>2024-Inventory[[#This Row],[YrBlt]]</f>
        <v>6</v>
      </c>
      <c r="P253" s="31">
        <f>2024-Inventory[[#This Row],[EffYr]]</f>
        <v>6</v>
      </c>
      <c r="Q253" s="30">
        <v>2018</v>
      </c>
      <c r="R253" s="30">
        <v>2018</v>
      </c>
      <c r="S253" s="30">
        <v>2297</v>
      </c>
      <c r="T253" s="32"/>
      <c r="U253" s="32"/>
      <c r="V253" s="32"/>
      <c r="W253" s="32"/>
      <c r="X253" s="32">
        <f>Inventory[[#This Row],[Bsmt Area]]-Inventory[[#This Row],[FnBsmt]]</f>
        <v>0</v>
      </c>
      <c r="Y253" s="32">
        <f>Inventory[[#This Row],[MainFn]]+Inventory[[#This Row],[UpprFn]]+Inventory[[#This Row],[AddFn]]+Inventory[[#This Row],[FnBsmt]]</f>
        <v>2297</v>
      </c>
      <c r="Z253" s="32">
        <v>2500</v>
      </c>
      <c r="AA253" s="31" t="s">
        <v>56</v>
      </c>
      <c r="AB253" s="38">
        <v>1</v>
      </c>
      <c r="AC253" s="30">
        <v>690</v>
      </c>
      <c r="AD253" s="32"/>
      <c r="AE253" s="32"/>
      <c r="AF253" s="32"/>
      <c r="AG253" s="32"/>
      <c r="AH253" s="32"/>
      <c r="AI253" s="30">
        <v>492659</v>
      </c>
      <c r="AJ253" s="30">
        <v>472953</v>
      </c>
      <c r="AK253" s="30">
        <v>0</v>
      </c>
      <c r="AL253" s="30">
        <v>0</v>
      </c>
      <c r="AM253" s="30">
        <v>61700</v>
      </c>
      <c r="AN253" s="30">
        <v>377400</v>
      </c>
      <c r="AO253" s="30">
        <v>439100</v>
      </c>
      <c r="AP253" s="30">
        <f>Lookups!$B$58*0.6</f>
        <v>132535.48800000001</v>
      </c>
      <c r="AQ253" s="30">
        <f>Lookups!$B$58*0.4</f>
        <v>88356.992000000013</v>
      </c>
      <c r="AR253" s="30">
        <f>Lookups!$B$59*Inventory[[#This Row],[LnAcres]]</f>
        <v>-23411.049612680359</v>
      </c>
      <c r="AS253" s="30">
        <f>VLOOKUP(Inventory[[#This Row],[Qlty]],Lookups!$A$66:$E$79,2,FALSE)</f>
        <v>32917.849192000001</v>
      </c>
      <c r="AT253" s="30">
        <f>VLOOKUP(Inventory[[#This Row],[Cnd]],Lookups!$A$80:$E$88,2,FALSE)</f>
        <v>50438.379078999998</v>
      </c>
      <c r="AU253" s="30">
        <f>Inventory[[#This Row],[EffAge]]*Lookups!$B$65</f>
        <v>-652.44659999999999</v>
      </c>
      <c r="AV253" s="30">
        <f>Inventory[[#This Row],[MainFn]]*Lookups!$B$90</f>
        <v>143356.64286000002</v>
      </c>
      <c r="AW253" s="30">
        <f>Inventory[[#This Row],[UpprFn]]*Lookups!$B$91</f>
        <v>0</v>
      </c>
      <c r="AX253" s="30">
        <f>Inventory[[#This Row],[Bsmt Area]]*Lookups!$B$95</f>
        <v>0</v>
      </c>
      <c r="AY253" s="30">
        <f>Inventory[[#This Row],[AttGar]]*Lookups!$B$93</f>
        <v>24357.71139</v>
      </c>
      <c r="AZ253" s="30">
        <f>ROUND(Inventory[[#This Row],[25Det]],-2)</f>
        <v>0</v>
      </c>
      <c r="BA253" s="30">
        <f>ROUND(SUM(Inventory[[#This Row],[Mdl Qlty]:[Mdl Garage Area]])+Inventory[[#This Row],[Mdl Res Intercept]],-2)</f>
        <v>383000</v>
      </c>
      <c r="BB253" s="30">
        <f>ROUND(Inventory[[#This Row],[Mdl Land Intercept]]+Inventory[[#This Row],[Mdl LnAcres]],-2)</f>
        <v>64900</v>
      </c>
      <c r="BC253" s="30">
        <f>Inventory[[#This Row],[Unadj Res Value]]+Inventory[[#This Row],[Unadj Det Value]]+Inventory[[#This Row],[Unadj Land Value]]</f>
        <v>447900</v>
      </c>
      <c r="BD253" s="30">
        <f>(Inventory[[#This Row],[Unadj Total Value]]-Inventory[[#This Row],[24Final]])/Inventory[[#This Row],[24Final]]</f>
        <v>2.0040992940104758E-2</v>
      </c>
      <c r="BE253" s="30">
        <f>VLOOKUP(Inventory[[#This Row],[Nbhd]],Lookups!$M$3:$P$5,4,FALSE)</f>
        <v>0.99970000000000003</v>
      </c>
      <c r="BF253" s="30">
        <f>VLOOKUP(Inventory[[#This Row],[Qlty]],Lookups!$M$8:$P$22,4,FALSE)</f>
        <v>1.0019</v>
      </c>
      <c r="BG253" s="30">
        <f>VLOOKUP(Inventory[[#This Row],[Cnd]],Lookups!$R$8:$U$17,4,FALSE)</f>
        <v>1.0007999999999999</v>
      </c>
      <c r="BH253" s="30">
        <f>VLOOKUP(Inventory[[#This Row],[LivArea Range]],Lookups!$R$25:$U$43,4,FALSE)</f>
        <v>1.0008999999999999</v>
      </c>
      <c r="BI253" s="30">
        <f>VLOOKUP(Inventory[[#This Row],[Decade]],Lookups!$M$24:$P$40,4,FALSE)</f>
        <v>1</v>
      </c>
      <c r="BJ253" s="30">
        <f>Inventory[[#This Row],[Nbhd Adj]]*0.95</f>
        <v>0.94971499999999998</v>
      </c>
      <c r="BK253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253" s="30">
        <f>ROUND((SUM(Inventory[[#This Row],[Mdl Qlty]:[Mdl Garage Area]])+Inventory[[#This Row],[Mdl Res Intercept]])*Inventory[[#This Row],[Res Adj ]],-2)</f>
        <v>364000</v>
      </c>
      <c r="BM253" s="30">
        <f>ROUND(Inventory[[#This Row],[25Det]]*Inventory[[#This Row],[Det/Nbhd Adj]],-2)</f>
        <v>0</v>
      </c>
      <c r="BN253" s="30">
        <f>Inventory[[#This Row],[Adjusted Res]]+Inventory[[#This Row],[Adj Det ]]</f>
        <v>364000</v>
      </c>
      <c r="BO253" s="30">
        <f>ROUND((Inventory[[#This Row],[Mdl Land Intercept]]+Inventory[[#This Row],[Mdl LnAcres]])*Inventory[[#This Row],[Det/Nbhd Adj]],-2)</f>
        <v>61700</v>
      </c>
      <c r="BP253" s="30">
        <f>Inventory[[#This Row],[Adjusted Impr Total]]+Inventory[[#This Row],[Adjusted Land Total]]</f>
        <v>425700</v>
      </c>
      <c r="BQ253" s="30">
        <f>IFERROR((Inventory[[#This Row],[Adjusted Impr Total]]-Inventory[[#This Row],[24Bldg]])/Inventory[[#This Row],[24Bldg]],0)</f>
        <v>-3.550609432962374E-2</v>
      </c>
      <c r="BR253" s="43">
        <f>(Inventory[[#This Row],[Adjusted Land Total]]-Inventory[[#This Row],[24Lnd]])/Inventory[[#This Row],[24Lnd]]</f>
        <v>0</v>
      </c>
      <c r="BS253" s="43">
        <f>(Inventory[[#This Row],[Adjusted Total]]-Inventory[[#This Row],[24Final]])/Inventory[[#This Row],[24Final]]</f>
        <v>-3.0516966522432246E-2</v>
      </c>
    </row>
    <row r="254" spans="1:71">
      <c r="A254" s="30">
        <v>2025</v>
      </c>
      <c r="B254" s="31" t="s">
        <v>763</v>
      </c>
      <c r="C254" s="31">
        <f>LN(Inventory[[#This Row],[Acres]])</f>
        <v>-1.7837912995788781</v>
      </c>
      <c r="D254" s="37">
        <f>ROUND(Inventory[[#This Row],[Sqft]]/43560,3)</f>
        <v>0.16800000000000001</v>
      </c>
      <c r="E254" s="30">
        <v>7300</v>
      </c>
      <c r="F254" s="31" t="s">
        <v>505</v>
      </c>
      <c r="G254" s="31" t="s">
        <v>155</v>
      </c>
      <c r="H254" s="31" t="s">
        <v>5</v>
      </c>
      <c r="I254" s="31" t="s">
        <v>506</v>
      </c>
      <c r="J254" s="31" t="s">
        <v>507</v>
      </c>
      <c r="K254" s="31" t="s">
        <v>330</v>
      </c>
      <c r="L254" s="31" t="s">
        <v>19</v>
      </c>
      <c r="M254" s="31" t="s">
        <v>22</v>
      </c>
      <c r="N254" s="31">
        <v>0</v>
      </c>
      <c r="O254" s="31">
        <f>2024-Inventory[[#This Row],[YrBlt]]</f>
        <v>6</v>
      </c>
      <c r="P254" s="31">
        <f>2024-Inventory[[#This Row],[EffYr]]</f>
        <v>6</v>
      </c>
      <c r="Q254" s="30">
        <v>2018</v>
      </c>
      <c r="R254" s="30">
        <v>2018</v>
      </c>
      <c r="S254" s="30">
        <v>1529</v>
      </c>
      <c r="T254" s="32"/>
      <c r="U254" s="32"/>
      <c r="V254" s="32"/>
      <c r="W254" s="32"/>
      <c r="X254" s="32">
        <f>Inventory[[#This Row],[Bsmt Area]]-Inventory[[#This Row],[FnBsmt]]</f>
        <v>0</v>
      </c>
      <c r="Y254" s="32">
        <f>Inventory[[#This Row],[MainFn]]+Inventory[[#This Row],[UpprFn]]+Inventory[[#This Row],[AddFn]]+Inventory[[#This Row],[FnBsmt]]</f>
        <v>1529</v>
      </c>
      <c r="Z254" s="32">
        <v>2000</v>
      </c>
      <c r="AA254" s="31" t="s">
        <v>56</v>
      </c>
      <c r="AB254" s="32"/>
      <c r="AC254" s="38">
        <v>441</v>
      </c>
      <c r="AD254" s="32"/>
      <c r="AE254" s="32"/>
      <c r="AF254" s="32"/>
      <c r="AG254" s="32"/>
      <c r="AH254" s="32"/>
      <c r="AI254" s="30">
        <v>303068</v>
      </c>
      <c r="AJ254" s="30">
        <v>290945</v>
      </c>
      <c r="AK254" s="30">
        <v>0</v>
      </c>
      <c r="AL254" s="30">
        <v>0</v>
      </c>
      <c r="AM254" s="30">
        <v>61700</v>
      </c>
      <c r="AN254" s="30">
        <v>320700</v>
      </c>
      <c r="AO254" s="30">
        <v>382400</v>
      </c>
      <c r="AP254" s="30">
        <f>Lookups!$B$58*0.6</f>
        <v>132535.48800000001</v>
      </c>
      <c r="AQ254" s="30">
        <f>Lookups!$B$58*0.4</f>
        <v>88356.992000000013</v>
      </c>
      <c r="AR254" s="30">
        <f>Lookups!$B$59*Inventory[[#This Row],[LnAcres]]</f>
        <v>-23411.049612680359</v>
      </c>
      <c r="AS254" s="30">
        <f>VLOOKUP(Inventory[[#This Row],[Qlty]],Lookups!$A$66:$E$79,2,FALSE)</f>
        <v>37154.252388000001</v>
      </c>
      <c r="AT254" s="30">
        <f>VLOOKUP(Inventory[[#This Row],[Cnd]],Lookups!$A$80:$E$88,2,FALSE)</f>
        <v>50438.379078999998</v>
      </c>
      <c r="AU254" s="30">
        <f>Inventory[[#This Row],[EffAge]]*Lookups!$B$65</f>
        <v>-652.44659999999999</v>
      </c>
      <c r="AV254" s="30">
        <f>Inventory[[#This Row],[MainFn]]*Lookups!$B$90</f>
        <v>95425.471020000012</v>
      </c>
      <c r="AW254" s="30">
        <f>Inventory[[#This Row],[UpprFn]]*Lookups!$B$91</f>
        <v>0</v>
      </c>
      <c r="AX254" s="30">
        <f>Inventory[[#This Row],[Bsmt Area]]*Lookups!$B$95</f>
        <v>0</v>
      </c>
      <c r="AY254" s="30">
        <f>Inventory[[#This Row],[AttGar]]*Lookups!$B$93</f>
        <v>15567.754671000001</v>
      </c>
      <c r="AZ254" s="30">
        <f>ROUND(Inventory[[#This Row],[25Det]],-2)</f>
        <v>0</v>
      </c>
      <c r="BA254" s="30">
        <f>ROUND(SUM(Inventory[[#This Row],[Mdl Qlty]:[Mdl Garage Area]])+Inventory[[#This Row],[Mdl Res Intercept]],-2)</f>
        <v>330500</v>
      </c>
      <c r="BB254" s="30">
        <f>ROUND(Inventory[[#This Row],[Mdl Land Intercept]]+Inventory[[#This Row],[Mdl LnAcres]],-2)</f>
        <v>64900</v>
      </c>
      <c r="BC254" s="30">
        <f>Inventory[[#This Row],[Unadj Res Value]]+Inventory[[#This Row],[Unadj Det Value]]+Inventory[[#This Row],[Unadj Land Value]]</f>
        <v>395400</v>
      </c>
      <c r="BD254" s="30">
        <f>(Inventory[[#This Row],[Unadj Total Value]]-Inventory[[#This Row],[24Final]])/Inventory[[#This Row],[24Final]]</f>
        <v>3.3995815899581588E-2</v>
      </c>
      <c r="BE254" s="30">
        <f>VLOOKUP(Inventory[[#This Row],[Nbhd]],Lookups!$M$3:$P$5,4,FALSE)</f>
        <v>0.99970000000000003</v>
      </c>
      <c r="BF254" s="30">
        <f>VLOOKUP(Inventory[[#This Row],[Qlty]],Lookups!$M$8:$P$22,4,FALSE)</f>
        <v>0.99819999999999998</v>
      </c>
      <c r="BG254" s="30">
        <f>VLOOKUP(Inventory[[#This Row],[Cnd]],Lookups!$R$8:$U$17,4,FALSE)</f>
        <v>1.0007999999999999</v>
      </c>
      <c r="BH254" s="30">
        <f>VLOOKUP(Inventory[[#This Row],[LivArea Range]],Lookups!$R$25:$U$43,4,FALSE)</f>
        <v>1.0007999999999999</v>
      </c>
      <c r="BI254" s="30">
        <f>VLOOKUP(Inventory[[#This Row],[Decade]],Lookups!$M$24:$P$40,4,FALSE)</f>
        <v>1</v>
      </c>
      <c r="BJ254" s="30">
        <f>Inventory[[#This Row],[Nbhd Adj]]*0.95</f>
        <v>0.94971499999999998</v>
      </c>
      <c r="BK254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254" s="30">
        <f>ROUND((SUM(Inventory[[#This Row],[Mdl Qlty]:[Mdl Garage Area]])+Inventory[[#This Row],[Mdl Res Intercept]])*Inventory[[#This Row],[Res Adj ]],-2)</f>
        <v>313900</v>
      </c>
      <c r="BM254" s="30">
        <f>ROUND(Inventory[[#This Row],[25Det]]*Inventory[[#This Row],[Det/Nbhd Adj]],-2)</f>
        <v>0</v>
      </c>
      <c r="BN254" s="30">
        <f>Inventory[[#This Row],[Adjusted Res]]+Inventory[[#This Row],[Adj Det ]]</f>
        <v>313900</v>
      </c>
      <c r="BO254" s="30">
        <f>ROUND((Inventory[[#This Row],[Mdl Land Intercept]]+Inventory[[#This Row],[Mdl LnAcres]])*Inventory[[#This Row],[Det/Nbhd Adj]],-2)</f>
        <v>61700</v>
      </c>
      <c r="BP254" s="30">
        <f>Inventory[[#This Row],[Adjusted Impr Total]]+Inventory[[#This Row],[Adjusted Land Total]]</f>
        <v>375600</v>
      </c>
      <c r="BQ254" s="30">
        <f>IFERROR((Inventory[[#This Row],[Adjusted Impr Total]]-Inventory[[#This Row],[24Bldg]])/Inventory[[#This Row],[24Bldg]],0)</f>
        <v>-2.1203617087620828E-2</v>
      </c>
      <c r="BR254" s="43">
        <f>(Inventory[[#This Row],[Adjusted Land Total]]-Inventory[[#This Row],[24Lnd]])/Inventory[[#This Row],[24Lnd]]</f>
        <v>0</v>
      </c>
      <c r="BS254" s="43">
        <f>(Inventory[[#This Row],[Adjusted Total]]-Inventory[[#This Row],[24Final]])/Inventory[[#This Row],[24Final]]</f>
        <v>-1.7782426778242679E-2</v>
      </c>
    </row>
    <row r="255" spans="1:71">
      <c r="A255" s="30">
        <v>2025</v>
      </c>
      <c r="B255" s="31" t="s">
        <v>764</v>
      </c>
      <c r="C255" s="31">
        <f>LN(Inventory[[#This Row],[Acres]])</f>
        <v>-1.7837912995788781</v>
      </c>
      <c r="D255" s="37">
        <f>ROUND(Inventory[[#This Row],[Sqft]]/43560,3)</f>
        <v>0.16800000000000001</v>
      </c>
      <c r="E255" s="30">
        <v>7300</v>
      </c>
      <c r="F255" s="31" t="s">
        <v>505</v>
      </c>
      <c r="G255" s="31" t="s">
        <v>155</v>
      </c>
      <c r="H255" s="31" t="s">
        <v>5</v>
      </c>
      <c r="I255" s="31" t="s">
        <v>506</v>
      </c>
      <c r="J255" s="31" t="s">
        <v>507</v>
      </c>
      <c r="K255" s="31" t="s">
        <v>330</v>
      </c>
      <c r="L255" s="31" t="s">
        <v>21</v>
      </c>
      <c r="M255" s="31" t="s">
        <v>22</v>
      </c>
      <c r="N255" s="31">
        <v>0</v>
      </c>
      <c r="O255" s="31">
        <f>2024-Inventory[[#This Row],[YrBlt]]</f>
        <v>6</v>
      </c>
      <c r="P255" s="31">
        <f>2024-Inventory[[#This Row],[EffYr]]</f>
        <v>6</v>
      </c>
      <c r="Q255" s="30">
        <v>2018</v>
      </c>
      <c r="R255" s="30">
        <v>2018</v>
      </c>
      <c r="S255" s="30">
        <v>1756</v>
      </c>
      <c r="T255" s="32"/>
      <c r="U255" s="32"/>
      <c r="V255" s="32"/>
      <c r="W255" s="32"/>
      <c r="X255" s="32">
        <f>Inventory[[#This Row],[Bsmt Area]]-Inventory[[#This Row],[FnBsmt]]</f>
        <v>0</v>
      </c>
      <c r="Y255" s="32">
        <f>Inventory[[#This Row],[MainFn]]+Inventory[[#This Row],[UpprFn]]+Inventory[[#This Row],[AddFn]]+Inventory[[#This Row],[FnBsmt]]</f>
        <v>1756</v>
      </c>
      <c r="Z255" s="32">
        <v>2000</v>
      </c>
      <c r="AA255" s="31" t="s">
        <v>56</v>
      </c>
      <c r="AB255" s="32"/>
      <c r="AC255" s="30">
        <v>441</v>
      </c>
      <c r="AD255" s="32"/>
      <c r="AE255" s="32"/>
      <c r="AF255" s="32"/>
      <c r="AG255" s="32"/>
      <c r="AH255" s="32"/>
      <c r="AI255" s="30">
        <v>376826</v>
      </c>
      <c r="AJ255" s="30">
        <v>361753</v>
      </c>
      <c r="AK255" s="30">
        <v>0</v>
      </c>
      <c r="AL255" s="30">
        <v>0</v>
      </c>
      <c r="AM255" s="30">
        <v>61700</v>
      </c>
      <c r="AN255" s="30">
        <v>326700</v>
      </c>
      <c r="AO255" s="30">
        <v>388400</v>
      </c>
      <c r="AP255" s="30">
        <f>Lookups!$B$58*0.6</f>
        <v>132535.48800000001</v>
      </c>
      <c r="AQ255" s="30">
        <f>Lookups!$B$58*0.4</f>
        <v>88356.992000000013</v>
      </c>
      <c r="AR255" s="30">
        <f>Lookups!$B$59*Inventory[[#This Row],[LnAcres]]</f>
        <v>-23411.049612680359</v>
      </c>
      <c r="AS255" s="30">
        <f>VLOOKUP(Inventory[[#This Row],[Qlty]],Lookups!$A$66:$E$79,2,FALSE)</f>
        <v>32917.849192000001</v>
      </c>
      <c r="AT255" s="30">
        <f>VLOOKUP(Inventory[[#This Row],[Cnd]],Lookups!$A$80:$E$88,2,FALSE)</f>
        <v>50438.379078999998</v>
      </c>
      <c r="AU255" s="30">
        <f>Inventory[[#This Row],[EffAge]]*Lookups!$B$65</f>
        <v>-652.44659999999999</v>
      </c>
      <c r="AV255" s="30">
        <f>Inventory[[#This Row],[MainFn]]*Lookups!$B$90</f>
        <v>109592.62728</v>
      </c>
      <c r="AW255" s="30">
        <f>Inventory[[#This Row],[UpprFn]]*Lookups!$B$91</f>
        <v>0</v>
      </c>
      <c r="AX255" s="30">
        <f>Inventory[[#This Row],[Bsmt Area]]*Lookups!$B$95</f>
        <v>0</v>
      </c>
      <c r="AY255" s="30">
        <f>Inventory[[#This Row],[AttGar]]*Lookups!$B$93</f>
        <v>15567.754671000001</v>
      </c>
      <c r="AZ255" s="30">
        <f>ROUND(Inventory[[#This Row],[25Det]],-2)</f>
        <v>0</v>
      </c>
      <c r="BA255" s="30">
        <f>ROUND(SUM(Inventory[[#This Row],[Mdl Qlty]:[Mdl Garage Area]])+Inventory[[#This Row],[Mdl Res Intercept]],-2)</f>
        <v>340400</v>
      </c>
      <c r="BB255" s="30">
        <f>ROUND(Inventory[[#This Row],[Mdl Land Intercept]]+Inventory[[#This Row],[Mdl LnAcres]],-2)</f>
        <v>64900</v>
      </c>
      <c r="BC255" s="30">
        <f>Inventory[[#This Row],[Unadj Res Value]]+Inventory[[#This Row],[Unadj Det Value]]+Inventory[[#This Row],[Unadj Land Value]]</f>
        <v>405300</v>
      </c>
      <c r="BD255" s="30">
        <f>(Inventory[[#This Row],[Unadj Total Value]]-Inventory[[#This Row],[24Final]])/Inventory[[#This Row],[24Final]]</f>
        <v>4.3511843460350155E-2</v>
      </c>
      <c r="BE255" s="30">
        <f>VLOOKUP(Inventory[[#This Row],[Nbhd]],Lookups!$M$3:$P$5,4,FALSE)</f>
        <v>0.99970000000000003</v>
      </c>
      <c r="BF255" s="30">
        <f>VLOOKUP(Inventory[[#This Row],[Qlty]],Lookups!$M$8:$P$22,4,FALSE)</f>
        <v>1.0019</v>
      </c>
      <c r="BG255" s="30">
        <f>VLOOKUP(Inventory[[#This Row],[Cnd]],Lookups!$R$8:$U$17,4,FALSE)</f>
        <v>1.0007999999999999</v>
      </c>
      <c r="BH255" s="30">
        <f>VLOOKUP(Inventory[[#This Row],[LivArea Range]],Lookups!$R$25:$U$43,4,FALSE)</f>
        <v>1.0007999999999999</v>
      </c>
      <c r="BI255" s="30">
        <f>VLOOKUP(Inventory[[#This Row],[Decade]],Lookups!$M$24:$P$40,4,FALSE)</f>
        <v>1</v>
      </c>
      <c r="BJ255" s="30">
        <f>Inventory[[#This Row],[Nbhd Adj]]*0.95</f>
        <v>0.94971499999999998</v>
      </c>
      <c r="BK255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255" s="30">
        <f>ROUND((SUM(Inventory[[#This Row],[Mdl Qlty]:[Mdl Garage Area]])+Inventory[[#This Row],[Mdl Res Intercept]])*Inventory[[#This Row],[Res Adj ]],-2)</f>
        <v>323600</v>
      </c>
      <c r="BM255" s="30">
        <f>ROUND(Inventory[[#This Row],[25Det]]*Inventory[[#This Row],[Det/Nbhd Adj]],-2)</f>
        <v>0</v>
      </c>
      <c r="BN255" s="30">
        <f>Inventory[[#This Row],[Adjusted Res]]+Inventory[[#This Row],[Adj Det ]]</f>
        <v>323600</v>
      </c>
      <c r="BO255" s="30">
        <f>ROUND((Inventory[[#This Row],[Mdl Land Intercept]]+Inventory[[#This Row],[Mdl LnAcres]])*Inventory[[#This Row],[Det/Nbhd Adj]],-2)</f>
        <v>61700</v>
      </c>
      <c r="BP255" s="30">
        <f>Inventory[[#This Row],[Adjusted Impr Total]]+Inventory[[#This Row],[Adjusted Land Total]]</f>
        <v>385300</v>
      </c>
      <c r="BQ255" s="30">
        <f>IFERROR((Inventory[[#This Row],[Adjusted Impr Total]]-Inventory[[#This Row],[24Bldg]])/Inventory[[#This Row],[24Bldg]],0)</f>
        <v>-9.4888276706458531E-3</v>
      </c>
      <c r="BR255" s="43">
        <f>(Inventory[[#This Row],[Adjusted Land Total]]-Inventory[[#This Row],[24Lnd]])/Inventory[[#This Row],[24Lnd]]</f>
        <v>0</v>
      </c>
      <c r="BS255" s="43">
        <f>(Inventory[[#This Row],[Adjusted Total]]-Inventory[[#This Row],[24Final]])/Inventory[[#This Row],[24Final]]</f>
        <v>-7.9814624098867148E-3</v>
      </c>
    </row>
    <row r="256" spans="1:71">
      <c r="A256" s="30">
        <v>2025</v>
      </c>
      <c r="B256" s="31" t="s">
        <v>765</v>
      </c>
      <c r="C256" s="31">
        <f>LN(Inventory[[#This Row],[Acres]])</f>
        <v>-1.7719568419318752</v>
      </c>
      <c r="D256" s="37">
        <f>ROUND(Inventory[[#This Row],[Sqft]]/43560,3)</f>
        <v>0.17</v>
      </c>
      <c r="E256" s="30">
        <v>7403</v>
      </c>
      <c r="F256" s="31" t="s">
        <v>505</v>
      </c>
      <c r="G256" s="31" t="s">
        <v>155</v>
      </c>
      <c r="H256" s="31" t="s">
        <v>5</v>
      </c>
      <c r="I256" s="31" t="s">
        <v>506</v>
      </c>
      <c r="J256" s="31" t="s">
        <v>507</v>
      </c>
      <c r="K256" s="31" t="s">
        <v>330</v>
      </c>
      <c r="L256" s="31" t="s">
        <v>21</v>
      </c>
      <c r="M256" s="31" t="s">
        <v>22</v>
      </c>
      <c r="N256" s="31">
        <v>0</v>
      </c>
      <c r="O256" s="31">
        <f>2024-Inventory[[#This Row],[YrBlt]]</f>
        <v>6</v>
      </c>
      <c r="P256" s="31">
        <f>2024-Inventory[[#This Row],[EffYr]]</f>
        <v>6</v>
      </c>
      <c r="Q256" s="30">
        <v>2018</v>
      </c>
      <c r="R256" s="30">
        <v>2018</v>
      </c>
      <c r="S256" s="30">
        <v>2025</v>
      </c>
      <c r="T256" s="32"/>
      <c r="U256" s="32"/>
      <c r="V256" s="32"/>
      <c r="W256" s="32"/>
      <c r="X256" s="32">
        <f>Inventory[[#This Row],[Bsmt Area]]-Inventory[[#This Row],[FnBsmt]]</f>
        <v>0</v>
      </c>
      <c r="Y256" s="32">
        <f>Inventory[[#This Row],[MainFn]]+Inventory[[#This Row],[UpprFn]]+Inventory[[#This Row],[AddFn]]+Inventory[[#This Row],[FnBsmt]]</f>
        <v>2025</v>
      </c>
      <c r="Z256" s="32">
        <v>2500</v>
      </c>
      <c r="AA256" s="31" t="s">
        <v>57</v>
      </c>
      <c r="AB256" s="32"/>
      <c r="AC256" s="30">
        <v>670</v>
      </c>
      <c r="AD256" s="32"/>
      <c r="AE256" s="32"/>
      <c r="AF256" s="32"/>
      <c r="AG256" s="32"/>
      <c r="AH256" s="32"/>
      <c r="AI256" s="30">
        <v>442535</v>
      </c>
      <c r="AJ256" s="30">
        <v>424834</v>
      </c>
      <c r="AK256" s="30">
        <v>0</v>
      </c>
      <c r="AL256" s="30">
        <v>0</v>
      </c>
      <c r="AM256" s="30">
        <v>61700</v>
      </c>
      <c r="AN256" s="30">
        <v>365800</v>
      </c>
      <c r="AO256" s="30">
        <v>427500</v>
      </c>
      <c r="AP256" s="30">
        <f>Lookups!$B$58*0.6</f>
        <v>132535.48800000001</v>
      </c>
      <c r="AQ256" s="30">
        <f>Lookups!$B$58*0.4</f>
        <v>88356.992000000013</v>
      </c>
      <c r="AR256" s="30">
        <f>Lookups!$B$59*Inventory[[#This Row],[LnAcres]]</f>
        <v>-23255.730391660189</v>
      </c>
      <c r="AS256" s="30">
        <f>VLOOKUP(Inventory[[#This Row],[Qlty]],Lookups!$A$66:$E$79,2,FALSE)</f>
        <v>32917.849192000001</v>
      </c>
      <c r="AT256" s="30">
        <f>VLOOKUP(Inventory[[#This Row],[Cnd]],Lookups!$A$80:$E$88,2,FALSE)</f>
        <v>50438.379078999998</v>
      </c>
      <c r="AU256" s="30">
        <f>Inventory[[#This Row],[EffAge]]*Lookups!$B$65</f>
        <v>-652.44659999999999</v>
      </c>
      <c r="AV256" s="30">
        <f>Inventory[[#This Row],[MainFn]]*Lookups!$B$90</f>
        <v>126381.01950000001</v>
      </c>
      <c r="AW256" s="30">
        <f>Inventory[[#This Row],[UpprFn]]*Lookups!$B$91</f>
        <v>0</v>
      </c>
      <c r="AX256" s="30">
        <f>Inventory[[#This Row],[Bsmt Area]]*Lookups!$B$95</f>
        <v>0</v>
      </c>
      <c r="AY256" s="30">
        <f>Inventory[[#This Row],[AttGar]]*Lookups!$B$93</f>
        <v>23651.690770000001</v>
      </c>
      <c r="AZ256" s="30">
        <f>ROUND(Inventory[[#This Row],[25Det]],-2)</f>
        <v>0</v>
      </c>
      <c r="BA256" s="30">
        <f>ROUND(SUM(Inventory[[#This Row],[Mdl Qlty]:[Mdl Garage Area]])+Inventory[[#This Row],[Mdl Res Intercept]],-2)</f>
        <v>365300</v>
      </c>
      <c r="BB256" s="30">
        <f>ROUND(Inventory[[#This Row],[Mdl Land Intercept]]+Inventory[[#This Row],[Mdl LnAcres]],-2)</f>
        <v>65100</v>
      </c>
      <c r="BC256" s="30">
        <f>Inventory[[#This Row],[Unadj Res Value]]+Inventory[[#This Row],[Unadj Det Value]]+Inventory[[#This Row],[Unadj Land Value]]</f>
        <v>430400</v>
      </c>
      <c r="BD256" s="30">
        <f>(Inventory[[#This Row],[Unadj Total Value]]-Inventory[[#This Row],[24Final]])/Inventory[[#This Row],[24Final]]</f>
        <v>6.7836257309941521E-3</v>
      </c>
      <c r="BE256" s="30">
        <f>VLOOKUP(Inventory[[#This Row],[Nbhd]],Lookups!$M$3:$P$5,4,FALSE)</f>
        <v>0.99970000000000003</v>
      </c>
      <c r="BF256" s="30">
        <f>VLOOKUP(Inventory[[#This Row],[Qlty]],Lookups!$M$8:$P$22,4,FALSE)</f>
        <v>1.0019</v>
      </c>
      <c r="BG256" s="30">
        <f>VLOOKUP(Inventory[[#This Row],[Cnd]],Lookups!$R$8:$U$17,4,FALSE)</f>
        <v>1.0007999999999999</v>
      </c>
      <c r="BH256" s="30">
        <f>VLOOKUP(Inventory[[#This Row],[LivArea Range]],Lookups!$R$25:$U$43,4,FALSE)</f>
        <v>1.0008999999999999</v>
      </c>
      <c r="BI256" s="30">
        <f>VLOOKUP(Inventory[[#This Row],[Decade]],Lookups!$M$24:$P$40,4,FALSE)</f>
        <v>1</v>
      </c>
      <c r="BJ256" s="30">
        <f>Inventory[[#This Row],[Nbhd Adj]]*0.95</f>
        <v>0.94971499999999998</v>
      </c>
      <c r="BK256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256" s="30">
        <f>ROUND((SUM(Inventory[[#This Row],[Mdl Qlty]:[Mdl Garage Area]])+Inventory[[#This Row],[Mdl Res Intercept]])*Inventory[[#This Row],[Res Adj ]],-2)</f>
        <v>347200</v>
      </c>
      <c r="BM256" s="30">
        <f>ROUND(Inventory[[#This Row],[25Det]]*Inventory[[#This Row],[Det/Nbhd Adj]],-2)</f>
        <v>0</v>
      </c>
      <c r="BN256" s="30">
        <f>Inventory[[#This Row],[Adjusted Res]]+Inventory[[#This Row],[Adj Det ]]</f>
        <v>347200</v>
      </c>
      <c r="BO256" s="30">
        <f>ROUND((Inventory[[#This Row],[Mdl Land Intercept]]+Inventory[[#This Row],[Mdl LnAcres]])*Inventory[[#This Row],[Det/Nbhd Adj]],-2)</f>
        <v>61800</v>
      </c>
      <c r="BP256" s="30">
        <f>Inventory[[#This Row],[Adjusted Impr Total]]+Inventory[[#This Row],[Adjusted Land Total]]</f>
        <v>409000</v>
      </c>
      <c r="BQ256" s="30">
        <f>IFERROR((Inventory[[#This Row],[Adjusted Impr Total]]-Inventory[[#This Row],[24Bldg]])/Inventory[[#This Row],[24Bldg]],0)</f>
        <v>-5.0847457627118647E-2</v>
      </c>
      <c r="BR256" s="43">
        <f>(Inventory[[#This Row],[Adjusted Land Total]]-Inventory[[#This Row],[24Lnd]])/Inventory[[#This Row],[24Lnd]]</f>
        <v>1.6207455429497568E-3</v>
      </c>
      <c r="BS256" s="43">
        <f>(Inventory[[#This Row],[Adjusted Total]]-Inventory[[#This Row],[24Final]])/Inventory[[#This Row],[24Final]]</f>
        <v>-4.3274853801169591E-2</v>
      </c>
    </row>
    <row r="257" spans="1:71">
      <c r="A257" s="30">
        <v>2025</v>
      </c>
      <c r="B257" s="31" t="s">
        <v>766</v>
      </c>
      <c r="C257" s="31">
        <f>LN(Inventory[[#This Row],[Acres]])</f>
        <v>-1.742969305058623</v>
      </c>
      <c r="D257" s="37">
        <f>ROUND(Inventory[[#This Row],[Sqft]]/43560,3)</f>
        <v>0.17499999999999999</v>
      </c>
      <c r="E257" s="30">
        <v>7603</v>
      </c>
      <c r="F257" s="31" t="s">
        <v>505</v>
      </c>
      <c r="G257" s="31" t="s">
        <v>155</v>
      </c>
      <c r="H257" s="31" t="s">
        <v>5</v>
      </c>
      <c r="I257" s="31" t="s">
        <v>506</v>
      </c>
      <c r="J257" s="31" t="s">
        <v>507</v>
      </c>
      <c r="K257" s="31" t="s">
        <v>330</v>
      </c>
      <c r="L257" s="31" t="s">
        <v>21</v>
      </c>
      <c r="M257" s="31" t="s">
        <v>22</v>
      </c>
      <c r="N257" s="31">
        <v>0</v>
      </c>
      <c r="O257" s="31">
        <f>2024-Inventory[[#This Row],[YrBlt]]</f>
        <v>6</v>
      </c>
      <c r="P257" s="31">
        <f>2024-Inventory[[#This Row],[EffYr]]</f>
        <v>6</v>
      </c>
      <c r="Q257" s="30">
        <v>2018</v>
      </c>
      <c r="R257" s="30">
        <v>2018</v>
      </c>
      <c r="S257" s="30">
        <v>1674</v>
      </c>
      <c r="T257" s="32"/>
      <c r="U257" s="32"/>
      <c r="V257" s="32"/>
      <c r="W257" s="32"/>
      <c r="X257" s="32">
        <f>Inventory[[#This Row],[Bsmt Area]]-Inventory[[#This Row],[FnBsmt]]</f>
        <v>0</v>
      </c>
      <c r="Y257" s="32">
        <f>Inventory[[#This Row],[MainFn]]+Inventory[[#This Row],[UpprFn]]+Inventory[[#This Row],[AddFn]]+Inventory[[#This Row],[FnBsmt]]</f>
        <v>1674</v>
      </c>
      <c r="Z257" s="32">
        <v>2000</v>
      </c>
      <c r="AA257" s="31" t="s">
        <v>56</v>
      </c>
      <c r="AB257" s="32"/>
      <c r="AC257" s="38">
        <v>441</v>
      </c>
      <c r="AD257" s="32"/>
      <c r="AE257" s="32"/>
      <c r="AF257" s="32"/>
      <c r="AG257" s="32"/>
      <c r="AH257" s="32"/>
      <c r="AI257" s="30">
        <v>379958</v>
      </c>
      <c r="AJ257" s="30">
        <v>364760</v>
      </c>
      <c r="AK257" s="30">
        <v>0</v>
      </c>
      <c r="AL257" s="30">
        <v>0</v>
      </c>
      <c r="AM257" s="30">
        <v>61700</v>
      </c>
      <c r="AN257" s="30">
        <v>328800</v>
      </c>
      <c r="AO257" s="30">
        <v>390500</v>
      </c>
      <c r="AP257" s="30">
        <f>Lookups!$B$58*0.6</f>
        <v>132535.48800000001</v>
      </c>
      <c r="AQ257" s="30">
        <f>Lookups!$B$58*0.4</f>
        <v>88356.992000000013</v>
      </c>
      <c r="AR257" s="30">
        <f>Lookups!$B$59*Inventory[[#This Row],[LnAcres]]</f>
        <v>-22875.288652736293</v>
      </c>
      <c r="AS257" s="30">
        <f>VLOOKUP(Inventory[[#This Row],[Qlty]],Lookups!$A$66:$E$79,2,FALSE)</f>
        <v>32917.849192000001</v>
      </c>
      <c r="AT257" s="30">
        <f>VLOOKUP(Inventory[[#This Row],[Cnd]],Lookups!$A$80:$E$88,2,FALSE)</f>
        <v>50438.379078999998</v>
      </c>
      <c r="AU257" s="30">
        <f>Inventory[[#This Row],[EffAge]]*Lookups!$B$65</f>
        <v>-652.44659999999999</v>
      </c>
      <c r="AV257" s="30">
        <f>Inventory[[#This Row],[MainFn]]*Lookups!$B$90</f>
        <v>104474.97612000001</v>
      </c>
      <c r="AW257" s="30">
        <f>Inventory[[#This Row],[UpprFn]]*Lookups!$B$91</f>
        <v>0</v>
      </c>
      <c r="AX257" s="30">
        <f>Inventory[[#This Row],[Bsmt Area]]*Lookups!$B$95</f>
        <v>0</v>
      </c>
      <c r="AY257" s="30">
        <f>Inventory[[#This Row],[AttGar]]*Lookups!$B$93</f>
        <v>15567.754671000001</v>
      </c>
      <c r="AZ257" s="30">
        <f>ROUND(Inventory[[#This Row],[25Det]],-2)</f>
        <v>0</v>
      </c>
      <c r="BA257" s="30">
        <f>ROUND(SUM(Inventory[[#This Row],[Mdl Qlty]:[Mdl Garage Area]])+Inventory[[#This Row],[Mdl Res Intercept]],-2)</f>
        <v>335300</v>
      </c>
      <c r="BB257" s="30">
        <f>ROUND(Inventory[[#This Row],[Mdl Land Intercept]]+Inventory[[#This Row],[Mdl LnAcres]],-2)</f>
        <v>65500</v>
      </c>
      <c r="BC257" s="30">
        <f>Inventory[[#This Row],[Unadj Res Value]]+Inventory[[#This Row],[Unadj Det Value]]+Inventory[[#This Row],[Unadj Land Value]]</f>
        <v>400800</v>
      </c>
      <c r="BD257" s="30">
        <f>(Inventory[[#This Row],[Unadj Total Value]]-Inventory[[#This Row],[24Final]])/Inventory[[#This Row],[24Final]]</f>
        <v>2.6376440460947503E-2</v>
      </c>
      <c r="BE257" s="30">
        <f>VLOOKUP(Inventory[[#This Row],[Nbhd]],Lookups!$M$3:$P$5,4,FALSE)</f>
        <v>0.99970000000000003</v>
      </c>
      <c r="BF257" s="30">
        <f>VLOOKUP(Inventory[[#This Row],[Qlty]],Lookups!$M$8:$P$22,4,FALSE)</f>
        <v>1.0019</v>
      </c>
      <c r="BG257" s="30">
        <f>VLOOKUP(Inventory[[#This Row],[Cnd]],Lookups!$R$8:$U$17,4,FALSE)</f>
        <v>1.0007999999999999</v>
      </c>
      <c r="BH257" s="30">
        <f>VLOOKUP(Inventory[[#This Row],[LivArea Range]],Lookups!$R$25:$U$43,4,FALSE)</f>
        <v>1.0007999999999999</v>
      </c>
      <c r="BI257" s="30">
        <f>VLOOKUP(Inventory[[#This Row],[Decade]],Lookups!$M$24:$P$40,4,FALSE)</f>
        <v>1</v>
      </c>
      <c r="BJ257" s="30">
        <f>Inventory[[#This Row],[Nbhd Adj]]*0.95</f>
        <v>0.94971499999999998</v>
      </c>
      <c r="BK257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257" s="30">
        <f>ROUND((SUM(Inventory[[#This Row],[Mdl Qlty]:[Mdl Garage Area]])+Inventory[[#This Row],[Mdl Res Intercept]])*Inventory[[#This Row],[Res Adj ]],-2)</f>
        <v>318700</v>
      </c>
      <c r="BM257" s="30">
        <f>ROUND(Inventory[[#This Row],[25Det]]*Inventory[[#This Row],[Det/Nbhd Adj]],-2)</f>
        <v>0</v>
      </c>
      <c r="BN257" s="30">
        <f>Inventory[[#This Row],[Adjusted Res]]+Inventory[[#This Row],[Adj Det ]]</f>
        <v>318700</v>
      </c>
      <c r="BO257" s="30">
        <f>ROUND((Inventory[[#This Row],[Mdl Land Intercept]]+Inventory[[#This Row],[Mdl LnAcres]])*Inventory[[#This Row],[Det/Nbhd Adj]],-2)</f>
        <v>62200</v>
      </c>
      <c r="BP257" s="30">
        <f>Inventory[[#This Row],[Adjusted Impr Total]]+Inventory[[#This Row],[Adjusted Land Total]]</f>
        <v>380900</v>
      </c>
      <c r="BQ257" s="30">
        <f>IFERROR((Inventory[[#This Row],[Adjusted Impr Total]]-Inventory[[#This Row],[24Bldg]])/Inventory[[#This Row],[24Bldg]],0)</f>
        <v>-3.0717761557177616E-2</v>
      </c>
      <c r="BR257" s="43">
        <f>(Inventory[[#This Row],[Adjusted Land Total]]-Inventory[[#This Row],[24Lnd]])/Inventory[[#This Row],[24Lnd]]</f>
        <v>8.1037277147487843E-3</v>
      </c>
      <c r="BS257" s="43">
        <f>(Inventory[[#This Row],[Adjusted Total]]-Inventory[[#This Row],[24Final]])/Inventory[[#This Row],[24Final]]</f>
        <v>-2.4583866837387964E-2</v>
      </c>
    </row>
    <row r="258" spans="1:71">
      <c r="A258" s="30">
        <v>2025</v>
      </c>
      <c r="B258" s="31" t="s">
        <v>767</v>
      </c>
      <c r="C258" s="31">
        <f>LN(Inventory[[#This Row],[Acres]])</f>
        <v>-1.7147984280919266</v>
      </c>
      <c r="D258" s="37">
        <f>ROUND(Inventory[[#This Row],[Sqft]]/43560,3)</f>
        <v>0.18</v>
      </c>
      <c r="E258" s="30">
        <v>7824</v>
      </c>
      <c r="F258" s="31" t="s">
        <v>505</v>
      </c>
      <c r="G258" s="31" t="s">
        <v>155</v>
      </c>
      <c r="H258" s="31" t="s">
        <v>5</v>
      </c>
      <c r="I258" s="31" t="s">
        <v>506</v>
      </c>
      <c r="J258" s="31" t="s">
        <v>507</v>
      </c>
      <c r="K258" s="31" t="s">
        <v>330</v>
      </c>
      <c r="L258" s="31" t="s">
        <v>21</v>
      </c>
      <c r="M258" s="31" t="s">
        <v>22</v>
      </c>
      <c r="N258" s="31">
        <v>0</v>
      </c>
      <c r="O258" s="31">
        <f>2024-Inventory[[#This Row],[YrBlt]]</f>
        <v>6</v>
      </c>
      <c r="P258" s="31">
        <f>2024-Inventory[[#This Row],[EffYr]]</f>
        <v>6</v>
      </c>
      <c r="Q258" s="30">
        <v>2018</v>
      </c>
      <c r="R258" s="30">
        <v>2018</v>
      </c>
      <c r="S258" s="30">
        <v>1230</v>
      </c>
      <c r="T258" s="38">
        <v>1441</v>
      </c>
      <c r="U258" s="32"/>
      <c r="V258" s="32"/>
      <c r="W258" s="32"/>
      <c r="X258" s="32">
        <f>Inventory[[#This Row],[Bsmt Area]]-Inventory[[#This Row],[FnBsmt]]</f>
        <v>0</v>
      </c>
      <c r="Y258" s="32">
        <f>Inventory[[#This Row],[MainFn]]+Inventory[[#This Row],[UpprFn]]+Inventory[[#This Row],[AddFn]]+Inventory[[#This Row],[FnBsmt]]</f>
        <v>2671</v>
      </c>
      <c r="Z258" s="32">
        <v>3000</v>
      </c>
      <c r="AA258" s="31" t="s">
        <v>56</v>
      </c>
      <c r="AB258" s="37"/>
      <c r="AC258" s="30">
        <v>462</v>
      </c>
      <c r="AD258" s="32"/>
      <c r="AE258" s="32"/>
      <c r="AF258" s="32"/>
      <c r="AG258" s="32"/>
      <c r="AH258" s="32"/>
      <c r="AI258" s="30">
        <v>514827</v>
      </c>
      <c r="AJ258" s="30">
        <v>494234</v>
      </c>
      <c r="AK258" s="30">
        <v>0</v>
      </c>
      <c r="AL258" s="30">
        <v>0</v>
      </c>
      <c r="AM258" s="30">
        <v>62500</v>
      </c>
      <c r="AN258" s="30">
        <v>389900</v>
      </c>
      <c r="AO258" s="30">
        <v>452400</v>
      </c>
      <c r="AP258" s="30">
        <f>Lookups!$B$58*0.6</f>
        <v>132535.48800000001</v>
      </c>
      <c r="AQ258" s="30">
        <f>Lookups!$B$58*0.4</f>
        <v>88356.992000000013</v>
      </c>
      <c r="AR258" s="30">
        <f>Lookups!$B$59*Inventory[[#This Row],[LnAcres]]</f>
        <v>-22505.565020573864</v>
      </c>
      <c r="AS258" s="30">
        <f>VLOOKUP(Inventory[[#This Row],[Qlty]],Lookups!$A$66:$E$79,2,FALSE)</f>
        <v>32917.849192000001</v>
      </c>
      <c r="AT258" s="30">
        <f>VLOOKUP(Inventory[[#This Row],[Cnd]],Lookups!$A$80:$E$88,2,FALSE)</f>
        <v>50438.379078999998</v>
      </c>
      <c r="AU258" s="30">
        <f>Inventory[[#This Row],[EffAge]]*Lookups!$B$65</f>
        <v>-652.44659999999999</v>
      </c>
      <c r="AV258" s="30">
        <f>Inventory[[#This Row],[MainFn]]*Lookups!$B$90</f>
        <v>76764.767400000012</v>
      </c>
      <c r="AW258" s="30">
        <f>Inventory[[#This Row],[UpprFn]]*Lookups!$B$91</f>
        <v>85855.331902999998</v>
      </c>
      <c r="AX258" s="30">
        <f>Inventory[[#This Row],[Bsmt Area]]*Lookups!$B$95</f>
        <v>0</v>
      </c>
      <c r="AY258" s="30">
        <f>Inventory[[#This Row],[AttGar]]*Lookups!$B$93</f>
        <v>16309.076322000001</v>
      </c>
      <c r="AZ258" s="30">
        <f>ROUND(Inventory[[#This Row],[25Det]],-2)</f>
        <v>0</v>
      </c>
      <c r="BA258" s="30">
        <f>ROUND(SUM(Inventory[[#This Row],[Mdl Qlty]:[Mdl Garage Area]])+Inventory[[#This Row],[Mdl Res Intercept]],-2)</f>
        <v>394200</v>
      </c>
      <c r="BB258" s="30">
        <f>ROUND(Inventory[[#This Row],[Mdl Land Intercept]]+Inventory[[#This Row],[Mdl LnAcres]],-2)</f>
        <v>65900</v>
      </c>
      <c r="BC258" s="30">
        <f>Inventory[[#This Row],[Unadj Res Value]]+Inventory[[#This Row],[Unadj Det Value]]+Inventory[[#This Row],[Unadj Land Value]]</f>
        <v>460100</v>
      </c>
      <c r="BD258" s="30">
        <f>(Inventory[[#This Row],[Unadj Total Value]]-Inventory[[#This Row],[24Final]])/Inventory[[#This Row],[24Final]]</f>
        <v>1.7020335985853226E-2</v>
      </c>
      <c r="BE258" s="30">
        <f>VLOOKUP(Inventory[[#This Row],[Nbhd]],Lookups!$M$3:$P$5,4,FALSE)</f>
        <v>0.99970000000000003</v>
      </c>
      <c r="BF258" s="30">
        <f>VLOOKUP(Inventory[[#This Row],[Qlty]],Lookups!$M$8:$P$22,4,FALSE)</f>
        <v>1.0019</v>
      </c>
      <c r="BG258" s="30">
        <f>VLOOKUP(Inventory[[#This Row],[Cnd]],Lookups!$R$8:$U$17,4,FALSE)</f>
        <v>1.0007999999999999</v>
      </c>
      <c r="BH258" s="30">
        <f>VLOOKUP(Inventory[[#This Row],[LivArea Range]],Lookups!$R$25:$U$43,4,FALSE)</f>
        <v>1.0099</v>
      </c>
      <c r="BI258" s="30">
        <f>VLOOKUP(Inventory[[#This Row],[Decade]],Lookups!$M$24:$P$40,4,FALSE)</f>
        <v>1</v>
      </c>
      <c r="BJ258" s="30">
        <f>Inventory[[#This Row],[Nbhd Adj]]*0.95</f>
        <v>0.94971499999999998</v>
      </c>
      <c r="BK258" s="30">
        <f>AVERAGE(Inventory[[#This Row],[Nbhd Adj]],Inventory[[#This Row],[Quality Adj]],Inventory[[#This Row],[Condition Adj]],Inventory[[#This Row],[Living Area Adj]],Inventory[[#This Row],[Decade Adj]])*0.95</f>
        <v>0.95233699999999988</v>
      </c>
      <c r="BL258" s="30">
        <f>ROUND((SUM(Inventory[[#This Row],[Mdl Qlty]:[Mdl Garage Area]])+Inventory[[#This Row],[Mdl Res Intercept]])*Inventory[[#This Row],[Res Adj ]],-2)</f>
        <v>375400</v>
      </c>
      <c r="BM258" s="30">
        <f>ROUND(Inventory[[#This Row],[25Det]]*Inventory[[#This Row],[Det/Nbhd Adj]],-2)</f>
        <v>0</v>
      </c>
      <c r="BN258" s="30">
        <f>Inventory[[#This Row],[Adjusted Res]]+Inventory[[#This Row],[Adj Det ]]</f>
        <v>375400</v>
      </c>
      <c r="BO258" s="30">
        <f>ROUND((Inventory[[#This Row],[Mdl Land Intercept]]+Inventory[[#This Row],[Mdl LnAcres]])*Inventory[[#This Row],[Det/Nbhd Adj]],-2)</f>
        <v>62500</v>
      </c>
      <c r="BP258" s="30">
        <f>Inventory[[#This Row],[Adjusted Impr Total]]+Inventory[[#This Row],[Adjusted Land Total]]</f>
        <v>437900</v>
      </c>
      <c r="BQ258" s="30">
        <f>IFERROR((Inventory[[#This Row],[Adjusted Impr Total]]-Inventory[[#This Row],[24Bldg]])/Inventory[[#This Row],[24Bldg]],0)</f>
        <v>-3.7189022826365735E-2</v>
      </c>
      <c r="BR258" s="43">
        <f>(Inventory[[#This Row],[Adjusted Land Total]]-Inventory[[#This Row],[24Lnd]])/Inventory[[#This Row],[24Lnd]]</f>
        <v>0</v>
      </c>
      <c r="BS258" s="43">
        <f>(Inventory[[#This Row],[Adjusted Total]]-Inventory[[#This Row],[24Final]])/Inventory[[#This Row],[24Final]]</f>
        <v>-3.2051282051282048E-2</v>
      </c>
    </row>
    <row r="259" spans="1:71">
      <c r="A259" s="30">
        <v>2025</v>
      </c>
      <c r="B259" s="31" t="s">
        <v>768</v>
      </c>
      <c r="C259" s="31">
        <f>LN(Inventory[[#This Row],[Acres]])</f>
        <v>-1.6554818509355071</v>
      </c>
      <c r="D259" s="37">
        <f>ROUND(Inventory[[#This Row],[Sqft]]/43560,3)</f>
        <v>0.191</v>
      </c>
      <c r="E259" s="30">
        <v>8313</v>
      </c>
      <c r="F259" s="31" t="s">
        <v>505</v>
      </c>
      <c r="G259" s="31" t="s">
        <v>155</v>
      </c>
      <c r="H259" s="31" t="s">
        <v>5</v>
      </c>
      <c r="I259" s="31" t="s">
        <v>506</v>
      </c>
      <c r="J259" s="31" t="s">
        <v>507</v>
      </c>
      <c r="K259" s="31" t="s">
        <v>330</v>
      </c>
      <c r="L259" s="31" t="s">
        <v>21</v>
      </c>
      <c r="M259" s="31" t="s">
        <v>22</v>
      </c>
      <c r="N259" s="31">
        <v>0</v>
      </c>
      <c r="O259" s="31">
        <f>2024-Inventory[[#This Row],[YrBlt]]</f>
        <v>6</v>
      </c>
      <c r="P259" s="31">
        <f>2024-Inventory[[#This Row],[EffYr]]</f>
        <v>6</v>
      </c>
      <c r="Q259" s="30">
        <v>2018</v>
      </c>
      <c r="R259" s="30">
        <v>2018</v>
      </c>
      <c r="S259" s="30">
        <v>1749</v>
      </c>
      <c r="T259" s="32"/>
      <c r="U259" s="32"/>
      <c r="V259" s="32"/>
      <c r="W259" s="32"/>
      <c r="X259" s="32">
        <f>Inventory[[#This Row],[Bsmt Area]]-Inventory[[#This Row],[FnBsmt]]</f>
        <v>0</v>
      </c>
      <c r="Y259" s="32">
        <f>Inventory[[#This Row],[MainFn]]+Inventory[[#This Row],[UpprFn]]+Inventory[[#This Row],[AddFn]]+Inventory[[#This Row],[FnBsmt]]</f>
        <v>1749</v>
      </c>
      <c r="Z259" s="32">
        <v>2000</v>
      </c>
      <c r="AA259" s="31" t="s">
        <v>56</v>
      </c>
      <c r="AB259" s="32"/>
      <c r="AC259" s="38">
        <v>441</v>
      </c>
      <c r="AD259" s="32"/>
      <c r="AE259" s="32"/>
      <c r="AF259" s="32"/>
      <c r="AG259" s="32"/>
      <c r="AH259" s="32"/>
      <c r="AI259" s="30">
        <v>374637</v>
      </c>
      <c r="AJ259" s="30">
        <v>359652</v>
      </c>
      <c r="AK259" s="30">
        <v>0</v>
      </c>
      <c r="AL259" s="30">
        <v>0</v>
      </c>
      <c r="AM259" s="30">
        <v>63200</v>
      </c>
      <c r="AN259" s="30">
        <v>326600</v>
      </c>
      <c r="AO259" s="30">
        <v>389800</v>
      </c>
      <c r="AP259" s="30">
        <f>Lookups!$B$58*0.6</f>
        <v>132535.48800000001</v>
      </c>
      <c r="AQ259" s="30">
        <f>Lookups!$B$58*0.4</f>
        <v>88356.992000000013</v>
      </c>
      <c r="AR259" s="30">
        <f>Lookups!$B$59*Inventory[[#This Row],[LnAcres]]</f>
        <v>-21727.075221351744</v>
      </c>
      <c r="AS259" s="30">
        <f>VLOOKUP(Inventory[[#This Row],[Qlty]],Lookups!$A$66:$E$79,2,FALSE)</f>
        <v>32917.849192000001</v>
      </c>
      <c r="AT259" s="30">
        <f>VLOOKUP(Inventory[[#This Row],[Cnd]],Lookups!$A$80:$E$88,2,FALSE)</f>
        <v>50438.379078999998</v>
      </c>
      <c r="AU259" s="30">
        <f>Inventory[[#This Row],[EffAge]]*Lookups!$B$65</f>
        <v>-652.44659999999999</v>
      </c>
      <c r="AV259" s="30">
        <f>Inventory[[#This Row],[MainFn]]*Lookups!$B$90</f>
        <v>109155.75462000001</v>
      </c>
      <c r="AW259" s="30">
        <f>Inventory[[#This Row],[UpprFn]]*Lookups!$B$91</f>
        <v>0</v>
      </c>
      <c r="AX259" s="30">
        <f>Inventory[[#This Row],[Bsmt Area]]*Lookups!$B$95</f>
        <v>0</v>
      </c>
      <c r="AY259" s="30">
        <f>Inventory[[#This Row],[AttGar]]*Lookups!$B$93</f>
        <v>15567.754671000001</v>
      </c>
      <c r="AZ259" s="30">
        <f>ROUND(Inventory[[#This Row],[25Det]],-2)</f>
        <v>0</v>
      </c>
      <c r="BA259" s="30">
        <f>ROUND(SUM(Inventory[[#This Row],[Mdl Qlty]:[Mdl Garage Area]])+Inventory[[#This Row],[Mdl Res Intercept]],-2)</f>
        <v>340000</v>
      </c>
      <c r="BB259" s="30">
        <f>ROUND(Inventory[[#This Row],[Mdl Land Intercept]]+Inventory[[#This Row],[Mdl LnAcres]],-2)</f>
        <v>66600</v>
      </c>
      <c r="BC259" s="30">
        <f>Inventory[[#This Row],[Unadj Res Value]]+Inventory[[#This Row],[Unadj Det Value]]+Inventory[[#This Row],[Unadj Land Value]]</f>
        <v>406600</v>
      </c>
      <c r="BD259" s="30">
        <f>(Inventory[[#This Row],[Unadj Total Value]]-Inventory[[#This Row],[24Final]])/Inventory[[#This Row],[24Final]]</f>
        <v>4.3099025141098E-2</v>
      </c>
      <c r="BE259" s="30">
        <f>VLOOKUP(Inventory[[#This Row],[Nbhd]],Lookups!$M$3:$P$5,4,FALSE)</f>
        <v>0.99970000000000003</v>
      </c>
      <c r="BF259" s="30">
        <f>VLOOKUP(Inventory[[#This Row],[Qlty]],Lookups!$M$8:$P$22,4,FALSE)</f>
        <v>1.0019</v>
      </c>
      <c r="BG259" s="30">
        <f>VLOOKUP(Inventory[[#This Row],[Cnd]],Lookups!$R$8:$U$17,4,FALSE)</f>
        <v>1.0007999999999999</v>
      </c>
      <c r="BH259" s="30">
        <f>VLOOKUP(Inventory[[#This Row],[LivArea Range]],Lookups!$R$25:$U$43,4,FALSE)</f>
        <v>1.0007999999999999</v>
      </c>
      <c r="BI259" s="30">
        <f>VLOOKUP(Inventory[[#This Row],[Decade]],Lookups!$M$24:$P$40,4,FALSE)</f>
        <v>1</v>
      </c>
      <c r="BJ259" s="30">
        <f>Inventory[[#This Row],[Nbhd Adj]]*0.95</f>
        <v>0.94971499999999998</v>
      </c>
      <c r="BK259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259" s="30">
        <f>ROUND((SUM(Inventory[[#This Row],[Mdl Qlty]:[Mdl Garage Area]])+Inventory[[#This Row],[Mdl Res Intercept]])*Inventory[[#This Row],[Res Adj ]],-2)</f>
        <v>323200</v>
      </c>
      <c r="BM259" s="30">
        <f>ROUND(Inventory[[#This Row],[25Det]]*Inventory[[#This Row],[Det/Nbhd Adj]],-2)</f>
        <v>0</v>
      </c>
      <c r="BN259" s="30">
        <f>Inventory[[#This Row],[Adjusted Res]]+Inventory[[#This Row],[Adj Det ]]</f>
        <v>323200</v>
      </c>
      <c r="BO259" s="30">
        <f>ROUND((Inventory[[#This Row],[Mdl Land Intercept]]+Inventory[[#This Row],[Mdl LnAcres]])*Inventory[[#This Row],[Det/Nbhd Adj]],-2)</f>
        <v>63300</v>
      </c>
      <c r="BP259" s="30">
        <f>Inventory[[#This Row],[Adjusted Impr Total]]+Inventory[[#This Row],[Adjusted Land Total]]</f>
        <v>386500</v>
      </c>
      <c r="BQ259" s="30">
        <f>IFERROR((Inventory[[#This Row],[Adjusted Impr Total]]-Inventory[[#This Row],[24Bldg]])/Inventory[[#This Row],[24Bldg]],0)</f>
        <v>-1.0410287813839559E-2</v>
      </c>
      <c r="BR259" s="43">
        <f>(Inventory[[#This Row],[Adjusted Land Total]]-Inventory[[#This Row],[24Lnd]])/Inventory[[#This Row],[24Lnd]]</f>
        <v>1.5822784810126582E-3</v>
      </c>
      <c r="BS259" s="43">
        <f>(Inventory[[#This Row],[Adjusted Total]]-Inventory[[#This Row],[24Final]])/Inventory[[#This Row],[24Final]]</f>
        <v>-8.4658799384299648E-3</v>
      </c>
    </row>
    <row r="260" spans="1:71">
      <c r="A260" s="30">
        <v>2025</v>
      </c>
      <c r="B260" s="31" t="s">
        <v>769</v>
      </c>
      <c r="C260" s="31">
        <f>LN(Inventory[[#This Row],[Acres]])</f>
        <v>0</v>
      </c>
      <c r="D260" s="37">
        <f>ROUND(Inventory[[#This Row],[Sqft]]/43560,3)</f>
        <v>1</v>
      </c>
      <c r="E260" s="30">
        <v>43563</v>
      </c>
      <c r="F260" s="31" t="s">
        <v>505</v>
      </c>
      <c r="G260" s="31" t="s">
        <v>155</v>
      </c>
      <c r="H260" s="31" t="s">
        <v>5</v>
      </c>
      <c r="I260" s="31" t="s">
        <v>506</v>
      </c>
      <c r="J260" s="31" t="s">
        <v>507</v>
      </c>
      <c r="K260" s="31" t="s">
        <v>330</v>
      </c>
      <c r="L260" s="31" t="s">
        <v>19</v>
      </c>
      <c r="M260" s="31" t="s">
        <v>20</v>
      </c>
      <c r="N260" s="31">
        <v>0</v>
      </c>
      <c r="O260" s="31">
        <f>2024-Inventory[[#This Row],[YrBlt]]</f>
        <v>6</v>
      </c>
      <c r="P260" s="31">
        <f>2024-Inventory[[#This Row],[EffYr]]</f>
        <v>6</v>
      </c>
      <c r="Q260" s="30">
        <v>2018</v>
      </c>
      <c r="R260" s="30">
        <v>2018</v>
      </c>
      <c r="S260" s="30">
        <v>2592</v>
      </c>
      <c r="T260" s="32"/>
      <c r="U260" s="32"/>
      <c r="V260" s="38">
        <v>486</v>
      </c>
      <c r="W260" s="32"/>
      <c r="X260" s="32">
        <f>Inventory[[#This Row],[Bsmt Area]]-Inventory[[#This Row],[FnBsmt]]</f>
        <v>0</v>
      </c>
      <c r="Y260" s="32">
        <f>Inventory[[#This Row],[MainFn]]+Inventory[[#This Row],[UpprFn]]+Inventory[[#This Row],[AddFn]]+Inventory[[#This Row],[FnBsmt]]</f>
        <v>3078</v>
      </c>
      <c r="Z260" s="32">
        <v>3500</v>
      </c>
      <c r="AA260" s="31" t="s">
        <v>57</v>
      </c>
      <c r="AB260" s="32"/>
      <c r="AC260" s="30">
        <v>576</v>
      </c>
      <c r="AD260" s="32"/>
      <c r="AE260" s="32"/>
      <c r="AF260" s="32"/>
      <c r="AG260" s="32"/>
      <c r="AH260" s="32"/>
      <c r="AI260" s="30">
        <v>521279</v>
      </c>
      <c r="AJ260" s="30">
        <v>500428</v>
      </c>
      <c r="AK260" s="30">
        <v>9883</v>
      </c>
      <c r="AL260" s="30">
        <v>0</v>
      </c>
      <c r="AM260" s="30">
        <v>86500</v>
      </c>
      <c r="AN260" s="30">
        <v>383300</v>
      </c>
      <c r="AO260" s="30">
        <v>469800</v>
      </c>
      <c r="AP260" s="30">
        <f>Lookups!$B$58*0.6</f>
        <v>132535.48800000001</v>
      </c>
      <c r="AQ260" s="30">
        <f>Lookups!$B$58*0.4</f>
        <v>88356.992000000013</v>
      </c>
      <c r="AR260" s="30">
        <f>Lookups!$B$59*Inventory[[#This Row],[LnAcres]]</f>
        <v>0</v>
      </c>
      <c r="AS260" s="30">
        <f>VLOOKUP(Inventory[[#This Row],[Qlty]],Lookups!$A$66:$E$79,2,FALSE)</f>
        <v>37154.252388000001</v>
      </c>
      <c r="AT260" s="30">
        <f>VLOOKUP(Inventory[[#This Row],[Cnd]],Lookups!$A$80:$E$88,2,FALSE)</f>
        <v>30300.329274</v>
      </c>
      <c r="AU260" s="30">
        <f>Inventory[[#This Row],[EffAge]]*Lookups!$B$65</f>
        <v>-652.44659999999999</v>
      </c>
      <c r="AV260" s="30">
        <f>Inventory[[#This Row],[MainFn]]*Lookups!$B$90</f>
        <v>161767.70496</v>
      </c>
      <c r="AW260" s="30">
        <f>Inventory[[#This Row],[UpprFn]]*Lookups!$B$91</f>
        <v>0</v>
      </c>
      <c r="AX260" s="30">
        <f>Inventory[[#This Row],[Bsmt Area]]*Lookups!$B$95</f>
        <v>0</v>
      </c>
      <c r="AY260" s="30">
        <f>Inventory[[#This Row],[AttGar]]*Lookups!$B$93</f>
        <v>20333.393856000002</v>
      </c>
      <c r="AZ260" s="30">
        <f>ROUND(Inventory[[#This Row],[25Det]],-2)</f>
        <v>9900</v>
      </c>
      <c r="BA260" s="30">
        <f>ROUND(SUM(Inventory[[#This Row],[Mdl Qlty]:[Mdl Garage Area]])+Inventory[[#This Row],[Mdl Res Intercept]],-2)</f>
        <v>381400</v>
      </c>
      <c r="BB260" s="30">
        <f>ROUND(Inventory[[#This Row],[Mdl Land Intercept]]+Inventory[[#This Row],[Mdl LnAcres]],-2)</f>
        <v>88400</v>
      </c>
      <c r="BC260" s="30">
        <f>Inventory[[#This Row],[Unadj Res Value]]+Inventory[[#This Row],[Unadj Det Value]]+Inventory[[#This Row],[Unadj Land Value]]</f>
        <v>479700</v>
      </c>
      <c r="BD260" s="30">
        <f>(Inventory[[#This Row],[Unadj Total Value]]-Inventory[[#This Row],[24Final]])/Inventory[[#This Row],[24Final]]</f>
        <v>2.1072796934865901E-2</v>
      </c>
      <c r="BE260" s="30">
        <f>VLOOKUP(Inventory[[#This Row],[Nbhd]],Lookups!$M$3:$P$5,4,FALSE)</f>
        <v>0.99970000000000003</v>
      </c>
      <c r="BF260" s="30">
        <f>VLOOKUP(Inventory[[#This Row],[Qlty]],Lookups!$M$8:$P$22,4,FALSE)</f>
        <v>0.99819999999999998</v>
      </c>
      <c r="BG260" s="30">
        <f>VLOOKUP(Inventory[[#This Row],[Cnd]],Lookups!$R$8:$U$17,4,FALSE)</f>
        <v>0.997</v>
      </c>
      <c r="BH260" s="30">
        <f>VLOOKUP(Inventory[[#This Row],[LivArea Range]],Lookups!$R$25:$U$43,4,FALSE)</f>
        <v>0.98509999999999998</v>
      </c>
      <c r="BI260" s="30">
        <f>VLOOKUP(Inventory[[#This Row],[Decade]],Lookups!$M$24:$P$40,4,FALSE)</f>
        <v>1</v>
      </c>
      <c r="BJ260" s="30">
        <f>Inventory[[#This Row],[Nbhd Adj]]*0.95</f>
        <v>0.94971499999999998</v>
      </c>
      <c r="BK260" s="30">
        <f>AVERAGE(Inventory[[#This Row],[Nbhd Adj]],Inventory[[#This Row],[Quality Adj]],Inventory[[#This Row],[Condition Adj]],Inventory[[#This Row],[Living Area Adj]],Inventory[[#This Row],[Decade Adj]])*0.95</f>
        <v>0.94620000000000004</v>
      </c>
      <c r="BL260" s="30">
        <f>ROUND((SUM(Inventory[[#This Row],[Mdl Qlty]:[Mdl Garage Area]])+Inventory[[#This Row],[Mdl Res Intercept]])*Inventory[[#This Row],[Res Adj ]],-2)</f>
        <v>360900</v>
      </c>
      <c r="BM260" s="30">
        <f>ROUND(Inventory[[#This Row],[25Det]]*Inventory[[#This Row],[Det/Nbhd Adj]],-2)</f>
        <v>9400</v>
      </c>
      <c r="BN260" s="30">
        <f>Inventory[[#This Row],[Adjusted Res]]+Inventory[[#This Row],[Adj Det ]]</f>
        <v>370300</v>
      </c>
      <c r="BO260" s="30">
        <f>ROUND((Inventory[[#This Row],[Mdl Land Intercept]]+Inventory[[#This Row],[Mdl LnAcres]])*Inventory[[#This Row],[Det/Nbhd Adj]],-2)</f>
        <v>83900</v>
      </c>
      <c r="BP260" s="30">
        <f>Inventory[[#This Row],[Adjusted Impr Total]]+Inventory[[#This Row],[Adjusted Land Total]]</f>
        <v>454200</v>
      </c>
      <c r="BQ260" s="30">
        <f>IFERROR((Inventory[[#This Row],[Adjusted Impr Total]]-Inventory[[#This Row],[24Bldg]])/Inventory[[#This Row],[24Bldg]],0)</f>
        <v>-3.391599269501696E-2</v>
      </c>
      <c r="BR260" s="43">
        <f>(Inventory[[#This Row],[Adjusted Land Total]]-Inventory[[#This Row],[24Lnd]])/Inventory[[#This Row],[24Lnd]]</f>
        <v>-3.0057803468208091E-2</v>
      </c>
      <c r="BS260" s="43">
        <f>(Inventory[[#This Row],[Adjusted Total]]-Inventory[[#This Row],[24Final]])/Inventory[[#This Row],[24Final]]</f>
        <v>-3.3205619412515965E-2</v>
      </c>
    </row>
    <row r="261" spans="1:71">
      <c r="A261" s="30">
        <v>2025</v>
      </c>
      <c r="B261" s="31" t="s">
        <v>770</v>
      </c>
      <c r="C261" s="31">
        <f>LN(Inventory[[#This Row],[Acres]])</f>
        <v>0</v>
      </c>
      <c r="D261" s="30">
        <v>1</v>
      </c>
      <c r="E261" s="30">
        <v>43561</v>
      </c>
      <c r="F261" s="31" t="s">
        <v>505</v>
      </c>
      <c r="G261" s="31" t="s">
        <v>155</v>
      </c>
      <c r="H261" s="31" t="s">
        <v>5</v>
      </c>
      <c r="I261" s="31" t="s">
        <v>506</v>
      </c>
      <c r="J261" s="31" t="s">
        <v>507</v>
      </c>
      <c r="K261" s="31" t="s">
        <v>330</v>
      </c>
      <c r="L261" s="31" t="s">
        <v>21</v>
      </c>
      <c r="M261" s="31" t="s">
        <v>22</v>
      </c>
      <c r="N261" s="31">
        <v>0</v>
      </c>
      <c r="O261" s="31">
        <f>2024-Inventory[[#This Row],[YrBlt]]</f>
        <v>6</v>
      </c>
      <c r="P261" s="31">
        <f>2024-Inventory[[#This Row],[EffYr]]</f>
        <v>6</v>
      </c>
      <c r="Q261" s="30">
        <v>2018</v>
      </c>
      <c r="R261" s="30">
        <v>2018</v>
      </c>
      <c r="S261" s="30">
        <v>2232</v>
      </c>
      <c r="T261" s="32"/>
      <c r="U261" s="32"/>
      <c r="V261" s="32"/>
      <c r="W261" s="32"/>
      <c r="X261" s="32">
        <f>Inventory[[#This Row],[Bsmt Area]]-Inventory[[#This Row],[FnBsmt]]</f>
        <v>0</v>
      </c>
      <c r="Y261" s="32">
        <f>Inventory[[#This Row],[MainFn]]+Inventory[[#This Row],[UpprFn]]+Inventory[[#This Row],[AddFn]]+Inventory[[#This Row],[FnBsmt]]</f>
        <v>2232</v>
      </c>
      <c r="Z261" s="32">
        <v>2500</v>
      </c>
      <c r="AA261" s="31" t="s">
        <v>56</v>
      </c>
      <c r="AB261" s="32"/>
      <c r="AC261" s="30">
        <v>528</v>
      </c>
      <c r="AD261" s="32"/>
      <c r="AE261" s="32"/>
      <c r="AF261" s="32"/>
      <c r="AG261" s="32"/>
      <c r="AH261" s="32"/>
      <c r="AI261" s="30">
        <v>466079</v>
      </c>
      <c r="AJ261" s="30">
        <v>447436</v>
      </c>
      <c r="AK261" s="30">
        <v>9790</v>
      </c>
      <c r="AL261" s="30">
        <v>0</v>
      </c>
      <c r="AM261" s="30">
        <v>86500</v>
      </c>
      <c r="AN261" s="30">
        <v>364100</v>
      </c>
      <c r="AO261" s="30">
        <v>450600</v>
      </c>
      <c r="AP261" s="30">
        <f>Lookups!$B$58*0.6</f>
        <v>132535.48800000001</v>
      </c>
      <c r="AQ261" s="30">
        <f>Lookups!$B$58*0.4</f>
        <v>88356.992000000013</v>
      </c>
      <c r="AR261" s="30">
        <f>Lookups!$B$59*Inventory[[#This Row],[LnAcres]]</f>
        <v>0</v>
      </c>
      <c r="AS261" s="30">
        <f>VLOOKUP(Inventory[[#This Row],[Qlty]],Lookups!$A$66:$E$79,2,FALSE)</f>
        <v>32917.849192000001</v>
      </c>
      <c r="AT261" s="30">
        <f>VLOOKUP(Inventory[[#This Row],[Cnd]],Lookups!$A$80:$E$88,2,FALSE)</f>
        <v>50438.379078999998</v>
      </c>
      <c r="AU261" s="30">
        <f>Inventory[[#This Row],[EffAge]]*Lookups!$B$65</f>
        <v>-652.44659999999999</v>
      </c>
      <c r="AV261" s="30">
        <f>Inventory[[#This Row],[MainFn]]*Lookups!$B$90</f>
        <v>139299.96816000002</v>
      </c>
      <c r="AW261" s="30">
        <f>Inventory[[#This Row],[UpprFn]]*Lookups!$B$91</f>
        <v>0</v>
      </c>
      <c r="AX261" s="30">
        <f>Inventory[[#This Row],[Bsmt Area]]*Lookups!$B$95</f>
        <v>0</v>
      </c>
      <c r="AY261" s="30">
        <f>Inventory[[#This Row],[AttGar]]*Lookups!$B$93</f>
        <v>18638.944368</v>
      </c>
      <c r="AZ261" s="30">
        <f>ROUND(Inventory[[#This Row],[25Det]],-2)</f>
        <v>9800</v>
      </c>
      <c r="BA261" s="30">
        <f>ROUND(SUM(Inventory[[#This Row],[Mdl Qlty]:[Mdl Garage Area]])+Inventory[[#This Row],[Mdl Res Intercept]],-2)</f>
        <v>373200</v>
      </c>
      <c r="BB261" s="30">
        <f>ROUND(Inventory[[#This Row],[Mdl Land Intercept]]+Inventory[[#This Row],[Mdl LnAcres]],-2)</f>
        <v>88400</v>
      </c>
      <c r="BC261" s="30">
        <f>Inventory[[#This Row],[Unadj Res Value]]+Inventory[[#This Row],[Unadj Det Value]]+Inventory[[#This Row],[Unadj Land Value]]</f>
        <v>471400</v>
      </c>
      <c r="BD261" s="30">
        <f>(Inventory[[#This Row],[Unadj Total Value]]-Inventory[[#This Row],[24Final]])/Inventory[[#This Row],[24Final]]</f>
        <v>4.61606746560142E-2</v>
      </c>
      <c r="BE261" s="30">
        <f>VLOOKUP(Inventory[[#This Row],[Nbhd]],Lookups!$M$3:$P$5,4,FALSE)</f>
        <v>0.99970000000000003</v>
      </c>
      <c r="BF261" s="30">
        <f>VLOOKUP(Inventory[[#This Row],[Qlty]],Lookups!$M$8:$P$22,4,FALSE)</f>
        <v>1.0019</v>
      </c>
      <c r="BG261" s="30">
        <f>VLOOKUP(Inventory[[#This Row],[Cnd]],Lookups!$R$8:$U$17,4,FALSE)</f>
        <v>1.0007999999999999</v>
      </c>
      <c r="BH261" s="30">
        <f>VLOOKUP(Inventory[[#This Row],[LivArea Range]],Lookups!$R$25:$U$43,4,FALSE)</f>
        <v>1.0008999999999999</v>
      </c>
      <c r="BI261" s="30">
        <f>VLOOKUP(Inventory[[#This Row],[Decade]],Lookups!$M$24:$P$40,4,FALSE)</f>
        <v>1</v>
      </c>
      <c r="BJ261" s="30">
        <f>Inventory[[#This Row],[Nbhd Adj]]*0.95</f>
        <v>0.94971499999999998</v>
      </c>
      <c r="BK261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261" s="30">
        <f>ROUND((SUM(Inventory[[#This Row],[Mdl Qlty]:[Mdl Garage Area]])+Inventory[[#This Row],[Mdl Res Intercept]])*Inventory[[#This Row],[Res Adj ]],-2)</f>
        <v>354800</v>
      </c>
      <c r="BM261" s="30">
        <f>ROUND(Inventory[[#This Row],[25Det]]*Inventory[[#This Row],[Det/Nbhd Adj]],-2)</f>
        <v>9300</v>
      </c>
      <c r="BN261" s="30">
        <f>Inventory[[#This Row],[Adjusted Res]]+Inventory[[#This Row],[Adj Det ]]</f>
        <v>364100</v>
      </c>
      <c r="BO261" s="30">
        <f>ROUND((Inventory[[#This Row],[Mdl Land Intercept]]+Inventory[[#This Row],[Mdl LnAcres]])*Inventory[[#This Row],[Det/Nbhd Adj]],-2)</f>
        <v>83900</v>
      </c>
      <c r="BP261" s="30">
        <f>Inventory[[#This Row],[Adjusted Impr Total]]+Inventory[[#This Row],[Adjusted Land Total]]</f>
        <v>448000</v>
      </c>
      <c r="BQ261" s="30">
        <f>IFERROR((Inventory[[#This Row],[Adjusted Impr Total]]-Inventory[[#This Row],[24Bldg]])/Inventory[[#This Row],[24Bldg]],0)</f>
        <v>0</v>
      </c>
      <c r="BR261" s="43">
        <f>(Inventory[[#This Row],[Adjusted Land Total]]-Inventory[[#This Row],[24Lnd]])/Inventory[[#This Row],[24Lnd]]</f>
        <v>-3.0057803468208091E-2</v>
      </c>
      <c r="BS261" s="43">
        <f>(Inventory[[#This Row],[Adjusted Total]]-Inventory[[#This Row],[24Final]])/Inventory[[#This Row],[24Final]]</f>
        <v>-5.770084332001775E-3</v>
      </c>
    </row>
    <row r="262" spans="1:71">
      <c r="A262" s="30">
        <v>2025</v>
      </c>
      <c r="B262" s="31" t="s">
        <v>771</v>
      </c>
      <c r="C262" s="31">
        <f>LN(Inventory[[#This Row],[Acres]])</f>
        <v>0.28517894223366247</v>
      </c>
      <c r="D262" s="30">
        <v>1.33</v>
      </c>
      <c r="E262" s="37"/>
      <c r="F262" s="31" t="s">
        <v>505</v>
      </c>
      <c r="G262" s="31" t="s">
        <v>155</v>
      </c>
      <c r="H262" s="31" t="s">
        <v>5</v>
      </c>
      <c r="I262" s="31" t="s">
        <v>506</v>
      </c>
      <c r="J262" s="31" t="s">
        <v>507</v>
      </c>
      <c r="K262" s="31" t="s">
        <v>330</v>
      </c>
      <c r="L262" s="31" t="s">
        <v>23</v>
      </c>
      <c r="M262" s="31" t="s">
        <v>22</v>
      </c>
      <c r="N262" s="31">
        <v>0</v>
      </c>
      <c r="O262" s="31">
        <f>2024-Inventory[[#This Row],[YrBlt]]</f>
        <v>6</v>
      </c>
      <c r="P262" s="31">
        <f>2024-Inventory[[#This Row],[EffYr]]</f>
        <v>6</v>
      </c>
      <c r="Q262" s="30">
        <v>2018</v>
      </c>
      <c r="R262" s="30">
        <v>2018</v>
      </c>
      <c r="S262" s="30">
        <v>2631</v>
      </c>
      <c r="T262" s="38">
        <v>1102</v>
      </c>
      <c r="U262" s="32"/>
      <c r="V262" s="32"/>
      <c r="W262" s="32"/>
      <c r="X262" s="32">
        <f>Inventory[[#This Row],[Bsmt Area]]-Inventory[[#This Row],[FnBsmt]]</f>
        <v>0</v>
      </c>
      <c r="Y262" s="32">
        <f>Inventory[[#This Row],[MainFn]]+Inventory[[#This Row],[UpprFn]]+Inventory[[#This Row],[AddFn]]+Inventory[[#This Row],[FnBsmt]]</f>
        <v>3733</v>
      </c>
      <c r="Z262" s="38">
        <v>4000</v>
      </c>
      <c r="AA262" s="31" t="s">
        <v>56</v>
      </c>
      <c r="AB262" s="32"/>
      <c r="AC262" s="38">
        <v>1092</v>
      </c>
      <c r="AD262" s="32"/>
      <c r="AE262" s="32"/>
      <c r="AF262" s="32"/>
      <c r="AG262" s="32"/>
      <c r="AH262" s="32"/>
      <c r="AI262" s="30">
        <v>799134</v>
      </c>
      <c r="AJ262" s="30">
        <v>775160</v>
      </c>
      <c r="AK262" s="30">
        <v>0</v>
      </c>
      <c r="AL262" s="30">
        <v>0</v>
      </c>
      <c r="AM262" s="30">
        <v>90500</v>
      </c>
      <c r="AN262" s="30">
        <v>531600</v>
      </c>
      <c r="AO262" s="30">
        <v>622100</v>
      </c>
      <c r="AP262" s="30">
        <f>Lookups!$B$58*0.6</f>
        <v>132535.48800000001</v>
      </c>
      <c r="AQ262" s="30">
        <f>Lookups!$B$58*0.4</f>
        <v>88356.992000000013</v>
      </c>
      <c r="AR262" s="30">
        <f>Lookups!$B$59*Inventory[[#This Row],[LnAcres]]</f>
        <v>3742.7799803150433</v>
      </c>
      <c r="AS262" s="30">
        <f>VLOOKUP(Inventory[[#This Row],[Qlty]],Lookups!$A$66:$E$79,2,FALSE)</f>
        <v>39366.494398000003</v>
      </c>
      <c r="AT262" s="30">
        <f>VLOOKUP(Inventory[[#This Row],[Cnd]],Lookups!$A$80:$E$88,2,FALSE)</f>
        <v>50438.379078999998</v>
      </c>
      <c r="AU262" s="30">
        <f>Inventory[[#This Row],[EffAge]]*Lookups!$B$65</f>
        <v>-652.44659999999999</v>
      </c>
      <c r="AV262" s="30">
        <f>Inventory[[#This Row],[MainFn]]*Lookups!$B$90</f>
        <v>164201.70978</v>
      </c>
      <c r="AW262" s="30">
        <f>Inventory[[#This Row],[UpprFn]]*Lookups!$B$91</f>
        <v>65657.582066000003</v>
      </c>
      <c r="AX262" s="30">
        <f>Inventory[[#This Row],[Bsmt Area]]*Lookups!$B$95</f>
        <v>0</v>
      </c>
      <c r="AY262" s="30">
        <f>Inventory[[#This Row],[AttGar]]*Lookups!$B$93</f>
        <v>38548.725852000003</v>
      </c>
      <c r="AZ262" s="30">
        <f>ROUND(Inventory[[#This Row],[25Det]],-2)</f>
        <v>0</v>
      </c>
      <c r="BA262" s="30">
        <f>ROUND(SUM(Inventory[[#This Row],[Mdl Qlty]:[Mdl Garage Area]])+Inventory[[#This Row],[Mdl Res Intercept]],-2)</f>
        <v>490100</v>
      </c>
      <c r="BB262" s="30">
        <f>ROUND(Inventory[[#This Row],[Mdl Land Intercept]]+Inventory[[#This Row],[Mdl LnAcres]],-2)</f>
        <v>92100</v>
      </c>
      <c r="BC262" s="30">
        <f>Inventory[[#This Row],[Unadj Res Value]]+Inventory[[#This Row],[Unadj Det Value]]+Inventory[[#This Row],[Unadj Land Value]]</f>
        <v>582200</v>
      </c>
      <c r="BD262" s="30">
        <f>(Inventory[[#This Row],[Unadj Total Value]]-Inventory[[#This Row],[24Final]])/Inventory[[#This Row],[24Final]]</f>
        <v>-6.4137598456839737E-2</v>
      </c>
      <c r="BE262" s="30">
        <f>VLOOKUP(Inventory[[#This Row],[Nbhd]],Lookups!$M$3:$P$5,4,FALSE)</f>
        <v>0.99970000000000003</v>
      </c>
      <c r="BF262" s="30">
        <f>VLOOKUP(Inventory[[#This Row],[Qlty]],Lookups!$M$8:$P$22,4,FALSE)</f>
        <v>0.99980000000000002</v>
      </c>
      <c r="BG262" s="30">
        <f>VLOOKUP(Inventory[[#This Row],[Cnd]],Lookups!$R$8:$U$17,4,FALSE)</f>
        <v>1.0007999999999999</v>
      </c>
      <c r="BH262" s="30">
        <f>VLOOKUP(Inventory[[#This Row],[LivArea Range]],Lookups!$R$25:$U$43,4,FALSE)</f>
        <v>1</v>
      </c>
      <c r="BI262" s="30">
        <f>VLOOKUP(Inventory[[#This Row],[Decade]],Lookups!$M$24:$P$40,4,FALSE)</f>
        <v>1</v>
      </c>
      <c r="BJ262" s="30">
        <f>Inventory[[#This Row],[Nbhd Adj]]*0.95</f>
        <v>0.94971499999999998</v>
      </c>
      <c r="BK262" s="30">
        <f>AVERAGE(Inventory[[#This Row],[Nbhd Adj]],Inventory[[#This Row],[Quality Adj]],Inventory[[#This Row],[Condition Adj]],Inventory[[#This Row],[Living Area Adj]],Inventory[[#This Row],[Decade Adj]])*0.95</f>
        <v>0.95005699999999993</v>
      </c>
      <c r="BL262" s="30">
        <f>ROUND((SUM(Inventory[[#This Row],[Mdl Qlty]:[Mdl Garage Area]])+Inventory[[#This Row],[Mdl Res Intercept]])*Inventory[[#This Row],[Res Adj ]],-2)</f>
        <v>465600</v>
      </c>
      <c r="BM262" s="30">
        <f>ROUND(Inventory[[#This Row],[25Det]]*Inventory[[#This Row],[Det/Nbhd Adj]],-2)</f>
        <v>0</v>
      </c>
      <c r="BN262" s="30">
        <f>Inventory[[#This Row],[Adjusted Res]]+Inventory[[#This Row],[Adj Det ]]</f>
        <v>465600</v>
      </c>
      <c r="BO262" s="30">
        <f>ROUND((Inventory[[#This Row],[Mdl Land Intercept]]+Inventory[[#This Row],[Mdl LnAcres]])*Inventory[[#This Row],[Det/Nbhd Adj]],-2)</f>
        <v>87500</v>
      </c>
      <c r="BP262" s="30">
        <f>Inventory[[#This Row],[Adjusted Impr Total]]+Inventory[[#This Row],[Adjusted Land Total]]</f>
        <v>553100</v>
      </c>
      <c r="BQ262" s="30">
        <f>IFERROR((Inventory[[#This Row],[Adjusted Impr Total]]-Inventory[[#This Row],[24Bldg]])/Inventory[[#This Row],[24Bldg]],0)</f>
        <v>-0.12415349887133183</v>
      </c>
      <c r="BR262" s="43">
        <f>(Inventory[[#This Row],[Adjusted Land Total]]-Inventory[[#This Row],[24Lnd]])/Inventory[[#This Row],[24Lnd]]</f>
        <v>-3.3149171270718231E-2</v>
      </c>
      <c r="BS262" s="43">
        <f>(Inventory[[#This Row],[Adjusted Total]]-Inventory[[#This Row],[24Final]])/Inventory[[#This Row],[24Final]]</f>
        <v>-0.11091464394791833</v>
      </c>
    </row>
    <row r="263" spans="1:71">
      <c r="A263" s="30">
        <v>2025</v>
      </c>
      <c r="B263" s="31" t="s">
        <v>772</v>
      </c>
      <c r="C263" s="31">
        <f>LN(Inventory[[#This Row],[Acres]])</f>
        <v>0.50681760236845186</v>
      </c>
      <c r="D263" s="30">
        <v>1.66</v>
      </c>
      <c r="E263" s="37"/>
      <c r="F263" s="31" t="s">
        <v>505</v>
      </c>
      <c r="G263" s="31" t="s">
        <v>155</v>
      </c>
      <c r="H263" s="31" t="s">
        <v>5</v>
      </c>
      <c r="I263" s="31" t="s">
        <v>506</v>
      </c>
      <c r="J263" s="31" t="s">
        <v>773</v>
      </c>
      <c r="K263" s="31" t="s">
        <v>330</v>
      </c>
      <c r="L263" s="31" t="s">
        <v>25</v>
      </c>
      <c r="M263" s="31" t="s">
        <v>22</v>
      </c>
      <c r="N263" s="31">
        <v>0</v>
      </c>
      <c r="O263" s="31">
        <f>2024-Inventory[[#This Row],[YrBlt]]</f>
        <v>6</v>
      </c>
      <c r="P263" s="31">
        <f>2024-Inventory[[#This Row],[EffYr]]</f>
        <v>6</v>
      </c>
      <c r="Q263" s="30">
        <v>2018</v>
      </c>
      <c r="R263" s="30">
        <v>2018</v>
      </c>
      <c r="S263" s="30">
        <v>3416</v>
      </c>
      <c r="T263" s="32"/>
      <c r="U263" s="32"/>
      <c r="V263" s="38">
        <v>392</v>
      </c>
      <c r="W263" s="32"/>
      <c r="X263" s="32">
        <f>Inventory[[#This Row],[Bsmt Area]]-Inventory[[#This Row],[FnBsmt]]</f>
        <v>0</v>
      </c>
      <c r="Y263" s="32">
        <f>Inventory[[#This Row],[MainFn]]+Inventory[[#This Row],[UpprFn]]+Inventory[[#This Row],[AddFn]]+Inventory[[#This Row],[FnBsmt]]</f>
        <v>3808</v>
      </c>
      <c r="Z263" s="38">
        <v>4000</v>
      </c>
      <c r="AA263" s="31" t="s">
        <v>57</v>
      </c>
      <c r="AB263" s="38">
        <v>1</v>
      </c>
      <c r="AC263" s="30">
        <v>956</v>
      </c>
      <c r="AD263" s="32"/>
      <c r="AE263" s="32"/>
      <c r="AF263" s="32"/>
      <c r="AG263" s="32"/>
      <c r="AH263" s="32"/>
      <c r="AI263" s="30">
        <v>863358</v>
      </c>
      <c r="AJ263" s="30">
        <v>837457</v>
      </c>
      <c r="AK263" s="30">
        <v>0</v>
      </c>
      <c r="AL263" s="30">
        <v>0</v>
      </c>
      <c r="AM263" s="30">
        <v>93600</v>
      </c>
      <c r="AN263" s="30">
        <v>504800</v>
      </c>
      <c r="AO263" s="30">
        <v>598400</v>
      </c>
      <c r="AP263" s="30">
        <f>Lookups!$B$58*0.6</f>
        <v>132535.48800000001</v>
      </c>
      <c r="AQ263" s="30">
        <f>Lookups!$B$58*0.4</f>
        <v>88356.992000000013</v>
      </c>
      <c r="AR263" s="30">
        <f>Lookups!$B$59*Inventory[[#This Row],[LnAcres]]</f>
        <v>6651.6369019339227</v>
      </c>
      <c r="AS263" s="30">
        <f>VLOOKUP(Inventory[[#This Row],[Qlty]],Lookups!$A$66:$E$79,2,FALSE)</f>
        <v>53304.018704533402</v>
      </c>
      <c r="AT263" s="30">
        <f>VLOOKUP(Inventory[[#This Row],[Cnd]],Lookups!$A$80:$E$88,2,FALSE)</f>
        <v>50438.379078999998</v>
      </c>
      <c r="AU263" s="30">
        <f>Inventory[[#This Row],[EffAge]]*Lookups!$B$65</f>
        <v>-652.44659999999999</v>
      </c>
      <c r="AV263" s="30">
        <f>Inventory[[#This Row],[MainFn]]*Lookups!$B$90</f>
        <v>213193.85808000001</v>
      </c>
      <c r="AW263" s="30">
        <f>Inventory[[#This Row],[UpprFn]]*Lookups!$B$91</f>
        <v>0</v>
      </c>
      <c r="AX263" s="30">
        <f>Inventory[[#This Row],[Bsmt Area]]*Lookups!$B$95</f>
        <v>0</v>
      </c>
      <c r="AY263" s="30">
        <f>Inventory[[#This Row],[AttGar]]*Lookups!$B$93</f>
        <v>33747.785636000001</v>
      </c>
      <c r="AZ263" s="30">
        <f>ROUND(Inventory[[#This Row],[25Det]],-2)</f>
        <v>0</v>
      </c>
      <c r="BA263" s="30">
        <f>ROUND(SUM(Inventory[[#This Row],[Mdl Qlty]:[Mdl Garage Area]])+Inventory[[#This Row],[Mdl Res Intercept]],-2)</f>
        <v>482600</v>
      </c>
      <c r="BB263" s="30">
        <f>ROUND(Inventory[[#This Row],[Mdl Land Intercept]]+Inventory[[#This Row],[Mdl LnAcres]],-2)</f>
        <v>95000</v>
      </c>
      <c r="BC263" s="30">
        <f>Inventory[[#This Row],[Unadj Res Value]]+Inventory[[#This Row],[Unadj Det Value]]+Inventory[[#This Row],[Unadj Land Value]]</f>
        <v>577600</v>
      </c>
      <c r="BD263" s="30">
        <f>(Inventory[[#This Row],[Unadj Total Value]]-Inventory[[#This Row],[24Final]])/Inventory[[#This Row],[24Final]]</f>
        <v>-3.4759358288770054E-2</v>
      </c>
      <c r="BE263" s="30">
        <f>VLOOKUP(Inventory[[#This Row],[Nbhd]],Lookups!$M$3:$P$5,4,FALSE)</f>
        <v>0.99970000000000003</v>
      </c>
      <c r="BF263" s="30">
        <f>VLOOKUP(Inventory[[#This Row],[Qlty]],Lookups!$M$8:$P$22,4,FALSE)</f>
        <v>1</v>
      </c>
      <c r="BG263" s="30">
        <f>VLOOKUP(Inventory[[#This Row],[Cnd]],Lookups!$R$8:$U$17,4,FALSE)</f>
        <v>1.0007999999999999</v>
      </c>
      <c r="BH263" s="30">
        <f>VLOOKUP(Inventory[[#This Row],[LivArea Range]],Lookups!$R$25:$U$43,4,FALSE)</f>
        <v>1</v>
      </c>
      <c r="BI263" s="30">
        <f>VLOOKUP(Inventory[[#This Row],[Decade]],Lookups!$M$24:$P$40,4,FALSE)</f>
        <v>1</v>
      </c>
      <c r="BJ263" s="30">
        <f>Inventory[[#This Row],[Nbhd Adj]]*0.95</f>
        <v>0.94971499999999998</v>
      </c>
      <c r="BK263" s="30">
        <f>AVERAGE(Inventory[[#This Row],[Nbhd Adj]],Inventory[[#This Row],[Quality Adj]],Inventory[[#This Row],[Condition Adj]],Inventory[[#This Row],[Living Area Adj]],Inventory[[#This Row],[Decade Adj]])*0.95</f>
        <v>0.95009499999999991</v>
      </c>
      <c r="BL263" s="30">
        <f>ROUND((SUM(Inventory[[#This Row],[Mdl Qlty]:[Mdl Garage Area]])+Inventory[[#This Row],[Mdl Res Intercept]])*Inventory[[#This Row],[Res Adj ]],-2)</f>
        <v>458500</v>
      </c>
      <c r="BM263" s="30">
        <f>ROUND(Inventory[[#This Row],[25Det]]*Inventory[[#This Row],[Det/Nbhd Adj]],-2)</f>
        <v>0</v>
      </c>
      <c r="BN263" s="30">
        <f>Inventory[[#This Row],[Adjusted Res]]+Inventory[[#This Row],[Adj Det ]]</f>
        <v>458500</v>
      </c>
      <c r="BO263" s="30">
        <f>ROUND((Inventory[[#This Row],[Mdl Land Intercept]]+Inventory[[#This Row],[Mdl LnAcres]])*Inventory[[#This Row],[Det/Nbhd Adj]],-2)</f>
        <v>90200</v>
      </c>
      <c r="BP263" s="30">
        <f>Inventory[[#This Row],[Adjusted Impr Total]]+Inventory[[#This Row],[Adjusted Land Total]]</f>
        <v>548700</v>
      </c>
      <c r="BQ263" s="30">
        <f>IFERROR((Inventory[[#This Row],[Adjusted Impr Total]]-Inventory[[#This Row],[24Bldg]])/Inventory[[#This Row],[24Bldg]],0)</f>
        <v>-9.171949286846276E-2</v>
      </c>
      <c r="BR263" s="43">
        <f>(Inventory[[#This Row],[Adjusted Land Total]]-Inventory[[#This Row],[24Lnd]])/Inventory[[#This Row],[24Lnd]]</f>
        <v>-3.6324786324786328E-2</v>
      </c>
      <c r="BS263" s="43">
        <f>(Inventory[[#This Row],[Adjusted Total]]-Inventory[[#This Row],[24Final]])/Inventory[[#This Row],[24Final]]</f>
        <v>-8.3054812834224598E-2</v>
      </c>
    </row>
    <row r="264" spans="1:71">
      <c r="A264" s="30">
        <v>2025</v>
      </c>
      <c r="B264" s="31" t="s">
        <v>774</v>
      </c>
      <c r="C264" s="31">
        <f>LN(Inventory[[#This Row],[Acres]])</f>
        <v>0.62593843086649537</v>
      </c>
      <c r="D264" s="30">
        <v>1.87</v>
      </c>
      <c r="E264" s="30">
        <v>81614</v>
      </c>
      <c r="F264" s="31" t="s">
        <v>505</v>
      </c>
      <c r="G264" s="31" t="s">
        <v>155</v>
      </c>
      <c r="H264" s="31" t="s">
        <v>5</v>
      </c>
      <c r="I264" s="31" t="s">
        <v>506</v>
      </c>
      <c r="J264" s="31" t="s">
        <v>507</v>
      </c>
      <c r="K264" s="31" t="s">
        <v>330</v>
      </c>
      <c r="L264" s="31" t="s">
        <v>25</v>
      </c>
      <c r="M264" s="31" t="s">
        <v>22</v>
      </c>
      <c r="N264" s="31">
        <v>0</v>
      </c>
      <c r="O264" s="31">
        <f>2024-Inventory[[#This Row],[YrBlt]]</f>
        <v>6</v>
      </c>
      <c r="P264" s="31">
        <f>2024-Inventory[[#This Row],[EffYr]]</f>
        <v>6</v>
      </c>
      <c r="Q264" s="30">
        <v>2018</v>
      </c>
      <c r="R264" s="30">
        <v>2018</v>
      </c>
      <c r="S264" s="30">
        <v>2936</v>
      </c>
      <c r="T264" s="32"/>
      <c r="U264" s="32"/>
      <c r="V264" s="32"/>
      <c r="W264" s="32"/>
      <c r="X264" s="32">
        <f>Inventory[[#This Row],[Bsmt Area]]-Inventory[[#This Row],[FnBsmt]]</f>
        <v>0</v>
      </c>
      <c r="Y264" s="32">
        <f>Inventory[[#This Row],[MainFn]]+Inventory[[#This Row],[UpprFn]]+Inventory[[#This Row],[AddFn]]+Inventory[[#This Row],[FnBsmt]]</f>
        <v>2936</v>
      </c>
      <c r="Z264" s="32">
        <v>3000</v>
      </c>
      <c r="AA264" s="31" t="s">
        <v>57</v>
      </c>
      <c r="AB264" s="38">
        <v>1</v>
      </c>
      <c r="AC264" s="38">
        <v>720</v>
      </c>
      <c r="AD264" s="32"/>
      <c r="AE264" s="32"/>
      <c r="AF264" s="32"/>
      <c r="AG264" s="32"/>
      <c r="AH264" s="32"/>
      <c r="AI264" s="30">
        <v>731165</v>
      </c>
      <c r="AJ264" s="30">
        <v>709230</v>
      </c>
      <c r="AK264" s="30">
        <v>0</v>
      </c>
      <c r="AL264" s="30">
        <v>0</v>
      </c>
      <c r="AM264" s="30">
        <v>95300</v>
      </c>
      <c r="AN264" s="30">
        <v>456200</v>
      </c>
      <c r="AO264" s="30">
        <v>551500</v>
      </c>
      <c r="AP264" s="30">
        <f>Lookups!$B$58*0.6</f>
        <v>132535.48800000001</v>
      </c>
      <c r="AQ264" s="30">
        <f>Lookups!$B$58*0.4</f>
        <v>88356.992000000013</v>
      </c>
      <c r="AR264" s="30">
        <f>Lookups!$B$59*Inventory[[#This Row],[LnAcres]]</f>
        <v>8215.0168929281936</v>
      </c>
      <c r="AS264" s="30">
        <f>VLOOKUP(Inventory[[#This Row],[Qlty]],Lookups!$A$66:$E$79,2,FALSE)</f>
        <v>53304.018704533402</v>
      </c>
      <c r="AT264" s="30">
        <f>VLOOKUP(Inventory[[#This Row],[Cnd]],Lookups!$A$80:$E$88,2,FALSE)</f>
        <v>50438.379078999998</v>
      </c>
      <c r="AU264" s="30">
        <f>Inventory[[#This Row],[EffAge]]*Lookups!$B$65</f>
        <v>-652.44659999999999</v>
      </c>
      <c r="AV264" s="30">
        <f>Inventory[[#This Row],[MainFn]]*Lookups!$B$90</f>
        <v>183236.87568</v>
      </c>
      <c r="AW264" s="30">
        <f>Inventory[[#This Row],[UpprFn]]*Lookups!$B$91</f>
        <v>0</v>
      </c>
      <c r="AX264" s="30">
        <f>Inventory[[#This Row],[Bsmt Area]]*Lookups!$B$95</f>
        <v>0</v>
      </c>
      <c r="AY264" s="30">
        <f>Inventory[[#This Row],[AttGar]]*Lookups!$B$93</f>
        <v>25416.742320000001</v>
      </c>
      <c r="AZ264" s="30">
        <f>ROUND(Inventory[[#This Row],[25Det]],-2)</f>
        <v>0</v>
      </c>
      <c r="BA264" s="30">
        <f>ROUND(SUM(Inventory[[#This Row],[Mdl Qlty]:[Mdl Garage Area]])+Inventory[[#This Row],[Mdl Res Intercept]],-2)</f>
        <v>444300</v>
      </c>
      <c r="BB264" s="30">
        <f>ROUND(Inventory[[#This Row],[Mdl Land Intercept]]+Inventory[[#This Row],[Mdl LnAcres]],-2)</f>
        <v>96600</v>
      </c>
      <c r="BC264" s="30">
        <f>Inventory[[#This Row],[Unadj Res Value]]+Inventory[[#This Row],[Unadj Det Value]]+Inventory[[#This Row],[Unadj Land Value]]</f>
        <v>540900</v>
      </c>
      <c r="BD264" s="30">
        <f>(Inventory[[#This Row],[Unadj Total Value]]-Inventory[[#This Row],[24Final]])/Inventory[[#This Row],[24Final]]</f>
        <v>-1.9220308250226654E-2</v>
      </c>
      <c r="BE264" s="30">
        <f>VLOOKUP(Inventory[[#This Row],[Nbhd]],Lookups!$M$3:$P$5,4,FALSE)</f>
        <v>0.99970000000000003</v>
      </c>
      <c r="BF264" s="30">
        <f>VLOOKUP(Inventory[[#This Row],[Qlty]],Lookups!$M$8:$P$22,4,FALSE)</f>
        <v>1</v>
      </c>
      <c r="BG264" s="30">
        <f>VLOOKUP(Inventory[[#This Row],[Cnd]],Lookups!$R$8:$U$17,4,FALSE)</f>
        <v>1.0007999999999999</v>
      </c>
      <c r="BH264" s="30">
        <f>VLOOKUP(Inventory[[#This Row],[LivArea Range]],Lookups!$R$25:$U$43,4,FALSE)</f>
        <v>1.0099</v>
      </c>
      <c r="BI264" s="30">
        <f>VLOOKUP(Inventory[[#This Row],[Decade]],Lookups!$M$24:$P$40,4,FALSE)</f>
        <v>1</v>
      </c>
      <c r="BJ264" s="30">
        <f>Inventory[[#This Row],[Nbhd Adj]]*0.95</f>
        <v>0.94971499999999998</v>
      </c>
      <c r="BK264" s="30">
        <f>AVERAGE(Inventory[[#This Row],[Nbhd Adj]],Inventory[[#This Row],[Quality Adj]],Inventory[[#This Row],[Condition Adj]],Inventory[[#This Row],[Living Area Adj]],Inventory[[#This Row],[Decade Adj]])*0.95</f>
        <v>0.95197599999999982</v>
      </c>
      <c r="BL264" s="30">
        <f>ROUND((SUM(Inventory[[#This Row],[Mdl Qlty]:[Mdl Garage Area]])+Inventory[[#This Row],[Mdl Res Intercept]])*Inventory[[#This Row],[Res Adj ]],-2)</f>
        <v>422900</v>
      </c>
      <c r="BM264" s="30">
        <f>ROUND(Inventory[[#This Row],[25Det]]*Inventory[[#This Row],[Det/Nbhd Adj]],-2)</f>
        <v>0</v>
      </c>
      <c r="BN264" s="30">
        <f>Inventory[[#This Row],[Adjusted Res]]+Inventory[[#This Row],[Adj Det ]]</f>
        <v>422900</v>
      </c>
      <c r="BO264" s="30">
        <f>ROUND((Inventory[[#This Row],[Mdl Land Intercept]]+Inventory[[#This Row],[Mdl LnAcres]])*Inventory[[#This Row],[Det/Nbhd Adj]],-2)</f>
        <v>91700</v>
      </c>
      <c r="BP264" s="30">
        <f>Inventory[[#This Row],[Adjusted Impr Total]]+Inventory[[#This Row],[Adjusted Land Total]]</f>
        <v>514600</v>
      </c>
      <c r="BQ264" s="30">
        <f>IFERROR((Inventory[[#This Row],[Adjusted Impr Total]]-Inventory[[#This Row],[24Bldg]])/Inventory[[#This Row],[24Bldg]],0)</f>
        <v>-7.299430074528715E-2</v>
      </c>
      <c r="BR264" s="43">
        <f>(Inventory[[#This Row],[Adjusted Land Total]]-Inventory[[#This Row],[24Lnd]])/Inventory[[#This Row],[24Lnd]]</f>
        <v>-3.7775445960125921E-2</v>
      </c>
      <c r="BS264" s="43">
        <f>(Inventory[[#This Row],[Adjusted Total]]-Inventory[[#This Row],[24Final]])/Inventory[[#This Row],[24Final]]</f>
        <v>-6.690843155031731E-2</v>
      </c>
    </row>
    <row r="265" spans="1:71">
      <c r="A265" s="30">
        <v>2025</v>
      </c>
      <c r="B265" s="31" t="s">
        <v>775</v>
      </c>
      <c r="C265" s="31">
        <f>LN(Inventory[[#This Row],[Acres]])</f>
        <v>0.67294447324242579</v>
      </c>
      <c r="D265" s="30">
        <v>1.96</v>
      </c>
      <c r="E265" s="37"/>
      <c r="F265" s="31" t="s">
        <v>505</v>
      </c>
      <c r="G265" s="31" t="s">
        <v>155</v>
      </c>
      <c r="H265" s="31" t="s">
        <v>5</v>
      </c>
      <c r="I265" s="31" t="s">
        <v>506</v>
      </c>
      <c r="J265" s="31" t="s">
        <v>507</v>
      </c>
      <c r="K265" s="31" t="s">
        <v>330</v>
      </c>
      <c r="L265" s="31" t="s">
        <v>21</v>
      </c>
      <c r="M265" s="31" t="s">
        <v>22</v>
      </c>
      <c r="N265" s="31">
        <v>0</v>
      </c>
      <c r="O265" s="31">
        <f>2024-Inventory[[#This Row],[YrBlt]]</f>
        <v>6</v>
      </c>
      <c r="P265" s="31">
        <f>2024-Inventory[[#This Row],[EffYr]]</f>
        <v>6</v>
      </c>
      <c r="Q265" s="30">
        <v>2018</v>
      </c>
      <c r="R265" s="30">
        <v>2018</v>
      </c>
      <c r="S265" s="30">
        <v>2296</v>
      </c>
      <c r="T265" s="32"/>
      <c r="U265" s="32"/>
      <c r="V265" s="32"/>
      <c r="W265" s="32"/>
      <c r="X265" s="32">
        <f>Inventory[[#This Row],[Bsmt Area]]-Inventory[[#This Row],[FnBsmt]]</f>
        <v>0</v>
      </c>
      <c r="Y265" s="32">
        <f>Inventory[[#This Row],[MainFn]]+Inventory[[#This Row],[UpprFn]]+Inventory[[#This Row],[AddFn]]+Inventory[[#This Row],[FnBsmt]]</f>
        <v>2296</v>
      </c>
      <c r="Z265" s="32">
        <v>2500</v>
      </c>
      <c r="AA265" s="31" t="s">
        <v>56</v>
      </c>
      <c r="AB265" s="38">
        <v>1</v>
      </c>
      <c r="AC265" s="38">
        <v>576</v>
      </c>
      <c r="AD265" s="32"/>
      <c r="AE265" s="32"/>
      <c r="AF265" s="32"/>
      <c r="AG265" s="32"/>
      <c r="AH265" s="32"/>
      <c r="AI265" s="30">
        <v>503699</v>
      </c>
      <c r="AJ265" s="30">
        <v>483551</v>
      </c>
      <c r="AK265" s="30">
        <v>0</v>
      </c>
      <c r="AL265" s="30">
        <v>0</v>
      </c>
      <c r="AM265" s="30">
        <v>95900</v>
      </c>
      <c r="AN265" s="30">
        <v>381500</v>
      </c>
      <c r="AO265" s="30">
        <v>477400</v>
      </c>
      <c r="AP265" s="30">
        <f>Lookups!$B$58*0.6</f>
        <v>132535.48800000001</v>
      </c>
      <c r="AQ265" s="30">
        <f>Lookups!$B$58*0.4</f>
        <v>88356.992000000013</v>
      </c>
      <c r="AR265" s="30">
        <f>Lookups!$B$59*Inventory[[#This Row],[LnAcres]]</f>
        <v>8831.9392820095072</v>
      </c>
      <c r="AS265" s="30">
        <f>VLOOKUP(Inventory[[#This Row],[Qlty]],Lookups!$A$66:$E$79,2,FALSE)</f>
        <v>32917.849192000001</v>
      </c>
      <c r="AT265" s="30">
        <f>VLOOKUP(Inventory[[#This Row],[Cnd]],Lookups!$A$80:$E$88,2,FALSE)</f>
        <v>50438.379078999998</v>
      </c>
      <c r="AU265" s="30">
        <f>Inventory[[#This Row],[EffAge]]*Lookups!$B$65</f>
        <v>-652.44659999999999</v>
      </c>
      <c r="AV265" s="30">
        <f>Inventory[[#This Row],[MainFn]]*Lookups!$B$90</f>
        <v>143294.23248000001</v>
      </c>
      <c r="AW265" s="30">
        <f>Inventory[[#This Row],[UpprFn]]*Lookups!$B$91</f>
        <v>0</v>
      </c>
      <c r="AX265" s="30">
        <f>Inventory[[#This Row],[Bsmt Area]]*Lookups!$B$95</f>
        <v>0</v>
      </c>
      <c r="AY265" s="30">
        <f>Inventory[[#This Row],[AttGar]]*Lookups!$B$93</f>
        <v>20333.393856000002</v>
      </c>
      <c r="AZ265" s="30">
        <f>ROUND(Inventory[[#This Row],[25Det]],-2)</f>
        <v>0</v>
      </c>
      <c r="BA265" s="30">
        <f>ROUND(SUM(Inventory[[#This Row],[Mdl Qlty]:[Mdl Garage Area]])+Inventory[[#This Row],[Mdl Res Intercept]],-2)</f>
        <v>378900</v>
      </c>
      <c r="BB265" s="30">
        <f>ROUND(Inventory[[#This Row],[Mdl Land Intercept]]+Inventory[[#This Row],[Mdl LnAcres]],-2)</f>
        <v>97200</v>
      </c>
      <c r="BC265" s="30">
        <f>Inventory[[#This Row],[Unadj Res Value]]+Inventory[[#This Row],[Unadj Det Value]]+Inventory[[#This Row],[Unadj Land Value]]</f>
        <v>476100</v>
      </c>
      <c r="BD265" s="30">
        <f>(Inventory[[#This Row],[Unadj Total Value]]-Inventory[[#This Row],[24Final]])/Inventory[[#This Row],[24Final]]</f>
        <v>-2.7230833682446586E-3</v>
      </c>
      <c r="BE265" s="30">
        <f>VLOOKUP(Inventory[[#This Row],[Nbhd]],Lookups!$M$3:$P$5,4,FALSE)</f>
        <v>0.99970000000000003</v>
      </c>
      <c r="BF265" s="30">
        <f>VLOOKUP(Inventory[[#This Row],[Qlty]],Lookups!$M$8:$P$22,4,FALSE)</f>
        <v>1.0019</v>
      </c>
      <c r="BG265" s="30">
        <f>VLOOKUP(Inventory[[#This Row],[Cnd]],Lookups!$R$8:$U$17,4,FALSE)</f>
        <v>1.0007999999999999</v>
      </c>
      <c r="BH265" s="30">
        <f>VLOOKUP(Inventory[[#This Row],[LivArea Range]],Lookups!$R$25:$U$43,4,FALSE)</f>
        <v>1.0008999999999999</v>
      </c>
      <c r="BI265" s="30">
        <f>VLOOKUP(Inventory[[#This Row],[Decade]],Lookups!$M$24:$P$40,4,FALSE)</f>
        <v>1</v>
      </c>
      <c r="BJ265" s="30">
        <f>Inventory[[#This Row],[Nbhd Adj]]*0.95</f>
        <v>0.94971499999999998</v>
      </c>
      <c r="BK265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265" s="30">
        <f>ROUND((SUM(Inventory[[#This Row],[Mdl Qlty]:[Mdl Garage Area]])+Inventory[[#This Row],[Mdl Res Intercept]])*Inventory[[#This Row],[Res Adj ]],-2)</f>
        <v>360200</v>
      </c>
      <c r="BM265" s="30">
        <f>ROUND(Inventory[[#This Row],[25Det]]*Inventory[[#This Row],[Det/Nbhd Adj]],-2)</f>
        <v>0</v>
      </c>
      <c r="BN265" s="30">
        <f>Inventory[[#This Row],[Adjusted Res]]+Inventory[[#This Row],[Adj Det ]]</f>
        <v>360200</v>
      </c>
      <c r="BO265" s="30">
        <f>ROUND((Inventory[[#This Row],[Mdl Land Intercept]]+Inventory[[#This Row],[Mdl LnAcres]])*Inventory[[#This Row],[Det/Nbhd Adj]],-2)</f>
        <v>92300</v>
      </c>
      <c r="BP265" s="30">
        <f>Inventory[[#This Row],[Adjusted Impr Total]]+Inventory[[#This Row],[Adjusted Land Total]]</f>
        <v>452500</v>
      </c>
      <c r="BQ265" s="30">
        <f>IFERROR((Inventory[[#This Row],[Adjusted Impr Total]]-Inventory[[#This Row],[24Bldg]])/Inventory[[#This Row],[24Bldg]],0)</f>
        <v>-5.5832241153342073E-2</v>
      </c>
      <c r="BR265" s="43">
        <f>(Inventory[[#This Row],[Adjusted Land Total]]-Inventory[[#This Row],[24Lnd]])/Inventory[[#This Row],[24Lnd]]</f>
        <v>-3.7539103232533892E-2</v>
      </c>
      <c r="BS265" s="43">
        <f>(Inventory[[#This Row],[Adjusted Total]]-Inventory[[#This Row],[24Final]])/Inventory[[#This Row],[24Final]]</f>
        <v>-5.2157519899455385E-2</v>
      </c>
    </row>
    <row r="266" spans="1:71">
      <c r="A266" s="30">
        <v>2025</v>
      </c>
      <c r="B266" s="31" t="s">
        <v>776</v>
      </c>
      <c r="C266" s="31">
        <f>LN(Inventory[[#This Row],[Acres]])</f>
        <v>1.631199404215613</v>
      </c>
      <c r="D266" s="30">
        <v>5.1100000000000003</v>
      </c>
      <c r="E266" s="37"/>
      <c r="F266" s="31" t="s">
        <v>505</v>
      </c>
      <c r="G266" s="31" t="s">
        <v>155</v>
      </c>
      <c r="H266" s="31" t="s">
        <v>5</v>
      </c>
      <c r="I266" s="31" t="s">
        <v>506</v>
      </c>
      <c r="J266" s="31" t="s">
        <v>507</v>
      </c>
      <c r="K266" s="31" t="s">
        <v>330</v>
      </c>
      <c r="L266" s="31" t="s">
        <v>19</v>
      </c>
      <c r="M266" s="31" t="s">
        <v>22</v>
      </c>
      <c r="N266" s="31">
        <v>0</v>
      </c>
      <c r="O266" s="31">
        <f>2024-Inventory[[#This Row],[YrBlt]]</f>
        <v>6</v>
      </c>
      <c r="P266" s="31">
        <f>2024-Inventory[[#This Row],[EffYr]]</f>
        <v>6</v>
      </c>
      <c r="Q266" s="30">
        <v>2018</v>
      </c>
      <c r="R266" s="30">
        <v>2018</v>
      </c>
      <c r="S266" s="30">
        <v>1824</v>
      </c>
      <c r="T266" s="32"/>
      <c r="U266" s="32"/>
      <c r="V266" s="32"/>
      <c r="W266" s="32"/>
      <c r="X266" s="32">
        <f>Inventory[[#This Row],[Bsmt Area]]-Inventory[[#This Row],[FnBsmt]]</f>
        <v>0</v>
      </c>
      <c r="Y266" s="32">
        <f>Inventory[[#This Row],[MainFn]]+Inventory[[#This Row],[UpprFn]]+Inventory[[#This Row],[AddFn]]+Inventory[[#This Row],[FnBsmt]]</f>
        <v>1824</v>
      </c>
      <c r="Z266" s="32">
        <v>2000</v>
      </c>
      <c r="AA266" s="31" t="s">
        <v>56</v>
      </c>
      <c r="AB266" s="32"/>
      <c r="AC266" s="38">
        <v>506</v>
      </c>
      <c r="AD266" s="32"/>
      <c r="AE266" s="32"/>
      <c r="AF266" s="32"/>
      <c r="AG266" s="32"/>
      <c r="AH266" s="32"/>
      <c r="AI266" s="30">
        <v>357217</v>
      </c>
      <c r="AJ266" s="30">
        <v>342928</v>
      </c>
      <c r="AK266" s="30">
        <v>41625</v>
      </c>
      <c r="AL266" s="30">
        <v>0</v>
      </c>
      <c r="AM266" s="30">
        <v>109400</v>
      </c>
      <c r="AN266" s="30">
        <v>395000</v>
      </c>
      <c r="AO266" s="30">
        <v>504400</v>
      </c>
      <c r="AP266" s="30">
        <f>Lookups!$B$58*0.6</f>
        <v>132535.48800000001</v>
      </c>
      <c r="AQ266" s="30">
        <f>Lookups!$B$58*0.4</f>
        <v>88356.992000000013</v>
      </c>
      <c r="AR266" s="30">
        <f>Lookups!$B$59*Inventory[[#This Row],[LnAcres]]</f>
        <v>21408.384595934458</v>
      </c>
      <c r="AS266" s="30">
        <f>VLOOKUP(Inventory[[#This Row],[Qlty]],Lookups!$A$66:$E$79,2,FALSE)</f>
        <v>37154.252388000001</v>
      </c>
      <c r="AT266" s="30">
        <f>VLOOKUP(Inventory[[#This Row],[Cnd]],Lookups!$A$80:$E$88,2,FALSE)</f>
        <v>50438.379078999998</v>
      </c>
      <c r="AU266" s="30">
        <f>Inventory[[#This Row],[EffAge]]*Lookups!$B$65</f>
        <v>-652.44659999999999</v>
      </c>
      <c r="AV266" s="30">
        <f>Inventory[[#This Row],[MainFn]]*Lookups!$B$90</f>
        <v>113836.53312000001</v>
      </c>
      <c r="AW266" s="30">
        <f>Inventory[[#This Row],[UpprFn]]*Lookups!$B$91</f>
        <v>0</v>
      </c>
      <c r="AX266" s="30">
        <f>Inventory[[#This Row],[Bsmt Area]]*Lookups!$B$95</f>
        <v>0</v>
      </c>
      <c r="AY266" s="30">
        <f>Inventory[[#This Row],[AttGar]]*Lookups!$B$93</f>
        <v>17862.321685999999</v>
      </c>
      <c r="AZ266" s="30">
        <f>ROUND(Inventory[[#This Row],[25Det]],-2)</f>
        <v>41600</v>
      </c>
      <c r="BA266" s="30">
        <f>ROUND(SUM(Inventory[[#This Row],[Mdl Qlty]:[Mdl Garage Area]])+Inventory[[#This Row],[Mdl Res Intercept]],-2)</f>
        <v>351200</v>
      </c>
      <c r="BB266" s="30">
        <f>ROUND(Inventory[[#This Row],[Mdl Land Intercept]]+Inventory[[#This Row],[Mdl LnAcres]],-2)</f>
        <v>109800</v>
      </c>
      <c r="BC266" s="30">
        <f>Inventory[[#This Row],[Unadj Res Value]]+Inventory[[#This Row],[Unadj Det Value]]+Inventory[[#This Row],[Unadj Land Value]]</f>
        <v>502600</v>
      </c>
      <c r="BD266" s="30">
        <f>(Inventory[[#This Row],[Unadj Total Value]]-Inventory[[#This Row],[24Final]])/Inventory[[#This Row],[24Final]]</f>
        <v>-3.5685963521015066E-3</v>
      </c>
      <c r="BE266" s="30">
        <f>VLOOKUP(Inventory[[#This Row],[Nbhd]],Lookups!$M$3:$P$5,4,FALSE)</f>
        <v>0.99970000000000003</v>
      </c>
      <c r="BF266" s="30">
        <f>VLOOKUP(Inventory[[#This Row],[Qlty]],Lookups!$M$8:$P$22,4,FALSE)</f>
        <v>0.99819999999999998</v>
      </c>
      <c r="BG266" s="30">
        <f>VLOOKUP(Inventory[[#This Row],[Cnd]],Lookups!$R$8:$U$17,4,FALSE)</f>
        <v>1.0007999999999999</v>
      </c>
      <c r="BH266" s="30">
        <f>VLOOKUP(Inventory[[#This Row],[LivArea Range]],Lookups!$R$25:$U$43,4,FALSE)</f>
        <v>1.0007999999999999</v>
      </c>
      <c r="BI266" s="30">
        <f>VLOOKUP(Inventory[[#This Row],[Decade]],Lookups!$M$24:$P$40,4,FALSE)</f>
        <v>1</v>
      </c>
      <c r="BJ266" s="30">
        <f>Inventory[[#This Row],[Nbhd Adj]]*0.95</f>
        <v>0.94971499999999998</v>
      </c>
      <c r="BK266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266" s="30">
        <f>ROUND((SUM(Inventory[[#This Row],[Mdl Qlty]:[Mdl Garage Area]])+Inventory[[#This Row],[Mdl Res Intercept]])*Inventory[[#This Row],[Res Adj ]],-2)</f>
        <v>333600</v>
      </c>
      <c r="BM266" s="30">
        <f>ROUND(Inventory[[#This Row],[25Det]]*Inventory[[#This Row],[Det/Nbhd Adj]],-2)</f>
        <v>39500</v>
      </c>
      <c r="BN266" s="30">
        <f>Inventory[[#This Row],[Adjusted Res]]+Inventory[[#This Row],[Adj Det ]]</f>
        <v>373100</v>
      </c>
      <c r="BO266" s="30">
        <f>ROUND((Inventory[[#This Row],[Mdl Land Intercept]]+Inventory[[#This Row],[Mdl LnAcres]])*Inventory[[#This Row],[Det/Nbhd Adj]],-2)</f>
        <v>104200</v>
      </c>
      <c r="BP266" s="30">
        <f>Inventory[[#This Row],[Adjusted Impr Total]]+Inventory[[#This Row],[Adjusted Land Total]]</f>
        <v>477300</v>
      </c>
      <c r="BQ266" s="30">
        <f>IFERROR((Inventory[[#This Row],[Adjusted Impr Total]]-Inventory[[#This Row],[24Bldg]])/Inventory[[#This Row],[24Bldg]],0)</f>
        <v>-5.5443037974683543E-2</v>
      </c>
      <c r="BR266" s="43">
        <f>(Inventory[[#This Row],[Adjusted Land Total]]-Inventory[[#This Row],[24Lnd]])/Inventory[[#This Row],[24Lnd]]</f>
        <v>-4.7531992687385741E-2</v>
      </c>
      <c r="BS266" s="43">
        <f>(Inventory[[#This Row],[Adjusted Total]]-Inventory[[#This Row],[24Final]])/Inventory[[#This Row],[24Final]]</f>
        <v>-5.3727200634417133E-2</v>
      </c>
    </row>
    <row r="267" spans="1:71">
      <c r="A267" s="30">
        <v>2025</v>
      </c>
      <c r="B267" s="31" t="s">
        <v>777</v>
      </c>
      <c r="C267" s="31">
        <f>LN(Inventory[[#This Row],[Acres]])</f>
        <v>-1.8325814637483102</v>
      </c>
      <c r="D267" s="30">
        <v>0.16</v>
      </c>
      <c r="E267" s="30">
        <v>7057</v>
      </c>
      <c r="F267" s="31" t="s">
        <v>505</v>
      </c>
      <c r="G267" s="31" t="s">
        <v>155</v>
      </c>
      <c r="H267" s="31" t="s">
        <v>5</v>
      </c>
      <c r="I267" s="31" t="s">
        <v>506</v>
      </c>
      <c r="J267" s="31" t="s">
        <v>507</v>
      </c>
      <c r="K267" s="31" t="s">
        <v>330</v>
      </c>
      <c r="L267" s="31" t="s">
        <v>19</v>
      </c>
      <c r="M267" s="31" t="s">
        <v>22</v>
      </c>
      <c r="N267" s="31">
        <v>0</v>
      </c>
      <c r="O267" s="31">
        <f>2024-Inventory[[#This Row],[YrBlt]]</f>
        <v>8</v>
      </c>
      <c r="P267" s="31">
        <f>2024-Inventory[[#This Row],[EffYr]]</f>
        <v>8</v>
      </c>
      <c r="Q267" s="30">
        <v>2016</v>
      </c>
      <c r="R267" s="30">
        <v>2016</v>
      </c>
      <c r="S267" s="30">
        <v>1620</v>
      </c>
      <c r="T267" s="32"/>
      <c r="U267" s="32"/>
      <c r="V267" s="32"/>
      <c r="W267" s="32"/>
      <c r="X267" s="32">
        <f>Inventory[[#This Row],[Bsmt Area]]-Inventory[[#This Row],[FnBsmt]]</f>
        <v>0</v>
      </c>
      <c r="Y267" s="32">
        <f>Inventory[[#This Row],[MainFn]]+Inventory[[#This Row],[UpprFn]]+Inventory[[#This Row],[AddFn]]+Inventory[[#This Row],[FnBsmt]]</f>
        <v>1620</v>
      </c>
      <c r="Z267" s="32">
        <v>2000</v>
      </c>
      <c r="AA267" s="31" t="s">
        <v>56</v>
      </c>
      <c r="AB267" s="32"/>
      <c r="AC267" s="30">
        <v>420</v>
      </c>
      <c r="AD267" s="32"/>
      <c r="AE267" s="32"/>
      <c r="AF267" s="32"/>
      <c r="AG267" s="32"/>
      <c r="AH267" s="32"/>
      <c r="AI267" s="30">
        <v>318341</v>
      </c>
      <c r="AJ267" s="30">
        <v>305607</v>
      </c>
      <c r="AK267" s="30">
        <v>0</v>
      </c>
      <c r="AL267" s="30">
        <v>0</v>
      </c>
      <c r="AM267" s="30">
        <v>60800</v>
      </c>
      <c r="AN267" s="30">
        <v>329300</v>
      </c>
      <c r="AO267" s="30">
        <v>390100</v>
      </c>
      <c r="AP267" s="30">
        <f>Lookups!$B$58*0.6</f>
        <v>132535.48800000001</v>
      </c>
      <c r="AQ267" s="30">
        <f>Lookups!$B$58*0.4</f>
        <v>88356.992000000013</v>
      </c>
      <c r="AR267" s="30">
        <f>Lookups!$B$59*Inventory[[#This Row],[LnAcres]]</f>
        <v>-24051.387388882686</v>
      </c>
      <c r="AS267" s="30">
        <f>VLOOKUP(Inventory[[#This Row],[Qlty]],Lookups!$A$66:$E$79,2,FALSE)</f>
        <v>37154.252388000001</v>
      </c>
      <c r="AT267" s="30">
        <f>VLOOKUP(Inventory[[#This Row],[Cnd]],Lookups!$A$80:$E$88,2,FALSE)</f>
        <v>50438.379078999998</v>
      </c>
      <c r="AU267" s="30">
        <f>Inventory[[#This Row],[EffAge]]*Lookups!$B$65</f>
        <v>-869.92880000000002</v>
      </c>
      <c r="AV267" s="30">
        <f>Inventory[[#This Row],[MainFn]]*Lookups!$B$90</f>
        <v>101104.8156</v>
      </c>
      <c r="AW267" s="30">
        <f>Inventory[[#This Row],[UpprFn]]*Lookups!$B$91</f>
        <v>0</v>
      </c>
      <c r="AX267" s="30">
        <f>Inventory[[#This Row],[Bsmt Area]]*Lookups!$B$95</f>
        <v>0</v>
      </c>
      <c r="AY267" s="30">
        <f>Inventory[[#This Row],[AttGar]]*Lookups!$B$93</f>
        <v>14826.43302</v>
      </c>
      <c r="AZ267" s="30">
        <f>ROUND(Inventory[[#This Row],[25Det]],-2)</f>
        <v>0</v>
      </c>
      <c r="BA267" s="30">
        <f>ROUND(SUM(Inventory[[#This Row],[Mdl Qlty]:[Mdl Garage Area]])+Inventory[[#This Row],[Mdl Res Intercept]],-2)</f>
        <v>335200</v>
      </c>
      <c r="BB267" s="30">
        <f>ROUND(Inventory[[#This Row],[Mdl Land Intercept]]+Inventory[[#This Row],[Mdl LnAcres]],-2)</f>
        <v>64300</v>
      </c>
      <c r="BC267" s="30">
        <f>Inventory[[#This Row],[Unadj Res Value]]+Inventory[[#This Row],[Unadj Det Value]]+Inventory[[#This Row],[Unadj Land Value]]</f>
        <v>399500</v>
      </c>
      <c r="BD267" s="30">
        <f>(Inventory[[#This Row],[Unadj Total Value]]-Inventory[[#This Row],[24Final]])/Inventory[[#This Row],[24Final]]</f>
        <v>2.4096385542168676E-2</v>
      </c>
      <c r="BE267" s="30">
        <f>VLOOKUP(Inventory[[#This Row],[Nbhd]],Lookups!$M$3:$P$5,4,FALSE)</f>
        <v>0.99970000000000003</v>
      </c>
      <c r="BF267" s="30">
        <f>VLOOKUP(Inventory[[#This Row],[Qlty]],Lookups!$M$8:$P$22,4,FALSE)</f>
        <v>0.99819999999999998</v>
      </c>
      <c r="BG267" s="30">
        <f>VLOOKUP(Inventory[[#This Row],[Cnd]],Lookups!$R$8:$U$17,4,FALSE)</f>
        <v>1.0007999999999999</v>
      </c>
      <c r="BH267" s="30">
        <f>VLOOKUP(Inventory[[#This Row],[LivArea Range]],Lookups!$R$25:$U$43,4,FALSE)</f>
        <v>1.0007999999999999</v>
      </c>
      <c r="BI267" s="30">
        <f>VLOOKUP(Inventory[[#This Row],[Decade]],Lookups!$M$24:$P$40,4,FALSE)</f>
        <v>1</v>
      </c>
      <c r="BJ267" s="30">
        <f>Inventory[[#This Row],[Nbhd Adj]]*0.95</f>
        <v>0.94971499999999998</v>
      </c>
      <c r="BK267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267" s="30">
        <f>ROUND((SUM(Inventory[[#This Row],[Mdl Qlty]:[Mdl Garage Area]])+Inventory[[#This Row],[Mdl Res Intercept]])*Inventory[[#This Row],[Res Adj ]],-2)</f>
        <v>318400</v>
      </c>
      <c r="BM267" s="30">
        <f>ROUND(Inventory[[#This Row],[25Det]]*Inventory[[#This Row],[Det/Nbhd Adj]],-2)</f>
        <v>0</v>
      </c>
      <c r="BN267" s="30">
        <f>Inventory[[#This Row],[Adjusted Res]]+Inventory[[#This Row],[Adj Det ]]</f>
        <v>318400</v>
      </c>
      <c r="BO267" s="30">
        <f>ROUND((Inventory[[#This Row],[Mdl Land Intercept]]+Inventory[[#This Row],[Mdl LnAcres]])*Inventory[[#This Row],[Det/Nbhd Adj]],-2)</f>
        <v>61100</v>
      </c>
      <c r="BP267" s="30">
        <f>Inventory[[#This Row],[Adjusted Impr Total]]+Inventory[[#This Row],[Adjusted Land Total]]</f>
        <v>379500</v>
      </c>
      <c r="BQ267" s="30">
        <f>IFERROR((Inventory[[#This Row],[Adjusted Impr Total]]-Inventory[[#This Row],[24Bldg]])/Inventory[[#This Row],[24Bldg]],0)</f>
        <v>-3.310051624658366E-2</v>
      </c>
      <c r="BR267" s="43">
        <f>(Inventory[[#This Row],[Adjusted Land Total]]-Inventory[[#This Row],[24Lnd]])/Inventory[[#This Row],[24Lnd]]</f>
        <v>4.9342105263157892E-3</v>
      </c>
      <c r="BS267" s="43">
        <f>(Inventory[[#This Row],[Adjusted Total]]-Inventory[[#This Row],[24Final]])/Inventory[[#This Row],[24Final]]</f>
        <v>-2.7172519866700846E-2</v>
      </c>
    </row>
    <row r="268" spans="1:71">
      <c r="A268" s="30">
        <v>2025</v>
      </c>
      <c r="B268" s="31" t="s">
        <v>778</v>
      </c>
      <c r="C268" s="31">
        <f>LN(Inventory[[#This Row],[Acres]])</f>
        <v>-1.8325814637483102</v>
      </c>
      <c r="D268" s="30">
        <v>0.16</v>
      </c>
      <c r="E268" s="30">
        <v>7123</v>
      </c>
      <c r="F268" s="31" t="s">
        <v>505</v>
      </c>
      <c r="G268" s="31" t="s">
        <v>155</v>
      </c>
      <c r="H268" s="31" t="s">
        <v>5</v>
      </c>
      <c r="I268" s="31" t="s">
        <v>506</v>
      </c>
      <c r="J268" s="31" t="s">
        <v>507</v>
      </c>
      <c r="K268" s="31" t="s">
        <v>330</v>
      </c>
      <c r="L268" s="31" t="s">
        <v>21</v>
      </c>
      <c r="M268" s="31" t="s">
        <v>22</v>
      </c>
      <c r="N268" s="31">
        <v>0</v>
      </c>
      <c r="O268" s="31">
        <f>2024-Inventory[[#This Row],[YrBlt]]</f>
        <v>8</v>
      </c>
      <c r="P268" s="31">
        <f>2024-Inventory[[#This Row],[EffYr]]</f>
        <v>8</v>
      </c>
      <c r="Q268" s="30">
        <v>2016</v>
      </c>
      <c r="R268" s="30">
        <v>2016</v>
      </c>
      <c r="S268" s="30">
        <v>1861</v>
      </c>
      <c r="T268" s="32"/>
      <c r="U268" s="32"/>
      <c r="V268" s="32"/>
      <c r="W268" s="32"/>
      <c r="X268" s="32">
        <f>Inventory[[#This Row],[Bsmt Area]]-Inventory[[#This Row],[FnBsmt]]</f>
        <v>0</v>
      </c>
      <c r="Y268" s="32">
        <f>Inventory[[#This Row],[MainFn]]+Inventory[[#This Row],[UpprFn]]+Inventory[[#This Row],[AddFn]]+Inventory[[#This Row],[FnBsmt]]</f>
        <v>1861</v>
      </c>
      <c r="Z268" s="32">
        <v>2000</v>
      </c>
      <c r="AA268" s="31" t="s">
        <v>56</v>
      </c>
      <c r="AB268" s="38">
        <v>1</v>
      </c>
      <c r="AC268" s="30">
        <v>431</v>
      </c>
      <c r="AD268" s="32"/>
      <c r="AE268" s="32"/>
      <c r="AF268" s="32"/>
      <c r="AG268" s="32"/>
      <c r="AH268" s="32"/>
      <c r="AI268" s="30">
        <v>404269</v>
      </c>
      <c r="AJ268" s="30">
        <v>388098</v>
      </c>
      <c r="AK268" s="30">
        <v>0</v>
      </c>
      <c r="AL268" s="30">
        <v>0</v>
      </c>
      <c r="AM268" s="30">
        <v>60800</v>
      </c>
      <c r="AN268" s="30">
        <v>329900</v>
      </c>
      <c r="AO268" s="30">
        <v>390700</v>
      </c>
      <c r="AP268" s="30">
        <f>Lookups!$B$58*0.6</f>
        <v>132535.48800000001</v>
      </c>
      <c r="AQ268" s="30">
        <f>Lookups!$B$58*0.4</f>
        <v>88356.992000000013</v>
      </c>
      <c r="AR268" s="30">
        <f>Lookups!$B$59*Inventory[[#This Row],[LnAcres]]</f>
        <v>-24051.387388882686</v>
      </c>
      <c r="AS268" s="30">
        <f>VLOOKUP(Inventory[[#This Row],[Qlty]],Lookups!$A$66:$E$79,2,FALSE)</f>
        <v>32917.849192000001</v>
      </c>
      <c r="AT268" s="30">
        <f>VLOOKUP(Inventory[[#This Row],[Cnd]],Lookups!$A$80:$E$88,2,FALSE)</f>
        <v>50438.379078999998</v>
      </c>
      <c r="AU268" s="30">
        <f>Inventory[[#This Row],[EffAge]]*Lookups!$B$65</f>
        <v>-869.92880000000002</v>
      </c>
      <c r="AV268" s="30">
        <f>Inventory[[#This Row],[MainFn]]*Lookups!$B$90</f>
        <v>116145.71718000001</v>
      </c>
      <c r="AW268" s="30">
        <f>Inventory[[#This Row],[UpprFn]]*Lookups!$B$91</f>
        <v>0</v>
      </c>
      <c r="AX268" s="30">
        <f>Inventory[[#This Row],[Bsmt Area]]*Lookups!$B$95</f>
        <v>0</v>
      </c>
      <c r="AY268" s="30">
        <f>Inventory[[#This Row],[AttGar]]*Lookups!$B$93</f>
        <v>15214.744361000001</v>
      </c>
      <c r="AZ268" s="30">
        <f>ROUND(Inventory[[#This Row],[25Det]],-2)</f>
        <v>0</v>
      </c>
      <c r="BA268" s="30">
        <f>ROUND(SUM(Inventory[[#This Row],[Mdl Qlty]:[Mdl Garage Area]])+Inventory[[#This Row],[Mdl Res Intercept]],-2)</f>
        <v>346400</v>
      </c>
      <c r="BB268" s="30">
        <f>ROUND(Inventory[[#This Row],[Mdl Land Intercept]]+Inventory[[#This Row],[Mdl LnAcres]],-2)</f>
        <v>64300</v>
      </c>
      <c r="BC268" s="30">
        <f>Inventory[[#This Row],[Unadj Res Value]]+Inventory[[#This Row],[Unadj Det Value]]+Inventory[[#This Row],[Unadj Land Value]]</f>
        <v>410700</v>
      </c>
      <c r="BD268" s="30">
        <f>(Inventory[[#This Row],[Unadj Total Value]]-Inventory[[#This Row],[24Final]])/Inventory[[#This Row],[24Final]]</f>
        <v>5.1190171487074485E-2</v>
      </c>
      <c r="BE268" s="30">
        <f>VLOOKUP(Inventory[[#This Row],[Nbhd]],Lookups!$M$3:$P$5,4,FALSE)</f>
        <v>0.99970000000000003</v>
      </c>
      <c r="BF268" s="30">
        <f>VLOOKUP(Inventory[[#This Row],[Qlty]],Lookups!$M$8:$P$22,4,FALSE)</f>
        <v>1.0019</v>
      </c>
      <c r="BG268" s="30">
        <f>VLOOKUP(Inventory[[#This Row],[Cnd]],Lookups!$R$8:$U$17,4,FALSE)</f>
        <v>1.0007999999999999</v>
      </c>
      <c r="BH268" s="30">
        <f>VLOOKUP(Inventory[[#This Row],[LivArea Range]],Lookups!$R$25:$U$43,4,FALSE)</f>
        <v>1.0007999999999999</v>
      </c>
      <c r="BI268" s="30">
        <f>VLOOKUP(Inventory[[#This Row],[Decade]],Lookups!$M$24:$P$40,4,FALSE)</f>
        <v>1</v>
      </c>
      <c r="BJ268" s="30">
        <f>Inventory[[#This Row],[Nbhd Adj]]*0.95</f>
        <v>0.94971499999999998</v>
      </c>
      <c r="BK268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268" s="30">
        <f>ROUND((SUM(Inventory[[#This Row],[Mdl Qlty]:[Mdl Garage Area]])+Inventory[[#This Row],[Mdl Res Intercept]])*Inventory[[#This Row],[Res Adj ]],-2)</f>
        <v>329300</v>
      </c>
      <c r="BM268" s="30">
        <f>ROUND(Inventory[[#This Row],[25Det]]*Inventory[[#This Row],[Det/Nbhd Adj]],-2)</f>
        <v>0</v>
      </c>
      <c r="BN268" s="30">
        <f>Inventory[[#This Row],[Adjusted Res]]+Inventory[[#This Row],[Adj Det ]]</f>
        <v>329300</v>
      </c>
      <c r="BO268" s="30">
        <f>ROUND((Inventory[[#This Row],[Mdl Land Intercept]]+Inventory[[#This Row],[Mdl LnAcres]])*Inventory[[#This Row],[Det/Nbhd Adj]],-2)</f>
        <v>61100</v>
      </c>
      <c r="BP268" s="30">
        <f>Inventory[[#This Row],[Adjusted Impr Total]]+Inventory[[#This Row],[Adjusted Land Total]]</f>
        <v>390400</v>
      </c>
      <c r="BQ268" s="30">
        <f>IFERROR((Inventory[[#This Row],[Adjusted Impr Total]]-Inventory[[#This Row],[24Bldg]])/Inventory[[#This Row],[24Bldg]],0)</f>
        <v>-1.8187329493785996E-3</v>
      </c>
      <c r="BR268" s="43">
        <f>(Inventory[[#This Row],[Adjusted Land Total]]-Inventory[[#This Row],[24Lnd]])/Inventory[[#This Row],[24Lnd]]</f>
        <v>4.9342105263157892E-3</v>
      </c>
      <c r="BS268" s="43">
        <f>(Inventory[[#This Row],[Adjusted Total]]-Inventory[[#This Row],[24Final]])/Inventory[[#This Row],[24Final]]</f>
        <v>-7.6785257230611718E-4</v>
      </c>
    </row>
    <row r="269" spans="1:71">
      <c r="A269" s="30">
        <v>2025</v>
      </c>
      <c r="B269" s="31" t="s">
        <v>779</v>
      </c>
      <c r="C269" s="31">
        <f>LN(Inventory[[#This Row],[Acres]])</f>
        <v>-1.7719568419318752</v>
      </c>
      <c r="D269" s="30">
        <v>0.17</v>
      </c>
      <c r="E269" s="30">
        <v>7333</v>
      </c>
      <c r="F269" s="31" t="s">
        <v>505</v>
      </c>
      <c r="G269" s="31" t="s">
        <v>155</v>
      </c>
      <c r="H269" s="31" t="s">
        <v>5</v>
      </c>
      <c r="I269" s="31" t="s">
        <v>506</v>
      </c>
      <c r="J269" s="31" t="s">
        <v>507</v>
      </c>
      <c r="K269" s="31" t="s">
        <v>330</v>
      </c>
      <c r="L269" s="31" t="s">
        <v>21</v>
      </c>
      <c r="M269" s="31" t="s">
        <v>22</v>
      </c>
      <c r="N269" s="31">
        <v>0</v>
      </c>
      <c r="O269" s="31">
        <f>2024-Inventory[[#This Row],[YrBlt]]</f>
        <v>8</v>
      </c>
      <c r="P269" s="31">
        <f>2024-Inventory[[#This Row],[EffYr]]</f>
        <v>8</v>
      </c>
      <c r="Q269" s="30">
        <v>2016</v>
      </c>
      <c r="R269" s="30">
        <v>2016</v>
      </c>
      <c r="S269" s="30">
        <v>1638</v>
      </c>
      <c r="T269" s="38">
        <v>1398</v>
      </c>
      <c r="U269" s="32"/>
      <c r="V269" s="32"/>
      <c r="W269" s="32"/>
      <c r="X269" s="32">
        <f>Inventory[[#This Row],[Bsmt Area]]-Inventory[[#This Row],[FnBsmt]]</f>
        <v>0</v>
      </c>
      <c r="Y269" s="32">
        <f>Inventory[[#This Row],[MainFn]]+Inventory[[#This Row],[UpprFn]]+Inventory[[#This Row],[AddFn]]+Inventory[[#This Row],[FnBsmt]]</f>
        <v>3036</v>
      </c>
      <c r="Z269" s="32">
        <v>3500</v>
      </c>
      <c r="AA269" s="31" t="s">
        <v>57</v>
      </c>
      <c r="AB269" s="32"/>
      <c r="AC269" s="38">
        <v>704</v>
      </c>
      <c r="AD269" s="32"/>
      <c r="AE269" s="32"/>
      <c r="AF269" s="32"/>
      <c r="AG269" s="32"/>
      <c r="AH269" s="32"/>
      <c r="AI269" s="30">
        <v>598428</v>
      </c>
      <c r="AJ269" s="30">
        <v>574491</v>
      </c>
      <c r="AK269" s="30">
        <v>0</v>
      </c>
      <c r="AL269" s="30">
        <v>0</v>
      </c>
      <c r="AM269" s="30">
        <v>61700</v>
      </c>
      <c r="AN269" s="30">
        <v>438600</v>
      </c>
      <c r="AO269" s="30">
        <v>500300</v>
      </c>
      <c r="AP269" s="30">
        <f>Lookups!$B$58*0.6</f>
        <v>132535.48800000001</v>
      </c>
      <c r="AQ269" s="30">
        <f>Lookups!$B$58*0.4</f>
        <v>88356.992000000013</v>
      </c>
      <c r="AR269" s="30">
        <f>Lookups!$B$59*Inventory[[#This Row],[LnAcres]]</f>
        <v>-23255.730391660189</v>
      </c>
      <c r="AS269" s="30">
        <f>VLOOKUP(Inventory[[#This Row],[Qlty]],Lookups!$A$66:$E$79,2,FALSE)</f>
        <v>32917.849192000001</v>
      </c>
      <c r="AT269" s="30">
        <f>VLOOKUP(Inventory[[#This Row],[Cnd]],Lookups!$A$80:$E$88,2,FALSE)</f>
        <v>50438.379078999998</v>
      </c>
      <c r="AU269" s="30">
        <f>Inventory[[#This Row],[EffAge]]*Lookups!$B$65</f>
        <v>-869.92880000000002</v>
      </c>
      <c r="AV269" s="30">
        <f>Inventory[[#This Row],[MainFn]]*Lookups!$B$90</f>
        <v>102228.20244000001</v>
      </c>
      <c r="AW269" s="30">
        <f>Inventory[[#This Row],[UpprFn]]*Lookups!$B$91</f>
        <v>83293.375434000001</v>
      </c>
      <c r="AX269" s="30">
        <f>Inventory[[#This Row],[Bsmt Area]]*Lookups!$B$95</f>
        <v>0</v>
      </c>
      <c r="AY269" s="30">
        <f>Inventory[[#This Row],[AttGar]]*Lookups!$B$93</f>
        <v>24851.925824000002</v>
      </c>
      <c r="AZ269" s="30">
        <f>ROUND(Inventory[[#This Row],[25Det]],-2)</f>
        <v>0</v>
      </c>
      <c r="BA269" s="30">
        <f>ROUND(SUM(Inventory[[#This Row],[Mdl Qlty]:[Mdl Garage Area]])+Inventory[[#This Row],[Mdl Res Intercept]],-2)</f>
        <v>425400</v>
      </c>
      <c r="BB269" s="30">
        <f>ROUND(Inventory[[#This Row],[Mdl Land Intercept]]+Inventory[[#This Row],[Mdl LnAcres]],-2)</f>
        <v>65100</v>
      </c>
      <c r="BC269" s="30">
        <f>Inventory[[#This Row],[Unadj Res Value]]+Inventory[[#This Row],[Unadj Det Value]]+Inventory[[#This Row],[Unadj Land Value]]</f>
        <v>490500</v>
      </c>
      <c r="BD269" s="30">
        <f>(Inventory[[#This Row],[Unadj Total Value]]-Inventory[[#This Row],[24Final]])/Inventory[[#This Row],[24Final]]</f>
        <v>-1.9588247051768939E-2</v>
      </c>
      <c r="BE269" s="30">
        <f>VLOOKUP(Inventory[[#This Row],[Nbhd]],Lookups!$M$3:$P$5,4,FALSE)</f>
        <v>0.99970000000000003</v>
      </c>
      <c r="BF269" s="30">
        <f>VLOOKUP(Inventory[[#This Row],[Qlty]],Lookups!$M$8:$P$22,4,FALSE)</f>
        <v>1.0019</v>
      </c>
      <c r="BG269" s="30">
        <f>VLOOKUP(Inventory[[#This Row],[Cnd]],Lookups!$R$8:$U$17,4,FALSE)</f>
        <v>1.0007999999999999</v>
      </c>
      <c r="BH269" s="30">
        <f>VLOOKUP(Inventory[[#This Row],[LivArea Range]],Lookups!$R$25:$U$43,4,FALSE)</f>
        <v>0.98509999999999998</v>
      </c>
      <c r="BI269" s="30">
        <f>VLOOKUP(Inventory[[#This Row],[Decade]],Lookups!$M$24:$P$40,4,FALSE)</f>
        <v>1</v>
      </c>
      <c r="BJ269" s="30">
        <f>Inventory[[#This Row],[Nbhd Adj]]*0.95</f>
        <v>0.94971499999999998</v>
      </c>
      <c r="BK269" s="30">
        <f>AVERAGE(Inventory[[#This Row],[Nbhd Adj]],Inventory[[#This Row],[Quality Adj]],Inventory[[#This Row],[Condition Adj]],Inventory[[#This Row],[Living Area Adj]],Inventory[[#This Row],[Decade Adj]])*0.95</f>
        <v>0.94762499999999994</v>
      </c>
      <c r="BL269" s="30">
        <f>ROUND((SUM(Inventory[[#This Row],[Mdl Qlty]:[Mdl Garage Area]])+Inventory[[#This Row],[Mdl Res Intercept]])*Inventory[[#This Row],[Res Adj ]],-2)</f>
        <v>403100</v>
      </c>
      <c r="BM269" s="30">
        <f>ROUND(Inventory[[#This Row],[25Det]]*Inventory[[#This Row],[Det/Nbhd Adj]],-2)</f>
        <v>0</v>
      </c>
      <c r="BN269" s="30">
        <f>Inventory[[#This Row],[Adjusted Res]]+Inventory[[#This Row],[Adj Det ]]</f>
        <v>403100</v>
      </c>
      <c r="BO269" s="30">
        <f>ROUND((Inventory[[#This Row],[Mdl Land Intercept]]+Inventory[[#This Row],[Mdl LnAcres]])*Inventory[[#This Row],[Det/Nbhd Adj]],-2)</f>
        <v>61800</v>
      </c>
      <c r="BP269" s="30">
        <f>Inventory[[#This Row],[Adjusted Impr Total]]+Inventory[[#This Row],[Adjusted Land Total]]</f>
        <v>464900</v>
      </c>
      <c r="BQ269" s="30">
        <f>IFERROR((Inventory[[#This Row],[Adjusted Impr Total]]-Inventory[[#This Row],[24Bldg]])/Inventory[[#This Row],[24Bldg]],0)</f>
        <v>-8.0939352485180124E-2</v>
      </c>
      <c r="BR269" s="43">
        <f>(Inventory[[#This Row],[Adjusted Land Total]]-Inventory[[#This Row],[24Lnd]])/Inventory[[#This Row],[24Lnd]]</f>
        <v>1.6207455429497568E-3</v>
      </c>
      <c r="BS269" s="43">
        <f>(Inventory[[#This Row],[Adjusted Total]]-Inventory[[#This Row],[24Final]])/Inventory[[#This Row],[24Final]]</f>
        <v>-7.0757545472716371E-2</v>
      </c>
    </row>
    <row r="270" spans="1:71">
      <c r="A270" s="30">
        <v>2025</v>
      </c>
      <c r="B270" s="31" t="s">
        <v>780</v>
      </c>
      <c r="C270" s="31">
        <f>LN(Inventory[[#This Row],[Acres]])</f>
        <v>-1.7719568419318752</v>
      </c>
      <c r="D270" s="30">
        <v>0.17</v>
      </c>
      <c r="E270" s="30">
        <v>7310</v>
      </c>
      <c r="F270" s="31" t="s">
        <v>505</v>
      </c>
      <c r="G270" s="31" t="s">
        <v>155</v>
      </c>
      <c r="H270" s="31" t="s">
        <v>5</v>
      </c>
      <c r="I270" s="31" t="s">
        <v>506</v>
      </c>
      <c r="J270" s="31" t="s">
        <v>507</v>
      </c>
      <c r="K270" s="31" t="s">
        <v>330</v>
      </c>
      <c r="L270" s="31" t="s">
        <v>19</v>
      </c>
      <c r="M270" s="31" t="s">
        <v>22</v>
      </c>
      <c r="N270" s="31">
        <v>0</v>
      </c>
      <c r="O270" s="31">
        <f>2024-Inventory[[#This Row],[YrBlt]]</f>
        <v>8</v>
      </c>
      <c r="P270" s="31">
        <f>2024-Inventory[[#This Row],[EffYr]]</f>
        <v>8</v>
      </c>
      <c r="Q270" s="30">
        <v>2016</v>
      </c>
      <c r="R270" s="30">
        <v>2016</v>
      </c>
      <c r="S270" s="30">
        <v>787</v>
      </c>
      <c r="T270" s="38">
        <v>1224</v>
      </c>
      <c r="U270" s="32"/>
      <c r="V270" s="32"/>
      <c r="W270" s="32"/>
      <c r="X270" s="32">
        <f>Inventory[[#This Row],[Bsmt Area]]-Inventory[[#This Row],[FnBsmt]]</f>
        <v>0</v>
      </c>
      <c r="Y270" s="32">
        <f>Inventory[[#This Row],[MainFn]]+Inventory[[#This Row],[UpprFn]]+Inventory[[#This Row],[AddFn]]+Inventory[[#This Row],[FnBsmt]]</f>
        <v>2011</v>
      </c>
      <c r="Z270" s="32">
        <v>2500</v>
      </c>
      <c r="AA270" s="31" t="s">
        <v>56</v>
      </c>
      <c r="AB270" s="32"/>
      <c r="AC270" s="32"/>
      <c r="AD270" s="38">
        <v>399</v>
      </c>
      <c r="AE270" s="32"/>
      <c r="AF270" s="32"/>
      <c r="AG270" s="32"/>
      <c r="AH270" s="32"/>
      <c r="AI270" s="30">
        <v>369088</v>
      </c>
      <c r="AJ270" s="30">
        <v>354324</v>
      </c>
      <c r="AK270" s="30">
        <v>0</v>
      </c>
      <c r="AL270" s="30">
        <v>0</v>
      </c>
      <c r="AM270" s="30">
        <v>61700</v>
      </c>
      <c r="AN270" s="30">
        <v>373500</v>
      </c>
      <c r="AO270" s="30">
        <v>435200</v>
      </c>
      <c r="AP270" s="30">
        <f>Lookups!$B$58*0.6</f>
        <v>132535.48800000001</v>
      </c>
      <c r="AQ270" s="30">
        <f>Lookups!$B$58*0.4</f>
        <v>88356.992000000013</v>
      </c>
      <c r="AR270" s="30">
        <f>Lookups!$B$59*Inventory[[#This Row],[LnAcres]]</f>
        <v>-23255.730391660189</v>
      </c>
      <c r="AS270" s="30">
        <f>VLOOKUP(Inventory[[#This Row],[Qlty]],Lookups!$A$66:$E$79,2,FALSE)</f>
        <v>37154.252388000001</v>
      </c>
      <c r="AT270" s="30">
        <f>VLOOKUP(Inventory[[#This Row],[Cnd]],Lookups!$A$80:$E$88,2,FALSE)</f>
        <v>50438.379078999998</v>
      </c>
      <c r="AU270" s="30">
        <f>Inventory[[#This Row],[EffAge]]*Lookups!$B$65</f>
        <v>-869.92880000000002</v>
      </c>
      <c r="AV270" s="30">
        <f>Inventory[[#This Row],[MainFn]]*Lookups!$B$90</f>
        <v>49116.969060000003</v>
      </c>
      <c r="AW270" s="30">
        <f>Inventory[[#This Row],[UpprFn]]*Lookups!$B$91</f>
        <v>72926.388791999998</v>
      </c>
      <c r="AX270" s="30">
        <f>Inventory[[#This Row],[Bsmt Area]]*Lookups!$B$95</f>
        <v>0</v>
      </c>
      <c r="AY270" s="30">
        <f>Inventory[[#This Row],[AttGar]]*Lookups!$B$93</f>
        <v>0</v>
      </c>
      <c r="AZ270" s="30">
        <f>ROUND(Inventory[[#This Row],[25Det]],-2)</f>
        <v>0</v>
      </c>
      <c r="BA270" s="30">
        <f>ROUND(SUM(Inventory[[#This Row],[Mdl Qlty]:[Mdl Garage Area]])+Inventory[[#This Row],[Mdl Res Intercept]],-2)</f>
        <v>341300</v>
      </c>
      <c r="BB270" s="30">
        <f>ROUND(Inventory[[#This Row],[Mdl Land Intercept]]+Inventory[[#This Row],[Mdl LnAcres]],-2)</f>
        <v>65100</v>
      </c>
      <c r="BC270" s="30">
        <f>Inventory[[#This Row],[Unadj Res Value]]+Inventory[[#This Row],[Unadj Det Value]]+Inventory[[#This Row],[Unadj Land Value]]</f>
        <v>406400</v>
      </c>
      <c r="BD270" s="30">
        <f>(Inventory[[#This Row],[Unadj Total Value]]-Inventory[[#This Row],[24Final]])/Inventory[[#This Row],[24Final]]</f>
        <v>-6.6176470588235295E-2</v>
      </c>
      <c r="BE270" s="30">
        <f>VLOOKUP(Inventory[[#This Row],[Nbhd]],Lookups!$M$3:$P$5,4,FALSE)</f>
        <v>0.99970000000000003</v>
      </c>
      <c r="BF270" s="30">
        <f>VLOOKUP(Inventory[[#This Row],[Qlty]],Lookups!$M$8:$P$22,4,FALSE)</f>
        <v>0.99819999999999998</v>
      </c>
      <c r="BG270" s="30">
        <f>VLOOKUP(Inventory[[#This Row],[Cnd]],Lookups!$R$8:$U$17,4,FALSE)</f>
        <v>1.0007999999999999</v>
      </c>
      <c r="BH270" s="30">
        <f>VLOOKUP(Inventory[[#This Row],[LivArea Range]],Lookups!$R$25:$U$43,4,FALSE)</f>
        <v>1.0008999999999999</v>
      </c>
      <c r="BI270" s="30">
        <f>VLOOKUP(Inventory[[#This Row],[Decade]],Lookups!$M$24:$P$40,4,FALSE)</f>
        <v>1</v>
      </c>
      <c r="BJ270" s="30">
        <f>Inventory[[#This Row],[Nbhd Adj]]*0.95</f>
        <v>0.94971499999999998</v>
      </c>
      <c r="BK270" s="30">
        <f>AVERAGE(Inventory[[#This Row],[Nbhd Adj]],Inventory[[#This Row],[Quality Adj]],Inventory[[#This Row],[Condition Adj]],Inventory[[#This Row],[Living Area Adj]],Inventory[[#This Row],[Decade Adj]])*0.95</f>
        <v>0.94992399999999999</v>
      </c>
      <c r="BL270" s="30">
        <f>ROUND((SUM(Inventory[[#This Row],[Mdl Qlty]:[Mdl Garage Area]])+Inventory[[#This Row],[Mdl Res Intercept]])*Inventory[[#This Row],[Res Adj ]],-2)</f>
        <v>324200</v>
      </c>
      <c r="BM270" s="30">
        <f>ROUND(Inventory[[#This Row],[25Det]]*Inventory[[#This Row],[Det/Nbhd Adj]],-2)</f>
        <v>0</v>
      </c>
      <c r="BN270" s="30">
        <f>Inventory[[#This Row],[Adjusted Res]]+Inventory[[#This Row],[Adj Det ]]</f>
        <v>324200</v>
      </c>
      <c r="BO270" s="30">
        <f>ROUND((Inventory[[#This Row],[Mdl Land Intercept]]+Inventory[[#This Row],[Mdl LnAcres]])*Inventory[[#This Row],[Det/Nbhd Adj]],-2)</f>
        <v>61800</v>
      </c>
      <c r="BP270" s="30">
        <f>Inventory[[#This Row],[Adjusted Impr Total]]+Inventory[[#This Row],[Adjusted Land Total]]</f>
        <v>386000</v>
      </c>
      <c r="BQ270" s="30">
        <f>IFERROR((Inventory[[#This Row],[Adjusted Impr Total]]-Inventory[[#This Row],[24Bldg]])/Inventory[[#This Row],[24Bldg]],0)</f>
        <v>-0.13199464524765731</v>
      </c>
      <c r="BR270" s="43">
        <f>(Inventory[[#This Row],[Adjusted Land Total]]-Inventory[[#This Row],[24Lnd]])/Inventory[[#This Row],[24Lnd]]</f>
        <v>1.6207455429497568E-3</v>
      </c>
      <c r="BS270" s="43">
        <f>(Inventory[[#This Row],[Adjusted Total]]-Inventory[[#This Row],[24Final]])/Inventory[[#This Row],[24Final]]</f>
        <v>-0.11305147058823529</v>
      </c>
    </row>
    <row r="271" spans="1:71">
      <c r="A271" s="30">
        <v>2025</v>
      </c>
      <c r="B271" s="31" t="s">
        <v>781</v>
      </c>
      <c r="C271" s="31">
        <f>LN(Inventory[[#This Row],[Acres]])</f>
        <v>-1.7719568419318752</v>
      </c>
      <c r="D271" s="30">
        <v>0.17</v>
      </c>
      <c r="E271" s="30">
        <v>7310</v>
      </c>
      <c r="F271" s="31" t="s">
        <v>505</v>
      </c>
      <c r="G271" s="31" t="s">
        <v>155</v>
      </c>
      <c r="H271" s="31" t="s">
        <v>5</v>
      </c>
      <c r="I271" s="31" t="s">
        <v>506</v>
      </c>
      <c r="J271" s="31" t="s">
        <v>507</v>
      </c>
      <c r="K271" s="31" t="s">
        <v>330</v>
      </c>
      <c r="L271" s="31" t="s">
        <v>21</v>
      </c>
      <c r="M271" s="31" t="s">
        <v>22</v>
      </c>
      <c r="N271" s="31">
        <v>0</v>
      </c>
      <c r="O271" s="31">
        <f>2024-Inventory[[#This Row],[YrBlt]]</f>
        <v>8</v>
      </c>
      <c r="P271" s="31">
        <f>2024-Inventory[[#This Row],[EffYr]]</f>
        <v>8</v>
      </c>
      <c r="Q271" s="30">
        <v>2016</v>
      </c>
      <c r="R271" s="30">
        <v>2016</v>
      </c>
      <c r="S271" s="30">
        <v>1126</v>
      </c>
      <c r="T271" s="38">
        <v>1126</v>
      </c>
      <c r="U271" s="32"/>
      <c r="V271" s="32"/>
      <c r="W271" s="32"/>
      <c r="X271" s="32">
        <f>Inventory[[#This Row],[Bsmt Area]]-Inventory[[#This Row],[FnBsmt]]</f>
        <v>0</v>
      </c>
      <c r="Y271" s="32">
        <f>Inventory[[#This Row],[MainFn]]+Inventory[[#This Row],[UpprFn]]+Inventory[[#This Row],[AddFn]]+Inventory[[#This Row],[FnBsmt]]</f>
        <v>2252</v>
      </c>
      <c r="Z271" s="32">
        <v>2500</v>
      </c>
      <c r="AA271" s="31" t="s">
        <v>56</v>
      </c>
      <c r="AB271" s="32"/>
      <c r="AC271" s="30">
        <v>440</v>
      </c>
      <c r="AD271" s="32"/>
      <c r="AE271" s="32"/>
      <c r="AF271" s="32"/>
      <c r="AG271" s="32"/>
      <c r="AH271" s="32"/>
      <c r="AI271" s="30">
        <v>465833</v>
      </c>
      <c r="AJ271" s="30">
        <v>447200</v>
      </c>
      <c r="AK271" s="30">
        <v>0</v>
      </c>
      <c r="AL271" s="30">
        <v>0</v>
      </c>
      <c r="AM271" s="30">
        <v>61700</v>
      </c>
      <c r="AN271" s="30">
        <v>393900</v>
      </c>
      <c r="AO271" s="30">
        <v>455600</v>
      </c>
      <c r="AP271" s="30">
        <f>Lookups!$B$58*0.6</f>
        <v>132535.48800000001</v>
      </c>
      <c r="AQ271" s="30">
        <f>Lookups!$B$58*0.4</f>
        <v>88356.992000000013</v>
      </c>
      <c r="AR271" s="30">
        <f>Lookups!$B$59*Inventory[[#This Row],[LnAcres]]</f>
        <v>-23255.730391660189</v>
      </c>
      <c r="AS271" s="30">
        <f>VLOOKUP(Inventory[[#This Row],[Qlty]],Lookups!$A$66:$E$79,2,FALSE)</f>
        <v>32917.849192000001</v>
      </c>
      <c r="AT271" s="30">
        <f>VLOOKUP(Inventory[[#This Row],[Cnd]],Lookups!$A$80:$E$88,2,FALSE)</f>
        <v>50438.379078999998</v>
      </c>
      <c r="AU271" s="30">
        <f>Inventory[[#This Row],[EffAge]]*Lookups!$B$65</f>
        <v>-869.92880000000002</v>
      </c>
      <c r="AV271" s="30">
        <f>Inventory[[#This Row],[MainFn]]*Lookups!$B$90</f>
        <v>70274.087880000006</v>
      </c>
      <c r="AW271" s="30">
        <f>Inventory[[#This Row],[UpprFn]]*Lookups!$B$91</f>
        <v>67087.511257999999</v>
      </c>
      <c r="AX271" s="30">
        <f>Inventory[[#This Row],[Bsmt Area]]*Lookups!$B$95</f>
        <v>0</v>
      </c>
      <c r="AY271" s="30">
        <f>Inventory[[#This Row],[AttGar]]*Lookups!$B$93</f>
        <v>15532.453640000002</v>
      </c>
      <c r="AZ271" s="30">
        <f>ROUND(Inventory[[#This Row],[25Det]],-2)</f>
        <v>0</v>
      </c>
      <c r="BA271" s="30">
        <f>ROUND(SUM(Inventory[[#This Row],[Mdl Qlty]:[Mdl Garage Area]])+Inventory[[#This Row],[Mdl Res Intercept]],-2)</f>
        <v>367900</v>
      </c>
      <c r="BB271" s="30">
        <f>ROUND(Inventory[[#This Row],[Mdl Land Intercept]]+Inventory[[#This Row],[Mdl LnAcres]],-2)</f>
        <v>65100</v>
      </c>
      <c r="BC271" s="30">
        <f>Inventory[[#This Row],[Unadj Res Value]]+Inventory[[#This Row],[Unadj Det Value]]+Inventory[[#This Row],[Unadj Land Value]]</f>
        <v>433000</v>
      </c>
      <c r="BD271" s="30">
        <f>(Inventory[[#This Row],[Unadj Total Value]]-Inventory[[#This Row],[24Final]])/Inventory[[#This Row],[24Final]]</f>
        <v>-4.9604916593503072E-2</v>
      </c>
      <c r="BE271" s="30">
        <f>VLOOKUP(Inventory[[#This Row],[Nbhd]],Lookups!$M$3:$P$5,4,FALSE)</f>
        <v>0.99970000000000003</v>
      </c>
      <c r="BF271" s="30">
        <f>VLOOKUP(Inventory[[#This Row],[Qlty]],Lookups!$M$8:$P$22,4,FALSE)</f>
        <v>1.0019</v>
      </c>
      <c r="BG271" s="30">
        <f>VLOOKUP(Inventory[[#This Row],[Cnd]],Lookups!$R$8:$U$17,4,FALSE)</f>
        <v>1.0007999999999999</v>
      </c>
      <c r="BH271" s="30">
        <f>VLOOKUP(Inventory[[#This Row],[LivArea Range]],Lookups!$R$25:$U$43,4,FALSE)</f>
        <v>1.0008999999999999</v>
      </c>
      <c r="BI271" s="30">
        <f>VLOOKUP(Inventory[[#This Row],[Decade]],Lookups!$M$24:$P$40,4,FALSE)</f>
        <v>1</v>
      </c>
      <c r="BJ271" s="30">
        <f>Inventory[[#This Row],[Nbhd Adj]]*0.95</f>
        <v>0.94971499999999998</v>
      </c>
      <c r="BK271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271" s="30">
        <f>ROUND((SUM(Inventory[[#This Row],[Mdl Qlty]:[Mdl Garage Area]])+Inventory[[#This Row],[Mdl Res Intercept]])*Inventory[[#This Row],[Res Adj ]],-2)</f>
        <v>349800</v>
      </c>
      <c r="BM271" s="30">
        <f>ROUND(Inventory[[#This Row],[25Det]]*Inventory[[#This Row],[Det/Nbhd Adj]],-2)</f>
        <v>0</v>
      </c>
      <c r="BN271" s="30">
        <f>Inventory[[#This Row],[Adjusted Res]]+Inventory[[#This Row],[Adj Det ]]</f>
        <v>349800</v>
      </c>
      <c r="BO271" s="30">
        <f>ROUND((Inventory[[#This Row],[Mdl Land Intercept]]+Inventory[[#This Row],[Mdl LnAcres]])*Inventory[[#This Row],[Det/Nbhd Adj]],-2)</f>
        <v>61800</v>
      </c>
      <c r="BP271" s="30">
        <f>Inventory[[#This Row],[Adjusted Impr Total]]+Inventory[[#This Row],[Adjusted Land Total]]</f>
        <v>411600</v>
      </c>
      <c r="BQ271" s="30">
        <f>IFERROR((Inventory[[#This Row],[Adjusted Impr Total]]-Inventory[[#This Row],[24Bldg]])/Inventory[[#This Row],[24Bldg]],0)</f>
        <v>-0.11195734958111196</v>
      </c>
      <c r="BR271" s="43">
        <f>(Inventory[[#This Row],[Adjusted Land Total]]-Inventory[[#This Row],[24Lnd]])/Inventory[[#This Row],[24Lnd]]</f>
        <v>1.6207455429497568E-3</v>
      </c>
      <c r="BS271" s="43">
        <f>(Inventory[[#This Row],[Adjusted Total]]-Inventory[[#This Row],[24Final]])/Inventory[[#This Row],[24Final]]</f>
        <v>-9.6575943810359971E-2</v>
      </c>
    </row>
    <row r="272" spans="1:71">
      <c r="A272" s="30">
        <v>2025</v>
      </c>
      <c r="B272" s="31" t="s">
        <v>782</v>
      </c>
      <c r="C272" s="31">
        <f>LN(Inventory[[#This Row],[Acres]])</f>
        <v>-1.7719568419318752</v>
      </c>
      <c r="D272" s="30">
        <v>0.17</v>
      </c>
      <c r="E272" s="30">
        <v>7249</v>
      </c>
      <c r="F272" s="31" t="s">
        <v>505</v>
      </c>
      <c r="G272" s="31" t="s">
        <v>155</v>
      </c>
      <c r="H272" s="31" t="s">
        <v>5</v>
      </c>
      <c r="I272" s="31" t="s">
        <v>506</v>
      </c>
      <c r="J272" s="31" t="s">
        <v>507</v>
      </c>
      <c r="K272" s="31" t="s">
        <v>330</v>
      </c>
      <c r="L272" s="31" t="s">
        <v>21</v>
      </c>
      <c r="M272" s="31" t="s">
        <v>22</v>
      </c>
      <c r="N272" s="31">
        <v>0</v>
      </c>
      <c r="O272" s="31">
        <f>2024-Inventory[[#This Row],[YrBlt]]</f>
        <v>8</v>
      </c>
      <c r="P272" s="31">
        <f>2024-Inventory[[#This Row],[EffYr]]</f>
        <v>8</v>
      </c>
      <c r="Q272" s="30">
        <v>2016</v>
      </c>
      <c r="R272" s="30">
        <v>2016</v>
      </c>
      <c r="S272" s="30">
        <v>1126</v>
      </c>
      <c r="T272" s="38">
        <v>1098</v>
      </c>
      <c r="U272" s="32"/>
      <c r="V272" s="32"/>
      <c r="W272" s="32"/>
      <c r="X272" s="32">
        <f>Inventory[[#This Row],[Bsmt Area]]-Inventory[[#This Row],[FnBsmt]]</f>
        <v>0</v>
      </c>
      <c r="Y272" s="32">
        <f>Inventory[[#This Row],[MainFn]]+Inventory[[#This Row],[UpprFn]]+Inventory[[#This Row],[AddFn]]+Inventory[[#This Row],[FnBsmt]]</f>
        <v>2224</v>
      </c>
      <c r="Z272" s="32">
        <v>2500</v>
      </c>
      <c r="AA272" s="31" t="s">
        <v>56</v>
      </c>
      <c r="AB272" s="38">
        <v>1</v>
      </c>
      <c r="AC272" s="30">
        <v>680</v>
      </c>
      <c r="AD272" s="32"/>
      <c r="AE272" s="32"/>
      <c r="AF272" s="32"/>
      <c r="AG272" s="32"/>
      <c r="AH272" s="32"/>
      <c r="AI272" s="30">
        <v>461727</v>
      </c>
      <c r="AJ272" s="30">
        <v>443258</v>
      </c>
      <c r="AK272" s="30">
        <v>0</v>
      </c>
      <c r="AL272" s="30">
        <v>0</v>
      </c>
      <c r="AM272" s="30">
        <v>61700</v>
      </c>
      <c r="AN272" s="30">
        <v>373600</v>
      </c>
      <c r="AO272" s="30">
        <v>435300</v>
      </c>
      <c r="AP272" s="30">
        <f>Lookups!$B$58*0.6</f>
        <v>132535.48800000001</v>
      </c>
      <c r="AQ272" s="30">
        <f>Lookups!$B$58*0.4</f>
        <v>88356.992000000013</v>
      </c>
      <c r="AR272" s="30">
        <f>Lookups!$B$59*Inventory[[#This Row],[LnAcres]]</f>
        <v>-23255.730391660189</v>
      </c>
      <c r="AS272" s="30">
        <f>VLOOKUP(Inventory[[#This Row],[Qlty]],Lookups!$A$66:$E$79,2,FALSE)</f>
        <v>32917.849192000001</v>
      </c>
      <c r="AT272" s="30">
        <f>VLOOKUP(Inventory[[#This Row],[Cnd]],Lookups!$A$80:$E$88,2,FALSE)</f>
        <v>50438.379078999998</v>
      </c>
      <c r="AU272" s="30">
        <f>Inventory[[#This Row],[EffAge]]*Lookups!$B$65</f>
        <v>-869.92880000000002</v>
      </c>
      <c r="AV272" s="30">
        <f>Inventory[[#This Row],[MainFn]]*Lookups!$B$90</f>
        <v>70274.087880000006</v>
      </c>
      <c r="AW272" s="30">
        <f>Inventory[[#This Row],[UpprFn]]*Lookups!$B$91</f>
        <v>65419.260534000001</v>
      </c>
      <c r="AX272" s="30">
        <f>Inventory[[#This Row],[Bsmt Area]]*Lookups!$B$95</f>
        <v>0</v>
      </c>
      <c r="AY272" s="30">
        <f>Inventory[[#This Row],[AttGar]]*Lookups!$B$93</f>
        <v>24004.701080000003</v>
      </c>
      <c r="AZ272" s="30">
        <f>ROUND(Inventory[[#This Row],[25Det]],-2)</f>
        <v>0</v>
      </c>
      <c r="BA272" s="30">
        <f>ROUND(SUM(Inventory[[#This Row],[Mdl Qlty]:[Mdl Garage Area]])+Inventory[[#This Row],[Mdl Res Intercept]],-2)</f>
        <v>374700</v>
      </c>
      <c r="BB272" s="30">
        <f>ROUND(Inventory[[#This Row],[Mdl Land Intercept]]+Inventory[[#This Row],[Mdl LnAcres]],-2)</f>
        <v>65100</v>
      </c>
      <c r="BC272" s="30">
        <f>Inventory[[#This Row],[Unadj Res Value]]+Inventory[[#This Row],[Unadj Det Value]]+Inventory[[#This Row],[Unadj Land Value]]</f>
        <v>439800</v>
      </c>
      <c r="BD272" s="30">
        <f>(Inventory[[#This Row],[Unadj Total Value]]-Inventory[[#This Row],[24Final]])/Inventory[[#This Row],[24Final]]</f>
        <v>1.0337698139214336E-2</v>
      </c>
      <c r="BE272" s="30">
        <f>VLOOKUP(Inventory[[#This Row],[Nbhd]],Lookups!$M$3:$P$5,4,FALSE)</f>
        <v>0.99970000000000003</v>
      </c>
      <c r="BF272" s="30">
        <f>VLOOKUP(Inventory[[#This Row],[Qlty]],Lookups!$M$8:$P$22,4,FALSE)</f>
        <v>1.0019</v>
      </c>
      <c r="BG272" s="30">
        <f>VLOOKUP(Inventory[[#This Row],[Cnd]],Lookups!$R$8:$U$17,4,FALSE)</f>
        <v>1.0007999999999999</v>
      </c>
      <c r="BH272" s="30">
        <f>VLOOKUP(Inventory[[#This Row],[LivArea Range]],Lookups!$R$25:$U$43,4,FALSE)</f>
        <v>1.0008999999999999</v>
      </c>
      <c r="BI272" s="30">
        <f>VLOOKUP(Inventory[[#This Row],[Decade]],Lookups!$M$24:$P$40,4,FALSE)</f>
        <v>1</v>
      </c>
      <c r="BJ272" s="30">
        <f>Inventory[[#This Row],[Nbhd Adj]]*0.95</f>
        <v>0.94971499999999998</v>
      </c>
      <c r="BK272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272" s="30">
        <f>ROUND((SUM(Inventory[[#This Row],[Mdl Qlty]:[Mdl Garage Area]])+Inventory[[#This Row],[Mdl Res Intercept]])*Inventory[[#This Row],[Res Adj ]],-2)</f>
        <v>356200</v>
      </c>
      <c r="BM272" s="30">
        <f>ROUND(Inventory[[#This Row],[25Det]]*Inventory[[#This Row],[Det/Nbhd Adj]],-2)</f>
        <v>0</v>
      </c>
      <c r="BN272" s="30">
        <f>Inventory[[#This Row],[Adjusted Res]]+Inventory[[#This Row],[Adj Det ]]</f>
        <v>356200</v>
      </c>
      <c r="BO272" s="30">
        <f>ROUND((Inventory[[#This Row],[Mdl Land Intercept]]+Inventory[[#This Row],[Mdl LnAcres]])*Inventory[[#This Row],[Det/Nbhd Adj]],-2)</f>
        <v>61800</v>
      </c>
      <c r="BP272" s="30">
        <f>Inventory[[#This Row],[Adjusted Impr Total]]+Inventory[[#This Row],[Adjusted Land Total]]</f>
        <v>418000</v>
      </c>
      <c r="BQ272" s="30">
        <f>IFERROR((Inventory[[#This Row],[Adjusted Impr Total]]-Inventory[[#This Row],[24Bldg]])/Inventory[[#This Row],[24Bldg]],0)</f>
        <v>-4.6573875802997856E-2</v>
      </c>
      <c r="BR272" s="43">
        <f>(Inventory[[#This Row],[Adjusted Land Total]]-Inventory[[#This Row],[24Lnd]])/Inventory[[#This Row],[24Lnd]]</f>
        <v>1.6207455429497568E-3</v>
      </c>
      <c r="BS272" s="43">
        <f>(Inventory[[#This Row],[Adjusted Total]]-Inventory[[#This Row],[24Final]])/Inventory[[#This Row],[24Final]]</f>
        <v>-3.9742706179646224E-2</v>
      </c>
    </row>
    <row r="273" spans="1:71">
      <c r="A273" s="30">
        <v>2025</v>
      </c>
      <c r="B273" s="31" t="s">
        <v>783</v>
      </c>
      <c r="C273" s="31">
        <f>LN(Inventory[[#This Row],[Acres]])</f>
        <v>-1.7719568419318752</v>
      </c>
      <c r="D273" s="30">
        <v>0.17</v>
      </c>
      <c r="E273" s="30">
        <v>7333</v>
      </c>
      <c r="F273" s="31" t="s">
        <v>505</v>
      </c>
      <c r="G273" s="31" t="s">
        <v>155</v>
      </c>
      <c r="H273" s="31" t="s">
        <v>5</v>
      </c>
      <c r="I273" s="31" t="s">
        <v>506</v>
      </c>
      <c r="J273" s="31" t="s">
        <v>507</v>
      </c>
      <c r="K273" s="31" t="s">
        <v>330</v>
      </c>
      <c r="L273" s="31" t="s">
        <v>19</v>
      </c>
      <c r="M273" s="31" t="s">
        <v>22</v>
      </c>
      <c r="N273" s="31">
        <v>0</v>
      </c>
      <c r="O273" s="31">
        <f>2024-Inventory[[#This Row],[YrBlt]]</f>
        <v>8</v>
      </c>
      <c r="P273" s="31">
        <f>2024-Inventory[[#This Row],[EffYr]]</f>
        <v>8</v>
      </c>
      <c r="Q273" s="30">
        <v>2016</v>
      </c>
      <c r="R273" s="30">
        <v>2016</v>
      </c>
      <c r="S273" s="30">
        <v>1392</v>
      </c>
      <c r="T273" s="32"/>
      <c r="U273" s="32"/>
      <c r="V273" s="32"/>
      <c r="W273" s="32"/>
      <c r="X273" s="32">
        <f>Inventory[[#This Row],[Bsmt Area]]-Inventory[[#This Row],[FnBsmt]]</f>
        <v>0</v>
      </c>
      <c r="Y273" s="32">
        <f>Inventory[[#This Row],[MainFn]]+Inventory[[#This Row],[UpprFn]]+Inventory[[#This Row],[AddFn]]+Inventory[[#This Row],[FnBsmt]]</f>
        <v>1392</v>
      </c>
      <c r="Z273" s="32">
        <v>1500</v>
      </c>
      <c r="AA273" s="31" t="s">
        <v>56</v>
      </c>
      <c r="AB273" s="32"/>
      <c r="AC273" s="30">
        <v>400</v>
      </c>
      <c r="AD273" s="32"/>
      <c r="AE273" s="32"/>
      <c r="AF273" s="32"/>
      <c r="AG273" s="32"/>
      <c r="AH273" s="32"/>
      <c r="AI273" s="30">
        <v>277127</v>
      </c>
      <c r="AJ273" s="30">
        <v>266042</v>
      </c>
      <c r="AK273" s="30">
        <v>0</v>
      </c>
      <c r="AL273" s="30">
        <v>0</v>
      </c>
      <c r="AM273" s="30">
        <v>61700</v>
      </c>
      <c r="AN273" s="30">
        <v>315800</v>
      </c>
      <c r="AO273" s="30">
        <v>377500</v>
      </c>
      <c r="AP273" s="30">
        <f>Lookups!$B$58*0.6</f>
        <v>132535.48800000001</v>
      </c>
      <c r="AQ273" s="30">
        <f>Lookups!$B$58*0.4</f>
        <v>88356.992000000013</v>
      </c>
      <c r="AR273" s="30">
        <f>Lookups!$B$59*Inventory[[#This Row],[LnAcres]]</f>
        <v>-23255.730391660189</v>
      </c>
      <c r="AS273" s="30">
        <f>VLOOKUP(Inventory[[#This Row],[Qlty]],Lookups!$A$66:$E$79,2,FALSE)</f>
        <v>37154.252388000001</v>
      </c>
      <c r="AT273" s="30">
        <f>VLOOKUP(Inventory[[#This Row],[Cnd]],Lookups!$A$80:$E$88,2,FALSE)</f>
        <v>50438.379078999998</v>
      </c>
      <c r="AU273" s="30">
        <f>Inventory[[#This Row],[EffAge]]*Lookups!$B$65</f>
        <v>-869.92880000000002</v>
      </c>
      <c r="AV273" s="30">
        <f>Inventory[[#This Row],[MainFn]]*Lookups!$B$90</f>
        <v>86875.248960000012</v>
      </c>
      <c r="AW273" s="30">
        <f>Inventory[[#This Row],[UpprFn]]*Lookups!$B$91</f>
        <v>0</v>
      </c>
      <c r="AX273" s="30">
        <f>Inventory[[#This Row],[Bsmt Area]]*Lookups!$B$95</f>
        <v>0</v>
      </c>
      <c r="AY273" s="30">
        <f>Inventory[[#This Row],[AttGar]]*Lookups!$B$93</f>
        <v>14120.412400000001</v>
      </c>
      <c r="AZ273" s="30">
        <f>ROUND(Inventory[[#This Row],[25Det]],-2)</f>
        <v>0</v>
      </c>
      <c r="BA273" s="30">
        <f>ROUND(SUM(Inventory[[#This Row],[Mdl Qlty]:[Mdl Garage Area]])+Inventory[[#This Row],[Mdl Res Intercept]],-2)</f>
        <v>320300</v>
      </c>
      <c r="BB273" s="30">
        <f>ROUND(Inventory[[#This Row],[Mdl Land Intercept]]+Inventory[[#This Row],[Mdl LnAcres]],-2)</f>
        <v>65100</v>
      </c>
      <c r="BC273" s="30">
        <f>Inventory[[#This Row],[Unadj Res Value]]+Inventory[[#This Row],[Unadj Det Value]]+Inventory[[#This Row],[Unadj Land Value]]</f>
        <v>385400</v>
      </c>
      <c r="BD273" s="30">
        <f>(Inventory[[#This Row],[Unadj Total Value]]-Inventory[[#This Row],[24Final]])/Inventory[[#This Row],[24Final]]</f>
        <v>2.0927152317880796E-2</v>
      </c>
      <c r="BE273" s="30">
        <f>VLOOKUP(Inventory[[#This Row],[Nbhd]],Lookups!$M$3:$P$5,4,FALSE)</f>
        <v>0.99970000000000003</v>
      </c>
      <c r="BF273" s="30">
        <f>VLOOKUP(Inventory[[#This Row],[Qlty]],Lookups!$M$8:$P$22,4,FALSE)</f>
        <v>0.99819999999999998</v>
      </c>
      <c r="BG273" s="30">
        <f>VLOOKUP(Inventory[[#This Row],[Cnd]],Lookups!$R$8:$U$17,4,FALSE)</f>
        <v>1.0007999999999999</v>
      </c>
      <c r="BH273" s="30">
        <f>VLOOKUP(Inventory[[#This Row],[LivArea Range]],Lookups!$R$25:$U$43,4,FALSE)</f>
        <v>0.99519999999999997</v>
      </c>
      <c r="BI273" s="30">
        <f>VLOOKUP(Inventory[[#This Row],[Decade]],Lookups!$M$24:$P$40,4,FALSE)</f>
        <v>1</v>
      </c>
      <c r="BJ273" s="30">
        <f>Inventory[[#This Row],[Nbhd Adj]]*0.95</f>
        <v>0.94971499999999998</v>
      </c>
      <c r="BK273" s="30">
        <f>AVERAGE(Inventory[[#This Row],[Nbhd Adj]],Inventory[[#This Row],[Quality Adj]],Inventory[[#This Row],[Condition Adj]],Inventory[[#This Row],[Living Area Adj]],Inventory[[#This Row],[Decade Adj]])*0.95</f>
        <v>0.94884099999999993</v>
      </c>
      <c r="BL273" s="30">
        <f>ROUND((SUM(Inventory[[#This Row],[Mdl Qlty]:[Mdl Garage Area]])+Inventory[[#This Row],[Mdl Res Intercept]])*Inventory[[#This Row],[Res Adj ]],-2)</f>
        <v>303900</v>
      </c>
      <c r="BM273" s="30">
        <f>ROUND(Inventory[[#This Row],[25Det]]*Inventory[[#This Row],[Det/Nbhd Adj]],-2)</f>
        <v>0</v>
      </c>
      <c r="BN273" s="30">
        <f>Inventory[[#This Row],[Adjusted Res]]+Inventory[[#This Row],[Adj Det ]]</f>
        <v>303900</v>
      </c>
      <c r="BO273" s="30">
        <f>ROUND((Inventory[[#This Row],[Mdl Land Intercept]]+Inventory[[#This Row],[Mdl LnAcres]])*Inventory[[#This Row],[Det/Nbhd Adj]],-2)</f>
        <v>61800</v>
      </c>
      <c r="BP273" s="30">
        <f>Inventory[[#This Row],[Adjusted Impr Total]]+Inventory[[#This Row],[Adjusted Land Total]]</f>
        <v>365700</v>
      </c>
      <c r="BQ273" s="30">
        <f>IFERROR((Inventory[[#This Row],[Adjusted Impr Total]]-Inventory[[#This Row],[24Bldg]])/Inventory[[#This Row],[24Bldg]],0)</f>
        <v>-3.7682077264091195E-2</v>
      </c>
      <c r="BR273" s="43">
        <f>(Inventory[[#This Row],[Adjusted Land Total]]-Inventory[[#This Row],[24Lnd]])/Inventory[[#This Row],[24Lnd]]</f>
        <v>1.6207455429497568E-3</v>
      </c>
      <c r="BS273" s="43">
        <f>(Inventory[[#This Row],[Adjusted Total]]-Inventory[[#This Row],[24Final]])/Inventory[[#This Row],[24Final]]</f>
        <v>-3.1258278145695366E-2</v>
      </c>
    </row>
    <row r="274" spans="1:71">
      <c r="A274" s="30">
        <v>2025</v>
      </c>
      <c r="B274" s="31" t="s">
        <v>784</v>
      </c>
      <c r="C274" s="31">
        <f>LN(Inventory[[#This Row],[Acres]])</f>
        <v>-1.7719568419318752</v>
      </c>
      <c r="D274" s="30">
        <v>0.17</v>
      </c>
      <c r="E274" s="30">
        <v>7333</v>
      </c>
      <c r="F274" s="31" t="s">
        <v>505</v>
      </c>
      <c r="G274" s="31" t="s">
        <v>155</v>
      </c>
      <c r="H274" s="31" t="s">
        <v>5</v>
      </c>
      <c r="I274" s="31" t="s">
        <v>506</v>
      </c>
      <c r="J274" s="31" t="s">
        <v>507</v>
      </c>
      <c r="K274" s="31" t="s">
        <v>330</v>
      </c>
      <c r="L274" s="31" t="s">
        <v>19</v>
      </c>
      <c r="M274" s="31" t="s">
        <v>22</v>
      </c>
      <c r="N274" s="31">
        <v>0</v>
      </c>
      <c r="O274" s="31">
        <f>2024-Inventory[[#This Row],[YrBlt]]</f>
        <v>8</v>
      </c>
      <c r="P274" s="31">
        <f>2024-Inventory[[#This Row],[EffYr]]</f>
        <v>8</v>
      </c>
      <c r="Q274" s="30">
        <v>2016</v>
      </c>
      <c r="R274" s="30">
        <v>2016</v>
      </c>
      <c r="S274" s="30">
        <v>1620</v>
      </c>
      <c r="T274" s="32"/>
      <c r="U274" s="32"/>
      <c r="V274" s="32"/>
      <c r="W274" s="32"/>
      <c r="X274" s="32">
        <f>Inventory[[#This Row],[Bsmt Area]]-Inventory[[#This Row],[FnBsmt]]</f>
        <v>0</v>
      </c>
      <c r="Y274" s="32">
        <f>Inventory[[#This Row],[MainFn]]+Inventory[[#This Row],[UpprFn]]+Inventory[[#This Row],[AddFn]]+Inventory[[#This Row],[FnBsmt]]</f>
        <v>1620</v>
      </c>
      <c r="Z274" s="32">
        <v>2000</v>
      </c>
      <c r="AA274" s="31" t="s">
        <v>56</v>
      </c>
      <c r="AB274" s="32"/>
      <c r="AC274" s="30">
        <v>420</v>
      </c>
      <c r="AD274" s="32"/>
      <c r="AE274" s="32"/>
      <c r="AF274" s="32"/>
      <c r="AG274" s="32"/>
      <c r="AH274" s="32"/>
      <c r="AI274" s="30">
        <v>322116</v>
      </c>
      <c r="AJ274" s="30">
        <v>309231</v>
      </c>
      <c r="AK274" s="30">
        <v>0</v>
      </c>
      <c r="AL274" s="30">
        <v>0</v>
      </c>
      <c r="AM274" s="30">
        <v>61700</v>
      </c>
      <c r="AN274" s="30">
        <v>329300</v>
      </c>
      <c r="AO274" s="30">
        <v>391000</v>
      </c>
      <c r="AP274" s="30">
        <f>Lookups!$B$58*0.6</f>
        <v>132535.48800000001</v>
      </c>
      <c r="AQ274" s="30">
        <f>Lookups!$B$58*0.4</f>
        <v>88356.992000000013</v>
      </c>
      <c r="AR274" s="30">
        <f>Lookups!$B$59*Inventory[[#This Row],[LnAcres]]</f>
        <v>-23255.730391660189</v>
      </c>
      <c r="AS274" s="30">
        <f>VLOOKUP(Inventory[[#This Row],[Qlty]],Lookups!$A$66:$E$79,2,FALSE)</f>
        <v>37154.252388000001</v>
      </c>
      <c r="AT274" s="30">
        <f>VLOOKUP(Inventory[[#This Row],[Cnd]],Lookups!$A$80:$E$88,2,FALSE)</f>
        <v>50438.379078999998</v>
      </c>
      <c r="AU274" s="30">
        <f>Inventory[[#This Row],[EffAge]]*Lookups!$B$65</f>
        <v>-869.92880000000002</v>
      </c>
      <c r="AV274" s="30">
        <f>Inventory[[#This Row],[MainFn]]*Lookups!$B$90</f>
        <v>101104.8156</v>
      </c>
      <c r="AW274" s="30">
        <f>Inventory[[#This Row],[UpprFn]]*Lookups!$B$91</f>
        <v>0</v>
      </c>
      <c r="AX274" s="30">
        <f>Inventory[[#This Row],[Bsmt Area]]*Lookups!$B$95</f>
        <v>0</v>
      </c>
      <c r="AY274" s="30">
        <f>Inventory[[#This Row],[AttGar]]*Lookups!$B$93</f>
        <v>14826.43302</v>
      </c>
      <c r="AZ274" s="30">
        <f>ROUND(Inventory[[#This Row],[25Det]],-2)</f>
        <v>0</v>
      </c>
      <c r="BA274" s="30">
        <f>ROUND(SUM(Inventory[[#This Row],[Mdl Qlty]:[Mdl Garage Area]])+Inventory[[#This Row],[Mdl Res Intercept]],-2)</f>
        <v>335200</v>
      </c>
      <c r="BB274" s="30">
        <f>ROUND(Inventory[[#This Row],[Mdl Land Intercept]]+Inventory[[#This Row],[Mdl LnAcres]],-2)</f>
        <v>65100</v>
      </c>
      <c r="BC274" s="30">
        <f>Inventory[[#This Row],[Unadj Res Value]]+Inventory[[#This Row],[Unadj Det Value]]+Inventory[[#This Row],[Unadj Land Value]]</f>
        <v>400300</v>
      </c>
      <c r="BD274" s="30">
        <f>(Inventory[[#This Row],[Unadj Total Value]]-Inventory[[#This Row],[24Final]])/Inventory[[#This Row],[24Final]]</f>
        <v>2.3785166240409206E-2</v>
      </c>
      <c r="BE274" s="30">
        <f>VLOOKUP(Inventory[[#This Row],[Nbhd]],Lookups!$M$3:$P$5,4,FALSE)</f>
        <v>0.99970000000000003</v>
      </c>
      <c r="BF274" s="30">
        <f>VLOOKUP(Inventory[[#This Row],[Qlty]],Lookups!$M$8:$P$22,4,FALSE)</f>
        <v>0.99819999999999998</v>
      </c>
      <c r="BG274" s="30">
        <f>VLOOKUP(Inventory[[#This Row],[Cnd]],Lookups!$R$8:$U$17,4,FALSE)</f>
        <v>1.0007999999999999</v>
      </c>
      <c r="BH274" s="30">
        <f>VLOOKUP(Inventory[[#This Row],[LivArea Range]],Lookups!$R$25:$U$43,4,FALSE)</f>
        <v>1.0007999999999999</v>
      </c>
      <c r="BI274" s="30">
        <f>VLOOKUP(Inventory[[#This Row],[Decade]],Lookups!$M$24:$P$40,4,FALSE)</f>
        <v>1</v>
      </c>
      <c r="BJ274" s="30">
        <f>Inventory[[#This Row],[Nbhd Adj]]*0.95</f>
        <v>0.94971499999999998</v>
      </c>
      <c r="BK274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274" s="30">
        <f>ROUND((SUM(Inventory[[#This Row],[Mdl Qlty]:[Mdl Garage Area]])+Inventory[[#This Row],[Mdl Res Intercept]])*Inventory[[#This Row],[Res Adj ]],-2)</f>
        <v>318400</v>
      </c>
      <c r="BM274" s="30">
        <f>ROUND(Inventory[[#This Row],[25Det]]*Inventory[[#This Row],[Det/Nbhd Adj]],-2)</f>
        <v>0</v>
      </c>
      <c r="BN274" s="30">
        <f>Inventory[[#This Row],[Adjusted Res]]+Inventory[[#This Row],[Adj Det ]]</f>
        <v>318400</v>
      </c>
      <c r="BO274" s="30">
        <f>ROUND((Inventory[[#This Row],[Mdl Land Intercept]]+Inventory[[#This Row],[Mdl LnAcres]])*Inventory[[#This Row],[Det/Nbhd Adj]],-2)</f>
        <v>61800</v>
      </c>
      <c r="BP274" s="30">
        <f>Inventory[[#This Row],[Adjusted Impr Total]]+Inventory[[#This Row],[Adjusted Land Total]]</f>
        <v>380200</v>
      </c>
      <c r="BQ274" s="30">
        <f>IFERROR((Inventory[[#This Row],[Adjusted Impr Total]]-Inventory[[#This Row],[24Bldg]])/Inventory[[#This Row],[24Bldg]],0)</f>
        <v>-3.310051624658366E-2</v>
      </c>
      <c r="BR274" s="43">
        <f>(Inventory[[#This Row],[Adjusted Land Total]]-Inventory[[#This Row],[24Lnd]])/Inventory[[#This Row],[24Lnd]]</f>
        <v>1.6207455429497568E-3</v>
      </c>
      <c r="BS274" s="43">
        <f>(Inventory[[#This Row],[Adjusted Total]]-Inventory[[#This Row],[24Final]])/Inventory[[#This Row],[24Final]]</f>
        <v>-2.7621483375959079E-2</v>
      </c>
    </row>
    <row r="275" spans="1:71">
      <c r="A275" s="30">
        <v>2025</v>
      </c>
      <c r="B275" s="31" t="s">
        <v>785</v>
      </c>
      <c r="C275" s="31">
        <f>LN(Inventory[[#This Row],[Acres]])</f>
        <v>-1.7719568419318752</v>
      </c>
      <c r="D275" s="30">
        <v>0.17</v>
      </c>
      <c r="E275" s="30">
        <v>7333</v>
      </c>
      <c r="F275" s="31" t="s">
        <v>505</v>
      </c>
      <c r="G275" s="31" t="s">
        <v>155</v>
      </c>
      <c r="H275" s="31" t="s">
        <v>5</v>
      </c>
      <c r="I275" s="31" t="s">
        <v>506</v>
      </c>
      <c r="J275" s="31" t="s">
        <v>507</v>
      </c>
      <c r="K275" s="31" t="s">
        <v>330</v>
      </c>
      <c r="L275" s="31" t="s">
        <v>19</v>
      </c>
      <c r="M275" s="31" t="s">
        <v>22</v>
      </c>
      <c r="N275" s="31">
        <v>0</v>
      </c>
      <c r="O275" s="31">
        <f>2024-Inventory[[#This Row],[YrBlt]]</f>
        <v>8</v>
      </c>
      <c r="P275" s="31">
        <f>2024-Inventory[[#This Row],[EffYr]]</f>
        <v>8</v>
      </c>
      <c r="Q275" s="30">
        <v>2016</v>
      </c>
      <c r="R275" s="30">
        <v>2016</v>
      </c>
      <c r="S275" s="30">
        <v>1620</v>
      </c>
      <c r="T275" s="32"/>
      <c r="U275" s="32"/>
      <c r="V275" s="32"/>
      <c r="W275" s="32"/>
      <c r="X275" s="32">
        <f>Inventory[[#This Row],[Bsmt Area]]-Inventory[[#This Row],[FnBsmt]]</f>
        <v>0</v>
      </c>
      <c r="Y275" s="32">
        <f>Inventory[[#This Row],[MainFn]]+Inventory[[#This Row],[UpprFn]]+Inventory[[#This Row],[AddFn]]+Inventory[[#This Row],[FnBsmt]]</f>
        <v>1620</v>
      </c>
      <c r="Z275" s="32">
        <v>2000</v>
      </c>
      <c r="AA275" s="31" t="s">
        <v>56</v>
      </c>
      <c r="AB275" s="32"/>
      <c r="AC275" s="30">
        <v>420</v>
      </c>
      <c r="AD275" s="32"/>
      <c r="AE275" s="32"/>
      <c r="AF275" s="32"/>
      <c r="AG275" s="32"/>
      <c r="AH275" s="32"/>
      <c r="AI275" s="30">
        <v>323141</v>
      </c>
      <c r="AJ275" s="30">
        <v>310215</v>
      </c>
      <c r="AK275" s="30">
        <v>0</v>
      </c>
      <c r="AL275" s="30">
        <v>0</v>
      </c>
      <c r="AM275" s="30">
        <v>61700</v>
      </c>
      <c r="AN275" s="30">
        <v>329300</v>
      </c>
      <c r="AO275" s="30">
        <v>391000</v>
      </c>
      <c r="AP275" s="30">
        <f>Lookups!$B$58*0.6</f>
        <v>132535.48800000001</v>
      </c>
      <c r="AQ275" s="30">
        <f>Lookups!$B$58*0.4</f>
        <v>88356.992000000013</v>
      </c>
      <c r="AR275" s="30">
        <f>Lookups!$B$59*Inventory[[#This Row],[LnAcres]]</f>
        <v>-23255.730391660189</v>
      </c>
      <c r="AS275" s="30">
        <f>VLOOKUP(Inventory[[#This Row],[Qlty]],Lookups!$A$66:$E$79,2,FALSE)</f>
        <v>37154.252388000001</v>
      </c>
      <c r="AT275" s="30">
        <f>VLOOKUP(Inventory[[#This Row],[Cnd]],Lookups!$A$80:$E$88,2,FALSE)</f>
        <v>50438.379078999998</v>
      </c>
      <c r="AU275" s="30">
        <f>Inventory[[#This Row],[EffAge]]*Lookups!$B$65</f>
        <v>-869.92880000000002</v>
      </c>
      <c r="AV275" s="30">
        <f>Inventory[[#This Row],[MainFn]]*Lookups!$B$90</f>
        <v>101104.8156</v>
      </c>
      <c r="AW275" s="30">
        <f>Inventory[[#This Row],[UpprFn]]*Lookups!$B$91</f>
        <v>0</v>
      </c>
      <c r="AX275" s="30">
        <f>Inventory[[#This Row],[Bsmt Area]]*Lookups!$B$95</f>
        <v>0</v>
      </c>
      <c r="AY275" s="30">
        <f>Inventory[[#This Row],[AttGar]]*Lookups!$B$93</f>
        <v>14826.43302</v>
      </c>
      <c r="AZ275" s="30">
        <f>ROUND(Inventory[[#This Row],[25Det]],-2)</f>
        <v>0</v>
      </c>
      <c r="BA275" s="30">
        <f>ROUND(SUM(Inventory[[#This Row],[Mdl Qlty]:[Mdl Garage Area]])+Inventory[[#This Row],[Mdl Res Intercept]],-2)</f>
        <v>335200</v>
      </c>
      <c r="BB275" s="30">
        <f>ROUND(Inventory[[#This Row],[Mdl Land Intercept]]+Inventory[[#This Row],[Mdl LnAcres]],-2)</f>
        <v>65100</v>
      </c>
      <c r="BC275" s="30">
        <f>Inventory[[#This Row],[Unadj Res Value]]+Inventory[[#This Row],[Unadj Det Value]]+Inventory[[#This Row],[Unadj Land Value]]</f>
        <v>400300</v>
      </c>
      <c r="BD275" s="30">
        <f>(Inventory[[#This Row],[Unadj Total Value]]-Inventory[[#This Row],[24Final]])/Inventory[[#This Row],[24Final]]</f>
        <v>2.3785166240409206E-2</v>
      </c>
      <c r="BE275" s="30">
        <f>VLOOKUP(Inventory[[#This Row],[Nbhd]],Lookups!$M$3:$P$5,4,FALSE)</f>
        <v>0.99970000000000003</v>
      </c>
      <c r="BF275" s="30">
        <f>VLOOKUP(Inventory[[#This Row],[Qlty]],Lookups!$M$8:$P$22,4,FALSE)</f>
        <v>0.99819999999999998</v>
      </c>
      <c r="BG275" s="30">
        <f>VLOOKUP(Inventory[[#This Row],[Cnd]],Lookups!$R$8:$U$17,4,FALSE)</f>
        <v>1.0007999999999999</v>
      </c>
      <c r="BH275" s="30">
        <f>VLOOKUP(Inventory[[#This Row],[LivArea Range]],Lookups!$R$25:$U$43,4,FALSE)</f>
        <v>1.0007999999999999</v>
      </c>
      <c r="BI275" s="30">
        <f>VLOOKUP(Inventory[[#This Row],[Decade]],Lookups!$M$24:$P$40,4,FALSE)</f>
        <v>1</v>
      </c>
      <c r="BJ275" s="30">
        <f>Inventory[[#This Row],[Nbhd Adj]]*0.95</f>
        <v>0.94971499999999998</v>
      </c>
      <c r="BK275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275" s="30">
        <f>ROUND((SUM(Inventory[[#This Row],[Mdl Qlty]:[Mdl Garage Area]])+Inventory[[#This Row],[Mdl Res Intercept]])*Inventory[[#This Row],[Res Adj ]],-2)</f>
        <v>318400</v>
      </c>
      <c r="BM275" s="30">
        <f>ROUND(Inventory[[#This Row],[25Det]]*Inventory[[#This Row],[Det/Nbhd Adj]],-2)</f>
        <v>0</v>
      </c>
      <c r="BN275" s="30">
        <f>Inventory[[#This Row],[Adjusted Res]]+Inventory[[#This Row],[Adj Det ]]</f>
        <v>318400</v>
      </c>
      <c r="BO275" s="30">
        <f>ROUND((Inventory[[#This Row],[Mdl Land Intercept]]+Inventory[[#This Row],[Mdl LnAcres]])*Inventory[[#This Row],[Det/Nbhd Adj]],-2)</f>
        <v>61800</v>
      </c>
      <c r="BP275" s="30">
        <f>Inventory[[#This Row],[Adjusted Impr Total]]+Inventory[[#This Row],[Adjusted Land Total]]</f>
        <v>380200</v>
      </c>
      <c r="BQ275" s="30">
        <f>IFERROR((Inventory[[#This Row],[Adjusted Impr Total]]-Inventory[[#This Row],[24Bldg]])/Inventory[[#This Row],[24Bldg]],0)</f>
        <v>-3.310051624658366E-2</v>
      </c>
      <c r="BR275" s="43">
        <f>(Inventory[[#This Row],[Adjusted Land Total]]-Inventory[[#This Row],[24Lnd]])/Inventory[[#This Row],[24Lnd]]</f>
        <v>1.6207455429497568E-3</v>
      </c>
      <c r="BS275" s="43">
        <f>(Inventory[[#This Row],[Adjusted Total]]-Inventory[[#This Row],[24Final]])/Inventory[[#This Row],[24Final]]</f>
        <v>-2.7621483375959079E-2</v>
      </c>
    </row>
    <row r="276" spans="1:71">
      <c r="A276" s="30">
        <v>2025</v>
      </c>
      <c r="B276" s="31" t="s">
        <v>786</v>
      </c>
      <c r="C276" s="31">
        <f>LN(Inventory[[#This Row],[Acres]])</f>
        <v>-1.7719568419318752</v>
      </c>
      <c r="D276" s="30">
        <v>0.17</v>
      </c>
      <c r="E276" s="30">
        <v>7333</v>
      </c>
      <c r="F276" s="31" t="s">
        <v>505</v>
      </c>
      <c r="G276" s="31" t="s">
        <v>155</v>
      </c>
      <c r="H276" s="31" t="s">
        <v>5</v>
      </c>
      <c r="I276" s="31" t="s">
        <v>506</v>
      </c>
      <c r="J276" s="31" t="s">
        <v>507</v>
      </c>
      <c r="K276" s="31" t="s">
        <v>330</v>
      </c>
      <c r="L276" s="31" t="s">
        <v>21</v>
      </c>
      <c r="M276" s="31" t="s">
        <v>22</v>
      </c>
      <c r="N276" s="31">
        <v>0</v>
      </c>
      <c r="O276" s="31">
        <f>2024-Inventory[[#This Row],[YrBlt]]</f>
        <v>8</v>
      </c>
      <c r="P276" s="31">
        <f>2024-Inventory[[#This Row],[EffYr]]</f>
        <v>8</v>
      </c>
      <c r="Q276" s="30">
        <v>2016</v>
      </c>
      <c r="R276" s="30">
        <v>2016</v>
      </c>
      <c r="S276" s="30">
        <v>1593</v>
      </c>
      <c r="T276" s="38">
        <v>1427</v>
      </c>
      <c r="U276" s="37"/>
      <c r="V276" s="32"/>
      <c r="W276" s="37"/>
      <c r="X276" s="37">
        <f>Inventory[[#This Row],[Bsmt Area]]-Inventory[[#This Row],[FnBsmt]]</f>
        <v>0</v>
      </c>
      <c r="Y276" s="37">
        <f>Inventory[[#This Row],[MainFn]]+Inventory[[#This Row],[UpprFn]]+Inventory[[#This Row],[AddFn]]+Inventory[[#This Row],[FnBsmt]]</f>
        <v>3020</v>
      </c>
      <c r="Z276" s="32">
        <v>3500</v>
      </c>
      <c r="AA276" s="31" t="s">
        <v>56</v>
      </c>
      <c r="AB276" s="38">
        <v>1</v>
      </c>
      <c r="AC276" s="30">
        <v>706</v>
      </c>
      <c r="AD276" s="32"/>
      <c r="AE276" s="32"/>
      <c r="AF276" s="32"/>
      <c r="AG276" s="32"/>
      <c r="AH276" s="32"/>
      <c r="AI276" s="30">
        <v>597373</v>
      </c>
      <c r="AJ276" s="30">
        <v>573478</v>
      </c>
      <c r="AK276" s="30">
        <v>0</v>
      </c>
      <c r="AL276" s="30">
        <v>0</v>
      </c>
      <c r="AM276" s="30">
        <v>61700</v>
      </c>
      <c r="AN276" s="30">
        <v>412600</v>
      </c>
      <c r="AO276" s="30">
        <v>474300</v>
      </c>
      <c r="AP276" s="30">
        <f>Lookups!$B$58*0.6</f>
        <v>132535.48800000001</v>
      </c>
      <c r="AQ276" s="30">
        <f>Lookups!$B$58*0.4</f>
        <v>88356.992000000013</v>
      </c>
      <c r="AR276" s="30">
        <f>Lookups!$B$59*Inventory[[#This Row],[LnAcres]]</f>
        <v>-23255.730391660189</v>
      </c>
      <c r="AS276" s="30">
        <f>VLOOKUP(Inventory[[#This Row],[Qlty]],Lookups!$A$66:$E$79,2,FALSE)</f>
        <v>32917.849192000001</v>
      </c>
      <c r="AT276" s="30">
        <f>VLOOKUP(Inventory[[#This Row],[Cnd]],Lookups!$A$80:$E$88,2,FALSE)</f>
        <v>50438.379078999998</v>
      </c>
      <c r="AU276" s="30">
        <f>Inventory[[#This Row],[EffAge]]*Lookups!$B$65</f>
        <v>-869.92880000000002</v>
      </c>
      <c r="AV276" s="30">
        <f>Inventory[[#This Row],[MainFn]]*Lookups!$B$90</f>
        <v>99419.735339999999</v>
      </c>
      <c r="AW276" s="30">
        <f>Inventory[[#This Row],[UpprFn]]*Lookups!$B$91</f>
        <v>85021.206540999992</v>
      </c>
      <c r="AX276" s="30">
        <f>Inventory[[#This Row],[Bsmt Area]]*Lookups!$B$95</f>
        <v>0</v>
      </c>
      <c r="AY276" s="30">
        <f>Inventory[[#This Row],[AttGar]]*Lookups!$B$93</f>
        <v>24922.527886</v>
      </c>
      <c r="AZ276" s="30">
        <f>ROUND(Inventory[[#This Row],[25Det]],-2)</f>
        <v>0</v>
      </c>
      <c r="BA276" s="30">
        <f>ROUND(SUM(Inventory[[#This Row],[Mdl Qlty]:[Mdl Garage Area]])+Inventory[[#This Row],[Mdl Res Intercept]],-2)</f>
        <v>424400</v>
      </c>
      <c r="BB276" s="30">
        <f>ROUND(Inventory[[#This Row],[Mdl Land Intercept]]+Inventory[[#This Row],[Mdl LnAcres]],-2)</f>
        <v>65100</v>
      </c>
      <c r="BC276" s="30">
        <f>Inventory[[#This Row],[Unadj Res Value]]+Inventory[[#This Row],[Unadj Det Value]]+Inventory[[#This Row],[Unadj Land Value]]</f>
        <v>489500</v>
      </c>
      <c r="BD276" s="30">
        <f>(Inventory[[#This Row],[Unadj Total Value]]-Inventory[[#This Row],[24Final]])/Inventory[[#This Row],[24Final]]</f>
        <v>3.2047227493147798E-2</v>
      </c>
      <c r="BE276" s="30">
        <f>VLOOKUP(Inventory[[#This Row],[Nbhd]],Lookups!$M$3:$P$5,4,FALSE)</f>
        <v>0.99970000000000003</v>
      </c>
      <c r="BF276" s="30">
        <f>VLOOKUP(Inventory[[#This Row],[Qlty]],Lookups!$M$8:$P$22,4,FALSE)</f>
        <v>1.0019</v>
      </c>
      <c r="BG276" s="30">
        <f>VLOOKUP(Inventory[[#This Row],[Cnd]],Lookups!$R$8:$U$17,4,FALSE)</f>
        <v>1.0007999999999999</v>
      </c>
      <c r="BH276" s="30">
        <f>VLOOKUP(Inventory[[#This Row],[LivArea Range]],Lookups!$R$25:$U$43,4,FALSE)</f>
        <v>0.98509999999999998</v>
      </c>
      <c r="BI276" s="30">
        <f>VLOOKUP(Inventory[[#This Row],[Decade]],Lookups!$M$24:$P$40,4,FALSE)</f>
        <v>1</v>
      </c>
      <c r="BJ276" s="30">
        <f>Inventory[[#This Row],[Nbhd Adj]]*0.95</f>
        <v>0.94971499999999998</v>
      </c>
      <c r="BK276" s="30">
        <f>AVERAGE(Inventory[[#This Row],[Nbhd Adj]],Inventory[[#This Row],[Quality Adj]],Inventory[[#This Row],[Condition Adj]],Inventory[[#This Row],[Living Area Adj]],Inventory[[#This Row],[Decade Adj]])*0.95</f>
        <v>0.94762499999999994</v>
      </c>
      <c r="BL276" s="30">
        <f>ROUND((SUM(Inventory[[#This Row],[Mdl Qlty]:[Mdl Garage Area]])+Inventory[[#This Row],[Mdl Res Intercept]])*Inventory[[#This Row],[Res Adj ]],-2)</f>
        <v>402200</v>
      </c>
      <c r="BM276" s="30">
        <f>ROUND(Inventory[[#This Row],[25Det]]*Inventory[[#This Row],[Det/Nbhd Adj]],-2)</f>
        <v>0</v>
      </c>
      <c r="BN276" s="30">
        <f>Inventory[[#This Row],[Adjusted Res]]+Inventory[[#This Row],[Adj Det ]]</f>
        <v>402200</v>
      </c>
      <c r="BO276" s="30">
        <f>ROUND((Inventory[[#This Row],[Mdl Land Intercept]]+Inventory[[#This Row],[Mdl LnAcres]])*Inventory[[#This Row],[Det/Nbhd Adj]],-2)</f>
        <v>61800</v>
      </c>
      <c r="BP276" s="30">
        <f>Inventory[[#This Row],[Adjusted Impr Total]]+Inventory[[#This Row],[Adjusted Land Total]]</f>
        <v>464000</v>
      </c>
      <c r="BQ276" s="30">
        <f>IFERROR((Inventory[[#This Row],[Adjusted Impr Total]]-Inventory[[#This Row],[24Bldg]])/Inventory[[#This Row],[24Bldg]],0)</f>
        <v>-2.5206010664081433E-2</v>
      </c>
      <c r="BR276" s="43">
        <f>(Inventory[[#This Row],[Adjusted Land Total]]-Inventory[[#This Row],[24Lnd]])/Inventory[[#This Row],[24Lnd]]</f>
        <v>1.6207455429497568E-3</v>
      </c>
      <c r="BS276" s="43">
        <f>(Inventory[[#This Row],[Adjusted Total]]-Inventory[[#This Row],[24Final]])/Inventory[[#This Row],[24Final]]</f>
        <v>-2.1716213367067257E-2</v>
      </c>
    </row>
    <row r="277" spans="1:71">
      <c r="A277" s="30">
        <v>2025</v>
      </c>
      <c r="B277" s="31" t="s">
        <v>787</v>
      </c>
      <c r="C277" s="31">
        <f>LN(Inventory[[#This Row],[Acres]])</f>
        <v>-1.7719568419318752</v>
      </c>
      <c r="D277" s="30">
        <v>0.17</v>
      </c>
      <c r="E277" s="30">
        <v>7333</v>
      </c>
      <c r="F277" s="31" t="s">
        <v>505</v>
      </c>
      <c r="G277" s="31" t="s">
        <v>155</v>
      </c>
      <c r="H277" s="31" t="s">
        <v>5</v>
      </c>
      <c r="I277" s="31" t="s">
        <v>506</v>
      </c>
      <c r="J277" s="31" t="s">
        <v>507</v>
      </c>
      <c r="K277" s="31" t="s">
        <v>330</v>
      </c>
      <c r="L277" s="31" t="s">
        <v>21</v>
      </c>
      <c r="M277" s="31" t="s">
        <v>22</v>
      </c>
      <c r="N277" s="31">
        <v>0</v>
      </c>
      <c r="O277" s="31">
        <f>2024-Inventory[[#This Row],[YrBlt]]</f>
        <v>8</v>
      </c>
      <c r="P277" s="31">
        <f>2024-Inventory[[#This Row],[EffYr]]</f>
        <v>8</v>
      </c>
      <c r="Q277" s="30">
        <v>2016</v>
      </c>
      <c r="R277" s="30">
        <v>2016</v>
      </c>
      <c r="S277" s="30">
        <v>1555</v>
      </c>
      <c r="T277" s="38">
        <v>1251</v>
      </c>
      <c r="U277" s="32"/>
      <c r="V277" s="32"/>
      <c r="W277" s="32"/>
      <c r="X277" s="32">
        <f>Inventory[[#This Row],[Bsmt Area]]-Inventory[[#This Row],[FnBsmt]]</f>
        <v>0</v>
      </c>
      <c r="Y277" s="32">
        <f>Inventory[[#This Row],[MainFn]]+Inventory[[#This Row],[UpprFn]]+Inventory[[#This Row],[AddFn]]+Inventory[[#This Row],[FnBsmt]]</f>
        <v>2806</v>
      </c>
      <c r="Z277" s="32">
        <v>3000</v>
      </c>
      <c r="AA277" s="31" t="s">
        <v>56</v>
      </c>
      <c r="AB277" s="32"/>
      <c r="AC277" s="38">
        <v>713</v>
      </c>
      <c r="AD277" s="32"/>
      <c r="AE277" s="32"/>
      <c r="AF277" s="32"/>
      <c r="AG277" s="32"/>
      <c r="AH277" s="32"/>
      <c r="AI277" s="30">
        <v>552573</v>
      </c>
      <c r="AJ277" s="30">
        <v>530470</v>
      </c>
      <c r="AK277" s="30">
        <v>0</v>
      </c>
      <c r="AL277" s="30">
        <v>0</v>
      </c>
      <c r="AM277" s="30">
        <v>61700</v>
      </c>
      <c r="AN277" s="30">
        <v>403000</v>
      </c>
      <c r="AO277" s="30">
        <v>464700</v>
      </c>
      <c r="AP277" s="30">
        <f>Lookups!$B$58*0.6</f>
        <v>132535.48800000001</v>
      </c>
      <c r="AQ277" s="30">
        <f>Lookups!$B$58*0.4</f>
        <v>88356.992000000013</v>
      </c>
      <c r="AR277" s="30">
        <f>Lookups!$B$59*Inventory[[#This Row],[LnAcres]]</f>
        <v>-23255.730391660189</v>
      </c>
      <c r="AS277" s="30">
        <f>VLOOKUP(Inventory[[#This Row],[Qlty]],Lookups!$A$66:$E$79,2,FALSE)</f>
        <v>32917.849192000001</v>
      </c>
      <c r="AT277" s="30">
        <f>VLOOKUP(Inventory[[#This Row],[Cnd]],Lookups!$A$80:$E$88,2,FALSE)</f>
        <v>50438.379078999998</v>
      </c>
      <c r="AU277" s="30">
        <f>Inventory[[#This Row],[EffAge]]*Lookups!$B$65</f>
        <v>-869.92880000000002</v>
      </c>
      <c r="AV277" s="30">
        <f>Inventory[[#This Row],[MainFn]]*Lookups!$B$90</f>
        <v>97048.140899999999</v>
      </c>
      <c r="AW277" s="30">
        <f>Inventory[[#This Row],[UpprFn]]*Lookups!$B$91</f>
        <v>74535.059133000002</v>
      </c>
      <c r="AX277" s="30">
        <f>Inventory[[#This Row],[Bsmt Area]]*Lookups!$B$95</f>
        <v>0</v>
      </c>
      <c r="AY277" s="30">
        <f>Inventory[[#This Row],[AttGar]]*Lookups!$B$93</f>
        <v>25169.635103000001</v>
      </c>
      <c r="AZ277" s="30">
        <f>ROUND(Inventory[[#This Row],[25Det]],-2)</f>
        <v>0</v>
      </c>
      <c r="BA277" s="30">
        <f>ROUND(SUM(Inventory[[#This Row],[Mdl Qlty]:[Mdl Garage Area]])+Inventory[[#This Row],[Mdl Res Intercept]],-2)</f>
        <v>411800</v>
      </c>
      <c r="BB277" s="30">
        <f>ROUND(Inventory[[#This Row],[Mdl Land Intercept]]+Inventory[[#This Row],[Mdl LnAcres]],-2)</f>
        <v>65100</v>
      </c>
      <c r="BC277" s="30">
        <f>Inventory[[#This Row],[Unadj Res Value]]+Inventory[[#This Row],[Unadj Det Value]]+Inventory[[#This Row],[Unadj Land Value]]</f>
        <v>476900</v>
      </c>
      <c r="BD277" s="30">
        <f>(Inventory[[#This Row],[Unadj Total Value]]-Inventory[[#This Row],[24Final]])/Inventory[[#This Row],[24Final]]</f>
        <v>2.6253496879707339E-2</v>
      </c>
      <c r="BE277" s="30">
        <f>VLOOKUP(Inventory[[#This Row],[Nbhd]],Lookups!$M$3:$P$5,4,FALSE)</f>
        <v>0.99970000000000003</v>
      </c>
      <c r="BF277" s="30">
        <f>VLOOKUP(Inventory[[#This Row],[Qlty]],Lookups!$M$8:$P$22,4,FALSE)</f>
        <v>1.0019</v>
      </c>
      <c r="BG277" s="30">
        <f>VLOOKUP(Inventory[[#This Row],[Cnd]],Lookups!$R$8:$U$17,4,FALSE)</f>
        <v>1.0007999999999999</v>
      </c>
      <c r="BH277" s="30">
        <f>VLOOKUP(Inventory[[#This Row],[LivArea Range]],Lookups!$R$25:$U$43,4,FALSE)</f>
        <v>1.0099</v>
      </c>
      <c r="BI277" s="30">
        <f>VLOOKUP(Inventory[[#This Row],[Decade]],Lookups!$M$24:$P$40,4,FALSE)</f>
        <v>1</v>
      </c>
      <c r="BJ277" s="30">
        <f>Inventory[[#This Row],[Nbhd Adj]]*0.95</f>
        <v>0.94971499999999998</v>
      </c>
      <c r="BK277" s="30">
        <f>AVERAGE(Inventory[[#This Row],[Nbhd Adj]],Inventory[[#This Row],[Quality Adj]],Inventory[[#This Row],[Condition Adj]],Inventory[[#This Row],[Living Area Adj]],Inventory[[#This Row],[Decade Adj]])*0.95</f>
        <v>0.95233699999999988</v>
      </c>
      <c r="BL277" s="30">
        <f>ROUND((SUM(Inventory[[#This Row],[Mdl Qlty]:[Mdl Garage Area]])+Inventory[[#This Row],[Mdl Res Intercept]])*Inventory[[#This Row],[Res Adj ]],-2)</f>
        <v>392100</v>
      </c>
      <c r="BM277" s="30">
        <f>ROUND(Inventory[[#This Row],[25Det]]*Inventory[[#This Row],[Det/Nbhd Adj]],-2)</f>
        <v>0</v>
      </c>
      <c r="BN277" s="30">
        <f>Inventory[[#This Row],[Adjusted Res]]+Inventory[[#This Row],[Adj Det ]]</f>
        <v>392100</v>
      </c>
      <c r="BO277" s="30">
        <f>ROUND((Inventory[[#This Row],[Mdl Land Intercept]]+Inventory[[#This Row],[Mdl LnAcres]])*Inventory[[#This Row],[Det/Nbhd Adj]],-2)</f>
        <v>61800</v>
      </c>
      <c r="BP277" s="30">
        <f>Inventory[[#This Row],[Adjusted Impr Total]]+Inventory[[#This Row],[Adjusted Land Total]]</f>
        <v>453900</v>
      </c>
      <c r="BQ277" s="30">
        <f>IFERROR((Inventory[[#This Row],[Adjusted Impr Total]]-Inventory[[#This Row],[24Bldg]])/Inventory[[#This Row],[24Bldg]],0)</f>
        <v>-2.7047146401985113E-2</v>
      </c>
      <c r="BR277" s="43">
        <f>(Inventory[[#This Row],[Adjusted Land Total]]-Inventory[[#This Row],[24Lnd]])/Inventory[[#This Row],[24Lnd]]</f>
        <v>1.6207455429497568E-3</v>
      </c>
      <c r="BS277" s="43">
        <f>(Inventory[[#This Row],[Adjusted Total]]-Inventory[[#This Row],[24Final]])/Inventory[[#This Row],[24Final]]</f>
        <v>-2.3240800516462233E-2</v>
      </c>
    </row>
    <row r="278" spans="1:71">
      <c r="A278" s="30">
        <v>2025</v>
      </c>
      <c r="B278" s="31" t="s">
        <v>788</v>
      </c>
      <c r="C278" s="31">
        <f>LN(Inventory[[#This Row],[Acres]])</f>
        <v>-1.7719568419318752</v>
      </c>
      <c r="D278" s="30">
        <v>0.17</v>
      </c>
      <c r="E278" s="30">
        <v>7336</v>
      </c>
      <c r="F278" s="31" t="s">
        <v>505</v>
      </c>
      <c r="G278" s="31" t="s">
        <v>155</v>
      </c>
      <c r="H278" s="31" t="s">
        <v>5</v>
      </c>
      <c r="I278" s="31" t="s">
        <v>506</v>
      </c>
      <c r="J278" s="31" t="s">
        <v>507</v>
      </c>
      <c r="K278" s="31" t="s">
        <v>330</v>
      </c>
      <c r="L278" s="31" t="s">
        <v>21</v>
      </c>
      <c r="M278" s="31" t="s">
        <v>22</v>
      </c>
      <c r="N278" s="31">
        <v>0</v>
      </c>
      <c r="O278" s="31">
        <f>2024-Inventory[[#This Row],[YrBlt]]</f>
        <v>8</v>
      </c>
      <c r="P278" s="31">
        <f>2024-Inventory[[#This Row],[EffYr]]</f>
        <v>8</v>
      </c>
      <c r="Q278" s="30">
        <v>2016</v>
      </c>
      <c r="R278" s="30">
        <v>2016</v>
      </c>
      <c r="S278" s="30">
        <v>1849</v>
      </c>
      <c r="T278" s="32"/>
      <c r="U278" s="32"/>
      <c r="V278" s="32"/>
      <c r="W278" s="32"/>
      <c r="X278" s="32">
        <f>Inventory[[#This Row],[Bsmt Area]]-Inventory[[#This Row],[FnBsmt]]</f>
        <v>0</v>
      </c>
      <c r="Y278" s="32">
        <f>Inventory[[#This Row],[MainFn]]+Inventory[[#This Row],[UpprFn]]+Inventory[[#This Row],[AddFn]]+Inventory[[#This Row],[FnBsmt]]</f>
        <v>1849</v>
      </c>
      <c r="Z278" s="32">
        <v>2000</v>
      </c>
      <c r="AA278" s="31" t="s">
        <v>56</v>
      </c>
      <c r="AB278" s="32"/>
      <c r="AC278" s="38">
        <v>671</v>
      </c>
      <c r="AD278" s="32"/>
      <c r="AE278" s="32"/>
      <c r="AF278" s="32"/>
      <c r="AG278" s="32"/>
      <c r="AH278" s="32"/>
      <c r="AI278" s="30">
        <v>400993</v>
      </c>
      <c r="AJ278" s="30">
        <v>384953</v>
      </c>
      <c r="AK278" s="30">
        <v>0</v>
      </c>
      <c r="AL278" s="30">
        <v>0</v>
      </c>
      <c r="AM278" s="30">
        <v>61700</v>
      </c>
      <c r="AN278" s="30">
        <v>340500</v>
      </c>
      <c r="AO278" s="30">
        <v>402200</v>
      </c>
      <c r="AP278" s="30">
        <f>Lookups!$B$58*0.6</f>
        <v>132535.48800000001</v>
      </c>
      <c r="AQ278" s="30">
        <f>Lookups!$B$58*0.4</f>
        <v>88356.992000000013</v>
      </c>
      <c r="AR278" s="30">
        <f>Lookups!$B$59*Inventory[[#This Row],[LnAcres]]</f>
        <v>-23255.730391660189</v>
      </c>
      <c r="AS278" s="30">
        <f>VLOOKUP(Inventory[[#This Row],[Qlty]],Lookups!$A$66:$E$79,2,FALSE)</f>
        <v>32917.849192000001</v>
      </c>
      <c r="AT278" s="30">
        <f>VLOOKUP(Inventory[[#This Row],[Cnd]],Lookups!$A$80:$E$88,2,FALSE)</f>
        <v>50438.379078999998</v>
      </c>
      <c r="AU278" s="30">
        <f>Inventory[[#This Row],[EffAge]]*Lookups!$B$65</f>
        <v>-869.92880000000002</v>
      </c>
      <c r="AV278" s="30">
        <f>Inventory[[#This Row],[MainFn]]*Lookups!$B$90</f>
        <v>115396.79262000001</v>
      </c>
      <c r="AW278" s="30">
        <f>Inventory[[#This Row],[UpprFn]]*Lookups!$B$91</f>
        <v>0</v>
      </c>
      <c r="AX278" s="30">
        <f>Inventory[[#This Row],[Bsmt Area]]*Lookups!$B$95</f>
        <v>0</v>
      </c>
      <c r="AY278" s="30">
        <f>Inventory[[#This Row],[AttGar]]*Lookups!$B$93</f>
        <v>23686.991801</v>
      </c>
      <c r="AZ278" s="30">
        <f>ROUND(Inventory[[#This Row],[25Det]],-2)</f>
        <v>0</v>
      </c>
      <c r="BA278" s="30">
        <f>ROUND(SUM(Inventory[[#This Row],[Mdl Qlty]:[Mdl Garage Area]])+Inventory[[#This Row],[Mdl Res Intercept]],-2)</f>
        <v>354100</v>
      </c>
      <c r="BB278" s="30">
        <f>ROUND(Inventory[[#This Row],[Mdl Land Intercept]]+Inventory[[#This Row],[Mdl LnAcres]],-2)</f>
        <v>65100</v>
      </c>
      <c r="BC278" s="30">
        <f>Inventory[[#This Row],[Unadj Res Value]]+Inventory[[#This Row],[Unadj Det Value]]+Inventory[[#This Row],[Unadj Land Value]]</f>
        <v>419200</v>
      </c>
      <c r="BD278" s="30">
        <f>(Inventory[[#This Row],[Unadj Total Value]]-Inventory[[#This Row],[24Final]])/Inventory[[#This Row],[24Final]]</f>
        <v>4.2267528592739932E-2</v>
      </c>
      <c r="BE278" s="30">
        <f>VLOOKUP(Inventory[[#This Row],[Nbhd]],Lookups!$M$3:$P$5,4,FALSE)</f>
        <v>0.99970000000000003</v>
      </c>
      <c r="BF278" s="30">
        <f>VLOOKUP(Inventory[[#This Row],[Qlty]],Lookups!$M$8:$P$22,4,FALSE)</f>
        <v>1.0019</v>
      </c>
      <c r="BG278" s="30">
        <f>VLOOKUP(Inventory[[#This Row],[Cnd]],Lookups!$R$8:$U$17,4,FALSE)</f>
        <v>1.0007999999999999</v>
      </c>
      <c r="BH278" s="30">
        <f>VLOOKUP(Inventory[[#This Row],[LivArea Range]],Lookups!$R$25:$U$43,4,FALSE)</f>
        <v>1.0007999999999999</v>
      </c>
      <c r="BI278" s="30">
        <f>VLOOKUP(Inventory[[#This Row],[Decade]],Lookups!$M$24:$P$40,4,FALSE)</f>
        <v>1</v>
      </c>
      <c r="BJ278" s="30">
        <f>Inventory[[#This Row],[Nbhd Adj]]*0.95</f>
        <v>0.94971499999999998</v>
      </c>
      <c r="BK278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278" s="30">
        <f>ROUND((SUM(Inventory[[#This Row],[Mdl Qlty]:[Mdl Garage Area]])+Inventory[[#This Row],[Mdl Res Intercept]])*Inventory[[#This Row],[Res Adj ]],-2)</f>
        <v>336600</v>
      </c>
      <c r="BM278" s="30">
        <f>ROUND(Inventory[[#This Row],[25Det]]*Inventory[[#This Row],[Det/Nbhd Adj]],-2)</f>
        <v>0</v>
      </c>
      <c r="BN278" s="30">
        <f>Inventory[[#This Row],[Adjusted Res]]+Inventory[[#This Row],[Adj Det ]]</f>
        <v>336600</v>
      </c>
      <c r="BO278" s="30">
        <f>ROUND((Inventory[[#This Row],[Mdl Land Intercept]]+Inventory[[#This Row],[Mdl LnAcres]])*Inventory[[#This Row],[Det/Nbhd Adj]],-2)</f>
        <v>61800</v>
      </c>
      <c r="BP278" s="30">
        <f>Inventory[[#This Row],[Adjusted Impr Total]]+Inventory[[#This Row],[Adjusted Land Total]]</f>
        <v>398400</v>
      </c>
      <c r="BQ278" s="30">
        <f>IFERROR((Inventory[[#This Row],[Adjusted Impr Total]]-Inventory[[#This Row],[24Bldg]])/Inventory[[#This Row],[24Bldg]],0)</f>
        <v>-1.145374449339207E-2</v>
      </c>
      <c r="BR278" s="43">
        <f>(Inventory[[#This Row],[Adjusted Land Total]]-Inventory[[#This Row],[24Lnd]])/Inventory[[#This Row],[24Lnd]]</f>
        <v>1.6207455429497568E-3</v>
      </c>
      <c r="BS278" s="43">
        <f>(Inventory[[#This Row],[Adjusted Total]]-Inventory[[#This Row],[24Final]])/Inventory[[#This Row],[24Final]]</f>
        <v>-9.4480358030830432E-3</v>
      </c>
    </row>
    <row r="279" spans="1:71">
      <c r="A279" s="30">
        <v>2025</v>
      </c>
      <c r="B279" s="31" t="s">
        <v>789</v>
      </c>
      <c r="C279" s="31">
        <f>LN(Inventory[[#This Row],[Acres]])</f>
        <v>-1.7719568419318752</v>
      </c>
      <c r="D279" s="30">
        <v>0.17</v>
      </c>
      <c r="E279" s="30">
        <v>7333</v>
      </c>
      <c r="F279" s="31" t="s">
        <v>505</v>
      </c>
      <c r="G279" s="31" t="s">
        <v>155</v>
      </c>
      <c r="H279" s="31" t="s">
        <v>5</v>
      </c>
      <c r="I279" s="31" t="s">
        <v>506</v>
      </c>
      <c r="J279" s="31" t="s">
        <v>507</v>
      </c>
      <c r="K279" s="31" t="s">
        <v>330</v>
      </c>
      <c r="L279" s="31" t="s">
        <v>21</v>
      </c>
      <c r="M279" s="31" t="s">
        <v>22</v>
      </c>
      <c r="N279" s="31">
        <v>0</v>
      </c>
      <c r="O279" s="31">
        <f>2024-Inventory[[#This Row],[YrBlt]]</f>
        <v>8</v>
      </c>
      <c r="P279" s="31">
        <f>2024-Inventory[[#This Row],[EffYr]]</f>
        <v>8</v>
      </c>
      <c r="Q279" s="30">
        <v>2016</v>
      </c>
      <c r="R279" s="30">
        <v>2016</v>
      </c>
      <c r="S279" s="30">
        <v>1380</v>
      </c>
      <c r="T279" s="38">
        <v>1460</v>
      </c>
      <c r="U279" s="32"/>
      <c r="V279" s="32"/>
      <c r="W279" s="32"/>
      <c r="X279" s="32">
        <f>Inventory[[#This Row],[Bsmt Area]]-Inventory[[#This Row],[FnBsmt]]</f>
        <v>0</v>
      </c>
      <c r="Y279" s="32">
        <f>Inventory[[#This Row],[MainFn]]+Inventory[[#This Row],[UpprFn]]+Inventory[[#This Row],[AddFn]]+Inventory[[#This Row],[FnBsmt]]</f>
        <v>2840</v>
      </c>
      <c r="Z279" s="32">
        <v>3000</v>
      </c>
      <c r="AA279" s="31" t="s">
        <v>56</v>
      </c>
      <c r="AB279" s="32"/>
      <c r="AC279" s="38">
        <v>620</v>
      </c>
      <c r="AD279" s="32"/>
      <c r="AE279" s="32"/>
      <c r="AF279" s="32"/>
      <c r="AG279" s="32"/>
      <c r="AH279" s="32"/>
      <c r="AI279" s="30">
        <v>538703</v>
      </c>
      <c r="AJ279" s="30">
        <v>517155</v>
      </c>
      <c r="AK279" s="30">
        <v>0</v>
      </c>
      <c r="AL279" s="30">
        <v>0</v>
      </c>
      <c r="AM279" s="30">
        <v>61700</v>
      </c>
      <c r="AN279" s="30">
        <v>395700</v>
      </c>
      <c r="AO279" s="30">
        <v>457400</v>
      </c>
      <c r="AP279" s="30">
        <f>Lookups!$B$58*0.6</f>
        <v>132535.48800000001</v>
      </c>
      <c r="AQ279" s="30">
        <f>Lookups!$B$58*0.4</f>
        <v>88356.992000000013</v>
      </c>
      <c r="AR279" s="30">
        <f>Lookups!$B$59*Inventory[[#This Row],[LnAcres]]</f>
        <v>-23255.730391660189</v>
      </c>
      <c r="AS279" s="30">
        <f>VLOOKUP(Inventory[[#This Row],[Qlty]],Lookups!$A$66:$E$79,2,FALSE)</f>
        <v>32917.849192000001</v>
      </c>
      <c r="AT279" s="30">
        <f>VLOOKUP(Inventory[[#This Row],[Cnd]],Lookups!$A$80:$E$88,2,FALSE)</f>
        <v>50438.379078999998</v>
      </c>
      <c r="AU279" s="30">
        <f>Inventory[[#This Row],[EffAge]]*Lookups!$B$65</f>
        <v>-869.92880000000002</v>
      </c>
      <c r="AV279" s="30">
        <f>Inventory[[#This Row],[MainFn]]*Lookups!$B$90</f>
        <v>86126.324399999998</v>
      </c>
      <c r="AW279" s="30">
        <f>Inventory[[#This Row],[UpprFn]]*Lookups!$B$91</f>
        <v>86987.359179999999</v>
      </c>
      <c r="AX279" s="30">
        <f>Inventory[[#This Row],[Bsmt Area]]*Lookups!$B$95</f>
        <v>0</v>
      </c>
      <c r="AY279" s="30">
        <f>Inventory[[#This Row],[AttGar]]*Lookups!$B$93</f>
        <v>21886.639220000001</v>
      </c>
      <c r="AZ279" s="30">
        <f>ROUND(Inventory[[#This Row],[25Det]],-2)</f>
        <v>0</v>
      </c>
      <c r="BA279" s="30">
        <f>ROUND(SUM(Inventory[[#This Row],[Mdl Qlty]:[Mdl Garage Area]])+Inventory[[#This Row],[Mdl Res Intercept]],-2)</f>
        <v>410000</v>
      </c>
      <c r="BB279" s="30">
        <f>ROUND(Inventory[[#This Row],[Mdl Land Intercept]]+Inventory[[#This Row],[Mdl LnAcres]],-2)</f>
        <v>65100</v>
      </c>
      <c r="BC279" s="30">
        <f>Inventory[[#This Row],[Unadj Res Value]]+Inventory[[#This Row],[Unadj Det Value]]+Inventory[[#This Row],[Unadj Land Value]]</f>
        <v>475100</v>
      </c>
      <c r="BD279" s="30">
        <f>(Inventory[[#This Row],[Unadj Total Value]]-Inventory[[#This Row],[24Final]])/Inventory[[#This Row],[24Final]]</f>
        <v>3.8696982947092264E-2</v>
      </c>
      <c r="BE279" s="30">
        <f>VLOOKUP(Inventory[[#This Row],[Nbhd]],Lookups!$M$3:$P$5,4,FALSE)</f>
        <v>0.99970000000000003</v>
      </c>
      <c r="BF279" s="30">
        <f>VLOOKUP(Inventory[[#This Row],[Qlty]],Lookups!$M$8:$P$22,4,FALSE)</f>
        <v>1.0019</v>
      </c>
      <c r="BG279" s="30">
        <f>VLOOKUP(Inventory[[#This Row],[Cnd]],Lookups!$R$8:$U$17,4,FALSE)</f>
        <v>1.0007999999999999</v>
      </c>
      <c r="BH279" s="30">
        <f>VLOOKUP(Inventory[[#This Row],[LivArea Range]],Lookups!$R$25:$U$43,4,FALSE)</f>
        <v>1.0099</v>
      </c>
      <c r="BI279" s="30">
        <f>VLOOKUP(Inventory[[#This Row],[Decade]],Lookups!$M$24:$P$40,4,FALSE)</f>
        <v>1</v>
      </c>
      <c r="BJ279" s="30">
        <f>Inventory[[#This Row],[Nbhd Adj]]*0.95</f>
        <v>0.94971499999999998</v>
      </c>
      <c r="BK279" s="30">
        <f>AVERAGE(Inventory[[#This Row],[Nbhd Adj]],Inventory[[#This Row],[Quality Adj]],Inventory[[#This Row],[Condition Adj]],Inventory[[#This Row],[Living Area Adj]],Inventory[[#This Row],[Decade Adj]])*0.95</f>
        <v>0.95233699999999988</v>
      </c>
      <c r="BL279" s="30">
        <f>ROUND((SUM(Inventory[[#This Row],[Mdl Qlty]:[Mdl Garage Area]])+Inventory[[#This Row],[Mdl Res Intercept]])*Inventory[[#This Row],[Res Adj ]],-2)</f>
        <v>390500</v>
      </c>
      <c r="BM279" s="30">
        <f>ROUND(Inventory[[#This Row],[25Det]]*Inventory[[#This Row],[Det/Nbhd Adj]],-2)</f>
        <v>0</v>
      </c>
      <c r="BN279" s="30">
        <f>Inventory[[#This Row],[Adjusted Res]]+Inventory[[#This Row],[Adj Det ]]</f>
        <v>390500</v>
      </c>
      <c r="BO279" s="30">
        <f>ROUND((Inventory[[#This Row],[Mdl Land Intercept]]+Inventory[[#This Row],[Mdl LnAcres]])*Inventory[[#This Row],[Det/Nbhd Adj]],-2)</f>
        <v>61800</v>
      </c>
      <c r="BP279" s="30">
        <f>Inventory[[#This Row],[Adjusted Impr Total]]+Inventory[[#This Row],[Adjusted Land Total]]</f>
        <v>452300</v>
      </c>
      <c r="BQ279" s="30">
        <f>IFERROR((Inventory[[#This Row],[Adjusted Impr Total]]-Inventory[[#This Row],[24Bldg]])/Inventory[[#This Row],[24Bldg]],0)</f>
        <v>-1.3141268637856963E-2</v>
      </c>
      <c r="BR279" s="43">
        <f>(Inventory[[#This Row],[Adjusted Land Total]]-Inventory[[#This Row],[24Lnd]])/Inventory[[#This Row],[24Lnd]]</f>
        <v>1.6207455429497568E-3</v>
      </c>
      <c r="BS279" s="43">
        <f>(Inventory[[#This Row],[Adjusted Total]]-Inventory[[#This Row],[24Final]])/Inventory[[#This Row],[24Final]]</f>
        <v>-1.114997813729777E-2</v>
      </c>
    </row>
    <row r="280" spans="1:71">
      <c r="A280" s="30">
        <v>2025</v>
      </c>
      <c r="B280" s="31" t="s">
        <v>790</v>
      </c>
      <c r="C280" s="31">
        <f>LN(Inventory[[#This Row],[Acres]])</f>
        <v>-1.7719568419318752</v>
      </c>
      <c r="D280" s="30">
        <v>0.17</v>
      </c>
      <c r="E280" s="30">
        <v>7245</v>
      </c>
      <c r="F280" s="31" t="s">
        <v>505</v>
      </c>
      <c r="G280" s="31" t="s">
        <v>155</v>
      </c>
      <c r="H280" s="31" t="s">
        <v>5</v>
      </c>
      <c r="I280" s="31" t="s">
        <v>506</v>
      </c>
      <c r="J280" s="31" t="s">
        <v>507</v>
      </c>
      <c r="K280" s="31" t="s">
        <v>330</v>
      </c>
      <c r="L280" s="31" t="s">
        <v>21</v>
      </c>
      <c r="M280" s="31" t="s">
        <v>22</v>
      </c>
      <c r="N280" s="31">
        <v>0</v>
      </c>
      <c r="O280" s="31">
        <f>2024-Inventory[[#This Row],[YrBlt]]</f>
        <v>8</v>
      </c>
      <c r="P280" s="31">
        <f>2024-Inventory[[#This Row],[EffYr]]</f>
        <v>8</v>
      </c>
      <c r="Q280" s="30">
        <v>2016</v>
      </c>
      <c r="R280" s="30">
        <v>2016</v>
      </c>
      <c r="S280" s="30">
        <v>1849</v>
      </c>
      <c r="T280" s="32"/>
      <c r="U280" s="32"/>
      <c r="V280" s="32"/>
      <c r="W280" s="32"/>
      <c r="X280" s="32">
        <f>Inventory[[#This Row],[Bsmt Area]]-Inventory[[#This Row],[FnBsmt]]</f>
        <v>0</v>
      </c>
      <c r="Y280" s="32">
        <f>Inventory[[#This Row],[MainFn]]+Inventory[[#This Row],[UpprFn]]+Inventory[[#This Row],[AddFn]]+Inventory[[#This Row],[FnBsmt]]</f>
        <v>1849</v>
      </c>
      <c r="Z280" s="32">
        <v>2000</v>
      </c>
      <c r="AA280" s="31" t="s">
        <v>56</v>
      </c>
      <c r="AB280" s="32"/>
      <c r="AC280" s="38">
        <v>431</v>
      </c>
      <c r="AD280" s="32"/>
      <c r="AE280" s="32"/>
      <c r="AF280" s="32"/>
      <c r="AG280" s="32"/>
      <c r="AH280" s="32"/>
      <c r="AI280" s="30">
        <v>387341</v>
      </c>
      <c r="AJ280" s="30">
        <v>371847</v>
      </c>
      <c r="AK280" s="30">
        <v>0</v>
      </c>
      <c r="AL280" s="30">
        <v>0</v>
      </c>
      <c r="AM280" s="30">
        <v>61700</v>
      </c>
      <c r="AN280" s="30">
        <v>327500</v>
      </c>
      <c r="AO280" s="30">
        <v>389200</v>
      </c>
      <c r="AP280" s="30">
        <f>Lookups!$B$58*0.6</f>
        <v>132535.48800000001</v>
      </c>
      <c r="AQ280" s="30">
        <f>Lookups!$B$58*0.4</f>
        <v>88356.992000000013</v>
      </c>
      <c r="AR280" s="30">
        <f>Lookups!$B$59*Inventory[[#This Row],[LnAcres]]</f>
        <v>-23255.730391660189</v>
      </c>
      <c r="AS280" s="30">
        <f>VLOOKUP(Inventory[[#This Row],[Qlty]],Lookups!$A$66:$E$79,2,FALSE)</f>
        <v>32917.849192000001</v>
      </c>
      <c r="AT280" s="30">
        <f>VLOOKUP(Inventory[[#This Row],[Cnd]],Lookups!$A$80:$E$88,2,FALSE)</f>
        <v>50438.379078999998</v>
      </c>
      <c r="AU280" s="30">
        <f>Inventory[[#This Row],[EffAge]]*Lookups!$B$65</f>
        <v>-869.92880000000002</v>
      </c>
      <c r="AV280" s="30">
        <f>Inventory[[#This Row],[MainFn]]*Lookups!$B$90</f>
        <v>115396.79262000001</v>
      </c>
      <c r="AW280" s="30">
        <f>Inventory[[#This Row],[UpprFn]]*Lookups!$B$91</f>
        <v>0</v>
      </c>
      <c r="AX280" s="30">
        <f>Inventory[[#This Row],[Bsmt Area]]*Lookups!$B$95</f>
        <v>0</v>
      </c>
      <c r="AY280" s="30">
        <f>Inventory[[#This Row],[AttGar]]*Lookups!$B$93</f>
        <v>15214.744361000001</v>
      </c>
      <c r="AZ280" s="30">
        <f>ROUND(Inventory[[#This Row],[25Det]],-2)</f>
        <v>0</v>
      </c>
      <c r="BA280" s="30">
        <f>ROUND(SUM(Inventory[[#This Row],[Mdl Qlty]:[Mdl Garage Area]])+Inventory[[#This Row],[Mdl Res Intercept]],-2)</f>
        <v>345600</v>
      </c>
      <c r="BB280" s="30">
        <f>ROUND(Inventory[[#This Row],[Mdl Land Intercept]]+Inventory[[#This Row],[Mdl LnAcres]],-2)</f>
        <v>65100</v>
      </c>
      <c r="BC280" s="30">
        <f>Inventory[[#This Row],[Unadj Res Value]]+Inventory[[#This Row],[Unadj Det Value]]+Inventory[[#This Row],[Unadj Land Value]]</f>
        <v>410700</v>
      </c>
      <c r="BD280" s="30">
        <f>(Inventory[[#This Row],[Unadj Total Value]]-Inventory[[#This Row],[24Final]])/Inventory[[#This Row],[24Final]]</f>
        <v>5.5241521068859198E-2</v>
      </c>
      <c r="BE280" s="30">
        <f>VLOOKUP(Inventory[[#This Row],[Nbhd]],Lookups!$M$3:$P$5,4,FALSE)</f>
        <v>0.99970000000000003</v>
      </c>
      <c r="BF280" s="30">
        <f>VLOOKUP(Inventory[[#This Row],[Qlty]],Lookups!$M$8:$P$22,4,FALSE)</f>
        <v>1.0019</v>
      </c>
      <c r="BG280" s="30">
        <f>VLOOKUP(Inventory[[#This Row],[Cnd]],Lookups!$R$8:$U$17,4,FALSE)</f>
        <v>1.0007999999999999</v>
      </c>
      <c r="BH280" s="30">
        <f>VLOOKUP(Inventory[[#This Row],[LivArea Range]],Lookups!$R$25:$U$43,4,FALSE)</f>
        <v>1.0007999999999999</v>
      </c>
      <c r="BI280" s="30">
        <f>VLOOKUP(Inventory[[#This Row],[Decade]],Lookups!$M$24:$P$40,4,FALSE)</f>
        <v>1</v>
      </c>
      <c r="BJ280" s="30">
        <f>Inventory[[#This Row],[Nbhd Adj]]*0.95</f>
        <v>0.94971499999999998</v>
      </c>
      <c r="BK280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280" s="30">
        <f>ROUND((SUM(Inventory[[#This Row],[Mdl Qlty]:[Mdl Garage Area]])+Inventory[[#This Row],[Mdl Res Intercept]])*Inventory[[#This Row],[Res Adj ]],-2)</f>
        <v>328600</v>
      </c>
      <c r="BM280" s="30">
        <f>ROUND(Inventory[[#This Row],[25Det]]*Inventory[[#This Row],[Det/Nbhd Adj]],-2)</f>
        <v>0</v>
      </c>
      <c r="BN280" s="30">
        <f>Inventory[[#This Row],[Adjusted Res]]+Inventory[[#This Row],[Adj Det ]]</f>
        <v>328600</v>
      </c>
      <c r="BO280" s="30">
        <f>ROUND((Inventory[[#This Row],[Mdl Land Intercept]]+Inventory[[#This Row],[Mdl LnAcres]])*Inventory[[#This Row],[Det/Nbhd Adj]],-2)</f>
        <v>61800</v>
      </c>
      <c r="BP280" s="30">
        <f>Inventory[[#This Row],[Adjusted Impr Total]]+Inventory[[#This Row],[Adjusted Land Total]]</f>
        <v>390400</v>
      </c>
      <c r="BQ280" s="30">
        <f>IFERROR((Inventory[[#This Row],[Adjusted Impr Total]]-Inventory[[#This Row],[24Bldg]])/Inventory[[#This Row],[24Bldg]],0)</f>
        <v>3.3587786259541984E-3</v>
      </c>
      <c r="BR280" s="43">
        <f>(Inventory[[#This Row],[Adjusted Land Total]]-Inventory[[#This Row],[24Lnd]])/Inventory[[#This Row],[24Lnd]]</f>
        <v>1.6207455429497568E-3</v>
      </c>
      <c r="BS280" s="43">
        <f>(Inventory[[#This Row],[Adjusted Total]]-Inventory[[#This Row],[24Final]])/Inventory[[#This Row],[24Final]]</f>
        <v>3.0832476875642342E-3</v>
      </c>
    </row>
    <row r="281" spans="1:71">
      <c r="A281" s="30">
        <v>2025</v>
      </c>
      <c r="B281" s="31" t="s">
        <v>791</v>
      </c>
      <c r="C281" s="31">
        <f>LN(Inventory[[#This Row],[Acres]])</f>
        <v>-1.7719568419318752</v>
      </c>
      <c r="D281" s="30">
        <v>0.17</v>
      </c>
      <c r="E281" s="30">
        <v>7360</v>
      </c>
      <c r="F281" s="31" t="s">
        <v>505</v>
      </c>
      <c r="G281" s="31" t="s">
        <v>155</v>
      </c>
      <c r="H281" s="31" t="s">
        <v>5</v>
      </c>
      <c r="I281" s="31" t="s">
        <v>506</v>
      </c>
      <c r="J281" s="31" t="s">
        <v>507</v>
      </c>
      <c r="K281" s="31" t="s">
        <v>330</v>
      </c>
      <c r="L281" s="31" t="s">
        <v>21</v>
      </c>
      <c r="M281" s="31" t="s">
        <v>22</v>
      </c>
      <c r="N281" s="31">
        <v>0</v>
      </c>
      <c r="O281" s="31">
        <f>2024-Inventory[[#This Row],[YrBlt]]</f>
        <v>8</v>
      </c>
      <c r="P281" s="31">
        <f>2024-Inventory[[#This Row],[EffYr]]</f>
        <v>8</v>
      </c>
      <c r="Q281" s="30">
        <v>2016</v>
      </c>
      <c r="R281" s="30">
        <v>2016</v>
      </c>
      <c r="S281" s="30">
        <v>2015</v>
      </c>
      <c r="T281" s="32"/>
      <c r="U281" s="32"/>
      <c r="V281" s="32"/>
      <c r="W281" s="32"/>
      <c r="X281" s="32">
        <f>Inventory[[#This Row],[Bsmt Area]]-Inventory[[#This Row],[FnBsmt]]</f>
        <v>0</v>
      </c>
      <c r="Y281" s="32">
        <f>Inventory[[#This Row],[MainFn]]+Inventory[[#This Row],[UpprFn]]+Inventory[[#This Row],[AddFn]]+Inventory[[#This Row],[FnBsmt]]</f>
        <v>2015</v>
      </c>
      <c r="Z281" s="32">
        <v>2500</v>
      </c>
      <c r="AA281" s="31" t="s">
        <v>56</v>
      </c>
      <c r="AB281" s="32"/>
      <c r="AC281" s="38">
        <v>426</v>
      </c>
      <c r="AD281" s="32"/>
      <c r="AE281" s="32"/>
      <c r="AF281" s="32"/>
      <c r="AG281" s="32"/>
      <c r="AH281" s="32"/>
      <c r="AI281" s="30">
        <v>423787</v>
      </c>
      <c r="AJ281" s="30">
        <v>406836</v>
      </c>
      <c r="AK281" s="30">
        <v>0</v>
      </c>
      <c r="AL281" s="30">
        <v>0</v>
      </c>
      <c r="AM281" s="30">
        <v>61700</v>
      </c>
      <c r="AN281" s="30">
        <v>335400</v>
      </c>
      <c r="AO281" s="30">
        <v>397100</v>
      </c>
      <c r="AP281" s="30">
        <f>Lookups!$B$58*0.6</f>
        <v>132535.48800000001</v>
      </c>
      <c r="AQ281" s="30">
        <f>Lookups!$B$58*0.4</f>
        <v>88356.992000000013</v>
      </c>
      <c r="AR281" s="30">
        <f>Lookups!$B$59*Inventory[[#This Row],[LnAcres]]</f>
        <v>-23255.730391660189</v>
      </c>
      <c r="AS281" s="30">
        <f>VLOOKUP(Inventory[[#This Row],[Qlty]],Lookups!$A$66:$E$79,2,FALSE)</f>
        <v>32917.849192000001</v>
      </c>
      <c r="AT281" s="30">
        <f>VLOOKUP(Inventory[[#This Row],[Cnd]],Lookups!$A$80:$E$88,2,FALSE)</f>
        <v>50438.379078999998</v>
      </c>
      <c r="AU281" s="30">
        <f>Inventory[[#This Row],[EffAge]]*Lookups!$B$65</f>
        <v>-869.92880000000002</v>
      </c>
      <c r="AV281" s="30">
        <f>Inventory[[#This Row],[MainFn]]*Lookups!$B$90</f>
        <v>125756.91570000001</v>
      </c>
      <c r="AW281" s="30">
        <f>Inventory[[#This Row],[UpprFn]]*Lookups!$B$91</f>
        <v>0</v>
      </c>
      <c r="AX281" s="30">
        <f>Inventory[[#This Row],[Bsmt Area]]*Lookups!$B$95</f>
        <v>0</v>
      </c>
      <c r="AY281" s="30">
        <f>Inventory[[#This Row],[AttGar]]*Lookups!$B$93</f>
        <v>15038.239206</v>
      </c>
      <c r="AZ281" s="30">
        <f>ROUND(Inventory[[#This Row],[25Det]],-2)</f>
        <v>0</v>
      </c>
      <c r="BA281" s="30">
        <f>ROUND(SUM(Inventory[[#This Row],[Mdl Qlty]:[Mdl Garage Area]])+Inventory[[#This Row],[Mdl Res Intercept]],-2)</f>
        <v>355800</v>
      </c>
      <c r="BB281" s="30">
        <f>ROUND(Inventory[[#This Row],[Mdl Land Intercept]]+Inventory[[#This Row],[Mdl LnAcres]],-2)</f>
        <v>65100</v>
      </c>
      <c r="BC281" s="30">
        <f>Inventory[[#This Row],[Unadj Res Value]]+Inventory[[#This Row],[Unadj Det Value]]+Inventory[[#This Row],[Unadj Land Value]]</f>
        <v>420900</v>
      </c>
      <c r="BD281" s="30">
        <f>(Inventory[[#This Row],[Unadj Total Value]]-Inventory[[#This Row],[24Final]])/Inventory[[#This Row],[24Final]]</f>
        <v>5.993452530848653E-2</v>
      </c>
      <c r="BE281" s="30">
        <f>VLOOKUP(Inventory[[#This Row],[Nbhd]],Lookups!$M$3:$P$5,4,FALSE)</f>
        <v>0.99970000000000003</v>
      </c>
      <c r="BF281" s="30">
        <f>VLOOKUP(Inventory[[#This Row],[Qlty]],Lookups!$M$8:$P$22,4,FALSE)</f>
        <v>1.0019</v>
      </c>
      <c r="BG281" s="30">
        <f>VLOOKUP(Inventory[[#This Row],[Cnd]],Lookups!$R$8:$U$17,4,FALSE)</f>
        <v>1.0007999999999999</v>
      </c>
      <c r="BH281" s="30">
        <f>VLOOKUP(Inventory[[#This Row],[LivArea Range]],Lookups!$R$25:$U$43,4,FALSE)</f>
        <v>1.0008999999999999</v>
      </c>
      <c r="BI281" s="30">
        <f>VLOOKUP(Inventory[[#This Row],[Decade]],Lookups!$M$24:$P$40,4,FALSE)</f>
        <v>1</v>
      </c>
      <c r="BJ281" s="30">
        <f>Inventory[[#This Row],[Nbhd Adj]]*0.95</f>
        <v>0.94971499999999998</v>
      </c>
      <c r="BK281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281" s="30">
        <f>ROUND((SUM(Inventory[[#This Row],[Mdl Qlty]:[Mdl Garage Area]])+Inventory[[#This Row],[Mdl Res Intercept]])*Inventory[[#This Row],[Res Adj ]],-2)</f>
        <v>338200</v>
      </c>
      <c r="BM281" s="30">
        <f>ROUND(Inventory[[#This Row],[25Det]]*Inventory[[#This Row],[Det/Nbhd Adj]],-2)</f>
        <v>0</v>
      </c>
      <c r="BN281" s="30">
        <f>Inventory[[#This Row],[Adjusted Res]]+Inventory[[#This Row],[Adj Det ]]</f>
        <v>338200</v>
      </c>
      <c r="BO281" s="30">
        <f>ROUND((Inventory[[#This Row],[Mdl Land Intercept]]+Inventory[[#This Row],[Mdl LnAcres]])*Inventory[[#This Row],[Det/Nbhd Adj]],-2)</f>
        <v>61800</v>
      </c>
      <c r="BP281" s="30">
        <f>Inventory[[#This Row],[Adjusted Impr Total]]+Inventory[[#This Row],[Adjusted Land Total]]</f>
        <v>400000</v>
      </c>
      <c r="BQ281" s="30">
        <f>IFERROR((Inventory[[#This Row],[Adjusted Impr Total]]-Inventory[[#This Row],[24Bldg]])/Inventory[[#This Row],[24Bldg]],0)</f>
        <v>8.348240906380441E-3</v>
      </c>
      <c r="BR281" s="43">
        <f>(Inventory[[#This Row],[Adjusted Land Total]]-Inventory[[#This Row],[24Lnd]])/Inventory[[#This Row],[24Lnd]]</f>
        <v>1.6207455429497568E-3</v>
      </c>
      <c r="BS281" s="43">
        <f>(Inventory[[#This Row],[Adjusted Total]]-Inventory[[#This Row],[24Final]])/Inventory[[#This Row],[24Final]]</f>
        <v>7.3029463611181062E-3</v>
      </c>
    </row>
    <row r="282" spans="1:71">
      <c r="A282" s="30">
        <v>2025</v>
      </c>
      <c r="B282" s="31" t="s">
        <v>792</v>
      </c>
      <c r="C282" s="31">
        <f>LN(Inventory[[#This Row],[Acres]])</f>
        <v>1.2584609896100056</v>
      </c>
      <c r="D282" s="30">
        <v>3.52</v>
      </c>
      <c r="E282" s="30">
        <v>153267</v>
      </c>
      <c r="F282" s="31" t="s">
        <v>505</v>
      </c>
      <c r="G282" s="31" t="s">
        <v>155</v>
      </c>
      <c r="H282" s="31" t="s">
        <v>5</v>
      </c>
      <c r="I282" s="31" t="s">
        <v>506</v>
      </c>
      <c r="J282" s="31" t="s">
        <v>507</v>
      </c>
      <c r="K282" s="31" t="s">
        <v>330</v>
      </c>
      <c r="L282" s="31" t="s">
        <v>21</v>
      </c>
      <c r="M282" s="31" t="s">
        <v>22</v>
      </c>
      <c r="N282" s="31">
        <v>0</v>
      </c>
      <c r="O282" s="31">
        <f>2024-Inventory[[#This Row],[YrBlt]]</f>
        <v>8</v>
      </c>
      <c r="P282" s="31">
        <f>2024-Inventory[[#This Row],[EffYr]]</f>
        <v>8</v>
      </c>
      <c r="Q282" s="30">
        <v>2016</v>
      </c>
      <c r="R282" s="30">
        <v>2016</v>
      </c>
      <c r="S282" s="30">
        <v>2468</v>
      </c>
      <c r="T282" s="32"/>
      <c r="U282" s="32"/>
      <c r="V282" s="32"/>
      <c r="W282" s="32"/>
      <c r="X282" s="32">
        <f>Inventory[[#This Row],[Bsmt Area]]-Inventory[[#This Row],[FnBsmt]]</f>
        <v>0</v>
      </c>
      <c r="Y282" s="32">
        <f>Inventory[[#This Row],[MainFn]]+Inventory[[#This Row],[UpprFn]]+Inventory[[#This Row],[AddFn]]+Inventory[[#This Row],[FnBsmt]]</f>
        <v>2468</v>
      </c>
      <c r="Z282" s="32">
        <v>2500</v>
      </c>
      <c r="AA282" s="31" t="s">
        <v>56</v>
      </c>
      <c r="AB282" s="32"/>
      <c r="AC282" s="37"/>
      <c r="AD282" s="32"/>
      <c r="AE282" s="32"/>
      <c r="AF282" s="32"/>
      <c r="AG282" s="32"/>
      <c r="AH282" s="32"/>
      <c r="AI282" s="30">
        <v>419687</v>
      </c>
      <c r="AJ282" s="30">
        <v>402900</v>
      </c>
      <c r="AK282" s="30">
        <v>39416</v>
      </c>
      <c r="AL282" s="30">
        <v>0</v>
      </c>
      <c r="AM282" s="30">
        <v>104100</v>
      </c>
      <c r="AN282" s="30">
        <v>354900</v>
      </c>
      <c r="AO282" s="30">
        <v>459000</v>
      </c>
      <c r="AP282" s="30">
        <f>Lookups!$B$58*0.6</f>
        <v>132535.48800000001</v>
      </c>
      <c r="AQ282" s="30">
        <f>Lookups!$B$58*0.4</f>
        <v>88356.992000000013</v>
      </c>
      <c r="AR282" s="30">
        <f>Lookups!$B$59*Inventory[[#This Row],[LnAcres]]</f>
        <v>16516.445993619378</v>
      </c>
      <c r="AS282" s="30">
        <f>VLOOKUP(Inventory[[#This Row],[Qlty]],Lookups!$A$66:$E$79,2,FALSE)</f>
        <v>32917.849192000001</v>
      </c>
      <c r="AT282" s="30">
        <f>VLOOKUP(Inventory[[#This Row],[Cnd]],Lookups!$A$80:$E$88,2,FALSE)</f>
        <v>50438.379078999998</v>
      </c>
      <c r="AU282" s="30">
        <f>Inventory[[#This Row],[EffAge]]*Lookups!$B$65</f>
        <v>-869.92880000000002</v>
      </c>
      <c r="AV282" s="30">
        <f>Inventory[[#This Row],[MainFn]]*Lookups!$B$90</f>
        <v>154028.81784</v>
      </c>
      <c r="AW282" s="30">
        <f>Inventory[[#This Row],[UpprFn]]*Lookups!$B$91</f>
        <v>0</v>
      </c>
      <c r="AX282" s="30">
        <f>Inventory[[#This Row],[Bsmt Area]]*Lookups!$B$95</f>
        <v>0</v>
      </c>
      <c r="AY282" s="30">
        <f>Inventory[[#This Row],[AttGar]]*Lookups!$B$93</f>
        <v>0</v>
      </c>
      <c r="AZ282" s="30">
        <f>ROUND(Inventory[[#This Row],[25Det]],-2)</f>
        <v>39400</v>
      </c>
      <c r="BA282" s="30">
        <f>ROUND(SUM(Inventory[[#This Row],[Mdl Qlty]:[Mdl Garage Area]])+Inventory[[#This Row],[Mdl Res Intercept]],-2)</f>
        <v>369100</v>
      </c>
      <c r="BB282" s="30">
        <f>ROUND(Inventory[[#This Row],[Mdl Land Intercept]]+Inventory[[#This Row],[Mdl LnAcres]],-2)</f>
        <v>104900</v>
      </c>
      <c r="BC282" s="30">
        <f>Inventory[[#This Row],[Unadj Res Value]]+Inventory[[#This Row],[Unadj Det Value]]+Inventory[[#This Row],[Unadj Land Value]]</f>
        <v>513400</v>
      </c>
      <c r="BD282" s="30">
        <f>(Inventory[[#This Row],[Unadj Total Value]]-Inventory[[#This Row],[24Final]])/Inventory[[#This Row],[24Final]]</f>
        <v>0.11851851851851852</v>
      </c>
      <c r="BE282" s="30">
        <f>VLOOKUP(Inventory[[#This Row],[Nbhd]],Lookups!$M$3:$P$5,4,FALSE)</f>
        <v>0.99970000000000003</v>
      </c>
      <c r="BF282" s="30">
        <f>VLOOKUP(Inventory[[#This Row],[Qlty]],Lookups!$M$8:$P$22,4,FALSE)</f>
        <v>1.0019</v>
      </c>
      <c r="BG282" s="30">
        <f>VLOOKUP(Inventory[[#This Row],[Cnd]],Lookups!$R$8:$U$17,4,FALSE)</f>
        <v>1.0007999999999999</v>
      </c>
      <c r="BH282" s="30">
        <f>VLOOKUP(Inventory[[#This Row],[LivArea Range]],Lookups!$R$25:$U$43,4,FALSE)</f>
        <v>1.0008999999999999</v>
      </c>
      <c r="BI282" s="30">
        <f>VLOOKUP(Inventory[[#This Row],[Decade]],Lookups!$M$24:$P$40,4,FALSE)</f>
        <v>1</v>
      </c>
      <c r="BJ282" s="30">
        <f>Inventory[[#This Row],[Nbhd Adj]]*0.95</f>
        <v>0.94971499999999998</v>
      </c>
      <c r="BK282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282" s="30">
        <f>ROUND((SUM(Inventory[[#This Row],[Mdl Qlty]:[Mdl Garage Area]])+Inventory[[#This Row],[Mdl Res Intercept]])*Inventory[[#This Row],[Res Adj ]],-2)</f>
        <v>350800</v>
      </c>
      <c r="BM282" s="30">
        <f>ROUND(Inventory[[#This Row],[25Det]]*Inventory[[#This Row],[Det/Nbhd Adj]],-2)</f>
        <v>37400</v>
      </c>
      <c r="BN282" s="30">
        <f>Inventory[[#This Row],[Adjusted Res]]+Inventory[[#This Row],[Adj Det ]]</f>
        <v>388200</v>
      </c>
      <c r="BO282" s="30">
        <f>ROUND((Inventory[[#This Row],[Mdl Land Intercept]]+Inventory[[#This Row],[Mdl LnAcres]])*Inventory[[#This Row],[Det/Nbhd Adj]],-2)</f>
        <v>99600</v>
      </c>
      <c r="BP282" s="30">
        <f>Inventory[[#This Row],[Adjusted Impr Total]]+Inventory[[#This Row],[Adjusted Land Total]]</f>
        <v>487800</v>
      </c>
      <c r="BQ282" s="30">
        <f>IFERROR((Inventory[[#This Row],[Adjusted Impr Total]]-Inventory[[#This Row],[24Bldg]])/Inventory[[#This Row],[24Bldg]],0)</f>
        <v>9.3829247675401517E-2</v>
      </c>
      <c r="BR282" s="43">
        <f>(Inventory[[#This Row],[Adjusted Land Total]]-Inventory[[#This Row],[24Lnd]])/Inventory[[#This Row],[24Lnd]]</f>
        <v>-4.3227665706051875E-2</v>
      </c>
      <c r="BS282" s="43">
        <f>(Inventory[[#This Row],[Adjusted Total]]-Inventory[[#This Row],[24Final]])/Inventory[[#This Row],[24Final]]</f>
        <v>6.2745098039215685E-2</v>
      </c>
    </row>
    <row r="283" spans="1:71">
      <c r="A283" s="30">
        <v>2025</v>
      </c>
      <c r="B283" s="31" t="s">
        <v>793</v>
      </c>
      <c r="C283" s="31">
        <f>LN(Inventory[[#This Row],[Acres]])</f>
        <v>-2.120263536200091</v>
      </c>
      <c r="D283" s="30">
        <v>0.12</v>
      </c>
      <c r="E283" s="30">
        <v>5257</v>
      </c>
      <c r="F283" s="31" t="s">
        <v>505</v>
      </c>
      <c r="G283" s="31" t="s">
        <v>155</v>
      </c>
      <c r="H283" s="31" t="s">
        <v>5</v>
      </c>
      <c r="I283" s="31" t="s">
        <v>506</v>
      </c>
      <c r="J283" s="31" t="s">
        <v>794</v>
      </c>
      <c r="K283" s="31" t="s">
        <v>795</v>
      </c>
      <c r="L283" s="31" t="s">
        <v>61</v>
      </c>
      <c r="M283" s="45" t="s">
        <v>796</v>
      </c>
      <c r="N283" s="31">
        <v>0</v>
      </c>
      <c r="O283" s="31">
        <f>2024-Inventory[[#This Row],[YrBlt]]</f>
        <v>9</v>
      </c>
      <c r="P283" s="31">
        <f>2024-Inventory[[#This Row],[EffYr]]</f>
        <v>9</v>
      </c>
      <c r="Q283" s="30">
        <v>2015</v>
      </c>
      <c r="R283" s="30">
        <v>2015</v>
      </c>
      <c r="S283" s="30">
        <v>1636</v>
      </c>
      <c r="T283" s="32"/>
      <c r="U283" s="32"/>
      <c r="V283" s="32"/>
      <c r="W283" s="32"/>
      <c r="X283" s="32">
        <f>Inventory[[#This Row],[Bsmt Area]]-Inventory[[#This Row],[FnBsmt]]</f>
        <v>0</v>
      </c>
      <c r="Y283" s="32">
        <f>Inventory[[#This Row],[MainFn]]+Inventory[[#This Row],[UpprFn]]+Inventory[[#This Row],[AddFn]]+Inventory[[#This Row],[FnBsmt]]</f>
        <v>1636</v>
      </c>
      <c r="Z283" s="32">
        <v>2000</v>
      </c>
      <c r="AA283" s="31" t="s">
        <v>57</v>
      </c>
      <c r="AB283" s="32"/>
      <c r="AC283" s="38">
        <v>448</v>
      </c>
      <c r="AD283" s="32"/>
      <c r="AE283" s="32"/>
      <c r="AF283" s="32"/>
      <c r="AG283" s="32"/>
      <c r="AH283" s="32"/>
      <c r="AI283" s="30">
        <v>345937</v>
      </c>
      <c r="AJ283" s="30">
        <v>332100</v>
      </c>
      <c r="AK283" s="30">
        <v>5147</v>
      </c>
      <c r="AL283" s="30">
        <v>0</v>
      </c>
      <c r="AM283" s="30">
        <v>33300</v>
      </c>
      <c r="AN283" s="30">
        <v>324800</v>
      </c>
      <c r="AO283" s="30">
        <v>358100</v>
      </c>
      <c r="AP283" s="30">
        <f>Lookups!$B$58*0.6</f>
        <v>132535.48800000001</v>
      </c>
      <c r="AQ283" s="30">
        <f>Lookups!$B$58*0.4</f>
        <v>88356.992000000013</v>
      </c>
      <c r="AR283" s="30">
        <f>Lookups!$B$59*Inventory[[#This Row],[LnAcres]]</f>
        <v>-27827.019253685114</v>
      </c>
      <c r="AS283" s="30">
        <f>VLOOKUP(Inventory[[#This Row],[Qlty]],Lookups!$A$66:$E$79,2,FALSE)</f>
        <v>37154.252388000001</v>
      </c>
      <c r="AT283" s="30">
        <f>VLOOKUP(Inventory[[#This Row],[Cnd]],Lookups!$A$80:$E$88,2,FALSE)</f>
        <v>30300.329274</v>
      </c>
      <c r="AU283" s="30">
        <f>Inventory[[#This Row],[EffAge]]*Lookups!$B$65</f>
        <v>-978.66989999999998</v>
      </c>
      <c r="AV283" s="30">
        <f>Inventory[[#This Row],[MainFn]]*Lookups!$B$90</f>
        <v>102103.38168000001</v>
      </c>
      <c r="AW283" s="30">
        <f>Inventory[[#This Row],[UpprFn]]*Lookups!$B$91</f>
        <v>0</v>
      </c>
      <c r="AX283" s="30">
        <f>Inventory[[#This Row],[Bsmt Area]]*Lookups!$B$95</f>
        <v>0</v>
      </c>
      <c r="AY283" s="30">
        <f>Inventory[[#This Row],[AttGar]]*Lookups!$B$93</f>
        <v>15814.861888000001</v>
      </c>
      <c r="AZ283" s="30">
        <f>ROUND(Inventory[[#This Row],[25Det]],-2)</f>
        <v>5100</v>
      </c>
      <c r="BA283" s="30">
        <f>ROUND(SUM(Inventory[[#This Row],[Mdl Qlty]:[Mdl Garage Area]])+Inventory[[#This Row],[Mdl Res Intercept]],-2)</f>
        <v>316900</v>
      </c>
      <c r="BB283" s="30">
        <f>ROUND(Inventory[[#This Row],[Mdl Land Intercept]]+Inventory[[#This Row],[Mdl LnAcres]],-2)</f>
        <v>60500</v>
      </c>
      <c r="BC283" s="30">
        <f>Inventory[[#This Row],[Unadj Res Value]]+Inventory[[#This Row],[Unadj Det Value]]+Inventory[[#This Row],[Unadj Land Value]]</f>
        <v>382500</v>
      </c>
      <c r="BD283" s="30">
        <f>(Inventory[[#This Row],[Unadj Total Value]]-Inventory[[#This Row],[24Final]])/Inventory[[#This Row],[24Final]]</f>
        <v>6.8137391790002791E-2</v>
      </c>
      <c r="BE283" s="30">
        <f>VLOOKUP(Inventory[[#This Row],[Nbhd]],Lookups!$M$3:$P$5,4,FALSE)</f>
        <v>0.99970000000000003</v>
      </c>
      <c r="BF283" s="30">
        <f>VLOOKUP(Inventory[[#This Row],[Qlty]],Lookups!$M$8:$P$22,4,FALSE)</f>
        <v>0.99819999999999998</v>
      </c>
      <c r="BG283" s="30">
        <f>VLOOKUP(Inventory[[#This Row],[Cnd]],Lookups!$R$8:$U$17,4,FALSE)</f>
        <v>0.997</v>
      </c>
      <c r="BH283" s="30">
        <f>VLOOKUP(Inventory[[#This Row],[LivArea Range]],Lookups!$R$25:$U$43,4,FALSE)</f>
        <v>1.0007999999999999</v>
      </c>
      <c r="BI283" s="30">
        <f>VLOOKUP(Inventory[[#This Row],[Decade]],Lookups!$M$24:$P$40,4,FALSE)</f>
        <v>1</v>
      </c>
      <c r="BJ283" s="30">
        <f>Inventory[[#This Row],[Nbhd Adj]]*0.95</f>
        <v>0.94971499999999998</v>
      </c>
      <c r="BK283" s="30">
        <f>AVERAGE(Inventory[[#This Row],[Nbhd Adj]],Inventory[[#This Row],[Quality Adj]],Inventory[[#This Row],[Condition Adj]],Inventory[[#This Row],[Living Area Adj]],Inventory[[#This Row],[Decade Adj]])*0.95</f>
        <v>0.94918299999999989</v>
      </c>
      <c r="BL283" s="30">
        <f>ROUND((SUM(Inventory[[#This Row],[Mdl Qlty]:[Mdl Garage Area]])+Inventory[[#This Row],[Mdl Res Intercept]])*Inventory[[#This Row],[Res Adj ]],-2)</f>
        <v>300800</v>
      </c>
      <c r="BM283" s="30">
        <f>ROUND(Inventory[[#This Row],[25Det]]*Inventory[[#This Row],[Det/Nbhd Adj]],-2)</f>
        <v>4900</v>
      </c>
      <c r="BN283" s="30">
        <f>Inventory[[#This Row],[Adjusted Res]]+Inventory[[#This Row],[Adj Det ]]</f>
        <v>305700</v>
      </c>
      <c r="BO283" s="30">
        <f>ROUND((Inventory[[#This Row],[Mdl Land Intercept]]+Inventory[[#This Row],[Mdl LnAcres]])*Inventory[[#This Row],[Det/Nbhd Adj]],-2)</f>
        <v>57500</v>
      </c>
      <c r="BP283" s="30">
        <f>Inventory[[#This Row],[Adjusted Impr Total]]+Inventory[[#This Row],[Adjusted Land Total]]</f>
        <v>363200</v>
      </c>
      <c r="BQ283" s="79">
        <f>IFERROR((Inventory[[#This Row],[Adjusted Impr Total]]-Inventory[[#This Row],[24Bldg]])/Inventory[[#This Row],[24Bldg]],0)</f>
        <v>-5.880541871921182E-2</v>
      </c>
      <c r="BR283" s="43">
        <f>(Inventory[[#This Row],[Adjusted Land Total]]-Inventory[[#This Row],[24Lnd]])/Inventory[[#This Row],[24Lnd]]</f>
        <v>0.72672672672672678</v>
      </c>
      <c r="BS283" s="43">
        <f>(Inventory[[#This Row],[Adjusted Total]]-Inventory[[#This Row],[24Final]])/Inventory[[#This Row],[24Final]]</f>
        <v>1.4241831890533371E-2</v>
      </c>
    </row>
    <row r="284" spans="1:71">
      <c r="A284" s="30">
        <v>2025</v>
      </c>
      <c r="B284" s="31" t="s">
        <v>797</v>
      </c>
      <c r="C284" s="31">
        <f>LN(Inventory[[#This Row],[Acres]])</f>
        <v>-2.120263536200091</v>
      </c>
      <c r="D284" s="30">
        <v>0.12</v>
      </c>
      <c r="E284" s="30">
        <v>5257</v>
      </c>
      <c r="F284" s="31" t="s">
        <v>505</v>
      </c>
      <c r="G284" s="31" t="s">
        <v>155</v>
      </c>
      <c r="H284" s="31" t="s">
        <v>5</v>
      </c>
      <c r="I284" s="31" t="s">
        <v>506</v>
      </c>
      <c r="J284" s="31" t="s">
        <v>794</v>
      </c>
      <c r="K284" s="31" t="s">
        <v>795</v>
      </c>
      <c r="L284" s="31" t="s">
        <v>61</v>
      </c>
      <c r="M284" s="45" t="s">
        <v>796</v>
      </c>
      <c r="N284" s="31">
        <v>0</v>
      </c>
      <c r="O284" s="31">
        <f>2024-Inventory[[#This Row],[YrBlt]]</f>
        <v>9</v>
      </c>
      <c r="P284" s="31">
        <f>2024-Inventory[[#This Row],[EffYr]]</f>
        <v>9</v>
      </c>
      <c r="Q284" s="30">
        <v>2015</v>
      </c>
      <c r="R284" s="30">
        <v>2015</v>
      </c>
      <c r="S284" s="30">
        <v>1636</v>
      </c>
      <c r="T284" s="32"/>
      <c r="U284" s="32"/>
      <c r="V284" s="32"/>
      <c r="W284" s="32"/>
      <c r="X284" s="32">
        <f>Inventory[[#This Row],[Bsmt Area]]-Inventory[[#This Row],[FnBsmt]]</f>
        <v>0</v>
      </c>
      <c r="Y284" s="32">
        <f>Inventory[[#This Row],[MainFn]]+Inventory[[#This Row],[UpprFn]]+Inventory[[#This Row],[AddFn]]+Inventory[[#This Row],[FnBsmt]]</f>
        <v>1636</v>
      </c>
      <c r="Z284" s="32">
        <v>2000</v>
      </c>
      <c r="AA284" s="31" t="s">
        <v>57</v>
      </c>
      <c r="AB284" s="32"/>
      <c r="AC284" s="38">
        <v>448</v>
      </c>
      <c r="AD284" s="32"/>
      <c r="AE284" s="32"/>
      <c r="AF284" s="32"/>
      <c r="AG284" s="32"/>
      <c r="AH284" s="32"/>
      <c r="AI284" s="30">
        <v>345937</v>
      </c>
      <c r="AJ284" s="30">
        <v>332100</v>
      </c>
      <c r="AK284" s="30">
        <v>5147</v>
      </c>
      <c r="AL284" s="30">
        <v>0</v>
      </c>
      <c r="AM284" s="30">
        <v>33300</v>
      </c>
      <c r="AN284" s="30">
        <v>324800</v>
      </c>
      <c r="AO284" s="30">
        <v>358100</v>
      </c>
      <c r="AP284" s="30">
        <f>Lookups!$B$58*0.6</f>
        <v>132535.48800000001</v>
      </c>
      <c r="AQ284" s="30">
        <f>Lookups!$B$58*0.4</f>
        <v>88356.992000000013</v>
      </c>
      <c r="AR284" s="30">
        <f>Lookups!$B$59*Inventory[[#This Row],[LnAcres]]</f>
        <v>-27827.019253685114</v>
      </c>
      <c r="AS284" s="30">
        <f>VLOOKUP(Inventory[[#This Row],[Qlty]],Lookups!$A$66:$E$79,2,FALSE)</f>
        <v>37154.252388000001</v>
      </c>
      <c r="AT284" s="30">
        <f>VLOOKUP(Inventory[[#This Row],[Cnd]],Lookups!$A$80:$E$88,2,FALSE)</f>
        <v>30300.329274</v>
      </c>
      <c r="AU284" s="30">
        <f>Inventory[[#This Row],[EffAge]]*Lookups!$B$65</f>
        <v>-978.66989999999998</v>
      </c>
      <c r="AV284" s="30">
        <f>Inventory[[#This Row],[MainFn]]*Lookups!$B$90</f>
        <v>102103.38168000001</v>
      </c>
      <c r="AW284" s="30">
        <f>Inventory[[#This Row],[UpprFn]]*Lookups!$B$91</f>
        <v>0</v>
      </c>
      <c r="AX284" s="30">
        <f>Inventory[[#This Row],[Bsmt Area]]*Lookups!$B$95</f>
        <v>0</v>
      </c>
      <c r="AY284" s="30">
        <f>Inventory[[#This Row],[AttGar]]*Lookups!$B$93</f>
        <v>15814.861888000001</v>
      </c>
      <c r="AZ284" s="30">
        <f>ROUND(Inventory[[#This Row],[25Det]],-2)</f>
        <v>5100</v>
      </c>
      <c r="BA284" s="30">
        <f>ROUND(SUM(Inventory[[#This Row],[Mdl Qlty]:[Mdl Garage Area]])+Inventory[[#This Row],[Mdl Res Intercept]],-2)</f>
        <v>316900</v>
      </c>
      <c r="BB284" s="30">
        <f>ROUND(Inventory[[#This Row],[Mdl Land Intercept]]+Inventory[[#This Row],[Mdl LnAcres]],-2)</f>
        <v>60500</v>
      </c>
      <c r="BC284" s="30">
        <f>Inventory[[#This Row],[Unadj Res Value]]+Inventory[[#This Row],[Unadj Det Value]]+Inventory[[#This Row],[Unadj Land Value]]</f>
        <v>382500</v>
      </c>
      <c r="BD284" s="30">
        <f>(Inventory[[#This Row],[Unadj Total Value]]-Inventory[[#This Row],[24Final]])/Inventory[[#This Row],[24Final]]</f>
        <v>6.8137391790002791E-2</v>
      </c>
      <c r="BE284" s="30">
        <f>VLOOKUP(Inventory[[#This Row],[Nbhd]],Lookups!$M$3:$P$5,4,FALSE)</f>
        <v>0.99970000000000003</v>
      </c>
      <c r="BF284" s="30">
        <f>VLOOKUP(Inventory[[#This Row],[Qlty]],Lookups!$M$8:$P$22,4,FALSE)</f>
        <v>0.99819999999999998</v>
      </c>
      <c r="BG284" s="30">
        <f>VLOOKUP(Inventory[[#This Row],[Cnd]],Lookups!$R$8:$U$17,4,FALSE)</f>
        <v>0.997</v>
      </c>
      <c r="BH284" s="30">
        <f>VLOOKUP(Inventory[[#This Row],[LivArea Range]],Lookups!$R$25:$U$43,4,FALSE)</f>
        <v>1.0007999999999999</v>
      </c>
      <c r="BI284" s="30">
        <f>VLOOKUP(Inventory[[#This Row],[Decade]],Lookups!$M$24:$P$40,4,FALSE)</f>
        <v>1</v>
      </c>
      <c r="BJ284" s="30">
        <f>Inventory[[#This Row],[Nbhd Adj]]*0.95</f>
        <v>0.94971499999999998</v>
      </c>
      <c r="BK284" s="30">
        <f>AVERAGE(Inventory[[#This Row],[Nbhd Adj]],Inventory[[#This Row],[Quality Adj]],Inventory[[#This Row],[Condition Adj]],Inventory[[#This Row],[Living Area Adj]],Inventory[[#This Row],[Decade Adj]])*0.95</f>
        <v>0.94918299999999989</v>
      </c>
      <c r="BL284" s="30">
        <f>ROUND((SUM(Inventory[[#This Row],[Mdl Qlty]:[Mdl Garage Area]])+Inventory[[#This Row],[Mdl Res Intercept]])*Inventory[[#This Row],[Res Adj ]],-2)</f>
        <v>300800</v>
      </c>
      <c r="BM284" s="30">
        <f>ROUND(Inventory[[#This Row],[25Det]]*Inventory[[#This Row],[Det/Nbhd Adj]],-2)</f>
        <v>4900</v>
      </c>
      <c r="BN284" s="30">
        <f>Inventory[[#This Row],[Adjusted Res]]+Inventory[[#This Row],[Adj Det ]]</f>
        <v>305700</v>
      </c>
      <c r="BO284" s="30">
        <f>ROUND((Inventory[[#This Row],[Mdl Land Intercept]]+Inventory[[#This Row],[Mdl LnAcres]])*Inventory[[#This Row],[Det/Nbhd Adj]],-2)</f>
        <v>57500</v>
      </c>
      <c r="BP284" s="30">
        <f>Inventory[[#This Row],[Adjusted Impr Total]]+Inventory[[#This Row],[Adjusted Land Total]]</f>
        <v>363200</v>
      </c>
      <c r="BQ284" s="79">
        <f>IFERROR((Inventory[[#This Row],[Adjusted Impr Total]]-Inventory[[#This Row],[24Bldg]])/Inventory[[#This Row],[24Bldg]],0)</f>
        <v>-5.880541871921182E-2</v>
      </c>
      <c r="BR284" s="43">
        <f>(Inventory[[#This Row],[Adjusted Land Total]]-Inventory[[#This Row],[24Lnd]])/Inventory[[#This Row],[24Lnd]]</f>
        <v>0.72672672672672678</v>
      </c>
      <c r="BS284" s="43">
        <f>(Inventory[[#This Row],[Adjusted Total]]-Inventory[[#This Row],[24Final]])/Inventory[[#This Row],[24Final]]</f>
        <v>1.4241831890533371E-2</v>
      </c>
    </row>
    <row r="285" spans="1:71">
      <c r="A285" s="30">
        <v>2025</v>
      </c>
      <c r="B285" s="31" t="s">
        <v>798</v>
      </c>
      <c r="C285" s="31">
        <f>LN(Inventory[[#This Row],[Acres]])</f>
        <v>-1.8325814637483102</v>
      </c>
      <c r="D285" s="30">
        <v>0.16</v>
      </c>
      <c r="E285" s="30">
        <v>7124</v>
      </c>
      <c r="F285" s="31" t="s">
        <v>505</v>
      </c>
      <c r="G285" s="31" t="s">
        <v>155</v>
      </c>
      <c r="H285" s="31" t="s">
        <v>5</v>
      </c>
      <c r="I285" s="31" t="s">
        <v>506</v>
      </c>
      <c r="J285" s="31" t="s">
        <v>507</v>
      </c>
      <c r="K285" s="31" t="s">
        <v>330</v>
      </c>
      <c r="L285" s="31" t="s">
        <v>21</v>
      </c>
      <c r="M285" s="31" t="s">
        <v>22</v>
      </c>
      <c r="N285" s="31">
        <v>0</v>
      </c>
      <c r="O285" s="31">
        <f>2024-Inventory[[#This Row],[YrBlt]]</f>
        <v>9</v>
      </c>
      <c r="P285" s="31">
        <f>2024-Inventory[[#This Row],[EffYr]]</f>
        <v>9</v>
      </c>
      <c r="Q285" s="30">
        <v>2015</v>
      </c>
      <c r="R285" s="30">
        <v>2015</v>
      </c>
      <c r="S285" s="30">
        <v>1126</v>
      </c>
      <c r="T285" s="38">
        <v>1126</v>
      </c>
      <c r="U285" s="32"/>
      <c r="V285" s="32"/>
      <c r="W285" s="32"/>
      <c r="X285" s="32">
        <f>Inventory[[#This Row],[Bsmt Area]]-Inventory[[#This Row],[FnBsmt]]</f>
        <v>0</v>
      </c>
      <c r="Y285" s="32">
        <f>Inventory[[#This Row],[MainFn]]+Inventory[[#This Row],[UpprFn]]+Inventory[[#This Row],[AddFn]]+Inventory[[#This Row],[FnBsmt]]</f>
        <v>2252</v>
      </c>
      <c r="Z285" s="32">
        <v>2500</v>
      </c>
      <c r="AA285" s="31" t="s">
        <v>57</v>
      </c>
      <c r="AB285" s="32"/>
      <c r="AC285" s="30">
        <v>440</v>
      </c>
      <c r="AD285" s="32"/>
      <c r="AE285" s="32"/>
      <c r="AF285" s="32"/>
      <c r="AG285" s="32"/>
      <c r="AH285" s="32"/>
      <c r="AI285" s="30">
        <v>450449</v>
      </c>
      <c r="AJ285" s="30">
        <v>432431</v>
      </c>
      <c r="AK285" s="30">
        <v>0</v>
      </c>
      <c r="AL285" s="30">
        <v>0</v>
      </c>
      <c r="AM285" s="30">
        <v>60800</v>
      </c>
      <c r="AN285" s="30">
        <v>372700</v>
      </c>
      <c r="AO285" s="30">
        <v>433500</v>
      </c>
      <c r="AP285" s="30">
        <f>Lookups!$B$58*0.6</f>
        <v>132535.48800000001</v>
      </c>
      <c r="AQ285" s="30">
        <f>Lookups!$B$58*0.4</f>
        <v>88356.992000000013</v>
      </c>
      <c r="AR285" s="30">
        <f>Lookups!$B$59*Inventory[[#This Row],[LnAcres]]</f>
        <v>-24051.387388882686</v>
      </c>
      <c r="AS285" s="30">
        <f>VLOOKUP(Inventory[[#This Row],[Qlty]],Lookups!$A$66:$E$79,2,FALSE)</f>
        <v>32917.849192000001</v>
      </c>
      <c r="AT285" s="30">
        <f>VLOOKUP(Inventory[[#This Row],[Cnd]],Lookups!$A$80:$E$88,2,FALSE)</f>
        <v>50438.379078999998</v>
      </c>
      <c r="AU285" s="30">
        <f>Inventory[[#This Row],[EffAge]]*Lookups!$B$65</f>
        <v>-978.66989999999998</v>
      </c>
      <c r="AV285" s="30">
        <f>Inventory[[#This Row],[MainFn]]*Lookups!$B$90</f>
        <v>70274.087880000006</v>
      </c>
      <c r="AW285" s="30">
        <f>Inventory[[#This Row],[UpprFn]]*Lookups!$B$91</f>
        <v>67087.511257999999</v>
      </c>
      <c r="AX285" s="30">
        <f>Inventory[[#This Row],[Bsmt Area]]*Lookups!$B$95</f>
        <v>0</v>
      </c>
      <c r="AY285" s="30">
        <f>Inventory[[#This Row],[AttGar]]*Lookups!$B$93</f>
        <v>15532.453640000002</v>
      </c>
      <c r="AZ285" s="30">
        <f>ROUND(Inventory[[#This Row],[25Det]],-2)</f>
        <v>0</v>
      </c>
      <c r="BA285" s="30">
        <f>ROUND(SUM(Inventory[[#This Row],[Mdl Qlty]:[Mdl Garage Area]])+Inventory[[#This Row],[Mdl Res Intercept]],-2)</f>
        <v>367800</v>
      </c>
      <c r="BB285" s="30">
        <f>ROUND(Inventory[[#This Row],[Mdl Land Intercept]]+Inventory[[#This Row],[Mdl LnAcres]],-2)</f>
        <v>64300</v>
      </c>
      <c r="BC285" s="30">
        <f>Inventory[[#This Row],[Unadj Res Value]]+Inventory[[#This Row],[Unadj Det Value]]+Inventory[[#This Row],[Unadj Land Value]]</f>
        <v>432100</v>
      </c>
      <c r="BD285" s="30">
        <f>(Inventory[[#This Row],[Unadj Total Value]]-Inventory[[#This Row],[24Final]])/Inventory[[#This Row],[24Final]]</f>
        <v>-3.2295271049596311E-3</v>
      </c>
      <c r="BE285" s="30">
        <f>VLOOKUP(Inventory[[#This Row],[Nbhd]],Lookups!$M$3:$P$5,4,FALSE)</f>
        <v>0.99970000000000003</v>
      </c>
      <c r="BF285" s="30">
        <f>VLOOKUP(Inventory[[#This Row],[Qlty]],Lookups!$M$8:$P$22,4,FALSE)</f>
        <v>1.0019</v>
      </c>
      <c r="BG285" s="30">
        <f>VLOOKUP(Inventory[[#This Row],[Cnd]],Lookups!$R$8:$U$17,4,FALSE)</f>
        <v>1.0007999999999999</v>
      </c>
      <c r="BH285" s="30">
        <f>VLOOKUP(Inventory[[#This Row],[LivArea Range]],Lookups!$R$25:$U$43,4,FALSE)</f>
        <v>1.0008999999999999</v>
      </c>
      <c r="BI285" s="30">
        <f>VLOOKUP(Inventory[[#This Row],[Decade]],Lookups!$M$24:$P$40,4,FALSE)</f>
        <v>1</v>
      </c>
      <c r="BJ285" s="30">
        <f>Inventory[[#This Row],[Nbhd Adj]]*0.95</f>
        <v>0.94971499999999998</v>
      </c>
      <c r="BK285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285" s="30">
        <f>ROUND((SUM(Inventory[[#This Row],[Mdl Qlty]:[Mdl Garage Area]])+Inventory[[#This Row],[Mdl Res Intercept]])*Inventory[[#This Row],[Res Adj ]],-2)</f>
        <v>349600</v>
      </c>
      <c r="BM285" s="30">
        <f>ROUND(Inventory[[#This Row],[25Det]]*Inventory[[#This Row],[Det/Nbhd Adj]],-2)</f>
        <v>0</v>
      </c>
      <c r="BN285" s="30">
        <f>Inventory[[#This Row],[Adjusted Res]]+Inventory[[#This Row],[Adj Det ]]</f>
        <v>349600</v>
      </c>
      <c r="BO285" s="30">
        <f>ROUND((Inventory[[#This Row],[Mdl Land Intercept]]+Inventory[[#This Row],[Mdl LnAcres]])*Inventory[[#This Row],[Det/Nbhd Adj]],-2)</f>
        <v>61100</v>
      </c>
      <c r="BP285" s="30">
        <f>Inventory[[#This Row],[Adjusted Impr Total]]+Inventory[[#This Row],[Adjusted Land Total]]</f>
        <v>410700</v>
      </c>
      <c r="BQ285" s="30">
        <f>IFERROR((Inventory[[#This Row],[Adjusted Impr Total]]-Inventory[[#This Row],[24Bldg]])/Inventory[[#This Row],[24Bldg]],0)</f>
        <v>-6.198014488865039E-2</v>
      </c>
      <c r="BR285" s="43">
        <f>(Inventory[[#This Row],[Adjusted Land Total]]-Inventory[[#This Row],[24Lnd]])/Inventory[[#This Row],[24Lnd]]</f>
        <v>4.9342105263157892E-3</v>
      </c>
      <c r="BS285" s="43">
        <f>(Inventory[[#This Row],[Adjusted Total]]-Inventory[[#This Row],[24Final]])/Inventory[[#This Row],[24Final]]</f>
        <v>-5.2595155709342561E-2</v>
      </c>
    </row>
    <row r="286" spans="1:71">
      <c r="A286" s="30">
        <v>2025</v>
      </c>
      <c r="B286" s="31" t="s">
        <v>799</v>
      </c>
      <c r="C286" s="31">
        <f>LN(Inventory[[#This Row],[Acres]])</f>
        <v>-1.8325814637483102</v>
      </c>
      <c r="D286" s="30">
        <v>0.16</v>
      </c>
      <c r="E286" s="30">
        <v>7010</v>
      </c>
      <c r="F286" s="31" t="s">
        <v>505</v>
      </c>
      <c r="G286" s="31" t="s">
        <v>155</v>
      </c>
      <c r="H286" s="31" t="s">
        <v>5</v>
      </c>
      <c r="I286" s="31" t="s">
        <v>506</v>
      </c>
      <c r="J286" s="31" t="s">
        <v>507</v>
      </c>
      <c r="K286" s="31" t="s">
        <v>330</v>
      </c>
      <c r="L286" s="31" t="s">
        <v>19</v>
      </c>
      <c r="M286" s="31" t="s">
        <v>22</v>
      </c>
      <c r="N286" s="31">
        <v>0</v>
      </c>
      <c r="O286" s="31">
        <f>2024-Inventory[[#This Row],[YrBlt]]</f>
        <v>9</v>
      </c>
      <c r="P286" s="31">
        <f>2024-Inventory[[#This Row],[EffYr]]</f>
        <v>9</v>
      </c>
      <c r="Q286" s="30">
        <v>2015</v>
      </c>
      <c r="R286" s="30">
        <v>2015</v>
      </c>
      <c r="S286" s="30">
        <v>1126</v>
      </c>
      <c r="T286" s="30">
        <v>1126</v>
      </c>
      <c r="U286" s="32"/>
      <c r="V286" s="32"/>
      <c r="W286" s="32"/>
      <c r="X286" s="32">
        <f>Inventory[[#This Row],[Bsmt Area]]-Inventory[[#This Row],[FnBsmt]]</f>
        <v>0</v>
      </c>
      <c r="Y286" s="32">
        <f>Inventory[[#This Row],[MainFn]]+Inventory[[#This Row],[UpprFn]]+Inventory[[#This Row],[AddFn]]+Inventory[[#This Row],[FnBsmt]]</f>
        <v>2252</v>
      </c>
      <c r="Z286" s="32">
        <v>2500</v>
      </c>
      <c r="AA286" s="31" t="s">
        <v>56</v>
      </c>
      <c r="AB286" s="37"/>
      <c r="AC286" s="38">
        <v>680</v>
      </c>
      <c r="AD286" s="32"/>
      <c r="AE286" s="32"/>
      <c r="AF286" s="32"/>
      <c r="AG286" s="32"/>
      <c r="AH286" s="32"/>
      <c r="AI286" s="30">
        <v>406048</v>
      </c>
      <c r="AJ286" s="30">
        <v>389806</v>
      </c>
      <c r="AK286" s="30">
        <v>0</v>
      </c>
      <c r="AL286" s="30">
        <v>0</v>
      </c>
      <c r="AM286" s="30">
        <v>60800</v>
      </c>
      <c r="AN286" s="30">
        <v>389300</v>
      </c>
      <c r="AO286" s="30">
        <v>450100</v>
      </c>
      <c r="AP286" s="30">
        <f>Lookups!$B$58*0.6</f>
        <v>132535.48800000001</v>
      </c>
      <c r="AQ286" s="30">
        <f>Lookups!$B$58*0.4</f>
        <v>88356.992000000013</v>
      </c>
      <c r="AR286" s="30">
        <f>Lookups!$B$59*Inventory[[#This Row],[LnAcres]]</f>
        <v>-24051.387388882686</v>
      </c>
      <c r="AS286" s="30">
        <f>VLOOKUP(Inventory[[#This Row],[Qlty]],Lookups!$A$66:$E$79,2,FALSE)</f>
        <v>37154.252388000001</v>
      </c>
      <c r="AT286" s="30">
        <f>VLOOKUP(Inventory[[#This Row],[Cnd]],Lookups!$A$80:$E$88,2,FALSE)</f>
        <v>50438.379078999998</v>
      </c>
      <c r="AU286" s="30">
        <f>Inventory[[#This Row],[EffAge]]*Lookups!$B$65</f>
        <v>-978.66989999999998</v>
      </c>
      <c r="AV286" s="30">
        <f>Inventory[[#This Row],[MainFn]]*Lookups!$B$90</f>
        <v>70274.087880000006</v>
      </c>
      <c r="AW286" s="30">
        <f>Inventory[[#This Row],[UpprFn]]*Lookups!$B$91</f>
        <v>67087.511257999999</v>
      </c>
      <c r="AX286" s="30">
        <f>Inventory[[#This Row],[Bsmt Area]]*Lookups!$B$95</f>
        <v>0</v>
      </c>
      <c r="AY286" s="30">
        <f>Inventory[[#This Row],[AttGar]]*Lookups!$B$93</f>
        <v>24004.701080000003</v>
      </c>
      <c r="AZ286" s="30">
        <f>ROUND(Inventory[[#This Row],[25Det]],-2)</f>
        <v>0</v>
      </c>
      <c r="BA286" s="30">
        <f>ROUND(SUM(Inventory[[#This Row],[Mdl Qlty]:[Mdl Garage Area]])+Inventory[[#This Row],[Mdl Res Intercept]],-2)</f>
        <v>380500</v>
      </c>
      <c r="BB286" s="30">
        <f>ROUND(Inventory[[#This Row],[Mdl Land Intercept]]+Inventory[[#This Row],[Mdl LnAcres]],-2)</f>
        <v>64300</v>
      </c>
      <c r="BC286" s="30">
        <f>Inventory[[#This Row],[Unadj Res Value]]+Inventory[[#This Row],[Unadj Det Value]]+Inventory[[#This Row],[Unadj Land Value]]</f>
        <v>444800</v>
      </c>
      <c r="BD286" s="30">
        <f>(Inventory[[#This Row],[Unadj Total Value]]-Inventory[[#This Row],[24Final]])/Inventory[[#This Row],[24Final]]</f>
        <v>-1.1775161075316596E-2</v>
      </c>
      <c r="BE286" s="30">
        <f>VLOOKUP(Inventory[[#This Row],[Nbhd]],Lookups!$M$3:$P$5,4,FALSE)</f>
        <v>0.99970000000000003</v>
      </c>
      <c r="BF286" s="30">
        <f>VLOOKUP(Inventory[[#This Row],[Qlty]],Lookups!$M$8:$P$22,4,FALSE)</f>
        <v>0.99819999999999998</v>
      </c>
      <c r="BG286" s="30">
        <f>VLOOKUP(Inventory[[#This Row],[Cnd]],Lookups!$R$8:$U$17,4,FALSE)</f>
        <v>1.0007999999999999</v>
      </c>
      <c r="BH286" s="30">
        <f>VLOOKUP(Inventory[[#This Row],[LivArea Range]],Lookups!$R$25:$U$43,4,FALSE)</f>
        <v>1.0008999999999999</v>
      </c>
      <c r="BI286" s="30">
        <f>VLOOKUP(Inventory[[#This Row],[Decade]],Lookups!$M$24:$P$40,4,FALSE)</f>
        <v>1</v>
      </c>
      <c r="BJ286" s="30">
        <f>Inventory[[#This Row],[Nbhd Adj]]*0.95</f>
        <v>0.94971499999999998</v>
      </c>
      <c r="BK286" s="30">
        <f>AVERAGE(Inventory[[#This Row],[Nbhd Adj]],Inventory[[#This Row],[Quality Adj]],Inventory[[#This Row],[Condition Adj]],Inventory[[#This Row],[Living Area Adj]],Inventory[[#This Row],[Decade Adj]])*0.95</f>
        <v>0.94992399999999999</v>
      </c>
      <c r="BL286" s="30">
        <f>ROUND((SUM(Inventory[[#This Row],[Mdl Qlty]:[Mdl Garage Area]])+Inventory[[#This Row],[Mdl Res Intercept]])*Inventory[[#This Row],[Res Adj ]],-2)</f>
        <v>361500</v>
      </c>
      <c r="BM286" s="30">
        <f>ROUND(Inventory[[#This Row],[25Det]]*Inventory[[#This Row],[Det/Nbhd Adj]],-2)</f>
        <v>0</v>
      </c>
      <c r="BN286" s="30">
        <f>Inventory[[#This Row],[Adjusted Res]]+Inventory[[#This Row],[Adj Det ]]</f>
        <v>361500</v>
      </c>
      <c r="BO286" s="30">
        <f>ROUND((Inventory[[#This Row],[Mdl Land Intercept]]+Inventory[[#This Row],[Mdl LnAcres]])*Inventory[[#This Row],[Det/Nbhd Adj]],-2)</f>
        <v>61100</v>
      </c>
      <c r="BP286" s="30">
        <f>Inventory[[#This Row],[Adjusted Impr Total]]+Inventory[[#This Row],[Adjusted Land Total]]</f>
        <v>422600</v>
      </c>
      <c r="BQ286" s="30">
        <f>IFERROR((Inventory[[#This Row],[Adjusted Impr Total]]-Inventory[[#This Row],[24Bldg]])/Inventory[[#This Row],[24Bldg]],0)</f>
        <v>-7.1410223478037507E-2</v>
      </c>
      <c r="BR286" s="43">
        <f>(Inventory[[#This Row],[Adjusted Land Total]]-Inventory[[#This Row],[24Lnd]])/Inventory[[#This Row],[24Lnd]]</f>
        <v>4.9342105263157892E-3</v>
      </c>
      <c r="BS286" s="43">
        <f>(Inventory[[#This Row],[Adjusted Total]]-Inventory[[#This Row],[24Final]])/Inventory[[#This Row],[24Final]]</f>
        <v>-6.1097533881359696E-2</v>
      </c>
    </row>
    <row r="287" spans="1:71">
      <c r="A287" s="30">
        <v>2025</v>
      </c>
      <c r="B287" s="31" t="s">
        <v>800</v>
      </c>
      <c r="C287" s="31">
        <f>LN(Inventory[[#This Row],[Acres]])</f>
        <v>-1.8325814637483102</v>
      </c>
      <c r="D287" s="30">
        <v>0.16</v>
      </c>
      <c r="E287" s="30">
        <v>7001</v>
      </c>
      <c r="F287" s="31" t="s">
        <v>505</v>
      </c>
      <c r="G287" s="31" t="s">
        <v>155</v>
      </c>
      <c r="H287" s="31" t="s">
        <v>5</v>
      </c>
      <c r="I287" s="31" t="s">
        <v>506</v>
      </c>
      <c r="J287" s="31" t="s">
        <v>507</v>
      </c>
      <c r="K287" s="31" t="s">
        <v>330</v>
      </c>
      <c r="L287" s="31" t="s">
        <v>19</v>
      </c>
      <c r="M287" s="31" t="s">
        <v>22</v>
      </c>
      <c r="N287" s="31">
        <v>0</v>
      </c>
      <c r="O287" s="31">
        <f>2024-Inventory[[#This Row],[YrBlt]]</f>
        <v>9</v>
      </c>
      <c r="P287" s="31">
        <f>2024-Inventory[[#This Row],[EffYr]]</f>
        <v>9</v>
      </c>
      <c r="Q287" s="30">
        <v>2015</v>
      </c>
      <c r="R287" s="30">
        <v>2015</v>
      </c>
      <c r="S287" s="30">
        <v>1126</v>
      </c>
      <c r="T287" s="38">
        <v>1126</v>
      </c>
      <c r="U287" s="32"/>
      <c r="V287" s="32"/>
      <c r="W287" s="32"/>
      <c r="X287" s="32">
        <f>Inventory[[#This Row],[Bsmt Area]]-Inventory[[#This Row],[FnBsmt]]</f>
        <v>0</v>
      </c>
      <c r="Y287" s="32">
        <f>Inventory[[#This Row],[MainFn]]+Inventory[[#This Row],[UpprFn]]+Inventory[[#This Row],[AddFn]]+Inventory[[#This Row],[FnBsmt]]</f>
        <v>2252</v>
      </c>
      <c r="Z287" s="32">
        <v>2500</v>
      </c>
      <c r="AA287" s="31" t="s">
        <v>56</v>
      </c>
      <c r="AB287" s="32"/>
      <c r="AC287" s="30">
        <v>440</v>
      </c>
      <c r="AD287" s="32"/>
      <c r="AE287" s="32"/>
      <c r="AF287" s="32"/>
      <c r="AG287" s="32"/>
      <c r="AH287" s="32"/>
      <c r="AI287" s="30">
        <v>397114</v>
      </c>
      <c r="AJ287" s="30">
        <v>381229</v>
      </c>
      <c r="AK287" s="30">
        <v>0</v>
      </c>
      <c r="AL287" s="30">
        <v>0</v>
      </c>
      <c r="AM287" s="30">
        <v>60800</v>
      </c>
      <c r="AN287" s="30">
        <v>378900</v>
      </c>
      <c r="AO287" s="30">
        <v>439700</v>
      </c>
      <c r="AP287" s="30">
        <f>Lookups!$B$58*0.6</f>
        <v>132535.48800000001</v>
      </c>
      <c r="AQ287" s="30">
        <f>Lookups!$B$58*0.4</f>
        <v>88356.992000000013</v>
      </c>
      <c r="AR287" s="30">
        <f>Lookups!$B$59*Inventory[[#This Row],[LnAcres]]</f>
        <v>-24051.387388882686</v>
      </c>
      <c r="AS287" s="30">
        <f>VLOOKUP(Inventory[[#This Row],[Qlty]],Lookups!$A$66:$E$79,2,FALSE)</f>
        <v>37154.252388000001</v>
      </c>
      <c r="AT287" s="30">
        <f>VLOOKUP(Inventory[[#This Row],[Cnd]],Lookups!$A$80:$E$88,2,FALSE)</f>
        <v>50438.379078999998</v>
      </c>
      <c r="AU287" s="30">
        <f>Inventory[[#This Row],[EffAge]]*Lookups!$B$65</f>
        <v>-978.66989999999998</v>
      </c>
      <c r="AV287" s="30">
        <f>Inventory[[#This Row],[MainFn]]*Lookups!$B$90</f>
        <v>70274.087880000006</v>
      </c>
      <c r="AW287" s="30">
        <f>Inventory[[#This Row],[UpprFn]]*Lookups!$B$91</f>
        <v>67087.511257999999</v>
      </c>
      <c r="AX287" s="30">
        <f>Inventory[[#This Row],[Bsmt Area]]*Lookups!$B$95</f>
        <v>0</v>
      </c>
      <c r="AY287" s="30">
        <f>Inventory[[#This Row],[AttGar]]*Lookups!$B$93</f>
        <v>15532.453640000002</v>
      </c>
      <c r="AZ287" s="30">
        <f>ROUND(Inventory[[#This Row],[25Det]],-2)</f>
        <v>0</v>
      </c>
      <c r="BA287" s="30">
        <f>ROUND(SUM(Inventory[[#This Row],[Mdl Qlty]:[Mdl Garage Area]])+Inventory[[#This Row],[Mdl Res Intercept]],-2)</f>
        <v>372000</v>
      </c>
      <c r="BB287" s="30">
        <f>ROUND(Inventory[[#This Row],[Mdl Land Intercept]]+Inventory[[#This Row],[Mdl LnAcres]],-2)</f>
        <v>64300</v>
      </c>
      <c r="BC287" s="30">
        <f>Inventory[[#This Row],[Unadj Res Value]]+Inventory[[#This Row],[Unadj Det Value]]+Inventory[[#This Row],[Unadj Land Value]]</f>
        <v>436300</v>
      </c>
      <c r="BD287" s="30">
        <f>(Inventory[[#This Row],[Unadj Total Value]]-Inventory[[#This Row],[24Final]])/Inventory[[#This Row],[24Final]]</f>
        <v>-7.7325449169888564E-3</v>
      </c>
      <c r="BE287" s="30">
        <f>VLOOKUP(Inventory[[#This Row],[Nbhd]],Lookups!$M$3:$P$5,4,FALSE)</f>
        <v>0.99970000000000003</v>
      </c>
      <c r="BF287" s="30">
        <f>VLOOKUP(Inventory[[#This Row],[Qlty]],Lookups!$M$8:$P$22,4,FALSE)</f>
        <v>0.99819999999999998</v>
      </c>
      <c r="BG287" s="30">
        <f>VLOOKUP(Inventory[[#This Row],[Cnd]],Lookups!$R$8:$U$17,4,FALSE)</f>
        <v>1.0007999999999999</v>
      </c>
      <c r="BH287" s="30">
        <f>VLOOKUP(Inventory[[#This Row],[LivArea Range]],Lookups!$R$25:$U$43,4,FALSE)</f>
        <v>1.0008999999999999</v>
      </c>
      <c r="BI287" s="30">
        <f>VLOOKUP(Inventory[[#This Row],[Decade]],Lookups!$M$24:$P$40,4,FALSE)</f>
        <v>1</v>
      </c>
      <c r="BJ287" s="30">
        <f>Inventory[[#This Row],[Nbhd Adj]]*0.95</f>
        <v>0.94971499999999998</v>
      </c>
      <c r="BK287" s="30">
        <f>AVERAGE(Inventory[[#This Row],[Nbhd Adj]],Inventory[[#This Row],[Quality Adj]],Inventory[[#This Row],[Condition Adj]],Inventory[[#This Row],[Living Area Adj]],Inventory[[#This Row],[Decade Adj]])*0.95</f>
        <v>0.94992399999999999</v>
      </c>
      <c r="BL287" s="30">
        <f>ROUND((SUM(Inventory[[#This Row],[Mdl Qlty]:[Mdl Garage Area]])+Inventory[[#This Row],[Mdl Res Intercept]])*Inventory[[#This Row],[Res Adj ]],-2)</f>
        <v>353400</v>
      </c>
      <c r="BM287" s="30">
        <f>ROUND(Inventory[[#This Row],[25Det]]*Inventory[[#This Row],[Det/Nbhd Adj]],-2)</f>
        <v>0</v>
      </c>
      <c r="BN287" s="30">
        <f>Inventory[[#This Row],[Adjusted Res]]+Inventory[[#This Row],[Adj Det ]]</f>
        <v>353400</v>
      </c>
      <c r="BO287" s="30">
        <f>ROUND((Inventory[[#This Row],[Mdl Land Intercept]]+Inventory[[#This Row],[Mdl LnAcres]])*Inventory[[#This Row],[Det/Nbhd Adj]],-2)</f>
        <v>61100</v>
      </c>
      <c r="BP287" s="30">
        <f>Inventory[[#This Row],[Adjusted Impr Total]]+Inventory[[#This Row],[Adjusted Land Total]]</f>
        <v>414500</v>
      </c>
      <c r="BQ287" s="30">
        <f>IFERROR((Inventory[[#This Row],[Adjusted Impr Total]]-Inventory[[#This Row],[24Bldg]])/Inventory[[#This Row],[24Bldg]],0)</f>
        <v>-6.7300079176563735E-2</v>
      </c>
      <c r="BR287" s="43">
        <f>(Inventory[[#This Row],[Adjusted Land Total]]-Inventory[[#This Row],[24Lnd]])/Inventory[[#This Row],[24Lnd]]</f>
        <v>4.9342105263157892E-3</v>
      </c>
      <c r="BS287" s="43">
        <f>(Inventory[[#This Row],[Adjusted Total]]-Inventory[[#This Row],[24Final]])/Inventory[[#This Row],[24Final]]</f>
        <v>-5.7311803502387994E-2</v>
      </c>
    </row>
    <row r="288" spans="1:71">
      <c r="A288" s="30">
        <v>2025</v>
      </c>
      <c r="B288" s="31" t="s">
        <v>801</v>
      </c>
      <c r="C288" s="31">
        <f>LN(Inventory[[#This Row],[Acres]])</f>
        <v>-1.8325814637483102</v>
      </c>
      <c r="D288" s="30">
        <v>0.16</v>
      </c>
      <c r="E288" s="38">
        <v>7138</v>
      </c>
      <c r="F288" s="31" t="s">
        <v>505</v>
      </c>
      <c r="G288" s="31" t="s">
        <v>155</v>
      </c>
      <c r="H288" s="31" t="s">
        <v>5</v>
      </c>
      <c r="I288" s="31" t="s">
        <v>506</v>
      </c>
      <c r="J288" s="31" t="s">
        <v>507</v>
      </c>
      <c r="K288" s="31" t="s">
        <v>330</v>
      </c>
      <c r="L288" s="31" t="s">
        <v>19</v>
      </c>
      <c r="M288" s="31" t="s">
        <v>22</v>
      </c>
      <c r="N288" s="31">
        <v>0</v>
      </c>
      <c r="O288" s="31">
        <f>2024-Inventory[[#This Row],[YrBlt]]</f>
        <v>9</v>
      </c>
      <c r="P288" s="31">
        <f>2024-Inventory[[#This Row],[EffYr]]</f>
        <v>9</v>
      </c>
      <c r="Q288" s="30">
        <v>2015</v>
      </c>
      <c r="R288" s="30">
        <v>2015</v>
      </c>
      <c r="S288" s="30">
        <v>1126</v>
      </c>
      <c r="T288" s="38">
        <v>1126</v>
      </c>
      <c r="U288" s="32"/>
      <c r="V288" s="32"/>
      <c r="W288" s="32"/>
      <c r="X288" s="32">
        <f>Inventory[[#This Row],[Bsmt Area]]-Inventory[[#This Row],[FnBsmt]]</f>
        <v>0</v>
      </c>
      <c r="Y288" s="32">
        <f>Inventory[[#This Row],[MainFn]]+Inventory[[#This Row],[UpprFn]]+Inventory[[#This Row],[AddFn]]+Inventory[[#This Row],[FnBsmt]]</f>
        <v>2252</v>
      </c>
      <c r="Z288" s="32">
        <v>2500</v>
      </c>
      <c r="AA288" s="31" t="s">
        <v>56</v>
      </c>
      <c r="AB288" s="32"/>
      <c r="AC288" s="30">
        <v>680</v>
      </c>
      <c r="AD288" s="32"/>
      <c r="AE288" s="32"/>
      <c r="AF288" s="32"/>
      <c r="AG288" s="32"/>
      <c r="AH288" s="32"/>
      <c r="AI288" s="30">
        <v>405060</v>
      </c>
      <c r="AJ288" s="30">
        <v>388858</v>
      </c>
      <c r="AK288" s="30">
        <v>0</v>
      </c>
      <c r="AL288" s="30">
        <v>0</v>
      </c>
      <c r="AM288" s="30">
        <v>60800</v>
      </c>
      <c r="AN288" s="30">
        <v>387400</v>
      </c>
      <c r="AO288" s="30">
        <v>448200</v>
      </c>
      <c r="AP288" s="30">
        <f>Lookups!$B$58*0.6</f>
        <v>132535.48800000001</v>
      </c>
      <c r="AQ288" s="30">
        <f>Lookups!$B$58*0.4</f>
        <v>88356.992000000013</v>
      </c>
      <c r="AR288" s="30">
        <f>Lookups!$B$59*Inventory[[#This Row],[LnAcres]]</f>
        <v>-24051.387388882686</v>
      </c>
      <c r="AS288" s="30">
        <f>VLOOKUP(Inventory[[#This Row],[Qlty]],Lookups!$A$66:$E$79,2,FALSE)</f>
        <v>37154.252388000001</v>
      </c>
      <c r="AT288" s="30">
        <f>VLOOKUP(Inventory[[#This Row],[Cnd]],Lookups!$A$80:$E$88,2,FALSE)</f>
        <v>50438.379078999998</v>
      </c>
      <c r="AU288" s="30">
        <f>Inventory[[#This Row],[EffAge]]*Lookups!$B$65</f>
        <v>-978.66989999999998</v>
      </c>
      <c r="AV288" s="30">
        <f>Inventory[[#This Row],[MainFn]]*Lookups!$B$90</f>
        <v>70274.087880000006</v>
      </c>
      <c r="AW288" s="30">
        <f>Inventory[[#This Row],[UpprFn]]*Lookups!$B$91</f>
        <v>67087.511257999999</v>
      </c>
      <c r="AX288" s="30">
        <f>Inventory[[#This Row],[Bsmt Area]]*Lookups!$B$95</f>
        <v>0</v>
      </c>
      <c r="AY288" s="30">
        <f>Inventory[[#This Row],[AttGar]]*Lookups!$B$93</f>
        <v>24004.701080000003</v>
      </c>
      <c r="AZ288" s="30">
        <f>ROUND(Inventory[[#This Row],[25Det]],-2)</f>
        <v>0</v>
      </c>
      <c r="BA288" s="30">
        <f>ROUND(SUM(Inventory[[#This Row],[Mdl Qlty]:[Mdl Garage Area]])+Inventory[[#This Row],[Mdl Res Intercept]],-2)</f>
        <v>380500</v>
      </c>
      <c r="BB288" s="30">
        <f>ROUND(Inventory[[#This Row],[Mdl Land Intercept]]+Inventory[[#This Row],[Mdl LnAcres]],-2)</f>
        <v>64300</v>
      </c>
      <c r="BC288" s="30">
        <f>Inventory[[#This Row],[Unadj Res Value]]+Inventory[[#This Row],[Unadj Det Value]]+Inventory[[#This Row],[Unadj Land Value]]</f>
        <v>444800</v>
      </c>
      <c r="BD288" s="30">
        <f>(Inventory[[#This Row],[Unadj Total Value]]-Inventory[[#This Row],[24Final]])/Inventory[[#This Row],[24Final]]</f>
        <v>-7.5858991521642128E-3</v>
      </c>
      <c r="BE288" s="30">
        <f>VLOOKUP(Inventory[[#This Row],[Nbhd]],Lookups!$M$3:$P$5,4,FALSE)</f>
        <v>0.99970000000000003</v>
      </c>
      <c r="BF288" s="30">
        <f>VLOOKUP(Inventory[[#This Row],[Qlty]],Lookups!$M$8:$P$22,4,FALSE)</f>
        <v>0.99819999999999998</v>
      </c>
      <c r="BG288" s="30">
        <f>VLOOKUP(Inventory[[#This Row],[Cnd]],Lookups!$R$8:$U$17,4,FALSE)</f>
        <v>1.0007999999999999</v>
      </c>
      <c r="BH288" s="30">
        <f>VLOOKUP(Inventory[[#This Row],[LivArea Range]],Lookups!$R$25:$U$43,4,FALSE)</f>
        <v>1.0008999999999999</v>
      </c>
      <c r="BI288" s="30">
        <f>VLOOKUP(Inventory[[#This Row],[Decade]],Lookups!$M$24:$P$40,4,FALSE)</f>
        <v>1</v>
      </c>
      <c r="BJ288" s="30">
        <f>Inventory[[#This Row],[Nbhd Adj]]*0.95</f>
        <v>0.94971499999999998</v>
      </c>
      <c r="BK288" s="30">
        <f>AVERAGE(Inventory[[#This Row],[Nbhd Adj]],Inventory[[#This Row],[Quality Adj]],Inventory[[#This Row],[Condition Adj]],Inventory[[#This Row],[Living Area Adj]],Inventory[[#This Row],[Decade Adj]])*0.95</f>
        <v>0.94992399999999999</v>
      </c>
      <c r="BL288" s="30">
        <f>ROUND((SUM(Inventory[[#This Row],[Mdl Qlty]:[Mdl Garage Area]])+Inventory[[#This Row],[Mdl Res Intercept]])*Inventory[[#This Row],[Res Adj ]],-2)</f>
        <v>361500</v>
      </c>
      <c r="BM288" s="30">
        <f>ROUND(Inventory[[#This Row],[25Det]]*Inventory[[#This Row],[Det/Nbhd Adj]],-2)</f>
        <v>0</v>
      </c>
      <c r="BN288" s="30">
        <f>Inventory[[#This Row],[Adjusted Res]]+Inventory[[#This Row],[Adj Det ]]</f>
        <v>361500</v>
      </c>
      <c r="BO288" s="30">
        <f>ROUND((Inventory[[#This Row],[Mdl Land Intercept]]+Inventory[[#This Row],[Mdl LnAcres]])*Inventory[[#This Row],[Det/Nbhd Adj]],-2)</f>
        <v>61100</v>
      </c>
      <c r="BP288" s="30">
        <f>Inventory[[#This Row],[Adjusted Impr Total]]+Inventory[[#This Row],[Adjusted Land Total]]</f>
        <v>422600</v>
      </c>
      <c r="BQ288" s="30">
        <f>IFERROR((Inventory[[#This Row],[Adjusted Impr Total]]-Inventory[[#This Row],[24Bldg]])/Inventory[[#This Row],[24Bldg]],0)</f>
        <v>-6.6855962829117196E-2</v>
      </c>
      <c r="BR288" s="43">
        <f>(Inventory[[#This Row],[Adjusted Land Total]]-Inventory[[#This Row],[24Lnd]])/Inventory[[#This Row],[24Lnd]]</f>
        <v>4.9342105263157892E-3</v>
      </c>
      <c r="BS288" s="43">
        <f>(Inventory[[#This Row],[Adjusted Total]]-Inventory[[#This Row],[24Final]])/Inventory[[#This Row],[24Final]]</f>
        <v>-5.7117358322177597E-2</v>
      </c>
    </row>
    <row r="289" spans="1:71">
      <c r="A289" s="30">
        <v>2025</v>
      </c>
      <c r="B289" s="31" t="s">
        <v>802</v>
      </c>
      <c r="C289" s="31">
        <f>LN(Inventory[[#This Row],[Acres]])</f>
        <v>-1.8325814637483102</v>
      </c>
      <c r="D289" s="30">
        <v>0.16</v>
      </c>
      <c r="E289" s="30">
        <v>7004</v>
      </c>
      <c r="F289" s="31" t="s">
        <v>505</v>
      </c>
      <c r="G289" s="31" t="s">
        <v>155</v>
      </c>
      <c r="H289" s="31" t="s">
        <v>5</v>
      </c>
      <c r="I289" s="31" t="s">
        <v>506</v>
      </c>
      <c r="J289" s="31" t="s">
        <v>507</v>
      </c>
      <c r="K289" s="31" t="s">
        <v>330</v>
      </c>
      <c r="L289" s="31" t="s">
        <v>19</v>
      </c>
      <c r="M289" s="31" t="s">
        <v>20</v>
      </c>
      <c r="N289" s="31">
        <v>0</v>
      </c>
      <c r="O289" s="31">
        <f>2024-Inventory[[#This Row],[YrBlt]]</f>
        <v>9</v>
      </c>
      <c r="P289" s="31">
        <f>2024-Inventory[[#This Row],[EffYr]]</f>
        <v>9</v>
      </c>
      <c r="Q289" s="30">
        <v>2015</v>
      </c>
      <c r="R289" s="30">
        <v>2015</v>
      </c>
      <c r="S289" s="30">
        <v>1388</v>
      </c>
      <c r="T289" s="32"/>
      <c r="U289" s="32"/>
      <c r="V289" s="32"/>
      <c r="W289" s="32"/>
      <c r="X289" s="32">
        <f>Inventory[[#This Row],[Bsmt Area]]-Inventory[[#This Row],[FnBsmt]]</f>
        <v>0</v>
      </c>
      <c r="Y289" s="32">
        <f>Inventory[[#This Row],[MainFn]]+Inventory[[#This Row],[UpprFn]]+Inventory[[#This Row],[AddFn]]+Inventory[[#This Row],[FnBsmt]]</f>
        <v>1388</v>
      </c>
      <c r="Z289" s="32">
        <v>1500</v>
      </c>
      <c r="AA289" s="31" t="s">
        <v>56</v>
      </c>
      <c r="AB289" s="30">
        <v>1</v>
      </c>
      <c r="AC289" s="38">
        <v>404</v>
      </c>
      <c r="AD289" s="32"/>
      <c r="AE289" s="32"/>
      <c r="AF289" s="32"/>
      <c r="AG289" s="32"/>
      <c r="AH289" s="32"/>
      <c r="AI289" s="30">
        <v>281180</v>
      </c>
      <c r="AJ289" s="30">
        <v>267121</v>
      </c>
      <c r="AK289" s="30">
        <v>0</v>
      </c>
      <c r="AL289" s="30">
        <v>0</v>
      </c>
      <c r="AM289" s="30">
        <v>60800</v>
      </c>
      <c r="AN289" s="30">
        <v>300300</v>
      </c>
      <c r="AO289" s="30">
        <v>361100</v>
      </c>
      <c r="AP289" s="30">
        <f>Lookups!$B$58*0.6</f>
        <v>132535.48800000001</v>
      </c>
      <c r="AQ289" s="30">
        <f>Lookups!$B$58*0.4</f>
        <v>88356.992000000013</v>
      </c>
      <c r="AR289" s="30">
        <f>Lookups!$B$59*Inventory[[#This Row],[LnAcres]]</f>
        <v>-24051.387388882686</v>
      </c>
      <c r="AS289" s="30">
        <f>VLOOKUP(Inventory[[#This Row],[Qlty]],Lookups!$A$66:$E$79,2,FALSE)</f>
        <v>37154.252388000001</v>
      </c>
      <c r="AT289" s="30">
        <f>VLOOKUP(Inventory[[#This Row],[Cnd]],Lookups!$A$80:$E$88,2,FALSE)</f>
        <v>30300.329274</v>
      </c>
      <c r="AU289" s="30">
        <f>Inventory[[#This Row],[EffAge]]*Lookups!$B$65</f>
        <v>-978.66989999999998</v>
      </c>
      <c r="AV289" s="30">
        <f>Inventory[[#This Row],[MainFn]]*Lookups!$B$90</f>
        <v>86625.607440000007</v>
      </c>
      <c r="AW289" s="30">
        <f>Inventory[[#This Row],[UpprFn]]*Lookups!$B$91</f>
        <v>0</v>
      </c>
      <c r="AX289" s="30">
        <f>Inventory[[#This Row],[Bsmt Area]]*Lookups!$B$95</f>
        <v>0</v>
      </c>
      <c r="AY289" s="30">
        <f>Inventory[[#This Row],[AttGar]]*Lookups!$B$93</f>
        <v>14261.616524000001</v>
      </c>
      <c r="AZ289" s="30">
        <f>ROUND(Inventory[[#This Row],[25Det]],-2)</f>
        <v>0</v>
      </c>
      <c r="BA289" s="30">
        <f>ROUND(SUM(Inventory[[#This Row],[Mdl Qlty]:[Mdl Garage Area]])+Inventory[[#This Row],[Mdl Res Intercept]],-2)</f>
        <v>299900</v>
      </c>
      <c r="BB289" s="30">
        <f>ROUND(Inventory[[#This Row],[Mdl Land Intercept]]+Inventory[[#This Row],[Mdl LnAcres]],-2)</f>
        <v>64300</v>
      </c>
      <c r="BC289" s="30">
        <f>Inventory[[#This Row],[Unadj Res Value]]+Inventory[[#This Row],[Unadj Det Value]]+Inventory[[#This Row],[Unadj Land Value]]</f>
        <v>364200</v>
      </c>
      <c r="BD289" s="30">
        <f>(Inventory[[#This Row],[Unadj Total Value]]-Inventory[[#This Row],[24Final]])/Inventory[[#This Row],[24Final]]</f>
        <v>8.5848795347549158E-3</v>
      </c>
      <c r="BE289" s="30">
        <f>VLOOKUP(Inventory[[#This Row],[Nbhd]],Lookups!$M$3:$P$5,4,FALSE)</f>
        <v>0.99970000000000003</v>
      </c>
      <c r="BF289" s="30">
        <f>VLOOKUP(Inventory[[#This Row],[Qlty]],Lookups!$M$8:$P$22,4,FALSE)</f>
        <v>0.99819999999999998</v>
      </c>
      <c r="BG289" s="30">
        <f>VLOOKUP(Inventory[[#This Row],[Cnd]],Lookups!$R$8:$U$17,4,FALSE)</f>
        <v>0.997</v>
      </c>
      <c r="BH289" s="30">
        <f>VLOOKUP(Inventory[[#This Row],[LivArea Range]],Lookups!$R$25:$U$43,4,FALSE)</f>
        <v>0.99519999999999997</v>
      </c>
      <c r="BI289" s="30">
        <f>VLOOKUP(Inventory[[#This Row],[Decade]],Lookups!$M$24:$P$40,4,FALSE)</f>
        <v>1</v>
      </c>
      <c r="BJ289" s="30">
        <f>Inventory[[#This Row],[Nbhd Adj]]*0.95</f>
        <v>0.94971499999999998</v>
      </c>
      <c r="BK289" s="30">
        <f>AVERAGE(Inventory[[#This Row],[Nbhd Adj]],Inventory[[#This Row],[Quality Adj]],Inventory[[#This Row],[Condition Adj]],Inventory[[#This Row],[Living Area Adj]],Inventory[[#This Row],[Decade Adj]])*0.95</f>
        <v>0.94811899999999993</v>
      </c>
      <c r="BL289" s="30">
        <f>ROUND((SUM(Inventory[[#This Row],[Mdl Qlty]:[Mdl Garage Area]])+Inventory[[#This Row],[Mdl Res Intercept]])*Inventory[[#This Row],[Res Adj ]],-2)</f>
        <v>284300</v>
      </c>
      <c r="BM289" s="30">
        <f>ROUND(Inventory[[#This Row],[25Det]]*Inventory[[#This Row],[Det/Nbhd Adj]],-2)</f>
        <v>0</v>
      </c>
      <c r="BN289" s="30">
        <f>Inventory[[#This Row],[Adjusted Res]]+Inventory[[#This Row],[Adj Det ]]</f>
        <v>284300</v>
      </c>
      <c r="BO289" s="30">
        <f>ROUND((Inventory[[#This Row],[Mdl Land Intercept]]+Inventory[[#This Row],[Mdl LnAcres]])*Inventory[[#This Row],[Det/Nbhd Adj]],-2)</f>
        <v>61100</v>
      </c>
      <c r="BP289" s="30">
        <f>Inventory[[#This Row],[Adjusted Impr Total]]+Inventory[[#This Row],[Adjusted Land Total]]</f>
        <v>345400</v>
      </c>
      <c r="BQ289" s="30">
        <f>IFERROR((Inventory[[#This Row],[Adjusted Impr Total]]-Inventory[[#This Row],[24Bldg]])/Inventory[[#This Row],[24Bldg]],0)</f>
        <v>-5.328005328005328E-2</v>
      </c>
      <c r="BR289" s="43">
        <f>(Inventory[[#This Row],[Adjusted Land Total]]-Inventory[[#This Row],[24Lnd]])/Inventory[[#This Row],[24Lnd]]</f>
        <v>4.9342105263157892E-3</v>
      </c>
      <c r="BS289" s="43">
        <f>(Inventory[[#This Row],[Adjusted Total]]-Inventory[[#This Row],[24Final]])/Inventory[[#This Row],[24Final]]</f>
        <v>-4.3478260869565216E-2</v>
      </c>
    </row>
    <row r="290" spans="1:71">
      <c r="A290" s="30">
        <v>2025</v>
      </c>
      <c r="B290" s="31" t="s">
        <v>803</v>
      </c>
      <c r="C290" s="31">
        <f>LN(Inventory[[#This Row],[Acres]])</f>
        <v>-1.8325814637483102</v>
      </c>
      <c r="D290" s="30">
        <v>0.16</v>
      </c>
      <c r="E290" s="30">
        <v>7124</v>
      </c>
      <c r="F290" s="31" t="s">
        <v>505</v>
      </c>
      <c r="G290" s="31" t="s">
        <v>155</v>
      </c>
      <c r="H290" s="31" t="s">
        <v>5</v>
      </c>
      <c r="I290" s="31" t="s">
        <v>506</v>
      </c>
      <c r="J290" s="31" t="s">
        <v>507</v>
      </c>
      <c r="K290" s="31" t="s">
        <v>330</v>
      </c>
      <c r="L290" s="31" t="s">
        <v>19</v>
      </c>
      <c r="M290" s="31" t="s">
        <v>22</v>
      </c>
      <c r="N290" s="31">
        <v>0</v>
      </c>
      <c r="O290" s="31">
        <f>2024-Inventory[[#This Row],[YrBlt]]</f>
        <v>9</v>
      </c>
      <c r="P290" s="31">
        <f>2024-Inventory[[#This Row],[EffYr]]</f>
        <v>9</v>
      </c>
      <c r="Q290" s="30">
        <v>2015</v>
      </c>
      <c r="R290" s="30">
        <v>2015</v>
      </c>
      <c r="S290" s="30">
        <v>1126</v>
      </c>
      <c r="T290" s="38">
        <v>1126</v>
      </c>
      <c r="U290" s="32"/>
      <c r="V290" s="32"/>
      <c r="W290" s="32"/>
      <c r="X290" s="32">
        <f>Inventory[[#This Row],[Bsmt Area]]-Inventory[[#This Row],[FnBsmt]]</f>
        <v>0</v>
      </c>
      <c r="Y290" s="32">
        <f>Inventory[[#This Row],[MainFn]]+Inventory[[#This Row],[UpprFn]]+Inventory[[#This Row],[AddFn]]+Inventory[[#This Row],[FnBsmt]]</f>
        <v>2252</v>
      </c>
      <c r="Z290" s="32">
        <v>2500</v>
      </c>
      <c r="AA290" s="31" t="s">
        <v>56</v>
      </c>
      <c r="AB290" s="32"/>
      <c r="AC290" s="30">
        <v>680</v>
      </c>
      <c r="AD290" s="32"/>
      <c r="AE290" s="32"/>
      <c r="AF290" s="32"/>
      <c r="AG290" s="32"/>
      <c r="AH290" s="32"/>
      <c r="AI290" s="30">
        <v>401170</v>
      </c>
      <c r="AJ290" s="30">
        <v>385123</v>
      </c>
      <c r="AK290" s="30">
        <v>0</v>
      </c>
      <c r="AL290" s="30">
        <v>0</v>
      </c>
      <c r="AM290" s="30">
        <v>60800</v>
      </c>
      <c r="AN290" s="30">
        <v>378500</v>
      </c>
      <c r="AO290" s="30">
        <v>439300</v>
      </c>
      <c r="AP290" s="30">
        <f>Lookups!$B$58*0.6</f>
        <v>132535.48800000001</v>
      </c>
      <c r="AQ290" s="30">
        <f>Lookups!$B$58*0.4</f>
        <v>88356.992000000013</v>
      </c>
      <c r="AR290" s="30">
        <f>Lookups!$B$59*Inventory[[#This Row],[LnAcres]]</f>
        <v>-24051.387388882686</v>
      </c>
      <c r="AS290" s="30">
        <f>VLOOKUP(Inventory[[#This Row],[Qlty]],Lookups!$A$66:$E$79,2,FALSE)</f>
        <v>37154.252388000001</v>
      </c>
      <c r="AT290" s="30">
        <f>VLOOKUP(Inventory[[#This Row],[Cnd]],Lookups!$A$80:$E$88,2,FALSE)</f>
        <v>50438.379078999998</v>
      </c>
      <c r="AU290" s="30">
        <f>Inventory[[#This Row],[EffAge]]*Lookups!$B$65</f>
        <v>-978.66989999999998</v>
      </c>
      <c r="AV290" s="30">
        <f>Inventory[[#This Row],[MainFn]]*Lookups!$B$90</f>
        <v>70274.087880000006</v>
      </c>
      <c r="AW290" s="30">
        <f>Inventory[[#This Row],[UpprFn]]*Lookups!$B$91</f>
        <v>67087.511257999999</v>
      </c>
      <c r="AX290" s="30">
        <f>Inventory[[#This Row],[Bsmt Area]]*Lookups!$B$95</f>
        <v>0</v>
      </c>
      <c r="AY290" s="30">
        <f>Inventory[[#This Row],[AttGar]]*Lookups!$B$93</f>
        <v>24004.701080000003</v>
      </c>
      <c r="AZ290" s="30">
        <f>ROUND(Inventory[[#This Row],[25Det]],-2)</f>
        <v>0</v>
      </c>
      <c r="BA290" s="30">
        <f>ROUND(SUM(Inventory[[#This Row],[Mdl Qlty]:[Mdl Garage Area]])+Inventory[[#This Row],[Mdl Res Intercept]],-2)</f>
        <v>380500</v>
      </c>
      <c r="BB290" s="30">
        <f>ROUND(Inventory[[#This Row],[Mdl Land Intercept]]+Inventory[[#This Row],[Mdl LnAcres]],-2)</f>
        <v>64300</v>
      </c>
      <c r="BC290" s="30">
        <f>Inventory[[#This Row],[Unadj Res Value]]+Inventory[[#This Row],[Unadj Det Value]]+Inventory[[#This Row],[Unadj Land Value]]</f>
        <v>444800</v>
      </c>
      <c r="BD290" s="30">
        <f>(Inventory[[#This Row],[Unadj Total Value]]-Inventory[[#This Row],[24Final]])/Inventory[[#This Row],[24Final]]</f>
        <v>1.2519918051445481E-2</v>
      </c>
      <c r="BE290" s="30">
        <f>VLOOKUP(Inventory[[#This Row],[Nbhd]],Lookups!$M$3:$P$5,4,FALSE)</f>
        <v>0.99970000000000003</v>
      </c>
      <c r="BF290" s="30">
        <f>VLOOKUP(Inventory[[#This Row],[Qlty]],Lookups!$M$8:$P$22,4,FALSE)</f>
        <v>0.99819999999999998</v>
      </c>
      <c r="BG290" s="30">
        <f>VLOOKUP(Inventory[[#This Row],[Cnd]],Lookups!$R$8:$U$17,4,FALSE)</f>
        <v>1.0007999999999999</v>
      </c>
      <c r="BH290" s="30">
        <f>VLOOKUP(Inventory[[#This Row],[LivArea Range]],Lookups!$R$25:$U$43,4,FALSE)</f>
        <v>1.0008999999999999</v>
      </c>
      <c r="BI290" s="30">
        <f>VLOOKUP(Inventory[[#This Row],[Decade]],Lookups!$M$24:$P$40,4,FALSE)</f>
        <v>1</v>
      </c>
      <c r="BJ290" s="30">
        <f>Inventory[[#This Row],[Nbhd Adj]]*0.95</f>
        <v>0.94971499999999998</v>
      </c>
      <c r="BK290" s="30">
        <f>AVERAGE(Inventory[[#This Row],[Nbhd Adj]],Inventory[[#This Row],[Quality Adj]],Inventory[[#This Row],[Condition Adj]],Inventory[[#This Row],[Living Area Adj]],Inventory[[#This Row],[Decade Adj]])*0.95</f>
        <v>0.94992399999999999</v>
      </c>
      <c r="BL290" s="30">
        <f>ROUND((SUM(Inventory[[#This Row],[Mdl Qlty]:[Mdl Garage Area]])+Inventory[[#This Row],[Mdl Res Intercept]])*Inventory[[#This Row],[Res Adj ]],-2)</f>
        <v>361500</v>
      </c>
      <c r="BM290" s="30">
        <f>ROUND(Inventory[[#This Row],[25Det]]*Inventory[[#This Row],[Det/Nbhd Adj]],-2)</f>
        <v>0</v>
      </c>
      <c r="BN290" s="30">
        <f>Inventory[[#This Row],[Adjusted Res]]+Inventory[[#This Row],[Adj Det ]]</f>
        <v>361500</v>
      </c>
      <c r="BO290" s="30">
        <f>ROUND((Inventory[[#This Row],[Mdl Land Intercept]]+Inventory[[#This Row],[Mdl LnAcres]])*Inventory[[#This Row],[Det/Nbhd Adj]],-2)</f>
        <v>61100</v>
      </c>
      <c r="BP290" s="30">
        <f>Inventory[[#This Row],[Adjusted Impr Total]]+Inventory[[#This Row],[Adjusted Land Total]]</f>
        <v>422600</v>
      </c>
      <c r="BQ290" s="30">
        <f>IFERROR((Inventory[[#This Row],[Adjusted Impr Total]]-Inventory[[#This Row],[24Bldg]])/Inventory[[#This Row],[24Bldg]],0)</f>
        <v>-4.491413474240423E-2</v>
      </c>
      <c r="BR290" s="43">
        <f>(Inventory[[#This Row],[Adjusted Land Total]]-Inventory[[#This Row],[24Lnd]])/Inventory[[#This Row],[24Lnd]]</f>
        <v>4.9342105263157892E-3</v>
      </c>
      <c r="BS290" s="43">
        <f>(Inventory[[#This Row],[Adjusted Total]]-Inventory[[#This Row],[24Final]])/Inventory[[#This Row],[24Final]]</f>
        <v>-3.8015023901661733E-2</v>
      </c>
    </row>
    <row r="291" spans="1:71">
      <c r="A291" s="30">
        <v>2025</v>
      </c>
      <c r="B291" s="31" t="s">
        <v>804</v>
      </c>
      <c r="C291" s="31">
        <f>LN(Inventory[[#This Row],[Acres]])</f>
        <v>-1.8325814637483102</v>
      </c>
      <c r="D291" s="30">
        <v>0.16</v>
      </c>
      <c r="E291" s="30">
        <v>7010</v>
      </c>
      <c r="F291" s="31" t="s">
        <v>505</v>
      </c>
      <c r="G291" s="31" t="s">
        <v>155</v>
      </c>
      <c r="H291" s="31" t="s">
        <v>5</v>
      </c>
      <c r="I291" s="31" t="s">
        <v>506</v>
      </c>
      <c r="J291" s="31" t="s">
        <v>507</v>
      </c>
      <c r="K291" s="31" t="s">
        <v>330</v>
      </c>
      <c r="L291" s="31" t="s">
        <v>19</v>
      </c>
      <c r="M291" s="31" t="s">
        <v>22</v>
      </c>
      <c r="N291" s="31">
        <v>0</v>
      </c>
      <c r="O291" s="31">
        <f>2024-Inventory[[#This Row],[YrBlt]]</f>
        <v>9</v>
      </c>
      <c r="P291" s="31">
        <f>2024-Inventory[[#This Row],[EffYr]]</f>
        <v>9</v>
      </c>
      <c r="Q291" s="30">
        <v>2015</v>
      </c>
      <c r="R291" s="30">
        <v>2015</v>
      </c>
      <c r="S291" s="30">
        <v>1388</v>
      </c>
      <c r="T291" s="32"/>
      <c r="U291" s="32"/>
      <c r="V291" s="32"/>
      <c r="W291" s="32"/>
      <c r="X291" s="32">
        <f>Inventory[[#This Row],[Bsmt Area]]-Inventory[[#This Row],[FnBsmt]]</f>
        <v>0</v>
      </c>
      <c r="Y291" s="32">
        <f>Inventory[[#This Row],[MainFn]]+Inventory[[#This Row],[UpprFn]]+Inventory[[#This Row],[AddFn]]+Inventory[[#This Row],[FnBsmt]]</f>
        <v>1388</v>
      </c>
      <c r="Z291" s="32">
        <v>1500</v>
      </c>
      <c r="AA291" s="31" t="s">
        <v>56</v>
      </c>
      <c r="AB291" s="32"/>
      <c r="AC291" s="38">
        <v>404</v>
      </c>
      <c r="AD291" s="32"/>
      <c r="AE291" s="32"/>
      <c r="AF291" s="32"/>
      <c r="AG291" s="32"/>
      <c r="AH291" s="32"/>
      <c r="AI291" s="30">
        <v>277149</v>
      </c>
      <c r="AJ291" s="30">
        <v>266063</v>
      </c>
      <c r="AK291" s="30">
        <v>0</v>
      </c>
      <c r="AL291" s="30">
        <v>0</v>
      </c>
      <c r="AM291" s="30">
        <v>60800</v>
      </c>
      <c r="AN291" s="30">
        <v>315500</v>
      </c>
      <c r="AO291" s="30">
        <v>376300</v>
      </c>
      <c r="AP291" s="30">
        <f>Lookups!$B$58*0.6</f>
        <v>132535.48800000001</v>
      </c>
      <c r="AQ291" s="30">
        <f>Lookups!$B$58*0.4</f>
        <v>88356.992000000013</v>
      </c>
      <c r="AR291" s="30">
        <f>Lookups!$B$59*Inventory[[#This Row],[LnAcres]]</f>
        <v>-24051.387388882686</v>
      </c>
      <c r="AS291" s="30">
        <f>VLOOKUP(Inventory[[#This Row],[Qlty]],Lookups!$A$66:$E$79,2,FALSE)</f>
        <v>37154.252388000001</v>
      </c>
      <c r="AT291" s="30">
        <f>VLOOKUP(Inventory[[#This Row],[Cnd]],Lookups!$A$80:$E$88,2,FALSE)</f>
        <v>50438.379078999998</v>
      </c>
      <c r="AU291" s="30">
        <f>Inventory[[#This Row],[EffAge]]*Lookups!$B$65</f>
        <v>-978.66989999999998</v>
      </c>
      <c r="AV291" s="30">
        <f>Inventory[[#This Row],[MainFn]]*Lookups!$B$90</f>
        <v>86625.607440000007</v>
      </c>
      <c r="AW291" s="30">
        <f>Inventory[[#This Row],[UpprFn]]*Lookups!$B$91</f>
        <v>0</v>
      </c>
      <c r="AX291" s="30">
        <f>Inventory[[#This Row],[Bsmt Area]]*Lookups!$B$95</f>
        <v>0</v>
      </c>
      <c r="AY291" s="30">
        <f>Inventory[[#This Row],[AttGar]]*Lookups!$B$93</f>
        <v>14261.616524000001</v>
      </c>
      <c r="AZ291" s="30">
        <f>ROUND(Inventory[[#This Row],[25Det]],-2)</f>
        <v>0</v>
      </c>
      <c r="BA291" s="30">
        <f>ROUND(SUM(Inventory[[#This Row],[Mdl Qlty]:[Mdl Garage Area]])+Inventory[[#This Row],[Mdl Res Intercept]],-2)</f>
        <v>320000</v>
      </c>
      <c r="BB291" s="30">
        <f>ROUND(Inventory[[#This Row],[Mdl Land Intercept]]+Inventory[[#This Row],[Mdl LnAcres]],-2)</f>
        <v>64300</v>
      </c>
      <c r="BC291" s="30">
        <f>Inventory[[#This Row],[Unadj Res Value]]+Inventory[[#This Row],[Unadj Det Value]]+Inventory[[#This Row],[Unadj Land Value]]</f>
        <v>384300</v>
      </c>
      <c r="BD291" s="30">
        <f>(Inventory[[#This Row],[Unadj Total Value]]-Inventory[[#This Row],[24Final]])/Inventory[[#This Row],[24Final]]</f>
        <v>2.1259633271326069E-2</v>
      </c>
      <c r="BE291" s="30">
        <f>VLOOKUP(Inventory[[#This Row],[Nbhd]],Lookups!$M$3:$P$5,4,FALSE)</f>
        <v>0.99970000000000003</v>
      </c>
      <c r="BF291" s="30">
        <f>VLOOKUP(Inventory[[#This Row],[Qlty]],Lookups!$M$8:$P$22,4,FALSE)</f>
        <v>0.99819999999999998</v>
      </c>
      <c r="BG291" s="30">
        <f>VLOOKUP(Inventory[[#This Row],[Cnd]],Lookups!$R$8:$U$17,4,FALSE)</f>
        <v>1.0007999999999999</v>
      </c>
      <c r="BH291" s="30">
        <f>VLOOKUP(Inventory[[#This Row],[LivArea Range]],Lookups!$R$25:$U$43,4,FALSE)</f>
        <v>0.99519999999999997</v>
      </c>
      <c r="BI291" s="30">
        <f>VLOOKUP(Inventory[[#This Row],[Decade]],Lookups!$M$24:$P$40,4,FALSE)</f>
        <v>1</v>
      </c>
      <c r="BJ291" s="30">
        <f>Inventory[[#This Row],[Nbhd Adj]]*0.95</f>
        <v>0.94971499999999998</v>
      </c>
      <c r="BK291" s="30">
        <f>AVERAGE(Inventory[[#This Row],[Nbhd Adj]],Inventory[[#This Row],[Quality Adj]],Inventory[[#This Row],[Condition Adj]],Inventory[[#This Row],[Living Area Adj]],Inventory[[#This Row],[Decade Adj]])*0.95</f>
        <v>0.94884099999999993</v>
      </c>
      <c r="BL291" s="30">
        <f>ROUND((SUM(Inventory[[#This Row],[Mdl Qlty]:[Mdl Garage Area]])+Inventory[[#This Row],[Mdl Res Intercept]])*Inventory[[#This Row],[Res Adj ]],-2)</f>
        <v>303700</v>
      </c>
      <c r="BM291" s="30">
        <f>ROUND(Inventory[[#This Row],[25Det]]*Inventory[[#This Row],[Det/Nbhd Adj]],-2)</f>
        <v>0</v>
      </c>
      <c r="BN291" s="30">
        <f>Inventory[[#This Row],[Adjusted Res]]+Inventory[[#This Row],[Adj Det ]]</f>
        <v>303700</v>
      </c>
      <c r="BO291" s="30">
        <f>ROUND((Inventory[[#This Row],[Mdl Land Intercept]]+Inventory[[#This Row],[Mdl LnAcres]])*Inventory[[#This Row],[Det/Nbhd Adj]],-2)</f>
        <v>61100</v>
      </c>
      <c r="BP291" s="30">
        <f>Inventory[[#This Row],[Adjusted Impr Total]]+Inventory[[#This Row],[Adjusted Land Total]]</f>
        <v>364800</v>
      </c>
      <c r="BQ291" s="30">
        <f>IFERROR((Inventory[[#This Row],[Adjusted Impr Total]]-Inventory[[#This Row],[24Bldg]])/Inventory[[#This Row],[24Bldg]],0)</f>
        <v>-3.7400950871632331E-2</v>
      </c>
      <c r="BR291" s="43">
        <f>(Inventory[[#This Row],[Adjusted Land Total]]-Inventory[[#This Row],[24Lnd]])/Inventory[[#This Row],[24Lnd]]</f>
        <v>4.9342105263157892E-3</v>
      </c>
      <c r="BS291" s="43">
        <f>(Inventory[[#This Row],[Adjusted Total]]-Inventory[[#This Row],[24Final]])/Inventory[[#This Row],[24Final]]</f>
        <v>-3.0560722827531226E-2</v>
      </c>
    </row>
    <row r="292" spans="1:71">
      <c r="A292" s="30">
        <v>2025</v>
      </c>
      <c r="B292" s="31" t="s">
        <v>805</v>
      </c>
      <c r="C292" s="31">
        <f>LN(Inventory[[#This Row],[Acres]])</f>
        <v>-1.8325814637483102</v>
      </c>
      <c r="D292" s="30">
        <v>0.16</v>
      </c>
      <c r="E292" s="30">
        <v>7010</v>
      </c>
      <c r="F292" s="31" t="s">
        <v>505</v>
      </c>
      <c r="G292" s="31" t="s">
        <v>155</v>
      </c>
      <c r="H292" s="31" t="s">
        <v>5</v>
      </c>
      <c r="I292" s="31" t="s">
        <v>506</v>
      </c>
      <c r="J292" s="31" t="s">
        <v>507</v>
      </c>
      <c r="K292" s="31" t="s">
        <v>330</v>
      </c>
      <c r="L292" s="31" t="s">
        <v>19</v>
      </c>
      <c r="M292" s="31" t="s">
        <v>22</v>
      </c>
      <c r="N292" s="31">
        <v>0</v>
      </c>
      <c r="O292" s="31">
        <f>2024-Inventory[[#This Row],[YrBlt]]</f>
        <v>9</v>
      </c>
      <c r="P292" s="31">
        <f>2024-Inventory[[#This Row],[EffYr]]</f>
        <v>9</v>
      </c>
      <c r="Q292" s="30">
        <v>2015</v>
      </c>
      <c r="R292" s="30">
        <v>2015</v>
      </c>
      <c r="S292" s="30">
        <v>1388</v>
      </c>
      <c r="T292" s="32"/>
      <c r="U292" s="32"/>
      <c r="V292" s="32"/>
      <c r="W292" s="32"/>
      <c r="X292" s="32">
        <f>Inventory[[#This Row],[Bsmt Area]]-Inventory[[#This Row],[FnBsmt]]</f>
        <v>0</v>
      </c>
      <c r="Y292" s="32">
        <f>Inventory[[#This Row],[MainFn]]+Inventory[[#This Row],[UpprFn]]+Inventory[[#This Row],[AddFn]]+Inventory[[#This Row],[FnBsmt]]</f>
        <v>1388</v>
      </c>
      <c r="Z292" s="32">
        <v>1500</v>
      </c>
      <c r="AA292" s="31" t="s">
        <v>56</v>
      </c>
      <c r="AB292" s="32"/>
      <c r="AC292" s="38">
        <v>404</v>
      </c>
      <c r="AD292" s="32"/>
      <c r="AE292" s="32"/>
      <c r="AF292" s="32"/>
      <c r="AG292" s="32"/>
      <c r="AH292" s="32"/>
      <c r="AI292" s="30">
        <v>277149</v>
      </c>
      <c r="AJ292" s="30">
        <v>266063</v>
      </c>
      <c r="AK292" s="30">
        <v>0</v>
      </c>
      <c r="AL292" s="30">
        <v>0</v>
      </c>
      <c r="AM292" s="30">
        <v>60800</v>
      </c>
      <c r="AN292" s="30">
        <v>315500</v>
      </c>
      <c r="AO292" s="30">
        <v>376300</v>
      </c>
      <c r="AP292" s="30">
        <f>Lookups!$B$58*0.6</f>
        <v>132535.48800000001</v>
      </c>
      <c r="AQ292" s="30">
        <f>Lookups!$B$58*0.4</f>
        <v>88356.992000000013</v>
      </c>
      <c r="AR292" s="30">
        <f>Lookups!$B$59*Inventory[[#This Row],[LnAcres]]</f>
        <v>-24051.387388882686</v>
      </c>
      <c r="AS292" s="30">
        <f>VLOOKUP(Inventory[[#This Row],[Qlty]],Lookups!$A$66:$E$79,2,FALSE)</f>
        <v>37154.252388000001</v>
      </c>
      <c r="AT292" s="30">
        <f>VLOOKUP(Inventory[[#This Row],[Cnd]],Lookups!$A$80:$E$88,2,FALSE)</f>
        <v>50438.379078999998</v>
      </c>
      <c r="AU292" s="30">
        <f>Inventory[[#This Row],[EffAge]]*Lookups!$B$65</f>
        <v>-978.66989999999998</v>
      </c>
      <c r="AV292" s="30">
        <f>Inventory[[#This Row],[MainFn]]*Lookups!$B$90</f>
        <v>86625.607440000007</v>
      </c>
      <c r="AW292" s="30">
        <f>Inventory[[#This Row],[UpprFn]]*Lookups!$B$91</f>
        <v>0</v>
      </c>
      <c r="AX292" s="30">
        <f>Inventory[[#This Row],[Bsmt Area]]*Lookups!$B$95</f>
        <v>0</v>
      </c>
      <c r="AY292" s="30">
        <f>Inventory[[#This Row],[AttGar]]*Lookups!$B$93</f>
        <v>14261.616524000001</v>
      </c>
      <c r="AZ292" s="30">
        <f>ROUND(Inventory[[#This Row],[25Det]],-2)</f>
        <v>0</v>
      </c>
      <c r="BA292" s="30">
        <f>ROUND(SUM(Inventory[[#This Row],[Mdl Qlty]:[Mdl Garage Area]])+Inventory[[#This Row],[Mdl Res Intercept]],-2)</f>
        <v>320000</v>
      </c>
      <c r="BB292" s="30">
        <f>ROUND(Inventory[[#This Row],[Mdl Land Intercept]]+Inventory[[#This Row],[Mdl LnAcres]],-2)</f>
        <v>64300</v>
      </c>
      <c r="BC292" s="30">
        <f>Inventory[[#This Row],[Unadj Res Value]]+Inventory[[#This Row],[Unadj Det Value]]+Inventory[[#This Row],[Unadj Land Value]]</f>
        <v>384300</v>
      </c>
      <c r="BD292" s="30">
        <f>(Inventory[[#This Row],[Unadj Total Value]]-Inventory[[#This Row],[24Final]])/Inventory[[#This Row],[24Final]]</f>
        <v>2.1259633271326069E-2</v>
      </c>
      <c r="BE292" s="30">
        <f>VLOOKUP(Inventory[[#This Row],[Nbhd]],Lookups!$M$3:$P$5,4,FALSE)</f>
        <v>0.99970000000000003</v>
      </c>
      <c r="BF292" s="30">
        <f>VLOOKUP(Inventory[[#This Row],[Qlty]],Lookups!$M$8:$P$22,4,FALSE)</f>
        <v>0.99819999999999998</v>
      </c>
      <c r="BG292" s="30">
        <f>VLOOKUP(Inventory[[#This Row],[Cnd]],Lookups!$R$8:$U$17,4,FALSE)</f>
        <v>1.0007999999999999</v>
      </c>
      <c r="BH292" s="30">
        <f>VLOOKUP(Inventory[[#This Row],[LivArea Range]],Lookups!$R$25:$U$43,4,FALSE)</f>
        <v>0.99519999999999997</v>
      </c>
      <c r="BI292" s="30">
        <f>VLOOKUP(Inventory[[#This Row],[Decade]],Lookups!$M$24:$P$40,4,FALSE)</f>
        <v>1</v>
      </c>
      <c r="BJ292" s="30">
        <f>Inventory[[#This Row],[Nbhd Adj]]*0.95</f>
        <v>0.94971499999999998</v>
      </c>
      <c r="BK292" s="30">
        <f>AVERAGE(Inventory[[#This Row],[Nbhd Adj]],Inventory[[#This Row],[Quality Adj]],Inventory[[#This Row],[Condition Adj]],Inventory[[#This Row],[Living Area Adj]],Inventory[[#This Row],[Decade Adj]])*0.95</f>
        <v>0.94884099999999993</v>
      </c>
      <c r="BL292" s="30">
        <f>ROUND((SUM(Inventory[[#This Row],[Mdl Qlty]:[Mdl Garage Area]])+Inventory[[#This Row],[Mdl Res Intercept]])*Inventory[[#This Row],[Res Adj ]],-2)</f>
        <v>303700</v>
      </c>
      <c r="BM292" s="30">
        <f>ROUND(Inventory[[#This Row],[25Det]]*Inventory[[#This Row],[Det/Nbhd Adj]],-2)</f>
        <v>0</v>
      </c>
      <c r="BN292" s="30">
        <f>Inventory[[#This Row],[Adjusted Res]]+Inventory[[#This Row],[Adj Det ]]</f>
        <v>303700</v>
      </c>
      <c r="BO292" s="30">
        <f>ROUND((Inventory[[#This Row],[Mdl Land Intercept]]+Inventory[[#This Row],[Mdl LnAcres]])*Inventory[[#This Row],[Det/Nbhd Adj]],-2)</f>
        <v>61100</v>
      </c>
      <c r="BP292" s="30">
        <f>Inventory[[#This Row],[Adjusted Impr Total]]+Inventory[[#This Row],[Adjusted Land Total]]</f>
        <v>364800</v>
      </c>
      <c r="BQ292" s="30">
        <f>IFERROR((Inventory[[#This Row],[Adjusted Impr Total]]-Inventory[[#This Row],[24Bldg]])/Inventory[[#This Row],[24Bldg]],0)</f>
        <v>-3.7400950871632331E-2</v>
      </c>
      <c r="BR292" s="43">
        <f>(Inventory[[#This Row],[Adjusted Land Total]]-Inventory[[#This Row],[24Lnd]])/Inventory[[#This Row],[24Lnd]]</f>
        <v>4.9342105263157892E-3</v>
      </c>
      <c r="BS292" s="43">
        <f>(Inventory[[#This Row],[Adjusted Total]]-Inventory[[#This Row],[24Final]])/Inventory[[#This Row],[24Final]]</f>
        <v>-3.0560722827531226E-2</v>
      </c>
    </row>
    <row r="293" spans="1:71">
      <c r="A293" s="30">
        <v>2025</v>
      </c>
      <c r="B293" s="31" t="s">
        <v>806</v>
      </c>
      <c r="C293" s="31">
        <f>LN(Inventory[[#This Row],[Acres]])</f>
        <v>-1.8325814637483102</v>
      </c>
      <c r="D293" s="30">
        <v>0.16</v>
      </c>
      <c r="E293" s="30">
        <v>7011</v>
      </c>
      <c r="F293" s="31" t="s">
        <v>505</v>
      </c>
      <c r="G293" s="31" t="s">
        <v>155</v>
      </c>
      <c r="H293" s="31" t="s">
        <v>5</v>
      </c>
      <c r="I293" s="31" t="s">
        <v>506</v>
      </c>
      <c r="J293" s="31" t="s">
        <v>507</v>
      </c>
      <c r="K293" s="31" t="s">
        <v>330</v>
      </c>
      <c r="L293" s="31" t="s">
        <v>19</v>
      </c>
      <c r="M293" s="31" t="s">
        <v>22</v>
      </c>
      <c r="N293" s="31">
        <v>0</v>
      </c>
      <c r="O293" s="31">
        <f>2024-Inventory[[#This Row],[YrBlt]]</f>
        <v>9</v>
      </c>
      <c r="P293" s="31">
        <f>2024-Inventory[[#This Row],[EffYr]]</f>
        <v>9</v>
      </c>
      <c r="Q293" s="30">
        <v>2015</v>
      </c>
      <c r="R293" s="30">
        <v>2015</v>
      </c>
      <c r="S293" s="30">
        <v>1388</v>
      </c>
      <c r="T293" s="32"/>
      <c r="U293" s="32"/>
      <c r="V293" s="32"/>
      <c r="W293" s="32"/>
      <c r="X293" s="32">
        <f>Inventory[[#This Row],[Bsmt Area]]-Inventory[[#This Row],[FnBsmt]]</f>
        <v>0</v>
      </c>
      <c r="Y293" s="32">
        <f>Inventory[[#This Row],[MainFn]]+Inventory[[#This Row],[UpprFn]]+Inventory[[#This Row],[AddFn]]+Inventory[[#This Row],[FnBsmt]]</f>
        <v>1388</v>
      </c>
      <c r="Z293" s="32">
        <v>1500</v>
      </c>
      <c r="AA293" s="31" t="s">
        <v>56</v>
      </c>
      <c r="AB293" s="32"/>
      <c r="AC293" s="30">
        <v>404</v>
      </c>
      <c r="AD293" s="32"/>
      <c r="AE293" s="32"/>
      <c r="AF293" s="32"/>
      <c r="AG293" s="32"/>
      <c r="AH293" s="32"/>
      <c r="AI293" s="30">
        <v>277149</v>
      </c>
      <c r="AJ293" s="30">
        <v>266063</v>
      </c>
      <c r="AK293" s="30">
        <v>0</v>
      </c>
      <c r="AL293" s="30">
        <v>0</v>
      </c>
      <c r="AM293" s="30">
        <v>60800</v>
      </c>
      <c r="AN293" s="30">
        <v>315500</v>
      </c>
      <c r="AO293" s="30">
        <v>376300</v>
      </c>
      <c r="AP293" s="30">
        <f>Lookups!$B$58*0.6</f>
        <v>132535.48800000001</v>
      </c>
      <c r="AQ293" s="30">
        <f>Lookups!$B$58*0.4</f>
        <v>88356.992000000013</v>
      </c>
      <c r="AR293" s="30">
        <f>Lookups!$B$59*Inventory[[#This Row],[LnAcres]]</f>
        <v>-24051.387388882686</v>
      </c>
      <c r="AS293" s="30">
        <f>VLOOKUP(Inventory[[#This Row],[Qlty]],Lookups!$A$66:$E$79,2,FALSE)</f>
        <v>37154.252388000001</v>
      </c>
      <c r="AT293" s="30">
        <f>VLOOKUP(Inventory[[#This Row],[Cnd]],Lookups!$A$80:$E$88,2,FALSE)</f>
        <v>50438.379078999998</v>
      </c>
      <c r="AU293" s="30">
        <f>Inventory[[#This Row],[EffAge]]*Lookups!$B$65</f>
        <v>-978.66989999999998</v>
      </c>
      <c r="AV293" s="30">
        <f>Inventory[[#This Row],[MainFn]]*Lookups!$B$90</f>
        <v>86625.607440000007</v>
      </c>
      <c r="AW293" s="30">
        <f>Inventory[[#This Row],[UpprFn]]*Lookups!$B$91</f>
        <v>0</v>
      </c>
      <c r="AX293" s="30">
        <f>Inventory[[#This Row],[Bsmt Area]]*Lookups!$B$95</f>
        <v>0</v>
      </c>
      <c r="AY293" s="30">
        <f>Inventory[[#This Row],[AttGar]]*Lookups!$B$93</f>
        <v>14261.616524000001</v>
      </c>
      <c r="AZ293" s="30">
        <f>ROUND(Inventory[[#This Row],[25Det]],-2)</f>
        <v>0</v>
      </c>
      <c r="BA293" s="30">
        <f>ROUND(SUM(Inventory[[#This Row],[Mdl Qlty]:[Mdl Garage Area]])+Inventory[[#This Row],[Mdl Res Intercept]],-2)</f>
        <v>320000</v>
      </c>
      <c r="BB293" s="30">
        <f>ROUND(Inventory[[#This Row],[Mdl Land Intercept]]+Inventory[[#This Row],[Mdl LnAcres]],-2)</f>
        <v>64300</v>
      </c>
      <c r="BC293" s="30">
        <f>Inventory[[#This Row],[Unadj Res Value]]+Inventory[[#This Row],[Unadj Det Value]]+Inventory[[#This Row],[Unadj Land Value]]</f>
        <v>384300</v>
      </c>
      <c r="BD293" s="30">
        <f>(Inventory[[#This Row],[Unadj Total Value]]-Inventory[[#This Row],[24Final]])/Inventory[[#This Row],[24Final]]</f>
        <v>2.1259633271326069E-2</v>
      </c>
      <c r="BE293" s="30">
        <f>VLOOKUP(Inventory[[#This Row],[Nbhd]],Lookups!$M$3:$P$5,4,FALSE)</f>
        <v>0.99970000000000003</v>
      </c>
      <c r="BF293" s="30">
        <f>VLOOKUP(Inventory[[#This Row],[Qlty]],Lookups!$M$8:$P$22,4,FALSE)</f>
        <v>0.99819999999999998</v>
      </c>
      <c r="BG293" s="30">
        <f>VLOOKUP(Inventory[[#This Row],[Cnd]],Lookups!$R$8:$U$17,4,FALSE)</f>
        <v>1.0007999999999999</v>
      </c>
      <c r="BH293" s="30">
        <f>VLOOKUP(Inventory[[#This Row],[LivArea Range]],Lookups!$R$25:$U$43,4,FALSE)</f>
        <v>0.99519999999999997</v>
      </c>
      <c r="BI293" s="30">
        <f>VLOOKUP(Inventory[[#This Row],[Decade]],Lookups!$M$24:$P$40,4,FALSE)</f>
        <v>1</v>
      </c>
      <c r="BJ293" s="30">
        <f>Inventory[[#This Row],[Nbhd Adj]]*0.95</f>
        <v>0.94971499999999998</v>
      </c>
      <c r="BK293" s="30">
        <f>AVERAGE(Inventory[[#This Row],[Nbhd Adj]],Inventory[[#This Row],[Quality Adj]],Inventory[[#This Row],[Condition Adj]],Inventory[[#This Row],[Living Area Adj]],Inventory[[#This Row],[Decade Adj]])*0.95</f>
        <v>0.94884099999999993</v>
      </c>
      <c r="BL293" s="30">
        <f>ROUND((SUM(Inventory[[#This Row],[Mdl Qlty]:[Mdl Garage Area]])+Inventory[[#This Row],[Mdl Res Intercept]])*Inventory[[#This Row],[Res Adj ]],-2)</f>
        <v>303700</v>
      </c>
      <c r="BM293" s="30">
        <f>ROUND(Inventory[[#This Row],[25Det]]*Inventory[[#This Row],[Det/Nbhd Adj]],-2)</f>
        <v>0</v>
      </c>
      <c r="BN293" s="30">
        <f>Inventory[[#This Row],[Adjusted Res]]+Inventory[[#This Row],[Adj Det ]]</f>
        <v>303700</v>
      </c>
      <c r="BO293" s="30">
        <f>ROUND((Inventory[[#This Row],[Mdl Land Intercept]]+Inventory[[#This Row],[Mdl LnAcres]])*Inventory[[#This Row],[Det/Nbhd Adj]],-2)</f>
        <v>61100</v>
      </c>
      <c r="BP293" s="30">
        <f>Inventory[[#This Row],[Adjusted Impr Total]]+Inventory[[#This Row],[Adjusted Land Total]]</f>
        <v>364800</v>
      </c>
      <c r="BQ293" s="30">
        <f>IFERROR((Inventory[[#This Row],[Adjusted Impr Total]]-Inventory[[#This Row],[24Bldg]])/Inventory[[#This Row],[24Bldg]],0)</f>
        <v>-3.7400950871632331E-2</v>
      </c>
      <c r="BR293" s="43">
        <f>(Inventory[[#This Row],[Adjusted Land Total]]-Inventory[[#This Row],[24Lnd]])/Inventory[[#This Row],[24Lnd]]</f>
        <v>4.9342105263157892E-3</v>
      </c>
      <c r="BS293" s="43">
        <f>(Inventory[[#This Row],[Adjusted Total]]-Inventory[[#This Row],[24Final]])/Inventory[[#This Row],[24Final]]</f>
        <v>-3.0560722827531226E-2</v>
      </c>
    </row>
    <row r="294" spans="1:71">
      <c r="A294" s="30">
        <v>2025</v>
      </c>
      <c r="B294" s="31" t="s">
        <v>807</v>
      </c>
      <c r="C294" s="31">
        <f>LN(Inventory[[#This Row],[Acres]])</f>
        <v>-1.8325814637483102</v>
      </c>
      <c r="D294" s="30">
        <v>0.16</v>
      </c>
      <c r="E294" s="30">
        <v>7057</v>
      </c>
      <c r="F294" s="31" t="s">
        <v>505</v>
      </c>
      <c r="G294" s="31" t="s">
        <v>155</v>
      </c>
      <c r="H294" s="31" t="s">
        <v>5</v>
      </c>
      <c r="I294" s="31" t="s">
        <v>506</v>
      </c>
      <c r="J294" s="31" t="s">
        <v>507</v>
      </c>
      <c r="K294" s="31" t="s">
        <v>330</v>
      </c>
      <c r="L294" s="31" t="s">
        <v>19</v>
      </c>
      <c r="M294" s="31" t="s">
        <v>22</v>
      </c>
      <c r="N294" s="31">
        <v>0</v>
      </c>
      <c r="O294" s="31">
        <f>2024-Inventory[[#This Row],[YrBlt]]</f>
        <v>9</v>
      </c>
      <c r="P294" s="31">
        <f>2024-Inventory[[#This Row],[EffYr]]</f>
        <v>9</v>
      </c>
      <c r="Q294" s="30">
        <v>2015</v>
      </c>
      <c r="R294" s="30">
        <v>2015</v>
      </c>
      <c r="S294" s="30">
        <v>1388</v>
      </c>
      <c r="T294" s="32"/>
      <c r="U294" s="32"/>
      <c r="V294" s="32"/>
      <c r="W294" s="32"/>
      <c r="X294" s="32">
        <f>Inventory[[#This Row],[Bsmt Area]]-Inventory[[#This Row],[FnBsmt]]</f>
        <v>0</v>
      </c>
      <c r="Y294" s="32">
        <f>Inventory[[#This Row],[MainFn]]+Inventory[[#This Row],[UpprFn]]+Inventory[[#This Row],[AddFn]]+Inventory[[#This Row],[FnBsmt]]</f>
        <v>1388</v>
      </c>
      <c r="Z294" s="32">
        <v>1500</v>
      </c>
      <c r="AA294" s="31" t="s">
        <v>56</v>
      </c>
      <c r="AB294" s="32"/>
      <c r="AC294" s="30">
        <v>404</v>
      </c>
      <c r="AD294" s="32"/>
      <c r="AE294" s="32"/>
      <c r="AF294" s="32"/>
      <c r="AG294" s="32"/>
      <c r="AH294" s="32"/>
      <c r="AI294" s="30">
        <v>276869</v>
      </c>
      <c r="AJ294" s="30">
        <v>265794</v>
      </c>
      <c r="AK294" s="30">
        <v>0</v>
      </c>
      <c r="AL294" s="30">
        <v>0</v>
      </c>
      <c r="AM294" s="30">
        <v>60800</v>
      </c>
      <c r="AN294" s="30">
        <v>315500</v>
      </c>
      <c r="AO294" s="30">
        <v>376300</v>
      </c>
      <c r="AP294" s="30">
        <f>Lookups!$B$58*0.6</f>
        <v>132535.48800000001</v>
      </c>
      <c r="AQ294" s="30">
        <f>Lookups!$B$58*0.4</f>
        <v>88356.992000000013</v>
      </c>
      <c r="AR294" s="30">
        <f>Lookups!$B$59*Inventory[[#This Row],[LnAcres]]</f>
        <v>-24051.387388882686</v>
      </c>
      <c r="AS294" s="30">
        <f>VLOOKUP(Inventory[[#This Row],[Qlty]],Lookups!$A$66:$E$79,2,FALSE)</f>
        <v>37154.252388000001</v>
      </c>
      <c r="AT294" s="30">
        <f>VLOOKUP(Inventory[[#This Row],[Cnd]],Lookups!$A$80:$E$88,2,FALSE)</f>
        <v>50438.379078999998</v>
      </c>
      <c r="AU294" s="30">
        <f>Inventory[[#This Row],[EffAge]]*Lookups!$B$65</f>
        <v>-978.66989999999998</v>
      </c>
      <c r="AV294" s="30">
        <f>Inventory[[#This Row],[MainFn]]*Lookups!$B$90</f>
        <v>86625.607440000007</v>
      </c>
      <c r="AW294" s="30">
        <f>Inventory[[#This Row],[UpprFn]]*Lookups!$B$91</f>
        <v>0</v>
      </c>
      <c r="AX294" s="30">
        <f>Inventory[[#This Row],[Bsmt Area]]*Lookups!$B$95</f>
        <v>0</v>
      </c>
      <c r="AY294" s="30">
        <f>Inventory[[#This Row],[AttGar]]*Lookups!$B$93</f>
        <v>14261.616524000001</v>
      </c>
      <c r="AZ294" s="30">
        <f>ROUND(Inventory[[#This Row],[25Det]],-2)</f>
        <v>0</v>
      </c>
      <c r="BA294" s="30">
        <f>ROUND(SUM(Inventory[[#This Row],[Mdl Qlty]:[Mdl Garage Area]])+Inventory[[#This Row],[Mdl Res Intercept]],-2)</f>
        <v>320000</v>
      </c>
      <c r="BB294" s="30">
        <f>ROUND(Inventory[[#This Row],[Mdl Land Intercept]]+Inventory[[#This Row],[Mdl LnAcres]],-2)</f>
        <v>64300</v>
      </c>
      <c r="BC294" s="30">
        <f>Inventory[[#This Row],[Unadj Res Value]]+Inventory[[#This Row],[Unadj Det Value]]+Inventory[[#This Row],[Unadj Land Value]]</f>
        <v>384300</v>
      </c>
      <c r="BD294" s="30">
        <f>(Inventory[[#This Row],[Unadj Total Value]]-Inventory[[#This Row],[24Final]])/Inventory[[#This Row],[24Final]]</f>
        <v>2.1259633271326069E-2</v>
      </c>
      <c r="BE294" s="30">
        <f>VLOOKUP(Inventory[[#This Row],[Nbhd]],Lookups!$M$3:$P$5,4,FALSE)</f>
        <v>0.99970000000000003</v>
      </c>
      <c r="BF294" s="30">
        <f>VLOOKUP(Inventory[[#This Row],[Qlty]],Lookups!$M$8:$P$22,4,FALSE)</f>
        <v>0.99819999999999998</v>
      </c>
      <c r="BG294" s="30">
        <f>VLOOKUP(Inventory[[#This Row],[Cnd]],Lookups!$R$8:$U$17,4,FALSE)</f>
        <v>1.0007999999999999</v>
      </c>
      <c r="BH294" s="30">
        <f>VLOOKUP(Inventory[[#This Row],[LivArea Range]],Lookups!$R$25:$U$43,4,FALSE)</f>
        <v>0.99519999999999997</v>
      </c>
      <c r="BI294" s="30">
        <f>VLOOKUP(Inventory[[#This Row],[Decade]],Lookups!$M$24:$P$40,4,FALSE)</f>
        <v>1</v>
      </c>
      <c r="BJ294" s="30">
        <f>Inventory[[#This Row],[Nbhd Adj]]*0.95</f>
        <v>0.94971499999999998</v>
      </c>
      <c r="BK294" s="30">
        <f>AVERAGE(Inventory[[#This Row],[Nbhd Adj]],Inventory[[#This Row],[Quality Adj]],Inventory[[#This Row],[Condition Adj]],Inventory[[#This Row],[Living Area Adj]],Inventory[[#This Row],[Decade Adj]])*0.95</f>
        <v>0.94884099999999993</v>
      </c>
      <c r="BL294" s="30">
        <f>ROUND((SUM(Inventory[[#This Row],[Mdl Qlty]:[Mdl Garage Area]])+Inventory[[#This Row],[Mdl Res Intercept]])*Inventory[[#This Row],[Res Adj ]],-2)</f>
        <v>303700</v>
      </c>
      <c r="BM294" s="30">
        <f>ROUND(Inventory[[#This Row],[25Det]]*Inventory[[#This Row],[Det/Nbhd Adj]],-2)</f>
        <v>0</v>
      </c>
      <c r="BN294" s="30">
        <f>Inventory[[#This Row],[Adjusted Res]]+Inventory[[#This Row],[Adj Det ]]</f>
        <v>303700</v>
      </c>
      <c r="BO294" s="30">
        <f>ROUND((Inventory[[#This Row],[Mdl Land Intercept]]+Inventory[[#This Row],[Mdl LnAcres]])*Inventory[[#This Row],[Det/Nbhd Adj]],-2)</f>
        <v>61100</v>
      </c>
      <c r="BP294" s="30">
        <f>Inventory[[#This Row],[Adjusted Impr Total]]+Inventory[[#This Row],[Adjusted Land Total]]</f>
        <v>364800</v>
      </c>
      <c r="BQ294" s="30">
        <f>IFERROR((Inventory[[#This Row],[Adjusted Impr Total]]-Inventory[[#This Row],[24Bldg]])/Inventory[[#This Row],[24Bldg]],0)</f>
        <v>-3.7400950871632331E-2</v>
      </c>
      <c r="BR294" s="43">
        <f>(Inventory[[#This Row],[Adjusted Land Total]]-Inventory[[#This Row],[24Lnd]])/Inventory[[#This Row],[24Lnd]]</f>
        <v>4.9342105263157892E-3</v>
      </c>
      <c r="BS294" s="43">
        <f>(Inventory[[#This Row],[Adjusted Total]]-Inventory[[#This Row],[24Final]])/Inventory[[#This Row],[24Final]]</f>
        <v>-3.0560722827531226E-2</v>
      </c>
    </row>
    <row r="295" spans="1:71">
      <c r="A295" s="30">
        <v>2025</v>
      </c>
      <c r="B295" s="31" t="s">
        <v>808</v>
      </c>
      <c r="C295" s="31">
        <f>LN(Inventory[[#This Row],[Acres]])</f>
        <v>-1.8325814637483102</v>
      </c>
      <c r="D295" s="30">
        <v>0.16</v>
      </c>
      <c r="E295" s="30">
        <v>7139</v>
      </c>
      <c r="F295" s="31" t="s">
        <v>505</v>
      </c>
      <c r="G295" s="31" t="s">
        <v>155</v>
      </c>
      <c r="H295" s="31" t="s">
        <v>5</v>
      </c>
      <c r="I295" s="31" t="s">
        <v>506</v>
      </c>
      <c r="J295" s="31" t="s">
        <v>507</v>
      </c>
      <c r="K295" s="31" t="s">
        <v>330</v>
      </c>
      <c r="L295" s="31" t="s">
        <v>19</v>
      </c>
      <c r="M295" s="31" t="s">
        <v>22</v>
      </c>
      <c r="N295" s="31">
        <v>0</v>
      </c>
      <c r="O295" s="31">
        <f>2024-Inventory[[#This Row],[YrBlt]]</f>
        <v>9</v>
      </c>
      <c r="P295" s="31">
        <f>2024-Inventory[[#This Row],[EffYr]]</f>
        <v>9</v>
      </c>
      <c r="Q295" s="30">
        <v>2015</v>
      </c>
      <c r="R295" s="30">
        <v>2015</v>
      </c>
      <c r="S295" s="30">
        <v>1388</v>
      </c>
      <c r="T295" s="32"/>
      <c r="U295" s="32"/>
      <c r="V295" s="32"/>
      <c r="W295" s="32"/>
      <c r="X295" s="32">
        <f>Inventory[[#This Row],[Bsmt Area]]-Inventory[[#This Row],[FnBsmt]]</f>
        <v>0</v>
      </c>
      <c r="Y295" s="32">
        <f>Inventory[[#This Row],[MainFn]]+Inventory[[#This Row],[UpprFn]]+Inventory[[#This Row],[AddFn]]+Inventory[[#This Row],[FnBsmt]]</f>
        <v>1388</v>
      </c>
      <c r="Z295" s="32">
        <v>1500</v>
      </c>
      <c r="AA295" s="31" t="s">
        <v>56</v>
      </c>
      <c r="AB295" s="32"/>
      <c r="AC295" s="38">
        <v>404</v>
      </c>
      <c r="AD295" s="32"/>
      <c r="AE295" s="32"/>
      <c r="AF295" s="32"/>
      <c r="AG295" s="32"/>
      <c r="AH295" s="32"/>
      <c r="AI295" s="30">
        <v>276487</v>
      </c>
      <c r="AJ295" s="30">
        <v>265428</v>
      </c>
      <c r="AK295" s="30">
        <v>0</v>
      </c>
      <c r="AL295" s="30">
        <v>0</v>
      </c>
      <c r="AM295" s="30">
        <v>60800</v>
      </c>
      <c r="AN295" s="30">
        <v>314600</v>
      </c>
      <c r="AO295" s="30">
        <v>375400</v>
      </c>
      <c r="AP295" s="30">
        <f>Lookups!$B$58*0.6</f>
        <v>132535.48800000001</v>
      </c>
      <c r="AQ295" s="30">
        <f>Lookups!$B$58*0.4</f>
        <v>88356.992000000013</v>
      </c>
      <c r="AR295" s="30">
        <f>Lookups!$B$59*Inventory[[#This Row],[LnAcres]]</f>
        <v>-24051.387388882686</v>
      </c>
      <c r="AS295" s="30">
        <f>VLOOKUP(Inventory[[#This Row],[Qlty]],Lookups!$A$66:$E$79,2,FALSE)</f>
        <v>37154.252388000001</v>
      </c>
      <c r="AT295" s="30">
        <f>VLOOKUP(Inventory[[#This Row],[Cnd]],Lookups!$A$80:$E$88,2,FALSE)</f>
        <v>50438.379078999998</v>
      </c>
      <c r="AU295" s="30">
        <f>Inventory[[#This Row],[EffAge]]*Lookups!$B$65</f>
        <v>-978.66989999999998</v>
      </c>
      <c r="AV295" s="30">
        <f>Inventory[[#This Row],[MainFn]]*Lookups!$B$90</f>
        <v>86625.607440000007</v>
      </c>
      <c r="AW295" s="30">
        <f>Inventory[[#This Row],[UpprFn]]*Lookups!$B$91</f>
        <v>0</v>
      </c>
      <c r="AX295" s="30">
        <f>Inventory[[#This Row],[Bsmt Area]]*Lookups!$B$95</f>
        <v>0</v>
      </c>
      <c r="AY295" s="30">
        <f>Inventory[[#This Row],[AttGar]]*Lookups!$B$93</f>
        <v>14261.616524000001</v>
      </c>
      <c r="AZ295" s="30">
        <f>ROUND(Inventory[[#This Row],[25Det]],-2)</f>
        <v>0</v>
      </c>
      <c r="BA295" s="30">
        <f>ROUND(SUM(Inventory[[#This Row],[Mdl Qlty]:[Mdl Garage Area]])+Inventory[[#This Row],[Mdl Res Intercept]],-2)</f>
        <v>320000</v>
      </c>
      <c r="BB295" s="30">
        <f>ROUND(Inventory[[#This Row],[Mdl Land Intercept]]+Inventory[[#This Row],[Mdl LnAcres]],-2)</f>
        <v>64300</v>
      </c>
      <c r="BC295" s="30">
        <f>Inventory[[#This Row],[Unadj Res Value]]+Inventory[[#This Row],[Unadj Det Value]]+Inventory[[#This Row],[Unadj Land Value]]</f>
        <v>384300</v>
      </c>
      <c r="BD295" s="30">
        <f>(Inventory[[#This Row],[Unadj Total Value]]-Inventory[[#This Row],[24Final]])/Inventory[[#This Row],[24Final]]</f>
        <v>2.3708044752264252E-2</v>
      </c>
      <c r="BE295" s="30">
        <f>VLOOKUP(Inventory[[#This Row],[Nbhd]],Lookups!$M$3:$P$5,4,FALSE)</f>
        <v>0.99970000000000003</v>
      </c>
      <c r="BF295" s="30">
        <f>VLOOKUP(Inventory[[#This Row],[Qlty]],Lookups!$M$8:$P$22,4,FALSE)</f>
        <v>0.99819999999999998</v>
      </c>
      <c r="BG295" s="30">
        <f>VLOOKUP(Inventory[[#This Row],[Cnd]],Lookups!$R$8:$U$17,4,FALSE)</f>
        <v>1.0007999999999999</v>
      </c>
      <c r="BH295" s="30">
        <f>VLOOKUP(Inventory[[#This Row],[LivArea Range]],Lookups!$R$25:$U$43,4,FALSE)</f>
        <v>0.99519999999999997</v>
      </c>
      <c r="BI295" s="30">
        <f>VLOOKUP(Inventory[[#This Row],[Decade]],Lookups!$M$24:$P$40,4,FALSE)</f>
        <v>1</v>
      </c>
      <c r="BJ295" s="30">
        <f>Inventory[[#This Row],[Nbhd Adj]]*0.95</f>
        <v>0.94971499999999998</v>
      </c>
      <c r="BK295" s="30">
        <f>AVERAGE(Inventory[[#This Row],[Nbhd Adj]],Inventory[[#This Row],[Quality Adj]],Inventory[[#This Row],[Condition Adj]],Inventory[[#This Row],[Living Area Adj]],Inventory[[#This Row],[Decade Adj]])*0.95</f>
        <v>0.94884099999999993</v>
      </c>
      <c r="BL295" s="30">
        <f>ROUND((SUM(Inventory[[#This Row],[Mdl Qlty]:[Mdl Garage Area]])+Inventory[[#This Row],[Mdl Res Intercept]])*Inventory[[#This Row],[Res Adj ]],-2)</f>
        <v>303700</v>
      </c>
      <c r="BM295" s="30">
        <f>ROUND(Inventory[[#This Row],[25Det]]*Inventory[[#This Row],[Det/Nbhd Adj]],-2)</f>
        <v>0</v>
      </c>
      <c r="BN295" s="30">
        <f>Inventory[[#This Row],[Adjusted Res]]+Inventory[[#This Row],[Adj Det ]]</f>
        <v>303700</v>
      </c>
      <c r="BO295" s="30">
        <f>ROUND((Inventory[[#This Row],[Mdl Land Intercept]]+Inventory[[#This Row],[Mdl LnAcres]])*Inventory[[#This Row],[Det/Nbhd Adj]],-2)</f>
        <v>61100</v>
      </c>
      <c r="BP295" s="30">
        <f>Inventory[[#This Row],[Adjusted Impr Total]]+Inventory[[#This Row],[Adjusted Land Total]]</f>
        <v>364800</v>
      </c>
      <c r="BQ295" s="30">
        <f>IFERROR((Inventory[[#This Row],[Adjusted Impr Total]]-Inventory[[#This Row],[24Bldg]])/Inventory[[#This Row],[24Bldg]],0)</f>
        <v>-3.4647171010807373E-2</v>
      </c>
      <c r="BR295" s="43">
        <f>(Inventory[[#This Row],[Adjusted Land Total]]-Inventory[[#This Row],[24Lnd]])/Inventory[[#This Row],[24Lnd]]</f>
        <v>4.9342105263157892E-3</v>
      </c>
      <c r="BS295" s="43">
        <f>(Inventory[[#This Row],[Adjusted Total]]-Inventory[[#This Row],[24Final]])/Inventory[[#This Row],[24Final]]</f>
        <v>-2.8236547682472031E-2</v>
      </c>
    </row>
    <row r="296" spans="1:71">
      <c r="A296" s="30">
        <v>2025</v>
      </c>
      <c r="B296" s="31" t="s">
        <v>809</v>
      </c>
      <c r="C296" s="31">
        <f>LN(Inventory[[#This Row],[Acres]])</f>
        <v>-1.8325814637483102</v>
      </c>
      <c r="D296" s="30">
        <v>0.16</v>
      </c>
      <c r="E296" s="30">
        <v>7010</v>
      </c>
      <c r="F296" s="31" t="s">
        <v>505</v>
      </c>
      <c r="G296" s="31" t="s">
        <v>155</v>
      </c>
      <c r="H296" s="31" t="s">
        <v>5</v>
      </c>
      <c r="I296" s="31" t="s">
        <v>506</v>
      </c>
      <c r="J296" s="31" t="s">
        <v>507</v>
      </c>
      <c r="K296" s="31" t="s">
        <v>330</v>
      </c>
      <c r="L296" s="31" t="s">
        <v>19</v>
      </c>
      <c r="M296" s="31" t="s">
        <v>22</v>
      </c>
      <c r="N296" s="31">
        <v>0</v>
      </c>
      <c r="O296" s="31">
        <f>2024-Inventory[[#This Row],[YrBlt]]</f>
        <v>9</v>
      </c>
      <c r="P296" s="31">
        <f>2024-Inventory[[#This Row],[EffYr]]</f>
        <v>9</v>
      </c>
      <c r="Q296" s="30">
        <v>2015</v>
      </c>
      <c r="R296" s="30">
        <v>2015</v>
      </c>
      <c r="S296" s="30">
        <v>1600</v>
      </c>
      <c r="T296" s="32"/>
      <c r="U296" s="32"/>
      <c r="V296" s="32"/>
      <c r="W296" s="32"/>
      <c r="X296" s="32">
        <f>Inventory[[#This Row],[Bsmt Area]]-Inventory[[#This Row],[FnBsmt]]</f>
        <v>0</v>
      </c>
      <c r="Y296" s="32">
        <f>Inventory[[#This Row],[MainFn]]+Inventory[[#This Row],[UpprFn]]+Inventory[[#This Row],[AddFn]]+Inventory[[#This Row],[FnBsmt]]</f>
        <v>1600</v>
      </c>
      <c r="Z296" s="32">
        <v>2000</v>
      </c>
      <c r="AA296" s="31" t="s">
        <v>56</v>
      </c>
      <c r="AB296" s="32"/>
      <c r="AC296" s="38">
        <v>440</v>
      </c>
      <c r="AD296" s="32"/>
      <c r="AE296" s="32"/>
      <c r="AF296" s="32"/>
      <c r="AG296" s="32"/>
      <c r="AH296" s="32"/>
      <c r="AI296" s="30">
        <v>313621</v>
      </c>
      <c r="AJ296" s="30">
        <v>301076</v>
      </c>
      <c r="AK296" s="30">
        <v>0</v>
      </c>
      <c r="AL296" s="30">
        <v>0</v>
      </c>
      <c r="AM296" s="30">
        <v>60800</v>
      </c>
      <c r="AN296" s="30">
        <v>328800</v>
      </c>
      <c r="AO296" s="30">
        <v>389600</v>
      </c>
      <c r="AP296" s="30">
        <f>Lookups!$B$58*0.6</f>
        <v>132535.48800000001</v>
      </c>
      <c r="AQ296" s="30">
        <f>Lookups!$B$58*0.4</f>
        <v>88356.992000000013</v>
      </c>
      <c r="AR296" s="30">
        <f>Lookups!$B$59*Inventory[[#This Row],[LnAcres]]</f>
        <v>-24051.387388882686</v>
      </c>
      <c r="AS296" s="30">
        <f>VLOOKUP(Inventory[[#This Row],[Qlty]],Lookups!$A$66:$E$79,2,FALSE)</f>
        <v>37154.252388000001</v>
      </c>
      <c r="AT296" s="30">
        <f>VLOOKUP(Inventory[[#This Row],[Cnd]],Lookups!$A$80:$E$88,2,FALSE)</f>
        <v>50438.379078999998</v>
      </c>
      <c r="AU296" s="30">
        <f>Inventory[[#This Row],[EffAge]]*Lookups!$B$65</f>
        <v>-978.66989999999998</v>
      </c>
      <c r="AV296" s="30">
        <f>Inventory[[#This Row],[MainFn]]*Lookups!$B$90</f>
        <v>99856.608000000007</v>
      </c>
      <c r="AW296" s="30">
        <f>Inventory[[#This Row],[UpprFn]]*Lookups!$B$91</f>
        <v>0</v>
      </c>
      <c r="AX296" s="30">
        <f>Inventory[[#This Row],[Bsmt Area]]*Lookups!$B$95</f>
        <v>0</v>
      </c>
      <c r="AY296" s="30">
        <f>Inventory[[#This Row],[AttGar]]*Lookups!$B$93</f>
        <v>15532.453640000002</v>
      </c>
      <c r="AZ296" s="30">
        <f>ROUND(Inventory[[#This Row],[25Det]],-2)</f>
        <v>0</v>
      </c>
      <c r="BA296" s="30">
        <f>ROUND(SUM(Inventory[[#This Row],[Mdl Qlty]:[Mdl Garage Area]])+Inventory[[#This Row],[Mdl Res Intercept]],-2)</f>
        <v>334500</v>
      </c>
      <c r="BB296" s="30">
        <f>ROUND(Inventory[[#This Row],[Mdl Land Intercept]]+Inventory[[#This Row],[Mdl LnAcres]],-2)</f>
        <v>64300</v>
      </c>
      <c r="BC296" s="30">
        <f>Inventory[[#This Row],[Unadj Res Value]]+Inventory[[#This Row],[Unadj Det Value]]+Inventory[[#This Row],[Unadj Land Value]]</f>
        <v>398800</v>
      </c>
      <c r="BD296" s="30">
        <f>(Inventory[[#This Row],[Unadj Total Value]]-Inventory[[#This Row],[24Final]])/Inventory[[#This Row],[24Final]]</f>
        <v>2.3613963039014373E-2</v>
      </c>
      <c r="BE296" s="30">
        <f>VLOOKUP(Inventory[[#This Row],[Nbhd]],Lookups!$M$3:$P$5,4,FALSE)</f>
        <v>0.99970000000000003</v>
      </c>
      <c r="BF296" s="30">
        <f>VLOOKUP(Inventory[[#This Row],[Qlty]],Lookups!$M$8:$P$22,4,FALSE)</f>
        <v>0.99819999999999998</v>
      </c>
      <c r="BG296" s="30">
        <f>VLOOKUP(Inventory[[#This Row],[Cnd]],Lookups!$R$8:$U$17,4,FALSE)</f>
        <v>1.0007999999999999</v>
      </c>
      <c r="BH296" s="30">
        <f>VLOOKUP(Inventory[[#This Row],[LivArea Range]],Lookups!$R$25:$U$43,4,FALSE)</f>
        <v>1.0007999999999999</v>
      </c>
      <c r="BI296" s="30">
        <f>VLOOKUP(Inventory[[#This Row],[Decade]],Lookups!$M$24:$P$40,4,FALSE)</f>
        <v>1</v>
      </c>
      <c r="BJ296" s="30">
        <f>Inventory[[#This Row],[Nbhd Adj]]*0.95</f>
        <v>0.94971499999999998</v>
      </c>
      <c r="BK296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296" s="30">
        <f>ROUND((SUM(Inventory[[#This Row],[Mdl Qlty]:[Mdl Garage Area]])+Inventory[[#This Row],[Mdl Res Intercept]])*Inventory[[#This Row],[Res Adj ]],-2)</f>
        <v>317800</v>
      </c>
      <c r="BM296" s="30">
        <f>ROUND(Inventory[[#This Row],[25Det]]*Inventory[[#This Row],[Det/Nbhd Adj]],-2)</f>
        <v>0</v>
      </c>
      <c r="BN296" s="30">
        <f>Inventory[[#This Row],[Adjusted Res]]+Inventory[[#This Row],[Adj Det ]]</f>
        <v>317800</v>
      </c>
      <c r="BO296" s="30">
        <f>ROUND((Inventory[[#This Row],[Mdl Land Intercept]]+Inventory[[#This Row],[Mdl LnAcres]])*Inventory[[#This Row],[Det/Nbhd Adj]],-2)</f>
        <v>61100</v>
      </c>
      <c r="BP296" s="30">
        <f>Inventory[[#This Row],[Adjusted Impr Total]]+Inventory[[#This Row],[Adjusted Land Total]]</f>
        <v>378900</v>
      </c>
      <c r="BQ296" s="30">
        <f>IFERROR((Inventory[[#This Row],[Adjusted Impr Total]]-Inventory[[#This Row],[24Bldg]])/Inventory[[#This Row],[24Bldg]],0)</f>
        <v>-3.3454987834549879E-2</v>
      </c>
      <c r="BR296" s="43">
        <f>(Inventory[[#This Row],[Adjusted Land Total]]-Inventory[[#This Row],[24Lnd]])/Inventory[[#This Row],[24Lnd]]</f>
        <v>4.9342105263157892E-3</v>
      </c>
      <c r="BS296" s="43">
        <f>(Inventory[[#This Row],[Adjusted Total]]-Inventory[[#This Row],[24Final]])/Inventory[[#This Row],[24Final]]</f>
        <v>-2.7464065708418892E-2</v>
      </c>
    </row>
    <row r="297" spans="1:71">
      <c r="A297" s="30">
        <v>2025</v>
      </c>
      <c r="B297" s="31" t="s">
        <v>810</v>
      </c>
      <c r="C297" s="31">
        <f>LN(Inventory[[#This Row],[Acres]])</f>
        <v>-1.8325814637483102</v>
      </c>
      <c r="D297" s="30">
        <v>0.16</v>
      </c>
      <c r="E297" s="30">
        <v>7011</v>
      </c>
      <c r="F297" s="31" t="s">
        <v>505</v>
      </c>
      <c r="G297" s="31" t="s">
        <v>155</v>
      </c>
      <c r="H297" s="31" t="s">
        <v>5</v>
      </c>
      <c r="I297" s="31" t="s">
        <v>506</v>
      </c>
      <c r="J297" s="31" t="s">
        <v>507</v>
      </c>
      <c r="K297" s="31" t="s">
        <v>330</v>
      </c>
      <c r="L297" s="31" t="s">
        <v>19</v>
      </c>
      <c r="M297" s="31" t="s">
        <v>22</v>
      </c>
      <c r="N297" s="31">
        <v>0</v>
      </c>
      <c r="O297" s="31">
        <f>2024-Inventory[[#This Row],[YrBlt]]</f>
        <v>9</v>
      </c>
      <c r="P297" s="31">
        <f>2024-Inventory[[#This Row],[EffYr]]</f>
        <v>9</v>
      </c>
      <c r="Q297" s="30">
        <v>2015</v>
      </c>
      <c r="R297" s="30">
        <v>2015</v>
      </c>
      <c r="S297" s="30">
        <v>1600</v>
      </c>
      <c r="T297" s="32"/>
      <c r="U297" s="32"/>
      <c r="V297" s="32"/>
      <c r="W297" s="32"/>
      <c r="X297" s="32">
        <f>Inventory[[#This Row],[Bsmt Area]]-Inventory[[#This Row],[FnBsmt]]</f>
        <v>0</v>
      </c>
      <c r="Y297" s="32">
        <f>Inventory[[#This Row],[MainFn]]+Inventory[[#This Row],[UpprFn]]+Inventory[[#This Row],[AddFn]]+Inventory[[#This Row],[FnBsmt]]</f>
        <v>1600</v>
      </c>
      <c r="Z297" s="32">
        <v>2000</v>
      </c>
      <c r="AA297" s="31" t="s">
        <v>56</v>
      </c>
      <c r="AB297" s="32"/>
      <c r="AC297" s="38">
        <v>440</v>
      </c>
      <c r="AD297" s="32"/>
      <c r="AE297" s="32"/>
      <c r="AF297" s="32"/>
      <c r="AG297" s="32"/>
      <c r="AH297" s="32"/>
      <c r="AI297" s="30">
        <v>316273</v>
      </c>
      <c r="AJ297" s="30">
        <v>303622</v>
      </c>
      <c r="AK297" s="30">
        <v>0</v>
      </c>
      <c r="AL297" s="30">
        <v>0</v>
      </c>
      <c r="AM297" s="30">
        <v>60800</v>
      </c>
      <c r="AN297" s="30">
        <v>328300</v>
      </c>
      <c r="AO297" s="30">
        <v>389100</v>
      </c>
      <c r="AP297" s="30">
        <f>Lookups!$B$58*0.6</f>
        <v>132535.48800000001</v>
      </c>
      <c r="AQ297" s="30">
        <f>Lookups!$B$58*0.4</f>
        <v>88356.992000000013</v>
      </c>
      <c r="AR297" s="30">
        <f>Lookups!$B$59*Inventory[[#This Row],[LnAcres]]</f>
        <v>-24051.387388882686</v>
      </c>
      <c r="AS297" s="30">
        <f>VLOOKUP(Inventory[[#This Row],[Qlty]],Lookups!$A$66:$E$79,2,FALSE)</f>
        <v>37154.252388000001</v>
      </c>
      <c r="AT297" s="30">
        <f>VLOOKUP(Inventory[[#This Row],[Cnd]],Lookups!$A$80:$E$88,2,FALSE)</f>
        <v>50438.379078999998</v>
      </c>
      <c r="AU297" s="30">
        <f>Inventory[[#This Row],[EffAge]]*Lookups!$B$65</f>
        <v>-978.66989999999998</v>
      </c>
      <c r="AV297" s="30">
        <f>Inventory[[#This Row],[MainFn]]*Lookups!$B$90</f>
        <v>99856.608000000007</v>
      </c>
      <c r="AW297" s="30">
        <f>Inventory[[#This Row],[UpprFn]]*Lookups!$B$91</f>
        <v>0</v>
      </c>
      <c r="AX297" s="30">
        <f>Inventory[[#This Row],[Bsmt Area]]*Lookups!$B$95</f>
        <v>0</v>
      </c>
      <c r="AY297" s="30">
        <f>Inventory[[#This Row],[AttGar]]*Lookups!$B$93</f>
        <v>15532.453640000002</v>
      </c>
      <c r="AZ297" s="30">
        <f>ROUND(Inventory[[#This Row],[25Det]],-2)</f>
        <v>0</v>
      </c>
      <c r="BA297" s="30">
        <f>ROUND(SUM(Inventory[[#This Row],[Mdl Qlty]:[Mdl Garage Area]])+Inventory[[#This Row],[Mdl Res Intercept]],-2)</f>
        <v>334500</v>
      </c>
      <c r="BB297" s="30">
        <f>ROUND(Inventory[[#This Row],[Mdl Land Intercept]]+Inventory[[#This Row],[Mdl LnAcres]],-2)</f>
        <v>64300</v>
      </c>
      <c r="BC297" s="30">
        <f>Inventory[[#This Row],[Unadj Res Value]]+Inventory[[#This Row],[Unadj Det Value]]+Inventory[[#This Row],[Unadj Land Value]]</f>
        <v>398800</v>
      </c>
      <c r="BD297" s="30">
        <f>(Inventory[[#This Row],[Unadj Total Value]]-Inventory[[#This Row],[24Final]])/Inventory[[#This Row],[24Final]]</f>
        <v>2.4929324081213056E-2</v>
      </c>
      <c r="BE297" s="30">
        <f>VLOOKUP(Inventory[[#This Row],[Nbhd]],Lookups!$M$3:$P$5,4,FALSE)</f>
        <v>0.99970000000000003</v>
      </c>
      <c r="BF297" s="30">
        <f>VLOOKUP(Inventory[[#This Row],[Qlty]],Lookups!$M$8:$P$22,4,FALSE)</f>
        <v>0.99819999999999998</v>
      </c>
      <c r="BG297" s="30">
        <f>VLOOKUP(Inventory[[#This Row],[Cnd]],Lookups!$R$8:$U$17,4,FALSE)</f>
        <v>1.0007999999999999</v>
      </c>
      <c r="BH297" s="30">
        <f>VLOOKUP(Inventory[[#This Row],[LivArea Range]],Lookups!$R$25:$U$43,4,FALSE)</f>
        <v>1.0007999999999999</v>
      </c>
      <c r="BI297" s="30">
        <f>VLOOKUP(Inventory[[#This Row],[Decade]],Lookups!$M$24:$P$40,4,FALSE)</f>
        <v>1</v>
      </c>
      <c r="BJ297" s="30">
        <f>Inventory[[#This Row],[Nbhd Adj]]*0.95</f>
        <v>0.94971499999999998</v>
      </c>
      <c r="BK297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297" s="30">
        <f>ROUND((SUM(Inventory[[#This Row],[Mdl Qlty]:[Mdl Garage Area]])+Inventory[[#This Row],[Mdl Res Intercept]])*Inventory[[#This Row],[Res Adj ]],-2)</f>
        <v>317800</v>
      </c>
      <c r="BM297" s="30">
        <f>ROUND(Inventory[[#This Row],[25Det]]*Inventory[[#This Row],[Det/Nbhd Adj]],-2)</f>
        <v>0</v>
      </c>
      <c r="BN297" s="30">
        <f>Inventory[[#This Row],[Adjusted Res]]+Inventory[[#This Row],[Adj Det ]]</f>
        <v>317800</v>
      </c>
      <c r="BO297" s="30">
        <f>ROUND((Inventory[[#This Row],[Mdl Land Intercept]]+Inventory[[#This Row],[Mdl LnAcres]])*Inventory[[#This Row],[Det/Nbhd Adj]],-2)</f>
        <v>61100</v>
      </c>
      <c r="BP297" s="30">
        <f>Inventory[[#This Row],[Adjusted Impr Total]]+Inventory[[#This Row],[Adjusted Land Total]]</f>
        <v>378900</v>
      </c>
      <c r="BQ297" s="30">
        <f>IFERROR((Inventory[[#This Row],[Adjusted Impr Total]]-Inventory[[#This Row],[24Bldg]])/Inventory[[#This Row],[24Bldg]],0)</f>
        <v>-3.1982942430703626E-2</v>
      </c>
      <c r="BR297" s="43">
        <f>(Inventory[[#This Row],[Adjusted Land Total]]-Inventory[[#This Row],[24Lnd]])/Inventory[[#This Row],[24Lnd]]</f>
        <v>4.9342105263157892E-3</v>
      </c>
      <c r="BS297" s="43">
        <f>(Inventory[[#This Row],[Adjusted Total]]-Inventory[[#This Row],[24Final]])/Inventory[[#This Row],[24Final]]</f>
        <v>-2.6214340786430222E-2</v>
      </c>
    </row>
    <row r="298" spans="1:71">
      <c r="A298" s="30">
        <v>2025</v>
      </c>
      <c r="B298" s="31" t="s">
        <v>811</v>
      </c>
      <c r="C298" s="31">
        <f>LN(Inventory[[#This Row],[Acres]])</f>
        <v>-1.8325814637483102</v>
      </c>
      <c r="D298" s="30">
        <v>0.16</v>
      </c>
      <c r="E298" s="30">
        <v>7058</v>
      </c>
      <c r="F298" s="31" t="s">
        <v>505</v>
      </c>
      <c r="G298" s="31" t="s">
        <v>155</v>
      </c>
      <c r="H298" s="31" t="s">
        <v>5</v>
      </c>
      <c r="I298" s="31" t="s">
        <v>506</v>
      </c>
      <c r="J298" s="31" t="s">
        <v>507</v>
      </c>
      <c r="K298" s="31" t="s">
        <v>157</v>
      </c>
      <c r="L298" s="31" t="s">
        <v>19</v>
      </c>
      <c r="M298" s="31" t="s">
        <v>22</v>
      </c>
      <c r="N298" s="31">
        <v>0</v>
      </c>
      <c r="O298" s="31">
        <f>2024-Inventory[[#This Row],[YrBlt]]</f>
        <v>9</v>
      </c>
      <c r="P298" s="31">
        <f>2024-Inventory[[#This Row],[EffYr]]</f>
        <v>9</v>
      </c>
      <c r="Q298" s="30">
        <v>2015</v>
      </c>
      <c r="R298" s="30">
        <v>2015</v>
      </c>
      <c r="S298" s="30">
        <v>1600</v>
      </c>
      <c r="T298" s="32"/>
      <c r="U298" s="32"/>
      <c r="V298" s="32"/>
      <c r="W298" s="32"/>
      <c r="X298" s="32">
        <f>Inventory[[#This Row],[Bsmt Area]]-Inventory[[#This Row],[FnBsmt]]</f>
        <v>0</v>
      </c>
      <c r="Y298" s="32">
        <f>Inventory[[#This Row],[MainFn]]+Inventory[[#This Row],[UpprFn]]+Inventory[[#This Row],[AddFn]]+Inventory[[#This Row],[FnBsmt]]</f>
        <v>1600</v>
      </c>
      <c r="Z298" s="32">
        <v>2000</v>
      </c>
      <c r="AA298" s="31" t="s">
        <v>56</v>
      </c>
      <c r="AB298" s="32"/>
      <c r="AC298" s="38">
        <v>440</v>
      </c>
      <c r="AD298" s="32"/>
      <c r="AE298" s="32"/>
      <c r="AF298" s="32"/>
      <c r="AG298" s="32"/>
      <c r="AH298" s="32"/>
      <c r="AI298" s="30">
        <v>317346</v>
      </c>
      <c r="AJ298" s="30">
        <v>304652</v>
      </c>
      <c r="AK298" s="30">
        <v>0</v>
      </c>
      <c r="AL298" s="30">
        <v>0</v>
      </c>
      <c r="AM298" s="30">
        <v>60800</v>
      </c>
      <c r="AN298" s="30">
        <v>328300</v>
      </c>
      <c r="AO298" s="30">
        <v>389100</v>
      </c>
      <c r="AP298" s="30">
        <f>Lookups!$B$58*0.6</f>
        <v>132535.48800000001</v>
      </c>
      <c r="AQ298" s="30">
        <f>Lookups!$B$58*0.4</f>
        <v>88356.992000000013</v>
      </c>
      <c r="AR298" s="30">
        <f>Lookups!$B$59*Inventory[[#This Row],[LnAcres]]</f>
        <v>-24051.387388882686</v>
      </c>
      <c r="AS298" s="30">
        <f>VLOOKUP(Inventory[[#This Row],[Qlty]],Lookups!$A$66:$E$79,2,FALSE)</f>
        <v>37154.252388000001</v>
      </c>
      <c r="AT298" s="30">
        <f>VLOOKUP(Inventory[[#This Row],[Cnd]],Lookups!$A$80:$E$88,2,FALSE)</f>
        <v>50438.379078999998</v>
      </c>
      <c r="AU298" s="30">
        <f>Inventory[[#This Row],[EffAge]]*Lookups!$B$65</f>
        <v>-978.66989999999998</v>
      </c>
      <c r="AV298" s="30">
        <f>Inventory[[#This Row],[MainFn]]*Lookups!$B$90</f>
        <v>99856.608000000007</v>
      </c>
      <c r="AW298" s="30">
        <f>Inventory[[#This Row],[UpprFn]]*Lookups!$B$91</f>
        <v>0</v>
      </c>
      <c r="AX298" s="30">
        <f>Inventory[[#This Row],[Bsmt Area]]*Lookups!$B$95</f>
        <v>0</v>
      </c>
      <c r="AY298" s="30">
        <f>Inventory[[#This Row],[AttGar]]*Lookups!$B$93</f>
        <v>15532.453640000002</v>
      </c>
      <c r="AZ298" s="30">
        <f>ROUND(Inventory[[#This Row],[25Det]],-2)</f>
        <v>0</v>
      </c>
      <c r="BA298" s="30">
        <f>ROUND(SUM(Inventory[[#This Row],[Mdl Qlty]:[Mdl Garage Area]])+Inventory[[#This Row],[Mdl Res Intercept]],-2)</f>
        <v>334500</v>
      </c>
      <c r="BB298" s="30">
        <f>ROUND(Inventory[[#This Row],[Mdl Land Intercept]]+Inventory[[#This Row],[Mdl LnAcres]],-2)</f>
        <v>64300</v>
      </c>
      <c r="BC298" s="30">
        <f>Inventory[[#This Row],[Unadj Res Value]]+Inventory[[#This Row],[Unadj Det Value]]+Inventory[[#This Row],[Unadj Land Value]]</f>
        <v>398800</v>
      </c>
      <c r="BD298" s="30">
        <f>(Inventory[[#This Row],[Unadj Total Value]]-Inventory[[#This Row],[24Final]])/Inventory[[#This Row],[24Final]]</f>
        <v>2.4929324081213056E-2</v>
      </c>
      <c r="BE298" s="30">
        <f>VLOOKUP(Inventory[[#This Row],[Nbhd]],Lookups!$M$3:$P$5,4,FALSE)</f>
        <v>0.99970000000000003</v>
      </c>
      <c r="BF298" s="30">
        <f>VLOOKUP(Inventory[[#This Row],[Qlty]],Lookups!$M$8:$P$22,4,FALSE)</f>
        <v>0.99819999999999998</v>
      </c>
      <c r="BG298" s="30">
        <f>VLOOKUP(Inventory[[#This Row],[Cnd]],Lookups!$R$8:$U$17,4,FALSE)</f>
        <v>1.0007999999999999</v>
      </c>
      <c r="BH298" s="30">
        <f>VLOOKUP(Inventory[[#This Row],[LivArea Range]],Lookups!$R$25:$U$43,4,FALSE)</f>
        <v>1.0007999999999999</v>
      </c>
      <c r="BI298" s="30">
        <f>VLOOKUP(Inventory[[#This Row],[Decade]],Lookups!$M$24:$P$40,4,FALSE)</f>
        <v>1</v>
      </c>
      <c r="BJ298" s="30">
        <f>Inventory[[#This Row],[Nbhd Adj]]*0.95</f>
        <v>0.94971499999999998</v>
      </c>
      <c r="BK298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298" s="30">
        <f>ROUND((SUM(Inventory[[#This Row],[Mdl Qlty]:[Mdl Garage Area]])+Inventory[[#This Row],[Mdl Res Intercept]])*Inventory[[#This Row],[Res Adj ]],-2)</f>
        <v>317800</v>
      </c>
      <c r="BM298" s="30">
        <f>ROUND(Inventory[[#This Row],[25Det]]*Inventory[[#This Row],[Det/Nbhd Adj]],-2)</f>
        <v>0</v>
      </c>
      <c r="BN298" s="30">
        <f>Inventory[[#This Row],[Adjusted Res]]+Inventory[[#This Row],[Adj Det ]]</f>
        <v>317800</v>
      </c>
      <c r="BO298" s="30">
        <f>ROUND((Inventory[[#This Row],[Mdl Land Intercept]]+Inventory[[#This Row],[Mdl LnAcres]])*Inventory[[#This Row],[Det/Nbhd Adj]],-2)</f>
        <v>61100</v>
      </c>
      <c r="BP298" s="30">
        <f>Inventory[[#This Row],[Adjusted Impr Total]]+Inventory[[#This Row],[Adjusted Land Total]]</f>
        <v>378900</v>
      </c>
      <c r="BQ298" s="30">
        <f>IFERROR((Inventory[[#This Row],[Adjusted Impr Total]]-Inventory[[#This Row],[24Bldg]])/Inventory[[#This Row],[24Bldg]],0)</f>
        <v>-3.1982942430703626E-2</v>
      </c>
      <c r="BR298" s="43">
        <f>(Inventory[[#This Row],[Adjusted Land Total]]-Inventory[[#This Row],[24Lnd]])/Inventory[[#This Row],[24Lnd]]</f>
        <v>4.9342105263157892E-3</v>
      </c>
      <c r="BS298" s="43">
        <f>(Inventory[[#This Row],[Adjusted Total]]-Inventory[[#This Row],[24Final]])/Inventory[[#This Row],[24Final]]</f>
        <v>-2.6214340786430222E-2</v>
      </c>
    </row>
    <row r="299" spans="1:71">
      <c r="A299" s="30">
        <v>2025</v>
      </c>
      <c r="B299" s="31" t="s">
        <v>812</v>
      </c>
      <c r="C299" s="31">
        <f>LN(Inventory[[#This Row],[Acres]])</f>
        <v>-1.8325814637483102</v>
      </c>
      <c r="D299" s="30">
        <v>0.16</v>
      </c>
      <c r="E299" s="30">
        <v>7058</v>
      </c>
      <c r="F299" s="31" t="s">
        <v>505</v>
      </c>
      <c r="G299" s="31" t="s">
        <v>155</v>
      </c>
      <c r="H299" s="31" t="s">
        <v>5</v>
      </c>
      <c r="I299" s="31" t="s">
        <v>506</v>
      </c>
      <c r="J299" s="31" t="s">
        <v>507</v>
      </c>
      <c r="K299" s="31" t="s">
        <v>330</v>
      </c>
      <c r="L299" s="31" t="s">
        <v>19</v>
      </c>
      <c r="M299" s="31" t="s">
        <v>22</v>
      </c>
      <c r="N299" s="31">
        <v>0</v>
      </c>
      <c r="O299" s="31">
        <f>2024-Inventory[[#This Row],[YrBlt]]</f>
        <v>9</v>
      </c>
      <c r="P299" s="31">
        <f>2024-Inventory[[#This Row],[EffYr]]</f>
        <v>9</v>
      </c>
      <c r="Q299" s="30">
        <v>2015</v>
      </c>
      <c r="R299" s="30">
        <v>2015</v>
      </c>
      <c r="S299" s="30">
        <v>1600</v>
      </c>
      <c r="T299" s="32"/>
      <c r="U299" s="32"/>
      <c r="V299" s="32"/>
      <c r="W299" s="32"/>
      <c r="X299" s="32">
        <f>Inventory[[#This Row],[Bsmt Area]]-Inventory[[#This Row],[FnBsmt]]</f>
        <v>0</v>
      </c>
      <c r="Y299" s="32">
        <f>Inventory[[#This Row],[MainFn]]+Inventory[[#This Row],[UpprFn]]+Inventory[[#This Row],[AddFn]]+Inventory[[#This Row],[FnBsmt]]</f>
        <v>1600</v>
      </c>
      <c r="Z299" s="32">
        <v>2000</v>
      </c>
      <c r="AA299" s="31" t="s">
        <v>56</v>
      </c>
      <c r="AB299" s="32"/>
      <c r="AC299" s="30">
        <v>440</v>
      </c>
      <c r="AD299" s="32"/>
      <c r="AE299" s="32"/>
      <c r="AF299" s="32"/>
      <c r="AG299" s="32"/>
      <c r="AH299" s="32"/>
      <c r="AI299" s="30">
        <v>313009</v>
      </c>
      <c r="AJ299" s="30">
        <v>300489</v>
      </c>
      <c r="AK299" s="30">
        <v>0</v>
      </c>
      <c r="AL299" s="30">
        <v>0</v>
      </c>
      <c r="AM299" s="30">
        <v>60800</v>
      </c>
      <c r="AN299" s="30">
        <v>328300</v>
      </c>
      <c r="AO299" s="30">
        <v>389100</v>
      </c>
      <c r="AP299" s="30">
        <f>Lookups!$B$58*0.6</f>
        <v>132535.48800000001</v>
      </c>
      <c r="AQ299" s="30">
        <f>Lookups!$B$58*0.4</f>
        <v>88356.992000000013</v>
      </c>
      <c r="AR299" s="30">
        <f>Lookups!$B$59*Inventory[[#This Row],[LnAcres]]</f>
        <v>-24051.387388882686</v>
      </c>
      <c r="AS299" s="30">
        <f>VLOOKUP(Inventory[[#This Row],[Qlty]],Lookups!$A$66:$E$79,2,FALSE)</f>
        <v>37154.252388000001</v>
      </c>
      <c r="AT299" s="30">
        <f>VLOOKUP(Inventory[[#This Row],[Cnd]],Lookups!$A$80:$E$88,2,FALSE)</f>
        <v>50438.379078999998</v>
      </c>
      <c r="AU299" s="30">
        <f>Inventory[[#This Row],[EffAge]]*Lookups!$B$65</f>
        <v>-978.66989999999998</v>
      </c>
      <c r="AV299" s="30">
        <f>Inventory[[#This Row],[MainFn]]*Lookups!$B$90</f>
        <v>99856.608000000007</v>
      </c>
      <c r="AW299" s="30">
        <f>Inventory[[#This Row],[UpprFn]]*Lookups!$B$91</f>
        <v>0</v>
      </c>
      <c r="AX299" s="30">
        <f>Inventory[[#This Row],[Bsmt Area]]*Lookups!$B$95</f>
        <v>0</v>
      </c>
      <c r="AY299" s="30">
        <f>Inventory[[#This Row],[AttGar]]*Lookups!$B$93</f>
        <v>15532.453640000002</v>
      </c>
      <c r="AZ299" s="30">
        <f>ROUND(Inventory[[#This Row],[25Det]],-2)</f>
        <v>0</v>
      </c>
      <c r="BA299" s="30">
        <f>ROUND(SUM(Inventory[[#This Row],[Mdl Qlty]:[Mdl Garage Area]])+Inventory[[#This Row],[Mdl Res Intercept]],-2)</f>
        <v>334500</v>
      </c>
      <c r="BB299" s="30">
        <f>ROUND(Inventory[[#This Row],[Mdl Land Intercept]]+Inventory[[#This Row],[Mdl LnAcres]],-2)</f>
        <v>64300</v>
      </c>
      <c r="BC299" s="30">
        <f>Inventory[[#This Row],[Unadj Res Value]]+Inventory[[#This Row],[Unadj Det Value]]+Inventory[[#This Row],[Unadj Land Value]]</f>
        <v>398800</v>
      </c>
      <c r="BD299" s="30">
        <f>(Inventory[[#This Row],[Unadj Total Value]]-Inventory[[#This Row],[24Final]])/Inventory[[#This Row],[24Final]]</f>
        <v>2.4929324081213056E-2</v>
      </c>
      <c r="BE299" s="30">
        <f>VLOOKUP(Inventory[[#This Row],[Nbhd]],Lookups!$M$3:$P$5,4,FALSE)</f>
        <v>0.99970000000000003</v>
      </c>
      <c r="BF299" s="30">
        <f>VLOOKUP(Inventory[[#This Row],[Qlty]],Lookups!$M$8:$P$22,4,FALSE)</f>
        <v>0.99819999999999998</v>
      </c>
      <c r="BG299" s="30">
        <f>VLOOKUP(Inventory[[#This Row],[Cnd]],Lookups!$R$8:$U$17,4,FALSE)</f>
        <v>1.0007999999999999</v>
      </c>
      <c r="BH299" s="30">
        <f>VLOOKUP(Inventory[[#This Row],[LivArea Range]],Lookups!$R$25:$U$43,4,FALSE)</f>
        <v>1.0007999999999999</v>
      </c>
      <c r="BI299" s="30">
        <f>VLOOKUP(Inventory[[#This Row],[Decade]],Lookups!$M$24:$P$40,4,FALSE)</f>
        <v>1</v>
      </c>
      <c r="BJ299" s="30">
        <f>Inventory[[#This Row],[Nbhd Adj]]*0.95</f>
        <v>0.94971499999999998</v>
      </c>
      <c r="BK299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299" s="30">
        <f>ROUND((SUM(Inventory[[#This Row],[Mdl Qlty]:[Mdl Garage Area]])+Inventory[[#This Row],[Mdl Res Intercept]])*Inventory[[#This Row],[Res Adj ]],-2)</f>
        <v>317800</v>
      </c>
      <c r="BM299" s="30">
        <f>ROUND(Inventory[[#This Row],[25Det]]*Inventory[[#This Row],[Det/Nbhd Adj]],-2)</f>
        <v>0</v>
      </c>
      <c r="BN299" s="30">
        <f>Inventory[[#This Row],[Adjusted Res]]+Inventory[[#This Row],[Adj Det ]]</f>
        <v>317800</v>
      </c>
      <c r="BO299" s="30">
        <f>ROUND((Inventory[[#This Row],[Mdl Land Intercept]]+Inventory[[#This Row],[Mdl LnAcres]])*Inventory[[#This Row],[Det/Nbhd Adj]],-2)</f>
        <v>61100</v>
      </c>
      <c r="BP299" s="30">
        <f>Inventory[[#This Row],[Adjusted Impr Total]]+Inventory[[#This Row],[Adjusted Land Total]]</f>
        <v>378900</v>
      </c>
      <c r="BQ299" s="30">
        <f>IFERROR((Inventory[[#This Row],[Adjusted Impr Total]]-Inventory[[#This Row],[24Bldg]])/Inventory[[#This Row],[24Bldg]],0)</f>
        <v>-3.1982942430703626E-2</v>
      </c>
      <c r="BR299" s="43">
        <f>(Inventory[[#This Row],[Adjusted Land Total]]-Inventory[[#This Row],[24Lnd]])/Inventory[[#This Row],[24Lnd]]</f>
        <v>4.9342105263157892E-3</v>
      </c>
      <c r="BS299" s="43">
        <f>(Inventory[[#This Row],[Adjusted Total]]-Inventory[[#This Row],[24Final]])/Inventory[[#This Row],[24Final]]</f>
        <v>-2.6214340786430222E-2</v>
      </c>
    </row>
    <row r="300" spans="1:71">
      <c r="A300" s="30">
        <v>2025</v>
      </c>
      <c r="B300" s="31" t="s">
        <v>813</v>
      </c>
      <c r="C300" s="31">
        <f>LN(Inventory[[#This Row],[Acres]])</f>
        <v>-1.8325814637483102</v>
      </c>
      <c r="D300" s="30">
        <v>0.16</v>
      </c>
      <c r="E300" s="30">
        <v>7058</v>
      </c>
      <c r="F300" s="31" t="s">
        <v>505</v>
      </c>
      <c r="G300" s="31" t="s">
        <v>155</v>
      </c>
      <c r="H300" s="31" t="s">
        <v>5</v>
      </c>
      <c r="I300" s="31" t="s">
        <v>506</v>
      </c>
      <c r="J300" s="31" t="s">
        <v>507</v>
      </c>
      <c r="K300" s="31" t="s">
        <v>330</v>
      </c>
      <c r="L300" s="31" t="s">
        <v>21</v>
      </c>
      <c r="M300" s="31" t="s">
        <v>22</v>
      </c>
      <c r="N300" s="31">
        <v>0</v>
      </c>
      <c r="O300" s="31">
        <f>2024-Inventory[[#This Row],[YrBlt]]</f>
        <v>9</v>
      </c>
      <c r="P300" s="31">
        <f>2024-Inventory[[#This Row],[EffYr]]</f>
        <v>9</v>
      </c>
      <c r="Q300" s="30">
        <v>2015</v>
      </c>
      <c r="R300" s="30">
        <v>2015</v>
      </c>
      <c r="S300" s="30">
        <v>1593</v>
      </c>
      <c r="T300" s="38">
        <v>1252</v>
      </c>
      <c r="U300" s="32"/>
      <c r="V300" s="32"/>
      <c r="W300" s="32"/>
      <c r="X300" s="32">
        <f>Inventory[[#This Row],[Bsmt Area]]-Inventory[[#This Row],[FnBsmt]]</f>
        <v>0</v>
      </c>
      <c r="Y300" s="32">
        <f>Inventory[[#This Row],[MainFn]]+Inventory[[#This Row],[UpprFn]]+Inventory[[#This Row],[AddFn]]+Inventory[[#This Row],[FnBsmt]]</f>
        <v>2845</v>
      </c>
      <c r="Z300" s="32">
        <v>3000</v>
      </c>
      <c r="AA300" s="31" t="s">
        <v>56</v>
      </c>
      <c r="AB300" s="32"/>
      <c r="AC300" s="30">
        <v>706</v>
      </c>
      <c r="AD300" s="32"/>
      <c r="AE300" s="32"/>
      <c r="AF300" s="32"/>
      <c r="AG300" s="32"/>
      <c r="AH300" s="32"/>
      <c r="AI300" s="30">
        <v>559794</v>
      </c>
      <c r="AJ300" s="30">
        <v>537402</v>
      </c>
      <c r="AK300" s="30">
        <v>0</v>
      </c>
      <c r="AL300" s="30">
        <v>0</v>
      </c>
      <c r="AM300" s="30">
        <v>60800</v>
      </c>
      <c r="AN300" s="30">
        <v>402100</v>
      </c>
      <c r="AO300" s="30">
        <v>462900</v>
      </c>
      <c r="AP300" s="30">
        <f>Lookups!$B$58*0.6</f>
        <v>132535.48800000001</v>
      </c>
      <c r="AQ300" s="30">
        <f>Lookups!$B$58*0.4</f>
        <v>88356.992000000013</v>
      </c>
      <c r="AR300" s="30">
        <f>Lookups!$B$59*Inventory[[#This Row],[LnAcres]]</f>
        <v>-24051.387388882686</v>
      </c>
      <c r="AS300" s="30">
        <f>VLOOKUP(Inventory[[#This Row],[Qlty]],Lookups!$A$66:$E$79,2,FALSE)</f>
        <v>32917.849192000001</v>
      </c>
      <c r="AT300" s="30">
        <f>VLOOKUP(Inventory[[#This Row],[Cnd]],Lookups!$A$80:$E$88,2,FALSE)</f>
        <v>50438.379078999998</v>
      </c>
      <c r="AU300" s="30">
        <f>Inventory[[#This Row],[EffAge]]*Lookups!$B$65</f>
        <v>-978.66989999999998</v>
      </c>
      <c r="AV300" s="30">
        <f>Inventory[[#This Row],[MainFn]]*Lookups!$B$90</f>
        <v>99419.735339999999</v>
      </c>
      <c r="AW300" s="30">
        <f>Inventory[[#This Row],[UpprFn]]*Lookups!$B$91</f>
        <v>74594.639515999996</v>
      </c>
      <c r="AX300" s="30">
        <f>Inventory[[#This Row],[Bsmt Area]]*Lookups!$B$95</f>
        <v>0</v>
      </c>
      <c r="AY300" s="30">
        <f>Inventory[[#This Row],[AttGar]]*Lookups!$B$93</f>
        <v>24922.527886</v>
      </c>
      <c r="AZ300" s="30">
        <f>ROUND(Inventory[[#This Row],[25Det]],-2)</f>
        <v>0</v>
      </c>
      <c r="BA300" s="30">
        <f>ROUND(SUM(Inventory[[#This Row],[Mdl Qlty]:[Mdl Garage Area]])+Inventory[[#This Row],[Mdl Res Intercept]],-2)</f>
        <v>413800</v>
      </c>
      <c r="BB300" s="30">
        <f>ROUND(Inventory[[#This Row],[Mdl Land Intercept]]+Inventory[[#This Row],[Mdl LnAcres]],-2)</f>
        <v>64300</v>
      </c>
      <c r="BC300" s="30">
        <f>Inventory[[#This Row],[Unadj Res Value]]+Inventory[[#This Row],[Unadj Det Value]]+Inventory[[#This Row],[Unadj Land Value]]</f>
        <v>478100</v>
      </c>
      <c r="BD300" s="30">
        <f>(Inventory[[#This Row],[Unadj Total Value]]-Inventory[[#This Row],[24Final]])/Inventory[[#This Row],[24Final]]</f>
        <v>3.2836465759343271E-2</v>
      </c>
      <c r="BE300" s="30">
        <f>VLOOKUP(Inventory[[#This Row],[Nbhd]],Lookups!$M$3:$P$5,4,FALSE)</f>
        <v>0.99970000000000003</v>
      </c>
      <c r="BF300" s="30">
        <f>VLOOKUP(Inventory[[#This Row],[Qlty]],Lookups!$M$8:$P$22,4,FALSE)</f>
        <v>1.0019</v>
      </c>
      <c r="BG300" s="30">
        <f>VLOOKUP(Inventory[[#This Row],[Cnd]],Lookups!$R$8:$U$17,4,FALSE)</f>
        <v>1.0007999999999999</v>
      </c>
      <c r="BH300" s="30">
        <f>VLOOKUP(Inventory[[#This Row],[LivArea Range]],Lookups!$R$25:$U$43,4,FALSE)</f>
        <v>1.0099</v>
      </c>
      <c r="BI300" s="30">
        <f>VLOOKUP(Inventory[[#This Row],[Decade]],Lookups!$M$24:$P$40,4,FALSE)</f>
        <v>1</v>
      </c>
      <c r="BJ300" s="30">
        <f>Inventory[[#This Row],[Nbhd Adj]]*0.95</f>
        <v>0.94971499999999998</v>
      </c>
      <c r="BK300" s="30">
        <f>AVERAGE(Inventory[[#This Row],[Nbhd Adj]],Inventory[[#This Row],[Quality Adj]],Inventory[[#This Row],[Condition Adj]],Inventory[[#This Row],[Living Area Adj]],Inventory[[#This Row],[Decade Adj]])*0.95</f>
        <v>0.95233699999999988</v>
      </c>
      <c r="BL300" s="30">
        <f>ROUND((SUM(Inventory[[#This Row],[Mdl Qlty]:[Mdl Garage Area]])+Inventory[[#This Row],[Mdl Res Intercept]])*Inventory[[#This Row],[Res Adj ]],-2)</f>
        <v>394100</v>
      </c>
      <c r="BM300" s="30">
        <f>ROUND(Inventory[[#This Row],[25Det]]*Inventory[[#This Row],[Det/Nbhd Adj]],-2)</f>
        <v>0</v>
      </c>
      <c r="BN300" s="30">
        <f>Inventory[[#This Row],[Adjusted Res]]+Inventory[[#This Row],[Adj Det ]]</f>
        <v>394100</v>
      </c>
      <c r="BO300" s="30">
        <f>ROUND((Inventory[[#This Row],[Mdl Land Intercept]]+Inventory[[#This Row],[Mdl LnAcres]])*Inventory[[#This Row],[Det/Nbhd Adj]],-2)</f>
        <v>61100</v>
      </c>
      <c r="BP300" s="30">
        <f>Inventory[[#This Row],[Adjusted Impr Total]]+Inventory[[#This Row],[Adjusted Land Total]]</f>
        <v>455200</v>
      </c>
      <c r="BQ300" s="30">
        <f>IFERROR((Inventory[[#This Row],[Adjusted Impr Total]]-Inventory[[#This Row],[24Bldg]])/Inventory[[#This Row],[24Bldg]],0)</f>
        <v>-1.9895548371051976E-2</v>
      </c>
      <c r="BR300" s="43">
        <f>(Inventory[[#This Row],[Adjusted Land Total]]-Inventory[[#This Row],[24Lnd]])/Inventory[[#This Row],[24Lnd]]</f>
        <v>4.9342105263157892E-3</v>
      </c>
      <c r="BS300" s="43">
        <f>(Inventory[[#This Row],[Adjusted Total]]-Inventory[[#This Row],[24Final]])/Inventory[[#This Row],[24Final]]</f>
        <v>-1.6634262259667316E-2</v>
      </c>
    </row>
    <row r="301" spans="1:71">
      <c r="A301" s="30">
        <v>2025</v>
      </c>
      <c r="B301" s="31" t="s">
        <v>814</v>
      </c>
      <c r="C301" s="31">
        <f>LN(Inventory[[#This Row],[Acres]])</f>
        <v>-1.8325814637483102</v>
      </c>
      <c r="D301" s="30">
        <v>0.16</v>
      </c>
      <c r="E301" s="30">
        <v>7058</v>
      </c>
      <c r="F301" s="31" t="s">
        <v>505</v>
      </c>
      <c r="G301" s="31" t="s">
        <v>155</v>
      </c>
      <c r="H301" s="31" t="s">
        <v>5</v>
      </c>
      <c r="I301" s="31" t="s">
        <v>506</v>
      </c>
      <c r="J301" s="31" t="s">
        <v>507</v>
      </c>
      <c r="K301" s="31" t="s">
        <v>330</v>
      </c>
      <c r="L301" s="31" t="s">
        <v>21</v>
      </c>
      <c r="M301" s="31" t="s">
        <v>22</v>
      </c>
      <c r="N301" s="31">
        <v>0</v>
      </c>
      <c r="O301" s="31">
        <f>2024-Inventory[[#This Row],[YrBlt]]</f>
        <v>9</v>
      </c>
      <c r="P301" s="31">
        <f>2024-Inventory[[#This Row],[EffYr]]</f>
        <v>9</v>
      </c>
      <c r="Q301" s="30">
        <v>2015</v>
      </c>
      <c r="R301" s="30">
        <v>2015</v>
      </c>
      <c r="S301" s="30">
        <v>1749</v>
      </c>
      <c r="T301" s="32"/>
      <c r="U301" s="32"/>
      <c r="V301" s="32"/>
      <c r="W301" s="32"/>
      <c r="X301" s="32">
        <f>Inventory[[#This Row],[Bsmt Area]]-Inventory[[#This Row],[FnBsmt]]</f>
        <v>0</v>
      </c>
      <c r="Y301" s="32">
        <f>Inventory[[#This Row],[MainFn]]+Inventory[[#This Row],[UpprFn]]+Inventory[[#This Row],[AddFn]]+Inventory[[#This Row],[FnBsmt]]</f>
        <v>1749</v>
      </c>
      <c r="Z301" s="32">
        <v>2000</v>
      </c>
      <c r="AA301" s="31" t="s">
        <v>56</v>
      </c>
      <c r="AB301" s="38">
        <v>1</v>
      </c>
      <c r="AC301" s="38">
        <v>441</v>
      </c>
      <c r="AD301" s="32"/>
      <c r="AE301" s="32"/>
      <c r="AF301" s="32"/>
      <c r="AG301" s="32"/>
      <c r="AH301" s="32"/>
      <c r="AI301" s="30">
        <v>375868</v>
      </c>
      <c r="AJ301" s="30">
        <v>360833</v>
      </c>
      <c r="AK301" s="30">
        <v>0</v>
      </c>
      <c r="AL301" s="30">
        <v>0</v>
      </c>
      <c r="AM301" s="30">
        <v>60800</v>
      </c>
      <c r="AN301" s="30">
        <v>322100</v>
      </c>
      <c r="AO301" s="30">
        <v>382900</v>
      </c>
      <c r="AP301" s="30">
        <f>Lookups!$B$58*0.6</f>
        <v>132535.48800000001</v>
      </c>
      <c r="AQ301" s="30">
        <f>Lookups!$B$58*0.4</f>
        <v>88356.992000000013</v>
      </c>
      <c r="AR301" s="30">
        <f>Lookups!$B$59*Inventory[[#This Row],[LnAcres]]</f>
        <v>-24051.387388882686</v>
      </c>
      <c r="AS301" s="30">
        <f>VLOOKUP(Inventory[[#This Row],[Qlty]],Lookups!$A$66:$E$79,2,FALSE)</f>
        <v>32917.849192000001</v>
      </c>
      <c r="AT301" s="30">
        <f>VLOOKUP(Inventory[[#This Row],[Cnd]],Lookups!$A$80:$E$88,2,FALSE)</f>
        <v>50438.379078999998</v>
      </c>
      <c r="AU301" s="30">
        <f>Inventory[[#This Row],[EffAge]]*Lookups!$B$65</f>
        <v>-978.66989999999998</v>
      </c>
      <c r="AV301" s="30">
        <f>Inventory[[#This Row],[MainFn]]*Lookups!$B$90</f>
        <v>109155.75462000001</v>
      </c>
      <c r="AW301" s="30">
        <f>Inventory[[#This Row],[UpprFn]]*Lookups!$B$91</f>
        <v>0</v>
      </c>
      <c r="AX301" s="30">
        <f>Inventory[[#This Row],[Bsmt Area]]*Lookups!$B$95</f>
        <v>0</v>
      </c>
      <c r="AY301" s="30">
        <f>Inventory[[#This Row],[AttGar]]*Lookups!$B$93</f>
        <v>15567.754671000001</v>
      </c>
      <c r="AZ301" s="30">
        <f>ROUND(Inventory[[#This Row],[25Det]],-2)</f>
        <v>0</v>
      </c>
      <c r="BA301" s="30">
        <f>ROUND(SUM(Inventory[[#This Row],[Mdl Qlty]:[Mdl Garage Area]])+Inventory[[#This Row],[Mdl Res Intercept]],-2)</f>
        <v>339600</v>
      </c>
      <c r="BB301" s="30">
        <f>ROUND(Inventory[[#This Row],[Mdl Land Intercept]]+Inventory[[#This Row],[Mdl LnAcres]],-2)</f>
        <v>64300</v>
      </c>
      <c r="BC301" s="30">
        <f>Inventory[[#This Row],[Unadj Res Value]]+Inventory[[#This Row],[Unadj Det Value]]+Inventory[[#This Row],[Unadj Land Value]]</f>
        <v>403900</v>
      </c>
      <c r="BD301" s="30">
        <f>(Inventory[[#This Row],[Unadj Total Value]]-Inventory[[#This Row],[24Final]])/Inventory[[#This Row],[24Final]]</f>
        <v>5.4844606946983544E-2</v>
      </c>
      <c r="BE301" s="30">
        <f>VLOOKUP(Inventory[[#This Row],[Nbhd]],Lookups!$M$3:$P$5,4,FALSE)</f>
        <v>0.99970000000000003</v>
      </c>
      <c r="BF301" s="30">
        <f>VLOOKUP(Inventory[[#This Row],[Qlty]],Lookups!$M$8:$P$22,4,FALSE)</f>
        <v>1.0019</v>
      </c>
      <c r="BG301" s="30">
        <f>VLOOKUP(Inventory[[#This Row],[Cnd]],Lookups!$R$8:$U$17,4,FALSE)</f>
        <v>1.0007999999999999</v>
      </c>
      <c r="BH301" s="30">
        <f>VLOOKUP(Inventory[[#This Row],[LivArea Range]],Lookups!$R$25:$U$43,4,FALSE)</f>
        <v>1.0007999999999999</v>
      </c>
      <c r="BI301" s="30">
        <f>VLOOKUP(Inventory[[#This Row],[Decade]],Lookups!$M$24:$P$40,4,FALSE)</f>
        <v>1</v>
      </c>
      <c r="BJ301" s="30">
        <f>Inventory[[#This Row],[Nbhd Adj]]*0.95</f>
        <v>0.94971499999999998</v>
      </c>
      <c r="BK301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301" s="30">
        <f>ROUND((SUM(Inventory[[#This Row],[Mdl Qlty]:[Mdl Garage Area]])+Inventory[[#This Row],[Mdl Res Intercept]])*Inventory[[#This Row],[Res Adj ]],-2)</f>
        <v>322900</v>
      </c>
      <c r="BM301" s="30">
        <f>ROUND(Inventory[[#This Row],[25Det]]*Inventory[[#This Row],[Det/Nbhd Adj]],-2)</f>
        <v>0</v>
      </c>
      <c r="BN301" s="30">
        <f>Inventory[[#This Row],[Adjusted Res]]+Inventory[[#This Row],[Adj Det ]]</f>
        <v>322900</v>
      </c>
      <c r="BO301" s="30">
        <f>ROUND((Inventory[[#This Row],[Mdl Land Intercept]]+Inventory[[#This Row],[Mdl LnAcres]])*Inventory[[#This Row],[Det/Nbhd Adj]],-2)</f>
        <v>61100</v>
      </c>
      <c r="BP301" s="30">
        <f>Inventory[[#This Row],[Adjusted Impr Total]]+Inventory[[#This Row],[Adjusted Land Total]]</f>
        <v>384000</v>
      </c>
      <c r="BQ301" s="30">
        <f>IFERROR((Inventory[[#This Row],[Adjusted Impr Total]]-Inventory[[#This Row],[24Bldg]])/Inventory[[#This Row],[24Bldg]],0)</f>
        <v>2.4837007140639552E-3</v>
      </c>
      <c r="BR301" s="43">
        <f>(Inventory[[#This Row],[Adjusted Land Total]]-Inventory[[#This Row],[24Lnd]])/Inventory[[#This Row],[24Lnd]]</f>
        <v>4.9342105263157892E-3</v>
      </c>
      <c r="BS301" s="43">
        <f>(Inventory[[#This Row],[Adjusted Total]]-Inventory[[#This Row],[24Final]])/Inventory[[#This Row],[24Final]]</f>
        <v>2.8728127448419951E-3</v>
      </c>
    </row>
    <row r="302" spans="1:71">
      <c r="A302" s="30">
        <v>2025</v>
      </c>
      <c r="B302" s="31" t="s">
        <v>815</v>
      </c>
      <c r="C302" s="31">
        <f>LN(Inventory[[#This Row],[Acres]])</f>
        <v>-1.7719568419318752</v>
      </c>
      <c r="D302" s="30">
        <v>0.17</v>
      </c>
      <c r="E302" s="30">
        <v>7435</v>
      </c>
      <c r="F302" s="31" t="s">
        <v>505</v>
      </c>
      <c r="G302" s="31" t="s">
        <v>155</v>
      </c>
      <c r="H302" s="31" t="s">
        <v>5</v>
      </c>
      <c r="I302" s="31" t="s">
        <v>506</v>
      </c>
      <c r="J302" s="31" t="s">
        <v>507</v>
      </c>
      <c r="K302" s="31" t="s">
        <v>330</v>
      </c>
      <c r="L302" s="31" t="s">
        <v>23</v>
      </c>
      <c r="M302" s="31" t="s">
        <v>22</v>
      </c>
      <c r="N302" s="31">
        <v>0</v>
      </c>
      <c r="O302" s="31">
        <f>2024-Inventory[[#This Row],[YrBlt]]</f>
        <v>9</v>
      </c>
      <c r="P302" s="31">
        <f>2024-Inventory[[#This Row],[EffYr]]</f>
        <v>9</v>
      </c>
      <c r="Q302" s="30">
        <v>2015</v>
      </c>
      <c r="R302" s="30">
        <v>2015</v>
      </c>
      <c r="S302" s="30">
        <v>1593</v>
      </c>
      <c r="T302" s="38">
        <v>1252</v>
      </c>
      <c r="U302" s="32"/>
      <c r="V302" s="32"/>
      <c r="W302" s="32"/>
      <c r="X302" s="32">
        <f>Inventory[[#This Row],[Bsmt Area]]-Inventory[[#This Row],[FnBsmt]]</f>
        <v>0</v>
      </c>
      <c r="Y302" s="32">
        <f>Inventory[[#This Row],[MainFn]]+Inventory[[#This Row],[UpprFn]]+Inventory[[#This Row],[AddFn]]+Inventory[[#This Row],[FnBsmt]]</f>
        <v>2845</v>
      </c>
      <c r="Z302" s="32">
        <v>3000</v>
      </c>
      <c r="AA302" s="31" t="s">
        <v>57</v>
      </c>
      <c r="AB302" s="38">
        <v>1</v>
      </c>
      <c r="AC302" s="30">
        <v>682</v>
      </c>
      <c r="AD302" s="32"/>
      <c r="AE302" s="32"/>
      <c r="AF302" s="32"/>
      <c r="AG302" s="32"/>
      <c r="AH302" s="32"/>
      <c r="AI302" s="30">
        <v>621673</v>
      </c>
      <c r="AJ302" s="30">
        <v>596806</v>
      </c>
      <c r="AK302" s="30">
        <v>0</v>
      </c>
      <c r="AL302" s="30">
        <v>0</v>
      </c>
      <c r="AM302" s="30">
        <v>61700</v>
      </c>
      <c r="AN302" s="30">
        <v>431300</v>
      </c>
      <c r="AO302" s="30">
        <v>493000</v>
      </c>
      <c r="AP302" s="30">
        <f>Lookups!$B$58*0.6</f>
        <v>132535.48800000001</v>
      </c>
      <c r="AQ302" s="30">
        <f>Lookups!$B$58*0.4</f>
        <v>88356.992000000013</v>
      </c>
      <c r="AR302" s="30">
        <f>Lookups!$B$59*Inventory[[#This Row],[LnAcres]]</f>
        <v>-23255.730391660189</v>
      </c>
      <c r="AS302" s="30">
        <f>VLOOKUP(Inventory[[#This Row],[Qlty]],Lookups!$A$66:$E$79,2,FALSE)</f>
        <v>39366.494398000003</v>
      </c>
      <c r="AT302" s="30">
        <f>VLOOKUP(Inventory[[#This Row],[Cnd]],Lookups!$A$80:$E$88,2,FALSE)</f>
        <v>50438.379078999998</v>
      </c>
      <c r="AU302" s="30">
        <f>Inventory[[#This Row],[EffAge]]*Lookups!$B$65</f>
        <v>-978.66989999999998</v>
      </c>
      <c r="AV302" s="30">
        <f>Inventory[[#This Row],[MainFn]]*Lookups!$B$90</f>
        <v>99419.735339999999</v>
      </c>
      <c r="AW302" s="30">
        <f>Inventory[[#This Row],[UpprFn]]*Lookups!$B$91</f>
        <v>74594.639515999996</v>
      </c>
      <c r="AX302" s="30">
        <f>Inventory[[#This Row],[Bsmt Area]]*Lookups!$B$95</f>
        <v>0</v>
      </c>
      <c r="AY302" s="30">
        <f>Inventory[[#This Row],[AttGar]]*Lookups!$B$93</f>
        <v>24075.303142000001</v>
      </c>
      <c r="AZ302" s="30">
        <f>ROUND(Inventory[[#This Row],[25Det]],-2)</f>
        <v>0</v>
      </c>
      <c r="BA302" s="30">
        <f>ROUND(SUM(Inventory[[#This Row],[Mdl Qlty]:[Mdl Garage Area]])+Inventory[[#This Row],[Mdl Res Intercept]],-2)</f>
        <v>419500</v>
      </c>
      <c r="BB302" s="30">
        <f>ROUND(Inventory[[#This Row],[Mdl Land Intercept]]+Inventory[[#This Row],[Mdl LnAcres]],-2)</f>
        <v>65100</v>
      </c>
      <c r="BC302" s="30">
        <f>Inventory[[#This Row],[Unadj Res Value]]+Inventory[[#This Row],[Unadj Det Value]]+Inventory[[#This Row],[Unadj Land Value]]</f>
        <v>484600</v>
      </c>
      <c r="BD302" s="30">
        <f>(Inventory[[#This Row],[Unadj Total Value]]-Inventory[[#This Row],[24Final]])/Inventory[[#This Row],[24Final]]</f>
        <v>-1.7038539553752535E-2</v>
      </c>
      <c r="BE302" s="30">
        <f>VLOOKUP(Inventory[[#This Row],[Nbhd]],Lookups!$M$3:$P$5,4,FALSE)</f>
        <v>0.99970000000000003</v>
      </c>
      <c r="BF302" s="30">
        <f>VLOOKUP(Inventory[[#This Row],[Qlty]],Lookups!$M$8:$P$22,4,FALSE)</f>
        <v>0.99980000000000002</v>
      </c>
      <c r="BG302" s="30">
        <f>VLOOKUP(Inventory[[#This Row],[Cnd]],Lookups!$R$8:$U$17,4,FALSE)</f>
        <v>1.0007999999999999</v>
      </c>
      <c r="BH302" s="30">
        <f>VLOOKUP(Inventory[[#This Row],[LivArea Range]],Lookups!$R$25:$U$43,4,FALSE)</f>
        <v>1.0099</v>
      </c>
      <c r="BI302" s="30">
        <f>VLOOKUP(Inventory[[#This Row],[Decade]],Lookups!$M$24:$P$40,4,FALSE)</f>
        <v>1</v>
      </c>
      <c r="BJ302" s="30">
        <f>Inventory[[#This Row],[Nbhd Adj]]*0.95</f>
        <v>0.94971499999999998</v>
      </c>
      <c r="BK302" s="30">
        <f>AVERAGE(Inventory[[#This Row],[Nbhd Adj]],Inventory[[#This Row],[Quality Adj]],Inventory[[#This Row],[Condition Adj]],Inventory[[#This Row],[Living Area Adj]],Inventory[[#This Row],[Decade Adj]])*0.95</f>
        <v>0.95193799999999995</v>
      </c>
      <c r="BL302" s="30">
        <f>ROUND((SUM(Inventory[[#This Row],[Mdl Qlty]:[Mdl Garage Area]])+Inventory[[#This Row],[Mdl Res Intercept]])*Inventory[[#This Row],[Res Adj ]],-2)</f>
        <v>399300</v>
      </c>
      <c r="BM302" s="30">
        <f>ROUND(Inventory[[#This Row],[25Det]]*Inventory[[#This Row],[Det/Nbhd Adj]],-2)</f>
        <v>0</v>
      </c>
      <c r="BN302" s="30">
        <f>Inventory[[#This Row],[Adjusted Res]]+Inventory[[#This Row],[Adj Det ]]</f>
        <v>399300</v>
      </c>
      <c r="BO302" s="30">
        <f>ROUND((Inventory[[#This Row],[Mdl Land Intercept]]+Inventory[[#This Row],[Mdl LnAcres]])*Inventory[[#This Row],[Det/Nbhd Adj]],-2)</f>
        <v>61800</v>
      </c>
      <c r="BP302" s="30">
        <f>Inventory[[#This Row],[Adjusted Impr Total]]+Inventory[[#This Row],[Adjusted Land Total]]</f>
        <v>461100</v>
      </c>
      <c r="BQ302" s="30">
        <f>IFERROR((Inventory[[#This Row],[Adjusted Impr Total]]-Inventory[[#This Row],[24Bldg]])/Inventory[[#This Row],[24Bldg]],0)</f>
        <v>-7.4194296313470909E-2</v>
      </c>
      <c r="BR302" s="43">
        <f>(Inventory[[#This Row],[Adjusted Land Total]]-Inventory[[#This Row],[24Lnd]])/Inventory[[#This Row],[24Lnd]]</f>
        <v>1.6207455429497568E-3</v>
      </c>
      <c r="BS302" s="43">
        <f>(Inventory[[#This Row],[Adjusted Total]]-Inventory[[#This Row],[24Final]])/Inventory[[#This Row],[24Final]]</f>
        <v>-6.4705882352941183E-2</v>
      </c>
    </row>
    <row r="303" spans="1:71">
      <c r="A303" s="30">
        <v>2025</v>
      </c>
      <c r="B303" s="31" t="s">
        <v>816</v>
      </c>
      <c r="C303" s="31">
        <f>LN(Inventory[[#This Row],[Acres]])</f>
        <v>-1.7719568419318752</v>
      </c>
      <c r="D303" s="30">
        <v>0.17</v>
      </c>
      <c r="E303" s="30">
        <v>7435</v>
      </c>
      <c r="F303" s="31" t="s">
        <v>505</v>
      </c>
      <c r="G303" s="31" t="s">
        <v>155</v>
      </c>
      <c r="H303" s="31" t="s">
        <v>5</v>
      </c>
      <c r="I303" s="31" t="s">
        <v>506</v>
      </c>
      <c r="J303" s="31" t="s">
        <v>507</v>
      </c>
      <c r="K303" s="31" t="s">
        <v>330</v>
      </c>
      <c r="L303" s="31" t="s">
        <v>19</v>
      </c>
      <c r="M303" s="31" t="s">
        <v>22</v>
      </c>
      <c r="N303" s="31">
        <v>0</v>
      </c>
      <c r="O303" s="31">
        <f>2024-Inventory[[#This Row],[YrBlt]]</f>
        <v>9</v>
      </c>
      <c r="P303" s="31">
        <f>2024-Inventory[[#This Row],[EffYr]]</f>
        <v>9</v>
      </c>
      <c r="Q303" s="30">
        <v>2015</v>
      </c>
      <c r="R303" s="30">
        <v>2015</v>
      </c>
      <c r="S303" s="30">
        <v>1126</v>
      </c>
      <c r="T303" s="38">
        <v>1126</v>
      </c>
      <c r="U303" s="32"/>
      <c r="V303" s="32"/>
      <c r="W303" s="32"/>
      <c r="X303" s="32">
        <f>Inventory[[#This Row],[Bsmt Area]]-Inventory[[#This Row],[FnBsmt]]</f>
        <v>0</v>
      </c>
      <c r="Y303" s="32">
        <f>Inventory[[#This Row],[MainFn]]+Inventory[[#This Row],[UpprFn]]+Inventory[[#This Row],[AddFn]]+Inventory[[#This Row],[FnBsmt]]</f>
        <v>2252</v>
      </c>
      <c r="Z303" s="32">
        <v>2500</v>
      </c>
      <c r="AA303" s="31" t="s">
        <v>56</v>
      </c>
      <c r="AB303" s="32"/>
      <c r="AC303" s="30">
        <v>680</v>
      </c>
      <c r="AD303" s="32"/>
      <c r="AE303" s="32"/>
      <c r="AF303" s="32"/>
      <c r="AG303" s="32"/>
      <c r="AH303" s="32"/>
      <c r="AI303" s="30">
        <v>406048</v>
      </c>
      <c r="AJ303" s="30">
        <v>389806</v>
      </c>
      <c r="AK303" s="30">
        <v>0</v>
      </c>
      <c r="AL303" s="30">
        <v>0</v>
      </c>
      <c r="AM303" s="30">
        <v>61700</v>
      </c>
      <c r="AN303" s="30">
        <v>389300</v>
      </c>
      <c r="AO303" s="30">
        <v>451000</v>
      </c>
      <c r="AP303" s="30">
        <f>Lookups!$B$58*0.6</f>
        <v>132535.48800000001</v>
      </c>
      <c r="AQ303" s="30">
        <f>Lookups!$B$58*0.4</f>
        <v>88356.992000000013</v>
      </c>
      <c r="AR303" s="30">
        <f>Lookups!$B$59*Inventory[[#This Row],[LnAcres]]</f>
        <v>-23255.730391660189</v>
      </c>
      <c r="AS303" s="30">
        <f>VLOOKUP(Inventory[[#This Row],[Qlty]],Lookups!$A$66:$E$79,2,FALSE)</f>
        <v>37154.252388000001</v>
      </c>
      <c r="AT303" s="30">
        <f>VLOOKUP(Inventory[[#This Row],[Cnd]],Lookups!$A$80:$E$88,2,FALSE)</f>
        <v>50438.379078999998</v>
      </c>
      <c r="AU303" s="30">
        <f>Inventory[[#This Row],[EffAge]]*Lookups!$B$65</f>
        <v>-978.66989999999998</v>
      </c>
      <c r="AV303" s="30">
        <f>Inventory[[#This Row],[MainFn]]*Lookups!$B$90</f>
        <v>70274.087880000006</v>
      </c>
      <c r="AW303" s="30">
        <f>Inventory[[#This Row],[UpprFn]]*Lookups!$B$91</f>
        <v>67087.511257999999</v>
      </c>
      <c r="AX303" s="30">
        <f>Inventory[[#This Row],[Bsmt Area]]*Lookups!$B$95</f>
        <v>0</v>
      </c>
      <c r="AY303" s="30">
        <f>Inventory[[#This Row],[AttGar]]*Lookups!$B$93</f>
        <v>24004.701080000003</v>
      </c>
      <c r="AZ303" s="30">
        <f>ROUND(Inventory[[#This Row],[25Det]],-2)</f>
        <v>0</v>
      </c>
      <c r="BA303" s="30">
        <f>ROUND(SUM(Inventory[[#This Row],[Mdl Qlty]:[Mdl Garage Area]])+Inventory[[#This Row],[Mdl Res Intercept]],-2)</f>
        <v>380500</v>
      </c>
      <c r="BB303" s="30">
        <f>ROUND(Inventory[[#This Row],[Mdl Land Intercept]]+Inventory[[#This Row],[Mdl LnAcres]],-2)</f>
        <v>65100</v>
      </c>
      <c r="BC303" s="30">
        <f>Inventory[[#This Row],[Unadj Res Value]]+Inventory[[#This Row],[Unadj Det Value]]+Inventory[[#This Row],[Unadj Land Value]]</f>
        <v>445600</v>
      </c>
      <c r="BD303" s="30">
        <f>(Inventory[[#This Row],[Unadj Total Value]]-Inventory[[#This Row],[24Final]])/Inventory[[#This Row],[24Final]]</f>
        <v>-1.197339246119734E-2</v>
      </c>
      <c r="BE303" s="30">
        <f>VLOOKUP(Inventory[[#This Row],[Nbhd]],Lookups!$M$3:$P$5,4,FALSE)</f>
        <v>0.99970000000000003</v>
      </c>
      <c r="BF303" s="30">
        <f>VLOOKUP(Inventory[[#This Row],[Qlty]],Lookups!$M$8:$P$22,4,FALSE)</f>
        <v>0.99819999999999998</v>
      </c>
      <c r="BG303" s="30">
        <f>VLOOKUP(Inventory[[#This Row],[Cnd]],Lookups!$R$8:$U$17,4,FALSE)</f>
        <v>1.0007999999999999</v>
      </c>
      <c r="BH303" s="30">
        <f>VLOOKUP(Inventory[[#This Row],[LivArea Range]],Lookups!$R$25:$U$43,4,FALSE)</f>
        <v>1.0008999999999999</v>
      </c>
      <c r="BI303" s="30">
        <f>VLOOKUP(Inventory[[#This Row],[Decade]],Lookups!$M$24:$P$40,4,FALSE)</f>
        <v>1</v>
      </c>
      <c r="BJ303" s="30">
        <f>Inventory[[#This Row],[Nbhd Adj]]*0.95</f>
        <v>0.94971499999999998</v>
      </c>
      <c r="BK303" s="30">
        <f>AVERAGE(Inventory[[#This Row],[Nbhd Adj]],Inventory[[#This Row],[Quality Adj]],Inventory[[#This Row],[Condition Adj]],Inventory[[#This Row],[Living Area Adj]],Inventory[[#This Row],[Decade Adj]])*0.95</f>
        <v>0.94992399999999999</v>
      </c>
      <c r="BL303" s="30">
        <f>ROUND((SUM(Inventory[[#This Row],[Mdl Qlty]:[Mdl Garage Area]])+Inventory[[#This Row],[Mdl Res Intercept]])*Inventory[[#This Row],[Res Adj ]],-2)</f>
        <v>361500</v>
      </c>
      <c r="BM303" s="30">
        <f>ROUND(Inventory[[#This Row],[25Det]]*Inventory[[#This Row],[Det/Nbhd Adj]],-2)</f>
        <v>0</v>
      </c>
      <c r="BN303" s="30">
        <f>Inventory[[#This Row],[Adjusted Res]]+Inventory[[#This Row],[Adj Det ]]</f>
        <v>361500</v>
      </c>
      <c r="BO303" s="30">
        <f>ROUND((Inventory[[#This Row],[Mdl Land Intercept]]+Inventory[[#This Row],[Mdl LnAcres]])*Inventory[[#This Row],[Det/Nbhd Adj]],-2)</f>
        <v>61800</v>
      </c>
      <c r="BP303" s="30">
        <f>Inventory[[#This Row],[Adjusted Impr Total]]+Inventory[[#This Row],[Adjusted Land Total]]</f>
        <v>423300</v>
      </c>
      <c r="BQ303" s="30">
        <f>IFERROR((Inventory[[#This Row],[Adjusted Impr Total]]-Inventory[[#This Row],[24Bldg]])/Inventory[[#This Row],[24Bldg]],0)</f>
        <v>-7.1410223478037507E-2</v>
      </c>
      <c r="BR303" s="43">
        <f>(Inventory[[#This Row],[Adjusted Land Total]]-Inventory[[#This Row],[24Lnd]])/Inventory[[#This Row],[24Lnd]]</f>
        <v>1.6207455429497568E-3</v>
      </c>
      <c r="BS303" s="43">
        <f>(Inventory[[#This Row],[Adjusted Total]]-Inventory[[#This Row],[24Final]])/Inventory[[#This Row],[24Final]]</f>
        <v>-6.1419068736141905E-2</v>
      </c>
    </row>
    <row r="304" spans="1:71">
      <c r="A304" s="30">
        <v>2025</v>
      </c>
      <c r="B304" s="31" t="s">
        <v>817</v>
      </c>
      <c r="C304" s="31">
        <f>LN(Inventory[[#This Row],[Acres]])</f>
        <v>-1.7719568419318752</v>
      </c>
      <c r="D304" s="30">
        <v>0.17</v>
      </c>
      <c r="E304" s="38">
        <v>7435</v>
      </c>
      <c r="F304" s="31" t="s">
        <v>505</v>
      </c>
      <c r="G304" s="31" t="s">
        <v>155</v>
      </c>
      <c r="H304" s="31" t="s">
        <v>5</v>
      </c>
      <c r="I304" s="31" t="s">
        <v>506</v>
      </c>
      <c r="J304" s="31" t="s">
        <v>507</v>
      </c>
      <c r="K304" s="31" t="s">
        <v>330</v>
      </c>
      <c r="L304" s="31" t="s">
        <v>19</v>
      </c>
      <c r="M304" s="31" t="s">
        <v>22</v>
      </c>
      <c r="N304" s="31">
        <v>0</v>
      </c>
      <c r="O304" s="31">
        <f>2024-Inventory[[#This Row],[YrBlt]]</f>
        <v>9</v>
      </c>
      <c r="P304" s="31">
        <f>2024-Inventory[[#This Row],[EffYr]]</f>
        <v>9</v>
      </c>
      <c r="Q304" s="30">
        <v>2015</v>
      </c>
      <c r="R304" s="30">
        <v>2015</v>
      </c>
      <c r="S304" s="30">
        <v>1620</v>
      </c>
      <c r="T304" s="37"/>
      <c r="U304" s="32"/>
      <c r="V304" s="32"/>
      <c r="W304" s="32"/>
      <c r="X304" s="32">
        <f>Inventory[[#This Row],[Bsmt Area]]-Inventory[[#This Row],[FnBsmt]]</f>
        <v>0</v>
      </c>
      <c r="Y304" s="32">
        <f>Inventory[[#This Row],[MainFn]]+Inventory[[#This Row],[UpprFn]]+Inventory[[#This Row],[AddFn]]+Inventory[[#This Row],[FnBsmt]]</f>
        <v>1620</v>
      </c>
      <c r="Z304" s="32">
        <v>2000</v>
      </c>
      <c r="AA304" s="31" t="s">
        <v>56</v>
      </c>
      <c r="AB304" s="32"/>
      <c r="AC304" s="38">
        <v>660</v>
      </c>
      <c r="AD304" s="32"/>
      <c r="AE304" s="32"/>
      <c r="AF304" s="32"/>
      <c r="AG304" s="32"/>
      <c r="AH304" s="32"/>
      <c r="AI304" s="30">
        <v>335031</v>
      </c>
      <c r="AJ304" s="30">
        <v>321630</v>
      </c>
      <c r="AK304" s="30">
        <v>0</v>
      </c>
      <c r="AL304" s="30">
        <v>0</v>
      </c>
      <c r="AM304" s="30">
        <v>61700</v>
      </c>
      <c r="AN304" s="30">
        <v>348700</v>
      </c>
      <c r="AO304" s="30">
        <v>410400</v>
      </c>
      <c r="AP304" s="30">
        <f>Lookups!$B$58*0.6</f>
        <v>132535.48800000001</v>
      </c>
      <c r="AQ304" s="30">
        <f>Lookups!$B$58*0.4</f>
        <v>88356.992000000013</v>
      </c>
      <c r="AR304" s="30">
        <f>Lookups!$B$59*Inventory[[#This Row],[LnAcres]]</f>
        <v>-23255.730391660189</v>
      </c>
      <c r="AS304" s="30">
        <f>VLOOKUP(Inventory[[#This Row],[Qlty]],Lookups!$A$66:$E$79,2,FALSE)</f>
        <v>37154.252388000001</v>
      </c>
      <c r="AT304" s="30">
        <f>VLOOKUP(Inventory[[#This Row],[Cnd]],Lookups!$A$80:$E$88,2,FALSE)</f>
        <v>50438.379078999998</v>
      </c>
      <c r="AU304" s="30">
        <f>Inventory[[#This Row],[EffAge]]*Lookups!$B$65</f>
        <v>-978.66989999999998</v>
      </c>
      <c r="AV304" s="30">
        <f>Inventory[[#This Row],[MainFn]]*Lookups!$B$90</f>
        <v>101104.8156</v>
      </c>
      <c r="AW304" s="30">
        <f>Inventory[[#This Row],[UpprFn]]*Lookups!$B$91</f>
        <v>0</v>
      </c>
      <c r="AX304" s="30">
        <f>Inventory[[#This Row],[Bsmt Area]]*Lookups!$B$95</f>
        <v>0</v>
      </c>
      <c r="AY304" s="30">
        <f>Inventory[[#This Row],[AttGar]]*Lookups!$B$93</f>
        <v>23298.68046</v>
      </c>
      <c r="AZ304" s="30">
        <f>ROUND(Inventory[[#This Row],[25Det]],-2)</f>
        <v>0</v>
      </c>
      <c r="BA304" s="30">
        <f>ROUND(SUM(Inventory[[#This Row],[Mdl Qlty]:[Mdl Garage Area]])+Inventory[[#This Row],[Mdl Res Intercept]],-2)</f>
        <v>343600</v>
      </c>
      <c r="BB304" s="30">
        <f>ROUND(Inventory[[#This Row],[Mdl Land Intercept]]+Inventory[[#This Row],[Mdl LnAcres]],-2)</f>
        <v>65100</v>
      </c>
      <c r="BC304" s="30">
        <f>Inventory[[#This Row],[Unadj Res Value]]+Inventory[[#This Row],[Unadj Det Value]]+Inventory[[#This Row],[Unadj Land Value]]</f>
        <v>408700</v>
      </c>
      <c r="BD304" s="30">
        <f>(Inventory[[#This Row],[Unadj Total Value]]-Inventory[[#This Row],[24Final]])/Inventory[[#This Row],[24Final]]</f>
        <v>-4.1423001949317736E-3</v>
      </c>
      <c r="BE304" s="30">
        <f>VLOOKUP(Inventory[[#This Row],[Nbhd]],Lookups!$M$3:$P$5,4,FALSE)</f>
        <v>0.99970000000000003</v>
      </c>
      <c r="BF304" s="30">
        <f>VLOOKUP(Inventory[[#This Row],[Qlty]],Lookups!$M$8:$P$22,4,FALSE)</f>
        <v>0.99819999999999998</v>
      </c>
      <c r="BG304" s="30">
        <f>VLOOKUP(Inventory[[#This Row],[Cnd]],Lookups!$R$8:$U$17,4,FALSE)</f>
        <v>1.0007999999999999</v>
      </c>
      <c r="BH304" s="30">
        <f>VLOOKUP(Inventory[[#This Row],[LivArea Range]],Lookups!$R$25:$U$43,4,FALSE)</f>
        <v>1.0007999999999999</v>
      </c>
      <c r="BI304" s="30">
        <f>VLOOKUP(Inventory[[#This Row],[Decade]],Lookups!$M$24:$P$40,4,FALSE)</f>
        <v>1</v>
      </c>
      <c r="BJ304" s="30">
        <f>Inventory[[#This Row],[Nbhd Adj]]*0.95</f>
        <v>0.94971499999999998</v>
      </c>
      <c r="BK304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304" s="30">
        <f>ROUND((SUM(Inventory[[#This Row],[Mdl Qlty]:[Mdl Garage Area]])+Inventory[[#This Row],[Mdl Res Intercept]])*Inventory[[#This Row],[Res Adj ]],-2)</f>
        <v>326300</v>
      </c>
      <c r="BM304" s="30">
        <f>ROUND(Inventory[[#This Row],[25Det]]*Inventory[[#This Row],[Det/Nbhd Adj]],-2)</f>
        <v>0</v>
      </c>
      <c r="BN304" s="30">
        <f>Inventory[[#This Row],[Adjusted Res]]+Inventory[[#This Row],[Adj Det ]]</f>
        <v>326300</v>
      </c>
      <c r="BO304" s="30">
        <f>ROUND((Inventory[[#This Row],[Mdl Land Intercept]]+Inventory[[#This Row],[Mdl LnAcres]])*Inventory[[#This Row],[Det/Nbhd Adj]],-2)</f>
        <v>61800</v>
      </c>
      <c r="BP304" s="30">
        <f>Inventory[[#This Row],[Adjusted Impr Total]]+Inventory[[#This Row],[Adjusted Land Total]]</f>
        <v>388100</v>
      </c>
      <c r="BQ304" s="30">
        <f>IFERROR((Inventory[[#This Row],[Adjusted Impr Total]]-Inventory[[#This Row],[24Bldg]])/Inventory[[#This Row],[24Bldg]],0)</f>
        <v>-6.4238600516203045E-2</v>
      </c>
      <c r="BR304" s="43">
        <f>(Inventory[[#This Row],[Adjusted Land Total]]-Inventory[[#This Row],[24Lnd]])/Inventory[[#This Row],[24Lnd]]</f>
        <v>1.6207455429497568E-3</v>
      </c>
      <c r="BS304" s="43">
        <f>(Inventory[[#This Row],[Adjusted Total]]-Inventory[[#This Row],[24Final]])/Inventory[[#This Row],[24Final]]</f>
        <v>-5.4337231968810913E-2</v>
      </c>
    </row>
    <row r="305" spans="1:71">
      <c r="A305" s="30">
        <v>2025</v>
      </c>
      <c r="B305" s="31" t="s">
        <v>818</v>
      </c>
      <c r="C305" s="31">
        <f>LN(Inventory[[#This Row],[Acres]])</f>
        <v>-1.7719568419318752</v>
      </c>
      <c r="D305" s="30">
        <v>0.17</v>
      </c>
      <c r="E305" s="30">
        <v>7435</v>
      </c>
      <c r="F305" s="31" t="s">
        <v>505</v>
      </c>
      <c r="G305" s="31" t="s">
        <v>155</v>
      </c>
      <c r="H305" s="31" t="s">
        <v>5</v>
      </c>
      <c r="I305" s="31" t="s">
        <v>506</v>
      </c>
      <c r="J305" s="31" t="s">
        <v>507</v>
      </c>
      <c r="K305" s="31" t="s">
        <v>330</v>
      </c>
      <c r="L305" s="31" t="s">
        <v>19</v>
      </c>
      <c r="M305" s="31" t="s">
        <v>22</v>
      </c>
      <c r="N305" s="31">
        <v>0</v>
      </c>
      <c r="O305" s="31">
        <f>2024-Inventory[[#This Row],[YrBlt]]</f>
        <v>9</v>
      </c>
      <c r="P305" s="31">
        <f>2024-Inventory[[#This Row],[EffYr]]</f>
        <v>9</v>
      </c>
      <c r="Q305" s="30">
        <v>2015</v>
      </c>
      <c r="R305" s="30">
        <v>2015</v>
      </c>
      <c r="S305" s="30">
        <v>1126</v>
      </c>
      <c r="T305" s="38">
        <v>1126</v>
      </c>
      <c r="U305" s="32"/>
      <c r="V305" s="32"/>
      <c r="W305" s="32"/>
      <c r="X305" s="32">
        <f>Inventory[[#This Row],[Bsmt Area]]-Inventory[[#This Row],[FnBsmt]]</f>
        <v>0</v>
      </c>
      <c r="Y305" s="32">
        <f>Inventory[[#This Row],[MainFn]]+Inventory[[#This Row],[UpprFn]]+Inventory[[#This Row],[AddFn]]+Inventory[[#This Row],[FnBsmt]]</f>
        <v>2252</v>
      </c>
      <c r="Z305" s="32">
        <v>2500</v>
      </c>
      <c r="AA305" s="31" t="s">
        <v>56</v>
      </c>
      <c r="AB305" s="32"/>
      <c r="AC305" s="38">
        <v>440</v>
      </c>
      <c r="AD305" s="32"/>
      <c r="AE305" s="32"/>
      <c r="AF305" s="32"/>
      <c r="AG305" s="32"/>
      <c r="AH305" s="32"/>
      <c r="AI305" s="30">
        <v>395524</v>
      </c>
      <c r="AJ305" s="30">
        <v>379703</v>
      </c>
      <c r="AK305" s="30">
        <v>0</v>
      </c>
      <c r="AL305" s="30">
        <v>0</v>
      </c>
      <c r="AM305" s="30">
        <v>61700</v>
      </c>
      <c r="AN305" s="30">
        <v>376000</v>
      </c>
      <c r="AO305" s="30">
        <v>437700</v>
      </c>
      <c r="AP305" s="30">
        <f>Lookups!$B$58*0.6</f>
        <v>132535.48800000001</v>
      </c>
      <c r="AQ305" s="30">
        <f>Lookups!$B$58*0.4</f>
        <v>88356.992000000013</v>
      </c>
      <c r="AR305" s="30">
        <f>Lookups!$B$59*Inventory[[#This Row],[LnAcres]]</f>
        <v>-23255.730391660189</v>
      </c>
      <c r="AS305" s="30">
        <f>VLOOKUP(Inventory[[#This Row],[Qlty]],Lookups!$A$66:$E$79,2,FALSE)</f>
        <v>37154.252388000001</v>
      </c>
      <c r="AT305" s="30">
        <f>VLOOKUP(Inventory[[#This Row],[Cnd]],Lookups!$A$80:$E$88,2,FALSE)</f>
        <v>50438.379078999998</v>
      </c>
      <c r="AU305" s="30">
        <f>Inventory[[#This Row],[EffAge]]*Lookups!$B$65</f>
        <v>-978.66989999999998</v>
      </c>
      <c r="AV305" s="30">
        <f>Inventory[[#This Row],[MainFn]]*Lookups!$B$90</f>
        <v>70274.087880000006</v>
      </c>
      <c r="AW305" s="30">
        <f>Inventory[[#This Row],[UpprFn]]*Lookups!$B$91</f>
        <v>67087.511257999999</v>
      </c>
      <c r="AX305" s="30">
        <f>Inventory[[#This Row],[Bsmt Area]]*Lookups!$B$95</f>
        <v>0</v>
      </c>
      <c r="AY305" s="30">
        <f>Inventory[[#This Row],[AttGar]]*Lookups!$B$93</f>
        <v>15532.453640000002</v>
      </c>
      <c r="AZ305" s="30">
        <f>ROUND(Inventory[[#This Row],[25Det]],-2)</f>
        <v>0</v>
      </c>
      <c r="BA305" s="30">
        <f>ROUND(SUM(Inventory[[#This Row],[Mdl Qlty]:[Mdl Garage Area]])+Inventory[[#This Row],[Mdl Res Intercept]],-2)</f>
        <v>372000</v>
      </c>
      <c r="BB305" s="30">
        <f>ROUND(Inventory[[#This Row],[Mdl Land Intercept]]+Inventory[[#This Row],[Mdl LnAcres]],-2)</f>
        <v>65100</v>
      </c>
      <c r="BC305" s="30">
        <f>Inventory[[#This Row],[Unadj Res Value]]+Inventory[[#This Row],[Unadj Det Value]]+Inventory[[#This Row],[Unadj Land Value]]</f>
        <v>437100</v>
      </c>
      <c r="BD305" s="30">
        <f>(Inventory[[#This Row],[Unadj Total Value]]-Inventory[[#This Row],[24Final]])/Inventory[[#This Row],[24Final]]</f>
        <v>-1.3708019191226869E-3</v>
      </c>
      <c r="BE305" s="30">
        <f>VLOOKUP(Inventory[[#This Row],[Nbhd]],Lookups!$M$3:$P$5,4,FALSE)</f>
        <v>0.99970000000000003</v>
      </c>
      <c r="BF305" s="30">
        <f>VLOOKUP(Inventory[[#This Row],[Qlty]],Lookups!$M$8:$P$22,4,FALSE)</f>
        <v>0.99819999999999998</v>
      </c>
      <c r="BG305" s="30">
        <f>VLOOKUP(Inventory[[#This Row],[Cnd]],Lookups!$R$8:$U$17,4,FALSE)</f>
        <v>1.0007999999999999</v>
      </c>
      <c r="BH305" s="30">
        <f>VLOOKUP(Inventory[[#This Row],[LivArea Range]],Lookups!$R$25:$U$43,4,FALSE)</f>
        <v>1.0008999999999999</v>
      </c>
      <c r="BI305" s="30">
        <f>VLOOKUP(Inventory[[#This Row],[Decade]],Lookups!$M$24:$P$40,4,FALSE)</f>
        <v>1</v>
      </c>
      <c r="BJ305" s="30">
        <f>Inventory[[#This Row],[Nbhd Adj]]*0.95</f>
        <v>0.94971499999999998</v>
      </c>
      <c r="BK305" s="30">
        <f>AVERAGE(Inventory[[#This Row],[Nbhd Adj]],Inventory[[#This Row],[Quality Adj]],Inventory[[#This Row],[Condition Adj]],Inventory[[#This Row],[Living Area Adj]],Inventory[[#This Row],[Decade Adj]])*0.95</f>
        <v>0.94992399999999999</v>
      </c>
      <c r="BL305" s="30">
        <f>ROUND((SUM(Inventory[[#This Row],[Mdl Qlty]:[Mdl Garage Area]])+Inventory[[#This Row],[Mdl Res Intercept]])*Inventory[[#This Row],[Res Adj ]],-2)</f>
        <v>353400</v>
      </c>
      <c r="BM305" s="30">
        <f>ROUND(Inventory[[#This Row],[25Det]]*Inventory[[#This Row],[Det/Nbhd Adj]],-2)</f>
        <v>0</v>
      </c>
      <c r="BN305" s="30">
        <f>Inventory[[#This Row],[Adjusted Res]]+Inventory[[#This Row],[Adj Det ]]</f>
        <v>353400</v>
      </c>
      <c r="BO305" s="30">
        <f>ROUND((Inventory[[#This Row],[Mdl Land Intercept]]+Inventory[[#This Row],[Mdl LnAcres]])*Inventory[[#This Row],[Det/Nbhd Adj]],-2)</f>
        <v>61800</v>
      </c>
      <c r="BP305" s="30">
        <f>Inventory[[#This Row],[Adjusted Impr Total]]+Inventory[[#This Row],[Adjusted Land Total]]</f>
        <v>415200</v>
      </c>
      <c r="BQ305" s="30">
        <f>IFERROR((Inventory[[#This Row],[Adjusted Impr Total]]-Inventory[[#This Row],[24Bldg]])/Inventory[[#This Row],[24Bldg]],0)</f>
        <v>-6.0106382978723401E-2</v>
      </c>
      <c r="BR305" s="43">
        <f>(Inventory[[#This Row],[Adjusted Land Total]]-Inventory[[#This Row],[24Lnd]])/Inventory[[#This Row],[24Lnd]]</f>
        <v>1.6207455429497568E-3</v>
      </c>
      <c r="BS305" s="43">
        <f>(Inventory[[#This Row],[Adjusted Total]]-Inventory[[#This Row],[24Final]])/Inventory[[#This Row],[24Final]]</f>
        <v>-5.1405071967100757E-2</v>
      </c>
    </row>
    <row r="306" spans="1:71">
      <c r="A306" s="30">
        <v>2025</v>
      </c>
      <c r="B306" s="31" t="s">
        <v>819</v>
      </c>
      <c r="C306" s="31">
        <f>LN(Inventory[[#This Row],[Acres]])</f>
        <v>-1.7719568419318752</v>
      </c>
      <c r="D306" s="30">
        <v>0.17</v>
      </c>
      <c r="E306" s="30">
        <v>7236</v>
      </c>
      <c r="F306" s="31" t="s">
        <v>505</v>
      </c>
      <c r="G306" s="31" t="s">
        <v>155</v>
      </c>
      <c r="H306" s="31" t="s">
        <v>5</v>
      </c>
      <c r="I306" s="31" t="s">
        <v>506</v>
      </c>
      <c r="J306" s="31" t="s">
        <v>507</v>
      </c>
      <c r="K306" s="31" t="s">
        <v>330</v>
      </c>
      <c r="L306" s="31" t="s">
        <v>19</v>
      </c>
      <c r="M306" s="31" t="s">
        <v>22</v>
      </c>
      <c r="N306" s="31">
        <v>0</v>
      </c>
      <c r="O306" s="31">
        <f>2024-Inventory[[#This Row],[YrBlt]]</f>
        <v>9</v>
      </c>
      <c r="P306" s="31">
        <f>2024-Inventory[[#This Row],[EffYr]]</f>
        <v>9</v>
      </c>
      <c r="Q306" s="30">
        <v>2015</v>
      </c>
      <c r="R306" s="30">
        <v>2015</v>
      </c>
      <c r="S306" s="30">
        <v>1600</v>
      </c>
      <c r="T306" s="32"/>
      <c r="U306" s="32"/>
      <c r="V306" s="32"/>
      <c r="W306" s="32"/>
      <c r="X306" s="32">
        <f>Inventory[[#This Row],[Bsmt Area]]-Inventory[[#This Row],[FnBsmt]]</f>
        <v>0</v>
      </c>
      <c r="Y306" s="32">
        <f>Inventory[[#This Row],[MainFn]]+Inventory[[#This Row],[UpprFn]]+Inventory[[#This Row],[AddFn]]+Inventory[[#This Row],[FnBsmt]]</f>
        <v>1600</v>
      </c>
      <c r="Z306" s="32">
        <v>2000</v>
      </c>
      <c r="AA306" s="31" t="s">
        <v>56</v>
      </c>
      <c r="AB306" s="32"/>
      <c r="AC306" s="38">
        <v>440</v>
      </c>
      <c r="AD306" s="32"/>
      <c r="AE306" s="32"/>
      <c r="AF306" s="32"/>
      <c r="AG306" s="32"/>
      <c r="AH306" s="32"/>
      <c r="AI306" s="30">
        <v>320538</v>
      </c>
      <c r="AJ306" s="30">
        <v>307716</v>
      </c>
      <c r="AK306" s="30">
        <v>0</v>
      </c>
      <c r="AL306" s="30">
        <v>0</v>
      </c>
      <c r="AM306" s="30">
        <v>61700</v>
      </c>
      <c r="AN306" s="30">
        <v>337500</v>
      </c>
      <c r="AO306" s="30">
        <v>399200</v>
      </c>
      <c r="AP306" s="30">
        <f>Lookups!$B$58*0.6</f>
        <v>132535.48800000001</v>
      </c>
      <c r="AQ306" s="30">
        <f>Lookups!$B$58*0.4</f>
        <v>88356.992000000013</v>
      </c>
      <c r="AR306" s="30">
        <f>Lookups!$B$59*Inventory[[#This Row],[LnAcres]]</f>
        <v>-23255.730391660189</v>
      </c>
      <c r="AS306" s="30">
        <f>VLOOKUP(Inventory[[#This Row],[Qlty]],Lookups!$A$66:$E$79,2,FALSE)</f>
        <v>37154.252388000001</v>
      </c>
      <c r="AT306" s="30">
        <f>VLOOKUP(Inventory[[#This Row],[Cnd]],Lookups!$A$80:$E$88,2,FALSE)</f>
        <v>50438.379078999998</v>
      </c>
      <c r="AU306" s="30">
        <f>Inventory[[#This Row],[EffAge]]*Lookups!$B$65</f>
        <v>-978.66989999999998</v>
      </c>
      <c r="AV306" s="30">
        <f>Inventory[[#This Row],[MainFn]]*Lookups!$B$90</f>
        <v>99856.608000000007</v>
      </c>
      <c r="AW306" s="30">
        <f>Inventory[[#This Row],[UpprFn]]*Lookups!$B$91</f>
        <v>0</v>
      </c>
      <c r="AX306" s="30">
        <f>Inventory[[#This Row],[Bsmt Area]]*Lookups!$B$95</f>
        <v>0</v>
      </c>
      <c r="AY306" s="30">
        <f>Inventory[[#This Row],[AttGar]]*Lookups!$B$93</f>
        <v>15532.453640000002</v>
      </c>
      <c r="AZ306" s="30">
        <f>ROUND(Inventory[[#This Row],[25Det]],-2)</f>
        <v>0</v>
      </c>
      <c r="BA306" s="30">
        <f>ROUND(SUM(Inventory[[#This Row],[Mdl Qlty]:[Mdl Garage Area]])+Inventory[[#This Row],[Mdl Res Intercept]],-2)</f>
        <v>334500</v>
      </c>
      <c r="BB306" s="30">
        <f>ROUND(Inventory[[#This Row],[Mdl Land Intercept]]+Inventory[[#This Row],[Mdl LnAcres]],-2)</f>
        <v>65100</v>
      </c>
      <c r="BC306" s="30">
        <f>Inventory[[#This Row],[Unadj Res Value]]+Inventory[[#This Row],[Unadj Det Value]]+Inventory[[#This Row],[Unadj Land Value]]</f>
        <v>399600</v>
      </c>
      <c r="BD306" s="30">
        <f>(Inventory[[#This Row],[Unadj Total Value]]-Inventory[[#This Row],[24Final]])/Inventory[[#This Row],[24Final]]</f>
        <v>1.002004008016032E-3</v>
      </c>
      <c r="BE306" s="30">
        <f>VLOOKUP(Inventory[[#This Row],[Nbhd]],Lookups!$M$3:$P$5,4,FALSE)</f>
        <v>0.99970000000000003</v>
      </c>
      <c r="BF306" s="30">
        <f>VLOOKUP(Inventory[[#This Row],[Qlty]],Lookups!$M$8:$P$22,4,FALSE)</f>
        <v>0.99819999999999998</v>
      </c>
      <c r="BG306" s="30">
        <f>VLOOKUP(Inventory[[#This Row],[Cnd]],Lookups!$R$8:$U$17,4,FALSE)</f>
        <v>1.0007999999999999</v>
      </c>
      <c r="BH306" s="30">
        <f>VLOOKUP(Inventory[[#This Row],[LivArea Range]],Lookups!$R$25:$U$43,4,FALSE)</f>
        <v>1.0007999999999999</v>
      </c>
      <c r="BI306" s="30">
        <f>VLOOKUP(Inventory[[#This Row],[Decade]],Lookups!$M$24:$P$40,4,FALSE)</f>
        <v>1</v>
      </c>
      <c r="BJ306" s="30">
        <f>Inventory[[#This Row],[Nbhd Adj]]*0.95</f>
        <v>0.94971499999999998</v>
      </c>
      <c r="BK306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306" s="30">
        <f>ROUND((SUM(Inventory[[#This Row],[Mdl Qlty]:[Mdl Garage Area]])+Inventory[[#This Row],[Mdl Res Intercept]])*Inventory[[#This Row],[Res Adj ]],-2)</f>
        <v>317800</v>
      </c>
      <c r="BM306" s="30">
        <f>ROUND(Inventory[[#This Row],[25Det]]*Inventory[[#This Row],[Det/Nbhd Adj]],-2)</f>
        <v>0</v>
      </c>
      <c r="BN306" s="30">
        <f>Inventory[[#This Row],[Adjusted Res]]+Inventory[[#This Row],[Adj Det ]]</f>
        <v>317800</v>
      </c>
      <c r="BO306" s="30">
        <f>ROUND((Inventory[[#This Row],[Mdl Land Intercept]]+Inventory[[#This Row],[Mdl LnAcres]])*Inventory[[#This Row],[Det/Nbhd Adj]],-2)</f>
        <v>61800</v>
      </c>
      <c r="BP306" s="30">
        <f>Inventory[[#This Row],[Adjusted Impr Total]]+Inventory[[#This Row],[Adjusted Land Total]]</f>
        <v>379600</v>
      </c>
      <c r="BQ306" s="30">
        <f>IFERROR((Inventory[[#This Row],[Adjusted Impr Total]]-Inventory[[#This Row],[24Bldg]])/Inventory[[#This Row],[24Bldg]],0)</f>
        <v>-5.8370370370370371E-2</v>
      </c>
      <c r="BR306" s="43">
        <f>(Inventory[[#This Row],[Adjusted Land Total]]-Inventory[[#This Row],[24Lnd]])/Inventory[[#This Row],[24Lnd]]</f>
        <v>1.6207455429497568E-3</v>
      </c>
      <c r="BS306" s="43">
        <f>(Inventory[[#This Row],[Adjusted Total]]-Inventory[[#This Row],[24Final]])/Inventory[[#This Row],[24Final]]</f>
        <v>-4.9098196392785572E-2</v>
      </c>
    </row>
    <row r="307" spans="1:71">
      <c r="A307" s="30">
        <v>2025</v>
      </c>
      <c r="B307" s="31" t="s">
        <v>820</v>
      </c>
      <c r="C307" s="31">
        <f>LN(Inventory[[#This Row],[Acres]])</f>
        <v>-1.7719568419318752</v>
      </c>
      <c r="D307" s="30">
        <v>0.17</v>
      </c>
      <c r="E307" s="38">
        <v>7435</v>
      </c>
      <c r="F307" s="31" t="s">
        <v>505</v>
      </c>
      <c r="G307" s="31" t="s">
        <v>155</v>
      </c>
      <c r="H307" s="31" t="s">
        <v>5</v>
      </c>
      <c r="I307" s="31" t="s">
        <v>506</v>
      </c>
      <c r="J307" s="31" t="s">
        <v>507</v>
      </c>
      <c r="K307" s="31" t="s">
        <v>330</v>
      </c>
      <c r="L307" s="31" t="s">
        <v>19</v>
      </c>
      <c r="M307" s="31" t="s">
        <v>22</v>
      </c>
      <c r="N307" s="31">
        <v>0</v>
      </c>
      <c r="O307" s="31">
        <f>2024-Inventory[[#This Row],[YrBlt]]</f>
        <v>9</v>
      </c>
      <c r="P307" s="31">
        <f>2024-Inventory[[#This Row],[EffYr]]</f>
        <v>9</v>
      </c>
      <c r="Q307" s="30">
        <v>2015</v>
      </c>
      <c r="R307" s="30">
        <v>2015</v>
      </c>
      <c r="S307" s="30">
        <v>1335</v>
      </c>
      <c r="T307" s="38">
        <v>1554</v>
      </c>
      <c r="U307" s="32"/>
      <c r="V307" s="32"/>
      <c r="W307" s="32"/>
      <c r="X307" s="32">
        <f>Inventory[[#This Row],[Bsmt Area]]-Inventory[[#This Row],[FnBsmt]]</f>
        <v>0</v>
      </c>
      <c r="Y307" s="32">
        <f>Inventory[[#This Row],[MainFn]]+Inventory[[#This Row],[UpprFn]]+Inventory[[#This Row],[AddFn]]+Inventory[[#This Row],[FnBsmt]]</f>
        <v>2889</v>
      </c>
      <c r="Z307" s="32">
        <v>3000</v>
      </c>
      <c r="AA307" s="31" t="s">
        <v>56</v>
      </c>
      <c r="AB307" s="38">
        <v>1</v>
      </c>
      <c r="AC307" s="32"/>
      <c r="AD307" s="38">
        <v>448</v>
      </c>
      <c r="AE307" s="32"/>
      <c r="AF307" s="32"/>
      <c r="AG307" s="32"/>
      <c r="AH307" s="32"/>
      <c r="AI307" s="30">
        <v>471652</v>
      </c>
      <c r="AJ307" s="30">
        <v>452786</v>
      </c>
      <c r="AK307" s="30">
        <v>0</v>
      </c>
      <c r="AL307" s="30">
        <v>0</v>
      </c>
      <c r="AM307" s="30">
        <v>61700</v>
      </c>
      <c r="AN307" s="30">
        <v>393600</v>
      </c>
      <c r="AO307" s="30">
        <v>455300</v>
      </c>
      <c r="AP307" s="30">
        <f>Lookups!$B$58*0.6</f>
        <v>132535.48800000001</v>
      </c>
      <c r="AQ307" s="30">
        <f>Lookups!$B$58*0.4</f>
        <v>88356.992000000013</v>
      </c>
      <c r="AR307" s="30">
        <f>Lookups!$B$59*Inventory[[#This Row],[LnAcres]]</f>
        <v>-23255.730391660189</v>
      </c>
      <c r="AS307" s="30">
        <f>VLOOKUP(Inventory[[#This Row],[Qlty]],Lookups!$A$66:$E$79,2,FALSE)</f>
        <v>37154.252388000001</v>
      </c>
      <c r="AT307" s="30">
        <f>VLOOKUP(Inventory[[#This Row],[Cnd]],Lookups!$A$80:$E$88,2,FALSE)</f>
        <v>50438.379078999998</v>
      </c>
      <c r="AU307" s="30">
        <f>Inventory[[#This Row],[EffAge]]*Lookups!$B$65</f>
        <v>-978.66989999999998</v>
      </c>
      <c r="AV307" s="30">
        <f>Inventory[[#This Row],[MainFn]]*Lookups!$B$90</f>
        <v>83317.857300000003</v>
      </c>
      <c r="AW307" s="30">
        <f>Inventory[[#This Row],[UpprFn]]*Lookups!$B$91</f>
        <v>92587.915181999997</v>
      </c>
      <c r="AX307" s="30">
        <f>Inventory[[#This Row],[Bsmt Area]]*Lookups!$B$95</f>
        <v>0</v>
      </c>
      <c r="AY307" s="30">
        <f>Inventory[[#This Row],[AttGar]]*Lookups!$B$93</f>
        <v>0</v>
      </c>
      <c r="AZ307" s="30">
        <f>ROUND(Inventory[[#This Row],[25Det]],-2)</f>
        <v>0</v>
      </c>
      <c r="BA307" s="30">
        <f>ROUND(SUM(Inventory[[#This Row],[Mdl Qlty]:[Mdl Garage Area]])+Inventory[[#This Row],[Mdl Res Intercept]],-2)</f>
        <v>395100</v>
      </c>
      <c r="BB307" s="30">
        <f>ROUND(Inventory[[#This Row],[Mdl Land Intercept]]+Inventory[[#This Row],[Mdl LnAcres]],-2)</f>
        <v>65100</v>
      </c>
      <c r="BC307" s="30">
        <f>Inventory[[#This Row],[Unadj Res Value]]+Inventory[[#This Row],[Unadj Det Value]]+Inventory[[#This Row],[Unadj Land Value]]</f>
        <v>460200</v>
      </c>
      <c r="BD307" s="30">
        <f>(Inventory[[#This Row],[Unadj Total Value]]-Inventory[[#This Row],[24Final]])/Inventory[[#This Row],[24Final]]</f>
        <v>1.0762134856138809E-2</v>
      </c>
      <c r="BE307" s="30">
        <f>VLOOKUP(Inventory[[#This Row],[Nbhd]],Lookups!$M$3:$P$5,4,FALSE)</f>
        <v>0.99970000000000003</v>
      </c>
      <c r="BF307" s="30">
        <f>VLOOKUP(Inventory[[#This Row],[Qlty]],Lookups!$M$8:$P$22,4,FALSE)</f>
        <v>0.99819999999999998</v>
      </c>
      <c r="BG307" s="30">
        <f>VLOOKUP(Inventory[[#This Row],[Cnd]],Lookups!$R$8:$U$17,4,FALSE)</f>
        <v>1.0007999999999999</v>
      </c>
      <c r="BH307" s="30">
        <f>VLOOKUP(Inventory[[#This Row],[LivArea Range]],Lookups!$R$25:$U$43,4,FALSE)</f>
        <v>1.0099</v>
      </c>
      <c r="BI307" s="30">
        <f>VLOOKUP(Inventory[[#This Row],[Decade]],Lookups!$M$24:$P$40,4,FALSE)</f>
        <v>1</v>
      </c>
      <c r="BJ307" s="30">
        <f>Inventory[[#This Row],[Nbhd Adj]]*0.95</f>
        <v>0.94971499999999998</v>
      </c>
      <c r="BK307" s="30">
        <f>AVERAGE(Inventory[[#This Row],[Nbhd Adj]],Inventory[[#This Row],[Quality Adj]],Inventory[[#This Row],[Condition Adj]],Inventory[[#This Row],[Living Area Adj]],Inventory[[#This Row],[Decade Adj]])*0.95</f>
        <v>0.95163399999999987</v>
      </c>
      <c r="BL307" s="30">
        <f>ROUND((SUM(Inventory[[#This Row],[Mdl Qlty]:[Mdl Garage Area]])+Inventory[[#This Row],[Mdl Res Intercept]])*Inventory[[#This Row],[Res Adj ]],-2)</f>
        <v>375900</v>
      </c>
      <c r="BM307" s="30">
        <f>ROUND(Inventory[[#This Row],[25Det]]*Inventory[[#This Row],[Det/Nbhd Adj]],-2)</f>
        <v>0</v>
      </c>
      <c r="BN307" s="30">
        <f>Inventory[[#This Row],[Adjusted Res]]+Inventory[[#This Row],[Adj Det ]]</f>
        <v>375900</v>
      </c>
      <c r="BO307" s="30">
        <f>ROUND((Inventory[[#This Row],[Mdl Land Intercept]]+Inventory[[#This Row],[Mdl LnAcres]])*Inventory[[#This Row],[Det/Nbhd Adj]],-2)</f>
        <v>61800</v>
      </c>
      <c r="BP307" s="30">
        <f>Inventory[[#This Row],[Adjusted Impr Total]]+Inventory[[#This Row],[Adjusted Land Total]]</f>
        <v>437700</v>
      </c>
      <c r="BQ307" s="30">
        <f>IFERROR((Inventory[[#This Row],[Adjusted Impr Total]]-Inventory[[#This Row],[24Bldg]])/Inventory[[#This Row],[24Bldg]],0)</f>
        <v>-4.496951219512195E-2</v>
      </c>
      <c r="BR307" s="43">
        <f>(Inventory[[#This Row],[Adjusted Land Total]]-Inventory[[#This Row],[24Lnd]])/Inventory[[#This Row],[24Lnd]]</f>
        <v>1.6207455429497568E-3</v>
      </c>
      <c r="BS307" s="43">
        <f>(Inventory[[#This Row],[Adjusted Total]]-Inventory[[#This Row],[24Final]])/Inventory[[#This Row],[24Final]]</f>
        <v>-3.8655831320008785E-2</v>
      </c>
    </row>
    <row r="308" spans="1:71">
      <c r="A308" s="30">
        <v>2025</v>
      </c>
      <c r="B308" s="31" t="s">
        <v>821</v>
      </c>
      <c r="C308" s="31">
        <f>LN(Inventory[[#This Row],[Acres]])</f>
        <v>-1.7719568419318752</v>
      </c>
      <c r="D308" s="30">
        <v>0.17</v>
      </c>
      <c r="E308" s="30">
        <v>7333</v>
      </c>
      <c r="F308" s="31" t="s">
        <v>505</v>
      </c>
      <c r="G308" s="31" t="s">
        <v>155</v>
      </c>
      <c r="H308" s="31" t="s">
        <v>5</v>
      </c>
      <c r="I308" s="31" t="s">
        <v>506</v>
      </c>
      <c r="J308" s="31" t="s">
        <v>507</v>
      </c>
      <c r="K308" s="31" t="s">
        <v>330</v>
      </c>
      <c r="L308" s="31" t="s">
        <v>19</v>
      </c>
      <c r="M308" s="31" t="s">
        <v>22</v>
      </c>
      <c r="N308" s="31">
        <v>0</v>
      </c>
      <c r="O308" s="31">
        <f>2024-Inventory[[#This Row],[YrBlt]]</f>
        <v>9</v>
      </c>
      <c r="P308" s="31">
        <f>2024-Inventory[[#This Row],[EffYr]]</f>
        <v>9</v>
      </c>
      <c r="Q308" s="30">
        <v>2015</v>
      </c>
      <c r="R308" s="30">
        <v>2015</v>
      </c>
      <c r="S308" s="30">
        <v>1388</v>
      </c>
      <c r="T308" s="32"/>
      <c r="U308" s="32"/>
      <c r="V308" s="32"/>
      <c r="W308" s="32"/>
      <c r="X308" s="32">
        <f>Inventory[[#This Row],[Bsmt Area]]-Inventory[[#This Row],[FnBsmt]]</f>
        <v>0</v>
      </c>
      <c r="Y308" s="32">
        <f>Inventory[[#This Row],[MainFn]]+Inventory[[#This Row],[UpprFn]]+Inventory[[#This Row],[AddFn]]+Inventory[[#This Row],[FnBsmt]]</f>
        <v>1388</v>
      </c>
      <c r="Z308" s="32">
        <v>1500</v>
      </c>
      <c r="AA308" s="31" t="s">
        <v>56</v>
      </c>
      <c r="AB308" s="32"/>
      <c r="AC308" s="38">
        <v>404</v>
      </c>
      <c r="AD308" s="32"/>
      <c r="AE308" s="32"/>
      <c r="AF308" s="32"/>
      <c r="AG308" s="32"/>
      <c r="AH308" s="32"/>
      <c r="AI308" s="30">
        <v>277491</v>
      </c>
      <c r="AJ308" s="30">
        <v>266391</v>
      </c>
      <c r="AK308" s="30">
        <v>0</v>
      </c>
      <c r="AL308" s="30">
        <v>0</v>
      </c>
      <c r="AM308" s="30">
        <v>61700</v>
      </c>
      <c r="AN308" s="30">
        <v>316000</v>
      </c>
      <c r="AO308" s="30">
        <v>377700</v>
      </c>
      <c r="AP308" s="30">
        <f>Lookups!$B$58*0.6</f>
        <v>132535.48800000001</v>
      </c>
      <c r="AQ308" s="30">
        <f>Lookups!$B$58*0.4</f>
        <v>88356.992000000013</v>
      </c>
      <c r="AR308" s="30">
        <f>Lookups!$B$59*Inventory[[#This Row],[LnAcres]]</f>
        <v>-23255.730391660189</v>
      </c>
      <c r="AS308" s="30">
        <f>VLOOKUP(Inventory[[#This Row],[Qlty]],Lookups!$A$66:$E$79,2,FALSE)</f>
        <v>37154.252388000001</v>
      </c>
      <c r="AT308" s="30">
        <f>VLOOKUP(Inventory[[#This Row],[Cnd]],Lookups!$A$80:$E$88,2,FALSE)</f>
        <v>50438.379078999998</v>
      </c>
      <c r="AU308" s="30">
        <f>Inventory[[#This Row],[EffAge]]*Lookups!$B$65</f>
        <v>-978.66989999999998</v>
      </c>
      <c r="AV308" s="30">
        <f>Inventory[[#This Row],[MainFn]]*Lookups!$B$90</f>
        <v>86625.607440000007</v>
      </c>
      <c r="AW308" s="30">
        <f>Inventory[[#This Row],[UpprFn]]*Lookups!$B$91</f>
        <v>0</v>
      </c>
      <c r="AX308" s="30">
        <f>Inventory[[#This Row],[Bsmt Area]]*Lookups!$B$95</f>
        <v>0</v>
      </c>
      <c r="AY308" s="30">
        <f>Inventory[[#This Row],[AttGar]]*Lookups!$B$93</f>
        <v>14261.616524000001</v>
      </c>
      <c r="AZ308" s="30">
        <f>ROUND(Inventory[[#This Row],[25Det]],-2)</f>
        <v>0</v>
      </c>
      <c r="BA308" s="30">
        <f>ROUND(SUM(Inventory[[#This Row],[Mdl Qlty]:[Mdl Garage Area]])+Inventory[[#This Row],[Mdl Res Intercept]],-2)</f>
        <v>320000</v>
      </c>
      <c r="BB308" s="30">
        <f>ROUND(Inventory[[#This Row],[Mdl Land Intercept]]+Inventory[[#This Row],[Mdl LnAcres]],-2)</f>
        <v>65100</v>
      </c>
      <c r="BC308" s="30">
        <f>Inventory[[#This Row],[Unadj Res Value]]+Inventory[[#This Row],[Unadj Det Value]]+Inventory[[#This Row],[Unadj Land Value]]</f>
        <v>385100</v>
      </c>
      <c r="BD308" s="30">
        <f>(Inventory[[#This Row],[Unadj Total Value]]-Inventory[[#This Row],[24Final]])/Inventory[[#This Row],[24Final]]</f>
        <v>1.9592268996558113E-2</v>
      </c>
      <c r="BE308" s="30">
        <f>VLOOKUP(Inventory[[#This Row],[Nbhd]],Lookups!$M$3:$P$5,4,FALSE)</f>
        <v>0.99970000000000003</v>
      </c>
      <c r="BF308" s="30">
        <f>VLOOKUP(Inventory[[#This Row],[Qlty]],Lookups!$M$8:$P$22,4,FALSE)</f>
        <v>0.99819999999999998</v>
      </c>
      <c r="BG308" s="30">
        <f>VLOOKUP(Inventory[[#This Row],[Cnd]],Lookups!$R$8:$U$17,4,FALSE)</f>
        <v>1.0007999999999999</v>
      </c>
      <c r="BH308" s="30">
        <f>VLOOKUP(Inventory[[#This Row],[LivArea Range]],Lookups!$R$25:$U$43,4,FALSE)</f>
        <v>0.99519999999999997</v>
      </c>
      <c r="BI308" s="30">
        <f>VLOOKUP(Inventory[[#This Row],[Decade]],Lookups!$M$24:$P$40,4,FALSE)</f>
        <v>1</v>
      </c>
      <c r="BJ308" s="30">
        <f>Inventory[[#This Row],[Nbhd Adj]]*0.95</f>
        <v>0.94971499999999998</v>
      </c>
      <c r="BK308" s="30">
        <f>AVERAGE(Inventory[[#This Row],[Nbhd Adj]],Inventory[[#This Row],[Quality Adj]],Inventory[[#This Row],[Condition Adj]],Inventory[[#This Row],[Living Area Adj]],Inventory[[#This Row],[Decade Adj]])*0.95</f>
        <v>0.94884099999999993</v>
      </c>
      <c r="BL308" s="30">
        <f>ROUND((SUM(Inventory[[#This Row],[Mdl Qlty]:[Mdl Garage Area]])+Inventory[[#This Row],[Mdl Res Intercept]])*Inventory[[#This Row],[Res Adj ]],-2)</f>
        <v>303700</v>
      </c>
      <c r="BM308" s="30">
        <f>ROUND(Inventory[[#This Row],[25Det]]*Inventory[[#This Row],[Det/Nbhd Adj]],-2)</f>
        <v>0</v>
      </c>
      <c r="BN308" s="30">
        <f>Inventory[[#This Row],[Adjusted Res]]+Inventory[[#This Row],[Adj Det ]]</f>
        <v>303700</v>
      </c>
      <c r="BO308" s="30">
        <f>ROUND((Inventory[[#This Row],[Mdl Land Intercept]]+Inventory[[#This Row],[Mdl LnAcres]])*Inventory[[#This Row],[Det/Nbhd Adj]],-2)</f>
        <v>61800</v>
      </c>
      <c r="BP308" s="30">
        <f>Inventory[[#This Row],[Adjusted Impr Total]]+Inventory[[#This Row],[Adjusted Land Total]]</f>
        <v>365500</v>
      </c>
      <c r="BQ308" s="30">
        <f>IFERROR((Inventory[[#This Row],[Adjusted Impr Total]]-Inventory[[#This Row],[24Bldg]])/Inventory[[#This Row],[24Bldg]],0)</f>
        <v>-3.8924050632911392E-2</v>
      </c>
      <c r="BR308" s="43">
        <f>(Inventory[[#This Row],[Adjusted Land Total]]-Inventory[[#This Row],[24Lnd]])/Inventory[[#This Row],[24Lnd]]</f>
        <v>1.6207455429497568E-3</v>
      </c>
      <c r="BS308" s="43">
        <f>(Inventory[[#This Row],[Adjusted Total]]-Inventory[[#This Row],[24Final]])/Inventory[[#This Row],[24Final]]</f>
        <v>-3.2300767805136354E-2</v>
      </c>
    </row>
    <row r="309" spans="1:71">
      <c r="A309" s="30">
        <v>2025</v>
      </c>
      <c r="B309" s="31" t="s">
        <v>822</v>
      </c>
      <c r="C309" s="31">
        <f>LN(Inventory[[#This Row],[Acres]])</f>
        <v>-1.7719568419318752</v>
      </c>
      <c r="D309" s="30">
        <v>0.17</v>
      </c>
      <c r="E309" s="30">
        <v>7234</v>
      </c>
      <c r="F309" s="31" t="s">
        <v>505</v>
      </c>
      <c r="G309" s="31" t="s">
        <v>155</v>
      </c>
      <c r="H309" s="31" t="s">
        <v>5</v>
      </c>
      <c r="I309" s="31" t="s">
        <v>506</v>
      </c>
      <c r="J309" s="31" t="s">
        <v>507</v>
      </c>
      <c r="K309" s="31" t="s">
        <v>330</v>
      </c>
      <c r="L309" s="31" t="s">
        <v>21</v>
      </c>
      <c r="M309" s="31" t="s">
        <v>22</v>
      </c>
      <c r="N309" s="31">
        <v>0</v>
      </c>
      <c r="O309" s="31">
        <f>2024-Inventory[[#This Row],[YrBlt]]</f>
        <v>9</v>
      </c>
      <c r="P309" s="31">
        <f>2024-Inventory[[#This Row],[EffYr]]</f>
        <v>9</v>
      </c>
      <c r="Q309" s="30">
        <v>2015</v>
      </c>
      <c r="R309" s="30">
        <v>2015</v>
      </c>
      <c r="S309" s="30">
        <v>1335</v>
      </c>
      <c r="T309" s="38">
        <v>1554</v>
      </c>
      <c r="U309" s="32"/>
      <c r="V309" s="32"/>
      <c r="W309" s="32"/>
      <c r="X309" s="32">
        <f>Inventory[[#This Row],[Bsmt Area]]-Inventory[[#This Row],[FnBsmt]]</f>
        <v>0</v>
      </c>
      <c r="Y309" s="32">
        <f>Inventory[[#This Row],[MainFn]]+Inventory[[#This Row],[UpprFn]]+Inventory[[#This Row],[AddFn]]+Inventory[[#This Row],[FnBsmt]]</f>
        <v>2889</v>
      </c>
      <c r="Z309" s="32">
        <v>3000</v>
      </c>
      <c r="AA309" s="31" t="s">
        <v>56</v>
      </c>
      <c r="AB309" s="38">
        <v>1</v>
      </c>
      <c r="AC309" s="32"/>
      <c r="AD309" s="38">
        <v>448</v>
      </c>
      <c r="AE309" s="32"/>
      <c r="AF309" s="32"/>
      <c r="AG309" s="32"/>
      <c r="AH309" s="32"/>
      <c r="AI309" s="30">
        <v>542294</v>
      </c>
      <c r="AJ309" s="30">
        <v>520602</v>
      </c>
      <c r="AK309" s="30">
        <v>0</v>
      </c>
      <c r="AL309" s="30">
        <v>0</v>
      </c>
      <c r="AM309" s="30">
        <v>61700</v>
      </c>
      <c r="AN309" s="30">
        <v>389300</v>
      </c>
      <c r="AO309" s="30">
        <v>451000</v>
      </c>
      <c r="AP309" s="30">
        <f>Lookups!$B$58*0.6</f>
        <v>132535.48800000001</v>
      </c>
      <c r="AQ309" s="30">
        <f>Lookups!$B$58*0.4</f>
        <v>88356.992000000013</v>
      </c>
      <c r="AR309" s="30">
        <f>Lookups!$B$59*Inventory[[#This Row],[LnAcres]]</f>
        <v>-23255.730391660189</v>
      </c>
      <c r="AS309" s="30">
        <f>VLOOKUP(Inventory[[#This Row],[Qlty]],Lookups!$A$66:$E$79,2,FALSE)</f>
        <v>32917.849192000001</v>
      </c>
      <c r="AT309" s="30">
        <f>VLOOKUP(Inventory[[#This Row],[Cnd]],Lookups!$A$80:$E$88,2,FALSE)</f>
        <v>50438.379078999998</v>
      </c>
      <c r="AU309" s="30">
        <f>Inventory[[#This Row],[EffAge]]*Lookups!$B$65</f>
        <v>-978.66989999999998</v>
      </c>
      <c r="AV309" s="30">
        <f>Inventory[[#This Row],[MainFn]]*Lookups!$B$90</f>
        <v>83317.857300000003</v>
      </c>
      <c r="AW309" s="30">
        <f>Inventory[[#This Row],[UpprFn]]*Lookups!$B$91</f>
        <v>92587.915181999997</v>
      </c>
      <c r="AX309" s="30">
        <f>Inventory[[#This Row],[Bsmt Area]]*Lookups!$B$95</f>
        <v>0</v>
      </c>
      <c r="AY309" s="30">
        <f>Inventory[[#This Row],[AttGar]]*Lookups!$B$93</f>
        <v>0</v>
      </c>
      <c r="AZ309" s="30">
        <f>ROUND(Inventory[[#This Row],[25Det]],-2)</f>
        <v>0</v>
      </c>
      <c r="BA309" s="30">
        <f>ROUND(SUM(Inventory[[#This Row],[Mdl Qlty]:[Mdl Garage Area]])+Inventory[[#This Row],[Mdl Res Intercept]],-2)</f>
        <v>390800</v>
      </c>
      <c r="BB309" s="30">
        <f>ROUND(Inventory[[#This Row],[Mdl Land Intercept]]+Inventory[[#This Row],[Mdl LnAcres]],-2)</f>
        <v>65100</v>
      </c>
      <c r="BC309" s="30">
        <f>Inventory[[#This Row],[Unadj Res Value]]+Inventory[[#This Row],[Unadj Det Value]]+Inventory[[#This Row],[Unadj Land Value]]</f>
        <v>455900</v>
      </c>
      <c r="BD309" s="30">
        <f>(Inventory[[#This Row],[Unadj Total Value]]-Inventory[[#This Row],[24Final]])/Inventory[[#This Row],[24Final]]</f>
        <v>1.0864745011086474E-2</v>
      </c>
      <c r="BE309" s="30">
        <f>VLOOKUP(Inventory[[#This Row],[Nbhd]],Lookups!$M$3:$P$5,4,FALSE)</f>
        <v>0.99970000000000003</v>
      </c>
      <c r="BF309" s="30">
        <f>VLOOKUP(Inventory[[#This Row],[Qlty]],Lookups!$M$8:$P$22,4,FALSE)</f>
        <v>1.0019</v>
      </c>
      <c r="BG309" s="30">
        <f>VLOOKUP(Inventory[[#This Row],[Cnd]],Lookups!$R$8:$U$17,4,FALSE)</f>
        <v>1.0007999999999999</v>
      </c>
      <c r="BH309" s="30">
        <f>VLOOKUP(Inventory[[#This Row],[LivArea Range]],Lookups!$R$25:$U$43,4,FALSE)</f>
        <v>1.0099</v>
      </c>
      <c r="BI309" s="30">
        <f>VLOOKUP(Inventory[[#This Row],[Decade]],Lookups!$M$24:$P$40,4,FALSE)</f>
        <v>1</v>
      </c>
      <c r="BJ309" s="30">
        <f>Inventory[[#This Row],[Nbhd Adj]]*0.95</f>
        <v>0.94971499999999998</v>
      </c>
      <c r="BK309" s="30">
        <f>AVERAGE(Inventory[[#This Row],[Nbhd Adj]],Inventory[[#This Row],[Quality Adj]],Inventory[[#This Row],[Condition Adj]],Inventory[[#This Row],[Living Area Adj]],Inventory[[#This Row],[Decade Adj]])*0.95</f>
        <v>0.95233699999999988</v>
      </c>
      <c r="BL309" s="30">
        <f>ROUND((SUM(Inventory[[#This Row],[Mdl Qlty]:[Mdl Garage Area]])+Inventory[[#This Row],[Mdl Res Intercept]])*Inventory[[#This Row],[Res Adj ]],-2)</f>
        <v>372200</v>
      </c>
      <c r="BM309" s="30">
        <f>ROUND(Inventory[[#This Row],[25Det]]*Inventory[[#This Row],[Det/Nbhd Adj]],-2)</f>
        <v>0</v>
      </c>
      <c r="BN309" s="30">
        <f>Inventory[[#This Row],[Adjusted Res]]+Inventory[[#This Row],[Adj Det ]]</f>
        <v>372200</v>
      </c>
      <c r="BO309" s="30">
        <f>ROUND((Inventory[[#This Row],[Mdl Land Intercept]]+Inventory[[#This Row],[Mdl LnAcres]])*Inventory[[#This Row],[Det/Nbhd Adj]],-2)</f>
        <v>61800</v>
      </c>
      <c r="BP309" s="30">
        <f>Inventory[[#This Row],[Adjusted Impr Total]]+Inventory[[#This Row],[Adjusted Land Total]]</f>
        <v>434000</v>
      </c>
      <c r="BQ309" s="30">
        <f>IFERROR((Inventory[[#This Row],[Adjusted Impr Total]]-Inventory[[#This Row],[24Bldg]])/Inventory[[#This Row],[24Bldg]],0)</f>
        <v>-4.392499357821731E-2</v>
      </c>
      <c r="BR309" s="43">
        <f>(Inventory[[#This Row],[Adjusted Land Total]]-Inventory[[#This Row],[24Lnd]])/Inventory[[#This Row],[24Lnd]]</f>
        <v>1.6207455429497568E-3</v>
      </c>
      <c r="BS309" s="43">
        <f>(Inventory[[#This Row],[Adjusted Total]]-Inventory[[#This Row],[24Final]])/Inventory[[#This Row],[24Final]]</f>
        <v>-3.7694013303769404E-2</v>
      </c>
    </row>
    <row r="310" spans="1:71">
      <c r="A310" s="30">
        <v>2025</v>
      </c>
      <c r="B310" s="31" t="s">
        <v>823</v>
      </c>
      <c r="C310" s="31">
        <f>LN(Inventory[[#This Row],[Acres]])</f>
        <v>-1.7719568419318752</v>
      </c>
      <c r="D310" s="30">
        <v>0.17</v>
      </c>
      <c r="E310" s="30">
        <v>7435</v>
      </c>
      <c r="F310" s="31" t="s">
        <v>505</v>
      </c>
      <c r="G310" s="31" t="s">
        <v>155</v>
      </c>
      <c r="H310" s="31" t="s">
        <v>5</v>
      </c>
      <c r="I310" s="31" t="s">
        <v>506</v>
      </c>
      <c r="J310" s="31" t="s">
        <v>507</v>
      </c>
      <c r="K310" s="31" t="s">
        <v>330</v>
      </c>
      <c r="L310" s="31" t="s">
        <v>21</v>
      </c>
      <c r="M310" s="31" t="s">
        <v>22</v>
      </c>
      <c r="N310" s="31">
        <v>0</v>
      </c>
      <c r="O310" s="31">
        <f>2024-Inventory[[#This Row],[YrBlt]]</f>
        <v>9</v>
      </c>
      <c r="P310" s="31">
        <f>2024-Inventory[[#This Row],[EffYr]]</f>
        <v>9</v>
      </c>
      <c r="Q310" s="30">
        <v>2015</v>
      </c>
      <c r="R310" s="30">
        <v>2015</v>
      </c>
      <c r="S310" s="30">
        <v>2015</v>
      </c>
      <c r="T310" s="32"/>
      <c r="U310" s="32"/>
      <c r="V310" s="32"/>
      <c r="W310" s="32"/>
      <c r="X310" s="32">
        <f>Inventory[[#This Row],[Bsmt Area]]-Inventory[[#This Row],[FnBsmt]]</f>
        <v>0</v>
      </c>
      <c r="Y310" s="32">
        <f>Inventory[[#This Row],[MainFn]]+Inventory[[#This Row],[UpprFn]]+Inventory[[#This Row],[AddFn]]+Inventory[[#This Row],[FnBsmt]]</f>
        <v>2015</v>
      </c>
      <c r="Z310" s="32">
        <v>2500</v>
      </c>
      <c r="AA310" s="31" t="s">
        <v>56</v>
      </c>
      <c r="AB310" s="32"/>
      <c r="AC310" s="30">
        <v>659</v>
      </c>
      <c r="AD310" s="32"/>
      <c r="AE310" s="32"/>
      <c r="AF310" s="32"/>
      <c r="AG310" s="32"/>
      <c r="AH310" s="32"/>
      <c r="AI310" s="30">
        <v>438133</v>
      </c>
      <c r="AJ310" s="30">
        <v>420608</v>
      </c>
      <c r="AK310" s="30">
        <v>0</v>
      </c>
      <c r="AL310" s="30">
        <v>0</v>
      </c>
      <c r="AM310" s="30">
        <v>61700</v>
      </c>
      <c r="AN310" s="30">
        <v>358900</v>
      </c>
      <c r="AO310" s="30">
        <v>420600</v>
      </c>
      <c r="AP310" s="30">
        <f>Lookups!$B$58*0.6</f>
        <v>132535.48800000001</v>
      </c>
      <c r="AQ310" s="30">
        <f>Lookups!$B$58*0.4</f>
        <v>88356.992000000013</v>
      </c>
      <c r="AR310" s="30">
        <f>Lookups!$B$59*Inventory[[#This Row],[LnAcres]]</f>
        <v>-23255.730391660189</v>
      </c>
      <c r="AS310" s="30">
        <f>VLOOKUP(Inventory[[#This Row],[Qlty]],Lookups!$A$66:$E$79,2,FALSE)</f>
        <v>32917.849192000001</v>
      </c>
      <c r="AT310" s="30">
        <f>VLOOKUP(Inventory[[#This Row],[Cnd]],Lookups!$A$80:$E$88,2,FALSE)</f>
        <v>50438.379078999998</v>
      </c>
      <c r="AU310" s="30">
        <f>Inventory[[#This Row],[EffAge]]*Lookups!$B$65</f>
        <v>-978.66989999999998</v>
      </c>
      <c r="AV310" s="30">
        <f>Inventory[[#This Row],[MainFn]]*Lookups!$B$90</f>
        <v>125756.91570000001</v>
      </c>
      <c r="AW310" s="30">
        <f>Inventory[[#This Row],[UpprFn]]*Lookups!$B$91</f>
        <v>0</v>
      </c>
      <c r="AX310" s="30">
        <f>Inventory[[#This Row],[Bsmt Area]]*Lookups!$B$95</f>
        <v>0</v>
      </c>
      <c r="AY310" s="30">
        <f>Inventory[[#This Row],[AttGar]]*Lookups!$B$93</f>
        <v>23263.379429000001</v>
      </c>
      <c r="AZ310" s="30">
        <f>ROUND(Inventory[[#This Row],[25Det]],-2)</f>
        <v>0</v>
      </c>
      <c r="BA310" s="30">
        <f>ROUND(SUM(Inventory[[#This Row],[Mdl Qlty]:[Mdl Garage Area]])+Inventory[[#This Row],[Mdl Res Intercept]],-2)</f>
        <v>363900</v>
      </c>
      <c r="BB310" s="30">
        <f>ROUND(Inventory[[#This Row],[Mdl Land Intercept]]+Inventory[[#This Row],[Mdl LnAcres]],-2)</f>
        <v>65100</v>
      </c>
      <c r="BC310" s="30">
        <f>Inventory[[#This Row],[Unadj Res Value]]+Inventory[[#This Row],[Unadj Det Value]]+Inventory[[#This Row],[Unadj Land Value]]</f>
        <v>429000</v>
      </c>
      <c r="BD310" s="30">
        <f>(Inventory[[#This Row],[Unadj Total Value]]-Inventory[[#This Row],[24Final]])/Inventory[[#This Row],[24Final]]</f>
        <v>1.9971469329529243E-2</v>
      </c>
      <c r="BE310" s="30">
        <f>VLOOKUP(Inventory[[#This Row],[Nbhd]],Lookups!$M$3:$P$5,4,FALSE)</f>
        <v>0.99970000000000003</v>
      </c>
      <c r="BF310" s="30">
        <f>VLOOKUP(Inventory[[#This Row],[Qlty]],Lookups!$M$8:$P$22,4,FALSE)</f>
        <v>1.0019</v>
      </c>
      <c r="BG310" s="30">
        <f>VLOOKUP(Inventory[[#This Row],[Cnd]],Lookups!$R$8:$U$17,4,FALSE)</f>
        <v>1.0007999999999999</v>
      </c>
      <c r="BH310" s="30">
        <f>VLOOKUP(Inventory[[#This Row],[LivArea Range]],Lookups!$R$25:$U$43,4,FALSE)</f>
        <v>1.0008999999999999</v>
      </c>
      <c r="BI310" s="30">
        <f>VLOOKUP(Inventory[[#This Row],[Decade]],Lookups!$M$24:$P$40,4,FALSE)</f>
        <v>1</v>
      </c>
      <c r="BJ310" s="30">
        <f>Inventory[[#This Row],[Nbhd Adj]]*0.95</f>
        <v>0.94971499999999998</v>
      </c>
      <c r="BK310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310" s="30">
        <f>ROUND((SUM(Inventory[[#This Row],[Mdl Qlty]:[Mdl Garage Area]])+Inventory[[#This Row],[Mdl Res Intercept]])*Inventory[[#This Row],[Res Adj ]],-2)</f>
        <v>346000</v>
      </c>
      <c r="BM310" s="30">
        <f>ROUND(Inventory[[#This Row],[25Det]]*Inventory[[#This Row],[Det/Nbhd Adj]],-2)</f>
        <v>0</v>
      </c>
      <c r="BN310" s="30">
        <f>Inventory[[#This Row],[Adjusted Res]]+Inventory[[#This Row],[Adj Det ]]</f>
        <v>346000</v>
      </c>
      <c r="BO310" s="30">
        <f>ROUND((Inventory[[#This Row],[Mdl Land Intercept]]+Inventory[[#This Row],[Mdl LnAcres]])*Inventory[[#This Row],[Det/Nbhd Adj]],-2)</f>
        <v>61800</v>
      </c>
      <c r="BP310" s="30">
        <f>Inventory[[#This Row],[Adjusted Impr Total]]+Inventory[[#This Row],[Adjusted Land Total]]</f>
        <v>407800</v>
      </c>
      <c r="BQ310" s="30">
        <f>IFERROR((Inventory[[#This Row],[Adjusted Impr Total]]-Inventory[[#This Row],[24Bldg]])/Inventory[[#This Row],[24Bldg]],0)</f>
        <v>-3.5943159654499859E-2</v>
      </c>
      <c r="BR310" s="43">
        <f>(Inventory[[#This Row],[Adjusted Land Total]]-Inventory[[#This Row],[24Lnd]])/Inventory[[#This Row],[24Lnd]]</f>
        <v>1.6207455429497568E-3</v>
      </c>
      <c r="BS310" s="43">
        <f>(Inventory[[#This Row],[Adjusted Total]]-Inventory[[#This Row],[24Final]])/Inventory[[#This Row],[24Final]]</f>
        <v>-3.0432715168806468E-2</v>
      </c>
    </row>
    <row r="311" spans="1:71">
      <c r="A311" s="30">
        <v>2025</v>
      </c>
      <c r="B311" s="31" t="s">
        <v>824</v>
      </c>
      <c r="C311" s="31">
        <f>LN(Inventory[[#This Row],[Acres]])</f>
        <v>-1.7719568419318752</v>
      </c>
      <c r="D311" s="30">
        <v>0.17</v>
      </c>
      <c r="E311" s="30">
        <v>7435</v>
      </c>
      <c r="F311" s="31" t="s">
        <v>505</v>
      </c>
      <c r="G311" s="31" t="s">
        <v>155</v>
      </c>
      <c r="H311" s="31" t="s">
        <v>5</v>
      </c>
      <c r="I311" s="31" t="s">
        <v>506</v>
      </c>
      <c r="J311" s="31" t="s">
        <v>507</v>
      </c>
      <c r="K311" s="31" t="s">
        <v>330</v>
      </c>
      <c r="L311" s="31" t="s">
        <v>21</v>
      </c>
      <c r="M311" s="31" t="s">
        <v>22</v>
      </c>
      <c r="N311" s="31">
        <v>0</v>
      </c>
      <c r="O311" s="31">
        <f>2024-Inventory[[#This Row],[YrBlt]]</f>
        <v>9</v>
      </c>
      <c r="P311" s="31">
        <f>2024-Inventory[[#This Row],[EffYr]]</f>
        <v>9</v>
      </c>
      <c r="Q311" s="30">
        <v>2015</v>
      </c>
      <c r="R311" s="30">
        <v>2015</v>
      </c>
      <c r="S311" s="30">
        <v>2015</v>
      </c>
      <c r="T311" s="32"/>
      <c r="U311" s="32"/>
      <c r="V311" s="32"/>
      <c r="W311" s="32"/>
      <c r="X311" s="32">
        <f>Inventory[[#This Row],[Bsmt Area]]-Inventory[[#This Row],[FnBsmt]]</f>
        <v>0</v>
      </c>
      <c r="Y311" s="32">
        <f>Inventory[[#This Row],[MainFn]]+Inventory[[#This Row],[UpprFn]]+Inventory[[#This Row],[AddFn]]+Inventory[[#This Row],[FnBsmt]]</f>
        <v>2015</v>
      </c>
      <c r="Z311" s="32">
        <v>2500</v>
      </c>
      <c r="AA311" s="31" t="s">
        <v>56</v>
      </c>
      <c r="AB311" s="32"/>
      <c r="AC311" s="30">
        <v>654</v>
      </c>
      <c r="AD311" s="32"/>
      <c r="AE311" s="32"/>
      <c r="AF311" s="32"/>
      <c r="AG311" s="32"/>
      <c r="AH311" s="32"/>
      <c r="AI311" s="30">
        <v>433908</v>
      </c>
      <c r="AJ311" s="30">
        <v>416552</v>
      </c>
      <c r="AK311" s="30">
        <v>0</v>
      </c>
      <c r="AL311" s="30">
        <v>0</v>
      </c>
      <c r="AM311" s="30">
        <v>61700</v>
      </c>
      <c r="AN311" s="30">
        <v>351200</v>
      </c>
      <c r="AO311" s="30">
        <v>412900</v>
      </c>
      <c r="AP311" s="30">
        <f>Lookups!$B$58*0.6</f>
        <v>132535.48800000001</v>
      </c>
      <c r="AQ311" s="30">
        <f>Lookups!$B$58*0.4</f>
        <v>88356.992000000013</v>
      </c>
      <c r="AR311" s="30">
        <f>Lookups!$B$59*Inventory[[#This Row],[LnAcres]]</f>
        <v>-23255.730391660189</v>
      </c>
      <c r="AS311" s="30">
        <f>VLOOKUP(Inventory[[#This Row],[Qlty]],Lookups!$A$66:$E$79,2,FALSE)</f>
        <v>32917.849192000001</v>
      </c>
      <c r="AT311" s="30">
        <f>VLOOKUP(Inventory[[#This Row],[Cnd]],Lookups!$A$80:$E$88,2,FALSE)</f>
        <v>50438.379078999998</v>
      </c>
      <c r="AU311" s="30">
        <f>Inventory[[#This Row],[EffAge]]*Lookups!$B$65</f>
        <v>-978.66989999999998</v>
      </c>
      <c r="AV311" s="30">
        <f>Inventory[[#This Row],[MainFn]]*Lookups!$B$90</f>
        <v>125756.91570000001</v>
      </c>
      <c r="AW311" s="30">
        <f>Inventory[[#This Row],[UpprFn]]*Lookups!$B$91</f>
        <v>0</v>
      </c>
      <c r="AX311" s="30">
        <f>Inventory[[#This Row],[Bsmt Area]]*Lookups!$B$95</f>
        <v>0</v>
      </c>
      <c r="AY311" s="30">
        <f>Inventory[[#This Row],[AttGar]]*Lookups!$B$93</f>
        <v>23086.874274000002</v>
      </c>
      <c r="AZ311" s="30">
        <f>ROUND(Inventory[[#This Row],[25Det]],-2)</f>
        <v>0</v>
      </c>
      <c r="BA311" s="30">
        <f>ROUND(SUM(Inventory[[#This Row],[Mdl Qlty]:[Mdl Garage Area]])+Inventory[[#This Row],[Mdl Res Intercept]],-2)</f>
        <v>363800</v>
      </c>
      <c r="BB311" s="30">
        <f>ROUND(Inventory[[#This Row],[Mdl Land Intercept]]+Inventory[[#This Row],[Mdl LnAcres]],-2)</f>
        <v>65100</v>
      </c>
      <c r="BC311" s="30">
        <f>Inventory[[#This Row],[Unadj Res Value]]+Inventory[[#This Row],[Unadj Det Value]]+Inventory[[#This Row],[Unadj Land Value]]</f>
        <v>428900</v>
      </c>
      <c r="BD311" s="30">
        <f>(Inventory[[#This Row],[Unadj Total Value]]-Inventory[[#This Row],[24Final]])/Inventory[[#This Row],[24Final]]</f>
        <v>3.8750302736740128E-2</v>
      </c>
      <c r="BE311" s="30">
        <f>VLOOKUP(Inventory[[#This Row],[Nbhd]],Lookups!$M$3:$P$5,4,FALSE)</f>
        <v>0.99970000000000003</v>
      </c>
      <c r="BF311" s="30">
        <f>VLOOKUP(Inventory[[#This Row],[Qlty]],Lookups!$M$8:$P$22,4,FALSE)</f>
        <v>1.0019</v>
      </c>
      <c r="BG311" s="30">
        <f>VLOOKUP(Inventory[[#This Row],[Cnd]],Lookups!$R$8:$U$17,4,FALSE)</f>
        <v>1.0007999999999999</v>
      </c>
      <c r="BH311" s="30">
        <f>VLOOKUP(Inventory[[#This Row],[LivArea Range]],Lookups!$R$25:$U$43,4,FALSE)</f>
        <v>1.0008999999999999</v>
      </c>
      <c r="BI311" s="30">
        <f>VLOOKUP(Inventory[[#This Row],[Decade]],Lookups!$M$24:$P$40,4,FALSE)</f>
        <v>1</v>
      </c>
      <c r="BJ311" s="30">
        <f>Inventory[[#This Row],[Nbhd Adj]]*0.95</f>
        <v>0.94971499999999998</v>
      </c>
      <c r="BK311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311" s="30">
        <f>ROUND((SUM(Inventory[[#This Row],[Mdl Qlty]:[Mdl Garage Area]])+Inventory[[#This Row],[Mdl Res Intercept]])*Inventory[[#This Row],[Res Adj ]],-2)</f>
        <v>345800</v>
      </c>
      <c r="BM311" s="30">
        <f>ROUND(Inventory[[#This Row],[25Det]]*Inventory[[#This Row],[Det/Nbhd Adj]],-2)</f>
        <v>0</v>
      </c>
      <c r="BN311" s="30">
        <f>Inventory[[#This Row],[Adjusted Res]]+Inventory[[#This Row],[Adj Det ]]</f>
        <v>345800</v>
      </c>
      <c r="BO311" s="30">
        <f>ROUND((Inventory[[#This Row],[Mdl Land Intercept]]+Inventory[[#This Row],[Mdl LnAcres]])*Inventory[[#This Row],[Det/Nbhd Adj]],-2)</f>
        <v>61800</v>
      </c>
      <c r="BP311" s="30">
        <f>Inventory[[#This Row],[Adjusted Impr Total]]+Inventory[[#This Row],[Adjusted Land Total]]</f>
        <v>407600</v>
      </c>
      <c r="BQ311" s="30">
        <f>IFERROR((Inventory[[#This Row],[Adjusted Impr Total]]-Inventory[[#This Row],[24Bldg]])/Inventory[[#This Row],[24Bldg]],0)</f>
        <v>-1.5375854214123007E-2</v>
      </c>
      <c r="BR311" s="43">
        <f>(Inventory[[#This Row],[Adjusted Land Total]]-Inventory[[#This Row],[24Lnd]])/Inventory[[#This Row],[24Lnd]]</f>
        <v>1.6207455429497568E-3</v>
      </c>
      <c r="BS311" s="43">
        <f>(Inventory[[#This Row],[Adjusted Total]]-Inventory[[#This Row],[24Final]])/Inventory[[#This Row],[24Final]]</f>
        <v>-1.2836037781545169E-2</v>
      </c>
    </row>
    <row r="312" spans="1:71">
      <c r="A312" s="30">
        <v>2025</v>
      </c>
      <c r="B312" s="31" t="s">
        <v>825</v>
      </c>
      <c r="C312" s="31">
        <f>LN(Inventory[[#This Row],[Acres]])</f>
        <v>-1.7719568419318752</v>
      </c>
      <c r="D312" s="30">
        <v>0.17</v>
      </c>
      <c r="E312" s="30">
        <v>7311</v>
      </c>
      <c r="F312" s="31" t="s">
        <v>505</v>
      </c>
      <c r="G312" s="31" t="s">
        <v>155</v>
      </c>
      <c r="H312" s="31" t="s">
        <v>5</v>
      </c>
      <c r="I312" s="31" t="s">
        <v>506</v>
      </c>
      <c r="J312" s="31" t="s">
        <v>507</v>
      </c>
      <c r="K312" s="31" t="s">
        <v>330</v>
      </c>
      <c r="L312" s="31" t="s">
        <v>21</v>
      </c>
      <c r="M312" s="31" t="s">
        <v>22</v>
      </c>
      <c r="N312" s="31">
        <v>0</v>
      </c>
      <c r="O312" s="31">
        <f>2024-Inventory[[#This Row],[YrBlt]]</f>
        <v>9</v>
      </c>
      <c r="P312" s="31">
        <f>2024-Inventory[[#This Row],[EffYr]]</f>
        <v>9</v>
      </c>
      <c r="Q312" s="30">
        <v>2015</v>
      </c>
      <c r="R312" s="30">
        <v>2015</v>
      </c>
      <c r="S312" s="30">
        <v>2015</v>
      </c>
      <c r="T312" s="32"/>
      <c r="U312" s="32"/>
      <c r="V312" s="32"/>
      <c r="W312" s="32"/>
      <c r="X312" s="32">
        <f>Inventory[[#This Row],[Bsmt Area]]-Inventory[[#This Row],[FnBsmt]]</f>
        <v>0</v>
      </c>
      <c r="Y312" s="32">
        <f>Inventory[[#This Row],[MainFn]]+Inventory[[#This Row],[UpprFn]]+Inventory[[#This Row],[AddFn]]+Inventory[[#This Row],[FnBsmt]]</f>
        <v>2015</v>
      </c>
      <c r="Z312" s="32">
        <v>2500</v>
      </c>
      <c r="AA312" s="31" t="s">
        <v>56</v>
      </c>
      <c r="AB312" s="38">
        <v>1</v>
      </c>
      <c r="AC312" s="30">
        <v>426</v>
      </c>
      <c r="AD312" s="32"/>
      <c r="AE312" s="32"/>
      <c r="AF312" s="32"/>
      <c r="AG312" s="32"/>
      <c r="AH312" s="32"/>
      <c r="AI312" s="30">
        <v>428139</v>
      </c>
      <c r="AJ312" s="30">
        <v>411013</v>
      </c>
      <c r="AK312" s="30">
        <v>0</v>
      </c>
      <c r="AL312" s="30">
        <v>0</v>
      </c>
      <c r="AM312" s="30">
        <v>61700</v>
      </c>
      <c r="AN312" s="30">
        <v>341400</v>
      </c>
      <c r="AO312" s="30">
        <v>403100</v>
      </c>
      <c r="AP312" s="30">
        <f>Lookups!$B$58*0.6</f>
        <v>132535.48800000001</v>
      </c>
      <c r="AQ312" s="30">
        <f>Lookups!$B$58*0.4</f>
        <v>88356.992000000013</v>
      </c>
      <c r="AR312" s="30">
        <f>Lookups!$B$59*Inventory[[#This Row],[LnAcres]]</f>
        <v>-23255.730391660189</v>
      </c>
      <c r="AS312" s="30">
        <f>VLOOKUP(Inventory[[#This Row],[Qlty]],Lookups!$A$66:$E$79,2,FALSE)</f>
        <v>32917.849192000001</v>
      </c>
      <c r="AT312" s="30">
        <f>VLOOKUP(Inventory[[#This Row],[Cnd]],Lookups!$A$80:$E$88,2,FALSE)</f>
        <v>50438.379078999998</v>
      </c>
      <c r="AU312" s="30">
        <f>Inventory[[#This Row],[EffAge]]*Lookups!$B$65</f>
        <v>-978.66989999999998</v>
      </c>
      <c r="AV312" s="30">
        <f>Inventory[[#This Row],[MainFn]]*Lookups!$B$90</f>
        <v>125756.91570000001</v>
      </c>
      <c r="AW312" s="30">
        <f>Inventory[[#This Row],[UpprFn]]*Lookups!$B$91</f>
        <v>0</v>
      </c>
      <c r="AX312" s="30">
        <f>Inventory[[#This Row],[Bsmt Area]]*Lookups!$B$95</f>
        <v>0</v>
      </c>
      <c r="AY312" s="30">
        <f>Inventory[[#This Row],[AttGar]]*Lookups!$B$93</f>
        <v>15038.239206</v>
      </c>
      <c r="AZ312" s="30">
        <f>ROUND(Inventory[[#This Row],[25Det]],-2)</f>
        <v>0</v>
      </c>
      <c r="BA312" s="30">
        <f>ROUND(SUM(Inventory[[#This Row],[Mdl Qlty]:[Mdl Garage Area]])+Inventory[[#This Row],[Mdl Res Intercept]],-2)</f>
        <v>355700</v>
      </c>
      <c r="BB312" s="30">
        <f>ROUND(Inventory[[#This Row],[Mdl Land Intercept]]+Inventory[[#This Row],[Mdl LnAcres]],-2)</f>
        <v>65100</v>
      </c>
      <c r="BC312" s="30">
        <f>Inventory[[#This Row],[Unadj Res Value]]+Inventory[[#This Row],[Unadj Det Value]]+Inventory[[#This Row],[Unadj Land Value]]</f>
        <v>420800</v>
      </c>
      <c r="BD312" s="30">
        <f>(Inventory[[#This Row],[Unadj Total Value]]-Inventory[[#This Row],[24Final]])/Inventory[[#This Row],[24Final]]</f>
        <v>4.3909699826345822E-2</v>
      </c>
      <c r="BE312" s="30">
        <f>VLOOKUP(Inventory[[#This Row],[Nbhd]],Lookups!$M$3:$P$5,4,FALSE)</f>
        <v>0.99970000000000003</v>
      </c>
      <c r="BF312" s="30">
        <f>VLOOKUP(Inventory[[#This Row],[Qlty]],Lookups!$M$8:$P$22,4,FALSE)</f>
        <v>1.0019</v>
      </c>
      <c r="BG312" s="30">
        <f>VLOOKUP(Inventory[[#This Row],[Cnd]],Lookups!$R$8:$U$17,4,FALSE)</f>
        <v>1.0007999999999999</v>
      </c>
      <c r="BH312" s="30">
        <f>VLOOKUP(Inventory[[#This Row],[LivArea Range]],Lookups!$R$25:$U$43,4,FALSE)</f>
        <v>1.0008999999999999</v>
      </c>
      <c r="BI312" s="30">
        <f>VLOOKUP(Inventory[[#This Row],[Decade]],Lookups!$M$24:$P$40,4,FALSE)</f>
        <v>1</v>
      </c>
      <c r="BJ312" s="30">
        <f>Inventory[[#This Row],[Nbhd Adj]]*0.95</f>
        <v>0.94971499999999998</v>
      </c>
      <c r="BK312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312" s="30">
        <f>ROUND((SUM(Inventory[[#This Row],[Mdl Qlty]:[Mdl Garage Area]])+Inventory[[#This Row],[Mdl Res Intercept]])*Inventory[[#This Row],[Res Adj ]],-2)</f>
        <v>338100</v>
      </c>
      <c r="BM312" s="30">
        <f>ROUND(Inventory[[#This Row],[25Det]]*Inventory[[#This Row],[Det/Nbhd Adj]],-2)</f>
        <v>0</v>
      </c>
      <c r="BN312" s="30">
        <f>Inventory[[#This Row],[Adjusted Res]]+Inventory[[#This Row],[Adj Det ]]</f>
        <v>338100</v>
      </c>
      <c r="BO312" s="30">
        <f>ROUND((Inventory[[#This Row],[Mdl Land Intercept]]+Inventory[[#This Row],[Mdl LnAcres]])*Inventory[[#This Row],[Det/Nbhd Adj]],-2)</f>
        <v>61800</v>
      </c>
      <c r="BP312" s="30">
        <f>Inventory[[#This Row],[Adjusted Impr Total]]+Inventory[[#This Row],[Adjusted Land Total]]</f>
        <v>399900</v>
      </c>
      <c r="BQ312" s="30">
        <f>IFERROR((Inventory[[#This Row],[Adjusted Impr Total]]-Inventory[[#This Row],[24Bldg]])/Inventory[[#This Row],[24Bldg]],0)</f>
        <v>-9.6660808435852369E-3</v>
      </c>
      <c r="BR312" s="43">
        <f>(Inventory[[#This Row],[Adjusted Land Total]]-Inventory[[#This Row],[24Lnd]])/Inventory[[#This Row],[24Lnd]]</f>
        <v>1.6207455429497568E-3</v>
      </c>
      <c r="BS312" s="43">
        <f>(Inventory[[#This Row],[Adjusted Total]]-Inventory[[#This Row],[24Final]])/Inventory[[#This Row],[24Final]]</f>
        <v>-7.9384768047630859E-3</v>
      </c>
    </row>
    <row r="313" spans="1:71">
      <c r="A313" s="30">
        <v>2025</v>
      </c>
      <c r="B313" s="31" t="s">
        <v>826</v>
      </c>
      <c r="C313" s="31">
        <f>LN(Inventory[[#This Row],[Acres]])</f>
        <v>-1.7719568419318752</v>
      </c>
      <c r="D313" s="30">
        <v>0.17</v>
      </c>
      <c r="E313" s="30">
        <v>7435</v>
      </c>
      <c r="F313" s="31" t="s">
        <v>505</v>
      </c>
      <c r="G313" s="31" t="s">
        <v>155</v>
      </c>
      <c r="H313" s="31" t="s">
        <v>5</v>
      </c>
      <c r="I313" s="31" t="s">
        <v>506</v>
      </c>
      <c r="J313" s="31" t="s">
        <v>507</v>
      </c>
      <c r="K313" s="31" t="s">
        <v>330</v>
      </c>
      <c r="L313" s="31" t="s">
        <v>21</v>
      </c>
      <c r="M313" s="31" t="s">
        <v>22</v>
      </c>
      <c r="N313" s="31">
        <v>0</v>
      </c>
      <c r="O313" s="31">
        <f>2024-Inventory[[#This Row],[YrBlt]]</f>
        <v>9</v>
      </c>
      <c r="P313" s="31">
        <f>2024-Inventory[[#This Row],[EffYr]]</f>
        <v>9</v>
      </c>
      <c r="Q313" s="30">
        <v>2015</v>
      </c>
      <c r="R313" s="30">
        <v>2015</v>
      </c>
      <c r="S313" s="30">
        <v>2015</v>
      </c>
      <c r="T313" s="32"/>
      <c r="U313" s="32"/>
      <c r="V313" s="32"/>
      <c r="W313" s="32"/>
      <c r="X313" s="32">
        <f>Inventory[[#This Row],[Bsmt Area]]-Inventory[[#This Row],[FnBsmt]]</f>
        <v>0</v>
      </c>
      <c r="Y313" s="32">
        <f>Inventory[[#This Row],[MainFn]]+Inventory[[#This Row],[UpprFn]]+Inventory[[#This Row],[AddFn]]+Inventory[[#This Row],[FnBsmt]]</f>
        <v>2015</v>
      </c>
      <c r="Z313" s="32">
        <v>2500</v>
      </c>
      <c r="AA313" s="31" t="s">
        <v>56</v>
      </c>
      <c r="AB313" s="32"/>
      <c r="AC313" s="30">
        <v>426</v>
      </c>
      <c r="AD313" s="32"/>
      <c r="AE313" s="32"/>
      <c r="AF313" s="32"/>
      <c r="AG313" s="32"/>
      <c r="AH313" s="32"/>
      <c r="AI313" s="30">
        <v>423819</v>
      </c>
      <c r="AJ313" s="30">
        <v>406866</v>
      </c>
      <c r="AK313" s="30">
        <v>0</v>
      </c>
      <c r="AL313" s="30">
        <v>0</v>
      </c>
      <c r="AM313" s="30">
        <v>61700</v>
      </c>
      <c r="AN313" s="30">
        <v>341400</v>
      </c>
      <c r="AO313" s="30">
        <v>403100</v>
      </c>
      <c r="AP313" s="30">
        <f>Lookups!$B$58*0.6</f>
        <v>132535.48800000001</v>
      </c>
      <c r="AQ313" s="30">
        <f>Lookups!$B$58*0.4</f>
        <v>88356.992000000013</v>
      </c>
      <c r="AR313" s="30">
        <f>Lookups!$B$59*Inventory[[#This Row],[LnAcres]]</f>
        <v>-23255.730391660189</v>
      </c>
      <c r="AS313" s="30">
        <f>VLOOKUP(Inventory[[#This Row],[Qlty]],Lookups!$A$66:$E$79,2,FALSE)</f>
        <v>32917.849192000001</v>
      </c>
      <c r="AT313" s="30">
        <f>VLOOKUP(Inventory[[#This Row],[Cnd]],Lookups!$A$80:$E$88,2,FALSE)</f>
        <v>50438.379078999998</v>
      </c>
      <c r="AU313" s="30">
        <f>Inventory[[#This Row],[EffAge]]*Lookups!$B$65</f>
        <v>-978.66989999999998</v>
      </c>
      <c r="AV313" s="30">
        <f>Inventory[[#This Row],[MainFn]]*Lookups!$B$90</f>
        <v>125756.91570000001</v>
      </c>
      <c r="AW313" s="30">
        <f>Inventory[[#This Row],[UpprFn]]*Lookups!$B$91</f>
        <v>0</v>
      </c>
      <c r="AX313" s="30">
        <f>Inventory[[#This Row],[Bsmt Area]]*Lookups!$B$95</f>
        <v>0</v>
      </c>
      <c r="AY313" s="30">
        <f>Inventory[[#This Row],[AttGar]]*Lookups!$B$93</f>
        <v>15038.239206</v>
      </c>
      <c r="AZ313" s="30">
        <f>ROUND(Inventory[[#This Row],[25Det]],-2)</f>
        <v>0</v>
      </c>
      <c r="BA313" s="30">
        <f>ROUND(SUM(Inventory[[#This Row],[Mdl Qlty]:[Mdl Garage Area]])+Inventory[[#This Row],[Mdl Res Intercept]],-2)</f>
        <v>355700</v>
      </c>
      <c r="BB313" s="30">
        <f>ROUND(Inventory[[#This Row],[Mdl Land Intercept]]+Inventory[[#This Row],[Mdl LnAcres]],-2)</f>
        <v>65100</v>
      </c>
      <c r="BC313" s="30">
        <f>Inventory[[#This Row],[Unadj Res Value]]+Inventory[[#This Row],[Unadj Det Value]]+Inventory[[#This Row],[Unadj Land Value]]</f>
        <v>420800</v>
      </c>
      <c r="BD313" s="30">
        <f>(Inventory[[#This Row],[Unadj Total Value]]-Inventory[[#This Row],[24Final]])/Inventory[[#This Row],[24Final]]</f>
        <v>4.3909699826345822E-2</v>
      </c>
      <c r="BE313" s="30">
        <f>VLOOKUP(Inventory[[#This Row],[Nbhd]],Lookups!$M$3:$P$5,4,FALSE)</f>
        <v>0.99970000000000003</v>
      </c>
      <c r="BF313" s="30">
        <f>VLOOKUP(Inventory[[#This Row],[Qlty]],Lookups!$M$8:$P$22,4,FALSE)</f>
        <v>1.0019</v>
      </c>
      <c r="BG313" s="30">
        <f>VLOOKUP(Inventory[[#This Row],[Cnd]],Lookups!$R$8:$U$17,4,FALSE)</f>
        <v>1.0007999999999999</v>
      </c>
      <c r="BH313" s="30">
        <f>VLOOKUP(Inventory[[#This Row],[LivArea Range]],Lookups!$R$25:$U$43,4,FALSE)</f>
        <v>1.0008999999999999</v>
      </c>
      <c r="BI313" s="30">
        <f>VLOOKUP(Inventory[[#This Row],[Decade]],Lookups!$M$24:$P$40,4,FALSE)</f>
        <v>1</v>
      </c>
      <c r="BJ313" s="30">
        <f>Inventory[[#This Row],[Nbhd Adj]]*0.95</f>
        <v>0.94971499999999998</v>
      </c>
      <c r="BK313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313" s="30">
        <f>ROUND((SUM(Inventory[[#This Row],[Mdl Qlty]:[Mdl Garage Area]])+Inventory[[#This Row],[Mdl Res Intercept]])*Inventory[[#This Row],[Res Adj ]],-2)</f>
        <v>338100</v>
      </c>
      <c r="BM313" s="30">
        <f>ROUND(Inventory[[#This Row],[25Det]]*Inventory[[#This Row],[Det/Nbhd Adj]],-2)</f>
        <v>0</v>
      </c>
      <c r="BN313" s="30">
        <f>Inventory[[#This Row],[Adjusted Res]]+Inventory[[#This Row],[Adj Det ]]</f>
        <v>338100</v>
      </c>
      <c r="BO313" s="30">
        <f>ROUND((Inventory[[#This Row],[Mdl Land Intercept]]+Inventory[[#This Row],[Mdl LnAcres]])*Inventory[[#This Row],[Det/Nbhd Adj]],-2)</f>
        <v>61800</v>
      </c>
      <c r="BP313" s="30">
        <f>Inventory[[#This Row],[Adjusted Impr Total]]+Inventory[[#This Row],[Adjusted Land Total]]</f>
        <v>399900</v>
      </c>
      <c r="BQ313" s="30">
        <f>IFERROR((Inventory[[#This Row],[Adjusted Impr Total]]-Inventory[[#This Row],[24Bldg]])/Inventory[[#This Row],[24Bldg]],0)</f>
        <v>-9.6660808435852369E-3</v>
      </c>
      <c r="BR313" s="43">
        <f>(Inventory[[#This Row],[Adjusted Land Total]]-Inventory[[#This Row],[24Lnd]])/Inventory[[#This Row],[24Lnd]]</f>
        <v>1.6207455429497568E-3</v>
      </c>
      <c r="BS313" s="43">
        <f>(Inventory[[#This Row],[Adjusted Total]]-Inventory[[#This Row],[24Final]])/Inventory[[#This Row],[24Final]]</f>
        <v>-7.9384768047630859E-3</v>
      </c>
    </row>
    <row r="314" spans="1:71">
      <c r="A314" s="30">
        <v>2025</v>
      </c>
      <c r="B314" s="31" t="s">
        <v>827</v>
      </c>
      <c r="C314" s="31">
        <f>LN(Inventory[[#This Row],[Acres]])</f>
        <v>-1.7719568419318752</v>
      </c>
      <c r="D314" s="30">
        <v>0.17</v>
      </c>
      <c r="E314" s="30">
        <v>7308</v>
      </c>
      <c r="F314" s="31" t="s">
        <v>505</v>
      </c>
      <c r="G314" s="31" t="s">
        <v>155</v>
      </c>
      <c r="H314" s="31" t="s">
        <v>5</v>
      </c>
      <c r="I314" s="31" t="s">
        <v>506</v>
      </c>
      <c r="J314" s="31" t="s">
        <v>507</v>
      </c>
      <c r="K314" s="31" t="s">
        <v>330</v>
      </c>
      <c r="L314" s="31" t="s">
        <v>21</v>
      </c>
      <c r="M314" s="31" t="s">
        <v>22</v>
      </c>
      <c r="N314" s="31">
        <v>0</v>
      </c>
      <c r="O314" s="31">
        <f>2024-Inventory[[#This Row],[YrBlt]]</f>
        <v>9</v>
      </c>
      <c r="P314" s="31">
        <f>2024-Inventory[[#This Row],[EffYr]]</f>
        <v>9</v>
      </c>
      <c r="Q314" s="30">
        <v>2015</v>
      </c>
      <c r="R314" s="30">
        <v>2015</v>
      </c>
      <c r="S314" s="30">
        <v>1770</v>
      </c>
      <c r="T314" s="32"/>
      <c r="U314" s="32"/>
      <c r="V314" s="32"/>
      <c r="W314" s="32"/>
      <c r="X314" s="32">
        <f>Inventory[[#This Row],[Bsmt Area]]-Inventory[[#This Row],[FnBsmt]]</f>
        <v>0</v>
      </c>
      <c r="Y314" s="32">
        <f>Inventory[[#This Row],[MainFn]]+Inventory[[#This Row],[UpprFn]]+Inventory[[#This Row],[AddFn]]+Inventory[[#This Row],[FnBsmt]]</f>
        <v>1770</v>
      </c>
      <c r="Z314" s="32">
        <v>2000</v>
      </c>
      <c r="AA314" s="31" t="s">
        <v>56</v>
      </c>
      <c r="AB314" s="32"/>
      <c r="AC314" s="30">
        <v>420</v>
      </c>
      <c r="AD314" s="32"/>
      <c r="AE314" s="32"/>
      <c r="AF314" s="32"/>
      <c r="AG314" s="32"/>
      <c r="AH314" s="32"/>
      <c r="AI314" s="30">
        <v>373994</v>
      </c>
      <c r="AJ314" s="30">
        <v>359034</v>
      </c>
      <c r="AK314" s="30">
        <v>0</v>
      </c>
      <c r="AL314" s="30">
        <v>0</v>
      </c>
      <c r="AM314" s="30">
        <v>61700</v>
      </c>
      <c r="AN314" s="30">
        <v>322200</v>
      </c>
      <c r="AO314" s="30">
        <v>383900</v>
      </c>
      <c r="AP314" s="30">
        <f>Lookups!$B$58*0.6</f>
        <v>132535.48800000001</v>
      </c>
      <c r="AQ314" s="30">
        <f>Lookups!$B$58*0.4</f>
        <v>88356.992000000013</v>
      </c>
      <c r="AR314" s="30">
        <f>Lookups!$B$59*Inventory[[#This Row],[LnAcres]]</f>
        <v>-23255.730391660189</v>
      </c>
      <c r="AS314" s="30">
        <f>VLOOKUP(Inventory[[#This Row],[Qlty]],Lookups!$A$66:$E$79,2,FALSE)</f>
        <v>32917.849192000001</v>
      </c>
      <c r="AT314" s="30">
        <f>VLOOKUP(Inventory[[#This Row],[Cnd]],Lookups!$A$80:$E$88,2,FALSE)</f>
        <v>50438.379078999998</v>
      </c>
      <c r="AU314" s="30">
        <f>Inventory[[#This Row],[EffAge]]*Lookups!$B$65</f>
        <v>-978.66989999999998</v>
      </c>
      <c r="AV314" s="30">
        <f>Inventory[[#This Row],[MainFn]]*Lookups!$B$90</f>
        <v>110466.3726</v>
      </c>
      <c r="AW314" s="30">
        <f>Inventory[[#This Row],[UpprFn]]*Lookups!$B$91</f>
        <v>0</v>
      </c>
      <c r="AX314" s="30">
        <f>Inventory[[#This Row],[Bsmt Area]]*Lookups!$B$95</f>
        <v>0</v>
      </c>
      <c r="AY314" s="30">
        <f>Inventory[[#This Row],[AttGar]]*Lookups!$B$93</f>
        <v>14826.43302</v>
      </c>
      <c r="AZ314" s="30">
        <f>ROUND(Inventory[[#This Row],[25Det]],-2)</f>
        <v>0</v>
      </c>
      <c r="BA314" s="30">
        <f>ROUND(SUM(Inventory[[#This Row],[Mdl Qlty]:[Mdl Garage Area]])+Inventory[[#This Row],[Mdl Res Intercept]],-2)</f>
        <v>340200</v>
      </c>
      <c r="BB314" s="30">
        <f>ROUND(Inventory[[#This Row],[Mdl Land Intercept]]+Inventory[[#This Row],[Mdl LnAcres]],-2)</f>
        <v>65100</v>
      </c>
      <c r="BC314" s="30">
        <f>Inventory[[#This Row],[Unadj Res Value]]+Inventory[[#This Row],[Unadj Det Value]]+Inventory[[#This Row],[Unadj Land Value]]</f>
        <v>405300</v>
      </c>
      <c r="BD314" s="30">
        <f>(Inventory[[#This Row],[Unadj Total Value]]-Inventory[[#This Row],[24Final]])/Inventory[[#This Row],[24Final]]</f>
        <v>5.5743683250846575E-2</v>
      </c>
      <c r="BE314" s="30">
        <f>VLOOKUP(Inventory[[#This Row],[Nbhd]],Lookups!$M$3:$P$5,4,FALSE)</f>
        <v>0.99970000000000003</v>
      </c>
      <c r="BF314" s="30">
        <f>VLOOKUP(Inventory[[#This Row],[Qlty]],Lookups!$M$8:$P$22,4,FALSE)</f>
        <v>1.0019</v>
      </c>
      <c r="BG314" s="30">
        <f>VLOOKUP(Inventory[[#This Row],[Cnd]],Lookups!$R$8:$U$17,4,FALSE)</f>
        <v>1.0007999999999999</v>
      </c>
      <c r="BH314" s="30">
        <f>VLOOKUP(Inventory[[#This Row],[LivArea Range]],Lookups!$R$25:$U$43,4,FALSE)</f>
        <v>1.0007999999999999</v>
      </c>
      <c r="BI314" s="30">
        <f>VLOOKUP(Inventory[[#This Row],[Decade]],Lookups!$M$24:$P$40,4,FALSE)</f>
        <v>1</v>
      </c>
      <c r="BJ314" s="30">
        <f>Inventory[[#This Row],[Nbhd Adj]]*0.95</f>
        <v>0.94971499999999998</v>
      </c>
      <c r="BK314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314" s="30">
        <f>ROUND((SUM(Inventory[[#This Row],[Mdl Qlty]:[Mdl Garage Area]])+Inventory[[#This Row],[Mdl Res Intercept]])*Inventory[[#This Row],[Res Adj ]],-2)</f>
        <v>323400</v>
      </c>
      <c r="BM314" s="30">
        <f>ROUND(Inventory[[#This Row],[25Det]]*Inventory[[#This Row],[Det/Nbhd Adj]],-2)</f>
        <v>0</v>
      </c>
      <c r="BN314" s="30">
        <f>Inventory[[#This Row],[Adjusted Res]]+Inventory[[#This Row],[Adj Det ]]</f>
        <v>323400</v>
      </c>
      <c r="BO314" s="30">
        <f>ROUND((Inventory[[#This Row],[Mdl Land Intercept]]+Inventory[[#This Row],[Mdl LnAcres]])*Inventory[[#This Row],[Det/Nbhd Adj]],-2)</f>
        <v>61800</v>
      </c>
      <c r="BP314" s="30">
        <f>Inventory[[#This Row],[Adjusted Impr Total]]+Inventory[[#This Row],[Adjusted Land Total]]</f>
        <v>385200</v>
      </c>
      <c r="BQ314" s="30">
        <f>IFERROR((Inventory[[#This Row],[Adjusted Impr Total]]-Inventory[[#This Row],[24Bldg]])/Inventory[[#This Row],[24Bldg]],0)</f>
        <v>3.7243947858472998E-3</v>
      </c>
      <c r="BR314" s="43">
        <f>(Inventory[[#This Row],[Adjusted Land Total]]-Inventory[[#This Row],[24Lnd]])/Inventory[[#This Row],[24Lnd]]</f>
        <v>1.6207455429497568E-3</v>
      </c>
      <c r="BS314" s="43">
        <f>(Inventory[[#This Row],[Adjusted Total]]-Inventory[[#This Row],[24Final]])/Inventory[[#This Row],[24Final]]</f>
        <v>3.3862985152383431E-3</v>
      </c>
    </row>
    <row r="315" spans="1:71">
      <c r="A315" s="30">
        <v>2025</v>
      </c>
      <c r="B315" s="31" t="s">
        <v>828</v>
      </c>
      <c r="C315" s="31">
        <f>LN(Inventory[[#This Row],[Acres]])</f>
        <v>-1.7719568419318752</v>
      </c>
      <c r="D315" s="30">
        <v>0.17</v>
      </c>
      <c r="E315" s="30">
        <v>7360</v>
      </c>
      <c r="F315" s="31" t="s">
        <v>505</v>
      </c>
      <c r="G315" s="31" t="s">
        <v>155</v>
      </c>
      <c r="H315" s="31" t="s">
        <v>5</v>
      </c>
      <c r="I315" s="31" t="s">
        <v>506</v>
      </c>
      <c r="J315" s="31" t="s">
        <v>507</v>
      </c>
      <c r="K315" s="31" t="s">
        <v>330</v>
      </c>
      <c r="L315" s="31" t="s">
        <v>21</v>
      </c>
      <c r="M315" s="31" t="s">
        <v>22</v>
      </c>
      <c r="N315" s="31">
        <v>0</v>
      </c>
      <c r="O315" s="31">
        <f>2024-Inventory[[#This Row],[YrBlt]]</f>
        <v>9</v>
      </c>
      <c r="P315" s="31">
        <f>2024-Inventory[[#This Row],[EffYr]]</f>
        <v>9</v>
      </c>
      <c r="Q315" s="30">
        <v>2015</v>
      </c>
      <c r="R315" s="30">
        <v>2015</v>
      </c>
      <c r="S315" s="30">
        <v>1860</v>
      </c>
      <c r="T315" s="32"/>
      <c r="U315" s="32"/>
      <c r="V315" s="32"/>
      <c r="W315" s="32"/>
      <c r="X315" s="32">
        <f>Inventory[[#This Row],[Bsmt Area]]-Inventory[[#This Row],[FnBsmt]]</f>
        <v>0</v>
      </c>
      <c r="Y315" s="32">
        <f>Inventory[[#This Row],[MainFn]]+Inventory[[#This Row],[UpprFn]]+Inventory[[#This Row],[AddFn]]+Inventory[[#This Row],[FnBsmt]]</f>
        <v>1860</v>
      </c>
      <c r="Z315" s="32">
        <v>2000</v>
      </c>
      <c r="AA315" s="31" t="s">
        <v>56</v>
      </c>
      <c r="AB315" s="32"/>
      <c r="AC315" s="30">
        <v>420</v>
      </c>
      <c r="AD315" s="32"/>
      <c r="AE315" s="32"/>
      <c r="AF315" s="32"/>
      <c r="AG315" s="32"/>
      <c r="AH315" s="32"/>
      <c r="AI315" s="30">
        <v>396650</v>
      </c>
      <c r="AJ315" s="30">
        <v>380784</v>
      </c>
      <c r="AK315" s="30">
        <v>0</v>
      </c>
      <c r="AL315" s="30">
        <v>0</v>
      </c>
      <c r="AM315" s="30">
        <v>61700</v>
      </c>
      <c r="AN315" s="30">
        <v>326600</v>
      </c>
      <c r="AO315" s="30">
        <v>388300</v>
      </c>
      <c r="AP315" s="30">
        <f>Lookups!$B$58*0.6</f>
        <v>132535.48800000001</v>
      </c>
      <c r="AQ315" s="30">
        <f>Lookups!$B$58*0.4</f>
        <v>88356.992000000013</v>
      </c>
      <c r="AR315" s="30">
        <f>Lookups!$B$59*Inventory[[#This Row],[LnAcres]]</f>
        <v>-23255.730391660189</v>
      </c>
      <c r="AS315" s="30">
        <f>VLOOKUP(Inventory[[#This Row],[Qlty]],Lookups!$A$66:$E$79,2,FALSE)</f>
        <v>32917.849192000001</v>
      </c>
      <c r="AT315" s="30">
        <f>VLOOKUP(Inventory[[#This Row],[Cnd]],Lookups!$A$80:$E$88,2,FALSE)</f>
        <v>50438.379078999998</v>
      </c>
      <c r="AU315" s="30">
        <f>Inventory[[#This Row],[EffAge]]*Lookups!$B$65</f>
        <v>-978.66989999999998</v>
      </c>
      <c r="AV315" s="30">
        <f>Inventory[[#This Row],[MainFn]]*Lookups!$B$90</f>
        <v>116083.30680000001</v>
      </c>
      <c r="AW315" s="30">
        <f>Inventory[[#This Row],[UpprFn]]*Lookups!$B$91</f>
        <v>0</v>
      </c>
      <c r="AX315" s="30">
        <f>Inventory[[#This Row],[Bsmt Area]]*Lookups!$B$95</f>
        <v>0</v>
      </c>
      <c r="AY315" s="30">
        <f>Inventory[[#This Row],[AttGar]]*Lookups!$B$93</f>
        <v>14826.43302</v>
      </c>
      <c r="AZ315" s="30">
        <f>ROUND(Inventory[[#This Row],[25Det]],-2)</f>
        <v>0</v>
      </c>
      <c r="BA315" s="30">
        <f>ROUND(SUM(Inventory[[#This Row],[Mdl Qlty]:[Mdl Garage Area]])+Inventory[[#This Row],[Mdl Res Intercept]],-2)</f>
        <v>345800</v>
      </c>
      <c r="BB315" s="30">
        <f>ROUND(Inventory[[#This Row],[Mdl Land Intercept]]+Inventory[[#This Row],[Mdl LnAcres]],-2)</f>
        <v>65100</v>
      </c>
      <c r="BC315" s="30">
        <f>Inventory[[#This Row],[Unadj Res Value]]+Inventory[[#This Row],[Unadj Det Value]]+Inventory[[#This Row],[Unadj Land Value]]</f>
        <v>410900</v>
      </c>
      <c r="BD315" s="30">
        <f>(Inventory[[#This Row],[Unadj Total Value]]-Inventory[[#This Row],[24Final]])/Inventory[[#This Row],[24Final]]</f>
        <v>5.8202420808653101E-2</v>
      </c>
      <c r="BE315" s="30">
        <f>VLOOKUP(Inventory[[#This Row],[Nbhd]],Lookups!$M$3:$P$5,4,FALSE)</f>
        <v>0.99970000000000003</v>
      </c>
      <c r="BF315" s="30">
        <f>VLOOKUP(Inventory[[#This Row],[Qlty]],Lookups!$M$8:$P$22,4,FALSE)</f>
        <v>1.0019</v>
      </c>
      <c r="BG315" s="30">
        <f>VLOOKUP(Inventory[[#This Row],[Cnd]],Lookups!$R$8:$U$17,4,FALSE)</f>
        <v>1.0007999999999999</v>
      </c>
      <c r="BH315" s="30">
        <f>VLOOKUP(Inventory[[#This Row],[LivArea Range]],Lookups!$R$25:$U$43,4,FALSE)</f>
        <v>1.0007999999999999</v>
      </c>
      <c r="BI315" s="30">
        <f>VLOOKUP(Inventory[[#This Row],[Decade]],Lookups!$M$24:$P$40,4,FALSE)</f>
        <v>1</v>
      </c>
      <c r="BJ315" s="30">
        <f>Inventory[[#This Row],[Nbhd Adj]]*0.95</f>
        <v>0.94971499999999998</v>
      </c>
      <c r="BK315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315" s="30">
        <f>ROUND((SUM(Inventory[[#This Row],[Mdl Qlty]:[Mdl Garage Area]])+Inventory[[#This Row],[Mdl Res Intercept]])*Inventory[[#This Row],[Res Adj ]],-2)</f>
        <v>328700</v>
      </c>
      <c r="BM315" s="30">
        <f>ROUND(Inventory[[#This Row],[25Det]]*Inventory[[#This Row],[Det/Nbhd Adj]],-2)</f>
        <v>0</v>
      </c>
      <c r="BN315" s="30">
        <f>Inventory[[#This Row],[Adjusted Res]]+Inventory[[#This Row],[Adj Det ]]</f>
        <v>328700</v>
      </c>
      <c r="BO315" s="30">
        <f>ROUND((Inventory[[#This Row],[Mdl Land Intercept]]+Inventory[[#This Row],[Mdl LnAcres]])*Inventory[[#This Row],[Det/Nbhd Adj]],-2)</f>
        <v>61800</v>
      </c>
      <c r="BP315" s="30">
        <f>Inventory[[#This Row],[Adjusted Impr Total]]+Inventory[[#This Row],[Adjusted Land Total]]</f>
        <v>390500</v>
      </c>
      <c r="BQ315" s="30">
        <f>IFERROR((Inventory[[#This Row],[Adjusted Impr Total]]-Inventory[[#This Row],[24Bldg]])/Inventory[[#This Row],[24Bldg]],0)</f>
        <v>6.4298836497244339E-3</v>
      </c>
      <c r="BR315" s="43">
        <f>(Inventory[[#This Row],[Adjusted Land Total]]-Inventory[[#This Row],[24Lnd]])/Inventory[[#This Row],[24Lnd]]</f>
        <v>1.6207455429497568E-3</v>
      </c>
      <c r="BS315" s="43">
        <f>(Inventory[[#This Row],[Adjusted Total]]-Inventory[[#This Row],[24Final]])/Inventory[[#This Row],[24Final]]</f>
        <v>5.6657223796033997E-3</v>
      </c>
    </row>
    <row r="316" spans="1:71">
      <c r="A316" s="30">
        <v>2025</v>
      </c>
      <c r="B316" s="31" t="s">
        <v>829</v>
      </c>
      <c r="C316" s="31">
        <f>LN(Inventory[[#This Row],[Acres]])</f>
        <v>-1.7147984280919266</v>
      </c>
      <c r="D316" s="30">
        <v>0.18</v>
      </c>
      <c r="E316" s="30">
        <v>7670</v>
      </c>
      <c r="F316" s="31" t="s">
        <v>505</v>
      </c>
      <c r="G316" s="31" t="s">
        <v>155</v>
      </c>
      <c r="H316" s="31" t="s">
        <v>5</v>
      </c>
      <c r="I316" s="31" t="s">
        <v>506</v>
      </c>
      <c r="J316" s="31" t="s">
        <v>507</v>
      </c>
      <c r="K316" s="31" t="s">
        <v>330</v>
      </c>
      <c r="L316" s="31" t="s">
        <v>21</v>
      </c>
      <c r="M316" s="31" t="s">
        <v>22</v>
      </c>
      <c r="N316" s="31">
        <v>0</v>
      </c>
      <c r="O316" s="31">
        <f>2024-Inventory[[#This Row],[YrBlt]]</f>
        <v>9</v>
      </c>
      <c r="P316" s="31">
        <f>2024-Inventory[[#This Row],[EffYr]]</f>
        <v>9</v>
      </c>
      <c r="Q316" s="30">
        <v>2015</v>
      </c>
      <c r="R316" s="30">
        <v>2015</v>
      </c>
      <c r="S316" s="30">
        <v>2188</v>
      </c>
      <c r="T316" s="32"/>
      <c r="U316" s="32"/>
      <c r="V316" s="32"/>
      <c r="W316" s="32"/>
      <c r="X316" s="32">
        <f>Inventory[[#This Row],[Bsmt Area]]-Inventory[[#This Row],[FnBsmt]]</f>
        <v>0</v>
      </c>
      <c r="Y316" s="32">
        <f>Inventory[[#This Row],[MainFn]]+Inventory[[#This Row],[UpprFn]]+Inventory[[#This Row],[AddFn]]+Inventory[[#This Row],[FnBsmt]]</f>
        <v>2188</v>
      </c>
      <c r="Z316" s="32">
        <v>2500</v>
      </c>
      <c r="AA316" s="31" t="s">
        <v>57</v>
      </c>
      <c r="AB316" s="32"/>
      <c r="AC316" s="30">
        <v>792</v>
      </c>
      <c r="AD316" s="32"/>
      <c r="AE316" s="32"/>
      <c r="AF316" s="32"/>
      <c r="AG316" s="32"/>
      <c r="AH316" s="32"/>
      <c r="AI316" s="30">
        <v>481340</v>
      </c>
      <c r="AJ316" s="30">
        <v>462086</v>
      </c>
      <c r="AK316" s="30">
        <v>0</v>
      </c>
      <c r="AL316" s="30">
        <v>0</v>
      </c>
      <c r="AM316" s="30">
        <v>62500</v>
      </c>
      <c r="AN316" s="30">
        <v>379700</v>
      </c>
      <c r="AO316" s="30">
        <v>442200</v>
      </c>
      <c r="AP316" s="30">
        <f>Lookups!$B$58*0.6</f>
        <v>132535.48800000001</v>
      </c>
      <c r="AQ316" s="30">
        <f>Lookups!$B$58*0.4</f>
        <v>88356.992000000013</v>
      </c>
      <c r="AR316" s="30">
        <f>Lookups!$B$59*Inventory[[#This Row],[LnAcres]]</f>
        <v>-22505.565020573864</v>
      </c>
      <c r="AS316" s="30">
        <f>VLOOKUP(Inventory[[#This Row],[Qlty]],Lookups!$A$66:$E$79,2,FALSE)</f>
        <v>32917.849192000001</v>
      </c>
      <c r="AT316" s="30">
        <f>VLOOKUP(Inventory[[#This Row],[Cnd]],Lookups!$A$80:$E$88,2,FALSE)</f>
        <v>50438.379078999998</v>
      </c>
      <c r="AU316" s="30">
        <f>Inventory[[#This Row],[EffAge]]*Lookups!$B$65</f>
        <v>-978.66989999999998</v>
      </c>
      <c r="AV316" s="30">
        <f>Inventory[[#This Row],[MainFn]]*Lookups!$B$90</f>
        <v>136553.91144</v>
      </c>
      <c r="AW316" s="30">
        <f>Inventory[[#This Row],[UpprFn]]*Lookups!$B$91</f>
        <v>0</v>
      </c>
      <c r="AX316" s="30">
        <f>Inventory[[#This Row],[Bsmt Area]]*Lookups!$B$95</f>
        <v>0</v>
      </c>
      <c r="AY316" s="30">
        <f>Inventory[[#This Row],[AttGar]]*Lookups!$B$93</f>
        <v>27958.416552000002</v>
      </c>
      <c r="AZ316" s="30">
        <f>ROUND(Inventory[[#This Row],[25Det]],-2)</f>
        <v>0</v>
      </c>
      <c r="BA316" s="30">
        <f>ROUND(SUM(Inventory[[#This Row],[Mdl Qlty]:[Mdl Garage Area]])+Inventory[[#This Row],[Mdl Res Intercept]],-2)</f>
        <v>379400</v>
      </c>
      <c r="BB316" s="30">
        <f>ROUND(Inventory[[#This Row],[Mdl Land Intercept]]+Inventory[[#This Row],[Mdl LnAcres]],-2)</f>
        <v>65900</v>
      </c>
      <c r="BC316" s="30">
        <f>Inventory[[#This Row],[Unadj Res Value]]+Inventory[[#This Row],[Unadj Det Value]]+Inventory[[#This Row],[Unadj Land Value]]</f>
        <v>445300</v>
      </c>
      <c r="BD316" s="30">
        <f>(Inventory[[#This Row],[Unadj Total Value]]-Inventory[[#This Row],[24Final]])/Inventory[[#This Row],[24Final]]</f>
        <v>7.0104025327905927E-3</v>
      </c>
      <c r="BE316" s="30">
        <f>VLOOKUP(Inventory[[#This Row],[Nbhd]],Lookups!$M$3:$P$5,4,FALSE)</f>
        <v>0.99970000000000003</v>
      </c>
      <c r="BF316" s="30">
        <f>VLOOKUP(Inventory[[#This Row],[Qlty]],Lookups!$M$8:$P$22,4,FALSE)</f>
        <v>1.0019</v>
      </c>
      <c r="BG316" s="30">
        <f>VLOOKUP(Inventory[[#This Row],[Cnd]],Lookups!$R$8:$U$17,4,FALSE)</f>
        <v>1.0007999999999999</v>
      </c>
      <c r="BH316" s="30">
        <f>VLOOKUP(Inventory[[#This Row],[LivArea Range]],Lookups!$R$25:$U$43,4,FALSE)</f>
        <v>1.0008999999999999</v>
      </c>
      <c r="BI316" s="30">
        <f>VLOOKUP(Inventory[[#This Row],[Decade]],Lookups!$M$24:$P$40,4,FALSE)</f>
        <v>1</v>
      </c>
      <c r="BJ316" s="30">
        <f>Inventory[[#This Row],[Nbhd Adj]]*0.95</f>
        <v>0.94971499999999998</v>
      </c>
      <c r="BK316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316" s="30">
        <f>ROUND((SUM(Inventory[[#This Row],[Mdl Qlty]:[Mdl Garage Area]])+Inventory[[#This Row],[Mdl Res Intercept]])*Inventory[[#This Row],[Res Adj ]],-2)</f>
        <v>360700</v>
      </c>
      <c r="BM316" s="30">
        <f>ROUND(Inventory[[#This Row],[25Det]]*Inventory[[#This Row],[Det/Nbhd Adj]],-2)</f>
        <v>0</v>
      </c>
      <c r="BN316" s="30">
        <f>Inventory[[#This Row],[Adjusted Res]]+Inventory[[#This Row],[Adj Det ]]</f>
        <v>360700</v>
      </c>
      <c r="BO316" s="30">
        <f>ROUND((Inventory[[#This Row],[Mdl Land Intercept]]+Inventory[[#This Row],[Mdl LnAcres]])*Inventory[[#This Row],[Det/Nbhd Adj]],-2)</f>
        <v>62500</v>
      </c>
      <c r="BP316" s="30">
        <f>Inventory[[#This Row],[Adjusted Impr Total]]+Inventory[[#This Row],[Adjusted Land Total]]</f>
        <v>423200</v>
      </c>
      <c r="BQ316" s="30">
        <f>IFERROR((Inventory[[#This Row],[Adjusted Impr Total]]-Inventory[[#This Row],[24Bldg]])/Inventory[[#This Row],[24Bldg]],0)</f>
        <v>-5.0039504872267583E-2</v>
      </c>
      <c r="BR316" s="43">
        <f>(Inventory[[#This Row],[Adjusted Land Total]]-Inventory[[#This Row],[24Lnd]])/Inventory[[#This Row],[24Lnd]]</f>
        <v>0</v>
      </c>
      <c r="BS316" s="43">
        <f>(Inventory[[#This Row],[Adjusted Total]]-Inventory[[#This Row],[24Final]])/Inventory[[#This Row],[24Final]]</f>
        <v>-4.2966983265490727E-2</v>
      </c>
    </row>
    <row r="317" spans="1:71">
      <c r="A317" s="30">
        <v>2025</v>
      </c>
      <c r="B317" s="31" t="s">
        <v>830</v>
      </c>
      <c r="C317" s="31">
        <f>LN(Inventory[[#This Row],[Acres]])</f>
        <v>-1.7147984280919266</v>
      </c>
      <c r="D317" s="30">
        <v>0.18</v>
      </c>
      <c r="E317" s="30">
        <v>7654</v>
      </c>
      <c r="F317" s="31" t="s">
        <v>505</v>
      </c>
      <c r="G317" s="31" t="s">
        <v>155</v>
      </c>
      <c r="H317" s="31" t="s">
        <v>5</v>
      </c>
      <c r="I317" s="31" t="s">
        <v>506</v>
      </c>
      <c r="J317" s="31" t="s">
        <v>507</v>
      </c>
      <c r="K317" s="31" t="s">
        <v>330</v>
      </c>
      <c r="L317" s="31" t="s">
        <v>21</v>
      </c>
      <c r="M317" s="31" t="s">
        <v>22</v>
      </c>
      <c r="N317" s="31">
        <v>0</v>
      </c>
      <c r="O317" s="31">
        <f>2024-Inventory[[#This Row],[YrBlt]]</f>
        <v>9</v>
      </c>
      <c r="P317" s="31">
        <f>2024-Inventory[[#This Row],[EffYr]]</f>
        <v>9</v>
      </c>
      <c r="Q317" s="30">
        <v>2015</v>
      </c>
      <c r="R317" s="30">
        <v>2015</v>
      </c>
      <c r="S317" s="30">
        <v>1728</v>
      </c>
      <c r="T317" s="32"/>
      <c r="U317" s="32"/>
      <c r="V317" s="32"/>
      <c r="W317" s="32"/>
      <c r="X317" s="32">
        <f>Inventory[[#This Row],[Bsmt Area]]-Inventory[[#This Row],[FnBsmt]]</f>
        <v>0</v>
      </c>
      <c r="Y317" s="32">
        <f>Inventory[[#This Row],[MainFn]]+Inventory[[#This Row],[UpprFn]]+Inventory[[#This Row],[AddFn]]+Inventory[[#This Row],[FnBsmt]]</f>
        <v>1728</v>
      </c>
      <c r="Z317" s="32">
        <v>2000</v>
      </c>
      <c r="AA317" s="31" t="s">
        <v>57</v>
      </c>
      <c r="AB317" s="38">
        <v>1</v>
      </c>
      <c r="AC317" s="30">
        <v>462</v>
      </c>
      <c r="AD317" s="32"/>
      <c r="AE317" s="32"/>
      <c r="AF317" s="32"/>
      <c r="AG317" s="32"/>
      <c r="AH317" s="32"/>
      <c r="AI317" s="30">
        <v>378160</v>
      </c>
      <c r="AJ317" s="30">
        <v>363034</v>
      </c>
      <c r="AK317" s="30">
        <v>0</v>
      </c>
      <c r="AL317" s="30">
        <v>0</v>
      </c>
      <c r="AM317" s="30">
        <v>62500</v>
      </c>
      <c r="AN317" s="30">
        <v>333500</v>
      </c>
      <c r="AO317" s="30">
        <v>396000</v>
      </c>
      <c r="AP317" s="30">
        <f>Lookups!$B$58*0.6</f>
        <v>132535.48800000001</v>
      </c>
      <c r="AQ317" s="30">
        <f>Lookups!$B$58*0.4</f>
        <v>88356.992000000013</v>
      </c>
      <c r="AR317" s="30">
        <f>Lookups!$B$59*Inventory[[#This Row],[LnAcres]]</f>
        <v>-22505.565020573864</v>
      </c>
      <c r="AS317" s="30">
        <f>VLOOKUP(Inventory[[#This Row],[Qlty]],Lookups!$A$66:$E$79,2,FALSE)</f>
        <v>32917.849192000001</v>
      </c>
      <c r="AT317" s="30">
        <f>VLOOKUP(Inventory[[#This Row],[Cnd]],Lookups!$A$80:$E$88,2,FALSE)</f>
        <v>50438.379078999998</v>
      </c>
      <c r="AU317" s="30">
        <f>Inventory[[#This Row],[EffAge]]*Lookups!$B$65</f>
        <v>-978.66989999999998</v>
      </c>
      <c r="AV317" s="30">
        <f>Inventory[[#This Row],[MainFn]]*Lookups!$B$90</f>
        <v>107845.13664000001</v>
      </c>
      <c r="AW317" s="30">
        <f>Inventory[[#This Row],[UpprFn]]*Lookups!$B$91</f>
        <v>0</v>
      </c>
      <c r="AX317" s="30">
        <f>Inventory[[#This Row],[Bsmt Area]]*Lookups!$B$95</f>
        <v>0</v>
      </c>
      <c r="AY317" s="30">
        <f>Inventory[[#This Row],[AttGar]]*Lookups!$B$93</f>
        <v>16309.076322000001</v>
      </c>
      <c r="AZ317" s="30">
        <f>ROUND(Inventory[[#This Row],[25Det]],-2)</f>
        <v>0</v>
      </c>
      <c r="BA317" s="30">
        <f>ROUND(SUM(Inventory[[#This Row],[Mdl Qlty]:[Mdl Garage Area]])+Inventory[[#This Row],[Mdl Res Intercept]],-2)</f>
        <v>339100</v>
      </c>
      <c r="BB317" s="30">
        <f>ROUND(Inventory[[#This Row],[Mdl Land Intercept]]+Inventory[[#This Row],[Mdl LnAcres]],-2)</f>
        <v>65900</v>
      </c>
      <c r="BC317" s="30">
        <f>Inventory[[#This Row],[Unadj Res Value]]+Inventory[[#This Row],[Unadj Det Value]]+Inventory[[#This Row],[Unadj Land Value]]</f>
        <v>405000</v>
      </c>
      <c r="BD317" s="30">
        <f>(Inventory[[#This Row],[Unadj Total Value]]-Inventory[[#This Row],[24Final]])/Inventory[[#This Row],[24Final]]</f>
        <v>2.2727272727272728E-2</v>
      </c>
      <c r="BE317" s="30">
        <f>VLOOKUP(Inventory[[#This Row],[Nbhd]],Lookups!$M$3:$P$5,4,FALSE)</f>
        <v>0.99970000000000003</v>
      </c>
      <c r="BF317" s="30">
        <f>VLOOKUP(Inventory[[#This Row],[Qlty]],Lookups!$M$8:$P$22,4,FALSE)</f>
        <v>1.0019</v>
      </c>
      <c r="BG317" s="30">
        <f>VLOOKUP(Inventory[[#This Row],[Cnd]],Lookups!$R$8:$U$17,4,FALSE)</f>
        <v>1.0007999999999999</v>
      </c>
      <c r="BH317" s="30">
        <f>VLOOKUP(Inventory[[#This Row],[LivArea Range]],Lookups!$R$25:$U$43,4,FALSE)</f>
        <v>1.0007999999999999</v>
      </c>
      <c r="BI317" s="30">
        <f>VLOOKUP(Inventory[[#This Row],[Decade]],Lookups!$M$24:$P$40,4,FALSE)</f>
        <v>1</v>
      </c>
      <c r="BJ317" s="30">
        <f>Inventory[[#This Row],[Nbhd Adj]]*0.95</f>
        <v>0.94971499999999998</v>
      </c>
      <c r="BK317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317" s="30">
        <f>ROUND((SUM(Inventory[[#This Row],[Mdl Qlty]:[Mdl Garage Area]])+Inventory[[#This Row],[Mdl Res Intercept]])*Inventory[[#This Row],[Res Adj ]],-2)</f>
        <v>322300</v>
      </c>
      <c r="BM317" s="30">
        <f>ROUND(Inventory[[#This Row],[25Det]]*Inventory[[#This Row],[Det/Nbhd Adj]],-2)</f>
        <v>0</v>
      </c>
      <c r="BN317" s="30">
        <f>Inventory[[#This Row],[Adjusted Res]]+Inventory[[#This Row],[Adj Det ]]</f>
        <v>322300</v>
      </c>
      <c r="BO317" s="30">
        <f>ROUND((Inventory[[#This Row],[Mdl Land Intercept]]+Inventory[[#This Row],[Mdl LnAcres]])*Inventory[[#This Row],[Det/Nbhd Adj]],-2)</f>
        <v>62500</v>
      </c>
      <c r="BP317" s="30">
        <f>Inventory[[#This Row],[Adjusted Impr Total]]+Inventory[[#This Row],[Adjusted Land Total]]</f>
        <v>384800</v>
      </c>
      <c r="BQ317" s="30">
        <f>IFERROR((Inventory[[#This Row],[Adjusted Impr Total]]-Inventory[[#This Row],[24Bldg]])/Inventory[[#This Row],[24Bldg]],0)</f>
        <v>-3.3583208395802096E-2</v>
      </c>
      <c r="BR317" s="43">
        <f>(Inventory[[#This Row],[Adjusted Land Total]]-Inventory[[#This Row],[24Lnd]])/Inventory[[#This Row],[24Lnd]]</f>
        <v>0</v>
      </c>
      <c r="BS317" s="43">
        <f>(Inventory[[#This Row],[Adjusted Total]]-Inventory[[#This Row],[24Final]])/Inventory[[#This Row],[24Final]]</f>
        <v>-2.8282828282828285E-2</v>
      </c>
    </row>
    <row r="318" spans="1:71">
      <c r="A318" s="30">
        <v>2025</v>
      </c>
      <c r="B318" s="31" t="s">
        <v>831</v>
      </c>
      <c r="C318" s="31">
        <f>LN(Inventory[[#This Row],[Acres]])</f>
        <v>-1.7147984280919266</v>
      </c>
      <c r="D318" s="30">
        <v>0.18</v>
      </c>
      <c r="E318" s="30">
        <v>7670</v>
      </c>
      <c r="F318" s="31" t="s">
        <v>505</v>
      </c>
      <c r="G318" s="31" t="s">
        <v>155</v>
      </c>
      <c r="H318" s="31" t="s">
        <v>5</v>
      </c>
      <c r="I318" s="31" t="s">
        <v>506</v>
      </c>
      <c r="J318" s="31" t="s">
        <v>507</v>
      </c>
      <c r="K318" s="31" t="s">
        <v>330</v>
      </c>
      <c r="L318" s="31" t="s">
        <v>19</v>
      </c>
      <c r="M318" s="31" t="s">
        <v>20</v>
      </c>
      <c r="N318" s="31">
        <v>0</v>
      </c>
      <c r="O318" s="31">
        <f>2024-Inventory[[#This Row],[YrBlt]]</f>
        <v>9</v>
      </c>
      <c r="P318" s="31">
        <f>2024-Inventory[[#This Row],[EffYr]]</f>
        <v>9</v>
      </c>
      <c r="Q318" s="30">
        <v>2015</v>
      </c>
      <c r="R318" s="30">
        <v>2015</v>
      </c>
      <c r="S318" s="30">
        <v>1388</v>
      </c>
      <c r="T318" s="32"/>
      <c r="U318" s="32"/>
      <c r="V318" s="32"/>
      <c r="W318" s="32"/>
      <c r="X318" s="32">
        <f>Inventory[[#This Row],[Bsmt Area]]-Inventory[[#This Row],[FnBsmt]]</f>
        <v>0</v>
      </c>
      <c r="Y318" s="32">
        <f>Inventory[[#This Row],[MainFn]]+Inventory[[#This Row],[UpprFn]]+Inventory[[#This Row],[AddFn]]+Inventory[[#This Row],[FnBsmt]]</f>
        <v>1388</v>
      </c>
      <c r="Z318" s="32">
        <v>1500</v>
      </c>
      <c r="AA318" s="31" t="s">
        <v>56</v>
      </c>
      <c r="AB318" s="32"/>
      <c r="AC318" s="30">
        <v>404</v>
      </c>
      <c r="AD318" s="32"/>
      <c r="AE318" s="32"/>
      <c r="AF318" s="32"/>
      <c r="AG318" s="32"/>
      <c r="AH318" s="32"/>
      <c r="AI318" s="30">
        <v>277491</v>
      </c>
      <c r="AJ318" s="30">
        <v>263616</v>
      </c>
      <c r="AK318" s="30">
        <v>0</v>
      </c>
      <c r="AL318" s="30">
        <v>0</v>
      </c>
      <c r="AM318" s="30">
        <v>62500</v>
      </c>
      <c r="AN318" s="30">
        <v>300300</v>
      </c>
      <c r="AO318" s="30">
        <v>362800</v>
      </c>
      <c r="AP318" s="30">
        <f>Lookups!$B$58*0.6</f>
        <v>132535.48800000001</v>
      </c>
      <c r="AQ318" s="30">
        <f>Lookups!$B$58*0.4</f>
        <v>88356.992000000013</v>
      </c>
      <c r="AR318" s="30">
        <f>Lookups!$B$59*Inventory[[#This Row],[LnAcres]]</f>
        <v>-22505.565020573864</v>
      </c>
      <c r="AS318" s="30">
        <f>VLOOKUP(Inventory[[#This Row],[Qlty]],Lookups!$A$66:$E$79,2,FALSE)</f>
        <v>37154.252388000001</v>
      </c>
      <c r="AT318" s="30">
        <f>VLOOKUP(Inventory[[#This Row],[Cnd]],Lookups!$A$80:$E$88,2,FALSE)</f>
        <v>30300.329274</v>
      </c>
      <c r="AU318" s="30">
        <f>Inventory[[#This Row],[EffAge]]*Lookups!$B$65</f>
        <v>-978.66989999999998</v>
      </c>
      <c r="AV318" s="30">
        <f>Inventory[[#This Row],[MainFn]]*Lookups!$B$90</f>
        <v>86625.607440000007</v>
      </c>
      <c r="AW318" s="30">
        <f>Inventory[[#This Row],[UpprFn]]*Lookups!$B$91</f>
        <v>0</v>
      </c>
      <c r="AX318" s="30">
        <f>Inventory[[#This Row],[Bsmt Area]]*Lookups!$B$95</f>
        <v>0</v>
      </c>
      <c r="AY318" s="30">
        <f>Inventory[[#This Row],[AttGar]]*Lookups!$B$93</f>
        <v>14261.616524000001</v>
      </c>
      <c r="AZ318" s="30">
        <f>ROUND(Inventory[[#This Row],[25Det]],-2)</f>
        <v>0</v>
      </c>
      <c r="BA318" s="30">
        <f>ROUND(SUM(Inventory[[#This Row],[Mdl Qlty]:[Mdl Garage Area]])+Inventory[[#This Row],[Mdl Res Intercept]],-2)</f>
        <v>299900</v>
      </c>
      <c r="BB318" s="30">
        <f>ROUND(Inventory[[#This Row],[Mdl Land Intercept]]+Inventory[[#This Row],[Mdl LnAcres]],-2)</f>
        <v>65900</v>
      </c>
      <c r="BC318" s="30">
        <f>Inventory[[#This Row],[Unadj Res Value]]+Inventory[[#This Row],[Unadj Det Value]]+Inventory[[#This Row],[Unadj Land Value]]</f>
        <v>365800</v>
      </c>
      <c r="BD318" s="30">
        <f>(Inventory[[#This Row],[Unadj Total Value]]-Inventory[[#This Row],[24Final]])/Inventory[[#This Row],[24Final]]</f>
        <v>8.2690187431091518E-3</v>
      </c>
      <c r="BE318" s="30">
        <f>VLOOKUP(Inventory[[#This Row],[Nbhd]],Lookups!$M$3:$P$5,4,FALSE)</f>
        <v>0.99970000000000003</v>
      </c>
      <c r="BF318" s="30">
        <f>VLOOKUP(Inventory[[#This Row],[Qlty]],Lookups!$M$8:$P$22,4,FALSE)</f>
        <v>0.99819999999999998</v>
      </c>
      <c r="BG318" s="30">
        <f>VLOOKUP(Inventory[[#This Row],[Cnd]],Lookups!$R$8:$U$17,4,FALSE)</f>
        <v>0.997</v>
      </c>
      <c r="BH318" s="30">
        <f>VLOOKUP(Inventory[[#This Row],[LivArea Range]],Lookups!$R$25:$U$43,4,FALSE)</f>
        <v>0.99519999999999997</v>
      </c>
      <c r="BI318" s="30">
        <f>VLOOKUP(Inventory[[#This Row],[Decade]],Lookups!$M$24:$P$40,4,FALSE)</f>
        <v>1</v>
      </c>
      <c r="BJ318" s="30">
        <f>Inventory[[#This Row],[Nbhd Adj]]*0.95</f>
        <v>0.94971499999999998</v>
      </c>
      <c r="BK318" s="30">
        <f>AVERAGE(Inventory[[#This Row],[Nbhd Adj]],Inventory[[#This Row],[Quality Adj]],Inventory[[#This Row],[Condition Adj]],Inventory[[#This Row],[Living Area Adj]],Inventory[[#This Row],[Decade Adj]])*0.95</f>
        <v>0.94811899999999993</v>
      </c>
      <c r="BL318" s="30">
        <f>ROUND((SUM(Inventory[[#This Row],[Mdl Qlty]:[Mdl Garage Area]])+Inventory[[#This Row],[Mdl Res Intercept]])*Inventory[[#This Row],[Res Adj ]],-2)</f>
        <v>284300</v>
      </c>
      <c r="BM318" s="30">
        <f>ROUND(Inventory[[#This Row],[25Det]]*Inventory[[#This Row],[Det/Nbhd Adj]],-2)</f>
        <v>0</v>
      </c>
      <c r="BN318" s="30">
        <f>Inventory[[#This Row],[Adjusted Res]]+Inventory[[#This Row],[Adj Det ]]</f>
        <v>284300</v>
      </c>
      <c r="BO318" s="30">
        <f>ROUND((Inventory[[#This Row],[Mdl Land Intercept]]+Inventory[[#This Row],[Mdl LnAcres]])*Inventory[[#This Row],[Det/Nbhd Adj]],-2)</f>
        <v>62500</v>
      </c>
      <c r="BP318" s="30">
        <f>Inventory[[#This Row],[Adjusted Impr Total]]+Inventory[[#This Row],[Adjusted Land Total]]</f>
        <v>346800</v>
      </c>
      <c r="BQ318" s="30">
        <f>IFERROR((Inventory[[#This Row],[Adjusted Impr Total]]-Inventory[[#This Row],[24Bldg]])/Inventory[[#This Row],[24Bldg]],0)</f>
        <v>-5.328005328005328E-2</v>
      </c>
      <c r="BR318" s="43">
        <f>(Inventory[[#This Row],[Adjusted Land Total]]-Inventory[[#This Row],[24Lnd]])/Inventory[[#This Row],[24Lnd]]</f>
        <v>0</v>
      </c>
      <c r="BS318" s="43">
        <f>(Inventory[[#This Row],[Adjusted Total]]-Inventory[[#This Row],[24Final]])/Inventory[[#This Row],[24Final]]</f>
        <v>-4.4101433296582136E-2</v>
      </c>
    </row>
    <row r="319" spans="1:71">
      <c r="A319" s="30">
        <v>2025</v>
      </c>
      <c r="B319" s="31" t="s">
        <v>832</v>
      </c>
      <c r="C319" s="31">
        <f>LN(Inventory[[#This Row],[Acres]])</f>
        <v>-1.7147984280919266</v>
      </c>
      <c r="D319" s="30">
        <v>0.18</v>
      </c>
      <c r="E319" s="30">
        <v>7670</v>
      </c>
      <c r="F319" s="31" t="s">
        <v>505</v>
      </c>
      <c r="G319" s="31" t="s">
        <v>155</v>
      </c>
      <c r="H319" s="31" t="s">
        <v>5</v>
      </c>
      <c r="I319" s="31" t="s">
        <v>506</v>
      </c>
      <c r="J319" s="31" t="s">
        <v>507</v>
      </c>
      <c r="K319" s="31" t="s">
        <v>330</v>
      </c>
      <c r="L319" s="31" t="s">
        <v>19</v>
      </c>
      <c r="M319" s="31" t="s">
        <v>22</v>
      </c>
      <c r="N319" s="31">
        <v>0</v>
      </c>
      <c r="O319" s="31">
        <f>2024-Inventory[[#This Row],[YrBlt]]</f>
        <v>9</v>
      </c>
      <c r="P319" s="31">
        <f>2024-Inventory[[#This Row],[EffYr]]</f>
        <v>9</v>
      </c>
      <c r="Q319" s="30">
        <v>2015</v>
      </c>
      <c r="R319" s="30">
        <v>2015</v>
      </c>
      <c r="S319" s="30">
        <v>1388</v>
      </c>
      <c r="T319" s="32"/>
      <c r="U319" s="32"/>
      <c r="V319" s="32"/>
      <c r="W319" s="32"/>
      <c r="X319" s="32">
        <f>Inventory[[#This Row],[Bsmt Area]]-Inventory[[#This Row],[FnBsmt]]</f>
        <v>0</v>
      </c>
      <c r="Y319" s="32">
        <f>Inventory[[#This Row],[MainFn]]+Inventory[[#This Row],[UpprFn]]+Inventory[[#This Row],[AddFn]]+Inventory[[#This Row],[FnBsmt]]</f>
        <v>1388</v>
      </c>
      <c r="Z319" s="32">
        <v>1500</v>
      </c>
      <c r="AA319" s="31" t="s">
        <v>56</v>
      </c>
      <c r="AB319" s="32"/>
      <c r="AC319" s="30">
        <v>404</v>
      </c>
      <c r="AD319" s="32"/>
      <c r="AE319" s="32"/>
      <c r="AF319" s="32"/>
      <c r="AG319" s="32"/>
      <c r="AH319" s="32"/>
      <c r="AI319" s="30">
        <v>278347</v>
      </c>
      <c r="AJ319" s="30">
        <v>267213</v>
      </c>
      <c r="AK319" s="30">
        <v>0</v>
      </c>
      <c r="AL319" s="30">
        <v>0</v>
      </c>
      <c r="AM319" s="30">
        <v>62500</v>
      </c>
      <c r="AN319" s="30">
        <v>316000</v>
      </c>
      <c r="AO319" s="30">
        <v>378500</v>
      </c>
      <c r="AP319" s="30">
        <f>Lookups!$B$58*0.6</f>
        <v>132535.48800000001</v>
      </c>
      <c r="AQ319" s="30">
        <f>Lookups!$B$58*0.4</f>
        <v>88356.992000000013</v>
      </c>
      <c r="AR319" s="30">
        <f>Lookups!$B$59*Inventory[[#This Row],[LnAcres]]</f>
        <v>-22505.565020573864</v>
      </c>
      <c r="AS319" s="30">
        <f>VLOOKUP(Inventory[[#This Row],[Qlty]],Lookups!$A$66:$E$79,2,FALSE)</f>
        <v>37154.252388000001</v>
      </c>
      <c r="AT319" s="30">
        <f>VLOOKUP(Inventory[[#This Row],[Cnd]],Lookups!$A$80:$E$88,2,FALSE)</f>
        <v>50438.379078999998</v>
      </c>
      <c r="AU319" s="30">
        <f>Inventory[[#This Row],[EffAge]]*Lookups!$B$65</f>
        <v>-978.66989999999998</v>
      </c>
      <c r="AV319" s="30">
        <f>Inventory[[#This Row],[MainFn]]*Lookups!$B$90</f>
        <v>86625.607440000007</v>
      </c>
      <c r="AW319" s="30">
        <f>Inventory[[#This Row],[UpprFn]]*Lookups!$B$91</f>
        <v>0</v>
      </c>
      <c r="AX319" s="30">
        <f>Inventory[[#This Row],[Bsmt Area]]*Lookups!$B$95</f>
        <v>0</v>
      </c>
      <c r="AY319" s="30">
        <f>Inventory[[#This Row],[AttGar]]*Lookups!$B$93</f>
        <v>14261.616524000001</v>
      </c>
      <c r="AZ319" s="30">
        <f>ROUND(Inventory[[#This Row],[25Det]],-2)</f>
        <v>0</v>
      </c>
      <c r="BA319" s="30">
        <f>ROUND(SUM(Inventory[[#This Row],[Mdl Qlty]:[Mdl Garage Area]])+Inventory[[#This Row],[Mdl Res Intercept]],-2)</f>
        <v>320000</v>
      </c>
      <c r="BB319" s="30">
        <f>ROUND(Inventory[[#This Row],[Mdl Land Intercept]]+Inventory[[#This Row],[Mdl LnAcres]],-2)</f>
        <v>65900</v>
      </c>
      <c r="BC319" s="30">
        <f>Inventory[[#This Row],[Unadj Res Value]]+Inventory[[#This Row],[Unadj Det Value]]+Inventory[[#This Row],[Unadj Land Value]]</f>
        <v>385900</v>
      </c>
      <c r="BD319" s="30">
        <f>(Inventory[[#This Row],[Unadj Total Value]]-Inventory[[#This Row],[24Final]])/Inventory[[#This Row],[24Final]]</f>
        <v>1.9550858652575959E-2</v>
      </c>
      <c r="BE319" s="30">
        <f>VLOOKUP(Inventory[[#This Row],[Nbhd]],Lookups!$M$3:$P$5,4,FALSE)</f>
        <v>0.99970000000000003</v>
      </c>
      <c r="BF319" s="30">
        <f>VLOOKUP(Inventory[[#This Row],[Qlty]],Lookups!$M$8:$P$22,4,FALSE)</f>
        <v>0.99819999999999998</v>
      </c>
      <c r="BG319" s="30">
        <f>VLOOKUP(Inventory[[#This Row],[Cnd]],Lookups!$R$8:$U$17,4,FALSE)</f>
        <v>1.0007999999999999</v>
      </c>
      <c r="BH319" s="30">
        <f>VLOOKUP(Inventory[[#This Row],[LivArea Range]],Lookups!$R$25:$U$43,4,FALSE)</f>
        <v>0.99519999999999997</v>
      </c>
      <c r="BI319" s="30">
        <f>VLOOKUP(Inventory[[#This Row],[Decade]],Lookups!$M$24:$P$40,4,FALSE)</f>
        <v>1</v>
      </c>
      <c r="BJ319" s="30">
        <f>Inventory[[#This Row],[Nbhd Adj]]*0.95</f>
        <v>0.94971499999999998</v>
      </c>
      <c r="BK319" s="30">
        <f>AVERAGE(Inventory[[#This Row],[Nbhd Adj]],Inventory[[#This Row],[Quality Adj]],Inventory[[#This Row],[Condition Adj]],Inventory[[#This Row],[Living Area Adj]],Inventory[[#This Row],[Decade Adj]])*0.95</f>
        <v>0.94884099999999993</v>
      </c>
      <c r="BL319" s="30">
        <f>ROUND((SUM(Inventory[[#This Row],[Mdl Qlty]:[Mdl Garage Area]])+Inventory[[#This Row],[Mdl Res Intercept]])*Inventory[[#This Row],[Res Adj ]],-2)</f>
        <v>303700</v>
      </c>
      <c r="BM319" s="30">
        <f>ROUND(Inventory[[#This Row],[25Det]]*Inventory[[#This Row],[Det/Nbhd Adj]],-2)</f>
        <v>0</v>
      </c>
      <c r="BN319" s="30">
        <f>Inventory[[#This Row],[Adjusted Res]]+Inventory[[#This Row],[Adj Det ]]</f>
        <v>303700</v>
      </c>
      <c r="BO319" s="30">
        <f>ROUND((Inventory[[#This Row],[Mdl Land Intercept]]+Inventory[[#This Row],[Mdl LnAcres]])*Inventory[[#This Row],[Det/Nbhd Adj]],-2)</f>
        <v>62500</v>
      </c>
      <c r="BP319" s="30">
        <f>Inventory[[#This Row],[Adjusted Impr Total]]+Inventory[[#This Row],[Adjusted Land Total]]</f>
        <v>366200</v>
      </c>
      <c r="BQ319" s="30">
        <f>IFERROR((Inventory[[#This Row],[Adjusted Impr Total]]-Inventory[[#This Row],[24Bldg]])/Inventory[[#This Row],[24Bldg]],0)</f>
        <v>-3.8924050632911392E-2</v>
      </c>
      <c r="BR319" s="43">
        <f>(Inventory[[#This Row],[Adjusted Land Total]]-Inventory[[#This Row],[24Lnd]])/Inventory[[#This Row],[24Lnd]]</f>
        <v>0</v>
      </c>
      <c r="BS319" s="43">
        <f>(Inventory[[#This Row],[Adjusted Total]]-Inventory[[#This Row],[24Final]])/Inventory[[#This Row],[24Final]]</f>
        <v>-3.2496697490092472E-2</v>
      </c>
    </row>
    <row r="320" spans="1:71">
      <c r="A320" s="30">
        <v>2025</v>
      </c>
      <c r="B320" s="31" t="s">
        <v>833</v>
      </c>
      <c r="C320" s="31">
        <f>LN(Inventory[[#This Row],[Acres]])</f>
        <v>-1.7147984280919266</v>
      </c>
      <c r="D320" s="30">
        <v>0.18</v>
      </c>
      <c r="E320" s="30">
        <v>7907</v>
      </c>
      <c r="F320" s="31" t="s">
        <v>505</v>
      </c>
      <c r="G320" s="31" t="s">
        <v>155</v>
      </c>
      <c r="H320" s="31" t="s">
        <v>5</v>
      </c>
      <c r="I320" s="31" t="s">
        <v>506</v>
      </c>
      <c r="J320" s="31" t="s">
        <v>507</v>
      </c>
      <c r="K320" s="31" t="s">
        <v>330</v>
      </c>
      <c r="L320" s="31" t="s">
        <v>19</v>
      </c>
      <c r="M320" s="31" t="s">
        <v>22</v>
      </c>
      <c r="N320" s="31">
        <v>0</v>
      </c>
      <c r="O320" s="31">
        <f>2024-Inventory[[#This Row],[YrBlt]]</f>
        <v>9</v>
      </c>
      <c r="P320" s="31">
        <f>2024-Inventory[[#This Row],[EffYr]]</f>
        <v>9</v>
      </c>
      <c r="Q320" s="30">
        <v>2015</v>
      </c>
      <c r="R320" s="30">
        <v>2015</v>
      </c>
      <c r="S320" s="30">
        <v>1126</v>
      </c>
      <c r="T320" s="38">
        <v>1126</v>
      </c>
      <c r="U320" s="32"/>
      <c r="V320" s="32"/>
      <c r="W320" s="32"/>
      <c r="X320" s="32">
        <f>Inventory[[#This Row],[Bsmt Area]]-Inventory[[#This Row],[FnBsmt]]</f>
        <v>0</v>
      </c>
      <c r="Y320" s="32">
        <f>Inventory[[#This Row],[MainFn]]+Inventory[[#This Row],[UpprFn]]+Inventory[[#This Row],[AddFn]]+Inventory[[#This Row],[FnBsmt]]</f>
        <v>2252</v>
      </c>
      <c r="Z320" s="32">
        <v>2500</v>
      </c>
      <c r="AA320" s="31" t="s">
        <v>56</v>
      </c>
      <c r="AB320" s="38">
        <v>1</v>
      </c>
      <c r="AC320" s="38">
        <v>440</v>
      </c>
      <c r="AD320" s="32"/>
      <c r="AE320" s="32"/>
      <c r="AF320" s="32"/>
      <c r="AG320" s="32"/>
      <c r="AH320" s="32"/>
      <c r="AI320" s="30">
        <v>395612</v>
      </c>
      <c r="AJ320" s="30">
        <v>379788</v>
      </c>
      <c r="AK320" s="30">
        <v>0</v>
      </c>
      <c r="AL320" s="30">
        <v>0</v>
      </c>
      <c r="AM320" s="30">
        <v>62500</v>
      </c>
      <c r="AN320" s="30">
        <v>366800</v>
      </c>
      <c r="AO320" s="30">
        <v>429300</v>
      </c>
      <c r="AP320" s="30">
        <f>Lookups!$B$58*0.6</f>
        <v>132535.48800000001</v>
      </c>
      <c r="AQ320" s="30">
        <f>Lookups!$B$58*0.4</f>
        <v>88356.992000000013</v>
      </c>
      <c r="AR320" s="30">
        <f>Lookups!$B$59*Inventory[[#This Row],[LnAcres]]</f>
        <v>-22505.565020573864</v>
      </c>
      <c r="AS320" s="30">
        <f>VLOOKUP(Inventory[[#This Row],[Qlty]],Lookups!$A$66:$E$79,2,FALSE)</f>
        <v>37154.252388000001</v>
      </c>
      <c r="AT320" s="30">
        <f>VLOOKUP(Inventory[[#This Row],[Cnd]],Lookups!$A$80:$E$88,2,FALSE)</f>
        <v>50438.379078999998</v>
      </c>
      <c r="AU320" s="30">
        <f>Inventory[[#This Row],[EffAge]]*Lookups!$B$65</f>
        <v>-978.66989999999998</v>
      </c>
      <c r="AV320" s="30">
        <f>Inventory[[#This Row],[MainFn]]*Lookups!$B$90</f>
        <v>70274.087880000006</v>
      </c>
      <c r="AW320" s="30">
        <f>Inventory[[#This Row],[UpprFn]]*Lookups!$B$91</f>
        <v>67087.511257999999</v>
      </c>
      <c r="AX320" s="30">
        <f>Inventory[[#This Row],[Bsmt Area]]*Lookups!$B$95</f>
        <v>0</v>
      </c>
      <c r="AY320" s="30">
        <f>Inventory[[#This Row],[AttGar]]*Lookups!$B$93</f>
        <v>15532.453640000002</v>
      </c>
      <c r="AZ320" s="30">
        <f>ROUND(Inventory[[#This Row],[25Det]],-2)</f>
        <v>0</v>
      </c>
      <c r="BA320" s="30">
        <f>ROUND(SUM(Inventory[[#This Row],[Mdl Qlty]:[Mdl Garage Area]])+Inventory[[#This Row],[Mdl Res Intercept]],-2)</f>
        <v>372000</v>
      </c>
      <c r="BB320" s="30">
        <f>ROUND(Inventory[[#This Row],[Mdl Land Intercept]]+Inventory[[#This Row],[Mdl LnAcres]],-2)</f>
        <v>65900</v>
      </c>
      <c r="BC320" s="30">
        <f>Inventory[[#This Row],[Unadj Res Value]]+Inventory[[#This Row],[Unadj Det Value]]+Inventory[[#This Row],[Unadj Land Value]]</f>
        <v>437900</v>
      </c>
      <c r="BD320" s="30">
        <f>(Inventory[[#This Row],[Unadj Total Value]]-Inventory[[#This Row],[24Final]])/Inventory[[#This Row],[24Final]]</f>
        <v>2.003261122757978E-2</v>
      </c>
      <c r="BE320" s="30">
        <f>VLOOKUP(Inventory[[#This Row],[Nbhd]],Lookups!$M$3:$P$5,4,FALSE)</f>
        <v>0.99970000000000003</v>
      </c>
      <c r="BF320" s="30">
        <f>VLOOKUP(Inventory[[#This Row],[Qlty]],Lookups!$M$8:$P$22,4,FALSE)</f>
        <v>0.99819999999999998</v>
      </c>
      <c r="BG320" s="30">
        <f>VLOOKUP(Inventory[[#This Row],[Cnd]],Lookups!$R$8:$U$17,4,FALSE)</f>
        <v>1.0007999999999999</v>
      </c>
      <c r="BH320" s="30">
        <f>VLOOKUP(Inventory[[#This Row],[LivArea Range]],Lookups!$R$25:$U$43,4,FALSE)</f>
        <v>1.0008999999999999</v>
      </c>
      <c r="BI320" s="30">
        <f>VLOOKUP(Inventory[[#This Row],[Decade]],Lookups!$M$24:$P$40,4,FALSE)</f>
        <v>1</v>
      </c>
      <c r="BJ320" s="30">
        <f>Inventory[[#This Row],[Nbhd Adj]]*0.95</f>
        <v>0.94971499999999998</v>
      </c>
      <c r="BK320" s="30">
        <f>AVERAGE(Inventory[[#This Row],[Nbhd Adj]],Inventory[[#This Row],[Quality Adj]],Inventory[[#This Row],[Condition Adj]],Inventory[[#This Row],[Living Area Adj]],Inventory[[#This Row],[Decade Adj]])*0.95</f>
        <v>0.94992399999999999</v>
      </c>
      <c r="BL320" s="30">
        <f>ROUND((SUM(Inventory[[#This Row],[Mdl Qlty]:[Mdl Garage Area]])+Inventory[[#This Row],[Mdl Res Intercept]])*Inventory[[#This Row],[Res Adj ]],-2)</f>
        <v>353400</v>
      </c>
      <c r="BM320" s="30">
        <f>ROUND(Inventory[[#This Row],[25Det]]*Inventory[[#This Row],[Det/Nbhd Adj]],-2)</f>
        <v>0</v>
      </c>
      <c r="BN320" s="30">
        <f>Inventory[[#This Row],[Adjusted Res]]+Inventory[[#This Row],[Adj Det ]]</f>
        <v>353400</v>
      </c>
      <c r="BO320" s="30">
        <f>ROUND((Inventory[[#This Row],[Mdl Land Intercept]]+Inventory[[#This Row],[Mdl LnAcres]])*Inventory[[#This Row],[Det/Nbhd Adj]],-2)</f>
        <v>62500</v>
      </c>
      <c r="BP320" s="30">
        <f>Inventory[[#This Row],[Adjusted Impr Total]]+Inventory[[#This Row],[Adjusted Land Total]]</f>
        <v>415900</v>
      </c>
      <c r="BQ320" s="30">
        <f>IFERROR((Inventory[[#This Row],[Adjusted Impr Total]]-Inventory[[#This Row],[24Bldg]])/Inventory[[#This Row],[24Bldg]],0)</f>
        <v>-3.6532170119956381E-2</v>
      </c>
      <c r="BR320" s="43">
        <f>(Inventory[[#This Row],[Adjusted Land Total]]-Inventory[[#This Row],[24Lnd]])/Inventory[[#This Row],[24Lnd]]</f>
        <v>0</v>
      </c>
      <c r="BS320" s="43">
        <f>(Inventory[[#This Row],[Adjusted Total]]-Inventory[[#This Row],[24Final]])/Inventory[[#This Row],[24Final]]</f>
        <v>-3.1213603540647564E-2</v>
      </c>
    </row>
    <row r="321" spans="1:71">
      <c r="A321" s="30">
        <v>2025</v>
      </c>
      <c r="B321" s="31" t="s">
        <v>834</v>
      </c>
      <c r="C321" s="31">
        <f>LN(Inventory[[#This Row],[Acres]])</f>
        <v>-1.7147984280919266</v>
      </c>
      <c r="D321" s="30">
        <v>0.18</v>
      </c>
      <c r="E321" s="30">
        <v>7901</v>
      </c>
      <c r="F321" s="31" t="s">
        <v>505</v>
      </c>
      <c r="G321" s="31" t="s">
        <v>155</v>
      </c>
      <c r="H321" s="31" t="s">
        <v>5</v>
      </c>
      <c r="I321" s="31" t="s">
        <v>506</v>
      </c>
      <c r="J321" s="31" t="s">
        <v>507</v>
      </c>
      <c r="K321" s="31" t="s">
        <v>330</v>
      </c>
      <c r="L321" s="31" t="s">
        <v>21</v>
      </c>
      <c r="M321" s="31" t="s">
        <v>22</v>
      </c>
      <c r="N321" s="31">
        <v>0</v>
      </c>
      <c r="O321" s="31">
        <f>2024-Inventory[[#This Row],[YrBlt]]</f>
        <v>9</v>
      </c>
      <c r="P321" s="31">
        <f>2024-Inventory[[#This Row],[EffYr]]</f>
        <v>9</v>
      </c>
      <c r="Q321" s="30">
        <v>2015</v>
      </c>
      <c r="R321" s="30">
        <v>2015</v>
      </c>
      <c r="S321" s="30">
        <v>1860</v>
      </c>
      <c r="T321" s="37"/>
      <c r="U321" s="32"/>
      <c r="V321" s="32"/>
      <c r="W321" s="32"/>
      <c r="X321" s="32">
        <f>Inventory[[#This Row],[Bsmt Area]]-Inventory[[#This Row],[FnBsmt]]</f>
        <v>0</v>
      </c>
      <c r="Y321" s="32">
        <f>Inventory[[#This Row],[MainFn]]+Inventory[[#This Row],[UpprFn]]+Inventory[[#This Row],[AddFn]]+Inventory[[#This Row],[FnBsmt]]</f>
        <v>1860</v>
      </c>
      <c r="Z321" s="32">
        <v>2000</v>
      </c>
      <c r="AA321" s="31" t="s">
        <v>56</v>
      </c>
      <c r="AB321" s="38">
        <v>1</v>
      </c>
      <c r="AC321" s="38">
        <v>420</v>
      </c>
      <c r="AD321" s="37"/>
      <c r="AE321" s="32"/>
      <c r="AF321" s="32"/>
      <c r="AG321" s="32"/>
      <c r="AH321" s="32"/>
      <c r="AI321" s="30">
        <v>409083</v>
      </c>
      <c r="AJ321" s="30">
        <v>392720</v>
      </c>
      <c r="AK321" s="30">
        <v>0</v>
      </c>
      <c r="AL321" s="30">
        <v>0</v>
      </c>
      <c r="AM321" s="30">
        <v>62500</v>
      </c>
      <c r="AN321" s="30">
        <v>340400</v>
      </c>
      <c r="AO321" s="30">
        <v>402900</v>
      </c>
      <c r="AP321" s="30">
        <f>Lookups!$B$58*0.6</f>
        <v>132535.48800000001</v>
      </c>
      <c r="AQ321" s="30">
        <f>Lookups!$B$58*0.4</f>
        <v>88356.992000000013</v>
      </c>
      <c r="AR321" s="30">
        <f>Lookups!$B$59*Inventory[[#This Row],[LnAcres]]</f>
        <v>-22505.565020573864</v>
      </c>
      <c r="AS321" s="30">
        <f>VLOOKUP(Inventory[[#This Row],[Qlty]],Lookups!$A$66:$E$79,2,FALSE)</f>
        <v>32917.849192000001</v>
      </c>
      <c r="AT321" s="30">
        <f>VLOOKUP(Inventory[[#This Row],[Cnd]],Lookups!$A$80:$E$88,2,FALSE)</f>
        <v>50438.379078999998</v>
      </c>
      <c r="AU321" s="30">
        <f>Inventory[[#This Row],[EffAge]]*Lookups!$B$65</f>
        <v>-978.66989999999998</v>
      </c>
      <c r="AV321" s="30">
        <f>Inventory[[#This Row],[MainFn]]*Lookups!$B$90</f>
        <v>116083.30680000001</v>
      </c>
      <c r="AW321" s="30">
        <f>Inventory[[#This Row],[UpprFn]]*Lookups!$B$91</f>
        <v>0</v>
      </c>
      <c r="AX321" s="30">
        <f>Inventory[[#This Row],[Bsmt Area]]*Lookups!$B$95</f>
        <v>0</v>
      </c>
      <c r="AY321" s="30">
        <f>Inventory[[#This Row],[AttGar]]*Lookups!$B$93</f>
        <v>14826.43302</v>
      </c>
      <c r="AZ321" s="30">
        <f>ROUND(Inventory[[#This Row],[25Det]],-2)</f>
        <v>0</v>
      </c>
      <c r="BA321" s="30">
        <f>ROUND(SUM(Inventory[[#This Row],[Mdl Qlty]:[Mdl Garage Area]])+Inventory[[#This Row],[Mdl Res Intercept]],-2)</f>
        <v>345800</v>
      </c>
      <c r="BB321" s="30">
        <f>ROUND(Inventory[[#This Row],[Mdl Land Intercept]]+Inventory[[#This Row],[Mdl LnAcres]],-2)</f>
        <v>65900</v>
      </c>
      <c r="BC321" s="30">
        <f>Inventory[[#This Row],[Unadj Res Value]]+Inventory[[#This Row],[Unadj Det Value]]+Inventory[[#This Row],[Unadj Land Value]]</f>
        <v>411700</v>
      </c>
      <c r="BD321" s="30">
        <f>(Inventory[[#This Row],[Unadj Total Value]]-Inventory[[#This Row],[24Final]])/Inventory[[#This Row],[24Final]]</f>
        <v>2.1841648051625712E-2</v>
      </c>
      <c r="BE321" s="30">
        <f>VLOOKUP(Inventory[[#This Row],[Nbhd]],Lookups!$M$3:$P$5,4,FALSE)</f>
        <v>0.99970000000000003</v>
      </c>
      <c r="BF321" s="30">
        <f>VLOOKUP(Inventory[[#This Row],[Qlty]],Lookups!$M$8:$P$22,4,FALSE)</f>
        <v>1.0019</v>
      </c>
      <c r="BG321" s="30">
        <f>VLOOKUP(Inventory[[#This Row],[Cnd]],Lookups!$R$8:$U$17,4,FALSE)</f>
        <v>1.0007999999999999</v>
      </c>
      <c r="BH321" s="30">
        <f>VLOOKUP(Inventory[[#This Row],[LivArea Range]],Lookups!$R$25:$U$43,4,FALSE)</f>
        <v>1.0007999999999999</v>
      </c>
      <c r="BI321" s="30">
        <f>VLOOKUP(Inventory[[#This Row],[Decade]],Lookups!$M$24:$P$40,4,FALSE)</f>
        <v>1</v>
      </c>
      <c r="BJ321" s="30">
        <f>Inventory[[#This Row],[Nbhd Adj]]*0.95</f>
        <v>0.94971499999999998</v>
      </c>
      <c r="BK321" s="30">
        <f>AVERAGE(Inventory[[#This Row],[Nbhd Adj]],Inventory[[#This Row],[Quality Adj]],Inventory[[#This Row],[Condition Adj]],Inventory[[#This Row],[Living Area Adj]],Inventory[[#This Row],[Decade Adj]])*0.95</f>
        <v>0.9506079999999999</v>
      </c>
      <c r="BL321" s="30">
        <f>ROUND((SUM(Inventory[[#This Row],[Mdl Qlty]:[Mdl Garage Area]])+Inventory[[#This Row],[Mdl Res Intercept]])*Inventory[[#This Row],[Res Adj ]],-2)</f>
        <v>328700</v>
      </c>
      <c r="BM321" s="30">
        <f>ROUND(Inventory[[#This Row],[25Det]]*Inventory[[#This Row],[Det/Nbhd Adj]],-2)</f>
        <v>0</v>
      </c>
      <c r="BN321" s="30">
        <f>Inventory[[#This Row],[Adjusted Res]]+Inventory[[#This Row],[Adj Det ]]</f>
        <v>328700</v>
      </c>
      <c r="BO321" s="30">
        <f>ROUND((Inventory[[#This Row],[Mdl Land Intercept]]+Inventory[[#This Row],[Mdl LnAcres]])*Inventory[[#This Row],[Det/Nbhd Adj]],-2)</f>
        <v>62500</v>
      </c>
      <c r="BP321" s="30">
        <f>Inventory[[#This Row],[Adjusted Impr Total]]+Inventory[[#This Row],[Adjusted Land Total]]</f>
        <v>391200</v>
      </c>
      <c r="BQ321" s="30">
        <f>IFERROR((Inventory[[#This Row],[Adjusted Impr Total]]-Inventory[[#This Row],[24Bldg]])/Inventory[[#This Row],[24Bldg]],0)</f>
        <v>-3.4371327849588719E-2</v>
      </c>
      <c r="BR321" s="43">
        <f>(Inventory[[#This Row],[Adjusted Land Total]]-Inventory[[#This Row],[24Lnd]])/Inventory[[#This Row],[24Lnd]]</f>
        <v>0</v>
      </c>
      <c r="BS321" s="43">
        <f>(Inventory[[#This Row],[Adjusted Total]]-Inventory[[#This Row],[24Final]])/Inventory[[#This Row],[24Final]]</f>
        <v>-2.9039463886820552E-2</v>
      </c>
    </row>
    <row r="322" spans="1:71">
      <c r="A322" s="30">
        <v>2025</v>
      </c>
      <c r="B322" s="31" t="s">
        <v>835</v>
      </c>
      <c r="C322" s="31">
        <f>LN(Inventory[[#This Row],[Acres]])</f>
        <v>-1.6094379124341003</v>
      </c>
      <c r="D322" s="30">
        <v>0.2</v>
      </c>
      <c r="E322" s="30">
        <v>8773</v>
      </c>
      <c r="F322" s="31" t="s">
        <v>505</v>
      </c>
      <c r="G322" s="31" t="s">
        <v>155</v>
      </c>
      <c r="H322" s="31" t="s">
        <v>5</v>
      </c>
      <c r="I322" s="31" t="s">
        <v>506</v>
      </c>
      <c r="J322" s="31" t="s">
        <v>507</v>
      </c>
      <c r="K322" s="31" t="s">
        <v>330</v>
      </c>
      <c r="L322" s="31" t="s">
        <v>21</v>
      </c>
      <c r="M322" s="31" t="s">
        <v>22</v>
      </c>
      <c r="N322" s="31">
        <v>0</v>
      </c>
      <c r="O322" s="31">
        <f>2024-Inventory[[#This Row],[YrBlt]]</f>
        <v>9</v>
      </c>
      <c r="P322" s="31">
        <f>2024-Inventory[[#This Row],[EffYr]]</f>
        <v>9</v>
      </c>
      <c r="Q322" s="30">
        <v>2015</v>
      </c>
      <c r="R322" s="30">
        <v>2015</v>
      </c>
      <c r="S322" s="30">
        <v>2079</v>
      </c>
      <c r="T322" s="32"/>
      <c r="U322" s="32"/>
      <c r="V322" s="32"/>
      <c r="W322" s="32"/>
      <c r="X322" s="32">
        <f>Inventory[[#This Row],[Bsmt Area]]-Inventory[[#This Row],[FnBsmt]]</f>
        <v>0</v>
      </c>
      <c r="Y322" s="32">
        <f>Inventory[[#This Row],[MainFn]]+Inventory[[#This Row],[UpprFn]]+Inventory[[#This Row],[AddFn]]+Inventory[[#This Row],[FnBsmt]]</f>
        <v>2079</v>
      </c>
      <c r="Z322" s="32">
        <v>2500</v>
      </c>
      <c r="AA322" s="31" t="s">
        <v>57</v>
      </c>
      <c r="AB322" s="38">
        <v>1</v>
      </c>
      <c r="AC322" s="30">
        <v>1086</v>
      </c>
      <c r="AD322" s="32"/>
      <c r="AE322" s="32"/>
      <c r="AF322" s="32"/>
      <c r="AG322" s="32"/>
      <c r="AH322" s="32"/>
      <c r="AI322" s="30">
        <v>486806</v>
      </c>
      <c r="AJ322" s="30">
        <v>467334</v>
      </c>
      <c r="AK322" s="30">
        <v>0</v>
      </c>
      <c r="AL322" s="30">
        <v>0</v>
      </c>
      <c r="AM322" s="30">
        <v>64000</v>
      </c>
      <c r="AN322" s="30">
        <v>377500</v>
      </c>
      <c r="AO322" s="30">
        <v>441500</v>
      </c>
      <c r="AP322" s="30">
        <f>Lookups!$B$58*0.6</f>
        <v>132535.48800000001</v>
      </c>
      <c r="AQ322" s="30">
        <f>Lookups!$B$58*0.4</f>
        <v>88356.992000000013</v>
      </c>
      <c r="AR322" s="30">
        <f>Lookups!$B$59*Inventory[[#This Row],[LnAcres]]</f>
        <v>-21122.779792355024</v>
      </c>
      <c r="AS322" s="30">
        <f>VLOOKUP(Inventory[[#This Row],[Qlty]],Lookups!$A$66:$E$79,2,FALSE)</f>
        <v>32917.849192000001</v>
      </c>
      <c r="AT322" s="30">
        <f>VLOOKUP(Inventory[[#This Row],[Cnd]],Lookups!$A$80:$E$88,2,FALSE)</f>
        <v>50438.379078999998</v>
      </c>
      <c r="AU322" s="30">
        <f>Inventory[[#This Row],[EffAge]]*Lookups!$B$65</f>
        <v>-978.66989999999998</v>
      </c>
      <c r="AV322" s="30">
        <f>Inventory[[#This Row],[MainFn]]*Lookups!$B$90</f>
        <v>129751.18002000001</v>
      </c>
      <c r="AW322" s="30">
        <f>Inventory[[#This Row],[UpprFn]]*Lookups!$B$91</f>
        <v>0</v>
      </c>
      <c r="AX322" s="30">
        <f>Inventory[[#This Row],[Bsmt Area]]*Lookups!$B$95</f>
        <v>0</v>
      </c>
      <c r="AY322" s="30">
        <f>Inventory[[#This Row],[AttGar]]*Lookups!$B$93</f>
        <v>38336.919666000002</v>
      </c>
      <c r="AZ322" s="30">
        <f>ROUND(Inventory[[#This Row],[25Det]],-2)</f>
        <v>0</v>
      </c>
      <c r="BA322" s="30">
        <f>ROUND(SUM(Inventory[[#This Row],[Mdl Qlty]:[Mdl Garage Area]])+Inventory[[#This Row],[Mdl Res Intercept]],-2)</f>
        <v>383000</v>
      </c>
      <c r="BB322" s="30">
        <f>ROUND(Inventory[[#This Row],[Mdl Land Intercept]]+Inventory[[#This Row],[Mdl LnAcres]],-2)</f>
        <v>67200</v>
      </c>
      <c r="BC322" s="30">
        <f>Inventory[[#This Row],[Unadj Res Value]]+Inventory[[#This Row],[Unadj Det Value]]+Inventory[[#This Row],[Unadj Land Value]]</f>
        <v>450200</v>
      </c>
      <c r="BD322" s="30">
        <f>(Inventory[[#This Row],[Unadj Total Value]]-Inventory[[#This Row],[24Final]])/Inventory[[#This Row],[24Final]]</f>
        <v>1.9705549263873159E-2</v>
      </c>
      <c r="BE322" s="30">
        <f>VLOOKUP(Inventory[[#This Row],[Nbhd]],Lookups!$M$3:$P$5,4,FALSE)</f>
        <v>0.99970000000000003</v>
      </c>
      <c r="BF322" s="30">
        <f>VLOOKUP(Inventory[[#This Row],[Qlty]],Lookups!$M$8:$P$22,4,FALSE)</f>
        <v>1.0019</v>
      </c>
      <c r="BG322" s="30">
        <f>VLOOKUP(Inventory[[#This Row],[Cnd]],Lookups!$R$8:$U$17,4,FALSE)</f>
        <v>1.0007999999999999</v>
      </c>
      <c r="BH322" s="30">
        <f>VLOOKUP(Inventory[[#This Row],[LivArea Range]],Lookups!$R$25:$U$43,4,FALSE)</f>
        <v>1.0008999999999999</v>
      </c>
      <c r="BI322" s="30">
        <f>VLOOKUP(Inventory[[#This Row],[Decade]],Lookups!$M$24:$P$40,4,FALSE)</f>
        <v>1</v>
      </c>
      <c r="BJ322" s="30">
        <f>Inventory[[#This Row],[Nbhd Adj]]*0.95</f>
        <v>0.94971499999999998</v>
      </c>
      <c r="BK322" s="30">
        <f>AVERAGE(Inventory[[#This Row],[Nbhd Adj]],Inventory[[#This Row],[Quality Adj]],Inventory[[#This Row],[Condition Adj]],Inventory[[#This Row],[Living Area Adj]],Inventory[[#This Row],[Decade Adj]])*0.95</f>
        <v>0.95062699999999989</v>
      </c>
      <c r="BL322" s="30">
        <f>ROUND((SUM(Inventory[[#This Row],[Mdl Qlty]:[Mdl Garage Area]])+Inventory[[#This Row],[Mdl Res Intercept]])*Inventory[[#This Row],[Res Adj ]],-2)</f>
        <v>364100</v>
      </c>
      <c r="BM322" s="30">
        <f>ROUND(Inventory[[#This Row],[25Det]]*Inventory[[#This Row],[Det/Nbhd Adj]],-2)</f>
        <v>0</v>
      </c>
      <c r="BN322" s="30">
        <f>Inventory[[#This Row],[Adjusted Res]]+Inventory[[#This Row],[Adj Det ]]</f>
        <v>364100</v>
      </c>
      <c r="BO322" s="30">
        <f>ROUND((Inventory[[#This Row],[Mdl Land Intercept]]+Inventory[[#This Row],[Mdl LnAcres]])*Inventory[[#This Row],[Det/Nbhd Adj]],-2)</f>
        <v>63900</v>
      </c>
      <c r="BP322" s="30">
        <f>Inventory[[#This Row],[Adjusted Impr Total]]+Inventory[[#This Row],[Adjusted Land Total]]</f>
        <v>428000</v>
      </c>
      <c r="BQ322" s="30">
        <f>IFERROR((Inventory[[#This Row],[Adjusted Impr Total]]-Inventory[[#This Row],[24Bldg]])/Inventory[[#This Row],[24Bldg]],0)</f>
        <v>-3.5496688741721856E-2</v>
      </c>
      <c r="BR322" s="43">
        <f>(Inventory[[#This Row],[Adjusted Land Total]]-Inventory[[#This Row],[24Lnd]])/Inventory[[#This Row],[24Lnd]]</f>
        <v>-1.5625000000000001E-3</v>
      </c>
      <c r="BS322" s="43">
        <f>(Inventory[[#This Row],[Adjusted Total]]-Inventory[[#This Row],[24Final]])/Inventory[[#This Row],[24Final]]</f>
        <v>-3.0577576443941108E-2</v>
      </c>
    </row>
    <row r="323" spans="1:71">
      <c r="A323" s="30">
        <v>2025</v>
      </c>
      <c r="B323" s="31" t="s">
        <v>836</v>
      </c>
      <c r="C323" s="31">
        <f>LN(Inventory[[#This Row],[Acres]])</f>
        <v>-1.8325814637483102</v>
      </c>
      <c r="D323" s="30">
        <v>0.16</v>
      </c>
      <c r="E323" s="30">
        <v>7004</v>
      </c>
      <c r="F323" s="31" t="s">
        <v>505</v>
      </c>
      <c r="G323" s="31" t="s">
        <v>155</v>
      </c>
      <c r="H323" s="31" t="s">
        <v>5</v>
      </c>
      <c r="I323" s="31" t="s">
        <v>506</v>
      </c>
      <c r="J323" s="31" t="s">
        <v>507</v>
      </c>
      <c r="K323" s="31" t="s">
        <v>330</v>
      </c>
      <c r="L323" s="31" t="s">
        <v>21</v>
      </c>
      <c r="M323" s="31" t="s">
        <v>22</v>
      </c>
      <c r="N323" s="31">
        <v>10</v>
      </c>
      <c r="O323" s="31">
        <f>2024-Inventory[[#This Row],[YrBlt]]</f>
        <v>10</v>
      </c>
      <c r="P323" s="31">
        <f>2024-Inventory[[#This Row],[EffYr]]</f>
        <v>10</v>
      </c>
      <c r="Q323" s="30">
        <v>2014</v>
      </c>
      <c r="R323" s="30">
        <v>2014</v>
      </c>
      <c r="S323" s="30">
        <v>1185</v>
      </c>
      <c r="T323" s="38">
        <v>1322</v>
      </c>
      <c r="U323" s="32"/>
      <c r="V323" s="32"/>
      <c r="W323" s="32"/>
      <c r="X323" s="32">
        <f>Inventory[[#This Row],[Bsmt Area]]-Inventory[[#This Row],[FnBsmt]]</f>
        <v>0</v>
      </c>
      <c r="Y323" s="32">
        <f>Inventory[[#This Row],[MainFn]]+Inventory[[#This Row],[UpprFn]]+Inventory[[#This Row],[AddFn]]+Inventory[[#This Row],[FnBsmt]]</f>
        <v>2507</v>
      </c>
      <c r="Z323" s="32">
        <v>3000</v>
      </c>
      <c r="AA323" s="31" t="s">
        <v>56</v>
      </c>
      <c r="AB323" s="38">
        <v>1</v>
      </c>
      <c r="AC323" s="37"/>
      <c r="AD323" s="38">
        <v>488</v>
      </c>
      <c r="AE323" s="32"/>
      <c r="AF323" s="32"/>
      <c r="AG323" s="32"/>
      <c r="AH323" s="32"/>
      <c r="AI323" s="30">
        <v>490566</v>
      </c>
      <c r="AJ323" s="30">
        <v>466038</v>
      </c>
      <c r="AK323" s="30">
        <v>0</v>
      </c>
      <c r="AL323" s="30">
        <v>0</v>
      </c>
      <c r="AM323" s="30">
        <v>60800</v>
      </c>
      <c r="AN323" s="30">
        <v>365800</v>
      </c>
      <c r="AO323" s="30">
        <v>426600</v>
      </c>
      <c r="AP323" s="30">
        <f>Lookups!$B$58*0.6</f>
        <v>132535.48800000001</v>
      </c>
      <c r="AQ323" s="30">
        <f>Lookups!$B$58*0.4</f>
        <v>88356.992000000013</v>
      </c>
      <c r="AR323" s="30">
        <f>Lookups!$B$59*Inventory[[#This Row],[LnAcres]]</f>
        <v>-24051.387388882686</v>
      </c>
      <c r="AS323" s="30">
        <f>VLOOKUP(Inventory[[#This Row],[Qlty]],Lookups!$A$66:$E$79,2,FALSE)</f>
        <v>32917.849192000001</v>
      </c>
      <c r="AT323" s="30">
        <f>VLOOKUP(Inventory[[#This Row],[Cnd]],Lookups!$A$80:$E$88,2,FALSE)</f>
        <v>50438.379078999998</v>
      </c>
      <c r="AU323" s="30">
        <f>Inventory[[#This Row],[EffAge]]*Lookups!$B$65</f>
        <v>-1087.4110000000001</v>
      </c>
      <c r="AV323" s="30">
        <f>Inventory[[#This Row],[MainFn]]*Lookups!$B$90</f>
        <v>73956.300300000003</v>
      </c>
      <c r="AW323" s="30">
        <f>Inventory[[#This Row],[UpprFn]]*Lookups!$B$91</f>
        <v>78765.266325999997</v>
      </c>
      <c r="AX323" s="30">
        <f>Inventory[[#This Row],[Bsmt Area]]*Lookups!$B$95</f>
        <v>0</v>
      </c>
      <c r="AY323" s="30">
        <f>Inventory[[#This Row],[AttGar]]*Lookups!$B$93</f>
        <v>0</v>
      </c>
      <c r="AZ323" s="30">
        <f>ROUND(Inventory[[#This Row],[25Det]],-2)</f>
        <v>0</v>
      </c>
      <c r="BA323" s="30">
        <f>ROUND(SUM(Inventory[[#This Row],[Mdl Qlty]:[Mdl Garage Area]])+Inventory[[#This Row],[Mdl Res Intercept]],-2)</f>
        <v>367500</v>
      </c>
      <c r="BB323" s="30">
        <f>ROUND(Inventory[[#This Row],[Mdl Land Intercept]]+Inventory[[#This Row],[Mdl LnAcres]],-2)</f>
        <v>64300</v>
      </c>
      <c r="BC323" s="30">
        <f>Inventory[[#This Row],[Unadj Res Value]]+Inventory[[#This Row],[Unadj Det Value]]+Inventory[[#This Row],[Unadj Land Value]]</f>
        <v>431800</v>
      </c>
      <c r="BD323" s="30">
        <f>(Inventory[[#This Row],[Unadj Total Value]]-Inventory[[#This Row],[24Final]])/Inventory[[#This Row],[24Final]]</f>
        <v>1.2189404594467886E-2</v>
      </c>
      <c r="BE323" s="30">
        <f>VLOOKUP(Inventory[[#This Row],[Nbhd]],Lookups!$M$3:$P$5,4,FALSE)</f>
        <v>0.99970000000000003</v>
      </c>
      <c r="BF323" s="30">
        <f>VLOOKUP(Inventory[[#This Row],[Qlty]],Lookups!$M$8:$P$22,4,FALSE)</f>
        <v>1.0019</v>
      </c>
      <c r="BG323" s="30">
        <f>VLOOKUP(Inventory[[#This Row],[Cnd]],Lookups!$R$8:$U$17,4,FALSE)</f>
        <v>1.0007999999999999</v>
      </c>
      <c r="BH323" s="30">
        <f>VLOOKUP(Inventory[[#This Row],[LivArea Range]],Lookups!$R$25:$U$43,4,FALSE)</f>
        <v>1.0099</v>
      </c>
      <c r="BI323" s="30">
        <f>VLOOKUP(Inventory[[#This Row],[Decade]],Lookups!$M$24:$P$40,4,FALSE)</f>
        <v>1.0024</v>
      </c>
      <c r="BJ323" s="30">
        <f>Inventory[[#This Row],[Nbhd Adj]]*0.95</f>
        <v>0.94971499999999998</v>
      </c>
      <c r="BK323" s="30">
        <f>AVERAGE(Inventory[[#This Row],[Nbhd Adj]],Inventory[[#This Row],[Quality Adj]],Inventory[[#This Row],[Condition Adj]],Inventory[[#This Row],[Living Area Adj]],Inventory[[#This Row],[Decade Adj]])*0.95</f>
        <v>0.95279299999999989</v>
      </c>
      <c r="BL323" s="30">
        <f>ROUND((SUM(Inventory[[#This Row],[Mdl Qlty]:[Mdl Garage Area]])+Inventory[[#This Row],[Mdl Res Intercept]])*Inventory[[#This Row],[Res Adj ]],-2)</f>
        <v>350200</v>
      </c>
      <c r="BM323" s="30">
        <f>ROUND(Inventory[[#This Row],[25Det]]*Inventory[[#This Row],[Det/Nbhd Adj]],-2)</f>
        <v>0</v>
      </c>
      <c r="BN323" s="30">
        <f>Inventory[[#This Row],[Adjusted Res]]+Inventory[[#This Row],[Adj Det ]]</f>
        <v>350200</v>
      </c>
      <c r="BO323" s="30">
        <f>ROUND((Inventory[[#This Row],[Mdl Land Intercept]]+Inventory[[#This Row],[Mdl LnAcres]])*Inventory[[#This Row],[Det/Nbhd Adj]],-2)</f>
        <v>61100</v>
      </c>
      <c r="BP323" s="30">
        <f>Inventory[[#This Row],[Adjusted Impr Total]]+Inventory[[#This Row],[Adjusted Land Total]]</f>
        <v>411300</v>
      </c>
      <c r="BQ323" s="30">
        <f>IFERROR((Inventory[[#This Row],[Adjusted Impr Total]]-Inventory[[#This Row],[24Bldg]])/Inventory[[#This Row],[24Bldg]],0)</f>
        <v>-4.2646254784034991E-2</v>
      </c>
      <c r="BR323" s="43">
        <f>(Inventory[[#This Row],[Adjusted Land Total]]-Inventory[[#This Row],[24Lnd]])/Inventory[[#This Row],[24Lnd]]</f>
        <v>4.9342105263157892E-3</v>
      </c>
      <c r="BS323" s="43">
        <f>(Inventory[[#This Row],[Adjusted Total]]-Inventory[[#This Row],[24Final]])/Inventory[[#This Row],[24Final]]</f>
        <v>-3.5864978902953586E-2</v>
      </c>
    </row>
    <row r="324" spans="1:71">
      <c r="A324" s="30">
        <v>2025</v>
      </c>
      <c r="B324" s="31" t="s">
        <v>837</v>
      </c>
      <c r="C324" s="31">
        <f>LN(Inventory[[#This Row],[Acres]])</f>
        <v>-1.7147984280919266</v>
      </c>
      <c r="D324" s="30">
        <v>0.18</v>
      </c>
      <c r="E324" s="30">
        <v>7676</v>
      </c>
      <c r="F324" s="31" t="s">
        <v>505</v>
      </c>
      <c r="G324" s="31" t="s">
        <v>155</v>
      </c>
      <c r="H324" s="31" t="s">
        <v>5</v>
      </c>
      <c r="I324" s="31" t="s">
        <v>506</v>
      </c>
      <c r="J324" s="31" t="s">
        <v>507</v>
      </c>
      <c r="K324" s="31" t="s">
        <v>330</v>
      </c>
      <c r="L324" s="31" t="s">
        <v>21</v>
      </c>
      <c r="M324" s="31" t="s">
        <v>22</v>
      </c>
      <c r="N324" s="31">
        <v>10</v>
      </c>
      <c r="O324" s="31">
        <f>2024-Inventory[[#This Row],[YrBlt]]</f>
        <v>10</v>
      </c>
      <c r="P324" s="31">
        <f>2024-Inventory[[#This Row],[EffYr]]</f>
        <v>10</v>
      </c>
      <c r="Q324" s="30">
        <v>2014</v>
      </c>
      <c r="R324" s="30">
        <v>2014</v>
      </c>
      <c r="S324" s="30">
        <v>1593</v>
      </c>
      <c r="T324" s="38">
        <v>1252</v>
      </c>
      <c r="U324" s="32"/>
      <c r="V324" s="32"/>
      <c r="W324" s="32"/>
      <c r="X324" s="32">
        <f>Inventory[[#This Row],[Bsmt Area]]-Inventory[[#This Row],[FnBsmt]]</f>
        <v>0</v>
      </c>
      <c r="Y324" s="32">
        <f>Inventory[[#This Row],[MainFn]]+Inventory[[#This Row],[UpprFn]]+Inventory[[#This Row],[AddFn]]+Inventory[[#This Row],[FnBsmt]]</f>
        <v>2845</v>
      </c>
      <c r="Z324" s="32">
        <v>3000</v>
      </c>
      <c r="AA324" s="31" t="s">
        <v>57</v>
      </c>
      <c r="AB324" s="30">
        <v>1</v>
      </c>
      <c r="AC324" s="37"/>
      <c r="AD324" s="38">
        <v>706</v>
      </c>
      <c r="AE324" s="32"/>
      <c r="AF324" s="32"/>
      <c r="AG324" s="32"/>
      <c r="AH324" s="32"/>
      <c r="AI324" s="30">
        <v>564875</v>
      </c>
      <c r="AJ324" s="30">
        <v>536631</v>
      </c>
      <c r="AK324" s="30">
        <v>0</v>
      </c>
      <c r="AL324" s="30">
        <v>0</v>
      </c>
      <c r="AM324" s="30">
        <v>62500</v>
      </c>
      <c r="AN324" s="30">
        <v>409500</v>
      </c>
      <c r="AO324" s="30">
        <v>472000</v>
      </c>
      <c r="AP324" s="30">
        <f>Lookups!$B$58*0.6</f>
        <v>132535.48800000001</v>
      </c>
      <c r="AQ324" s="30">
        <f>Lookups!$B$58*0.4</f>
        <v>88356.992000000013</v>
      </c>
      <c r="AR324" s="30">
        <f>Lookups!$B$59*Inventory[[#This Row],[LnAcres]]</f>
        <v>-22505.565020573864</v>
      </c>
      <c r="AS324" s="30">
        <f>VLOOKUP(Inventory[[#This Row],[Qlty]],Lookups!$A$66:$E$79,2,FALSE)</f>
        <v>32917.849192000001</v>
      </c>
      <c r="AT324" s="30">
        <f>VLOOKUP(Inventory[[#This Row],[Cnd]],Lookups!$A$80:$E$88,2,FALSE)</f>
        <v>50438.379078999998</v>
      </c>
      <c r="AU324" s="30">
        <f>Inventory[[#This Row],[EffAge]]*Lookups!$B$65</f>
        <v>-1087.4110000000001</v>
      </c>
      <c r="AV324" s="30">
        <f>Inventory[[#This Row],[MainFn]]*Lookups!$B$90</f>
        <v>99419.735339999999</v>
      </c>
      <c r="AW324" s="30">
        <f>Inventory[[#This Row],[UpprFn]]*Lookups!$B$91</f>
        <v>74594.639515999996</v>
      </c>
      <c r="AX324" s="30">
        <f>Inventory[[#This Row],[Bsmt Area]]*Lookups!$B$95</f>
        <v>0</v>
      </c>
      <c r="AY324" s="30">
        <f>Inventory[[#This Row],[AttGar]]*Lookups!$B$93</f>
        <v>0</v>
      </c>
      <c r="AZ324" s="30">
        <f>ROUND(Inventory[[#This Row],[25Det]],-2)</f>
        <v>0</v>
      </c>
      <c r="BA324" s="30">
        <f>ROUND(SUM(Inventory[[#This Row],[Mdl Qlty]:[Mdl Garage Area]])+Inventory[[#This Row],[Mdl Res Intercept]],-2)</f>
        <v>388800</v>
      </c>
      <c r="BB324" s="30">
        <f>ROUND(Inventory[[#This Row],[Mdl Land Intercept]]+Inventory[[#This Row],[Mdl LnAcres]],-2)</f>
        <v>65900</v>
      </c>
      <c r="BC324" s="30">
        <f>Inventory[[#This Row],[Unadj Res Value]]+Inventory[[#This Row],[Unadj Det Value]]+Inventory[[#This Row],[Unadj Land Value]]</f>
        <v>454700</v>
      </c>
      <c r="BD324" s="30">
        <f>(Inventory[[#This Row],[Unadj Total Value]]-Inventory[[#This Row],[24Final]])/Inventory[[#This Row],[24Final]]</f>
        <v>-3.6652542372881354E-2</v>
      </c>
      <c r="BE324" s="30">
        <f>VLOOKUP(Inventory[[#This Row],[Nbhd]],Lookups!$M$3:$P$5,4,FALSE)</f>
        <v>0.99970000000000003</v>
      </c>
      <c r="BF324" s="30">
        <f>VLOOKUP(Inventory[[#This Row],[Qlty]],Lookups!$M$8:$P$22,4,FALSE)</f>
        <v>1.0019</v>
      </c>
      <c r="BG324" s="30">
        <f>VLOOKUP(Inventory[[#This Row],[Cnd]],Lookups!$R$8:$U$17,4,FALSE)</f>
        <v>1.0007999999999999</v>
      </c>
      <c r="BH324" s="30">
        <f>VLOOKUP(Inventory[[#This Row],[LivArea Range]],Lookups!$R$25:$U$43,4,FALSE)</f>
        <v>1.0099</v>
      </c>
      <c r="BI324" s="30">
        <f>VLOOKUP(Inventory[[#This Row],[Decade]],Lookups!$M$24:$P$40,4,FALSE)</f>
        <v>1.0024</v>
      </c>
      <c r="BJ324" s="30">
        <f>Inventory[[#This Row],[Nbhd Adj]]*0.95</f>
        <v>0.94971499999999998</v>
      </c>
      <c r="BK324" s="30">
        <f>AVERAGE(Inventory[[#This Row],[Nbhd Adj]],Inventory[[#This Row],[Quality Adj]],Inventory[[#This Row],[Condition Adj]],Inventory[[#This Row],[Living Area Adj]],Inventory[[#This Row],[Decade Adj]])*0.95</f>
        <v>0.95279299999999989</v>
      </c>
      <c r="BL324" s="30">
        <f>ROUND((SUM(Inventory[[#This Row],[Mdl Qlty]:[Mdl Garage Area]])+Inventory[[#This Row],[Mdl Res Intercept]])*Inventory[[#This Row],[Res Adj ]],-2)</f>
        <v>370500</v>
      </c>
      <c r="BM324" s="30">
        <f>ROUND(Inventory[[#This Row],[25Det]]*Inventory[[#This Row],[Det/Nbhd Adj]],-2)</f>
        <v>0</v>
      </c>
      <c r="BN324" s="30">
        <f>Inventory[[#This Row],[Adjusted Res]]+Inventory[[#This Row],[Adj Det ]]</f>
        <v>370500</v>
      </c>
      <c r="BO324" s="30">
        <f>ROUND((Inventory[[#This Row],[Mdl Land Intercept]]+Inventory[[#This Row],[Mdl LnAcres]])*Inventory[[#This Row],[Det/Nbhd Adj]],-2)</f>
        <v>62500</v>
      </c>
      <c r="BP324" s="30">
        <f>Inventory[[#This Row],[Adjusted Impr Total]]+Inventory[[#This Row],[Adjusted Land Total]]</f>
        <v>433000</v>
      </c>
      <c r="BQ324" s="30">
        <f>IFERROR((Inventory[[#This Row],[Adjusted Impr Total]]-Inventory[[#This Row],[24Bldg]])/Inventory[[#This Row],[24Bldg]],0)</f>
        <v>-9.5238095238095233E-2</v>
      </c>
      <c r="BR324" s="43">
        <f>(Inventory[[#This Row],[Adjusted Land Total]]-Inventory[[#This Row],[24Lnd]])/Inventory[[#This Row],[24Lnd]]</f>
        <v>0</v>
      </c>
      <c r="BS324" s="43">
        <f>(Inventory[[#This Row],[Adjusted Total]]-Inventory[[#This Row],[24Final]])/Inventory[[#This Row],[24Final]]</f>
        <v>-8.2627118644067798E-2</v>
      </c>
    </row>
    <row r="325" spans="1:71">
      <c r="A325" s="30">
        <v>2025</v>
      </c>
      <c r="B325" s="31" t="s">
        <v>838</v>
      </c>
      <c r="C325" s="31">
        <f>LN(Inventory[[#This Row],[Acres]])</f>
        <v>-1.7147984280919266</v>
      </c>
      <c r="D325" s="30">
        <v>0.18</v>
      </c>
      <c r="E325" s="30">
        <v>7909</v>
      </c>
      <c r="F325" s="31" t="s">
        <v>505</v>
      </c>
      <c r="G325" s="31" t="s">
        <v>155</v>
      </c>
      <c r="H325" s="31" t="s">
        <v>5</v>
      </c>
      <c r="I325" s="31" t="s">
        <v>506</v>
      </c>
      <c r="J325" s="31" t="s">
        <v>507</v>
      </c>
      <c r="K325" s="31" t="s">
        <v>330</v>
      </c>
      <c r="L325" s="31" t="s">
        <v>19</v>
      </c>
      <c r="M325" s="31" t="s">
        <v>22</v>
      </c>
      <c r="N325" s="31">
        <v>10</v>
      </c>
      <c r="O325" s="31">
        <f>2024-Inventory[[#This Row],[YrBlt]]</f>
        <v>10</v>
      </c>
      <c r="P325" s="31">
        <f>2024-Inventory[[#This Row],[EffYr]]</f>
        <v>10</v>
      </c>
      <c r="Q325" s="30">
        <v>2014</v>
      </c>
      <c r="R325" s="30">
        <v>2014</v>
      </c>
      <c r="S325" s="30">
        <v>1152</v>
      </c>
      <c r="T325" s="38">
        <v>1384</v>
      </c>
      <c r="U325" s="32"/>
      <c r="V325" s="32"/>
      <c r="W325" s="32"/>
      <c r="X325" s="32">
        <f>Inventory[[#This Row],[Bsmt Area]]-Inventory[[#This Row],[FnBsmt]]</f>
        <v>0</v>
      </c>
      <c r="Y325" s="32">
        <f>Inventory[[#This Row],[MainFn]]+Inventory[[#This Row],[UpprFn]]+Inventory[[#This Row],[AddFn]]+Inventory[[#This Row],[FnBsmt]]</f>
        <v>2536</v>
      </c>
      <c r="Z325" s="32">
        <v>3000</v>
      </c>
      <c r="AA325" s="31" t="s">
        <v>56</v>
      </c>
      <c r="AB325" s="38">
        <v>1</v>
      </c>
      <c r="AC325" s="37"/>
      <c r="AD325" s="38">
        <v>640</v>
      </c>
      <c r="AE325" s="32"/>
      <c r="AF325" s="32"/>
      <c r="AG325" s="32"/>
      <c r="AH325" s="32"/>
      <c r="AI325" s="30">
        <v>433045</v>
      </c>
      <c r="AJ325" s="30">
        <v>411393</v>
      </c>
      <c r="AK325" s="30">
        <v>0</v>
      </c>
      <c r="AL325" s="30">
        <v>0</v>
      </c>
      <c r="AM325" s="30">
        <v>62500</v>
      </c>
      <c r="AN325" s="30">
        <v>381500</v>
      </c>
      <c r="AO325" s="30">
        <v>444000</v>
      </c>
      <c r="AP325" s="30">
        <f>Lookups!$B$58*0.6</f>
        <v>132535.48800000001</v>
      </c>
      <c r="AQ325" s="30">
        <f>Lookups!$B$58*0.4</f>
        <v>88356.992000000013</v>
      </c>
      <c r="AR325" s="30">
        <f>Lookups!$B$59*Inventory[[#This Row],[LnAcres]]</f>
        <v>-22505.565020573864</v>
      </c>
      <c r="AS325" s="30">
        <f>VLOOKUP(Inventory[[#This Row],[Qlty]],Lookups!$A$66:$E$79,2,FALSE)</f>
        <v>37154.252388000001</v>
      </c>
      <c r="AT325" s="30">
        <f>VLOOKUP(Inventory[[#This Row],[Cnd]],Lookups!$A$80:$E$88,2,FALSE)</f>
        <v>50438.379078999998</v>
      </c>
      <c r="AU325" s="30">
        <f>Inventory[[#This Row],[EffAge]]*Lookups!$B$65</f>
        <v>-1087.4110000000001</v>
      </c>
      <c r="AV325" s="30">
        <f>Inventory[[#This Row],[MainFn]]*Lookups!$B$90</f>
        <v>71896.757760000008</v>
      </c>
      <c r="AW325" s="30">
        <f>Inventory[[#This Row],[UpprFn]]*Lookups!$B$91</f>
        <v>82459.250071999995</v>
      </c>
      <c r="AX325" s="30">
        <f>Inventory[[#This Row],[Bsmt Area]]*Lookups!$B$95</f>
        <v>0</v>
      </c>
      <c r="AY325" s="30">
        <f>Inventory[[#This Row],[AttGar]]*Lookups!$B$93</f>
        <v>0</v>
      </c>
      <c r="AZ325" s="30">
        <f>ROUND(Inventory[[#This Row],[25Det]],-2)</f>
        <v>0</v>
      </c>
      <c r="BA325" s="30">
        <f>ROUND(SUM(Inventory[[#This Row],[Mdl Qlty]:[Mdl Garage Area]])+Inventory[[#This Row],[Mdl Res Intercept]],-2)</f>
        <v>373400</v>
      </c>
      <c r="BB325" s="30">
        <f>ROUND(Inventory[[#This Row],[Mdl Land Intercept]]+Inventory[[#This Row],[Mdl LnAcres]],-2)</f>
        <v>65900</v>
      </c>
      <c r="BC325" s="30">
        <f>Inventory[[#This Row],[Unadj Res Value]]+Inventory[[#This Row],[Unadj Det Value]]+Inventory[[#This Row],[Unadj Land Value]]</f>
        <v>439300</v>
      </c>
      <c r="BD325" s="30">
        <f>(Inventory[[#This Row],[Unadj Total Value]]-Inventory[[#This Row],[24Final]])/Inventory[[#This Row],[24Final]]</f>
        <v>-1.0585585585585585E-2</v>
      </c>
      <c r="BE325" s="30">
        <f>VLOOKUP(Inventory[[#This Row],[Nbhd]],Lookups!$M$3:$P$5,4,FALSE)</f>
        <v>0.99970000000000003</v>
      </c>
      <c r="BF325" s="30">
        <f>VLOOKUP(Inventory[[#This Row],[Qlty]],Lookups!$M$8:$P$22,4,FALSE)</f>
        <v>0.99819999999999998</v>
      </c>
      <c r="BG325" s="30">
        <f>VLOOKUP(Inventory[[#This Row],[Cnd]],Lookups!$R$8:$U$17,4,FALSE)</f>
        <v>1.0007999999999999</v>
      </c>
      <c r="BH325" s="30">
        <f>VLOOKUP(Inventory[[#This Row],[LivArea Range]],Lookups!$R$25:$U$43,4,FALSE)</f>
        <v>1.0099</v>
      </c>
      <c r="BI325" s="30">
        <f>VLOOKUP(Inventory[[#This Row],[Decade]],Lookups!$M$24:$P$40,4,FALSE)</f>
        <v>1.0024</v>
      </c>
      <c r="BJ325" s="30">
        <f>Inventory[[#This Row],[Nbhd Adj]]*0.95</f>
        <v>0.94971499999999998</v>
      </c>
      <c r="BK325" s="30">
        <f>AVERAGE(Inventory[[#This Row],[Nbhd Adj]],Inventory[[#This Row],[Quality Adj]],Inventory[[#This Row],[Condition Adj]],Inventory[[#This Row],[Living Area Adj]],Inventory[[#This Row],[Decade Adj]])*0.95</f>
        <v>0.95208999999999977</v>
      </c>
      <c r="BL325" s="30">
        <f>ROUND((SUM(Inventory[[#This Row],[Mdl Qlty]:[Mdl Garage Area]])+Inventory[[#This Row],[Mdl Res Intercept]])*Inventory[[#This Row],[Res Adj ]],-2)</f>
        <v>355500</v>
      </c>
      <c r="BM325" s="30">
        <f>ROUND(Inventory[[#This Row],[25Det]]*Inventory[[#This Row],[Det/Nbhd Adj]],-2)</f>
        <v>0</v>
      </c>
      <c r="BN325" s="30">
        <f>Inventory[[#This Row],[Adjusted Res]]+Inventory[[#This Row],[Adj Det ]]</f>
        <v>355500</v>
      </c>
      <c r="BO325" s="30">
        <f>ROUND((Inventory[[#This Row],[Mdl Land Intercept]]+Inventory[[#This Row],[Mdl LnAcres]])*Inventory[[#This Row],[Det/Nbhd Adj]],-2)</f>
        <v>62500</v>
      </c>
      <c r="BP325" s="30">
        <f>Inventory[[#This Row],[Adjusted Impr Total]]+Inventory[[#This Row],[Adjusted Land Total]]</f>
        <v>418000</v>
      </c>
      <c r="BQ325" s="30">
        <f>IFERROR((Inventory[[#This Row],[Adjusted Impr Total]]-Inventory[[#This Row],[24Bldg]])/Inventory[[#This Row],[24Bldg]],0)</f>
        <v>-6.8152031454783754E-2</v>
      </c>
      <c r="BR325" s="43">
        <f>(Inventory[[#This Row],[Adjusted Land Total]]-Inventory[[#This Row],[24Lnd]])/Inventory[[#This Row],[24Lnd]]</f>
        <v>0</v>
      </c>
      <c r="BS325" s="43">
        <f>(Inventory[[#This Row],[Adjusted Total]]-Inventory[[#This Row],[24Final]])/Inventory[[#This Row],[24Final]]</f>
        <v>-5.8558558558558557E-2</v>
      </c>
    </row>
    <row r="326" spans="1:71">
      <c r="A326" s="30">
        <v>2025</v>
      </c>
      <c r="B326" s="31" t="s">
        <v>839</v>
      </c>
      <c r="C326" s="31">
        <f>LN(Inventory[[#This Row],[Acres]])</f>
        <v>-1.7147984280919266</v>
      </c>
      <c r="D326" s="30">
        <v>0.18</v>
      </c>
      <c r="E326" s="30">
        <v>7676</v>
      </c>
      <c r="F326" s="31" t="s">
        <v>505</v>
      </c>
      <c r="G326" s="31" t="s">
        <v>155</v>
      </c>
      <c r="H326" s="31" t="s">
        <v>5</v>
      </c>
      <c r="I326" s="31" t="s">
        <v>506</v>
      </c>
      <c r="J326" s="31" t="s">
        <v>507</v>
      </c>
      <c r="K326" s="31" t="s">
        <v>330</v>
      </c>
      <c r="L326" s="31" t="s">
        <v>19</v>
      </c>
      <c r="M326" s="31" t="s">
        <v>22</v>
      </c>
      <c r="N326" s="31">
        <v>10</v>
      </c>
      <c r="O326" s="31">
        <f>2024-Inventory[[#This Row],[YrBlt]]</f>
        <v>10</v>
      </c>
      <c r="P326" s="31">
        <f>2024-Inventory[[#This Row],[EffYr]]</f>
        <v>10</v>
      </c>
      <c r="Q326" s="30">
        <v>2014</v>
      </c>
      <c r="R326" s="30">
        <v>2014</v>
      </c>
      <c r="S326" s="30">
        <v>1126</v>
      </c>
      <c r="T326" s="38">
        <v>1126</v>
      </c>
      <c r="U326" s="32"/>
      <c r="V326" s="32"/>
      <c r="W326" s="32"/>
      <c r="X326" s="32">
        <f>Inventory[[#This Row],[Bsmt Area]]-Inventory[[#This Row],[FnBsmt]]</f>
        <v>0</v>
      </c>
      <c r="Y326" s="32">
        <f>Inventory[[#This Row],[MainFn]]+Inventory[[#This Row],[UpprFn]]+Inventory[[#This Row],[AddFn]]+Inventory[[#This Row],[FnBsmt]]</f>
        <v>2252</v>
      </c>
      <c r="Z326" s="32">
        <v>2500</v>
      </c>
      <c r="AA326" s="31" t="s">
        <v>56</v>
      </c>
      <c r="AB326" s="32"/>
      <c r="AC326" s="30">
        <v>440</v>
      </c>
      <c r="AD326" s="32"/>
      <c r="AE326" s="32"/>
      <c r="AF326" s="32"/>
      <c r="AG326" s="32"/>
      <c r="AH326" s="32"/>
      <c r="AI326" s="30">
        <v>397114</v>
      </c>
      <c r="AJ326" s="30">
        <v>377258</v>
      </c>
      <c r="AK326" s="30">
        <v>0</v>
      </c>
      <c r="AL326" s="30">
        <v>0</v>
      </c>
      <c r="AM326" s="30">
        <v>62500</v>
      </c>
      <c r="AN326" s="30">
        <v>378000</v>
      </c>
      <c r="AO326" s="30">
        <v>440500</v>
      </c>
      <c r="AP326" s="30">
        <f>Lookups!$B$58*0.6</f>
        <v>132535.48800000001</v>
      </c>
      <c r="AQ326" s="30">
        <f>Lookups!$B$58*0.4</f>
        <v>88356.992000000013</v>
      </c>
      <c r="AR326" s="30">
        <f>Lookups!$B$59*Inventory[[#This Row],[LnAcres]]</f>
        <v>-22505.565020573864</v>
      </c>
      <c r="AS326" s="30">
        <f>VLOOKUP(Inventory[[#This Row],[Qlty]],Lookups!$A$66:$E$79,2,FALSE)</f>
        <v>37154.252388000001</v>
      </c>
      <c r="AT326" s="30">
        <f>VLOOKUP(Inventory[[#This Row],[Cnd]],Lookups!$A$80:$E$88,2,FALSE)</f>
        <v>50438.379078999998</v>
      </c>
      <c r="AU326" s="30">
        <f>Inventory[[#This Row],[EffAge]]*Lookups!$B$65</f>
        <v>-1087.4110000000001</v>
      </c>
      <c r="AV326" s="30">
        <f>Inventory[[#This Row],[MainFn]]*Lookups!$B$90</f>
        <v>70274.087880000006</v>
      </c>
      <c r="AW326" s="30">
        <f>Inventory[[#This Row],[UpprFn]]*Lookups!$B$91</f>
        <v>67087.511257999999</v>
      </c>
      <c r="AX326" s="30">
        <f>Inventory[[#This Row],[Bsmt Area]]*Lookups!$B$95</f>
        <v>0</v>
      </c>
      <c r="AY326" s="30">
        <f>Inventory[[#This Row],[AttGar]]*Lookups!$B$93</f>
        <v>15532.453640000002</v>
      </c>
      <c r="AZ326" s="30">
        <f>ROUND(Inventory[[#This Row],[25Det]],-2)</f>
        <v>0</v>
      </c>
      <c r="BA326" s="30">
        <f>ROUND(SUM(Inventory[[#This Row],[Mdl Qlty]:[Mdl Garage Area]])+Inventory[[#This Row],[Mdl Res Intercept]],-2)</f>
        <v>371900</v>
      </c>
      <c r="BB326" s="30">
        <f>ROUND(Inventory[[#This Row],[Mdl Land Intercept]]+Inventory[[#This Row],[Mdl LnAcres]],-2)</f>
        <v>65900</v>
      </c>
      <c r="BC326" s="30">
        <f>Inventory[[#This Row],[Unadj Res Value]]+Inventory[[#This Row],[Unadj Det Value]]+Inventory[[#This Row],[Unadj Land Value]]</f>
        <v>437800</v>
      </c>
      <c r="BD326" s="30">
        <f>(Inventory[[#This Row],[Unadj Total Value]]-Inventory[[#This Row],[24Final]])/Inventory[[#This Row],[24Final]]</f>
        <v>-6.1293984108967085E-3</v>
      </c>
      <c r="BE326" s="30">
        <f>VLOOKUP(Inventory[[#This Row],[Nbhd]],Lookups!$M$3:$P$5,4,FALSE)</f>
        <v>0.99970000000000003</v>
      </c>
      <c r="BF326" s="30">
        <f>VLOOKUP(Inventory[[#This Row],[Qlty]],Lookups!$M$8:$P$22,4,FALSE)</f>
        <v>0.99819999999999998</v>
      </c>
      <c r="BG326" s="30">
        <f>VLOOKUP(Inventory[[#This Row],[Cnd]],Lookups!$R$8:$U$17,4,FALSE)</f>
        <v>1.0007999999999999</v>
      </c>
      <c r="BH326" s="30">
        <f>VLOOKUP(Inventory[[#This Row],[LivArea Range]],Lookups!$R$25:$U$43,4,FALSE)</f>
        <v>1.0008999999999999</v>
      </c>
      <c r="BI326" s="30">
        <f>VLOOKUP(Inventory[[#This Row],[Decade]],Lookups!$M$24:$P$40,4,FALSE)</f>
        <v>1.0024</v>
      </c>
      <c r="BJ326" s="30">
        <f>Inventory[[#This Row],[Nbhd Adj]]*0.95</f>
        <v>0.94971499999999998</v>
      </c>
      <c r="BK326" s="30">
        <f>AVERAGE(Inventory[[#This Row],[Nbhd Adj]],Inventory[[#This Row],[Quality Adj]],Inventory[[#This Row],[Condition Adj]],Inventory[[#This Row],[Living Area Adj]],Inventory[[#This Row],[Decade Adj]])*0.95</f>
        <v>0.95037999999999989</v>
      </c>
      <c r="BL326" s="30">
        <f>ROUND((SUM(Inventory[[#This Row],[Mdl Qlty]:[Mdl Garage Area]])+Inventory[[#This Row],[Mdl Res Intercept]])*Inventory[[#This Row],[Res Adj ]],-2)</f>
        <v>353500</v>
      </c>
      <c r="BM326" s="30">
        <f>ROUND(Inventory[[#This Row],[25Det]]*Inventory[[#This Row],[Det/Nbhd Adj]],-2)</f>
        <v>0</v>
      </c>
      <c r="BN326" s="30">
        <f>Inventory[[#This Row],[Adjusted Res]]+Inventory[[#This Row],[Adj Det ]]</f>
        <v>353500</v>
      </c>
      <c r="BO326" s="30">
        <f>ROUND((Inventory[[#This Row],[Mdl Land Intercept]]+Inventory[[#This Row],[Mdl LnAcres]])*Inventory[[#This Row],[Det/Nbhd Adj]],-2)</f>
        <v>62500</v>
      </c>
      <c r="BP326" s="30">
        <f>Inventory[[#This Row],[Adjusted Impr Total]]+Inventory[[#This Row],[Adjusted Land Total]]</f>
        <v>416000</v>
      </c>
      <c r="BQ326" s="30">
        <f>IFERROR((Inventory[[#This Row],[Adjusted Impr Total]]-Inventory[[#This Row],[24Bldg]])/Inventory[[#This Row],[24Bldg]],0)</f>
        <v>-6.4814814814814811E-2</v>
      </c>
      <c r="BR326" s="43">
        <f>(Inventory[[#This Row],[Adjusted Land Total]]-Inventory[[#This Row],[24Lnd]])/Inventory[[#This Row],[24Lnd]]</f>
        <v>0</v>
      </c>
      <c r="BS326" s="43">
        <f>(Inventory[[#This Row],[Adjusted Total]]-Inventory[[#This Row],[24Final]])/Inventory[[#This Row],[24Final]]</f>
        <v>-5.5618615209988648E-2</v>
      </c>
    </row>
    <row r="327" spans="1:71">
      <c r="A327" s="30">
        <v>2025</v>
      </c>
      <c r="B327" s="31" t="s">
        <v>840</v>
      </c>
      <c r="C327" s="31">
        <f>LN(Inventory[[#This Row],[Acres]])</f>
        <v>-1.7147984280919266</v>
      </c>
      <c r="D327" s="30">
        <v>0.18</v>
      </c>
      <c r="E327" s="30">
        <v>7790</v>
      </c>
      <c r="F327" s="31" t="s">
        <v>505</v>
      </c>
      <c r="G327" s="31" t="s">
        <v>155</v>
      </c>
      <c r="H327" s="31" t="s">
        <v>5</v>
      </c>
      <c r="I327" s="31" t="s">
        <v>506</v>
      </c>
      <c r="J327" s="31" t="s">
        <v>507</v>
      </c>
      <c r="K327" s="31" t="s">
        <v>330</v>
      </c>
      <c r="L327" s="31" t="s">
        <v>21</v>
      </c>
      <c r="M327" s="31" t="s">
        <v>22</v>
      </c>
      <c r="N327" s="31">
        <v>10</v>
      </c>
      <c r="O327" s="31">
        <f>2024-Inventory[[#This Row],[YrBlt]]</f>
        <v>10</v>
      </c>
      <c r="P327" s="31">
        <f>2024-Inventory[[#This Row],[EffYr]]</f>
        <v>10</v>
      </c>
      <c r="Q327" s="30">
        <v>2014</v>
      </c>
      <c r="R327" s="30">
        <v>2014</v>
      </c>
      <c r="S327" s="30">
        <v>2156</v>
      </c>
      <c r="T327" s="32"/>
      <c r="U327" s="32"/>
      <c r="V327" s="32"/>
      <c r="W327" s="32"/>
      <c r="X327" s="32">
        <f>Inventory[[#This Row],[Bsmt Area]]-Inventory[[#This Row],[FnBsmt]]</f>
        <v>0</v>
      </c>
      <c r="Y327" s="32">
        <f>Inventory[[#This Row],[MainFn]]+Inventory[[#This Row],[UpprFn]]+Inventory[[#This Row],[AddFn]]+Inventory[[#This Row],[FnBsmt]]</f>
        <v>2156</v>
      </c>
      <c r="Z327" s="32">
        <v>2500</v>
      </c>
      <c r="AA327" s="31" t="s">
        <v>56</v>
      </c>
      <c r="AB327" s="30">
        <v>1</v>
      </c>
      <c r="AC327" s="30">
        <v>688</v>
      </c>
      <c r="AD327" s="32"/>
      <c r="AE327" s="32"/>
      <c r="AF327" s="32"/>
      <c r="AG327" s="32"/>
      <c r="AH327" s="32"/>
      <c r="AI327" s="30">
        <v>467794</v>
      </c>
      <c r="AJ327" s="30">
        <v>444404</v>
      </c>
      <c r="AK327" s="30">
        <v>0</v>
      </c>
      <c r="AL327" s="30">
        <v>0</v>
      </c>
      <c r="AM327" s="30">
        <v>62500</v>
      </c>
      <c r="AN327" s="30">
        <v>372700</v>
      </c>
      <c r="AO327" s="30">
        <v>435200</v>
      </c>
      <c r="AP327" s="30">
        <f>Lookups!$B$58*0.6</f>
        <v>132535.48800000001</v>
      </c>
      <c r="AQ327" s="30">
        <f>Lookups!$B$58*0.4</f>
        <v>88356.992000000013</v>
      </c>
      <c r="AR327" s="30">
        <f>Lookups!$B$59*Inventory[[#This Row],[LnAcres]]</f>
        <v>-22505.565020573864</v>
      </c>
      <c r="AS327" s="30">
        <f>VLOOKUP(Inventory[[#This Row],[Qlty]],Lookups!$A$66:$E$79,2,FALSE)</f>
        <v>32917.849192000001</v>
      </c>
      <c r="AT327" s="30">
        <f>VLOOKUP(Inventory[[#This Row],[Cnd]],Lookups!$A$80:$E$88,2,FALSE)</f>
        <v>50438.379078999998</v>
      </c>
      <c r="AU327" s="30">
        <f>Inventory[[#This Row],[EffAge]]*Lookups!$B$65</f>
        <v>-1087.4110000000001</v>
      </c>
      <c r="AV327" s="30">
        <f>Inventory[[#This Row],[MainFn]]*Lookups!$B$90</f>
        <v>134556.77928000002</v>
      </c>
      <c r="AW327" s="30">
        <f>Inventory[[#This Row],[UpprFn]]*Lookups!$B$91</f>
        <v>0</v>
      </c>
      <c r="AX327" s="30">
        <f>Inventory[[#This Row],[Bsmt Area]]*Lookups!$B$95</f>
        <v>0</v>
      </c>
      <c r="AY327" s="30">
        <f>Inventory[[#This Row],[AttGar]]*Lookups!$B$93</f>
        <v>24287.109328000002</v>
      </c>
      <c r="AZ327" s="30">
        <f>ROUND(Inventory[[#This Row],[25Det]],-2)</f>
        <v>0</v>
      </c>
      <c r="BA327" s="30">
        <f>ROUND(SUM(Inventory[[#This Row],[Mdl Qlty]:[Mdl Garage Area]])+Inventory[[#This Row],[Mdl Res Intercept]],-2)</f>
        <v>373600</v>
      </c>
      <c r="BB327" s="30">
        <f>ROUND(Inventory[[#This Row],[Mdl Land Intercept]]+Inventory[[#This Row],[Mdl LnAcres]],-2)</f>
        <v>65900</v>
      </c>
      <c r="BC327" s="30">
        <f>Inventory[[#This Row],[Unadj Res Value]]+Inventory[[#This Row],[Unadj Det Value]]+Inventory[[#This Row],[Unadj Land Value]]</f>
        <v>439500</v>
      </c>
      <c r="BD327" s="30">
        <f>(Inventory[[#This Row],[Unadj Total Value]]-Inventory[[#This Row],[24Final]])/Inventory[[#This Row],[24Final]]</f>
        <v>9.8805147058823525E-3</v>
      </c>
      <c r="BE327" s="30">
        <f>VLOOKUP(Inventory[[#This Row],[Nbhd]],Lookups!$M$3:$P$5,4,FALSE)</f>
        <v>0.99970000000000003</v>
      </c>
      <c r="BF327" s="30">
        <f>VLOOKUP(Inventory[[#This Row],[Qlty]],Lookups!$M$8:$P$22,4,FALSE)</f>
        <v>1.0019</v>
      </c>
      <c r="BG327" s="30">
        <f>VLOOKUP(Inventory[[#This Row],[Cnd]],Lookups!$R$8:$U$17,4,FALSE)</f>
        <v>1.0007999999999999</v>
      </c>
      <c r="BH327" s="30">
        <f>VLOOKUP(Inventory[[#This Row],[LivArea Range]],Lookups!$R$25:$U$43,4,FALSE)</f>
        <v>1.0008999999999999</v>
      </c>
      <c r="BI327" s="30">
        <f>VLOOKUP(Inventory[[#This Row],[Decade]],Lookups!$M$24:$P$40,4,FALSE)</f>
        <v>1.0024</v>
      </c>
      <c r="BJ327" s="30">
        <f>Inventory[[#This Row],[Nbhd Adj]]*0.95</f>
        <v>0.94971499999999998</v>
      </c>
      <c r="BK327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327" s="30">
        <f>ROUND((SUM(Inventory[[#This Row],[Mdl Qlty]:[Mdl Garage Area]])+Inventory[[#This Row],[Mdl Res Intercept]])*Inventory[[#This Row],[Res Adj ]],-2)</f>
        <v>355400</v>
      </c>
      <c r="BM327" s="30">
        <f>ROUND(Inventory[[#This Row],[25Det]]*Inventory[[#This Row],[Det/Nbhd Adj]],-2)</f>
        <v>0</v>
      </c>
      <c r="BN327" s="30">
        <f>Inventory[[#This Row],[Adjusted Res]]+Inventory[[#This Row],[Adj Det ]]</f>
        <v>355400</v>
      </c>
      <c r="BO327" s="30">
        <f>ROUND((Inventory[[#This Row],[Mdl Land Intercept]]+Inventory[[#This Row],[Mdl LnAcres]])*Inventory[[#This Row],[Det/Nbhd Adj]],-2)</f>
        <v>62500</v>
      </c>
      <c r="BP327" s="30">
        <f>Inventory[[#This Row],[Adjusted Impr Total]]+Inventory[[#This Row],[Adjusted Land Total]]</f>
        <v>417900</v>
      </c>
      <c r="BQ327" s="30">
        <f>IFERROR((Inventory[[#This Row],[Adjusted Impr Total]]-Inventory[[#This Row],[24Bldg]])/Inventory[[#This Row],[24Bldg]],0)</f>
        <v>-4.6418030587603971E-2</v>
      </c>
      <c r="BR327" s="43">
        <f>(Inventory[[#This Row],[Adjusted Land Total]]-Inventory[[#This Row],[24Lnd]])/Inventory[[#This Row],[24Lnd]]</f>
        <v>0</v>
      </c>
      <c r="BS327" s="43">
        <f>(Inventory[[#This Row],[Adjusted Total]]-Inventory[[#This Row],[24Final]])/Inventory[[#This Row],[24Final]]</f>
        <v>-3.9751838235294115E-2</v>
      </c>
    </row>
    <row r="328" spans="1:71">
      <c r="A328" s="30">
        <v>2025</v>
      </c>
      <c r="B328" s="31" t="s">
        <v>841</v>
      </c>
      <c r="C328" s="31">
        <f>LN(Inventory[[#This Row],[Acres]])</f>
        <v>-1.7147984280919266</v>
      </c>
      <c r="D328" s="30">
        <v>0.18</v>
      </c>
      <c r="E328" s="30">
        <v>7787</v>
      </c>
      <c r="F328" s="31" t="s">
        <v>505</v>
      </c>
      <c r="G328" s="31" t="s">
        <v>155</v>
      </c>
      <c r="H328" s="31" t="s">
        <v>5</v>
      </c>
      <c r="I328" s="31" t="s">
        <v>506</v>
      </c>
      <c r="J328" s="31" t="s">
        <v>507</v>
      </c>
      <c r="K328" s="31" t="s">
        <v>330</v>
      </c>
      <c r="L328" s="31" t="s">
        <v>21</v>
      </c>
      <c r="M328" s="31" t="s">
        <v>22</v>
      </c>
      <c r="N328" s="31">
        <v>10</v>
      </c>
      <c r="O328" s="31">
        <f>2024-Inventory[[#This Row],[YrBlt]]</f>
        <v>10</v>
      </c>
      <c r="P328" s="31">
        <f>2024-Inventory[[#This Row],[EffYr]]</f>
        <v>10</v>
      </c>
      <c r="Q328" s="30">
        <v>2014</v>
      </c>
      <c r="R328" s="30">
        <v>2014</v>
      </c>
      <c r="S328" s="30">
        <v>1588</v>
      </c>
      <c r="T328" s="30">
        <v>1122</v>
      </c>
      <c r="U328" s="32"/>
      <c r="V328" s="32"/>
      <c r="W328" s="32"/>
      <c r="X328" s="32">
        <f>Inventory[[#This Row],[Bsmt Area]]-Inventory[[#This Row],[FnBsmt]]</f>
        <v>0</v>
      </c>
      <c r="Y328" s="32">
        <f>Inventory[[#This Row],[MainFn]]+Inventory[[#This Row],[UpprFn]]+Inventory[[#This Row],[AddFn]]+Inventory[[#This Row],[FnBsmt]]</f>
        <v>2710</v>
      </c>
      <c r="Z328" s="32">
        <v>3000</v>
      </c>
      <c r="AA328" s="31" t="s">
        <v>56</v>
      </c>
      <c r="AB328" s="38">
        <v>1</v>
      </c>
      <c r="AC328" s="30">
        <v>252</v>
      </c>
      <c r="AD328" s="38">
        <v>420</v>
      </c>
      <c r="AE328" s="32"/>
      <c r="AF328" s="32"/>
      <c r="AG328" s="32"/>
      <c r="AH328" s="32"/>
      <c r="AI328" s="30">
        <v>534405</v>
      </c>
      <c r="AJ328" s="30">
        <v>507685</v>
      </c>
      <c r="AK328" s="30">
        <v>0</v>
      </c>
      <c r="AL328" s="30">
        <v>0</v>
      </c>
      <c r="AM328" s="30">
        <v>62500</v>
      </c>
      <c r="AN328" s="30">
        <v>386400</v>
      </c>
      <c r="AO328" s="30">
        <v>448900</v>
      </c>
      <c r="AP328" s="30">
        <f>Lookups!$B$58*0.6</f>
        <v>132535.48800000001</v>
      </c>
      <c r="AQ328" s="30">
        <f>Lookups!$B$58*0.4</f>
        <v>88356.992000000013</v>
      </c>
      <c r="AR328" s="30">
        <f>Lookups!$B$59*Inventory[[#This Row],[LnAcres]]</f>
        <v>-22505.565020573864</v>
      </c>
      <c r="AS328" s="30">
        <f>VLOOKUP(Inventory[[#This Row],[Qlty]],Lookups!$A$66:$E$79,2,FALSE)</f>
        <v>32917.849192000001</v>
      </c>
      <c r="AT328" s="30">
        <f>VLOOKUP(Inventory[[#This Row],[Cnd]],Lookups!$A$80:$E$88,2,FALSE)</f>
        <v>50438.379078999998</v>
      </c>
      <c r="AU328" s="30">
        <f>Inventory[[#This Row],[EffAge]]*Lookups!$B$65</f>
        <v>-1087.4110000000001</v>
      </c>
      <c r="AV328" s="30">
        <f>Inventory[[#This Row],[MainFn]]*Lookups!$B$90</f>
        <v>99107.683440000008</v>
      </c>
      <c r="AW328" s="30">
        <f>Inventory[[#This Row],[UpprFn]]*Lookups!$B$91</f>
        <v>66849.189725999997</v>
      </c>
      <c r="AX328" s="30">
        <f>Inventory[[#This Row],[Bsmt Area]]*Lookups!$B$95</f>
        <v>0</v>
      </c>
      <c r="AY328" s="30">
        <f>Inventory[[#This Row],[AttGar]]*Lookups!$B$93</f>
        <v>8895.8598120000006</v>
      </c>
      <c r="AZ328" s="30">
        <f>ROUND(Inventory[[#This Row],[25Det]],-2)</f>
        <v>0</v>
      </c>
      <c r="BA328" s="30">
        <f>ROUND(SUM(Inventory[[#This Row],[Mdl Qlty]:[Mdl Garage Area]])+Inventory[[#This Row],[Mdl Res Intercept]],-2)</f>
        <v>389700</v>
      </c>
      <c r="BB328" s="30">
        <f>ROUND(Inventory[[#This Row],[Mdl Land Intercept]]+Inventory[[#This Row],[Mdl LnAcres]],-2)</f>
        <v>65900</v>
      </c>
      <c r="BC328" s="30">
        <f>Inventory[[#This Row],[Unadj Res Value]]+Inventory[[#This Row],[Unadj Det Value]]+Inventory[[#This Row],[Unadj Land Value]]</f>
        <v>455600</v>
      </c>
      <c r="BD328" s="30">
        <f>(Inventory[[#This Row],[Unadj Total Value]]-Inventory[[#This Row],[24Final]])/Inventory[[#This Row],[24Final]]</f>
        <v>1.4925373134328358E-2</v>
      </c>
      <c r="BE328" s="30">
        <f>VLOOKUP(Inventory[[#This Row],[Nbhd]],Lookups!$M$3:$P$5,4,FALSE)</f>
        <v>0.99970000000000003</v>
      </c>
      <c r="BF328" s="30">
        <f>VLOOKUP(Inventory[[#This Row],[Qlty]],Lookups!$M$8:$P$22,4,FALSE)</f>
        <v>1.0019</v>
      </c>
      <c r="BG328" s="30">
        <f>VLOOKUP(Inventory[[#This Row],[Cnd]],Lookups!$R$8:$U$17,4,FALSE)</f>
        <v>1.0007999999999999</v>
      </c>
      <c r="BH328" s="30">
        <f>VLOOKUP(Inventory[[#This Row],[LivArea Range]],Lookups!$R$25:$U$43,4,FALSE)</f>
        <v>1.0099</v>
      </c>
      <c r="BI328" s="30">
        <f>VLOOKUP(Inventory[[#This Row],[Decade]],Lookups!$M$24:$P$40,4,FALSE)</f>
        <v>1.0024</v>
      </c>
      <c r="BJ328" s="30">
        <f>Inventory[[#This Row],[Nbhd Adj]]*0.95</f>
        <v>0.94971499999999998</v>
      </c>
      <c r="BK328" s="30">
        <f>AVERAGE(Inventory[[#This Row],[Nbhd Adj]],Inventory[[#This Row],[Quality Adj]],Inventory[[#This Row],[Condition Adj]],Inventory[[#This Row],[Living Area Adj]],Inventory[[#This Row],[Decade Adj]])*0.95</f>
        <v>0.95279299999999989</v>
      </c>
      <c r="BL328" s="30">
        <f>ROUND((SUM(Inventory[[#This Row],[Mdl Qlty]:[Mdl Garage Area]])+Inventory[[#This Row],[Mdl Res Intercept]])*Inventory[[#This Row],[Res Adj ]],-2)</f>
        <v>371300</v>
      </c>
      <c r="BM328" s="30">
        <f>ROUND(Inventory[[#This Row],[25Det]]*Inventory[[#This Row],[Det/Nbhd Adj]],-2)</f>
        <v>0</v>
      </c>
      <c r="BN328" s="30">
        <f>Inventory[[#This Row],[Adjusted Res]]+Inventory[[#This Row],[Adj Det ]]</f>
        <v>371300</v>
      </c>
      <c r="BO328" s="30">
        <f>ROUND((Inventory[[#This Row],[Mdl Land Intercept]]+Inventory[[#This Row],[Mdl LnAcres]])*Inventory[[#This Row],[Det/Nbhd Adj]],-2)</f>
        <v>62500</v>
      </c>
      <c r="BP328" s="30">
        <f>Inventory[[#This Row],[Adjusted Impr Total]]+Inventory[[#This Row],[Adjusted Land Total]]</f>
        <v>433800</v>
      </c>
      <c r="BQ328" s="30">
        <f>IFERROR((Inventory[[#This Row],[Adjusted Impr Total]]-Inventory[[#This Row],[24Bldg]])/Inventory[[#This Row],[24Bldg]],0)</f>
        <v>-3.9078674948240168E-2</v>
      </c>
      <c r="BR328" s="43">
        <f>(Inventory[[#This Row],[Adjusted Land Total]]-Inventory[[#This Row],[24Lnd]])/Inventory[[#This Row],[24Lnd]]</f>
        <v>0</v>
      </c>
      <c r="BS328" s="43">
        <f>(Inventory[[#This Row],[Adjusted Total]]-Inventory[[#This Row],[24Final]])/Inventory[[#This Row],[24Final]]</f>
        <v>-3.3637781243038539E-2</v>
      </c>
    </row>
    <row r="329" spans="1:71">
      <c r="A329" s="30">
        <v>2025</v>
      </c>
      <c r="B329" s="31" t="s">
        <v>842</v>
      </c>
      <c r="C329" s="31">
        <f>LN(Inventory[[#This Row],[Acres]])</f>
        <v>-1.7147984280919266</v>
      </c>
      <c r="D329" s="30">
        <v>0.18</v>
      </c>
      <c r="E329" s="30">
        <v>7676</v>
      </c>
      <c r="F329" s="31" t="s">
        <v>505</v>
      </c>
      <c r="G329" s="31" t="s">
        <v>155</v>
      </c>
      <c r="H329" s="31" t="s">
        <v>5</v>
      </c>
      <c r="I329" s="31" t="s">
        <v>506</v>
      </c>
      <c r="J329" s="31" t="s">
        <v>507</v>
      </c>
      <c r="K329" s="31" t="s">
        <v>330</v>
      </c>
      <c r="L329" s="31" t="s">
        <v>21</v>
      </c>
      <c r="M329" s="31" t="s">
        <v>22</v>
      </c>
      <c r="N329" s="31">
        <v>10</v>
      </c>
      <c r="O329" s="31">
        <f>2024-Inventory[[#This Row],[YrBlt]]</f>
        <v>10</v>
      </c>
      <c r="P329" s="31">
        <f>2024-Inventory[[#This Row],[EffYr]]</f>
        <v>10</v>
      </c>
      <c r="Q329" s="30">
        <v>2014</v>
      </c>
      <c r="R329" s="30">
        <v>2014</v>
      </c>
      <c r="S329" s="30">
        <v>2015</v>
      </c>
      <c r="T329" s="37"/>
      <c r="U329" s="32"/>
      <c r="V329" s="32"/>
      <c r="W329" s="32"/>
      <c r="X329" s="32">
        <f>Inventory[[#This Row],[Bsmt Area]]-Inventory[[#This Row],[FnBsmt]]</f>
        <v>0</v>
      </c>
      <c r="Y329" s="32">
        <f>Inventory[[#This Row],[MainFn]]+Inventory[[#This Row],[UpprFn]]+Inventory[[#This Row],[AddFn]]+Inventory[[#This Row],[FnBsmt]]</f>
        <v>2015</v>
      </c>
      <c r="Z329" s="32">
        <v>2500</v>
      </c>
      <c r="AA329" s="31" t="s">
        <v>56</v>
      </c>
      <c r="AB329" s="38">
        <v>1</v>
      </c>
      <c r="AC329" s="30">
        <v>426</v>
      </c>
      <c r="AD329" s="32"/>
      <c r="AE329" s="32"/>
      <c r="AF329" s="32"/>
      <c r="AG329" s="32"/>
      <c r="AH329" s="32"/>
      <c r="AI329" s="30">
        <v>429322</v>
      </c>
      <c r="AJ329" s="30">
        <v>407856</v>
      </c>
      <c r="AK329" s="30">
        <v>0</v>
      </c>
      <c r="AL329" s="30">
        <v>0</v>
      </c>
      <c r="AM329" s="30">
        <v>62500</v>
      </c>
      <c r="AN329" s="30">
        <v>344300</v>
      </c>
      <c r="AO329" s="30">
        <v>406800</v>
      </c>
      <c r="AP329" s="30">
        <f>Lookups!$B$58*0.6</f>
        <v>132535.48800000001</v>
      </c>
      <c r="AQ329" s="30">
        <f>Lookups!$B$58*0.4</f>
        <v>88356.992000000013</v>
      </c>
      <c r="AR329" s="30">
        <f>Lookups!$B$59*Inventory[[#This Row],[LnAcres]]</f>
        <v>-22505.565020573864</v>
      </c>
      <c r="AS329" s="30">
        <f>VLOOKUP(Inventory[[#This Row],[Qlty]],Lookups!$A$66:$E$79,2,FALSE)</f>
        <v>32917.849192000001</v>
      </c>
      <c r="AT329" s="30">
        <f>VLOOKUP(Inventory[[#This Row],[Cnd]],Lookups!$A$80:$E$88,2,FALSE)</f>
        <v>50438.379078999998</v>
      </c>
      <c r="AU329" s="30">
        <f>Inventory[[#This Row],[EffAge]]*Lookups!$B$65</f>
        <v>-1087.4110000000001</v>
      </c>
      <c r="AV329" s="30">
        <f>Inventory[[#This Row],[MainFn]]*Lookups!$B$90</f>
        <v>125756.91570000001</v>
      </c>
      <c r="AW329" s="30">
        <f>Inventory[[#This Row],[UpprFn]]*Lookups!$B$91</f>
        <v>0</v>
      </c>
      <c r="AX329" s="30">
        <f>Inventory[[#This Row],[Bsmt Area]]*Lookups!$B$95</f>
        <v>0</v>
      </c>
      <c r="AY329" s="30">
        <f>Inventory[[#This Row],[AttGar]]*Lookups!$B$93</f>
        <v>15038.239206</v>
      </c>
      <c r="AZ329" s="30">
        <f>ROUND(Inventory[[#This Row],[25Det]],-2)</f>
        <v>0</v>
      </c>
      <c r="BA329" s="30">
        <f>ROUND(SUM(Inventory[[#This Row],[Mdl Qlty]:[Mdl Garage Area]])+Inventory[[#This Row],[Mdl Res Intercept]],-2)</f>
        <v>355600</v>
      </c>
      <c r="BB329" s="30">
        <f>ROUND(Inventory[[#This Row],[Mdl Land Intercept]]+Inventory[[#This Row],[Mdl LnAcres]],-2)</f>
        <v>65900</v>
      </c>
      <c r="BC329" s="30">
        <f>Inventory[[#This Row],[Unadj Res Value]]+Inventory[[#This Row],[Unadj Det Value]]+Inventory[[#This Row],[Unadj Land Value]]</f>
        <v>421500</v>
      </c>
      <c r="BD329" s="30">
        <f>(Inventory[[#This Row],[Unadj Total Value]]-Inventory[[#This Row],[24Final]])/Inventory[[#This Row],[24Final]]</f>
        <v>3.6135693215339236E-2</v>
      </c>
      <c r="BE329" s="30">
        <f>VLOOKUP(Inventory[[#This Row],[Nbhd]],Lookups!$M$3:$P$5,4,FALSE)</f>
        <v>0.99970000000000003</v>
      </c>
      <c r="BF329" s="30">
        <f>VLOOKUP(Inventory[[#This Row],[Qlty]],Lookups!$M$8:$P$22,4,FALSE)</f>
        <v>1.0019</v>
      </c>
      <c r="BG329" s="30">
        <f>VLOOKUP(Inventory[[#This Row],[Cnd]],Lookups!$R$8:$U$17,4,FALSE)</f>
        <v>1.0007999999999999</v>
      </c>
      <c r="BH329" s="30">
        <f>VLOOKUP(Inventory[[#This Row],[LivArea Range]],Lookups!$R$25:$U$43,4,FALSE)</f>
        <v>1.0008999999999999</v>
      </c>
      <c r="BI329" s="30">
        <f>VLOOKUP(Inventory[[#This Row],[Decade]],Lookups!$M$24:$P$40,4,FALSE)</f>
        <v>1.0024</v>
      </c>
      <c r="BJ329" s="30">
        <f>Inventory[[#This Row],[Nbhd Adj]]*0.95</f>
        <v>0.94971499999999998</v>
      </c>
      <c r="BK329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329" s="30">
        <f>ROUND((SUM(Inventory[[#This Row],[Mdl Qlty]:[Mdl Garage Area]])+Inventory[[#This Row],[Mdl Res Intercept]])*Inventory[[#This Row],[Res Adj ]],-2)</f>
        <v>338200</v>
      </c>
      <c r="BM329" s="30">
        <f>ROUND(Inventory[[#This Row],[25Det]]*Inventory[[#This Row],[Det/Nbhd Adj]],-2)</f>
        <v>0</v>
      </c>
      <c r="BN329" s="30">
        <f>Inventory[[#This Row],[Adjusted Res]]+Inventory[[#This Row],[Adj Det ]]</f>
        <v>338200</v>
      </c>
      <c r="BO329" s="30">
        <f>ROUND((Inventory[[#This Row],[Mdl Land Intercept]]+Inventory[[#This Row],[Mdl LnAcres]])*Inventory[[#This Row],[Det/Nbhd Adj]],-2)</f>
        <v>62500</v>
      </c>
      <c r="BP329" s="30">
        <f>Inventory[[#This Row],[Adjusted Impr Total]]+Inventory[[#This Row],[Adjusted Land Total]]</f>
        <v>400700</v>
      </c>
      <c r="BQ329" s="30">
        <f>IFERROR((Inventory[[#This Row],[Adjusted Impr Total]]-Inventory[[#This Row],[24Bldg]])/Inventory[[#This Row],[24Bldg]],0)</f>
        <v>-1.7717107173976183E-2</v>
      </c>
      <c r="BR329" s="43">
        <f>(Inventory[[#This Row],[Adjusted Land Total]]-Inventory[[#This Row],[24Lnd]])/Inventory[[#This Row],[24Lnd]]</f>
        <v>0</v>
      </c>
      <c r="BS329" s="43">
        <f>(Inventory[[#This Row],[Adjusted Total]]-Inventory[[#This Row],[24Final]])/Inventory[[#This Row],[24Final]]</f>
        <v>-1.4995083579154375E-2</v>
      </c>
    </row>
    <row r="330" spans="1:71">
      <c r="A330" s="30">
        <v>2025</v>
      </c>
      <c r="B330" s="31" t="s">
        <v>843</v>
      </c>
      <c r="C330" s="31">
        <f>LN(Inventory[[#This Row],[Acres]])</f>
        <v>-1.6607312068216509</v>
      </c>
      <c r="D330" s="30">
        <v>0.19</v>
      </c>
      <c r="E330" s="30">
        <v>8143</v>
      </c>
      <c r="F330" s="31" t="s">
        <v>505</v>
      </c>
      <c r="G330" s="31" t="s">
        <v>155</v>
      </c>
      <c r="H330" s="31" t="s">
        <v>5</v>
      </c>
      <c r="I330" s="31" t="s">
        <v>506</v>
      </c>
      <c r="J330" s="31" t="s">
        <v>507</v>
      </c>
      <c r="K330" s="31" t="s">
        <v>330</v>
      </c>
      <c r="L330" s="31" t="s">
        <v>21</v>
      </c>
      <c r="M330" s="31" t="s">
        <v>22</v>
      </c>
      <c r="N330" s="31">
        <v>10</v>
      </c>
      <c r="O330" s="31">
        <f>2024-Inventory[[#This Row],[YrBlt]]</f>
        <v>10</v>
      </c>
      <c r="P330" s="31">
        <f>2024-Inventory[[#This Row],[EffYr]]</f>
        <v>10</v>
      </c>
      <c r="Q330" s="30">
        <v>2014</v>
      </c>
      <c r="R330" s="30">
        <v>2014</v>
      </c>
      <c r="S330" s="30">
        <v>1995</v>
      </c>
      <c r="T330" s="32"/>
      <c r="U330" s="32"/>
      <c r="V330" s="32"/>
      <c r="W330" s="32"/>
      <c r="X330" s="32">
        <f>Inventory[[#This Row],[Bsmt Area]]-Inventory[[#This Row],[FnBsmt]]</f>
        <v>0</v>
      </c>
      <c r="Y330" s="32">
        <f>Inventory[[#This Row],[MainFn]]+Inventory[[#This Row],[UpprFn]]+Inventory[[#This Row],[AddFn]]+Inventory[[#This Row],[FnBsmt]]</f>
        <v>1995</v>
      </c>
      <c r="Z330" s="32">
        <v>2000</v>
      </c>
      <c r="AA330" s="31" t="s">
        <v>56</v>
      </c>
      <c r="AB330" s="32"/>
      <c r="AC330" s="30">
        <v>441</v>
      </c>
      <c r="AD330" s="32"/>
      <c r="AE330" s="32"/>
      <c r="AF330" s="32"/>
      <c r="AG330" s="32"/>
      <c r="AH330" s="32"/>
      <c r="AI330" s="30">
        <v>418075</v>
      </c>
      <c r="AJ330" s="30">
        <v>397171</v>
      </c>
      <c r="AK330" s="30">
        <v>0</v>
      </c>
      <c r="AL330" s="30">
        <v>0</v>
      </c>
      <c r="AM330" s="30">
        <v>63200</v>
      </c>
      <c r="AN330" s="30">
        <v>336500</v>
      </c>
      <c r="AO330" s="30">
        <v>399700</v>
      </c>
      <c r="AP330" s="30">
        <f>Lookups!$B$58*0.6</f>
        <v>132535.48800000001</v>
      </c>
      <c r="AQ330" s="30">
        <f>Lookups!$B$58*0.4</f>
        <v>88356.992000000013</v>
      </c>
      <c r="AR330" s="30">
        <f>Lookups!$B$59*Inventory[[#This Row],[LnAcres]]</f>
        <v>-21795.969453044734</v>
      </c>
      <c r="AS330" s="30">
        <f>VLOOKUP(Inventory[[#This Row],[Qlty]],Lookups!$A$66:$E$79,2,FALSE)</f>
        <v>32917.849192000001</v>
      </c>
      <c r="AT330" s="30">
        <f>VLOOKUP(Inventory[[#This Row],[Cnd]],Lookups!$A$80:$E$88,2,FALSE)</f>
        <v>50438.379078999998</v>
      </c>
      <c r="AU330" s="30">
        <f>Inventory[[#This Row],[EffAge]]*Lookups!$B$65</f>
        <v>-1087.4110000000001</v>
      </c>
      <c r="AV330" s="30">
        <f>Inventory[[#This Row],[MainFn]]*Lookups!$B$90</f>
        <v>124508.7081</v>
      </c>
      <c r="AW330" s="30">
        <f>Inventory[[#This Row],[UpprFn]]*Lookups!$B$91</f>
        <v>0</v>
      </c>
      <c r="AX330" s="30">
        <f>Inventory[[#This Row],[Bsmt Area]]*Lookups!$B$95</f>
        <v>0</v>
      </c>
      <c r="AY330" s="30">
        <f>Inventory[[#This Row],[AttGar]]*Lookups!$B$93</f>
        <v>15567.754671000001</v>
      </c>
      <c r="AZ330" s="30">
        <f>ROUND(Inventory[[#This Row],[25Det]],-2)</f>
        <v>0</v>
      </c>
      <c r="BA330" s="30">
        <f>ROUND(SUM(Inventory[[#This Row],[Mdl Qlty]:[Mdl Garage Area]])+Inventory[[#This Row],[Mdl Res Intercept]],-2)</f>
        <v>354900</v>
      </c>
      <c r="BB330" s="30">
        <f>ROUND(Inventory[[#This Row],[Mdl Land Intercept]]+Inventory[[#This Row],[Mdl LnAcres]],-2)</f>
        <v>66600</v>
      </c>
      <c r="BC330" s="30">
        <f>Inventory[[#This Row],[Unadj Res Value]]+Inventory[[#This Row],[Unadj Det Value]]+Inventory[[#This Row],[Unadj Land Value]]</f>
        <v>421500</v>
      </c>
      <c r="BD330" s="30">
        <f>(Inventory[[#This Row],[Unadj Total Value]]-Inventory[[#This Row],[24Final]])/Inventory[[#This Row],[24Final]]</f>
        <v>5.4540905679259448E-2</v>
      </c>
      <c r="BE330" s="30">
        <f>VLOOKUP(Inventory[[#This Row],[Nbhd]],Lookups!$M$3:$P$5,4,FALSE)</f>
        <v>0.99970000000000003</v>
      </c>
      <c r="BF330" s="30">
        <f>VLOOKUP(Inventory[[#This Row],[Qlty]],Lookups!$M$8:$P$22,4,FALSE)</f>
        <v>1.0019</v>
      </c>
      <c r="BG330" s="30">
        <f>VLOOKUP(Inventory[[#This Row],[Cnd]],Lookups!$R$8:$U$17,4,FALSE)</f>
        <v>1.0007999999999999</v>
      </c>
      <c r="BH330" s="30">
        <f>VLOOKUP(Inventory[[#This Row],[LivArea Range]],Lookups!$R$25:$U$43,4,FALSE)</f>
        <v>1.0007999999999999</v>
      </c>
      <c r="BI330" s="30">
        <f>VLOOKUP(Inventory[[#This Row],[Decade]],Lookups!$M$24:$P$40,4,FALSE)</f>
        <v>1.0024</v>
      </c>
      <c r="BJ330" s="30">
        <f>Inventory[[#This Row],[Nbhd Adj]]*0.95</f>
        <v>0.94971499999999998</v>
      </c>
      <c r="BK330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330" s="30">
        <f>ROUND((SUM(Inventory[[#This Row],[Mdl Qlty]:[Mdl Garage Area]])+Inventory[[#This Row],[Mdl Res Intercept]])*Inventory[[#This Row],[Res Adj ]],-2)</f>
        <v>337500</v>
      </c>
      <c r="BM330" s="30">
        <f>ROUND(Inventory[[#This Row],[25Det]]*Inventory[[#This Row],[Det/Nbhd Adj]],-2)</f>
        <v>0</v>
      </c>
      <c r="BN330" s="30">
        <f>Inventory[[#This Row],[Adjusted Res]]+Inventory[[#This Row],[Adj Det ]]</f>
        <v>337500</v>
      </c>
      <c r="BO330" s="30">
        <f>ROUND((Inventory[[#This Row],[Mdl Land Intercept]]+Inventory[[#This Row],[Mdl LnAcres]])*Inventory[[#This Row],[Det/Nbhd Adj]],-2)</f>
        <v>63200</v>
      </c>
      <c r="BP330" s="30">
        <f>Inventory[[#This Row],[Adjusted Impr Total]]+Inventory[[#This Row],[Adjusted Land Total]]</f>
        <v>400700</v>
      </c>
      <c r="BQ330" s="30">
        <f>IFERROR((Inventory[[#This Row],[Adjusted Impr Total]]-Inventory[[#This Row],[24Bldg]])/Inventory[[#This Row],[24Bldg]],0)</f>
        <v>2.9717682020802376E-3</v>
      </c>
      <c r="BR330" s="43">
        <f>(Inventory[[#This Row],[Adjusted Land Total]]-Inventory[[#This Row],[24Lnd]])/Inventory[[#This Row],[24Lnd]]</f>
        <v>0</v>
      </c>
      <c r="BS330" s="43">
        <f>(Inventory[[#This Row],[Adjusted Total]]-Inventory[[#This Row],[24Final]])/Inventory[[#This Row],[24Final]]</f>
        <v>2.5018764073054789E-3</v>
      </c>
    </row>
    <row r="331" spans="1:71">
      <c r="A331" s="30">
        <v>2025</v>
      </c>
      <c r="B331" s="31" t="s">
        <v>844</v>
      </c>
      <c r="C331" s="31">
        <f>LN(Inventory[[#This Row],[Acres]])</f>
        <v>-1.4271163556401458</v>
      </c>
      <c r="D331" s="30">
        <v>0.24</v>
      </c>
      <c r="E331" s="30">
        <v>10666</v>
      </c>
      <c r="F331" s="31" t="s">
        <v>505</v>
      </c>
      <c r="G331" s="31" t="s">
        <v>155</v>
      </c>
      <c r="H331" s="31" t="s">
        <v>5</v>
      </c>
      <c r="I331" s="31" t="s">
        <v>506</v>
      </c>
      <c r="J331" s="31" t="s">
        <v>507</v>
      </c>
      <c r="K331" s="31" t="s">
        <v>193</v>
      </c>
      <c r="L331" s="31" t="s">
        <v>19</v>
      </c>
      <c r="M331" s="31" t="s">
        <v>20</v>
      </c>
      <c r="N331" s="31">
        <v>10</v>
      </c>
      <c r="O331" s="31">
        <f>2024-Inventory[[#This Row],[YrBlt]]</f>
        <v>10</v>
      </c>
      <c r="P331" s="31">
        <f>2024-Inventory[[#This Row],[EffYr]]</f>
        <v>10</v>
      </c>
      <c r="Q331" s="30">
        <v>2014</v>
      </c>
      <c r="R331" s="30">
        <v>2014</v>
      </c>
      <c r="S331" s="30">
        <v>1128</v>
      </c>
      <c r="T331" s="32"/>
      <c r="U331" s="32"/>
      <c r="V331" s="32"/>
      <c r="W331" s="32"/>
      <c r="X331" s="32">
        <f>Inventory[[#This Row],[Bsmt Area]]-Inventory[[#This Row],[FnBsmt]]</f>
        <v>0</v>
      </c>
      <c r="Y331" s="32">
        <f>Inventory[[#This Row],[MainFn]]+Inventory[[#This Row],[UpprFn]]+Inventory[[#This Row],[AddFn]]+Inventory[[#This Row],[FnBsmt]]</f>
        <v>1128</v>
      </c>
      <c r="Z331" s="32">
        <v>1500</v>
      </c>
      <c r="AA331" s="31" t="s">
        <v>56</v>
      </c>
      <c r="AB331" s="32"/>
      <c r="AC331" s="30">
        <v>264</v>
      </c>
      <c r="AD331" s="32"/>
      <c r="AE331" s="32"/>
      <c r="AF331" s="32"/>
      <c r="AG331" s="32"/>
      <c r="AH331" s="32"/>
      <c r="AI331" s="30">
        <v>229846</v>
      </c>
      <c r="AJ331" s="30">
        <v>216055</v>
      </c>
      <c r="AK331" s="30">
        <v>2651</v>
      </c>
      <c r="AL331" s="30">
        <v>0</v>
      </c>
      <c r="AM331" s="30">
        <v>66500</v>
      </c>
      <c r="AN331" s="30">
        <v>274200</v>
      </c>
      <c r="AO331" s="30">
        <v>340700</v>
      </c>
      <c r="AP331" s="30">
        <f>Lookups!$B$58*0.6</f>
        <v>132535.48800000001</v>
      </c>
      <c r="AQ331" s="30">
        <f>Lookups!$B$58*0.4</f>
        <v>88356.992000000013</v>
      </c>
      <c r="AR331" s="30">
        <f>Lookups!$B$59*Inventory[[#This Row],[LnAcres]]</f>
        <v>-18729.933155771436</v>
      </c>
      <c r="AS331" s="30">
        <f>VLOOKUP(Inventory[[#This Row],[Qlty]],Lookups!$A$66:$E$79,2,FALSE)</f>
        <v>37154.252388000001</v>
      </c>
      <c r="AT331" s="30">
        <f>VLOOKUP(Inventory[[#This Row],[Cnd]],Lookups!$A$80:$E$88,2,FALSE)</f>
        <v>30300.329274</v>
      </c>
      <c r="AU331" s="30">
        <f>Inventory[[#This Row],[EffAge]]*Lookups!$B$65</f>
        <v>-1087.4110000000001</v>
      </c>
      <c r="AV331" s="30">
        <f>Inventory[[#This Row],[MainFn]]*Lookups!$B$90</f>
        <v>70398.908640000009</v>
      </c>
      <c r="AW331" s="30">
        <f>Inventory[[#This Row],[UpprFn]]*Lookups!$B$91</f>
        <v>0</v>
      </c>
      <c r="AX331" s="30">
        <f>Inventory[[#This Row],[Bsmt Area]]*Lookups!$B$95</f>
        <v>0</v>
      </c>
      <c r="AY331" s="30">
        <f>Inventory[[#This Row],[AttGar]]*Lookups!$B$93</f>
        <v>9319.4721840000002</v>
      </c>
      <c r="AZ331" s="30">
        <f>ROUND(Inventory[[#This Row],[25Det]],-2)</f>
        <v>2700</v>
      </c>
      <c r="BA331" s="30">
        <f>ROUND(SUM(Inventory[[#This Row],[Mdl Qlty]:[Mdl Garage Area]])+Inventory[[#This Row],[Mdl Res Intercept]],-2)</f>
        <v>278600</v>
      </c>
      <c r="BB331" s="30">
        <f>ROUND(Inventory[[#This Row],[Mdl Land Intercept]]+Inventory[[#This Row],[Mdl LnAcres]],-2)</f>
        <v>69600</v>
      </c>
      <c r="BC331" s="30">
        <f>Inventory[[#This Row],[Unadj Res Value]]+Inventory[[#This Row],[Unadj Det Value]]+Inventory[[#This Row],[Unadj Land Value]]</f>
        <v>350900</v>
      </c>
      <c r="BD331" s="30">
        <f>(Inventory[[#This Row],[Unadj Total Value]]-Inventory[[#This Row],[24Final]])/Inventory[[#This Row],[24Final]]</f>
        <v>2.9938362195479896E-2</v>
      </c>
      <c r="BE331" s="30">
        <f>VLOOKUP(Inventory[[#This Row],[Nbhd]],Lookups!$M$3:$P$5,4,FALSE)</f>
        <v>0.99970000000000003</v>
      </c>
      <c r="BF331" s="30">
        <f>VLOOKUP(Inventory[[#This Row],[Qlty]],Lookups!$M$8:$P$22,4,FALSE)</f>
        <v>0.99819999999999998</v>
      </c>
      <c r="BG331" s="30">
        <f>VLOOKUP(Inventory[[#This Row],[Cnd]],Lookups!$R$8:$U$17,4,FALSE)</f>
        <v>0.997</v>
      </c>
      <c r="BH331" s="30">
        <f>VLOOKUP(Inventory[[#This Row],[LivArea Range]],Lookups!$R$25:$U$43,4,FALSE)</f>
        <v>0.99519999999999997</v>
      </c>
      <c r="BI331" s="30">
        <f>VLOOKUP(Inventory[[#This Row],[Decade]],Lookups!$M$24:$P$40,4,FALSE)</f>
        <v>1.0024</v>
      </c>
      <c r="BJ331" s="30">
        <f>Inventory[[#This Row],[Nbhd Adj]]*0.95</f>
        <v>0.94971499999999998</v>
      </c>
      <c r="BK331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331" s="30">
        <f>ROUND((SUM(Inventory[[#This Row],[Mdl Qlty]:[Mdl Garage Area]])+Inventory[[#This Row],[Mdl Res Intercept]])*Inventory[[#This Row],[Res Adj ]],-2)</f>
        <v>264300</v>
      </c>
      <c r="BM331" s="30">
        <f>ROUND(Inventory[[#This Row],[25Det]]*Inventory[[#This Row],[Det/Nbhd Adj]],-2)</f>
        <v>2500</v>
      </c>
      <c r="BN331" s="30">
        <f>Inventory[[#This Row],[Adjusted Res]]+Inventory[[#This Row],[Adj Det ]]</f>
        <v>266800</v>
      </c>
      <c r="BO331" s="30">
        <f>ROUND((Inventory[[#This Row],[Mdl Land Intercept]]+Inventory[[#This Row],[Mdl LnAcres]])*Inventory[[#This Row],[Det/Nbhd Adj]],-2)</f>
        <v>66100</v>
      </c>
      <c r="BP331" s="30">
        <f>Inventory[[#This Row],[Adjusted Impr Total]]+Inventory[[#This Row],[Adjusted Land Total]]</f>
        <v>332900</v>
      </c>
      <c r="BQ331" s="30">
        <f>IFERROR((Inventory[[#This Row],[Adjusted Impr Total]]-Inventory[[#This Row],[24Bldg]])/Inventory[[#This Row],[24Bldg]],0)</f>
        <v>-2.6987600291757841E-2</v>
      </c>
      <c r="BR331" s="43">
        <f>(Inventory[[#This Row],[Adjusted Land Total]]-Inventory[[#This Row],[24Lnd]])/Inventory[[#This Row],[24Lnd]]</f>
        <v>-6.0150375939849628E-3</v>
      </c>
      <c r="BS331" s="43">
        <f>(Inventory[[#This Row],[Adjusted Total]]-Inventory[[#This Row],[24Final]])/Inventory[[#This Row],[24Final]]</f>
        <v>-2.2894041678896391E-2</v>
      </c>
    </row>
    <row r="332" spans="1:71">
      <c r="A332" s="30">
        <v>2025</v>
      </c>
      <c r="B332" s="31" t="s">
        <v>845</v>
      </c>
      <c r="C332" s="31">
        <f>LN(Inventory[[#This Row],[Acres]])</f>
        <v>-3.0459207484708574E-2</v>
      </c>
      <c r="D332" s="30">
        <v>0.97</v>
      </c>
      <c r="E332" s="32"/>
      <c r="F332" s="31" t="s">
        <v>505</v>
      </c>
      <c r="G332" s="31" t="s">
        <v>155</v>
      </c>
      <c r="H332" s="31" t="s">
        <v>5</v>
      </c>
      <c r="I332" s="31" t="s">
        <v>506</v>
      </c>
      <c r="J332" s="31" t="s">
        <v>507</v>
      </c>
      <c r="K332" s="31" t="s">
        <v>193</v>
      </c>
      <c r="L332" s="31" t="s">
        <v>17</v>
      </c>
      <c r="M332" s="31" t="s">
        <v>18</v>
      </c>
      <c r="N332" s="31">
        <v>10</v>
      </c>
      <c r="O332" s="31">
        <f>2024-Inventory[[#This Row],[YrBlt]]</f>
        <v>10</v>
      </c>
      <c r="P332" s="31">
        <f>2024-Inventory[[#This Row],[EffYr]]</f>
        <v>10</v>
      </c>
      <c r="Q332" s="30">
        <v>2014</v>
      </c>
      <c r="R332" s="30">
        <v>2014</v>
      </c>
      <c r="S332" s="30">
        <v>1496</v>
      </c>
      <c r="T332" s="32"/>
      <c r="U332" s="32"/>
      <c r="V332" s="32"/>
      <c r="W332" s="32"/>
      <c r="X332" s="32">
        <f>Inventory[[#This Row],[Bsmt Area]]-Inventory[[#This Row],[FnBsmt]]</f>
        <v>0</v>
      </c>
      <c r="Y332" s="32">
        <f>Inventory[[#This Row],[MainFn]]+Inventory[[#This Row],[UpprFn]]+Inventory[[#This Row],[AddFn]]+Inventory[[#This Row],[FnBsmt]]</f>
        <v>1496</v>
      </c>
      <c r="Z332" s="32">
        <v>1500</v>
      </c>
      <c r="AA332" s="31" t="s">
        <v>56</v>
      </c>
      <c r="AB332" s="32"/>
      <c r="AC332" s="30">
        <v>1320</v>
      </c>
      <c r="AD332" s="32"/>
      <c r="AE332" s="32"/>
      <c r="AF332" s="32"/>
      <c r="AG332" s="32"/>
      <c r="AH332" s="32"/>
      <c r="AI332" s="30">
        <v>303323</v>
      </c>
      <c r="AJ332" s="30">
        <v>285124</v>
      </c>
      <c r="AK332" s="30">
        <v>0</v>
      </c>
      <c r="AL332" s="30">
        <v>0</v>
      </c>
      <c r="AM332" s="30">
        <v>86100</v>
      </c>
      <c r="AN332" s="30">
        <v>377100</v>
      </c>
      <c r="AO332" s="30">
        <v>463200</v>
      </c>
      <c r="AP332" s="30">
        <f>Lookups!$B$58*0.6</f>
        <v>132535.48800000001</v>
      </c>
      <c r="AQ332" s="30">
        <f>Lookups!$B$58*0.4</f>
        <v>88356.992000000013</v>
      </c>
      <c r="AR332" s="30">
        <f>Lookups!$B$59*Inventory[[#This Row],[LnAcres]]</f>
        <v>-399.75641643491792</v>
      </c>
      <c r="AS332" s="30">
        <f>VLOOKUP(Inventory[[#This Row],[Qlty]],Lookups!$A$66:$E$79,2,FALSE)</f>
        <v>24371.765965999999</v>
      </c>
      <c r="AT332" s="30">
        <f>VLOOKUP(Inventory[[#This Row],[Cnd]],Lookups!$A$80:$E$88,2,FALSE)</f>
        <v>17761.121909000001</v>
      </c>
      <c r="AU332" s="30">
        <f>Inventory[[#This Row],[EffAge]]*Lookups!$B$65</f>
        <v>-1087.4110000000001</v>
      </c>
      <c r="AV332" s="30">
        <f>Inventory[[#This Row],[MainFn]]*Lookups!$B$90</f>
        <v>93365.928480000002</v>
      </c>
      <c r="AW332" s="30">
        <f>Inventory[[#This Row],[UpprFn]]*Lookups!$B$91</f>
        <v>0</v>
      </c>
      <c r="AX332" s="30">
        <f>Inventory[[#This Row],[Bsmt Area]]*Lookups!$B$95</f>
        <v>0</v>
      </c>
      <c r="AY332" s="30">
        <f>Inventory[[#This Row],[AttGar]]*Lookups!$B$93</f>
        <v>46597.360919999999</v>
      </c>
      <c r="AZ332" s="30">
        <f>ROUND(Inventory[[#This Row],[25Det]],-2)</f>
        <v>0</v>
      </c>
      <c r="BA332" s="30">
        <f>ROUND(SUM(Inventory[[#This Row],[Mdl Qlty]:[Mdl Garage Area]])+Inventory[[#This Row],[Mdl Res Intercept]],-2)</f>
        <v>313500</v>
      </c>
      <c r="BB332" s="30">
        <f>ROUND(Inventory[[#This Row],[Mdl Land Intercept]]+Inventory[[#This Row],[Mdl LnAcres]],-2)</f>
        <v>88000</v>
      </c>
      <c r="BC332" s="30">
        <f>Inventory[[#This Row],[Unadj Res Value]]+Inventory[[#This Row],[Unadj Det Value]]+Inventory[[#This Row],[Unadj Land Value]]</f>
        <v>401500</v>
      </c>
      <c r="BD332" s="30">
        <f>(Inventory[[#This Row],[Unadj Total Value]]-Inventory[[#This Row],[24Final]])/Inventory[[#This Row],[24Final]]</f>
        <v>-0.13320379965457685</v>
      </c>
      <c r="BE332" s="30">
        <f>VLOOKUP(Inventory[[#This Row],[Nbhd]],Lookups!$M$3:$P$5,4,FALSE)</f>
        <v>0.99970000000000003</v>
      </c>
      <c r="BF332" s="30">
        <f>VLOOKUP(Inventory[[#This Row],[Qlty]],Lookups!$M$8:$P$22,4,FALSE)</f>
        <v>0.99199999999999999</v>
      </c>
      <c r="BG332" s="30">
        <f>VLOOKUP(Inventory[[#This Row],[Cnd]],Lookups!$R$8:$U$17,4,FALSE)</f>
        <v>0.99680000000000002</v>
      </c>
      <c r="BH332" s="30">
        <f>VLOOKUP(Inventory[[#This Row],[LivArea Range]],Lookups!$R$25:$U$43,4,FALSE)</f>
        <v>0.99519999999999997</v>
      </c>
      <c r="BI332" s="30">
        <f>VLOOKUP(Inventory[[#This Row],[Decade]],Lookups!$M$24:$P$40,4,FALSE)</f>
        <v>1.0024</v>
      </c>
      <c r="BJ332" s="30">
        <f>Inventory[[#This Row],[Nbhd Adj]]*0.95</f>
        <v>0.94971499999999998</v>
      </c>
      <c r="BK332" s="30">
        <f>AVERAGE(Inventory[[#This Row],[Nbhd Adj]],Inventory[[#This Row],[Quality Adj]],Inventory[[#This Row],[Condition Adj]],Inventory[[#This Row],[Living Area Adj]],Inventory[[#This Row],[Decade Adj]])*0.95</f>
        <v>0.94735900000000006</v>
      </c>
      <c r="BL332" s="30">
        <f>ROUND((SUM(Inventory[[#This Row],[Mdl Qlty]:[Mdl Garage Area]])+Inventory[[#This Row],[Mdl Res Intercept]])*Inventory[[#This Row],[Res Adj ]],-2)</f>
        <v>297000</v>
      </c>
      <c r="BM332" s="30">
        <f>ROUND(Inventory[[#This Row],[25Det]]*Inventory[[#This Row],[Det/Nbhd Adj]],-2)</f>
        <v>0</v>
      </c>
      <c r="BN332" s="30">
        <f>Inventory[[#This Row],[Adjusted Res]]+Inventory[[#This Row],[Adj Det ]]</f>
        <v>297000</v>
      </c>
      <c r="BO332" s="30">
        <f>ROUND((Inventory[[#This Row],[Mdl Land Intercept]]+Inventory[[#This Row],[Mdl LnAcres]])*Inventory[[#This Row],[Det/Nbhd Adj]],-2)</f>
        <v>83500</v>
      </c>
      <c r="BP332" s="30">
        <f>Inventory[[#This Row],[Adjusted Impr Total]]+Inventory[[#This Row],[Adjusted Land Total]]</f>
        <v>380500</v>
      </c>
      <c r="BQ332" s="30">
        <f>IFERROR((Inventory[[#This Row],[Adjusted Impr Total]]-Inventory[[#This Row],[24Bldg]])/Inventory[[#This Row],[24Bldg]],0)</f>
        <v>-0.21241050119331742</v>
      </c>
      <c r="BR332" s="43">
        <f>(Inventory[[#This Row],[Adjusted Land Total]]-Inventory[[#This Row],[24Lnd]])/Inventory[[#This Row],[24Lnd]]</f>
        <v>-3.0197444831591175E-2</v>
      </c>
      <c r="BS332" s="43">
        <f>(Inventory[[#This Row],[Adjusted Total]]-Inventory[[#This Row],[24Final]])/Inventory[[#This Row],[24Final]]</f>
        <v>-0.17854058721934368</v>
      </c>
    </row>
    <row r="333" spans="1:71">
      <c r="A333" s="30">
        <v>2025</v>
      </c>
      <c r="B333" s="31" t="s">
        <v>846</v>
      </c>
      <c r="C333" s="31">
        <f>LN(Inventory[[#This Row],[Acres]])</f>
        <v>-1.8325814637483102</v>
      </c>
      <c r="D333" s="30">
        <v>0.16</v>
      </c>
      <c r="E333" s="30">
        <v>7139</v>
      </c>
      <c r="F333" s="31" t="s">
        <v>505</v>
      </c>
      <c r="G333" s="31" t="s">
        <v>155</v>
      </c>
      <c r="H333" s="31" t="s">
        <v>5</v>
      </c>
      <c r="I333" s="31" t="s">
        <v>506</v>
      </c>
      <c r="J333" s="31" t="s">
        <v>507</v>
      </c>
      <c r="K333" s="31" t="s">
        <v>330</v>
      </c>
      <c r="L333" s="31" t="s">
        <v>21</v>
      </c>
      <c r="M333" s="31" t="s">
        <v>22</v>
      </c>
      <c r="N333" s="31">
        <v>10</v>
      </c>
      <c r="O333" s="31">
        <f>2024-Inventory[[#This Row],[YrBlt]]</f>
        <v>11</v>
      </c>
      <c r="P333" s="31">
        <f>2024-Inventory[[#This Row],[EffYr]]</f>
        <v>11</v>
      </c>
      <c r="Q333" s="30">
        <v>2013</v>
      </c>
      <c r="R333" s="30">
        <v>2013</v>
      </c>
      <c r="S333" s="30">
        <v>1799</v>
      </c>
      <c r="T333" s="32"/>
      <c r="U333" s="32"/>
      <c r="V333" s="32"/>
      <c r="W333" s="32"/>
      <c r="X333" s="32">
        <f>Inventory[[#This Row],[Bsmt Area]]-Inventory[[#This Row],[FnBsmt]]</f>
        <v>0</v>
      </c>
      <c r="Y333" s="32">
        <f>Inventory[[#This Row],[MainFn]]+Inventory[[#This Row],[UpprFn]]+Inventory[[#This Row],[AddFn]]+Inventory[[#This Row],[FnBsmt]]</f>
        <v>1799</v>
      </c>
      <c r="Z333" s="32">
        <v>2000</v>
      </c>
      <c r="AA333" s="31" t="s">
        <v>56</v>
      </c>
      <c r="AB333" s="38">
        <v>1</v>
      </c>
      <c r="AC333" s="30">
        <v>681</v>
      </c>
      <c r="AD333" s="32"/>
      <c r="AE333" s="32"/>
      <c r="AF333" s="32"/>
      <c r="AG333" s="32"/>
      <c r="AH333" s="32"/>
      <c r="AI333" s="30">
        <v>410569</v>
      </c>
      <c r="AJ333" s="30">
        <v>390041</v>
      </c>
      <c r="AK333" s="30">
        <v>0</v>
      </c>
      <c r="AL333" s="30">
        <v>0</v>
      </c>
      <c r="AM333" s="30">
        <v>60800</v>
      </c>
      <c r="AN333" s="30">
        <v>349600</v>
      </c>
      <c r="AO333" s="30">
        <v>410400</v>
      </c>
      <c r="AP333" s="30">
        <f>Lookups!$B$58*0.6</f>
        <v>132535.48800000001</v>
      </c>
      <c r="AQ333" s="30">
        <f>Lookups!$B$58*0.4</f>
        <v>88356.992000000013</v>
      </c>
      <c r="AR333" s="30">
        <f>Lookups!$B$59*Inventory[[#This Row],[LnAcres]]</f>
        <v>-24051.387388882686</v>
      </c>
      <c r="AS333" s="30">
        <f>VLOOKUP(Inventory[[#This Row],[Qlty]],Lookups!$A$66:$E$79,2,FALSE)</f>
        <v>32917.849192000001</v>
      </c>
      <c r="AT333" s="30">
        <f>VLOOKUP(Inventory[[#This Row],[Cnd]],Lookups!$A$80:$E$88,2,FALSE)</f>
        <v>50438.379078999998</v>
      </c>
      <c r="AU333" s="30">
        <f>Inventory[[#This Row],[EffAge]]*Lookups!$B$65</f>
        <v>-1196.1521</v>
      </c>
      <c r="AV333" s="30">
        <f>Inventory[[#This Row],[MainFn]]*Lookups!$B$90</f>
        <v>112276.27362000001</v>
      </c>
      <c r="AW333" s="30">
        <f>Inventory[[#This Row],[UpprFn]]*Lookups!$B$91</f>
        <v>0</v>
      </c>
      <c r="AX333" s="30">
        <f>Inventory[[#This Row],[Bsmt Area]]*Lookups!$B$95</f>
        <v>0</v>
      </c>
      <c r="AY333" s="30">
        <f>Inventory[[#This Row],[AttGar]]*Lookups!$B$93</f>
        <v>24040.002111000002</v>
      </c>
      <c r="AZ333" s="30">
        <f>ROUND(Inventory[[#This Row],[25Det]],-2)</f>
        <v>0</v>
      </c>
      <c r="BA333" s="30">
        <f>ROUND(SUM(Inventory[[#This Row],[Mdl Qlty]:[Mdl Garage Area]])+Inventory[[#This Row],[Mdl Res Intercept]],-2)</f>
        <v>351000</v>
      </c>
      <c r="BB333" s="30">
        <f>ROUND(Inventory[[#This Row],[Mdl Land Intercept]]+Inventory[[#This Row],[Mdl LnAcres]],-2)</f>
        <v>64300</v>
      </c>
      <c r="BC333" s="30">
        <f>Inventory[[#This Row],[Unadj Res Value]]+Inventory[[#This Row],[Unadj Det Value]]+Inventory[[#This Row],[Unadj Land Value]]</f>
        <v>415300</v>
      </c>
      <c r="BD333" s="30">
        <f>(Inventory[[#This Row],[Unadj Total Value]]-Inventory[[#This Row],[24Final]])/Inventory[[#This Row],[24Final]]</f>
        <v>1.1939571150097465E-2</v>
      </c>
      <c r="BE333" s="30">
        <f>VLOOKUP(Inventory[[#This Row],[Nbhd]],Lookups!$M$3:$P$5,4,FALSE)</f>
        <v>0.99970000000000003</v>
      </c>
      <c r="BF333" s="30">
        <f>VLOOKUP(Inventory[[#This Row],[Qlty]],Lookups!$M$8:$P$22,4,FALSE)</f>
        <v>1.0019</v>
      </c>
      <c r="BG333" s="30">
        <f>VLOOKUP(Inventory[[#This Row],[Cnd]],Lookups!$R$8:$U$17,4,FALSE)</f>
        <v>1.0007999999999999</v>
      </c>
      <c r="BH333" s="30">
        <f>VLOOKUP(Inventory[[#This Row],[LivArea Range]],Lookups!$R$25:$U$43,4,FALSE)</f>
        <v>1.0007999999999999</v>
      </c>
      <c r="BI333" s="30">
        <f>VLOOKUP(Inventory[[#This Row],[Decade]],Lookups!$M$24:$P$40,4,FALSE)</f>
        <v>1.0024</v>
      </c>
      <c r="BJ333" s="30">
        <f>Inventory[[#This Row],[Nbhd Adj]]*0.95</f>
        <v>0.94971499999999998</v>
      </c>
      <c r="BK333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333" s="30">
        <f>ROUND((SUM(Inventory[[#This Row],[Mdl Qlty]:[Mdl Garage Area]])+Inventory[[#This Row],[Mdl Res Intercept]])*Inventory[[#This Row],[Res Adj ]],-2)</f>
        <v>333800</v>
      </c>
      <c r="BM333" s="30">
        <f>ROUND(Inventory[[#This Row],[25Det]]*Inventory[[#This Row],[Det/Nbhd Adj]],-2)</f>
        <v>0</v>
      </c>
      <c r="BN333" s="30">
        <f>Inventory[[#This Row],[Adjusted Res]]+Inventory[[#This Row],[Adj Det ]]</f>
        <v>333800</v>
      </c>
      <c r="BO333" s="30">
        <f>ROUND((Inventory[[#This Row],[Mdl Land Intercept]]+Inventory[[#This Row],[Mdl LnAcres]])*Inventory[[#This Row],[Det/Nbhd Adj]],-2)</f>
        <v>61100</v>
      </c>
      <c r="BP333" s="30">
        <f>Inventory[[#This Row],[Adjusted Impr Total]]+Inventory[[#This Row],[Adjusted Land Total]]</f>
        <v>394900</v>
      </c>
      <c r="BQ333" s="30">
        <f>IFERROR((Inventory[[#This Row],[Adjusted Impr Total]]-Inventory[[#This Row],[24Bldg]])/Inventory[[#This Row],[24Bldg]],0)</f>
        <v>-4.5194508009153318E-2</v>
      </c>
      <c r="BR333" s="43">
        <f>(Inventory[[#This Row],[Adjusted Land Total]]-Inventory[[#This Row],[24Lnd]])/Inventory[[#This Row],[24Lnd]]</f>
        <v>4.9342105263157892E-3</v>
      </c>
      <c r="BS333" s="43">
        <f>(Inventory[[#This Row],[Adjusted Total]]-Inventory[[#This Row],[24Final]])/Inventory[[#This Row],[24Final]]</f>
        <v>-3.7768031189083819E-2</v>
      </c>
    </row>
    <row r="334" spans="1:71">
      <c r="A334" s="30">
        <v>2025</v>
      </c>
      <c r="B334" s="31" t="s">
        <v>847</v>
      </c>
      <c r="C334" s="31">
        <f>LN(Inventory[[#This Row],[Acres]])</f>
        <v>-1.8325814637483102</v>
      </c>
      <c r="D334" s="30">
        <v>0.16</v>
      </c>
      <c r="E334" s="30">
        <v>7140</v>
      </c>
      <c r="F334" s="31" t="s">
        <v>505</v>
      </c>
      <c r="G334" s="31" t="s">
        <v>155</v>
      </c>
      <c r="H334" s="31" t="s">
        <v>5</v>
      </c>
      <c r="I334" s="31" t="s">
        <v>506</v>
      </c>
      <c r="J334" s="31" t="s">
        <v>507</v>
      </c>
      <c r="K334" s="31" t="s">
        <v>330</v>
      </c>
      <c r="L334" s="31" t="s">
        <v>21</v>
      </c>
      <c r="M334" s="31" t="s">
        <v>22</v>
      </c>
      <c r="N334" s="31">
        <v>10</v>
      </c>
      <c r="O334" s="31">
        <f>2024-Inventory[[#This Row],[YrBlt]]</f>
        <v>11</v>
      </c>
      <c r="P334" s="31">
        <f>2024-Inventory[[#This Row],[EffYr]]</f>
        <v>11</v>
      </c>
      <c r="Q334" s="30">
        <v>2013</v>
      </c>
      <c r="R334" s="30">
        <v>2013</v>
      </c>
      <c r="S334" s="30">
        <v>1826</v>
      </c>
      <c r="T334" s="32"/>
      <c r="U334" s="32"/>
      <c r="V334" s="32"/>
      <c r="W334" s="32"/>
      <c r="X334" s="32">
        <f>Inventory[[#This Row],[Bsmt Area]]-Inventory[[#This Row],[FnBsmt]]</f>
        <v>0</v>
      </c>
      <c r="Y334" s="32">
        <f>Inventory[[#This Row],[MainFn]]+Inventory[[#This Row],[UpprFn]]+Inventory[[#This Row],[AddFn]]+Inventory[[#This Row],[FnBsmt]]</f>
        <v>1826</v>
      </c>
      <c r="Z334" s="32">
        <v>2000</v>
      </c>
      <c r="AA334" s="31" t="s">
        <v>56</v>
      </c>
      <c r="AB334" s="38">
        <v>1</v>
      </c>
      <c r="AC334" s="38">
        <v>666</v>
      </c>
      <c r="AD334" s="32"/>
      <c r="AE334" s="32"/>
      <c r="AF334" s="32"/>
      <c r="AG334" s="32"/>
      <c r="AH334" s="32"/>
      <c r="AI334" s="30">
        <v>408453</v>
      </c>
      <c r="AJ334" s="30">
        <v>388030</v>
      </c>
      <c r="AK334" s="30">
        <v>0</v>
      </c>
      <c r="AL334" s="30">
        <v>0</v>
      </c>
      <c r="AM334" s="30">
        <v>60800</v>
      </c>
      <c r="AN334" s="30">
        <v>347400</v>
      </c>
      <c r="AO334" s="30">
        <v>408200</v>
      </c>
      <c r="AP334" s="30">
        <f>Lookups!$B$58*0.6</f>
        <v>132535.48800000001</v>
      </c>
      <c r="AQ334" s="30">
        <f>Lookups!$B$58*0.4</f>
        <v>88356.992000000013</v>
      </c>
      <c r="AR334" s="30">
        <f>Lookups!$B$59*Inventory[[#This Row],[LnAcres]]</f>
        <v>-24051.387388882686</v>
      </c>
      <c r="AS334" s="30">
        <f>VLOOKUP(Inventory[[#This Row],[Qlty]],Lookups!$A$66:$E$79,2,FALSE)</f>
        <v>32917.849192000001</v>
      </c>
      <c r="AT334" s="30">
        <f>VLOOKUP(Inventory[[#This Row],[Cnd]],Lookups!$A$80:$E$88,2,FALSE)</f>
        <v>50438.379078999998</v>
      </c>
      <c r="AU334" s="30">
        <f>Inventory[[#This Row],[EffAge]]*Lookups!$B$65</f>
        <v>-1196.1521</v>
      </c>
      <c r="AV334" s="30">
        <f>Inventory[[#This Row],[MainFn]]*Lookups!$B$90</f>
        <v>113961.35388000001</v>
      </c>
      <c r="AW334" s="30">
        <f>Inventory[[#This Row],[UpprFn]]*Lookups!$B$91</f>
        <v>0</v>
      </c>
      <c r="AX334" s="30">
        <f>Inventory[[#This Row],[Bsmt Area]]*Lookups!$B$95</f>
        <v>0</v>
      </c>
      <c r="AY334" s="30">
        <f>Inventory[[#This Row],[AttGar]]*Lookups!$B$93</f>
        <v>23510.486646000001</v>
      </c>
      <c r="AZ334" s="30">
        <f>ROUND(Inventory[[#This Row],[25Det]],-2)</f>
        <v>0</v>
      </c>
      <c r="BA334" s="30">
        <f>ROUND(SUM(Inventory[[#This Row],[Mdl Qlty]:[Mdl Garage Area]])+Inventory[[#This Row],[Mdl Res Intercept]],-2)</f>
        <v>352200</v>
      </c>
      <c r="BB334" s="30">
        <f>ROUND(Inventory[[#This Row],[Mdl Land Intercept]]+Inventory[[#This Row],[Mdl LnAcres]],-2)</f>
        <v>64300</v>
      </c>
      <c r="BC334" s="30">
        <f>Inventory[[#This Row],[Unadj Res Value]]+Inventory[[#This Row],[Unadj Det Value]]+Inventory[[#This Row],[Unadj Land Value]]</f>
        <v>416500</v>
      </c>
      <c r="BD334" s="30">
        <f>(Inventory[[#This Row],[Unadj Total Value]]-Inventory[[#This Row],[24Final]])/Inventory[[#This Row],[24Final]]</f>
        <v>2.0333170014698677E-2</v>
      </c>
      <c r="BE334" s="30">
        <f>VLOOKUP(Inventory[[#This Row],[Nbhd]],Lookups!$M$3:$P$5,4,FALSE)</f>
        <v>0.99970000000000003</v>
      </c>
      <c r="BF334" s="30">
        <f>VLOOKUP(Inventory[[#This Row],[Qlty]],Lookups!$M$8:$P$22,4,FALSE)</f>
        <v>1.0019</v>
      </c>
      <c r="BG334" s="30">
        <f>VLOOKUP(Inventory[[#This Row],[Cnd]],Lookups!$R$8:$U$17,4,FALSE)</f>
        <v>1.0007999999999999</v>
      </c>
      <c r="BH334" s="30">
        <f>VLOOKUP(Inventory[[#This Row],[LivArea Range]],Lookups!$R$25:$U$43,4,FALSE)</f>
        <v>1.0007999999999999</v>
      </c>
      <c r="BI334" s="30">
        <f>VLOOKUP(Inventory[[#This Row],[Decade]],Lookups!$M$24:$P$40,4,FALSE)</f>
        <v>1.0024</v>
      </c>
      <c r="BJ334" s="30">
        <f>Inventory[[#This Row],[Nbhd Adj]]*0.95</f>
        <v>0.94971499999999998</v>
      </c>
      <c r="BK334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334" s="30">
        <f>ROUND((SUM(Inventory[[#This Row],[Mdl Qlty]:[Mdl Garage Area]])+Inventory[[#This Row],[Mdl Res Intercept]])*Inventory[[#This Row],[Res Adj ]],-2)</f>
        <v>334900</v>
      </c>
      <c r="BM334" s="30">
        <f>ROUND(Inventory[[#This Row],[25Det]]*Inventory[[#This Row],[Det/Nbhd Adj]],-2)</f>
        <v>0</v>
      </c>
      <c r="BN334" s="30">
        <f>Inventory[[#This Row],[Adjusted Res]]+Inventory[[#This Row],[Adj Det ]]</f>
        <v>334900</v>
      </c>
      <c r="BO334" s="30">
        <f>ROUND((Inventory[[#This Row],[Mdl Land Intercept]]+Inventory[[#This Row],[Mdl LnAcres]])*Inventory[[#This Row],[Det/Nbhd Adj]],-2)</f>
        <v>61100</v>
      </c>
      <c r="BP334" s="30">
        <f>Inventory[[#This Row],[Adjusted Impr Total]]+Inventory[[#This Row],[Adjusted Land Total]]</f>
        <v>396000</v>
      </c>
      <c r="BQ334" s="30">
        <f>IFERROR((Inventory[[#This Row],[Adjusted Impr Total]]-Inventory[[#This Row],[24Bldg]])/Inventory[[#This Row],[24Bldg]],0)</f>
        <v>-3.5981577432354632E-2</v>
      </c>
      <c r="BR334" s="43">
        <f>(Inventory[[#This Row],[Adjusted Land Total]]-Inventory[[#This Row],[24Lnd]])/Inventory[[#This Row],[24Lnd]]</f>
        <v>4.9342105263157892E-3</v>
      </c>
      <c r="BS334" s="43">
        <f>(Inventory[[#This Row],[Adjusted Total]]-Inventory[[#This Row],[24Final]])/Inventory[[#This Row],[24Final]]</f>
        <v>-2.9887310142087214E-2</v>
      </c>
    </row>
    <row r="335" spans="1:71">
      <c r="A335" s="30">
        <v>2025</v>
      </c>
      <c r="B335" s="31" t="s">
        <v>848</v>
      </c>
      <c r="C335" s="31">
        <f>LN(Inventory[[#This Row],[Acres]])</f>
        <v>-1.8325814637483102</v>
      </c>
      <c r="D335" s="30">
        <v>0.16</v>
      </c>
      <c r="E335" s="30">
        <v>7066</v>
      </c>
      <c r="F335" s="31" t="s">
        <v>505</v>
      </c>
      <c r="G335" s="31" t="s">
        <v>155</v>
      </c>
      <c r="H335" s="31" t="s">
        <v>5</v>
      </c>
      <c r="I335" s="31" t="s">
        <v>506</v>
      </c>
      <c r="J335" s="31" t="s">
        <v>507</v>
      </c>
      <c r="K335" s="31" t="s">
        <v>330</v>
      </c>
      <c r="L335" s="31" t="s">
        <v>21</v>
      </c>
      <c r="M335" s="31" t="s">
        <v>22</v>
      </c>
      <c r="N335" s="31">
        <v>10</v>
      </c>
      <c r="O335" s="31">
        <f>2024-Inventory[[#This Row],[YrBlt]]</f>
        <v>11</v>
      </c>
      <c r="P335" s="31">
        <f>2024-Inventory[[#This Row],[EffYr]]</f>
        <v>11</v>
      </c>
      <c r="Q335" s="30">
        <v>2013</v>
      </c>
      <c r="R335" s="30">
        <v>2013</v>
      </c>
      <c r="S335" s="30">
        <v>1126</v>
      </c>
      <c r="T335" s="38">
        <v>1126</v>
      </c>
      <c r="U335" s="32"/>
      <c r="V335" s="32"/>
      <c r="W335" s="32"/>
      <c r="X335" s="32">
        <f>Inventory[[#This Row],[Bsmt Area]]-Inventory[[#This Row],[FnBsmt]]</f>
        <v>0</v>
      </c>
      <c r="Y335" s="32">
        <f>Inventory[[#This Row],[MainFn]]+Inventory[[#This Row],[UpprFn]]+Inventory[[#This Row],[AddFn]]+Inventory[[#This Row],[FnBsmt]]</f>
        <v>2252</v>
      </c>
      <c r="Z335" s="32">
        <v>2500</v>
      </c>
      <c r="AA335" s="31" t="s">
        <v>56</v>
      </c>
      <c r="AB335" s="38">
        <v>1</v>
      </c>
      <c r="AC335" s="30">
        <v>680</v>
      </c>
      <c r="AD335" s="32"/>
      <c r="AE335" s="32"/>
      <c r="AF335" s="32"/>
      <c r="AG335" s="32"/>
      <c r="AH335" s="32"/>
      <c r="AI335" s="30">
        <v>462143</v>
      </c>
      <c r="AJ335" s="30">
        <v>439036</v>
      </c>
      <c r="AK335" s="30">
        <v>0</v>
      </c>
      <c r="AL335" s="30">
        <v>0</v>
      </c>
      <c r="AM335" s="30">
        <v>60800</v>
      </c>
      <c r="AN335" s="30">
        <v>370500</v>
      </c>
      <c r="AO335" s="30">
        <v>431300</v>
      </c>
      <c r="AP335" s="30">
        <f>Lookups!$B$58*0.6</f>
        <v>132535.48800000001</v>
      </c>
      <c r="AQ335" s="30">
        <f>Lookups!$B$58*0.4</f>
        <v>88356.992000000013</v>
      </c>
      <c r="AR335" s="30">
        <f>Lookups!$B$59*Inventory[[#This Row],[LnAcres]]</f>
        <v>-24051.387388882686</v>
      </c>
      <c r="AS335" s="30">
        <f>VLOOKUP(Inventory[[#This Row],[Qlty]],Lookups!$A$66:$E$79,2,FALSE)</f>
        <v>32917.849192000001</v>
      </c>
      <c r="AT335" s="30">
        <f>VLOOKUP(Inventory[[#This Row],[Cnd]],Lookups!$A$80:$E$88,2,FALSE)</f>
        <v>50438.379078999998</v>
      </c>
      <c r="AU335" s="30">
        <f>Inventory[[#This Row],[EffAge]]*Lookups!$B$65</f>
        <v>-1196.1521</v>
      </c>
      <c r="AV335" s="30">
        <f>Inventory[[#This Row],[MainFn]]*Lookups!$B$90</f>
        <v>70274.087880000006</v>
      </c>
      <c r="AW335" s="30">
        <f>Inventory[[#This Row],[UpprFn]]*Lookups!$B$91</f>
        <v>67087.511257999999</v>
      </c>
      <c r="AX335" s="30">
        <f>Inventory[[#This Row],[Bsmt Area]]*Lookups!$B$95</f>
        <v>0</v>
      </c>
      <c r="AY335" s="30">
        <f>Inventory[[#This Row],[AttGar]]*Lookups!$B$93</f>
        <v>24004.701080000003</v>
      </c>
      <c r="AZ335" s="30">
        <f>ROUND(Inventory[[#This Row],[25Det]],-2)</f>
        <v>0</v>
      </c>
      <c r="BA335" s="30">
        <f>ROUND(SUM(Inventory[[#This Row],[Mdl Qlty]:[Mdl Garage Area]])+Inventory[[#This Row],[Mdl Res Intercept]],-2)</f>
        <v>376100</v>
      </c>
      <c r="BB335" s="30">
        <f>ROUND(Inventory[[#This Row],[Mdl Land Intercept]]+Inventory[[#This Row],[Mdl LnAcres]],-2)</f>
        <v>64300</v>
      </c>
      <c r="BC335" s="30">
        <f>Inventory[[#This Row],[Unadj Res Value]]+Inventory[[#This Row],[Unadj Det Value]]+Inventory[[#This Row],[Unadj Land Value]]</f>
        <v>440400</v>
      </c>
      <c r="BD335" s="30">
        <f>(Inventory[[#This Row],[Unadj Total Value]]-Inventory[[#This Row],[24Final]])/Inventory[[#This Row],[24Final]]</f>
        <v>2.1099003014143289E-2</v>
      </c>
      <c r="BE335" s="30">
        <f>VLOOKUP(Inventory[[#This Row],[Nbhd]],Lookups!$M$3:$P$5,4,FALSE)</f>
        <v>0.99970000000000003</v>
      </c>
      <c r="BF335" s="30">
        <f>VLOOKUP(Inventory[[#This Row],[Qlty]],Lookups!$M$8:$P$22,4,FALSE)</f>
        <v>1.0019</v>
      </c>
      <c r="BG335" s="30">
        <f>VLOOKUP(Inventory[[#This Row],[Cnd]],Lookups!$R$8:$U$17,4,FALSE)</f>
        <v>1.0007999999999999</v>
      </c>
      <c r="BH335" s="30">
        <f>VLOOKUP(Inventory[[#This Row],[LivArea Range]],Lookups!$R$25:$U$43,4,FALSE)</f>
        <v>1.0008999999999999</v>
      </c>
      <c r="BI335" s="30">
        <f>VLOOKUP(Inventory[[#This Row],[Decade]],Lookups!$M$24:$P$40,4,FALSE)</f>
        <v>1.0024</v>
      </c>
      <c r="BJ335" s="30">
        <f>Inventory[[#This Row],[Nbhd Adj]]*0.95</f>
        <v>0.94971499999999998</v>
      </c>
      <c r="BK335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335" s="30">
        <f>ROUND((SUM(Inventory[[#This Row],[Mdl Qlty]:[Mdl Garage Area]])+Inventory[[#This Row],[Mdl Res Intercept]])*Inventory[[#This Row],[Res Adj ]],-2)</f>
        <v>357700</v>
      </c>
      <c r="BM335" s="30">
        <f>ROUND(Inventory[[#This Row],[25Det]]*Inventory[[#This Row],[Det/Nbhd Adj]],-2)</f>
        <v>0</v>
      </c>
      <c r="BN335" s="30">
        <f>Inventory[[#This Row],[Adjusted Res]]+Inventory[[#This Row],[Adj Det ]]</f>
        <v>357700</v>
      </c>
      <c r="BO335" s="30">
        <f>ROUND((Inventory[[#This Row],[Mdl Land Intercept]]+Inventory[[#This Row],[Mdl LnAcres]])*Inventory[[#This Row],[Det/Nbhd Adj]],-2)</f>
        <v>61100</v>
      </c>
      <c r="BP335" s="30">
        <f>Inventory[[#This Row],[Adjusted Impr Total]]+Inventory[[#This Row],[Adjusted Land Total]]</f>
        <v>418800</v>
      </c>
      <c r="BQ335" s="30">
        <f>IFERROR((Inventory[[#This Row],[Adjusted Impr Total]]-Inventory[[#This Row],[24Bldg]])/Inventory[[#This Row],[24Bldg]],0)</f>
        <v>-3.4547908232118757E-2</v>
      </c>
      <c r="BR335" s="43">
        <f>(Inventory[[#This Row],[Adjusted Land Total]]-Inventory[[#This Row],[24Lnd]])/Inventory[[#This Row],[24Lnd]]</f>
        <v>4.9342105263157892E-3</v>
      </c>
      <c r="BS335" s="43">
        <f>(Inventory[[#This Row],[Adjusted Total]]-Inventory[[#This Row],[24Final]])/Inventory[[#This Row],[24Final]]</f>
        <v>-2.8982146997449571E-2</v>
      </c>
    </row>
    <row r="336" spans="1:71">
      <c r="A336" s="30">
        <v>2025</v>
      </c>
      <c r="B336" s="31" t="s">
        <v>849</v>
      </c>
      <c r="C336" s="31">
        <f>LN(Inventory[[#This Row],[Acres]])</f>
        <v>-1.8325814637483102</v>
      </c>
      <c r="D336" s="30">
        <v>0.16</v>
      </c>
      <c r="E336" s="30">
        <v>7139</v>
      </c>
      <c r="F336" s="31" t="s">
        <v>505</v>
      </c>
      <c r="G336" s="31" t="s">
        <v>155</v>
      </c>
      <c r="H336" s="31" t="s">
        <v>5</v>
      </c>
      <c r="I336" s="31" t="s">
        <v>506</v>
      </c>
      <c r="J336" s="31" t="s">
        <v>507</v>
      </c>
      <c r="K336" s="31" t="s">
        <v>330</v>
      </c>
      <c r="L336" s="31" t="s">
        <v>19</v>
      </c>
      <c r="M336" s="31" t="s">
        <v>22</v>
      </c>
      <c r="N336" s="31">
        <v>10</v>
      </c>
      <c r="O336" s="31">
        <f>2024-Inventory[[#This Row],[YrBlt]]</f>
        <v>11</v>
      </c>
      <c r="P336" s="31">
        <f>2024-Inventory[[#This Row],[EffYr]]</f>
        <v>11</v>
      </c>
      <c r="Q336" s="30">
        <v>2013</v>
      </c>
      <c r="R336" s="30">
        <v>2013</v>
      </c>
      <c r="S336" s="30">
        <v>1388</v>
      </c>
      <c r="T336" s="32"/>
      <c r="U336" s="32"/>
      <c r="V336" s="32"/>
      <c r="W336" s="32"/>
      <c r="X336" s="32">
        <f>Inventory[[#This Row],[Bsmt Area]]-Inventory[[#This Row],[FnBsmt]]</f>
        <v>0</v>
      </c>
      <c r="Y336" s="32">
        <f>Inventory[[#This Row],[MainFn]]+Inventory[[#This Row],[UpprFn]]+Inventory[[#This Row],[AddFn]]+Inventory[[#This Row],[FnBsmt]]</f>
        <v>1388</v>
      </c>
      <c r="Z336" s="32">
        <v>1500</v>
      </c>
      <c r="AA336" s="31" t="s">
        <v>56</v>
      </c>
      <c r="AB336" s="32"/>
      <c r="AC336" s="30">
        <v>404</v>
      </c>
      <c r="AD336" s="32"/>
      <c r="AE336" s="32"/>
      <c r="AF336" s="32"/>
      <c r="AG336" s="32"/>
      <c r="AH336" s="32"/>
      <c r="AI336" s="30">
        <v>276487</v>
      </c>
      <c r="AJ336" s="30">
        <v>262663</v>
      </c>
      <c r="AK336" s="30">
        <v>0</v>
      </c>
      <c r="AL336" s="30">
        <v>0</v>
      </c>
      <c r="AM336" s="30">
        <v>60800</v>
      </c>
      <c r="AN336" s="30">
        <v>312800</v>
      </c>
      <c r="AO336" s="30">
        <v>373600</v>
      </c>
      <c r="AP336" s="30">
        <f>Lookups!$B$58*0.6</f>
        <v>132535.48800000001</v>
      </c>
      <c r="AQ336" s="30">
        <f>Lookups!$B$58*0.4</f>
        <v>88356.992000000013</v>
      </c>
      <c r="AR336" s="30">
        <f>Lookups!$B$59*Inventory[[#This Row],[LnAcres]]</f>
        <v>-24051.387388882686</v>
      </c>
      <c r="AS336" s="30">
        <f>VLOOKUP(Inventory[[#This Row],[Qlty]],Lookups!$A$66:$E$79,2,FALSE)</f>
        <v>37154.252388000001</v>
      </c>
      <c r="AT336" s="30">
        <f>VLOOKUP(Inventory[[#This Row],[Cnd]],Lookups!$A$80:$E$88,2,FALSE)</f>
        <v>50438.379078999998</v>
      </c>
      <c r="AU336" s="30">
        <f>Inventory[[#This Row],[EffAge]]*Lookups!$B$65</f>
        <v>-1196.1521</v>
      </c>
      <c r="AV336" s="30">
        <f>Inventory[[#This Row],[MainFn]]*Lookups!$B$90</f>
        <v>86625.607440000007</v>
      </c>
      <c r="AW336" s="30">
        <f>Inventory[[#This Row],[UpprFn]]*Lookups!$B$91</f>
        <v>0</v>
      </c>
      <c r="AX336" s="30">
        <f>Inventory[[#This Row],[Bsmt Area]]*Lookups!$B$95</f>
        <v>0</v>
      </c>
      <c r="AY336" s="30">
        <f>Inventory[[#This Row],[AttGar]]*Lookups!$B$93</f>
        <v>14261.616524000001</v>
      </c>
      <c r="AZ336" s="30">
        <f>ROUND(Inventory[[#This Row],[25Det]],-2)</f>
        <v>0</v>
      </c>
      <c r="BA336" s="30">
        <f>ROUND(SUM(Inventory[[#This Row],[Mdl Qlty]:[Mdl Garage Area]])+Inventory[[#This Row],[Mdl Res Intercept]],-2)</f>
        <v>319800</v>
      </c>
      <c r="BB336" s="30">
        <f>ROUND(Inventory[[#This Row],[Mdl Land Intercept]]+Inventory[[#This Row],[Mdl LnAcres]],-2)</f>
        <v>64300</v>
      </c>
      <c r="BC336" s="30">
        <f>Inventory[[#This Row],[Unadj Res Value]]+Inventory[[#This Row],[Unadj Det Value]]+Inventory[[#This Row],[Unadj Land Value]]</f>
        <v>384100</v>
      </c>
      <c r="BD336" s="30">
        <f>(Inventory[[#This Row],[Unadj Total Value]]-Inventory[[#This Row],[24Final]])/Inventory[[#This Row],[24Final]]</f>
        <v>2.8104925053533191E-2</v>
      </c>
      <c r="BE336" s="30">
        <f>VLOOKUP(Inventory[[#This Row],[Nbhd]],Lookups!$M$3:$P$5,4,FALSE)</f>
        <v>0.99970000000000003</v>
      </c>
      <c r="BF336" s="30">
        <f>VLOOKUP(Inventory[[#This Row],[Qlty]],Lookups!$M$8:$P$22,4,FALSE)</f>
        <v>0.99819999999999998</v>
      </c>
      <c r="BG336" s="30">
        <f>VLOOKUP(Inventory[[#This Row],[Cnd]],Lookups!$R$8:$U$17,4,FALSE)</f>
        <v>1.0007999999999999</v>
      </c>
      <c r="BH336" s="30">
        <f>VLOOKUP(Inventory[[#This Row],[LivArea Range]],Lookups!$R$25:$U$43,4,FALSE)</f>
        <v>0.99519999999999997</v>
      </c>
      <c r="BI336" s="30">
        <f>VLOOKUP(Inventory[[#This Row],[Decade]],Lookups!$M$24:$P$40,4,FALSE)</f>
        <v>1.0024</v>
      </c>
      <c r="BJ336" s="30">
        <f>Inventory[[#This Row],[Nbhd Adj]]*0.95</f>
        <v>0.94971499999999998</v>
      </c>
      <c r="BK336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336" s="30">
        <f>ROUND((SUM(Inventory[[#This Row],[Mdl Qlty]:[Mdl Garage Area]])+Inventory[[#This Row],[Mdl Res Intercept]])*Inventory[[#This Row],[Res Adj ]],-2)</f>
        <v>303600</v>
      </c>
      <c r="BM336" s="30">
        <f>ROUND(Inventory[[#This Row],[25Det]]*Inventory[[#This Row],[Det/Nbhd Adj]],-2)</f>
        <v>0</v>
      </c>
      <c r="BN336" s="30">
        <f>Inventory[[#This Row],[Adjusted Res]]+Inventory[[#This Row],[Adj Det ]]</f>
        <v>303600</v>
      </c>
      <c r="BO336" s="30">
        <f>ROUND((Inventory[[#This Row],[Mdl Land Intercept]]+Inventory[[#This Row],[Mdl LnAcres]])*Inventory[[#This Row],[Det/Nbhd Adj]],-2)</f>
        <v>61100</v>
      </c>
      <c r="BP336" s="30">
        <f>Inventory[[#This Row],[Adjusted Impr Total]]+Inventory[[#This Row],[Adjusted Land Total]]</f>
        <v>364700</v>
      </c>
      <c r="BQ336" s="30">
        <f>IFERROR((Inventory[[#This Row],[Adjusted Impr Total]]-Inventory[[#This Row],[24Bldg]])/Inventory[[#This Row],[24Bldg]],0)</f>
        <v>-2.9411764705882353E-2</v>
      </c>
      <c r="BR336" s="43">
        <f>(Inventory[[#This Row],[Adjusted Land Total]]-Inventory[[#This Row],[24Lnd]])/Inventory[[#This Row],[24Lnd]]</f>
        <v>4.9342105263157892E-3</v>
      </c>
      <c r="BS336" s="43">
        <f>(Inventory[[#This Row],[Adjusted Total]]-Inventory[[#This Row],[24Final]])/Inventory[[#This Row],[24Final]]</f>
        <v>-2.3822269807280513E-2</v>
      </c>
    </row>
    <row r="337" spans="1:71">
      <c r="A337" s="30">
        <v>2025</v>
      </c>
      <c r="B337" s="31" t="s">
        <v>850</v>
      </c>
      <c r="C337" s="31">
        <f>LN(Inventory[[#This Row],[Acres]])</f>
        <v>-1.8325814637483102</v>
      </c>
      <c r="D337" s="30">
        <v>0.16</v>
      </c>
      <c r="E337" s="30">
        <v>7004</v>
      </c>
      <c r="F337" s="31" t="s">
        <v>505</v>
      </c>
      <c r="G337" s="31" t="s">
        <v>155</v>
      </c>
      <c r="H337" s="31" t="s">
        <v>5</v>
      </c>
      <c r="I337" s="31" t="s">
        <v>506</v>
      </c>
      <c r="J337" s="31" t="s">
        <v>507</v>
      </c>
      <c r="K337" s="31" t="s">
        <v>330</v>
      </c>
      <c r="L337" s="31" t="s">
        <v>21</v>
      </c>
      <c r="M337" s="31" t="s">
        <v>22</v>
      </c>
      <c r="N337" s="31">
        <v>10</v>
      </c>
      <c r="O337" s="31">
        <f>2024-Inventory[[#This Row],[YrBlt]]</f>
        <v>11</v>
      </c>
      <c r="P337" s="31">
        <f>2024-Inventory[[#This Row],[EffYr]]</f>
        <v>11</v>
      </c>
      <c r="Q337" s="30">
        <v>2013</v>
      </c>
      <c r="R337" s="30">
        <v>2013</v>
      </c>
      <c r="S337" s="30">
        <v>1973</v>
      </c>
      <c r="T337" s="32"/>
      <c r="U337" s="32"/>
      <c r="V337" s="32"/>
      <c r="W337" s="32"/>
      <c r="X337" s="32">
        <f>Inventory[[#This Row],[Bsmt Area]]-Inventory[[#This Row],[FnBsmt]]</f>
        <v>0</v>
      </c>
      <c r="Y337" s="32">
        <f>Inventory[[#This Row],[MainFn]]+Inventory[[#This Row],[UpprFn]]+Inventory[[#This Row],[AddFn]]+Inventory[[#This Row],[FnBsmt]]</f>
        <v>1973</v>
      </c>
      <c r="Z337" s="32">
        <v>2000</v>
      </c>
      <c r="AA337" s="31" t="s">
        <v>56</v>
      </c>
      <c r="AB337" s="32"/>
      <c r="AC337" s="30">
        <v>429</v>
      </c>
      <c r="AD337" s="32"/>
      <c r="AE337" s="32"/>
      <c r="AF337" s="32"/>
      <c r="AG337" s="32"/>
      <c r="AH337" s="32"/>
      <c r="AI337" s="30">
        <v>415343</v>
      </c>
      <c r="AJ337" s="30">
        <v>394576</v>
      </c>
      <c r="AK337" s="30">
        <v>0</v>
      </c>
      <c r="AL337" s="30">
        <v>0</v>
      </c>
      <c r="AM337" s="30">
        <v>60800</v>
      </c>
      <c r="AN337" s="30">
        <v>335500</v>
      </c>
      <c r="AO337" s="30">
        <v>396300</v>
      </c>
      <c r="AP337" s="30">
        <f>Lookups!$B$58*0.6</f>
        <v>132535.48800000001</v>
      </c>
      <c r="AQ337" s="30">
        <f>Lookups!$B$58*0.4</f>
        <v>88356.992000000013</v>
      </c>
      <c r="AR337" s="30">
        <f>Lookups!$B$59*Inventory[[#This Row],[LnAcres]]</f>
        <v>-24051.387388882686</v>
      </c>
      <c r="AS337" s="30">
        <f>VLOOKUP(Inventory[[#This Row],[Qlty]],Lookups!$A$66:$E$79,2,FALSE)</f>
        <v>32917.849192000001</v>
      </c>
      <c r="AT337" s="30">
        <f>VLOOKUP(Inventory[[#This Row],[Cnd]],Lookups!$A$80:$E$88,2,FALSE)</f>
        <v>50438.379078999998</v>
      </c>
      <c r="AU337" s="30">
        <f>Inventory[[#This Row],[EffAge]]*Lookups!$B$65</f>
        <v>-1196.1521</v>
      </c>
      <c r="AV337" s="30">
        <f>Inventory[[#This Row],[MainFn]]*Lookups!$B$90</f>
        <v>123135.67974000001</v>
      </c>
      <c r="AW337" s="30">
        <f>Inventory[[#This Row],[UpprFn]]*Lookups!$B$91</f>
        <v>0</v>
      </c>
      <c r="AX337" s="30">
        <f>Inventory[[#This Row],[Bsmt Area]]*Lookups!$B$95</f>
        <v>0</v>
      </c>
      <c r="AY337" s="30">
        <f>Inventory[[#This Row],[AttGar]]*Lookups!$B$93</f>
        <v>15144.142299000001</v>
      </c>
      <c r="AZ337" s="30">
        <f>ROUND(Inventory[[#This Row],[25Det]],-2)</f>
        <v>0</v>
      </c>
      <c r="BA337" s="30">
        <f>ROUND(SUM(Inventory[[#This Row],[Mdl Qlty]:[Mdl Garage Area]])+Inventory[[#This Row],[Mdl Res Intercept]],-2)</f>
        <v>353000</v>
      </c>
      <c r="BB337" s="30">
        <f>ROUND(Inventory[[#This Row],[Mdl Land Intercept]]+Inventory[[#This Row],[Mdl LnAcres]],-2)</f>
        <v>64300</v>
      </c>
      <c r="BC337" s="30">
        <f>Inventory[[#This Row],[Unadj Res Value]]+Inventory[[#This Row],[Unadj Det Value]]+Inventory[[#This Row],[Unadj Land Value]]</f>
        <v>417300</v>
      </c>
      <c r="BD337" s="30">
        <f>(Inventory[[#This Row],[Unadj Total Value]]-Inventory[[#This Row],[24Final]])/Inventory[[#This Row],[24Final]]</f>
        <v>5.299015897047691E-2</v>
      </c>
      <c r="BE337" s="30">
        <f>VLOOKUP(Inventory[[#This Row],[Nbhd]],Lookups!$M$3:$P$5,4,FALSE)</f>
        <v>0.99970000000000003</v>
      </c>
      <c r="BF337" s="30">
        <f>VLOOKUP(Inventory[[#This Row],[Qlty]],Lookups!$M$8:$P$22,4,FALSE)</f>
        <v>1.0019</v>
      </c>
      <c r="BG337" s="30">
        <f>VLOOKUP(Inventory[[#This Row],[Cnd]],Lookups!$R$8:$U$17,4,FALSE)</f>
        <v>1.0007999999999999</v>
      </c>
      <c r="BH337" s="30">
        <f>VLOOKUP(Inventory[[#This Row],[LivArea Range]],Lookups!$R$25:$U$43,4,FALSE)</f>
        <v>1.0007999999999999</v>
      </c>
      <c r="BI337" s="30">
        <f>VLOOKUP(Inventory[[#This Row],[Decade]],Lookups!$M$24:$P$40,4,FALSE)</f>
        <v>1.0024</v>
      </c>
      <c r="BJ337" s="30">
        <f>Inventory[[#This Row],[Nbhd Adj]]*0.95</f>
        <v>0.94971499999999998</v>
      </c>
      <c r="BK337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337" s="30">
        <f>ROUND((SUM(Inventory[[#This Row],[Mdl Qlty]:[Mdl Garage Area]])+Inventory[[#This Row],[Mdl Res Intercept]])*Inventory[[#This Row],[Res Adj ]],-2)</f>
        <v>335700</v>
      </c>
      <c r="BM337" s="30">
        <f>ROUND(Inventory[[#This Row],[25Det]]*Inventory[[#This Row],[Det/Nbhd Adj]],-2)</f>
        <v>0</v>
      </c>
      <c r="BN337" s="30">
        <f>Inventory[[#This Row],[Adjusted Res]]+Inventory[[#This Row],[Adj Det ]]</f>
        <v>335700</v>
      </c>
      <c r="BO337" s="30">
        <f>ROUND((Inventory[[#This Row],[Mdl Land Intercept]]+Inventory[[#This Row],[Mdl LnAcres]])*Inventory[[#This Row],[Det/Nbhd Adj]],-2)</f>
        <v>61100</v>
      </c>
      <c r="BP337" s="30">
        <f>Inventory[[#This Row],[Adjusted Impr Total]]+Inventory[[#This Row],[Adjusted Land Total]]</f>
        <v>396800</v>
      </c>
      <c r="BQ337" s="30">
        <f>IFERROR((Inventory[[#This Row],[Adjusted Impr Total]]-Inventory[[#This Row],[24Bldg]])/Inventory[[#This Row],[24Bldg]],0)</f>
        <v>5.9612518628912071E-4</v>
      </c>
      <c r="BR337" s="43">
        <f>(Inventory[[#This Row],[Adjusted Land Total]]-Inventory[[#This Row],[24Lnd]])/Inventory[[#This Row],[24Lnd]]</f>
        <v>4.9342105263157892E-3</v>
      </c>
      <c r="BS337" s="43">
        <f>(Inventory[[#This Row],[Adjusted Total]]-Inventory[[#This Row],[24Final]])/Inventory[[#This Row],[24Final]]</f>
        <v>1.2616704516780217E-3</v>
      </c>
    </row>
    <row r="338" spans="1:71">
      <c r="A338" s="30">
        <v>2025</v>
      </c>
      <c r="B338" s="31" t="s">
        <v>851</v>
      </c>
      <c r="C338" s="31">
        <f>LN(Inventory[[#This Row],[Acres]])</f>
        <v>-1.8325814637483102</v>
      </c>
      <c r="D338" s="30">
        <v>0.16</v>
      </c>
      <c r="E338" s="30">
        <v>7318</v>
      </c>
      <c r="F338" s="31" t="s">
        <v>505</v>
      </c>
      <c r="G338" s="31" t="s">
        <v>155</v>
      </c>
      <c r="H338" s="31" t="s">
        <v>5</v>
      </c>
      <c r="I338" s="31" t="s">
        <v>506</v>
      </c>
      <c r="J338" s="31" t="s">
        <v>507</v>
      </c>
      <c r="K338" s="31" t="s">
        <v>330</v>
      </c>
      <c r="L338" s="31" t="s">
        <v>21</v>
      </c>
      <c r="M338" s="31" t="s">
        <v>22</v>
      </c>
      <c r="N338" s="31">
        <v>10</v>
      </c>
      <c r="O338" s="31">
        <f>2024-Inventory[[#This Row],[YrBlt]]</f>
        <v>11</v>
      </c>
      <c r="P338" s="31">
        <f>2024-Inventory[[#This Row],[EffYr]]</f>
        <v>11</v>
      </c>
      <c r="Q338" s="30">
        <v>2013</v>
      </c>
      <c r="R338" s="30">
        <v>2013</v>
      </c>
      <c r="S338" s="30">
        <v>1980</v>
      </c>
      <c r="T338" s="32"/>
      <c r="U338" s="32"/>
      <c r="V338" s="32"/>
      <c r="W338" s="32"/>
      <c r="X338" s="32">
        <f>Inventory[[#This Row],[Bsmt Area]]-Inventory[[#This Row],[FnBsmt]]</f>
        <v>0</v>
      </c>
      <c r="Y338" s="32">
        <f>Inventory[[#This Row],[MainFn]]+Inventory[[#This Row],[UpprFn]]+Inventory[[#This Row],[AddFn]]+Inventory[[#This Row],[FnBsmt]]</f>
        <v>1980</v>
      </c>
      <c r="Z338" s="32">
        <v>2000</v>
      </c>
      <c r="AA338" s="31" t="s">
        <v>56</v>
      </c>
      <c r="AB338" s="32"/>
      <c r="AC338" s="30">
        <v>427</v>
      </c>
      <c r="AD338" s="32"/>
      <c r="AE338" s="32"/>
      <c r="AF338" s="32"/>
      <c r="AG338" s="32"/>
      <c r="AH338" s="32"/>
      <c r="AI338" s="30">
        <v>412059</v>
      </c>
      <c r="AJ338" s="30">
        <v>391456</v>
      </c>
      <c r="AK338" s="30">
        <v>0</v>
      </c>
      <c r="AL338" s="30">
        <v>0</v>
      </c>
      <c r="AM338" s="30">
        <v>60800</v>
      </c>
      <c r="AN338" s="30">
        <v>335100</v>
      </c>
      <c r="AO338" s="30">
        <v>395900</v>
      </c>
      <c r="AP338" s="30">
        <f>Lookups!$B$58*0.6</f>
        <v>132535.48800000001</v>
      </c>
      <c r="AQ338" s="30">
        <f>Lookups!$B$58*0.4</f>
        <v>88356.992000000013</v>
      </c>
      <c r="AR338" s="30">
        <f>Lookups!$B$59*Inventory[[#This Row],[LnAcres]]</f>
        <v>-24051.387388882686</v>
      </c>
      <c r="AS338" s="30">
        <f>VLOOKUP(Inventory[[#This Row],[Qlty]],Lookups!$A$66:$E$79,2,FALSE)</f>
        <v>32917.849192000001</v>
      </c>
      <c r="AT338" s="30">
        <f>VLOOKUP(Inventory[[#This Row],[Cnd]],Lookups!$A$80:$E$88,2,FALSE)</f>
        <v>50438.379078999998</v>
      </c>
      <c r="AU338" s="30">
        <f>Inventory[[#This Row],[EffAge]]*Lookups!$B$65</f>
        <v>-1196.1521</v>
      </c>
      <c r="AV338" s="30">
        <f>Inventory[[#This Row],[MainFn]]*Lookups!$B$90</f>
        <v>123572.5524</v>
      </c>
      <c r="AW338" s="30">
        <f>Inventory[[#This Row],[UpprFn]]*Lookups!$B$91</f>
        <v>0</v>
      </c>
      <c r="AX338" s="30">
        <f>Inventory[[#This Row],[Bsmt Area]]*Lookups!$B$95</f>
        <v>0</v>
      </c>
      <c r="AY338" s="30">
        <f>Inventory[[#This Row],[AttGar]]*Lookups!$B$93</f>
        <v>15073.540237000001</v>
      </c>
      <c r="AZ338" s="30">
        <f>ROUND(Inventory[[#This Row],[25Det]],-2)</f>
        <v>0</v>
      </c>
      <c r="BA338" s="30">
        <f>ROUND(SUM(Inventory[[#This Row],[Mdl Qlty]:[Mdl Garage Area]])+Inventory[[#This Row],[Mdl Res Intercept]],-2)</f>
        <v>353300</v>
      </c>
      <c r="BB338" s="30">
        <f>ROUND(Inventory[[#This Row],[Mdl Land Intercept]]+Inventory[[#This Row],[Mdl LnAcres]],-2)</f>
        <v>64300</v>
      </c>
      <c r="BC338" s="30">
        <f>Inventory[[#This Row],[Unadj Res Value]]+Inventory[[#This Row],[Unadj Det Value]]+Inventory[[#This Row],[Unadj Land Value]]</f>
        <v>417600</v>
      </c>
      <c r="BD338" s="30">
        <f>(Inventory[[#This Row],[Unadj Total Value]]-Inventory[[#This Row],[24Final]])/Inventory[[#This Row],[24Final]]</f>
        <v>5.4811821166961351E-2</v>
      </c>
      <c r="BE338" s="30">
        <f>VLOOKUP(Inventory[[#This Row],[Nbhd]],Lookups!$M$3:$P$5,4,FALSE)</f>
        <v>0.99970000000000003</v>
      </c>
      <c r="BF338" s="30">
        <f>VLOOKUP(Inventory[[#This Row],[Qlty]],Lookups!$M$8:$P$22,4,FALSE)</f>
        <v>1.0019</v>
      </c>
      <c r="BG338" s="30">
        <f>VLOOKUP(Inventory[[#This Row],[Cnd]],Lookups!$R$8:$U$17,4,FALSE)</f>
        <v>1.0007999999999999</v>
      </c>
      <c r="BH338" s="30">
        <f>VLOOKUP(Inventory[[#This Row],[LivArea Range]],Lookups!$R$25:$U$43,4,FALSE)</f>
        <v>1.0007999999999999</v>
      </c>
      <c r="BI338" s="30">
        <f>VLOOKUP(Inventory[[#This Row],[Decade]],Lookups!$M$24:$P$40,4,FALSE)</f>
        <v>1.0024</v>
      </c>
      <c r="BJ338" s="30">
        <f>Inventory[[#This Row],[Nbhd Adj]]*0.95</f>
        <v>0.94971499999999998</v>
      </c>
      <c r="BK338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338" s="30">
        <f>ROUND((SUM(Inventory[[#This Row],[Mdl Qlty]:[Mdl Garage Area]])+Inventory[[#This Row],[Mdl Res Intercept]])*Inventory[[#This Row],[Res Adj ]],-2)</f>
        <v>336100</v>
      </c>
      <c r="BM338" s="30">
        <f>ROUND(Inventory[[#This Row],[25Det]]*Inventory[[#This Row],[Det/Nbhd Adj]],-2)</f>
        <v>0</v>
      </c>
      <c r="BN338" s="30">
        <f>Inventory[[#This Row],[Adjusted Res]]+Inventory[[#This Row],[Adj Det ]]</f>
        <v>336100</v>
      </c>
      <c r="BO338" s="30">
        <f>ROUND((Inventory[[#This Row],[Mdl Land Intercept]]+Inventory[[#This Row],[Mdl LnAcres]])*Inventory[[#This Row],[Det/Nbhd Adj]],-2)</f>
        <v>61100</v>
      </c>
      <c r="BP338" s="30">
        <f>Inventory[[#This Row],[Adjusted Impr Total]]+Inventory[[#This Row],[Adjusted Land Total]]</f>
        <v>397200</v>
      </c>
      <c r="BQ338" s="30">
        <f>IFERROR((Inventory[[#This Row],[Adjusted Impr Total]]-Inventory[[#This Row],[24Bldg]])/Inventory[[#This Row],[24Bldg]],0)</f>
        <v>2.9841838257236644E-3</v>
      </c>
      <c r="BR338" s="43">
        <f>(Inventory[[#This Row],[Adjusted Land Total]]-Inventory[[#This Row],[24Lnd]])/Inventory[[#This Row],[24Lnd]]</f>
        <v>4.9342105263157892E-3</v>
      </c>
      <c r="BS338" s="43">
        <f>(Inventory[[#This Row],[Adjusted Total]]-Inventory[[#This Row],[24Final]])/Inventory[[#This Row],[24Final]]</f>
        <v>3.2836574892649659E-3</v>
      </c>
    </row>
    <row r="339" spans="1:71">
      <c r="A339" s="30">
        <v>2025</v>
      </c>
      <c r="B339" s="31" t="s">
        <v>852</v>
      </c>
      <c r="C339" s="31">
        <f>LN(Inventory[[#This Row],[Acres]])</f>
        <v>-1.8325814637483102</v>
      </c>
      <c r="D339" s="30">
        <v>0.16</v>
      </c>
      <c r="E339" s="38">
        <v>7004</v>
      </c>
      <c r="F339" s="31" t="s">
        <v>505</v>
      </c>
      <c r="G339" s="31" t="s">
        <v>155</v>
      </c>
      <c r="H339" s="31" t="s">
        <v>5</v>
      </c>
      <c r="I339" s="31" t="s">
        <v>506</v>
      </c>
      <c r="J339" s="31" t="s">
        <v>507</v>
      </c>
      <c r="K339" s="31" t="s">
        <v>330</v>
      </c>
      <c r="L339" s="31" t="s">
        <v>21</v>
      </c>
      <c r="M339" s="31" t="s">
        <v>22</v>
      </c>
      <c r="N339" s="31">
        <v>10</v>
      </c>
      <c r="O339" s="31">
        <f>2024-Inventory[[#This Row],[YrBlt]]</f>
        <v>11</v>
      </c>
      <c r="P339" s="31">
        <f>2024-Inventory[[#This Row],[EffYr]]</f>
        <v>11</v>
      </c>
      <c r="Q339" s="30">
        <v>2013</v>
      </c>
      <c r="R339" s="30">
        <v>2013</v>
      </c>
      <c r="S339" s="30">
        <v>1728</v>
      </c>
      <c r="T339" s="32"/>
      <c r="U339" s="32"/>
      <c r="V339" s="32"/>
      <c r="W339" s="32"/>
      <c r="X339" s="32">
        <f>Inventory[[#This Row],[Bsmt Area]]-Inventory[[#This Row],[FnBsmt]]</f>
        <v>0</v>
      </c>
      <c r="Y339" s="32">
        <f>Inventory[[#This Row],[MainFn]]+Inventory[[#This Row],[UpprFn]]+Inventory[[#This Row],[AddFn]]+Inventory[[#This Row],[FnBsmt]]</f>
        <v>1728</v>
      </c>
      <c r="Z339" s="32">
        <v>2000</v>
      </c>
      <c r="AA339" s="31" t="s">
        <v>56</v>
      </c>
      <c r="AB339" s="38">
        <v>1</v>
      </c>
      <c r="AC339" s="38">
        <v>462</v>
      </c>
      <c r="AD339" s="32"/>
      <c r="AE339" s="32"/>
      <c r="AF339" s="32"/>
      <c r="AG339" s="32"/>
      <c r="AH339" s="32"/>
      <c r="AI339" s="30">
        <v>373387</v>
      </c>
      <c r="AJ339" s="30">
        <v>354718</v>
      </c>
      <c r="AK339" s="30">
        <v>0</v>
      </c>
      <c r="AL339" s="30">
        <v>0</v>
      </c>
      <c r="AM339" s="30">
        <v>60800</v>
      </c>
      <c r="AN339" s="30">
        <v>320200</v>
      </c>
      <c r="AO339" s="30">
        <v>381000</v>
      </c>
      <c r="AP339" s="30">
        <f>Lookups!$B$58*0.6</f>
        <v>132535.48800000001</v>
      </c>
      <c r="AQ339" s="30">
        <f>Lookups!$B$58*0.4</f>
        <v>88356.992000000013</v>
      </c>
      <c r="AR339" s="30">
        <f>Lookups!$B$59*Inventory[[#This Row],[LnAcres]]</f>
        <v>-24051.387388882686</v>
      </c>
      <c r="AS339" s="30">
        <f>VLOOKUP(Inventory[[#This Row],[Qlty]],Lookups!$A$66:$E$79,2,FALSE)</f>
        <v>32917.849192000001</v>
      </c>
      <c r="AT339" s="30">
        <f>VLOOKUP(Inventory[[#This Row],[Cnd]],Lookups!$A$80:$E$88,2,FALSE)</f>
        <v>50438.379078999998</v>
      </c>
      <c r="AU339" s="30">
        <f>Inventory[[#This Row],[EffAge]]*Lookups!$B$65</f>
        <v>-1196.1521</v>
      </c>
      <c r="AV339" s="30">
        <f>Inventory[[#This Row],[MainFn]]*Lookups!$B$90</f>
        <v>107845.13664000001</v>
      </c>
      <c r="AW339" s="30">
        <f>Inventory[[#This Row],[UpprFn]]*Lookups!$B$91</f>
        <v>0</v>
      </c>
      <c r="AX339" s="30">
        <f>Inventory[[#This Row],[Bsmt Area]]*Lookups!$B$95</f>
        <v>0</v>
      </c>
      <c r="AY339" s="30">
        <f>Inventory[[#This Row],[AttGar]]*Lookups!$B$93</f>
        <v>16309.076322000001</v>
      </c>
      <c r="AZ339" s="30">
        <f>ROUND(Inventory[[#This Row],[25Det]],-2)</f>
        <v>0</v>
      </c>
      <c r="BA339" s="30">
        <f>ROUND(SUM(Inventory[[#This Row],[Mdl Qlty]:[Mdl Garage Area]])+Inventory[[#This Row],[Mdl Res Intercept]],-2)</f>
        <v>338800</v>
      </c>
      <c r="BB339" s="30">
        <f>ROUND(Inventory[[#This Row],[Mdl Land Intercept]]+Inventory[[#This Row],[Mdl LnAcres]],-2)</f>
        <v>64300</v>
      </c>
      <c r="BC339" s="30">
        <f>Inventory[[#This Row],[Unadj Res Value]]+Inventory[[#This Row],[Unadj Det Value]]+Inventory[[#This Row],[Unadj Land Value]]</f>
        <v>403100</v>
      </c>
      <c r="BD339" s="30">
        <f>(Inventory[[#This Row],[Unadj Total Value]]-Inventory[[#This Row],[24Final]])/Inventory[[#This Row],[24Final]]</f>
        <v>5.800524934383202E-2</v>
      </c>
      <c r="BE339" s="30">
        <f>VLOOKUP(Inventory[[#This Row],[Nbhd]],Lookups!$M$3:$P$5,4,FALSE)</f>
        <v>0.99970000000000003</v>
      </c>
      <c r="BF339" s="30">
        <f>VLOOKUP(Inventory[[#This Row],[Qlty]],Lookups!$M$8:$P$22,4,FALSE)</f>
        <v>1.0019</v>
      </c>
      <c r="BG339" s="30">
        <f>VLOOKUP(Inventory[[#This Row],[Cnd]],Lookups!$R$8:$U$17,4,FALSE)</f>
        <v>1.0007999999999999</v>
      </c>
      <c r="BH339" s="30">
        <f>VLOOKUP(Inventory[[#This Row],[LivArea Range]],Lookups!$R$25:$U$43,4,FALSE)</f>
        <v>1.0007999999999999</v>
      </c>
      <c r="BI339" s="30">
        <f>VLOOKUP(Inventory[[#This Row],[Decade]],Lookups!$M$24:$P$40,4,FALSE)</f>
        <v>1.0024</v>
      </c>
      <c r="BJ339" s="30">
        <f>Inventory[[#This Row],[Nbhd Adj]]*0.95</f>
        <v>0.94971499999999998</v>
      </c>
      <c r="BK339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339" s="30">
        <f>ROUND((SUM(Inventory[[#This Row],[Mdl Qlty]:[Mdl Garage Area]])+Inventory[[#This Row],[Mdl Res Intercept]])*Inventory[[#This Row],[Res Adj ]],-2)</f>
        <v>322300</v>
      </c>
      <c r="BM339" s="30">
        <f>ROUND(Inventory[[#This Row],[25Det]]*Inventory[[#This Row],[Det/Nbhd Adj]],-2)</f>
        <v>0</v>
      </c>
      <c r="BN339" s="30">
        <f>Inventory[[#This Row],[Adjusted Res]]+Inventory[[#This Row],[Adj Det ]]</f>
        <v>322300</v>
      </c>
      <c r="BO339" s="30">
        <f>ROUND((Inventory[[#This Row],[Mdl Land Intercept]]+Inventory[[#This Row],[Mdl LnAcres]])*Inventory[[#This Row],[Det/Nbhd Adj]],-2)</f>
        <v>61100</v>
      </c>
      <c r="BP339" s="30">
        <f>Inventory[[#This Row],[Adjusted Impr Total]]+Inventory[[#This Row],[Adjusted Land Total]]</f>
        <v>383400</v>
      </c>
      <c r="BQ339" s="30">
        <f>IFERROR((Inventory[[#This Row],[Adjusted Impr Total]]-Inventory[[#This Row],[24Bldg]])/Inventory[[#This Row],[24Bldg]],0)</f>
        <v>6.5584009993753904E-3</v>
      </c>
      <c r="BR339" s="43">
        <f>(Inventory[[#This Row],[Adjusted Land Total]]-Inventory[[#This Row],[24Lnd]])/Inventory[[#This Row],[24Lnd]]</f>
        <v>4.9342105263157892E-3</v>
      </c>
      <c r="BS339" s="43">
        <f>(Inventory[[#This Row],[Adjusted Total]]-Inventory[[#This Row],[24Final]])/Inventory[[#This Row],[24Final]]</f>
        <v>6.2992125984251968E-3</v>
      </c>
    </row>
    <row r="340" spans="1:71">
      <c r="A340" s="30">
        <v>2025</v>
      </c>
      <c r="B340" s="31" t="s">
        <v>853</v>
      </c>
      <c r="C340" s="31">
        <f>LN(Inventory[[#This Row],[Acres]])</f>
        <v>-1.7719568419318752</v>
      </c>
      <c r="D340" s="30">
        <v>0.17</v>
      </c>
      <c r="E340" s="30">
        <v>7329</v>
      </c>
      <c r="F340" s="31" t="s">
        <v>505</v>
      </c>
      <c r="G340" s="31" t="s">
        <v>155</v>
      </c>
      <c r="H340" s="31" t="s">
        <v>5</v>
      </c>
      <c r="I340" s="31" t="s">
        <v>506</v>
      </c>
      <c r="J340" s="31" t="s">
        <v>507</v>
      </c>
      <c r="K340" s="31" t="s">
        <v>330</v>
      </c>
      <c r="L340" s="31" t="s">
        <v>19</v>
      </c>
      <c r="M340" s="31" t="s">
        <v>22</v>
      </c>
      <c r="N340" s="31">
        <v>10</v>
      </c>
      <c r="O340" s="31">
        <f>2024-Inventory[[#This Row],[YrBlt]]</f>
        <v>11</v>
      </c>
      <c r="P340" s="31">
        <f>2024-Inventory[[#This Row],[EffYr]]</f>
        <v>11</v>
      </c>
      <c r="Q340" s="30">
        <v>2013</v>
      </c>
      <c r="R340" s="30">
        <v>2013</v>
      </c>
      <c r="S340" s="30">
        <v>1976</v>
      </c>
      <c r="T340" s="37"/>
      <c r="U340" s="32"/>
      <c r="V340" s="32"/>
      <c r="W340" s="32"/>
      <c r="X340" s="32">
        <f>Inventory[[#This Row],[Bsmt Area]]-Inventory[[#This Row],[FnBsmt]]</f>
        <v>0</v>
      </c>
      <c r="Y340" s="32">
        <f>Inventory[[#This Row],[MainFn]]+Inventory[[#This Row],[UpprFn]]+Inventory[[#This Row],[AddFn]]+Inventory[[#This Row],[FnBsmt]]</f>
        <v>1976</v>
      </c>
      <c r="Z340" s="32">
        <v>2000</v>
      </c>
      <c r="AA340" s="31" t="s">
        <v>56</v>
      </c>
      <c r="AB340" s="38">
        <v>1</v>
      </c>
      <c r="AC340" s="38">
        <v>687</v>
      </c>
      <c r="AD340" s="37"/>
      <c r="AE340" s="32"/>
      <c r="AF340" s="32"/>
      <c r="AG340" s="32"/>
      <c r="AH340" s="32"/>
      <c r="AI340" s="30">
        <v>384013</v>
      </c>
      <c r="AJ340" s="30">
        <v>364812</v>
      </c>
      <c r="AK340" s="30">
        <v>0</v>
      </c>
      <c r="AL340" s="30">
        <v>0</v>
      </c>
      <c r="AM340" s="30">
        <v>61700</v>
      </c>
      <c r="AN340" s="30">
        <v>351000</v>
      </c>
      <c r="AO340" s="30">
        <v>412700</v>
      </c>
      <c r="AP340" s="30">
        <f>Lookups!$B$58*0.6</f>
        <v>132535.48800000001</v>
      </c>
      <c r="AQ340" s="30">
        <f>Lookups!$B$58*0.4</f>
        <v>88356.992000000013</v>
      </c>
      <c r="AR340" s="30">
        <f>Lookups!$B$59*Inventory[[#This Row],[LnAcres]]</f>
        <v>-23255.730391660189</v>
      </c>
      <c r="AS340" s="30">
        <f>VLOOKUP(Inventory[[#This Row],[Qlty]],Lookups!$A$66:$E$79,2,FALSE)</f>
        <v>37154.252388000001</v>
      </c>
      <c r="AT340" s="30">
        <f>VLOOKUP(Inventory[[#This Row],[Cnd]],Lookups!$A$80:$E$88,2,FALSE)</f>
        <v>50438.379078999998</v>
      </c>
      <c r="AU340" s="30">
        <f>Inventory[[#This Row],[EffAge]]*Lookups!$B$65</f>
        <v>-1196.1521</v>
      </c>
      <c r="AV340" s="30">
        <f>Inventory[[#This Row],[MainFn]]*Lookups!$B$90</f>
        <v>123322.91088000001</v>
      </c>
      <c r="AW340" s="30">
        <f>Inventory[[#This Row],[UpprFn]]*Lookups!$B$91</f>
        <v>0</v>
      </c>
      <c r="AX340" s="30">
        <f>Inventory[[#This Row],[Bsmt Area]]*Lookups!$B$95</f>
        <v>0</v>
      </c>
      <c r="AY340" s="30">
        <f>Inventory[[#This Row],[AttGar]]*Lookups!$B$93</f>
        <v>24251.808297</v>
      </c>
      <c r="AZ340" s="30">
        <f>ROUND(Inventory[[#This Row],[25Det]],-2)</f>
        <v>0</v>
      </c>
      <c r="BA340" s="30">
        <f>ROUND(SUM(Inventory[[#This Row],[Mdl Qlty]:[Mdl Garage Area]])+Inventory[[#This Row],[Mdl Res Intercept]],-2)</f>
        <v>366500</v>
      </c>
      <c r="BB340" s="30">
        <f>ROUND(Inventory[[#This Row],[Mdl Land Intercept]]+Inventory[[#This Row],[Mdl LnAcres]],-2)</f>
        <v>65100</v>
      </c>
      <c r="BC340" s="30">
        <f>Inventory[[#This Row],[Unadj Res Value]]+Inventory[[#This Row],[Unadj Det Value]]+Inventory[[#This Row],[Unadj Land Value]]</f>
        <v>431600</v>
      </c>
      <c r="BD340" s="30">
        <f>(Inventory[[#This Row],[Unadj Total Value]]-Inventory[[#This Row],[24Final]])/Inventory[[#This Row],[24Final]]</f>
        <v>4.5795977707778046E-2</v>
      </c>
      <c r="BE340" s="30">
        <f>VLOOKUP(Inventory[[#This Row],[Nbhd]],Lookups!$M$3:$P$5,4,FALSE)</f>
        <v>0.99970000000000003</v>
      </c>
      <c r="BF340" s="30">
        <f>VLOOKUP(Inventory[[#This Row],[Qlty]],Lookups!$M$8:$P$22,4,FALSE)</f>
        <v>0.99819999999999998</v>
      </c>
      <c r="BG340" s="30">
        <f>VLOOKUP(Inventory[[#This Row],[Cnd]],Lookups!$R$8:$U$17,4,FALSE)</f>
        <v>1.0007999999999999</v>
      </c>
      <c r="BH340" s="30">
        <f>VLOOKUP(Inventory[[#This Row],[LivArea Range]],Lookups!$R$25:$U$43,4,FALSE)</f>
        <v>1.0007999999999999</v>
      </c>
      <c r="BI340" s="30">
        <f>VLOOKUP(Inventory[[#This Row],[Decade]],Lookups!$M$24:$P$40,4,FALSE)</f>
        <v>1.0024</v>
      </c>
      <c r="BJ340" s="30">
        <f>Inventory[[#This Row],[Nbhd Adj]]*0.95</f>
        <v>0.94971499999999998</v>
      </c>
      <c r="BK340" s="30">
        <f>AVERAGE(Inventory[[#This Row],[Nbhd Adj]],Inventory[[#This Row],[Quality Adj]],Inventory[[#This Row],[Condition Adj]],Inventory[[#This Row],[Living Area Adj]],Inventory[[#This Row],[Decade Adj]])*0.95</f>
        <v>0.95036100000000001</v>
      </c>
      <c r="BL340" s="30">
        <f>ROUND((SUM(Inventory[[#This Row],[Mdl Qlty]:[Mdl Garage Area]])+Inventory[[#This Row],[Mdl Res Intercept]])*Inventory[[#This Row],[Res Adj ]],-2)</f>
        <v>348300</v>
      </c>
      <c r="BM340" s="30">
        <f>ROUND(Inventory[[#This Row],[25Det]]*Inventory[[#This Row],[Det/Nbhd Adj]],-2)</f>
        <v>0</v>
      </c>
      <c r="BN340" s="30">
        <f>Inventory[[#This Row],[Adjusted Res]]+Inventory[[#This Row],[Adj Det ]]</f>
        <v>348300</v>
      </c>
      <c r="BO340" s="30">
        <f>ROUND((Inventory[[#This Row],[Mdl Land Intercept]]+Inventory[[#This Row],[Mdl LnAcres]])*Inventory[[#This Row],[Det/Nbhd Adj]],-2)</f>
        <v>61800</v>
      </c>
      <c r="BP340" s="30">
        <f>Inventory[[#This Row],[Adjusted Impr Total]]+Inventory[[#This Row],[Adjusted Land Total]]</f>
        <v>410100</v>
      </c>
      <c r="BQ340" s="30">
        <f>IFERROR((Inventory[[#This Row],[Adjusted Impr Total]]-Inventory[[#This Row],[24Bldg]])/Inventory[[#This Row],[24Bldg]],0)</f>
        <v>-7.6923076923076927E-3</v>
      </c>
      <c r="BR340" s="43">
        <f>(Inventory[[#This Row],[Adjusted Land Total]]-Inventory[[#This Row],[24Lnd]])/Inventory[[#This Row],[24Lnd]]</f>
        <v>1.6207455429497568E-3</v>
      </c>
      <c r="BS340" s="43">
        <f>(Inventory[[#This Row],[Adjusted Total]]-Inventory[[#This Row],[24Final]])/Inventory[[#This Row],[24Final]]</f>
        <v>-6.2999757693239641E-3</v>
      </c>
    </row>
    <row r="341" spans="1:71">
      <c r="A341" s="30">
        <v>2025</v>
      </c>
      <c r="B341" s="31" t="s">
        <v>854</v>
      </c>
      <c r="C341" s="31">
        <f>LN(Inventory[[#This Row],[Acres]])</f>
        <v>-1.7147984280919266</v>
      </c>
      <c r="D341" s="30">
        <v>0.18</v>
      </c>
      <c r="E341" s="30">
        <v>8015</v>
      </c>
      <c r="F341" s="31" t="s">
        <v>505</v>
      </c>
      <c r="G341" s="31" t="s">
        <v>155</v>
      </c>
      <c r="H341" s="31" t="s">
        <v>5</v>
      </c>
      <c r="I341" s="31" t="s">
        <v>506</v>
      </c>
      <c r="J341" s="31" t="s">
        <v>507</v>
      </c>
      <c r="K341" s="31" t="s">
        <v>330</v>
      </c>
      <c r="L341" s="31" t="s">
        <v>21</v>
      </c>
      <c r="M341" s="31" t="s">
        <v>20</v>
      </c>
      <c r="N341" s="31">
        <v>10</v>
      </c>
      <c r="O341" s="31">
        <f>2024-Inventory[[#This Row],[YrBlt]]</f>
        <v>11</v>
      </c>
      <c r="P341" s="31">
        <f>2024-Inventory[[#This Row],[EffYr]]</f>
        <v>11</v>
      </c>
      <c r="Q341" s="30">
        <v>2013</v>
      </c>
      <c r="R341" s="30">
        <v>2013</v>
      </c>
      <c r="S341" s="30">
        <v>1770</v>
      </c>
      <c r="T341" s="32"/>
      <c r="U341" s="32"/>
      <c r="V341" s="32"/>
      <c r="W341" s="32"/>
      <c r="X341" s="32">
        <f>Inventory[[#This Row],[Bsmt Area]]-Inventory[[#This Row],[FnBsmt]]</f>
        <v>0</v>
      </c>
      <c r="Y341" s="32">
        <f>Inventory[[#This Row],[MainFn]]+Inventory[[#This Row],[UpprFn]]+Inventory[[#This Row],[AddFn]]+Inventory[[#This Row],[FnBsmt]]</f>
        <v>1770</v>
      </c>
      <c r="Z341" s="32">
        <v>2000</v>
      </c>
      <c r="AA341" s="31" t="s">
        <v>57</v>
      </c>
      <c r="AB341" s="32"/>
      <c r="AC341" s="30">
        <v>420</v>
      </c>
      <c r="AD341" s="32"/>
      <c r="AE341" s="32"/>
      <c r="AF341" s="32"/>
      <c r="AG341" s="32"/>
      <c r="AH341" s="32"/>
      <c r="AI341" s="30">
        <v>379359</v>
      </c>
      <c r="AJ341" s="30">
        <v>356597</v>
      </c>
      <c r="AK341" s="30">
        <v>0</v>
      </c>
      <c r="AL341" s="30">
        <v>0</v>
      </c>
      <c r="AM341" s="30">
        <v>62500</v>
      </c>
      <c r="AN341" s="30">
        <v>306700</v>
      </c>
      <c r="AO341" s="30">
        <v>369200</v>
      </c>
      <c r="AP341" s="30">
        <f>Lookups!$B$58*0.6</f>
        <v>132535.48800000001</v>
      </c>
      <c r="AQ341" s="30">
        <f>Lookups!$B$58*0.4</f>
        <v>88356.992000000013</v>
      </c>
      <c r="AR341" s="30">
        <f>Lookups!$B$59*Inventory[[#This Row],[LnAcres]]</f>
        <v>-22505.565020573864</v>
      </c>
      <c r="AS341" s="30">
        <f>VLOOKUP(Inventory[[#This Row],[Qlty]],Lookups!$A$66:$E$79,2,FALSE)</f>
        <v>32917.849192000001</v>
      </c>
      <c r="AT341" s="30">
        <f>VLOOKUP(Inventory[[#This Row],[Cnd]],Lookups!$A$80:$E$88,2,FALSE)</f>
        <v>30300.329274</v>
      </c>
      <c r="AU341" s="30">
        <f>Inventory[[#This Row],[EffAge]]*Lookups!$B$65</f>
        <v>-1196.1521</v>
      </c>
      <c r="AV341" s="30">
        <f>Inventory[[#This Row],[MainFn]]*Lookups!$B$90</f>
        <v>110466.3726</v>
      </c>
      <c r="AW341" s="30">
        <f>Inventory[[#This Row],[UpprFn]]*Lookups!$B$91</f>
        <v>0</v>
      </c>
      <c r="AX341" s="30">
        <f>Inventory[[#This Row],[Bsmt Area]]*Lookups!$B$95</f>
        <v>0</v>
      </c>
      <c r="AY341" s="30">
        <f>Inventory[[#This Row],[AttGar]]*Lookups!$B$93</f>
        <v>14826.43302</v>
      </c>
      <c r="AZ341" s="30">
        <f>ROUND(Inventory[[#This Row],[25Det]],-2)</f>
        <v>0</v>
      </c>
      <c r="BA341" s="30">
        <f>ROUND(SUM(Inventory[[#This Row],[Mdl Qlty]:[Mdl Garage Area]])+Inventory[[#This Row],[Mdl Res Intercept]],-2)</f>
        <v>319900</v>
      </c>
      <c r="BB341" s="30">
        <f>ROUND(Inventory[[#This Row],[Mdl Land Intercept]]+Inventory[[#This Row],[Mdl LnAcres]],-2)</f>
        <v>65900</v>
      </c>
      <c r="BC341" s="30">
        <f>Inventory[[#This Row],[Unadj Res Value]]+Inventory[[#This Row],[Unadj Det Value]]+Inventory[[#This Row],[Unadj Land Value]]</f>
        <v>385800</v>
      </c>
      <c r="BD341" s="30">
        <f>(Inventory[[#This Row],[Unadj Total Value]]-Inventory[[#This Row],[24Final]])/Inventory[[#This Row],[24Final]]</f>
        <v>4.4962080173347782E-2</v>
      </c>
      <c r="BE341" s="30">
        <f>VLOOKUP(Inventory[[#This Row],[Nbhd]],Lookups!$M$3:$P$5,4,FALSE)</f>
        <v>0.99970000000000003</v>
      </c>
      <c r="BF341" s="30">
        <f>VLOOKUP(Inventory[[#This Row],[Qlty]],Lookups!$M$8:$P$22,4,FALSE)</f>
        <v>1.0019</v>
      </c>
      <c r="BG341" s="30">
        <f>VLOOKUP(Inventory[[#This Row],[Cnd]],Lookups!$R$8:$U$17,4,FALSE)</f>
        <v>0.997</v>
      </c>
      <c r="BH341" s="30">
        <f>VLOOKUP(Inventory[[#This Row],[LivArea Range]],Lookups!$R$25:$U$43,4,FALSE)</f>
        <v>1.0007999999999999</v>
      </c>
      <c r="BI341" s="30">
        <f>VLOOKUP(Inventory[[#This Row],[Decade]],Lookups!$M$24:$P$40,4,FALSE)</f>
        <v>1.0024</v>
      </c>
      <c r="BJ341" s="30">
        <f>Inventory[[#This Row],[Nbhd Adj]]*0.95</f>
        <v>0.94971499999999998</v>
      </c>
      <c r="BK341" s="30">
        <f>AVERAGE(Inventory[[#This Row],[Nbhd Adj]],Inventory[[#This Row],[Quality Adj]],Inventory[[#This Row],[Condition Adj]],Inventory[[#This Row],[Living Area Adj]],Inventory[[#This Row],[Decade Adj]])*0.95</f>
        <v>0.95034199999999991</v>
      </c>
      <c r="BL341" s="30">
        <f>ROUND((SUM(Inventory[[#This Row],[Mdl Qlty]:[Mdl Garage Area]])+Inventory[[#This Row],[Mdl Res Intercept]])*Inventory[[#This Row],[Res Adj ]],-2)</f>
        <v>304000</v>
      </c>
      <c r="BM341" s="30">
        <f>ROUND(Inventory[[#This Row],[25Det]]*Inventory[[#This Row],[Det/Nbhd Adj]],-2)</f>
        <v>0</v>
      </c>
      <c r="BN341" s="30">
        <f>Inventory[[#This Row],[Adjusted Res]]+Inventory[[#This Row],[Adj Det ]]</f>
        <v>304000</v>
      </c>
      <c r="BO341" s="30">
        <f>ROUND((Inventory[[#This Row],[Mdl Land Intercept]]+Inventory[[#This Row],[Mdl LnAcres]])*Inventory[[#This Row],[Det/Nbhd Adj]],-2)</f>
        <v>62500</v>
      </c>
      <c r="BP341" s="30">
        <f>Inventory[[#This Row],[Adjusted Impr Total]]+Inventory[[#This Row],[Adjusted Land Total]]</f>
        <v>366500</v>
      </c>
      <c r="BQ341" s="30">
        <f>IFERROR((Inventory[[#This Row],[Adjusted Impr Total]]-Inventory[[#This Row],[24Bldg]])/Inventory[[#This Row],[24Bldg]],0)</f>
        <v>-8.8033909357678516E-3</v>
      </c>
      <c r="BR341" s="43">
        <f>(Inventory[[#This Row],[Adjusted Land Total]]-Inventory[[#This Row],[24Lnd]])/Inventory[[#This Row],[24Lnd]]</f>
        <v>0</v>
      </c>
      <c r="BS341" s="43">
        <f>(Inventory[[#This Row],[Adjusted Total]]-Inventory[[#This Row],[24Final]])/Inventory[[#This Row],[24Final]]</f>
        <v>-7.3131094257854823E-3</v>
      </c>
    </row>
    <row r="342" spans="1:71">
      <c r="A342" s="30">
        <v>2025</v>
      </c>
      <c r="B342" s="31" t="s">
        <v>855</v>
      </c>
      <c r="C342" s="31">
        <f>LN(Inventory[[#This Row],[Acres]])</f>
        <v>-1.7147984280919266</v>
      </c>
      <c r="D342" s="30">
        <v>0.18</v>
      </c>
      <c r="E342" s="30">
        <v>8021</v>
      </c>
      <c r="F342" s="31" t="s">
        <v>505</v>
      </c>
      <c r="G342" s="31" t="s">
        <v>155</v>
      </c>
      <c r="H342" s="31" t="s">
        <v>5</v>
      </c>
      <c r="I342" s="31" t="s">
        <v>506</v>
      </c>
      <c r="J342" s="31" t="s">
        <v>507</v>
      </c>
      <c r="K342" s="31" t="s">
        <v>330</v>
      </c>
      <c r="L342" s="31" t="s">
        <v>19</v>
      </c>
      <c r="M342" s="31" t="s">
        <v>22</v>
      </c>
      <c r="N342" s="31">
        <v>10</v>
      </c>
      <c r="O342" s="31">
        <f>2024-Inventory[[#This Row],[YrBlt]]</f>
        <v>11</v>
      </c>
      <c r="P342" s="31">
        <f>2024-Inventory[[#This Row],[EffYr]]</f>
        <v>11</v>
      </c>
      <c r="Q342" s="30">
        <v>2013</v>
      </c>
      <c r="R342" s="30">
        <v>2013</v>
      </c>
      <c r="S342" s="30">
        <v>1126</v>
      </c>
      <c r="T342" s="38">
        <v>1126</v>
      </c>
      <c r="U342" s="32"/>
      <c r="V342" s="32"/>
      <c r="W342" s="32"/>
      <c r="X342" s="32">
        <f>Inventory[[#This Row],[Bsmt Area]]-Inventory[[#This Row],[FnBsmt]]</f>
        <v>0</v>
      </c>
      <c r="Y342" s="32">
        <f>Inventory[[#This Row],[MainFn]]+Inventory[[#This Row],[UpprFn]]+Inventory[[#This Row],[AddFn]]+Inventory[[#This Row],[FnBsmt]]</f>
        <v>2252</v>
      </c>
      <c r="Z342" s="32">
        <v>2500</v>
      </c>
      <c r="AA342" s="31" t="s">
        <v>56</v>
      </c>
      <c r="AB342" s="32"/>
      <c r="AC342" s="30">
        <v>440</v>
      </c>
      <c r="AD342" s="32"/>
      <c r="AE342" s="32"/>
      <c r="AF342" s="32"/>
      <c r="AG342" s="32"/>
      <c r="AH342" s="32"/>
      <c r="AI342" s="30">
        <v>393533</v>
      </c>
      <c r="AJ342" s="30">
        <v>373856</v>
      </c>
      <c r="AK342" s="30">
        <v>0</v>
      </c>
      <c r="AL342" s="30">
        <v>0</v>
      </c>
      <c r="AM342" s="30">
        <v>62500</v>
      </c>
      <c r="AN342" s="30">
        <v>364600</v>
      </c>
      <c r="AO342" s="30">
        <v>427100</v>
      </c>
      <c r="AP342" s="30">
        <f>Lookups!$B$58*0.6</f>
        <v>132535.48800000001</v>
      </c>
      <c r="AQ342" s="30">
        <f>Lookups!$B$58*0.4</f>
        <v>88356.992000000013</v>
      </c>
      <c r="AR342" s="30">
        <f>Lookups!$B$59*Inventory[[#This Row],[LnAcres]]</f>
        <v>-22505.565020573864</v>
      </c>
      <c r="AS342" s="30">
        <f>VLOOKUP(Inventory[[#This Row],[Qlty]],Lookups!$A$66:$E$79,2,FALSE)</f>
        <v>37154.252388000001</v>
      </c>
      <c r="AT342" s="30">
        <f>VLOOKUP(Inventory[[#This Row],[Cnd]],Lookups!$A$80:$E$88,2,FALSE)</f>
        <v>50438.379078999998</v>
      </c>
      <c r="AU342" s="30">
        <f>Inventory[[#This Row],[EffAge]]*Lookups!$B$65</f>
        <v>-1196.1521</v>
      </c>
      <c r="AV342" s="30">
        <f>Inventory[[#This Row],[MainFn]]*Lookups!$B$90</f>
        <v>70274.087880000006</v>
      </c>
      <c r="AW342" s="30">
        <f>Inventory[[#This Row],[UpprFn]]*Lookups!$B$91</f>
        <v>67087.511257999999</v>
      </c>
      <c r="AX342" s="30">
        <f>Inventory[[#This Row],[Bsmt Area]]*Lookups!$B$95</f>
        <v>0</v>
      </c>
      <c r="AY342" s="30">
        <f>Inventory[[#This Row],[AttGar]]*Lookups!$B$93</f>
        <v>15532.453640000002</v>
      </c>
      <c r="AZ342" s="30">
        <f>ROUND(Inventory[[#This Row],[25Det]],-2)</f>
        <v>0</v>
      </c>
      <c r="BA342" s="30">
        <f>ROUND(SUM(Inventory[[#This Row],[Mdl Qlty]:[Mdl Garage Area]])+Inventory[[#This Row],[Mdl Res Intercept]],-2)</f>
        <v>371800</v>
      </c>
      <c r="BB342" s="30">
        <f>ROUND(Inventory[[#This Row],[Mdl Land Intercept]]+Inventory[[#This Row],[Mdl LnAcres]],-2)</f>
        <v>65900</v>
      </c>
      <c r="BC342" s="30">
        <f>Inventory[[#This Row],[Unadj Res Value]]+Inventory[[#This Row],[Unadj Det Value]]+Inventory[[#This Row],[Unadj Land Value]]</f>
        <v>437700</v>
      </c>
      <c r="BD342" s="30">
        <f>(Inventory[[#This Row],[Unadj Total Value]]-Inventory[[#This Row],[24Final]])/Inventory[[#This Row],[24Final]]</f>
        <v>2.481854366658862E-2</v>
      </c>
      <c r="BE342" s="30">
        <f>VLOOKUP(Inventory[[#This Row],[Nbhd]],Lookups!$M$3:$P$5,4,FALSE)</f>
        <v>0.99970000000000003</v>
      </c>
      <c r="BF342" s="30">
        <f>VLOOKUP(Inventory[[#This Row],[Qlty]],Lookups!$M$8:$P$22,4,FALSE)</f>
        <v>0.99819999999999998</v>
      </c>
      <c r="BG342" s="30">
        <f>VLOOKUP(Inventory[[#This Row],[Cnd]],Lookups!$R$8:$U$17,4,FALSE)</f>
        <v>1.0007999999999999</v>
      </c>
      <c r="BH342" s="30">
        <f>VLOOKUP(Inventory[[#This Row],[LivArea Range]],Lookups!$R$25:$U$43,4,FALSE)</f>
        <v>1.0008999999999999</v>
      </c>
      <c r="BI342" s="30">
        <f>VLOOKUP(Inventory[[#This Row],[Decade]],Lookups!$M$24:$P$40,4,FALSE)</f>
        <v>1.0024</v>
      </c>
      <c r="BJ342" s="30">
        <f>Inventory[[#This Row],[Nbhd Adj]]*0.95</f>
        <v>0.94971499999999998</v>
      </c>
      <c r="BK342" s="30">
        <f>AVERAGE(Inventory[[#This Row],[Nbhd Adj]],Inventory[[#This Row],[Quality Adj]],Inventory[[#This Row],[Condition Adj]],Inventory[[#This Row],[Living Area Adj]],Inventory[[#This Row],[Decade Adj]])*0.95</f>
        <v>0.95037999999999989</v>
      </c>
      <c r="BL342" s="30">
        <f>ROUND((SUM(Inventory[[#This Row],[Mdl Qlty]:[Mdl Garage Area]])+Inventory[[#This Row],[Mdl Res Intercept]])*Inventory[[#This Row],[Res Adj ]],-2)</f>
        <v>353400</v>
      </c>
      <c r="BM342" s="30">
        <f>ROUND(Inventory[[#This Row],[25Det]]*Inventory[[#This Row],[Det/Nbhd Adj]],-2)</f>
        <v>0</v>
      </c>
      <c r="BN342" s="30">
        <f>Inventory[[#This Row],[Adjusted Res]]+Inventory[[#This Row],[Adj Det ]]</f>
        <v>353400</v>
      </c>
      <c r="BO342" s="30">
        <f>ROUND((Inventory[[#This Row],[Mdl Land Intercept]]+Inventory[[#This Row],[Mdl LnAcres]])*Inventory[[#This Row],[Det/Nbhd Adj]],-2)</f>
        <v>62500</v>
      </c>
      <c r="BP342" s="30">
        <f>Inventory[[#This Row],[Adjusted Impr Total]]+Inventory[[#This Row],[Adjusted Land Total]]</f>
        <v>415900</v>
      </c>
      <c r="BQ342" s="30">
        <f>IFERROR((Inventory[[#This Row],[Adjusted Impr Total]]-Inventory[[#This Row],[24Bldg]])/Inventory[[#This Row],[24Bldg]],0)</f>
        <v>-3.0718595721338452E-2</v>
      </c>
      <c r="BR342" s="43">
        <f>(Inventory[[#This Row],[Adjusted Land Total]]-Inventory[[#This Row],[24Lnd]])/Inventory[[#This Row],[24Lnd]]</f>
        <v>0</v>
      </c>
      <c r="BS342" s="43">
        <f>(Inventory[[#This Row],[Adjusted Total]]-Inventory[[#This Row],[24Final]])/Inventory[[#This Row],[24Final]]</f>
        <v>-2.6223366892999297E-2</v>
      </c>
    </row>
    <row r="343" spans="1:71">
      <c r="A343" s="30">
        <v>2025</v>
      </c>
      <c r="B343" s="31" t="s">
        <v>856</v>
      </c>
      <c r="C343" s="31">
        <f>LN(Inventory[[#This Row],[Acres]])</f>
        <v>-1.7147984280919266</v>
      </c>
      <c r="D343" s="30">
        <v>0.18</v>
      </c>
      <c r="E343" s="30">
        <v>7790</v>
      </c>
      <c r="F343" s="31" t="s">
        <v>505</v>
      </c>
      <c r="G343" s="31" t="s">
        <v>155</v>
      </c>
      <c r="H343" s="31" t="s">
        <v>5</v>
      </c>
      <c r="I343" s="31" t="s">
        <v>506</v>
      </c>
      <c r="J343" s="31" t="s">
        <v>507</v>
      </c>
      <c r="K343" s="31" t="s">
        <v>330</v>
      </c>
      <c r="L343" s="31" t="s">
        <v>19</v>
      </c>
      <c r="M343" s="31" t="s">
        <v>22</v>
      </c>
      <c r="N343" s="31">
        <v>10</v>
      </c>
      <c r="O343" s="31">
        <f>2024-Inventory[[#This Row],[YrBlt]]</f>
        <v>11</v>
      </c>
      <c r="P343" s="31">
        <f>2024-Inventory[[#This Row],[EffYr]]</f>
        <v>11</v>
      </c>
      <c r="Q343" s="30">
        <v>2013</v>
      </c>
      <c r="R343" s="30">
        <v>2013</v>
      </c>
      <c r="S343" s="30">
        <v>1640</v>
      </c>
      <c r="T343" s="32"/>
      <c r="U343" s="32"/>
      <c r="V343" s="32"/>
      <c r="W343" s="32"/>
      <c r="X343" s="32">
        <f>Inventory[[#This Row],[Bsmt Area]]-Inventory[[#This Row],[FnBsmt]]</f>
        <v>0</v>
      </c>
      <c r="Y343" s="32">
        <f>Inventory[[#This Row],[MainFn]]+Inventory[[#This Row],[UpprFn]]+Inventory[[#This Row],[AddFn]]+Inventory[[#This Row],[FnBsmt]]</f>
        <v>1640</v>
      </c>
      <c r="Z343" s="32">
        <v>2000</v>
      </c>
      <c r="AA343" s="31" t="s">
        <v>56</v>
      </c>
      <c r="AB343" s="32"/>
      <c r="AC343" s="38">
        <v>400</v>
      </c>
      <c r="AD343" s="32"/>
      <c r="AE343" s="32"/>
      <c r="AF343" s="32"/>
      <c r="AG343" s="32"/>
      <c r="AH343" s="32"/>
      <c r="AI343" s="30">
        <v>320349</v>
      </c>
      <c r="AJ343" s="30">
        <v>304332</v>
      </c>
      <c r="AK343" s="30">
        <v>0</v>
      </c>
      <c r="AL343" s="30">
        <v>0</v>
      </c>
      <c r="AM343" s="30">
        <v>62500</v>
      </c>
      <c r="AN343" s="30">
        <v>326800</v>
      </c>
      <c r="AO343" s="30">
        <v>389300</v>
      </c>
      <c r="AP343" s="30">
        <f>Lookups!$B$58*0.6</f>
        <v>132535.48800000001</v>
      </c>
      <c r="AQ343" s="30">
        <f>Lookups!$B$58*0.4</f>
        <v>88356.992000000013</v>
      </c>
      <c r="AR343" s="30">
        <f>Lookups!$B$59*Inventory[[#This Row],[LnAcres]]</f>
        <v>-22505.565020573864</v>
      </c>
      <c r="AS343" s="30">
        <f>VLOOKUP(Inventory[[#This Row],[Qlty]],Lookups!$A$66:$E$79,2,FALSE)</f>
        <v>37154.252388000001</v>
      </c>
      <c r="AT343" s="30">
        <f>VLOOKUP(Inventory[[#This Row],[Cnd]],Lookups!$A$80:$E$88,2,FALSE)</f>
        <v>50438.379078999998</v>
      </c>
      <c r="AU343" s="30">
        <f>Inventory[[#This Row],[EffAge]]*Lookups!$B$65</f>
        <v>-1196.1521</v>
      </c>
      <c r="AV343" s="30">
        <f>Inventory[[#This Row],[MainFn]]*Lookups!$B$90</f>
        <v>102353.02320000001</v>
      </c>
      <c r="AW343" s="30">
        <f>Inventory[[#This Row],[UpprFn]]*Lookups!$B$91</f>
        <v>0</v>
      </c>
      <c r="AX343" s="30">
        <f>Inventory[[#This Row],[Bsmt Area]]*Lookups!$B$95</f>
        <v>0</v>
      </c>
      <c r="AY343" s="30">
        <f>Inventory[[#This Row],[AttGar]]*Lookups!$B$93</f>
        <v>14120.412400000001</v>
      </c>
      <c r="AZ343" s="30">
        <f>ROUND(Inventory[[#This Row],[25Det]],-2)</f>
        <v>0</v>
      </c>
      <c r="BA343" s="30">
        <f>ROUND(SUM(Inventory[[#This Row],[Mdl Qlty]:[Mdl Garage Area]])+Inventory[[#This Row],[Mdl Res Intercept]],-2)</f>
        <v>335400</v>
      </c>
      <c r="BB343" s="30">
        <f>ROUND(Inventory[[#This Row],[Mdl Land Intercept]]+Inventory[[#This Row],[Mdl LnAcres]],-2)</f>
        <v>65900</v>
      </c>
      <c r="BC343" s="30">
        <f>Inventory[[#This Row],[Unadj Res Value]]+Inventory[[#This Row],[Unadj Det Value]]+Inventory[[#This Row],[Unadj Land Value]]</f>
        <v>401300</v>
      </c>
      <c r="BD343" s="30">
        <f>(Inventory[[#This Row],[Unadj Total Value]]-Inventory[[#This Row],[24Final]])/Inventory[[#This Row],[24Final]]</f>
        <v>3.0824556896994607E-2</v>
      </c>
      <c r="BE343" s="30">
        <f>VLOOKUP(Inventory[[#This Row],[Nbhd]],Lookups!$M$3:$P$5,4,FALSE)</f>
        <v>0.99970000000000003</v>
      </c>
      <c r="BF343" s="30">
        <f>VLOOKUP(Inventory[[#This Row],[Qlty]],Lookups!$M$8:$P$22,4,FALSE)</f>
        <v>0.99819999999999998</v>
      </c>
      <c r="BG343" s="30">
        <f>VLOOKUP(Inventory[[#This Row],[Cnd]],Lookups!$R$8:$U$17,4,FALSE)</f>
        <v>1.0007999999999999</v>
      </c>
      <c r="BH343" s="30">
        <f>VLOOKUP(Inventory[[#This Row],[LivArea Range]],Lookups!$R$25:$U$43,4,FALSE)</f>
        <v>1.0007999999999999</v>
      </c>
      <c r="BI343" s="30">
        <f>VLOOKUP(Inventory[[#This Row],[Decade]],Lookups!$M$24:$P$40,4,FALSE)</f>
        <v>1.0024</v>
      </c>
      <c r="BJ343" s="30">
        <f>Inventory[[#This Row],[Nbhd Adj]]*0.95</f>
        <v>0.94971499999999998</v>
      </c>
      <c r="BK343" s="30">
        <f>AVERAGE(Inventory[[#This Row],[Nbhd Adj]],Inventory[[#This Row],[Quality Adj]],Inventory[[#This Row],[Condition Adj]],Inventory[[#This Row],[Living Area Adj]],Inventory[[#This Row],[Decade Adj]])*0.95</f>
        <v>0.95036100000000001</v>
      </c>
      <c r="BL343" s="30">
        <f>ROUND((SUM(Inventory[[#This Row],[Mdl Qlty]:[Mdl Garage Area]])+Inventory[[#This Row],[Mdl Res Intercept]])*Inventory[[#This Row],[Res Adj ]],-2)</f>
        <v>318800</v>
      </c>
      <c r="BM343" s="30">
        <f>ROUND(Inventory[[#This Row],[25Det]]*Inventory[[#This Row],[Det/Nbhd Adj]],-2)</f>
        <v>0</v>
      </c>
      <c r="BN343" s="30">
        <f>Inventory[[#This Row],[Adjusted Res]]+Inventory[[#This Row],[Adj Det ]]</f>
        <v>318800</v>
      </c>
      <c r="BO343" s="30">
        <f>ROUND((Inventory[[#This Row],[Mdl Land Intercept]]+Inventory[[#This Row],[Mdl LnAcres]])*Inventory[[#This Row],[Det/Nbhd Adj]],-2)</f>
        <v>62500</v>
      </c>
      <c r="BP343" s="30">
        <f>Inventory[[#This Row],[Adjusted Impr Total]]+Inventory[[#This Row],[Adjusted Land Total]]</f>
        <v>381300</v>
      </c>
      <c r="BQ343" s="30">
        <f>IFERROR((Inventory[[#This Row],[Adjusted Impr Total]]-Inventory[[#This Row],[24Bldg]])/Inventory[[#This Row],[24Bldg]],0)</f>
        <v>-2.4479804161566709E-2</v>
      </c>
      <c r="BR343" s="43">
        <f>(Inventory[[#This Row],[Adjusted Land Total]]-Inventory[[#This Row],[24Lnd]])/Inventory[[#This Row],[24Lnd]]</f>
        <v>0</v>
      </c>
      <c r="BS343" s="43">
        <f>(Inventory[[#This Row],[Adjusted Total]]-Inventory[[#This Row],[24Final]])/Inventory[[#This Row],[24Final]]</f>
        <v>-2.0549704597996404E-2</v>
      </c>
    </row>
    <row r="344" spans="1:71">
      <c r="A344" s="30">
        <v>2025</v>
      </c>
      <c r="B344" s="31" t="s">
        <v>857</v>
      </c>
      <c r="C344" s="31">
        <f>LN(Inventory[[#This Row],[Acres]])</f>
        <v>-1.7147984280919266</v>
      </c>
      <c r="D344" s="30">
        <v>0.18</v>
      </c>
      <c r="E344" s="30">
        <v>8005</v>
      </c>
      <c r="F344" s="31" t="s">
        <v>505</v>
      </c>
      <c r="G344" s="31" t="s">
        <v>155</v>
      </c>
      <c r="H344" s="31" t="s">
        <v>5</v>
      </c>
      <c r="I344" s="31" t="s">
        <v>506</v>
      </c>
      <c r="J344" s="31" t="s">
        <v>507</v>
      </c>
      <c r="K344" s="31" t="s">
        <v>330</v>
      </c>
      <c r="L344" s="31" t="s">
        <v>21</v>
      </c>
      <c r="M344" s="31" t="s">
        <v>22</v>
      </c>
      <c r="N344" s="31">
        <v>10</v>
      </c>
      <c r="O344" s="31">
        <f>2024-Inventory[[#This Row],[YrBlt]]</f>
        <v>11</v>
      </c>
      <c r="P344" s="31">
        <f>2024-Inventory[[#This Row],[EffYr]]</f>
        <v>11</v>
      </c>
      <c r="Q344" s="30">
        <v>2013</v>
      </c>
      <c r="R344" s="30">
        <v>2013</v>
      </c>
      <c r="S344" s="30">
        <v>1728</v>
      </c>
      <c r="T344" s="32"/>
      <c r="U344" s="32"/>
      <c r="V344" s="32"/>
      <c r="W344" s="32"/>
      <c r="X344" s="32">
        <f>Inventory[[#This Row],[Bsmt Area]]-Inventory[[#This Row],[FnBsmt]]</f>
        <v>0</v>
      </c>
      <c r="Y344" s="32">
        <f>Inventory[[#This Row],[MainFn]]+Inventory[[#This Row],[UpprFn]]+Inventory[[#This Row],[AddFn]]+Inventory[[#This Row],[FnBsmt]]</f>
        <v>1728</v>
      </c>
      <c r="Z344" s="32">
        <v>2000</v>
      </c>
      <c r="AA344" s="31" t="s">
        <v>56</v>
      </c>
      <c r="AB344" s="38">
        <v>1</v>
      </c>
      <c r="AC344" s="30">
        <v>462</v>
      </c>
      <c r="AD344" s="32"/>
      <c r="AE344" s="32"/>
      <c r="AF344" s="32"/>
      <c r="AG344" s="32"/>
      <c r="AH344" s="32"/>
      <c r="AI344" s="30">
        <v>380613</v>
      </c>
      <c r="AJ344" s="30">
        <v>361582</v>
      </c>
      <c r="AK344" s="30">
        <v>0</v>
      </c>
      <c r="AL344" s="30">
        <v>0</v>
      </c>
      <c r="AM344" s="30">
        <v>62500</v>
      </c>
      <c r="AN344" s="30">
        <v>330200</v>
      </c>
      <c r="AO344" s="30">
        <v>392700</v>
      </c>
      <c r="AP344" s="30">
        <f>Lookups!$B$58*0.6</f>
        <v>132535.48800000001</v>
      </c>
      <c r="AQ344" s="30">
        <f>Lookups!$B$58*0.4</f>
        <v>88356.992000000013</v>
      </c>
      <c r="AR344" s="30">
        <f>Lookups!$B$59*Inventory[[#This Row],[LnAcres]]</f>
        <v>-22505.565020573864</v>
      </c>
      <c r="AS344" s="30">
        <f>VLOOKUP(Inventory[[#This Row],[Qlty]],Lookups!$A$66:$E$79,2,FALSE)</f>
        <v>32917.849192000001</v>
      </c>
      <c r="AT344" s="30">
        <f>VLOOKUP(Inventory[[#This Row],[Cnd]],Lookups!$A$80:$E$88,2,FALSE)</f>
        <v>50438.379078999998</v>
      </c>
      <c r="AU344" s="30">
        <f>Inventory[[#This Row],[EffAge]]*Lookups!$B$65</f>
        <v>-1196.1521</v>
      </c>
      <c r="AV344" s="30">
        <f>Inventory[[#This Row],[MainFn]]*Lookups!$B$90</f>
        <v>107845.13664000001</v>
      </c>
      <c r="AW344" s="30">
        <f>Inventory[[#This Row],[UpprFn]]*Lookups!$B$91</f>
        <v>0</v>
      </c>
      <c r="AX344" s="30">
        <f>Inventory[[#This Row],[Bsmt Area]]*Lookups!$B$95</f>
        <v>0</v>
      </c>
      <c r="AY344" s="30">
        <f>Inventory[[#This Row],[AttGar]]*Lookups!$B$93</f>
        <v>16309.076322000001</v>
      </c>
      <c r="AZ344" s="30">
        <f>ROUND(Inventory[[#This Row],[25Det]],-2)</f>
        <v>0</v>
      </c>
      <c r="BA344" s="30">
        <f>ROUND(SUM(Inventory[[#This Row],[Mdl Qlty]:[Mdl Garage Area]])+Inventory[[#This Row],[Mdl Res Intercept]],-2)</f>
        <v>338800</v>
      </c>
      <c r="BB344" s="30">
        <f>ROUND(Inventory[[#This Row],[Mdl Land Intercept]]+Inventory[[#This Row],[Mdl LnAcres]],-2)</f>
        <v>65900</v>
      </c>
      <c r="BC344" s="30">
        <f>Inventory[[#This Row],[Unadj Res Value]]+Inventory[[#This Row],[Unadj Det Value]]+Inventory[[#This Row],[Unadj Land Value]]</f>
        <v>404700</v>
      </c>
      <c r="BD344" s="30">
        <f>(Inventory[[#This Row],[Unadj Total Value]]-Inventory[[#This Row],[24Final]])/Inventory[[#This Row],[24Final]]</f>
        <v>3.0557677616501147E-2</v>
      </c>
      <c r="BE344" s="30">
        <f>VLOOKUP(Inventory[[#This Row],[Nbhd]],Lookups!$M$3:$P$5,4,FALSE)</f>
        <v>0.99970000000000003</v>
      </c>
      <c r="BF344" s="30">
        <f>VLOOKUP(Inventory[[#This Row],[Qlty]],Lookups!$M$8:$P$22,4,FALSE)</f>
        <v>1.0019</v>
      </c>
      <c r="BG344" s="30">
        <f>VLOOKUP(Inventory[[#This Row],[Cnd]],Lookups!$R$8:$U$17,4,FALSE)</f>
        <v>1.0007999999999999</v>
      </c>
      <c r="BH344" s="30">
        <f>VLOOKUP(Inventory[[#This Row],[LivArea Range]],Lookups!$R$25:$U$43,4,FALSE)</f>
        <v>1.0007999999999999</v>
      </c>
      <c r="BI344" s="30">
        <f>VLOOKUP(Inventory[[#This Row],[Decade]],Lookups!$M$24:$P$40,4,FALSE)</f>
        <v>1.0024</v>
      </c>
      <c r="BJ344" s="30">
        <f>Inventory[[#This Row],[Nbhd Adj]]*0.95</f>
        <v>0.94971499999999998</v>
      </c>
      <c r="BK344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344" s="30">
        <f>ROUND((SUM(Inventory[[#This Row],[Mdl Qlty]:[Mdl Garage Area]])+Inventory[[#This Row],[Mdl Res Intercept]])*Inventory[[#This Row],[Res Adj ]],-2)</f>
        <v>322300</v>
      </c>
      <c r="BM344" s="30">
        <f>ROUND(Inventory[[#This Row],[25Det]]*Inventory[[#This Row],[Det/Nbhd Adj]],-2)</f>
        <v>0</v>
      </c>
      <c r="BN344" s="30">
        <f>Inventory[[#This Row],[Adjusted Res]]+Inventory[[#This Row],[Adj Det ]]</f>
        <v>322300</v>
      </c>
      <c r="BO344" s="30">
        <f>ROUND((Inventory[[#This Row],[Mdl Land Intercept]]+Inventory[[#This Row],[Mdl LnAcres]])*Inventory[[#This Row],[Det/Nbhd Adj]],-2)</f>
        <v>62500</v>
      </c>
      <c r="BP344" s="30">
        <f>Inventory[[#This Row],[Adjusted Impr Total]]+Inventory[[#This Row],[Adjusted Land Total]]</f>
        <v>384800</v>
      </c>
      <c r="BQ344" s="30">
        <f>IFERROR((Inventory[[#This Row],[Adjusted Impr Total]]-Inventory[[#This Row],[24Bldg]])/Inventory[[#This Row],[24Bldg]],0)</f>
        <v>-2.3924894003634161E-2</v>
      </c>
      <c r="BR344" s="43">
        <f>(Inventory[[#This Row],[Adjusted Land Total]]-Inventory[[#This Row],[24Lnd]])/Inventory[[#This Row],[24Lnd]]</f>
        <v>0</v>
      </c>
      <c r="BS344" s="43">
        <f>(Inventory[[#This Row],[Adjusted Total]]-Inventory[[#This Row],[24Final]])/Inventory[[#This Row],[24Final]]</f>
        <v>-2.0117137764196588E-2</v>
      </c>
    </row>
    <row r="345" spans="1:71">
      <c r="A345" s="30">
        <v>2025</v>
      </c>
      <c r="B345" s="31" t="s">
        <v>858</v>
      </c>
      <c r="C345" s="31">
        <f>LN(Inventory[[#This Row],[Acres]])</f>
        <v>-1.7147984280919266</v>
      </c>
      <c r="D345" s="30">
        <v>0.18</v>
      </c>
      <c r="E345" s="38">
        <v>7787</v>
      </c>
      <c r="F345" s="31" t="s">
        <v>505</v>
      </c>
      <c r="G345" s="31" t="s">
        <v>155</v>
      </c>
      <c r="H345" s="31" t="s">
        <v>5</v>
      </c>
      <c r="I345" s="31" t="s">
        <v>506</v>
      </c>
      <c r="J345" s="31" t="s">
        <v>507</v>
      </c>
      <c r="K345" s="31" t="s">
        <v>330</v>
      </c>
      <c r="L345" s="31" t="s">
        <v>19</v>
      </c>
      <c r="M345" s="31" t="s">
        <v>22</v>
      </c>
      <c r="N345" s="31">
        <v>10</v>
      </c>
      <c r="O345" s="31">
        <f>2024-Inventory[[#This Row],[YrBlt]]</f>
        <v>11</v>
      </c>
      <c r="P345" s="31">
        <f>2024-Inventory[[#This Row],[EffYr]]</f>
        <v>11</v>
      </c>
      <c r="Q345" s="30">
        <v>2013</v>
      </c>
      <c r="R345" s="30">
        <v>2013</v>
      </c>
      <c r="S345" s="30">
        <v>1419</v>
      </c>
      <c r="T345" s="32"/>
      <c r="U345" s="32"/>
      <c r="V345" s="32"/>
      <c r="W345" s="32"/>
      <c r="X345" s="32">
        <f>Inventory[[#This Row],[Bsmt Area]]-Inventory[[#This Row],[FnBsmt]]</f>
        <v>0</v>
      </c>
      <c r="Y345" s="32">
        <f>Inventory[[#This Row],[MainFn]]+Inventory[[#This Row],[UpprFn]]+Inventory[[#This Row],[AddFn]]+Inventory[[#This Row],[FnBsmt]]</f>
        <v>1419</v>
      </c>
      <c r="Z345" s="32">
        <v>1500</v>
      </c>
      <c r="AA345" s="31" t="s">
        <v>56</v>
      </c>
      <c r="AB345" s="37"/>
      <c r="AC345" s="38">
        <v>413</v>
      </c>
      <c r="AD345" s="32"/>
      <c r="AE345" s="32"/>
      <c r="AF345" s="32"/>
      <c r="AG345" s="32"/>
      <c r="AH345" s="32"/>
      <c r="AI345" s="30">
        <v>278289</v>
      </c>
      <c r="AJ345" s="30">
        <v>264375</v>
      </c>
      <c r="AK345" s="30">
        <v>0</v>
      </c>
      <c r="AL345" s="30">
        <v>0</v>
      </c>
      <c r="AM345" s="30">
        <v>62500</v>
      </c>
      <c r="AN345" s="30">
        <v>307300</v>
      </c>
      <c r="AO345" s="30">
        <v>369800</v>
      </c>
      <c r="AP345" s="30">
        <f>Lookups!$B$58*0.6</f>
        <v>132535.48800000001</v>
      </c>
      <c r="AQ345" s="30">
        <f>Lookups!$B$58*0.4</f>
        <v>88356.992000000013</v>
      </c>
      <c r="AR345" s="30">
        <f>Lookups!$B$59*Inventory[[#This Row],[LnAcres]]</f>
        <v>-22505.565020573864</v>
      </c>
      <c r="AS345" s="30">
        <f>VLOOKUP(Inventory[[#This Row],[Qlty]],Lookups!$A$66:$E$79,2,FALSE)</f>
        <v>37154.252388000001</v>
      </c>
      <c r="AT345" s="30">
        <f>VLOOKUP(Inventory[[#This Row],[Cnd]],Lookups!$A$80:$E$88,2,FALSE)</f>
        <v>50438.379078999998</v>
      </c>
      <c r="AU345" s="30">
        <f>Inventory[[#This Row],[EffAge]]*Lookups!$B$65</f>
        <v>-1196.1521</v>
      </c>
      <c r="AV345" s="30">
        <f>Inventory[[#This Row],[MainFn]]*Lookups!$B$90</f>
        <v>88560.32922</v>
      </c>
      <c r="AW345" s="30">
        <f>Inventory[[#This Row],[UpprFn]]*Lookups!$B$91</f>
        <v>0</v>
      </c>
      <c r="AX345" s="30">
        <f>Inventory[[#This Row],[Bsmt Area]]*Lookups!$B$95</f>
        <v>0</v>
      </c>
      <c r="AY345" s="30">
        <f>Inventory[[#This Row],[AttGar]]*Lookups!$B$93</f>
        <v>14579.325803000002</v>
      </c>
      <c r="AZ345" s="30">
        <f>ROUND(Inventory[[#This Row],[25Det]],-2)</f>
        <v>0</v>
      </c>
      <c r="BA345" s="30">
        <f>ROUND(SUM(Inventory[[#This Row],[Mdl Qlty]:[Mdl Garage Area]])+Inventory[[#This Row],[Mdl Res Intercept]],-2)</f>
        <v>322100</v>
      </c>
      <c r="BB345" s="30">
        <f>ROUND(Inventory[[#This Row],[Mdl Land Intercept]]+Inventory[[#This Row],[Mdl LnAcres]],-2)</f>
        <v>65900</v>
      </c>
      <c r="BC345" s="30">
        <f>Inventory[[#This Row],[Unadj Res Value]]+Inventory[[#This Row],[Unadj Det Value]]+Inventory[[#This Row],[Unadj Land Value]]</f>
        <v>388000</v>
      </c>
      <c r="BD345" s="30">
        <f>(Inventory[[#This Row],[Unadj Total Value]]-Inventory[[#This Row],[24Final]])/Inventory[[#This Row],[24Final]]</f>
        <v>4.921579232017307E-2</v>
      </c>
      <c r="BE345" s="30">
        <f>VLOOKUP(Inventory[[#This Row],[Nbhd]],Lookups!$M$3:$P$5,4,FALSE)</f>
        <v>0.99970000000000003</v>
      </c>
      <c r="BF345" s="30">
        <f>VLOOKUP(Inventory[[#This Row],[Qlty]],Lookups!$M$8:$P$22,4,FALSE)</f>
        <v>0.99819999999999998</v>
      </c>
      <c r="BG345" s="30">
        <f>VLOOKUP(Inventory[[#This Row],[Cnd]],Lookups!$R$8:$U$17,4,FALSE)</f>
        <v>1.0007999999999999</v>
      </c>
      <c r="BH345" s="30">
        <f>VLOOKUP(Inventory[[#This Row],[LivArea Range]],Lookups!$R$25:$U$43,4,FALSE)</f>
        <v>0.99519999999999997</v>
      </c>
      <c r="BI345" s="30">
        <f>VLOOKUP(Inventory[[#This Row],[Decade]],Lookups!$M$24:$P$40,4,FALSE)</f>
        <v>1.0024</v>
      </c>
      <c r="BJ345" s="30">
        <f>Inventory[[#This Row],[Nbhd Adj]]*0.95</f>
        <v>0.94971499999999998</v>
      </c>
      <c r="BK345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345" s="30">
        <f>ROUND((SUM(Inventory[[#This Row],[Mdl Qlty]:[Mdl Garage Area]])+Inventory[[#This Row],[Mdl Res Intercept]])*Inventory[[#This Row],[Res Adj ]],-2)</f>
        <v>305700</v>
      </c>
      <c r="BM345" s="30">
        <f>ROUND(Inventory[[#This Row],[25Det]]*Inventory[[#This Row],[Det/Nbhd Adj]],-2)</f>
        <v>0</v>
      </c>
      <c r="BN345" s="30">
        <f>Inventory[[#This Row],[Adjusted Res]]+Inventory[[#This Row],[Adj Det ]]</f>
        <v>305700</v>
      </c>
      <c r="BO345" s="30">
        <f>ROUND((Inventory[[#This Row],[Mdl Land Intercept]]+Inventory[[#This Row],[Mdl LnAcres]])*Inventory[[#This Row],[Det/Nbhd Adj]],-2)</f>
        <v>62500</v>
      </c>
      <c r="BP345" s="30">
        <f>Inventory[[#This Row],[Adjusted Impr Total]]+Inventory[[#This Row],[Adjusted Land Total]]</f>
        <v>368200</v>
      </c>
      <c r="BQ345" s="30">
        <f>IFERROR((Inventory[[#This Row],[Adjusted Impr Total]]-Inventory[[#This Row],[24Bldg]])/Inventory[[#This Row],[24Bldg]],0)</f>
        <v>-5.2066384640416527E-3</v>
      </c>
      <c r="BR345" s="43">
        <f>(Inventory[[#This Row],[Adjusted Land Total]]-Inventory[[#This Row],[24Lnd]])/Inventory[[#This Row],[24Lnd]]</f>
        <v>0</v>
      </c>
      <c r="BS345" s="43">
        <f>(Inventory[[#This Row],[Adjusted Total]]-Inventory[[#This Row],[24Final]])/Inventory[[#This Row],[24Final]]</f>
        <v>-4.3266630611141161E-3</v>
      </c>
    </row>
    <row r="346" spans="1:71">
      <c r="A346" s="30">
        <v>2025</v>
      </c>
      <c r="B346" s="31" t="s">
        <v>859</v>
      </c>
      <c r="C346" s="31">
        <f>LN(Inventory[[#This Row],[Acres]])</f>
        <v>-1.7147984280919266</v>
      </c>
      <c r="D346" s="30">
        <v>0.18</v>
      </c>
      <c r="E346" s="38">
        <v>7915</v>
      </c>
      <c r="F346" s="31" t="s">
        <v>505</v>
      </c>
      <c r="G346" s="31" t="s">
        <v>155</v>
      </c>
      <c r="H346" s="31" t="s">
        <v>5</v>
      </c>
      <c r="I346" s="31" t="s">
        <v>506</v>
      </c>
      <c r="J346" s="31" t="s">
        <v>507</v>
      </c>
      <c r="K346" s="31" t="s">
        <v>330</v>
      </c>
      <c r="L346" s="31" t="s">
        <v>21</v>
      </c>
      <c r="M346" s="31" t="s">
        <v>22</v>
      </c>
      <c r="N346" s="31">
        <v>10</v>
      </c>
      <c r="O346" s="31">
        <f>2024-Inventory[[#This Row],[YrBlt]]</f>
        <v>11</v>
      </c>
      <c r="P346" s="31">
        <f>2024-Inventory[[#This Row],[EffYr]]</f>
        <v>11</v>
      </c>
      <c r="Q346" s="30">
        <v>2013</v>
      </c>
      <c r="R346" s="30">
        <v>2013</v>
      </c>
      <c r="S346" s="30">
        <v>1945</v>
      </c>
      <c r="T346" s="37"/>
      <c r="U346" s="32"/>
      <c r="V346" s="32"/>
      <c r="W346" s="32"/>
      <c r="X346" s="32">
        <f>Inventory[[#This Row],[Bsmt Area]]-Inventory[[#This Row],[FnBsmt]]</f>
        <v>0</v>
      </c>
      <c r="Y346" s="32">
        <f>Inventory[[#This Row],[MainFn]]+Inventory[[#This Row],[UpprFn]]+Inventory[[#This Row],[AddFn]]+Inventory[[#This Row],[FnBsmt]]</f>
        <v>1945</v>
      </c>
      <c r="Z346" s="32">
        <v>2000</v>
      </c>
      <c r="AA346" s="31" t="s">
        <v>56</v>
      </c>
      <c r="AB346" s="38">
        <v>1</v>
      </c>
      <c r="AC346" s="30">
        <v>744</v>
      </c>
      <c r="AD346" s="32"/>
      <c r="AE346" s="32"/>
      <c r="AF346" s="32"/>
      <c r="AG346" s="32"/>
      <c r="AH346" s="32"/>
      <c r="AI346" s="30">
        <v>432901</v>
      </c>
      <c r="AJ346" s="30">
        <v>411256</v>
      </c>
      <c r="AK346" s="30">
        <v>0</v>
      </c>
      <c r="AL346" s="30">
        <v>0</v>
      </c>
      <c r="AM346" s="30">
        <v>62500</v>
      </c>
      <c r="AN346" s="30">
        <v>348100</v>
      </c>
      <c r="AO346" s="30">
        <v>410600</v>
      </c>
      <c r="AP346" s="30">
        <f>Lookups!$B$58*0.6</f>
        <v>132535.48800000001</v>
      </c>
      <c r="AQ346" s="30">
        <f>Lookups!$B$58*0.4</f>
        <v>88356.992000000013</v>
      </c>
      <c r="AR346" s="30">
        <f>Lookups!$B$59*Inventory[[#This Row],[LnAcres]]</f>
        <v>-22505.565020573864</v>
      </c>
      <c r="AS346" s="30">
        <f>VLOOKUP(Inventory[[#This Row],[Qlty]],Lookups!$A$66:$E$79,2,FALSE)</f>
        <v>32917.849192000001</v>
      </c>
      <c r="AT346" s="30">
        <f>VLOOKUP(Inventory[[#This Row],[Cnd]],Lookups!$A$80:$E$88,2,FALSE)</f>
        <v>50438.379078999998</v>
      </c>
      <c r="AU346" s="30">
        <f>Inventory[[#This Row],[EffAge]]*Lookups!$B$65</f>
        <v>-1196.1521</v>
      </c>
      <c r="AV346" s="30">
        <f>Inventory[[#This Row],[MainFn]]*Lookups!$B$90</f>
        <v>121388.1891</v>
      </c>
      <c r="AW346" s="30">
        <f>Inventory[[#This Row],[UpprFn]]*Lookups!$B$91</f>
        <v>0</v>
      </c>
      <c r="AX346" s="30">
        <f>Inventory[[#This Row],[Bsmt Area]]*Lookups!$B$95</f>
        <v>0</v>
      </c>
      <c r="AY346" s="30">
        <f>Inventory[[#This Row],[AttGar]]*Lookups!$B$93</f>
        <v>26263.967064</v>
      </c>
      <c r="AZ346" s="30">
        <f>ROUND(Inventory[[#This Row],[25Det]],-2)</f>
        <v>0</v>
      </c>
      <c r="BA346" s="30">
        <f>ROUND(SUM(Inventory[[#This Row],[Mdl Qlty]:[Mdl Garage Area]])+Inventory[[#This Row],[Mdl Res Intercept]],-2)</f>
        <v>362300</v>
      </c>
      <c r="BB346" s="30">
        <f>ROUND(Inventory[[#This Row],[Mdl Land Intercept]]+Inventory[[#This Row],[Mdl LnAcres]],-2)</f>
        <v>65900</v>
      </c>
      <c r="BC346" s="30">
        <f>Inventory[[#This Row],[Unadj Res Value]]+Inventory[[#This Row],[Unadj Det Value]]+Inventory[[#This Row],[Unadj Land Value]]</f>
        <v>428200</v>
      </c>
      <c r="BD346" s="30">
        <f>(Inventory[[#This Row],[Unadj Total Value]]-Inventory[[#This Row],[24Final]])/Inventory[[#This Row],[24Final]]</f>
        <v>4.2864101315148562E-2</v>
      </c>
      <c r="BE346" s="30">
        <f>VLOOKUP(Inventory[[#This Row],[Nbhd]],Lookups!$M$3:$P$5,4,FALSE)</f>
        <v>0.99970000000000003</v>
      </c>
      <c r="BF346" s="30">
        <f>VLOOKUP(Inventory[[#This Row],[Qlty]],Lookups!$M$8:$P$22,4,FALSE)</f>
        <v>1.0019</v>
      </c>
      <c r="BG346" s="30">
        <f>VLOOKUP(Inventory[[#This Row],[Cnd]],Lookups!$R$8:$U$17,4,FALSE)</f>
        <v>1.0007999999999999</v>
      </c>
      <c r="BH346" s="30">
        <f>VLOOKUP(Inventory[[#This Row],[LivArea Range]],Lookups!$R$25:$U$43,4,FALSE)</f>
        <v>1.0007999999999999</v>
      </c>
      <c r="BI346" s="30">
        <f>VLOOKUP(Inventory[[#This Row],[Decade]],Lookups!$M$24:$P$40,4,FALSE)</f>
        <v>1.0024</v>
      </c>
      <c r="BJ346" s="30">
        <f>Inventory[[#This Row],[Nbhd Adj]]*0.95</f>
        <v>0.94971499999999998</v>
      </c>
      <c r="BK346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346" s="30">
        <f>ROUND((SUM(Inventory[[#This Row],[Mdl Qlty]:[Mdl Garage Area]])+Inventory[[#This Row],[Mdl Res Intercept]])*Inventory[[#This Row],[Res Adj ]],-2)</f>
        <v>344600</v>
      </c>
      <c r="BM346" s="30">
        <f>ROUND(Inventory[[#This Row],[25Det]]*Inventory[[#This Row],[Det/Nbhd Adj]],-2)</f>
        <v>0</v>
      </c>
      <c r="BN346" s="30">
        <f>Inventory[[#This Row],[Adjusted Res]]+Inventory[[#This Row],[Adj Det ]]</f>
        <v>344600</v>
      </c>
      <c r="BO346" s="30">
        <f>ROUND((Inventory[[#This Row],[Mdl Land Intercept]]+Inventory[[#This Row],[Mdl LnAcres]])*Inventory[[#This Row],[Det/Nbhd Adj]],-2)</f>
        <v>62500</v>
      </c>
      <c r="BP346" s="30">
        <f>Inventory[[#This Row],[Adjusted Impr Total]]+Inventory[[#This Row],[Adjusted Land Total]]</f>
        <v>407100</v>
      </c>
      <c r="BQ346" s="30">
        <f>IFERROR((Inventory[[#This Row],[Adjusted Impr Total]]-Inventory[[#This Row],[24Bldg]])/Inventory[[#This Row],[24Bldg]],0)</f>
        <v>-1.005458201666188E-2</v>
      </c>
      <c r="BR346" s="43">
        <f>(Inventory[[#This Row],[Adjusted Land Total]]-Inventory[[#This Row],[24Lnd]])/Inventory[[#This Row],[24Lnd]]</f>
        <v>0</v>
      </c>
      <c r="BS346" s="43">
        <f>(Inventory[[#This Row],[Adjusted Total]]-Inventory[[#This Row],[24Final]])/Inventory[[#This Row],[24Final]]</f>
        <v>-8.5241110569897714E-3</v>
      </c>
    </row>
    <row r="347" spans="1:71">
      <c r="A347" s="30">
        <v>2025</v>
      </c>
      <c r="B347" s="31" t="s">
        <v>860</v>
      </c>
      <c r="C347" s="31">
        <f>LN(Inventory[[#This Row],[Acres]])</f>
        <v>-1.7147984280919266</v>
      </c>
      <c r="D347" s="30">
        <v>0.18</v>
      </c>
      <c r="E347" s="30">
        <v>8015</v>
      </c>
      <c r="F347" s="31" t="s">
        <v>505</v>
      </c>
      <c r="G347" s="31" t="s">
        <v>155</v>
      </c>
      <c r="H347" s="31" t="s">
        <v>5</v>
      </c>
      <c r="I347" s="31" t="s">
        <v>506</v>
      </c>
      <c r="J347" s="31" t="s">
        <v>507</v>
      </c>
      <c r="K347" s="31" t="s">
        <v>330</v>
      </c>
      <c r="L347" s="31" t="s">
        <v>21</v>
      </c>
      <c r="M347" s="31" t="s">
        <v>22</v>
      </c>
      <c r="N347" s="31">
        <v>10</v>
      </c>
      <c r="O347" s="31">
        <f>2024-Inventory[[#This Row],[YrBlt]]</f>
        <v>11</v>
      </c>
      <c r="P347" s="31">
        <f>2024-Inventory[[#This Row],[EffYr]]</f>
        <v>11</v>
      </c>
      <c r="Q347" s="30">
        <v>2013</v>
      </c>
      <c r="R347" s="30">
        <v>2013</v>
      </c>
      <c r="S347" s="30">
        <v>1978</v>
      </c>
      <c r="T347" s="32"/>
      <c r="U347" s="32"/>
      <c r="V347" s="32"/>
      <c r="W347" s="32"/>
      <c r="X347" s="32">
        <f>Inventory[[#This Row],[Bsmt Area]]-Inventory[[#This Row],[FnBsmt]]</f>
        <v>0</v>
      </c>
      <c r="Y347" s="32">
        <f>Inventory[[#This Row],[MainFn]]+Inventory[[#This Row],[UpprFn]]+Inventory[[#This Row],[AddFn]]+Inventory[[#This Row],[FnBsmt]]</f>
        <v>1978</v>
      </c>
      <c r="Z347" s="32">
        <v>2000</v>
      </c>
      <c r="AA347" s="31" t="s">
        <v>56</v>
      </c>
      <c r="AB347" s="38">
        <v>1</v>
      </c>
      <c r="AC347" s="38">
        <v>429</v>
      </c>
      <c r="AD347" s="32"/>
      <c r="AE347" s="32"/>
      <c r="AF347" s="32"/>
      <c r="AG347" s="32"/>
      <c r="AH347" s="32"/>
      <c r="AI347" s="30">
        <v>424460</v>
      </c>
      <c r="AJ347" s="30">
        <v>403237</v>
      </c>
      <c r="AK347" s="30">
        <v>0</v>
      </c>
      <c r="AL347" s="30">
        <v>0</v>
      </c>
      <c r="AM347" s="30">
        <v>62500</v>
      </c>
      <c r="AN347" s="30">
        <v>335400</v>
      </c>
      <c r="AO347" s="30">
        <v>397900</v>
      </c>
      <c r="AP347" s="30">
        <f>Lookups!$B$58*0.6</f>
        <v>132535.48800000001</v>
      </c>
      <c r="AQ347" s="30">
        <f>Lookups!$B$58*0.4</f>
        <v>88356.992000000013</v>
      </c>
      <c r="AR347" s="30">
        <f>Lookups!$B$59*Inventory[[#This Row],[LnAcres]]</f>
        <v>-22505.565020573864</v>
      </c>
      <c r="AS347" s="30">
        <f>VLOOKUP(Inventory[[#This Row],[Qlty]],Lookups!$A$66:$E$79,2,FALSE)</f>
        <v>32917.849192000001</v>
      </c>
      <c r="AT347" s="30">
        <f>VLOOKUP(Inventory[[#This Row],[Cnd]],Lookups!$A$80:$E$88,2,FALSE)</f>
        <v>50438.379078999998</v>
      </c>
      <c r="AU347" s="30">
        <f>Inventory[[#This Row],[EffAge]]*Lookups!$B$65</f>
        <v>-1196.1521</v>
      </c>
      <c r="AV347" s="30">
        <f>Inventory[[#This Row],[MainFn]]*Lookups!$B$90</f>
        <v>123447.73164000001</v>
      </c>
      <c r="AW347" s="30">
        <f>Inventory[[#This Row],[UpprFn]]*Lookups!$B$91</f>
        <v>0</v>
      </c>
      <c r="AX347" s="30">
        <f>Inventory[[#This Row],[Bsmt Area]]*Lookups!$B$95</f>
        <v>0</v>
      </c>
      <c r="AY347" s="30">
        <f>Inventory[[#This Row],[AttGar]]*Lookups!$B$93</f>
        <v>15144.142299000001</v>
      </c>
      <c r="AZ347" s="30">
        <f>ROUND(Inventory[[#This Row],[25Det]],-2)</f>
        <v>0</v>
      </c>
      <c r="BA347" s="30">
        <f>ROUND(SUM(Inventory[[#This Row],[Mdl Qlty]:[Mdl Garage Area]])+Inventory[[#This Row],[Mdl Res Intercept]],-2)</f>
        <v>353300</v>
      </c>
      <c r="BB347" s="30">
        <f>ROUND(Inventory[[#This Row],[Mdl Land Intercept]]+Inventory[[#This Row],[Mdl LnAcres]],-2)</f>
        <v>65900</v>
      </c>
      <c r="BC347" s="30">
        <f>Inventory[[#This Row],[Unadj Res Value]]+Inventory[[#This Row],[Unadj Det Value]]+Inventory[[#This Row],[Unadj Land Value]]</f>
        <v>419200</v>
      </c>
      <c r="BD347" s="30">
        <f>(Inventory[[#This Row],[Unadj Total Value]]-Inventory[[#This Row],[24Final]])/Inventory[[#This Row],[24Final]]</f>
        <v>5.3531037949233473E-2</v>
      </c>
      <c r="BE347" s="30">
        <f>VLOOKUP(Inventory[[#This Row],[Nbhd]],Lookups!$M$3:$P$5,4,FALSE)</f>
        <v>0.99970000000000003</v>
      </c>
      <c r="BF347" s="30">
        <f>VLOOKUP(Inventory[[#This Row],[Qlty]],Lookups!$M$8:$P$22,4,FALSE)</f>
        <v>1.0019</v>
      </c>
      <c r="BG347" s="30">
        <f>VLOOKUP(Inventory[[#This Row],[Cnd]],Lookups!$R$8:$U$17,4,FALSE)</f>
        <v>1.0007999999999999</v>
      </c>
      <c r="BH347" s="30">
        <f>VLOOKUP(Inventory[[#This Row],[LivArea Range]],Lookups!$R$25:$U$43,4,FALSE)</f>
        <v>1.0007999999999999</v>
      </c>
      <c r="BI347" s="30">
        <f>VLOOKUP(Inventory[[#This Row],[Decade]],Lookups!$M$24:$P$40,4,FALSE)</f>
        <v>1.0024</v>
      </c>
      <c r="BJ347" s="30">
        <f>Inventory[[#This Row],[Nbhd Adj]]*0.95</f>
        <v>0.94971499999999998</v>
      </c>
      <c r="BK347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347" s="30">
        <f>ROUND((SUM(Inventory[[#This Row],[Mdl Qlty]:[Mdl Garage Area]])+Inventory[[#This Row],[Mdl Res Intercept]])*Inventory[[#This Row],[Res Adj ]],-2)</f>
        <v>336000</v>
      </c>
      <c r="BM347" s="30">
        <f>ROUND(Inventory[[#This Row],[25Det]]*Inventory[[#This Row],[Det/Nbhd Adj]],-2)</f>
        <v>0</v>
      </c>
      <c r="BN347" s="30">
        <f>Inventory[[#This Row],[Adjusted Res]]+Inventory[[#This Row],[Adj Det ]]</f>
        <v>336000</v>
      </c>
      <c r="BO347" s="30">
        <f>ROUND((Inventory[[#This Row],[Mdl Land Intercept]]+Inventory[[#This Row],[Mdl LnAcres]])*Inventory[[#This Row],[Det/Nbhd Adj]],-2)</f>
        <v>62500</v>
      </c>
      <c r="BP347" s="30">
        <f>Inventory[[#This Row],[Adjusted Impr Total]]+Inventory[[#This Row],[Adjusted Land Total]]</f>
        <v>398500</v>
      </c>
      <c r="BQ347" s="30">
        <f>IFERROR((Inventory[[#This Row],[Adjusted Impr Total]]-Inventory[[#This Row],[24Bldg]])/Inventory[[#This Row],[24Bldg]],0)</f>
        <v>1.7889087656529517E-3</v>
      </c>
      <c r="BR347" s="43">
        <f>(Inventory[[#This Row],[Adjusted Land Total]]-Inventory[[#This Row],[24Lnd]])/Inventory[[#This Row],[24Lnd]]</f>
        <v>0</v>
      </c>
      <c r="BS347" s="43">
        <f>(Inventory[[#This Row],[Adjusted Total]]-Inventory[[#This Row],[24Final]])/Inventory[[#This Row],[24Final]]</f>
        <v>1.5079165619502387E-3</v>
      </c>
    </row>
    <row r="348" spans="1:71">
      <c r="A348" s="30">
        <v>2025</v>
      </c>
      <c r="B348" s="31" t="s">
        <v>861</v>
      </c>
      <c r="C348" s="31">
        <f>LN(Inventory[[#This Row],[Acres]])</f>
        <v>-1.7147984280919266</v>
      </c>
      <c r="D348" s="30">
        <v>0.18</v>
      </c>
      <c r="E348" s="30">
        <v>7787</v>
      </c>
      <c r="F348" s="31" t="s">
        <v>505</v>
      </c>
      <c r="G348" s="31" t="s">
        <v>155</v>
      </c>
      <c r="H348" s="31" t="s">
        <v>5</v>
      </c>
      <c r="I348" s="31" t="s">
        <v>506</v>
      </c>
      <c r="J348" s="31" t="s">
        <v>507</v>
      </c>
      <c r="K348" s="31" t="s">
        <v>330</v>
      </c>
      <c r="L348" s="31" t="s">
        <v>21</v>
      </c>
      <c r="M348" s="31" t="s">
        <v>22</v>
      </c>
      <c r="N348" s="31">
        <v>10</v>
      </c>
      <c r="O348" s="31">
        <f>2024-Inventory[[#This Row],[YrBlt]]</f>
        <v>11</v>
      </c>
      <c r="P348" s="31">
        <f>2024-Inventory[[#This Row],[EffYr]]</f>
        <v>11</v>
      </c>
      <c r="Q348" s="30">
        <v>2013</v>
      </c>
      <c r="R348" s="30">
        <v>2013</v>
      </c>
      <c r="S348" s="30">
        <v>1799</v>
      </c>
      <c r="T348" s="32"/>
      <c r="U348" s="32"/>
      <c r="V348" s="32"/>
      <c r="W348" s="32"/>
      <c r="X348" s="32">
        <f>Inventory[[#This Row],[Bsmt Area]]-Inventory[[#This Row],[FnBsmt]]</f>
        <v>0</v>
      </c>
      <c r="Y348" s="32">
        <f>Inventory[[#This Row],[MainFn]]+Inventory[[#This Row],[UpprFn]]+Inventory[[#This Row],[AddFn]]+Inventory[[#This Row],[FnBsmt]]</f>
        <v>1799</v>
      </c>
      <c r="Z348" s="32">
        <v>2000</v>
      </c>
      <c r="AA348" s="31" t="s">
        <v>56</v>
      </c>
      <c r="AB348" s="38">
        <v>1</v>
      </c>
      <c r="AC348" s="38">
        <v>681</v>
      </c>
      <c r="AD348" s="32"/>
      <c r="AE348" s="32"/>
      <c r="AF348" s="32"/>
      <c r="AG348" s="32"/>
      <c r="AH348" s="32"/>
      <c r="AI348" s="30">
        <v>394703</v>
      </c>
      <c r="AJ348" s="30">
        <v>374968</v>
      </c>
      <c r="AK348" s="30">
        <v>0</v>
      </c>
      <c r="AL348" s="30">
        <v>0</v>
      </c>
      <c r="AM348" s="30">
        <v>62500</v>
      </c>
      <c r="AN348" s="30">
        <v>333100</v>
      </c>
      <c r="AO348" s="30">
        <v>395600</v>
      </c>
      <c r="AP348" s="30">
        <f>Lookups!$B$58*0.6</f>
        <v>132535.48800000001</v>
      </c>
      <c r="AQ348" s="30">
        <f>Lookups!$B$58*0.4</f>
        <v>88356.992000000013</v>
      </c>
      <c r="AR348" s="30">
        <f>Lookups!$B$59*Inventory[[#This Row],[LnAcres]]</f>
        <v>-22505.565020573864</v>
      </c>
      <c r="AS348" s="30">
        <f>VLOOKUP(Inventory[[#This Row],[Qlty]],Lookups!$A$66:$E$79,2,FALSE)</f>
        <v>32917.849192000001</v>
      </c>
      <c r="AT348" s="30">
        <f>VLOOKUP(Inventory[[#This Row],[Cnd]],Lookups!$A$80:$E$88,2,FALSE)</f>
        <v>50438.379078999998</v>
      </c>
      <c r="AU348" s="30">
        <f>Inventory[[#This Row],[EffAge]]*Lookups!$B$65</f>
        <v>-1196.1521</v>
      </c>
      <c r="AV348" s="30">
        <f>Inventory[[#This Row],[MainFn]]*Lookups!$B$90</f>
        <v>112276.27362000001</v>
      </c>
      <c r="AW348" s="30">
        <f>Inventory[[#This Row],[UpprFn]]*Lookups!$B$91</f>
        <v>0</v>
      </c>
      <c r="AX348" s="30">
        <f>Inventory[[#This Row],[Bsmt Area]]*Lookups!$B$95</f>
        <v>0</v>
      </c>
      <c r="AY348" s="30">
        <f>Inventory[[#This Row],[AttGar]]*Lookups!$B$93</f>
        <v>24040.002111000002</v>
      </c>
      <c r="AZ348" s="30">
        <f>ROUND(Inventory[[#This Row],[25Det]],-2)</f>
        <v>0</v>
      </c>
      <c r="BA348" s="30">
        <f>ROUND(SUM(Inventory[[#This Row],[Mdl Qlty]:[Mdl Garage Area]])+Inventory[[#This Row],[Mdl Res Intercept]],-2)</f>
        <v>351000</v>
      </c>
      <c r="BB348" s="30">
        <f>ROUND(Inventory[[#This Row],[Mdl Land Intercept]]+Inventory[[#This Row],[Mdl LnAcres]],-2)</f>
        <v>65900</v>
      </c>
      <c r="BC348" s="30">
        <f>Inventory[[#This Row],[Unadj Res Value]]+Inventory[[#This Row],[Unadj Det Value]]+Inventory[[#This Row],[Unadj Land Value]]</f>
        <v>416900</v>
      </c>
      <c r="BD348" s="30">
        <f>(Inventory[[#This Row],[Unadj Total Value]]-Inventory[[#This Row],[24Final]])/Inventory[[#This Row],[24Final]]</f>
        <v>5.3842264914054604E-2</v>
      </c>
      <c r="BE348" s="30">
        <f>VLOOKUP(Inventory[[#This Row],[Nbhd]],Lookups!$M$3:$P$5,4,FALSE)</f>
        <v>0.99970000000000003</v>
      </c>
      <c r="BF348" s="30">
        <f>VLOOKUP(Inventory[[#This Row],[Qlty]],Lookups!$M$8:$P$22,4,FALSE)</f>
        <v>1.0019</v>
      </c>
      <c r="BG348" s="30">
        <f>VLOOKUP(Inventory[[#This Row],[Cnd]],Lookups!$R$8:$U$17,4,FALSE)</f>
        <v>1.0007999999999999</v>
      </c>
      <c r="BH348" s="30">
        <f>VLOOKUP(Inventory[[#This Row],[LivArea Range]],Lookups!$R$25:$U$43,4,FALSE)</f>
        <v>1.0007999999999999</v>
      </c>
      <c r="BI348" s="30">
        <f>VLOOKUP(Inventory[[#This Row],[Decade]],Lookups!$M$24:$P$40,4,FALSE)</f>
        <v>1.0024</v>
      </c>
      <c r="BJ348" s="30">
        <f>Inventory[[#This Row],[Nbhd Adj]]*0.95</f>
        <v>0.94971499999999998</v>
      </c>
      <c r="BK348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348" s="30">
        <f>ROUND((SUM(Inventory[[#This Row],[Mdl Qlty]:[Mdl Garage Area]])+Inventory[[#This Row],[Mdl Res Intercept]])*Inventory[[#This Row],[Res Adj ]],-2)</f>
        <v>333800</v>
      </c>
      <c r="BM348" s="30">
        <f>ROUND(Inventory[[#This Row],[25Det]]*Inventory[[#This Row],[Det/Nbhd Adj]],-2)</f>
        <v>0</v>
      </c>
      <c r="BN348" s="30">
        <f>Inventory[[#This Row],[Adjusted Res]]+Inventory[[#This Row],[Adj Det ]]</f>
        <v>333800</v>
      </c>
      <c r="BO348" s="30">
        <f>ROUND((Inventory[[#This Row],[Mdl Land Intercept]]+Inventory[[#This Row],[Mdl LnAcres]])*Inventory[[#This Row],[Det/Nbhd Adj]],-2)</f>
        <v>62500</v>
      </c>
      <c r="BP348" s="30">
        <f>Inventory[[#This Row],[Adjusted Impr Total]]+Inventory[[#This Row],[Adjusted Land Total]]</f>
        <v>396300</v>
      </c>
      <c r="BQ348" s="30">
        <f>IFERROR((Inventory[[#This Row],[Adjusted Impr Total]]-Inventory[[#This Row],[24Bldg]])/Inventory[[#This Row],[24Bldg]],0)</f>
        <v>2.1014710297208045E-3</v>
      </c>
      <c r="BR348" s="43">
        <f>(Inventory[[#This Row],[Adjusted Land Total]]-Inventory[[#This Row],[24Lnd]])/Inventory[[#This Row],[24Lnd]]</f>
        <v>0</v>
      </c>
      <c r="BS348" s="43">
        <f>(Inventory[[#This Row],[Adjusted Total]]-Inventory[[#This Row],[24Final]])/Inventory[[#This Row],[24Final]]</f>
        <v>1.7694641051567239E-3</v>
      </c>
    </row>
    <row r="349" spans="1:71">
      <c r="A349" s="30">
        <v>2025</v>
      </c>
      <c r="B349" s="31" t="s">
        <v>862</v>
      </c>
      <c r="C349" s="31">
        <f>LN(Inventory[[#This Row],[Acres]])</f>
        <v>-1.7147984280919266</v>
      </c>
      <c r="D349" s="30">
        <v>0.18</v>
      </c>
      <c r="E349" s="30">
        <v>7790</v>
      </c>
      <c r="F349" s="31" t="s">
        <v>505</v>
      </c>
      <c r="G349" s="31" t="s">
        <v>155</v>
      </c>
      <c r="H349" s="31" t="s">
        <v>5</v>
      </c>
      <c r="I349" s="31" t="s">
        <v>506</v>
      </c>
      <c r="J349" s="31" t="s">
        <v>507</v>
      </c>
      <c r="K349" s="31" t="s">
        <v>330</v>
      </c>
      <c r="L349" s="31" t="s">
        <v>21</v>
      </c>
      <c r="M349" s="31" t="s">
        <v>22</v>
      </c>
      <c r="N349" s="31">
        <v>10</v>
      </c>
      <c r="O349" s="31">
        <f>2024-Inventory[[#This Row],[YrBlt]]</f>
        <v>11</v>
      </c>
      <c r="P349" s="31">
        <f>2024-Inventory[[#This Row],[EffYr]]</f>
        <v>11</v>
      </c>
      <c r="Q349" s="30">
        <v>2013</v>
      </c>
      <c r="R349" s="30">
        <v>2013</v>
      </c>
      <c r="S349" s="30">
        <v>1728</v>
      </c>
      <c r="T349" s="32"/>
      <c r="U349" s="32"/>
      <c r="V349" s="32"/>
      <c r="W349" s="32"/>
      <c r="X349" s="32">
        <f>Inventory[[#This Row],[Bsmt Area]]-Inventory[[#This Row],[FnBsmt]]</f>
        <v>0</v>
      </c>
      <c r="Y349" s="32">
        <f>Inventory[[#This Row],[MainFn]]+Inventory[[#This Row],[UpprFn]]+Inventory[[#This Row],[AddFn]]+Inventory[[#This Row],[FnBsmt]]</f>
        <v>1728</v>
      </c>
      <c r="Z349" s="32">
        <v>2000</v>
      </c>
      <c r="AA349" s="31" t="s">
        <v>56</v>
      </c>
      <c r="AB349" s="32"/>
      <c r="AC349" s="30">
        <v>462</v>
      </c>
      <c r="AD349" s="32"/>
      <c r="AE349" s="32"/>
      <c r="AF349" s="32"/>
      <c r="AG349" s="32"/>
      <c r="AH349" s="32"/>
      <c r="AI349" s="30">
        <v>369067</v>
      </c>
      <c r="AJ349" s="30">
        <v>350614</v>
      </c>
      <c r="AK349" s="30">
        <v>0</v>
      </c>
      <c r="AL349" s="30">
        <v>0</v>
      </c>
      <c r="AM349" s="30">
        <v>62500</v>
      </c>
      <c r="AN349" s="30">
        <v>320200</v>
      </c>
      <c r="AO349" s="30">
        <v>382700</v>
      </c>
      <c r="AP349" s="30">
        <f>Lookups!$B$58*0.6</f>
        <v>132535.48800000001</v>
      </c>
      <c r="AQ349" s="30">
        <f>Lookups!$B$58*0.4</f>
        <v>88356.992000000013</v>
      </c>
      <c r="AR349" s="30">
        <f>Lookups!$B$59*Inventory[[#This Row],[LnAcres]]</f>
        <v>-22505.565020573864</v>
      </c>
      <c r="AS349" s="30">
        <f>VLOOKUP(Inventory[[#This Row],[Qlty]],Lookups!$A$66:$E$79,2,FALSE)</f>
        <v>32917.849192000001</v>
      </c>
      <c r="AT349" s="30">
        <f>VLOOKUP(Inventory[[#This Row],[Cnd]],Lookups!$A$80:$E$88,2,FALSE)</f>
        <v>50438.379078999998</v>
      </c>
      <c r="AU349" s="30">
        <f>Inventory[[#This Row],[EffAge]]*Lookups!$B$65</f>
        <v>-1196.1521</v>
      </c>
      <c r="AV349" s="30">
        <f>Inventory[[#This Row],[MainFn]]*Lookups!$B$90</f>
        <v>107845.13664000001</v>
      </c>
      <c r="AW349" s="30">
        <f>Inventory[[#This Row],[UpprFn]]*Lookups!$B$91</f>
        <v>0</v>
      </c>
      <c r="AX349" s="30">
        <f>Inventory[[#This Row],[Bsmt Area]]*Lookups!$B$95</f>
        <v>0</v>
      </c>
      <c r="AY349" s="30">
        <f>Inventory[[#This Row],[AttGar]]*Lookups!$B$93</f>
        <v>16309.076322000001</v>
      </c>
      <c r="AZ349" s="30">
        <f>ROUND(Inventory[[#This Row],[25Det]],-2)</f>
        <v>0</v>
      </c>
      <c r="BA349" s="30">
        <f>ROUND(SUM(Inventory[[#This Row],[Mdl Qlty]:[Mdl Garage Area]])+Inventory[[#This Row],[Mdl Res Intercept]],-2)</f>
        <v>338800</v>
      </c>
      <c r="BB349" s="30">
        <f>ROUND(Inventory[[#This Row],[Mdl Land Intercept]]+Inventory[[#This Row],[Mdl LnAcres]],-2)</f>
        <v>65900</v>
      </c>
      <c r="BC349" s="30">
        <f>Inventory[[#This Row],[Unadj Res Value]]+Inventory[[#This Row],[Unadj Det Value]]+Inventory[[#This Row],[Unadj Land Value]]</f>
        <v>404700</v>
      </c>
      <c r="BD349" s="30">
        <f>(Inventory[[#This Row],[Unadj Total Value]]-Inventory[[#This Row],[24Final]])/Inventory[[#This Row],[24Final]]</f>
        <v>5.7486281682780242E-2</v>
      </c>
      <c r="BE349" s="30">
        <f>VLOOKUP(Inventory[[#This Row],[Nbhd]],Lookups!$M$3:$P$5,4,FALSE)</f>
        <v>0.99970000000000003</v>
      </c>
      <c r="BF349" s="30">
        <f>VLOOKUP(Inventory[[#This Row],[Qlty]],Lookups!$M$8:$P$22,4,FALSE)</f>
        <v>1.0019</v>
      </c>
      <c r="BG349" s="30">
        <f>VLOOKUP(Inventory[[#This Row],[Cnd]],Lookups!$R$8:$U$17,4,FALSE)</f>
        <v>1.0007999999999999</v>
      </c>
      <c r="BH349" s="30">
        <f>VLOOKUP(Inventory[[#This Row],[LivArea Range]],Lookups!$R$25:$U$43,4,FALSE)</f>
        <v>1.0007999999999999</v>
      </c>
      <c r="BI349" s="30">
        <f>VLOOKUP(Inventory[[#This Row],[Decade]],Lookups!$M$24:$P$40,4,FALSE)</f>
        <v>1.0024</v>
      </c>
      <c r="BJ349" s="30">
        <f>Inventory[[#This Row],[Nbhd Adj]]*0.95</f>
        <v>0.94971499999999998</v>
      </c>
      <c r="BK349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349" s="30">
        <f>ROUND((SUM(Inventory[[#This Row],[Mdl Qlty]:[Mdl Garage Area]])+Inventory[[#This Row],[Mdl Res Intercept]])*Inventory[[#This Row],[Res Adj ]],-2)</f>
        <v>322300</v>
      </c>
      <c r="BM349" s="30">
        <f>ROUND(Inventory[[#This Row],[25Det]]*Inventory[[#This Row],[Det/Nbhd Adj]],-2)</f>
        <v>0</v>
      </c>
      <c r="BN349" s="30">
        <f>Inventory[[#This Row],[Adjusted Res]]+Inventory[[#This Row],[Adj Det ]]</f>
        <v>322300</v>
      </c>
      <c r="BO349" s="30">
        <f>ROUND((Inventory[[#This Row],[Mdl Land Intercept]]+Inventory[[#This Row],[Mdl LnAcres]])*Inventory[[#This Row],[Det/Nbhd Adj]],-2)</f>
        <v>62500</v>
      </c>
      <c r="BP349" s="30">
        <f>Inventory[[#This Row],[Adjusted Impr Total]]+Inventory[[#This Row],[Adjusted Land Total]]</f>
        <v>384800</v>
      </c>
      <c r="BQ349" s="30">
        <f>IFERROR((Inventory[[#This Row],[Adjusted Impr Total]]-Inventory[[#This Row],[24Bldg]])/Inventory[[#This Row],[24Bldg]],0)</f>
        <v>6.5584009993753904E-3</v>
      </c>
      <c r="BR349" s="43">
        <f>(Inventory[[#This Row],[Adjusted Land Total]]-Inventory[[#This Row],[24Lnd]])/Inventory[[#This Row],[24Lnd]]</f>
        <v>0</v>
      </c>
      <c r="BS349" s="43">
        <f>(Inventory[[#This Row],[Adjusted Total]]-Inventory[[#This Row],[24Final]])/Inventory[[#This Row],[24Final]]</f>
        <v>5.4873268879017511E-3</v>
      </c>
    </row>
    <row r="350" spans="1:71">
      <c r="A350" s="30">
        <v>2025</v>
      </c>
      <c r="B350" s="31" t="s">
        <v>863</v>
      </c>
      <c r="C350" s="31">
        <f>LN(Inventory[[#This Row],[Acres]])</f>
        <v>-1.6607312068216509</v>
      </c>
      <c r="D350" s="30">
        <v>0.19</v>
      </c>
      <c r="E350" s="30">
        <v>8140</v>
      </c>
      <c r="F350" s="31" t="s">
        <v>505</v>
      </c>
      <c r="G350" s="31" t="s">
        <v>155</v>
      </c>
      <c r="H350" s="31" t="s">
        <v>5</v>
      </c>
      <c r="I350" s="31" t="s">
        <v>506</v>
      </c>
      <c r="J350" s="31" t="s">
        <v>507</v>
      </c>
      <c r="K350" s="31" t="s">
        <v>330</v>
      </c>
      <c r="L350" s="31" t="s">
        <v>19</v>
      </c>
      <c r="M350" s="31" t="s">
        <v>22</v>
      </c>
      <c r="N350" s="31">
        <v>10</v>
      </c>
      <c r="O350" s="31">
        <f>2024-Inventory[[#This Row],[YrBlt]]</f>
        <v>11</v>
      </c>
      <c r="P350" s="31">
        <f>2024-Inventory[[#This Row],[EffYr]]</f>
        <v>11</v>
      </c>
      <c r="Q350" s="30">
        <v>2013</v>
      </c>
      <c r="R350" s="30">
        <v>2013</v>
      </c>
      <c r="S350" s="30">
        <v>1126</v>
      </c>
      <c r="T350" s="38">
        <v>1634</v>
      </c>
      <c r="U350" s="32"/>
      <c r="V350" s="32"/>
      <c r="W350" s="32"/>
      <c r="X350" s="32">
        <f>Inventory[[#This Row],[Bsmt Area]]-Inventory[[#This Row],[FnBsmt]]</f>
        <v>0</v>
      </c>
      <c r="Y350" s="32">
        <f>Inventory[[#This Row],[MainFn]]+Inventory[[#This Row],[UpprFn]]+Inventory[[#This Row],[AddFn]]+Inventory[[#This Row],[FnBsmt]]</f>
        <v>2760</v>
      </c>
      <c r="Z350" s="32">
        <v>3000</v>
      </c>
      <c r="AA350" s="31" t="s">
        <v>56</v>
      </c>
      <c r="AB350" s="32"/>
      <c r="AC350" s="32"/>
      <c r="AD350" s="38">
        <v>657</v>
      </c>
      <c r="AE350" s="32"/>
      <c r="AF350" s="32"/>
      <c r="AG350" s="32"/>
      <c r="AH350" s="32"/>
      <c r="AI350" s="30">
        <v>463860</v>
      </c>
      <c r="AJ350" s="30">
        <v>440667</v>
      </c>
      <c r="AK350" s="30">
        <v>0</v>
      </c>
      <c r="AL350" s="30">
        <v>0</v>
      </c>
      <c r="AM350" s="30">
        <v>63200</v>
      </c>
      <c r="AN350" s="30">
        <v>406400</v>
      </c>
      <c r="AO350" s="30">
        <v>469600</v>
      </c>
      <c r="AP350" s="30">
        <f>Lookups!$B$58*0.6</f>
        <v>132535.48800000001</v>
      </c>
      <c r="AQ350" s="30">
        <f>Lookups!$B$58*0.4</f>
        <v>88356.992000000013</v>
      </c>
      <c r="AR350" s="30">
        <f>Lookups!$B$59*Inventory[[#This Row],[LnAcres]]</f>
        <v>-21795.969453044734</v>
      </c>
      <c r="AS350" s="30">
        <f>VLOOKUP(Inventory[[#This Row],[Qlty]],Lookups!$A$66:$E$79,2,FALSE)</f>
        <v>37154.252388000001</v>
      </c>
      <c r="AT350" s="30">
        <f>VLOOKUP(Inventory[[#This Row],[Cnd]],Lookups!$A$80:$E$88,2,FALSE)</f>
        <v>50438.379078999998</v>
      </c>
      <c r="AU350" s="30">
        <f>Inventory[[#This Row],[EffAge]]*Lookups!$B$65</f>
        <v>-1196.1521</v>
      </c>
      <c r="AV350" s="30">
        <f>Inventory[[#This Row],[MainFn]]*Lookups!$B$90</f>
        <v>70274.087880000006</v>
      </c>
      <c r="AW350" s="30">
        <f>Inventory[[#This Row],[UpprFn]]*Lookups!$B$91</f>
        <v>97354.345822000003</v>
      </c>
      <c r="AX350" s="30">
        <f>Inventory[[#This Row],[Bsmt Area]]*Lookups!$B$95</f>
        <v>0</v>
      </c>
      <c r="AY350" s="30">
        <f>Inventory[[#This Row],[AttGar]]*Lookups!$B$93</f>
        <v>0</v>
      </c>
      <c r="AZ350" s="30">
        <f>ROUND(Inventory[[#This Row],[25Det]],-2)</f>
        <v>0</v>
      </c>
      <c r="BA350" s="30">
        <f>ROUND(SUM(Inventory[[#This Row],[Mdl Qlty]:[Mdl Garage Area]])+Inventory[[#This Row],[Mdl Res Intercept]],-2)</f>
        <v>386600</v>
      </c>
      <c r="BB350" s="30">
        <f>ROUND(Inventory[[#This Row],[Mdl Land Intercept]]+Inventory[[#This Row],[Mdl LnAcres]],-2)</f>
        <v>66600</v>
      </c>
      <c r="BC350" s="30">
        <f>Inventory[[#This Row],[Unadj Res Value]]+Inventory[[#This Row],[Unadj Det Value]]+Inventory[[#This Row],[Unadj Land Value]]</f>
        <v>453200</v>
      </c>
      <c r="BD350" s="30">
        <f>(Inventory[[#This Row],[Unadj Total Value]]-Inventory[[#This Row],[24Final]])/Inventory[[#This Row],[24Final]]</f>
        <v>-3.4923339011925042E-2</v>
      </c>
      <c r="BE350" s="30">
        <f>VLOOKUP(Inventory[[#This Row],[Nbhd]],Lookups!$M$3:$P$5,4,FALSE)</f>
        <v>0.99970000000000003</v>
      </c>
      <c r="BF350" s="30">
        <f>VLOOKUP(Inventory[[#This Row],[Qlty]],Lookups!$M$8:$P$22,4,FALSE)</f>
        <v>0.99819999999999998</v>
      </c>
      <c r="BG350" s="30">
        <f>VLOOKUP(Inventory[[#This Row],[Cnd]],Lookups!$R$8:$U$17,4,FALSE)</f>
        <v>1.0007999999999999</v>
      </c>
      <c r="BH350" s="30">
        <f>VLOOKUP(Inventory[[#This Row],[LivArea Range]],Lookups!$R$25:$U$43,4,FALSE)</f>
        <v>1.0099</v>
      </c>
      <c r="BI350" s="30">
        <f>VLOOKUP(Inventory[[#This Row],[Decade]],Lookups!$M$24:$P$40,4,FALSE)</f>
        <v>1.0024</v>
      </c>
      <c r="BJ350" s="30">
        <f>Inventory[[#This Row],[Nbhd Adj]]*0.95</f>
        <v>0.94971499999999998</v>
      </c>
      <c r="BK350" s="30">
        <f>AVERAGE(Inventory[[#This Row],[Nbhd Adj]],Inventory[[#This Row],[Quality Adj]],Inventory[[#This Row],[Condition Adj]],Inventory[[#This Row],[Living Area Adj]],Inventory[[#This Row],[Decade Adj]])*0.95</f>
        <v>0.95208999999999977</v>
      </c>
      <c r="BL350" s="30">
        <f>ROUND((SUM(Inventory[[#This Row],[Mdl Qlty]:[Mdl Garage Area]])+Inventory[[#This Row],[Mdl Res Intercept]])*Inventory[[#This Row],[Res Adj ]],-2)</f>
        <v>368000</v>
      </c>
      <c r="BM350" s="30">
        <f>ROUND(Inventory[[#This Row],[25Det]]*Inventory[[#This Row],[Det/Nbhd Adj]],-2)</f>
        <v>0</v>
      </c>
      <c r="BN350" s="30">
        <f>Inventory[[#This Row],[Adjusted Res]]+Inventory[[#This Row],[Adj Det ]]</f>
        <v>368000</v>
      </c>
      <c r="BO350" s="30">
        <f>ROUND((Inventory[[#This Row],[Mdl Land Intercept]]+Inventory[[#This Row],[Mdl LnAcres]])*Inventory[[#This Row],[Det/Nbhd Adj]],-2)</f>
        <v>63200</v>
      </c>
      <c r="BP350" s="30">
        <f>Inventory[[#This Row],[Adjusted Impr Total]]+Inventory[[#This Row],[Adjusted Land Total]]</f>
        <v>431200</v>
      </c>
      <c r="BQ350" s="30">
        <f>IFERROR((Inventory[[#This Row],[Adjusted Impr Total]]-Inventory[[#This Row],[24Bldg]])/Inventory[[#This Row],[24Bldg]],0)</f>
        <v>-9.4488188976377951E-2</v>
      </c>
      <c r="BR350" s="43">
        <f>(Inventory[[#This Row],[Adjusted Land Total]]-Inventory[[#This Row],[24Lnd]])/Inventory[[#This Row],[24Lnd]]</f>
        <v>0</v>
      </c>
      <c r="BS350" s="43">
        <f>(Inventory[[#This Row],[Adjusted Total]]-Inventory[[#This Row],[24Final]])/Inventory[[#This Row],[24Final]]</f>
        <v>-8.1771720613287899E-2</v>
      </c>
    </row>
    <row r="351" spans="1:71">
      <c r="A351" s="30">
        <v>2025</v>
      </c>
      <c r="B351" s="31" t="s">
        <v>864</v>
      </c>
      <c r="C351" s="31">
        <f>LN(Inventory[[#This Row],[Acres]])</f>
        <v>-1.6607312068216509</v>
      </c>
      <c r="D351" s="30">
        <v>0.19</v>
      </c>
      <c r="E351" s="30">
        <v>8146</v>
      </c>
      <c r="F351" s="31" t="s">
        <v>505</v>
      </c>
      <c r="G351" s="31" t="s">
        <v>155</v>
      </c>
      <c r="H351" s="31" t="s">
        <v>5</v>
      </c>
      <c r="I351" s="31" t="s">
        <v>506</v>
      </c>
      <c r="J351" s="31" t="s">
        <v>507</v>
      </c>
      <c r="K351" s="31" t="s">
        <v>330</v>
      </c>
      <c r="L351" s="31" t="s">
        <v>21</v>
      </c>
      <c r="M351" s="31" t="s">
        <v>22</v>
      </c>
      <c r="N351" s="31">
        <v>10</v>
      </c>
      <c r="O351" s="31">
        <f>2024-Inventory[[#This Row],[YrBlt]]</f>
        <v>11</v>
      </c>
      <c r="P351" s="31">
        <f>2024-Inventory[[#This Row],[EffYr]]</f>
        <v>11</v>
      </c>
      <c r="Q351" s="30">
        <v>2013</v>
      </c>
      <c r="R351" s="30">
        <v>2013</v>
      </c>
      <c r="S351" s="30">
        <v>1173</v>
      </c>
      <c r="T351" s="38">
        <v>1322</v>
      </c>
      <c r="U351" s="32"/>
      <c r="V351" s="32"/>
      <c r="W351" s="32"/>
      <c r="X351" s="32">
        <f>Inventory[[#This Row],[Bsmt Area]]-Inventory[[#This Row],[FnBsmt]]</f>
        <v>0</v>
      </c>
      <c r="Y351" s="32">
        <f>Inventory[[#This Row],[MainFn]]+Inventory[[#This Row],[UpprFn]]+Inventory[[#This Row],[AddFn]]+Inventory[[#This Row],[FnBsmt]]</f>
        <v>2495</v>
      </c>
      <c r="Z351" s="32">
        <v>2500</v>
      </c>
      <c r="AA351" s="31" t="s">
        <v>56</v>
      </c>
      <c r="AB351" s="38">
        <v>1</v>
      </c>
      <c r="AC351" s="32"/>
      <c r="AD351" s="38">
        <v>488</v>
      </c>
      <c r="AE351" s="32"/>
      <c r="AF351" s="32"/>
      <c r="AG351" s="32"/>
      <c r="AH351" s="32"/>
      <c r="AI351" s="30">
        <v>486567</v>
      </c>
      <c r="AJ351" s="30">
        <v>462239</v>
      </c>
      <c r="AK351" s="30">
        <v>0</v>
      </c>
      <c r="AL351" s="30">
        <v>0</v>
      </c>
      <c r="AM351" s="30">
        <v>63200</v>
      </c>
      <c r="AN351" s="30">
        <v>375300</v>
      </c>
      <c r="AO351" s="30">
        <v>438500</v>
      </c>
      <c r="AP351" s="30">
        <f>Lookups!$B$58*0.6</f>
        <v>132535.48800000001</v>
      </c>
      <c r="AQ351" s="30">
        <f>Lookups!$B$58*0.4</f>
        <v>88356.992000000013</v>
      </c>
      <c r="AR351" s="30">
        <f>Lookups!$B$59*Inventory[[#This Row],[LnAcres]]</f>
        <v>-21795.969453044734</v>
      </c>
      <c r="AS351" s="30">
        <f>VLOOKUP(Inventory[[#This Row],[Qlty]],Lookups!$A$66:$E$79,2,FALSE)</f>
        <v>32917.849192000001</v>
      </c>
      <c r="AT351" s="30">
        <f>VLOOKUP(Inventory[[#This Row],[Cnd]],Lookups!$A$80:$E$88,2,FALSE)</f>
        <v>50438.379078999998</v>
      </c>
      <c r="AU351" s="30">
        <f>Inventory[[#This Row],[EffAge]]*Lookups!$B$65</f>
        <v>-1196.1521</v>
      </c>
      <c r="AV351" s="30">
        <f>Inventory[[#This Row],[MainFn]]*Lookups!$B$90</f>
        <v>73207.375740000003</v>
      </c>
      <c r="AW351" s="30">
        <f>Inventory[[#This Row],[UpprFn]]*Lookups!$B$91</f>
        <v>78765.266325999997</v>
      </c>
      <c r="AX351" s="30">
        <f>Inventory[[#This Row],[Bsmt Area]]*Lookups!$B$95</f>
        <v>0</v>
      </c>
      <c r="AY351" s="30">
        <f>Inventory[[#This Row],[AttGar]]*Lookups!$B$93</f>
        <v>0</v>
      </c>
      <c r="AZ351" s="30">
        <f>ROUND(Inventory[[#This Row],[25Det]],-2)</f>
        <v>0</v>
      </c>
      <c r="BA351" s="30">
        <f>ROUND(SUM(Inventory[[#This Row],[Mdl Qlty]:[Mdl Garage Area]])+Inventory[[#This Row],[Mdl Res Intercept]],-2)</f>
        <v>366700</v>
      </c>
      <c r="BB351" s="30">
        <f>ROUND(Inventory[[#This Row],[Mdl Land Intercept]]+Inventory[[#This Row],[Mdl LnAcres]],-2)</f>
        <v>66600</v>
      </c>
      <c r="BC351" s="30">
        <f>Inventory[[#This Row],[Unadj Res Value]]+Inventory[[#This Row],[Unadj Det Value]]+Inventory[[#This Row],[Unadj Land Value]]</f>
        <v>433300</v>
      </c>
      <c r="BD351" s="30">
        <f>(Inventory[[#This Row],[Unadj Total Value]]-Inventory[[#This Row],[24Final]])/Inventory[[#This Row],[24Final]]</f>
        <v>-1.185860889395667E-2</v>
      </c>
      <c r="BE351" s="30">
        <f>VLOOKUP(Inventory[[#This Row],[Nbhd]],Lookups!$M$3:$P$5,4,FALSE)</f>
        <v>0.99970000000000003</v>
      </c>
      <c r="BF351" s="30">
        <f>VLOOKUP(Inventory[[#This Row],[Qlty]],Lookups!$M$8:$P$22,4,FALSE)</f>
        <v>1.0019</v>
      </c>
      <c r="BG351" s="30">
        <f>VLOOKUP(Inventory[[#This Row],[Cnd]],Lookups!$R$8:$U$17,4,FALSE)</f>
        <v>1.0007999999999999</v>
      </c>
      <c r="BH351" s="30">
        <f>VLOOKUP(Inventory[[#This Row],[LivArea Range]],Lookups!$R$25:$U$43,4,FALSE)</f>
        <v>1.0008999999999999</v>
      </c>
      <c r="BI351" s="30">
        <f>VLOOKUP(Inventory[[#This Row],[Decade]],Lookups!$M$24:$P$40,4,FALSE)</f>
        <v>1.0024</v>
      </c>
      <c r="BJ351" s="30">
        <f>Inventory[[#This Row],[Nbhd Adj]]*0.95</f>
        <v>0.94971499999999998</v>
      </c>
      <c r="BK351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351" s="30">
        <f>ROUND((SUM(Inventory[[#This Row],[Mdl Qlty]:[Mdl Garage Area]])+Inventory[[#This Row],[Mdl Res Intercept]])*Inventory[[#This Row],[Res Adj ]],-2)</f>
        <v>348700</v>
      </c>
      <c r="BM351" s="30">
        <f>ROUND(Inventory[[#This Row],[25Det]]*Inventory[[#This Row],[Det/Nbhd Adj]],-2)</f>
        <v>0</v>
      </c>
      <c r="BN351" s="30">
        <f>Inventory[[#This Row],[Adjusted Res]]+Inventory[[#This Row],[Adj Det ]]</f>
        <v>348700</v>
      </c>
      <c r="BO351" s="30">
        <f>ROUND((Inventory[[#This Row],[Mdl Land Intercept]]+Inventory[[#This Row],[Mdl LnAcres]])*Inventory[[#This Row],[Det/Nbhd Adj]],-2)</f>
        <v>63200</v>
      </c>
      <c r="BP351" s="30">
        <f>Inventory[[#This Row],[Adjusted Impr Total]]+Inventory[[#This Row],[Adjusted Land Total]]</f>
        <v>411900</v>
      </c>
      <c r="BQ351" s="30">
        <f>IFERROR((Inventory[[#This Row],[Adjusted Impr Total]]-Inventory[[#This Row],[24Bldg]])/Inventory[[#This Row],[24Bldg]],0)</f>
        <v>-7.0876632027711162E-2</v>
      </c>
      <c r="BR351" s="43">
        <f>(Inventory[[#This Row],[Adjusted Land Total]]-Inventory[[#This Row],[24Lnd]])/Inventory[[#This Row],[24Lnd]]</f>
        <v>0</v>
      </c>
      <c r="BS351" s="43">
        <f>(Inventory[[#This Row],[Adjusted Total]]-Inventory[[#This Row],[24Final]])/Inventory[[#This Row],[24Final]]</f>
        <v>-6.0661345496009121E-2</v>
      </c>
    </row>
    <row r="352" spans="1:71">
      <c r="A352" s="30">
        <v>2025</v>
      </c>
      <c r="B352" s="31" t="s">
        <v>865</v>
      </c>
      <c r="C352" s="31">
        <f>LN(Inventory[[#This Row],[Acres]])</f>
        <v>-1.4696759700589417</v>
      </c>
      <c r="D352" s="30">
        <v>0.23</v>
      </c>
      <c r="E352" s="30">
        <v>9884</v>
      </c>
      <c r="F352" s="31" t="s">
        <v>505</v>
      </c>
      <c r="G352" s="31" t="s">
        <v>155</v>
      </c>
      <c r="H352" s="31" t="s">
        <v>5</v>
      </c>
      <c r="I352" s="31" t="s">
        <v>506</v>
      </c>
      <c r="J352" s="31" t="s">
        <v>507</v>
      </c>
      <c r="K352" s="31" t="s">
        <v>330</v>
      </c>
      <c r="L352" s="31" t="s">
        <v>21</v>
      </c>
      <c r="M352" s="31" t="s">
        <v>22</v>
      </c>
      <c r="N352" s="31">
        <v>10</v>
      </c>
      <c r="O352" s="31">
        <f>2024-Inventory[[#This Row],[YrBlt]]</f>
        <v>11</v>
      </c>
      <c r="P352" s="31">
        <f>2024-Inventory[[#This Row],[EffYr]]</f>
        <v>11</v>
      </c>
      <c r="Q352" s="30">
        <v>2013</v>
      </c>
      <c r="R352" s="30">
        <v>2013</v>
      </c>
      <c r="S352" s="30">
        <v>1593</v>
      </c>
      <c r="T352" s="38">
        <v>1252</v>
      </c>
      <c r="U352" s="32"/>
      <c r="V352" s="32"/>
      <c r="W352" s="32"/>
      <c r="X352" s="32">
        <f>Inventory[[#This Row],[Bsmt Area]]-Inventory[[#This Row],[FnBsmt]]</f>
        <v>0</v>
      </c>
      <c r="Y352" s="32">
        <f>Inventory[[#This Row],[MainFn]]+Inventory[[#This Row],[UpprFn]]+Inventory[[#This Row],[AddFn]]+Inventory[[#This Row],[FnBsmt]]</f>
        <v>2845</v>
      </c>
      <c r="Z352" s="32">
        <v>3000</v>
      </c>
      <c r="AA352" s="31" t="s">
        <v>56</v>
      </c>
      <c r="AB352" s="38">
        <v>1</v>
      </c>
      <c r="AC352" s="30">
        <v>706</v>
      </c>
      <c r="AD352" s="32"/>
      <c r="AE352" s="32"/>
      <c r="AF352" s="32"/>
      <c r="AG352" s="32"/>
      <c r="AH352" s="32"/>
      <c r="AI352" s="30">
        <v>575083</v>
      </c>
      <c r="AJ352" s="30">
        <v>546329</v>
      </c>
      <c r="AK352" s="30">
        <v>0</v>
      </c>
      <c r="AL352" s="30">
        <v>0</v>
      </c>
      <c r="AM352" s="30">
        <v>65900</v>
      </c>
      <c r="AN352" s="30">
        <v>400400</v>
      </c>
      <c r="AO352" s="30">
        <v>466300</v>
      </c>
      <c r="AP352" s="30">
        <f>Lookups!$B$58*0.6</f>
        <v>132535.48800000001</v>
      </c>
      <c r="AQ352" s="30">
        <f>Lookups!$B$58*0.4</f>
        <v>88356.992000000013</v>
      </c>
      <c r="AR352" s="30">
        <f>Lookups!$B$59*Inventory[[#This Row],[LnAcres]]</f>
        <v>-19288.499197039939</v>
      </c>
      <c r="AS352" s="30">
        <f>VLOOKUP(Inventory[[#This Row],[Qlty]],Lookups!$A$66:$E$79,2,FALSE)</f>
        <v>32917.849192000001</v>
      </c>
      <c r="AT352" s="30">
        <f>VLOOKUP(Inventory[[#This Row],[Cnd]],Lookups!$A$80:$E$88,2,FALSE)</f>
        <v>50438.379078999998</v>
      </c>
      <c r="AU352" s="30">
        <f>Inventory[[#This Row],[EffAge]]*Lookups!$B$65</f>
        <v>-1196.1521</v>
      </c>
      <c r="AV352" s="30">
        <f>Inventory[[#This Row],[MainFn]]*Lookups!$B$90</f>
        <v>99419.735339999999</v>
      </c>
      <c r="AW352" s="30">
        <f>Inventory[[#This Row],[UpprFn]]*Lookups!$B$91</f>
        <v>74594.639515999996</v>
      </c>
      <c r="AX352" s="30">
        <f>Inventory[[#This Row],[Bsmt Area]]*Lookups!$B$95</f>
        <v>0</v>
      </c>
      <c r="AY352" s="30">
        <f>Inventory[[#This Row],[AttGar]]*Lookups!$B$93</f>
        <v>24922.527886</v>
      </c>
      <c r="AZ352" s="30">
        <f>ROUND(Inventory[[#This Row],[25Det]],-2)</f>
        <v>0</v>
      </c>
      <c r="BA352" s="30">
        <f>ROUND(SUM(Inventory[[#This Row],[Mdl Qlty]:[Mdl Garage Area]])+Inventory[[#This Row],[Mdl Res Intercept]],-2)</f>
        <v>413600</v>
      </c>
      <c r="BB352" s="30">
        <f>ROUND(Inventory[[#This Row],[Mdl Land Intercept]]+Inventory[[#This Row],[Mdl LnAcres]],-2)</f>
        <v>69100</v>
      </c>
      <c r="BC352" s="30">
        <f>Inventory[[#This Row],[Unadj Res Value]]+Inventory[[#This Row],[Unadj Det Value]]+Inventory[[#This Row],[Unadj Land Value]]</f>
        <v>482700</v>
      </c>
      <c r="BD352" s="30">
        <f>(Inventory[[#This Row],[Unadj Total Value]]-Inventory[[#This Row],[24Final]])/Inventory[[#This Row],[24Final]]</f>
        <v>3.5170491100150116E-2</v>
      </c>
      <c r="BE352" s="30">
        <f>VLOOKUP(Inventory[[#This Row],[Nbhd]],Lookups!$M$3:$P$5,4,FALSE)</f>
        <v>0.99970000000000003</v>
      </c>
      <c r="BF352" s="30">
        <f>VLOOKUP(Inventory[[#This Row],[Qlty]],Lookups!$M$8:$P$22,4,FALSE)</f>
        <v>1.0019</v>
      </c>
      <c r="BG352" s="30">
        <f>VLOOKUP(Inventory[[#This Row],[Cnd]],Lookups!$R$8:$U$17,4,FALSE)</f>
        <v>1.0007999999999999</v>
      </c>
      <c r="BH352" s="30">
        <f>VLOOKUP(Inventory[[#This Row],[LivArea Range]],Lookups!$R$25:$U$43,4,FALSE)</f>
        <v>1.0099</v>
      </c>
      <c r="BI352" s="30">
        <f>VLOOKUP(Inventory[[#This Row],[Decade]],Lookups!$M$24:$P$40,4,FALSE)</f>
        <v>1.0024</v>
      </c>
      <c r="BJ352" s="30">
        <f>Inventory[[#This Row],[Nbhd Adj]]*0.95</f>
        <v>0.94971499999999998</v>
      </c>
      <c r="BK352" s="30">
        <f>AVERAGE(Inventory[[#This Row],[Nbhd Adj]],Inventory[[#This Row],[Quality Adj]],Inventory[[#This Row],[Condition Adj]],Inventory[[#This Row],[Living Area Adj]],Inventory[[#This Row],[Decade Adj]])*0.95</f>
        <v>0.95279299999999989</v>
      </c>
      <c r="BL352" s="30">
        <f>ROUND((SUM(Inventory[[#This Row],[Mdl Qlty]:[Mdl Garage Area]])+Inventory[[#This Row],[Mdl Res Intercept]])*Inventory[[#This Row],[Res Adj ]],-2)</f>
        <v>394100</v>
      </c>
      <c r="BM352" s="30">
        <f>ROUND(Inventory[[#This Row],[25Det]]*Inventory[[#This Row],[Det/Nbhd Adj]],-2)</f>
        <v>0</v>
      </c>
      <c r="BN352" s="30">
        <f>Inventory[[#This Row],[Adjusted Res]]+Inventory[[#This Row],[Adj Det ]]</f>
        <v>394100</v>
      </c>
      <c r="BO352" s="30">
        <f>ROUND((Inventory[[#This Row],[Mdl Land Intercept]]+Inventory[[#This Row],[Mdl LnAcres]])*Inventory[[#This Row],[Det/Nbhd Adj]],-2)</f>
        <v>65600</v>
      </c>
      <c r="BP352" s="30">
        <f>Inventory[[#This Row],[Adjusted Impr Total]]+Inventory[[#This Row],[Adjusted Land Total]]</f>
        <v>459700</v>
      </c>
      <c r="BQ352" s="30">
        <f>IFERROR((Inventory[[#This Row],[Adjusted Impr Total]]-Inventory[[#This Row],[24Bldg]])/Inventory[[#This Row],[24Bldg]],0)</f>
        <v>-1.5734265734265736E-2</v>
      </c>
      <c r="BR352" s="43">
        <f>(Inventory[[#This Row],[Adjusted Land Total]]-Inventory[[#This Row],[24Lnd]])/Inventory[[#This Row],[24Lnd]]</f>
        <v>-4.552352048558422E-3</v>
      </c>
      <c r="BS352" s="43">
        <f>(Inventory[[#This Row],[Adjusted Total]]-Inventory[[#This Row],[24Final]])/Inventory[[#This Row],[24Final]]</f>
        <v>-1.415397812567017E-2</v>
      </c>
    </row>
    <row r="353" spans="1:71">
      <c r="A353" s="30">
        <v>2025</v>
      </c>
      <c r="B353" s="31" t="s">
        <v>866</v>
      </c>
      <c r="C353" s="31">
        <f>LN(Inventory[[#This Row],[Acres]])</f>
        <v>-1.8325814637483102</v>
      </c>
      <c r="D353" s="30">
        <v>0.16</v>
      </c>
      <c r="E353" s="30">
        <v>7070</v>
      </c>
      <c r="F353" s="31" t="s">
        <v>505</v>
      </c>
      <c r="G353" s="31" t="s">
        <v>155</v>
      </c>
      <c r="H353" s="31" t="s">
        <v>5</v>
      </c>
      <c r="I353" s="31" t="s">
        <v>506</v>
      </c>
      <c r="J353" s="31" t="s">
        <v>507</v>
      </c>
      <c r="K353" s="31" t="s">
        <v>157</v>
      </c>
      <c r="L353" s="31" t="s">
        <v>21</v>
      </c>
      <c r="M353" s="31" t="s">
        <v>20</v>
      </c>
      <c r="N353" s="31">
        <v>10</v>
      </c>
      <c r="O353" s="31">
        <f>2024-Inventory[[#This Row],[YrBlt]]</f>
        <v>12</v>
      </c>
      <c r="P353" s="31">
        <f>2024-Inventory[[#This Row],[EffYr]]</f>
        <v>12</v>
      </c>
      <c r="Q353" s="30">
        <v>2012</v>
      </c>
      <c r="R353" s="30">
        <v>2012</v>
      </c>
      <c r="S353" s="30">
        <v>1082</v>
      </c>
      <c r="T353" s="38">
        <v>1106</v>
      </c>
      <c r="U353" s="32"/>
      <c r="V353" s="32"/>
      <c r="W353" s="32"/>
      <c r="X353" s="32">
        <f>Inventory[[#This Row],[Bsmt Area]]-Inventory[[#This Row],[FnBsmt]]</f>
        <v>0</v>
      </c>
      <c r="Y353" s="32">
        <f>Inventory[[#This Row],[MainFn]]+Inventory[[#This Row],[UpprFn]]+Inventory[[#This Row],[AddFn]]+Inventory[[#This Row],[FnBsmt]]</f>
        <v>2188</v>
      </c>
      <c r="Z353" s="32">
        <v>2500</v>
      </c>
      <c r="AA353" s="31" t="s">
        <v>56</v>
      </c>
      <c r="AB353" s="30">
        <v>1</v>
      </c>
      <c r="AC353" s="30">
        <v>724</v>
      </c>
      <c r="AD353" s="32"/>
      <c r="AE353" s="32"/>
      <c r="AF353" s="32"/>
      <c r="AG353" s="32"/>
      <c r="AH353" s="32"/>
      <c r="AI353" s="30">
        <v>462064</v>
      </c>
      <c r="AJ353" s="30">
        <v>434340</v>
      </c>
      <c r="AK353" s="30">
        <v>0</v>
      </c>
      <c r="AL353" s="30">
        <v>0</v>
      </c>
      <c r="AM353" s="30">
        <v>60800</v>
      </c>
      <c r="AN353" s="30">
        <v>381300</v>
      </c>
      <c r="AO353" s="30">
        <v>442100</v>
      </c>
      <c r="AP353" s="30">
        <f>Lookups!$B$58*0.6</f>
        <v>132535.48800000001</v>
      </c>
      <c r="AQ353" s="30">
        <f>Lookups!$B$58*0.4</f>
        <v>88356.992000000013</v>
      </c>
      <c r="AR353" s="30">
        <f>Lookups!$B$59*Inventory[[#This Row],[LnAcres]]</f>
        <v>-24051.387388882686</v>
      </c>
      <c r="AS353" s="30">
        <f>VLOOKUP(Inventory[[#This Row],[Qlty]],Lookups!$A$66:$E$79,2,FALSE)</f>
        <v>32917.849192000001</v>
      </c>
      <c r="AT353" s="30">
        <f>VLOOKUP(Inventory[[#This Row],[Cnd]],Lookups!$A$80:$E$88,2,FALSE)</f>
        <v>30300.329274</v>
      </c>
      <c r="AU353" s="30">
        <f>Inventory[[#This Row],[EffAge]]*Lookups!$B$65</f>
        <v>-1304.8932</v>
      </c>
      <c r="AV353" s="30">
        <f>Inventory[[#This Row],[MainFn]]*Lookups!$B$90</f>
        <v>67528.031159999999</v>
      </c>
      <c r="AW353" s="30">
        <f>Inventory[[#This Row],[UpprFn]]*Lookups!$B$91</f>
        <v>65895.903598000004</v>
      </c>
      <c r="AX353" s="30">
        <f>Inventory[[#This Row],[Bsmt Area]]*Lookups!$B$95</f>
        <v>0</v>
      </c>
      <c r="AY353" s="30">
        <f>Inventory[[#This Row],[AttGar]]*Lookups!$B$93</f>
        <v>25557.946444000001</v>
      </c>
      <c r="AZ353" s="30">
        <f>ROUND(Inventory[[#This Row],[25Det]],-2)</f>
        <v>0</v>
      </c>
      <c r="BA353" s="30">
        <f>ROUND(SUM(Inventory[[#This Row],[Mdl Qlty]:[Mdl Garage Area]])+Inventory[[#This Row],[Mdl Res Intercept]],-2)</f>
        <v>353400</v>
      </c>
      <c r="BB353" s="30">
        <f>ROUND(Inventory[[#This Row],[Mdl Land Intercept]]+Inventory[[#This Row],[Mdl LnAcres]],-2)</f>
        <v>64300</v>
      </c>
      <c r="BC353" s="30">
        <f>Inventory[[#This Row],[Unadj Res Value]]+Inventory[[#This Row],[Unadj Det Value]]+Inventory[[#This Row],[Unadj Land Value]]</f>
        <v>417700</v>
      </c>
      <c r="BD353" s="30">
        <f>(Inventory[[#This Row],[Unadj Total Value]]-Inventory[[#This Row],[24Final]])/Inventory[[#This Row],[24Final]]</f>
        <v>-5.5191133227776523E-2</v>
      </c>
      <c r="BE353" s="30">
        <f>VLOOKUP(Inventory[[#This Row],[Nbhd]],Lookups!$M$3:$P$5,4,FALSE)</f>
        <v>0.99970000000000003</v>
      </c>
      <c r="BF353" s="30">
        <f>VLOOKUP(Inventory[[#This Row],[Qlty]],Lookups!$M$8:$P$22,4,FALSE)</f>
        <v>1.0019</v>
      </c>
      <c r="BG353" s="30">
        <f>VLOOKUP(Inventory[[#This Row],[Cnd]],Lookups!$R$8:$U$17,4,FALSE)</f>
        <v>0.997</v>
      </c>
      <c r="BH353" s="30">
        <f>VLOOKUP(Inventory[[#This Row],[LivArea Range]],Lookups!$R$25:$U$43,4,FALSE)</f>
        <v>1.0008999999999999</v>
      </c>
      <c r="BI353" s="30">
        <f>VLOOKUP(Inventory[[#This Row],[Decade]],Lookups!$M$24:$P$40,4,FALSE)</f>
        <v>1.0024</v>
      </c>
      <c r="BJ353" s="30">
        <f>Inventory[[#This Row],[Nbhd Adj]]*0.95</f>
        <v>0.94971499999999998</v>
      </c>
      <c r="BK353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353" s="30">
        <f>ROUND((SUM(Inventory[[#This Row],[Mdl Qlty]:[Mdl Garage Area]])+Inventory[[#This Row],[Mdl Res Intercept]])*Inventory[[#This Row],[Res Adj ]],-2)</f>
        <v>335900</v>
      </c>
      <c r="BM353" s="30">
        <f>ROUND(Inventory[[#This Row],[25Det]]*Inventory[[#This Row],[Det/Nbhd Adj]],-2)</f>
        <v>0</v>
      </c>
      <c r="BN353" s="30">
        <f>Inventory[[#This Row],[Adjusted Res]]+Inventory[[#This Row],[Adj Det ]]</f>
        <v>335900</v>
      </c>
      <c r="BO353" s="30">
        <f>ROUND((Inventory[[#This Row],[Mdl Land Intercept]]+Inventory[[#This Row],[Mdl LnAcres]])*Inventory[[#This Row],[Det/Nbhd Adj]],-2)</f>
        <v>61100</v>
      </c>
      <c r="BP353" s="30">
        <f>Inventory[[#This Row],[Adjusted Impr Total]]+Inventory[[#This Row],[Adjusted Land Total]]</f>
        <v>397000</v>
      </c>
      <c r="BQ353" s="30">
        <f>IFERROR((Inventory[[#This Row],[Adjusted Impr Total]]-Inventory[[#This Row],[24Bldg]])/Inventory[[#This Row],[24Bldg]],0)</f>
        <v>-0.11906635195384212</v>
      </c>
      <c r="BR353" s="43">
        <f>(Inventory[[#This Row],[Adjusted Land Total]]-Inventory[[#This Row],[24Lnd]])/Inventory[[#This Row],[24Lnd]]</f>
        <v>4.9342105263157892E-3</v>
      </c>
      <c r="BS353" s="43">
        <f>(Inventory[[#This Row],[Adjusted Total]]-Inventory[[#This Row],[24Final]])/Inventory[[#This Row],[24Final]]</f>
        <v>-0.10201311920380005</v>
      </c>
    </row>
    <row r="354" spans="1:71">
      <c r="A354" s="30">
        <v>2025</v>
      </c>
      <c r="B354" s="31" t="s">
        <v>867</v>
      </c>
      <c r="C354" s="31">
        <f>LN(Inventory[[#This Row],[Acres]])</f>
        <v>-1.8325814637483102</v>
      </c>
      <c r="D354" s="30">
        <v>0.16</v>
      </c>
      <c r="E354" s="30">
        <v>7070</v>
      </c>
      <c r="F354" s="31" t="s">
        <v>505</v>
      </c>
      <c r="G354" s="31" t="s">
        <v>155</v>
      </c>
      <c r="H354" s="31" t="s">
        <v>5</v>
      </c>
      <c r="I354" s="31" t="s">
        <v>506</v>
      </c>
      <c r="J354" s="31" t="s">
        <v>507</v>
      </c>
      <c r="K354" s="31" t="s">
        <v>330</v>
      </c>
      <c r="L354" s="31" t="s">
        <v>21</v>
      </c>
      <c r="M354" s="31" t="s">
        <v>22</v>
      </c>
      <c r="N354" s="31">
        <v>10</v>
      </c>
      <c r="O354" s="31">
        <f>2024-Inventory[[#This Row],[YrBlt]]</f>
        <v>12</v>
      </c>
      <c r="P354" s="31">
        <f>2024-Inventory[[#This Row],[EffYr]]</f>
        <v>12</v>
      </c>
      <c r="Q354" s="30">
        <v>2012</v>
      </c>
      <c r="R354" s="30">
        <v>2012</v>
      </c>
      <c r="S354" s="30">
        <v>1068</v>
      </c>
      <c r="T354" s="38">
        <v>1488</v>
      </c>
      <c r="U354" s="32"/>
      <c r="V354" s="32"/>
      <c r="W354" s="32"/>
      <c r="X354" s="32">
        <f>Inventory[[#This Row],[Bsmt Area]]-Inventory[[#This Row],[FnBsmt]]</f>
        <v>0</v>
      </c>
      <c r="Y354" s="32">
        <f>Inventory[[#This Row],[MainFn]]+Inventory[[#This Row],[UpprFn]]+Inventory[[#This Row],[AddFn]]+Inventory[[#This Row],[FnBsmt]]</f>
        <v>2556</v>
      </c>
      <c r="Z354" s="32">
        <v>3000</v>
      </c>
      <c r="AA354" s="31" t="s">
        <v>56</v>
      </c>
      <c r="AB354" s="32"/>
      <c r="AC354" s="37"/>
      <c r="AD354" s="38">
        <v>715</v>
      </c>
      <c r="AE354" s="32"/>
      <c r="AF354" s="32"/>
      <c r="AG354" s="32"/>
      <c r="AH354" s="32"/>
      <c r="AI354" s="30">
        <v>511206</v>
      </c>
      <c r="AJ354" s="30">
        <v>485646</v>
      </c>
      <c r="AK354" s="30">
        <v>0</v>
      </c>
      <c r="AL354" s="30">
        <v>0</v>
      </c>
      <c r="AM354" s="30">
        <v>60800</v>
      </c>
      <c r="AN354" s="30">
        <v>395200</v>
      </c>
      <c r="AO354" s="30">
        <v>456000</v>
      </c>
      <c r="AP354" s="30">
        <f>Lookups!$B$58*0.6</f>
        <v>132535.48800000001</v>
      </c>
      <c r="AQ354" s="30">
        <f>Lookups!$B$58*0.4</f>
        <v>88356.992000000013</v>
      </c>
      <c r="AR354" s="30">
        <f>Lookups!$B$59*Inventory[[#This Row],[LnAcres]]</f>
        <v>-24051.387388882686</v>
      </c>
      <c r="AS354" s="30">
        <f>VLOOKUP(Inventory[[#This Row],[Qlty]],Lookups!$A$66:$E$79,2,FALSE)</f>
        <v>32917.849192000001</v>
      </c>
      <c r="AT354" s="30">
        <f>VLOOKUP(Inventory[[#This Row],[Cnd]],Lookups!$A$80:$E$88,2,FALSE)</f>
        <v>50438.379078999998</v>
      </c>
      <c r="AU354" s="30">
        <f>Inventory[[#This Row],[EffAge]]*Lookups!$B$65</f>
        <v>-1304.8932</v>
      </c>
      <c r="AV354" s="30">
        <f>Inventory[[#This Row],[MainFn]]*Lookups!$B$90</f>
        <v>66654.285839999997</v>
      </c>
      <c r="AW354" s="30">
        <f>Inventory[[#This Row],[UpprFn]]*Lookups!$B$91</f>
        <v>88655.609903999997</v>
      </c>
      <c r="AX354" s="30">
        <f>Inventory[[#This Row],[Bsmt Area]]*Lookups!$B$95</f>
        <v>0</v>
      </c>
      <c r="AY354" s="30">
        <f>Inventory[[#This Row],[AttGar]]*Lookups!$B$93</f>
        <v>0</v>
      </c>
      <c r="AZ354" s="30">
        <f>ROUND(Inventory[[#This Row],[25Det]],-2)</f>
        <v>0</v>
      </c>
      <c r="BA354" s="30">
        <f>ROUND(SUM(Inventory[[#This Row],[Mdl Qlty]:[Mdl Garage Area]])+Inventory[[#This Row],[Mdl Res Intercept]],-2)</f>
        <v>369900</v>
      </c>
      <c r="BB354" s="30">
        <f>ROUND(Inventory[[#This Row],[Mdl Land Intercept]]+Inventory[[#This Row],[Mdl LnAcres]],-2)</f>
        <v>64300</v>
      </c>
      <c r="BC354" s="30">
        <f>Inventory[[#This Row],[Unadj Res Value]]+Inventory[[#This Row],[Unadj Det Value]]+Inventory[[#This Row],[Unadj Land Value]]</f>
        <v>434200</v>
      </c>
      <c r="BD354" s="30">
        <f>(Inventory[[#This Row],[Unadj Total Value]]-Inventory[[#This Row],[24Final]])/Inventory[[#This Row],[24Final]]</f>
        <v>-4.7807017543859652E-2</v>
      </c>
      <c r="BE354" s="30">
        <f>VLOOKUP(Inventory[[#This Row],[Nbhd]],Lookups!$M$3:$P$5,4,FALSE)</f>
        <v>0.99970000000000003</v>
      </c>
      <c r="BF354" s="30">
        <f>VLOOKUP(Inventory[[#This Row],[Qlty]],Lookups!$M$8:$P$22,4,FALSE)</f>
        <v>1.0019</v>
      </c>
      <c r="BG354" s="30">
        <f>VLOOKUP(Inventory[[#This Row],[Cnd]],Lookups!$R$8:$U$17,4,FALSE)</f>
        <v>1.0007999999999999</v>
      </c>
      <c r="BH354" s="30">
        <f>VLOOKUP(Inventory[[#This Row],[LivArea Range]],Lookups!$R$25:$U$43,4,FALSE)</f>
        <v>1.0099</v>
      </c>
      <c r="BI354" s="30">
        <f>VLOOKUP(Inventory[[#This Row],[Decade]],Lookups!$M$24:$P$40,4,FALSE)</f>
        <v>1.0024</v>
      </c>
      <c r="BJ354" s="30">
        <f>Inventory[[#This Row],[Nbhd Adj]]*0.95</f>
        <v>0.94971499999999998</v>
      </c>
      <c r="BK354" s="30">
        <f>AVERAGE(Inventory[[#This Row],[Nbhd Adj]],Inventory[[#This Row],[Quality Adj]],Inventory[[#This Row],[Condition Adj]],Inventory[[#This Row],[Living Area Adj]],Inventory[[#This Row],[Decade Adj]])*0.95</f>
        <v>0.95279299999999989</v>
      </c>
      <c r="BL354" s="30">
        <f>ROUND((SUM(Inventory[[#This Row],[Mdl Qlty]:[Mdl Garage Area]])+Inventory[[#This Row],[Mdl Res Intercept]])*Inventory[[#This Row],[Res Adj ]],-2)</f>
        <v>352400</v>
      </c>
      <c r="BM354" s="30">
        <f>ROUND(Inventory[[#This Row],[25Det]]*Inventory[[#This Row],[Det/Nbhd Adj]],-2)</f>
        <v>0</v>
      </c>
      <c r="BN354" s="30">
        <f>Inventory[[#This Row],[Adjusted Res]]+Inventory[[#This Row],[Adj Det ]]</f>
        <v>352400</v>
      </c>
      <c r="BO354" s="30">
        <f>ROUND((Inventory[[#This Row],[Mdl Land Intercept]]+Inventory[[#This Row],[Mdl LnAcres]])*Inventory[[#This Row],[Det/Nbhd Adj]],-2)</f>
        <v>61100</v>
      </c>
      <c r="BP354" s="30">
        <f>Inventory[[#This Row],[Adjusted Impr Total]]+Inventory[[#This Row],[Adjusted Land Total]]</f>
        <v>413500</v>
      </c>
      <c r="BQ354" s="30">
        <f>IFERROR((Inventory[[#This Row],[Adjusted Impr Total]]-Inventory[[#This Row],[24Bldg]])/Inventory[[#This Row],[24Bldg]],0)</f>
        <v>-0.1082995951417004</v>
      </c>
      <c r="BR354" s="43">
        <f>(Inventory[[#This Row],[Adjusted Land Total]]-Inventory[[#This Row],[24Lnd]])/Inventory[[#This Row],[24Lnd]]</f>
        <v>4.9342105263157892E-3</v>
      </c>
      <c r="BS354" s="43">
        <f>(Inventory[[#This Row],[Adjusted Total]]-Inventory[[#This Row],[24Final]])/Inventory[[#This Row],[24Final]]</f>
        <v>-9.3201754385964911E-2</v>
      </c>
    </row>
    <row r="355" spans="1:71">
      <c r="A355" s="30">
        <v>2025</v>
      </c>
      <c r="B355" s="31" t="s">
        <v>868</v>
      </c>
      <c r="C355" s="31">
        <f>LN(Inventory[[#This Row],[Acres]])</f>
        <v>-1.8325814637483102</v>
      </c>
      <c r="D355" s="30">
        <v>0.16</v>
      </c>
      <c r="E355" s="38">
        <v>7070</v>
      </c>
      <c r="F355" s="31" t="s">
        <v>505</v>
      </c>
      <c r="G355" s="31" t="s">
        <v>155</v>
      </c>
      <c r="H355" s="31" t="s">
        <v>5</v>
      </c>
      <c r="I355" s="31" t="s">
        <v>506</v>
      </c>
      <c r="J355" s="31" t="s">
        <v>507</v>
      </c>
      <c r="K355" s="31" t="s">
        <v>193</v>
      </c>
      <c r="L355" s="31" t="s">
        <v>19</v>
      </c>
      <c r="M355" s="31" t="s">
        <v>22</v>
      </c>
      <c r="N355" s="31">
        <v>10</v>
      </c>
      <c r="O355" s="31">
        <f>2024-Inventory[[#This Row],[YrBlt]]</f>
        <v>12</v>
      </c>
      <c r="P355" s="31">
        <f>2024-Inventory[[#This Row],[EffYr]]</f>
        <v>12</v>
      </c>
      <c r="Q355" s="30">
        <v>2012</v>
      </c>
      <c r="R355" s="30">
        <v>2012</v>
      </c>
      <c r="S355" s="30">
        <v>1370</v>
      </c>
      <c r="T355" s="32"/>
      <c r="U355" s="32"/>
      <c r="V355" s="32"/>
      <c r="W355" s="32"/>
      <c r="X355" s="32">
        <f>Inventory[[#This Row],[Bsmt Area]]-Inventory[[#This Row],[FnBsmt]]</f>
        <v>0</v>
      </c>
      <c r="Y355" s="32">
        <f>Inventory[[#This Row],[MainFn]]+Inventory[[#This Row],[UpprFn]]+Inventory[[#This Row],[AddFn]]+Inventory[[#This Row],[FnBsmt]]</f>
        <v>1370</v>
      </c>
      <c r="Z355" s="32">
        <v>1500</v>
      </c>
      <c r="AA355" s="31" t="s">
        <v>56</v>
      </c>
      <c r="AB355" s="32"/>
      <c r="AC355" s="30">
        <v>662</v>
      </c>
      <c r="AD355" s="32"/>
      <c r="AE355" s="32"/>
      <c r="AF355" s="32"/>
      <c r="AG355" s="32"/>
      <c r="AH355" s="32"/>
      <c r="AI355" s="30">
        <v>287637</v>
      </c>
      <c r="AJ355" s="30">
        <v>273255</v>
      </c>
      <c r="AK355" s="30">
        <v>0</v>
      </c>
      <c r="AL355" s="30">
        <v>0</v>
      </c>
      <c r="AM355" s="30">
        <v>60800</v>
      </c>
      <c r="AN355" s="30">
        <v>323000</v>
      </c>
      <c r="AO355" s="30">
        <v>383800</v>
      </c>
      <c r="AP355" s="30">
        <f>Lookups!$B$58*0.6</f>
        <v>132535.48800000001</v>
      </c>
      <c r="AQ355" s="30">
        <f>Lookups!$B$58*0.4</f>
        <v>88356.992000000013</v>
      </c>
      <c r="AR355" s="30">
        <f>Lookups!$B$59*Inventory[[#This Row],[LnAcres]]</f>
        <v>-24051.387388882686</v>
      </c>
      <c r="AS355" s="30">
        <f>VLOOKUP(Inventory[[#This Row],[Qlty]],Lookups!$A$66:$E$79,2,FALSE)</f>
        <v>37154.252388000001</v>
      </c>
      <c r="AT355" s="30">
        <f>VLOOKUP(Inventory[[#This Row],[Cnd]],Lookups!$A$80:$E$88,2,FALSE)</f>
        <v>50438.379078999998</v>
      </c>
      <c r="AU355" s="30">
        <f>Inventory[[#This Row],[EffAge]]*Lookups!$B$65</f>
        <v>-1304.8932</v>
      </c>
      <c r="AV355" s="30">
        <f>Inventory[[#This Row],[MainFn]]*Lookups!$B$90</f>
        <v>85502.220600000001</v>
      </c>
      <c r="AW355" s="30">
        <f>Inventory[[#This Row],[UpprFn]]*Lookups!$B$91</f>
        <v>0</v>
      </c>
      <c r="AX355" s="30">
        <f>Inventory[[#This Row],[Bsmt Area]]*Lookups!$B$95</f>
        <v>0</v>
      </c>
      <c r="AY355" s="30">
        <f>Inventory[[#This Row],[AttGar]]*Lookups!$B$93</f>
        <v>23369.282522000001</v>
      </c>
      <c r="AZ355" s="30">
        <f>ROUND(Inventory[[#This Row],[25Det]],-2)</f>
        <v>0</v>
      </c>
      <c r="BA355" s="30">
        <f>ROUND(SUM(Inventory[[#This Row],[Mdl Qlty]:[Mdl Garage Area]])+Inventory[[#This Row],[Mdl Res Intercept]],-2)</f>
        <v>327700</v>
      </c>
      <c r="BB355" s="30">
        <f>ROUND(Inventory[[#This Row],[Mdl Land Intercept]]+Inventory[[#This Row],[Mdl LnAcres]],-2)</f>
        <v>64300</v>
      </c>
      <c r="BC355" s="30">
        <f>Inventory[[#This Row],[Unadj Res Value]]+Inventory[[#This Row],[Unadj Det Value]]+Inventory[[#This Row],[Unadj Land Value]]</f>
        <v>392000</v>
      </c>
      <c r="BD355" s="30">
        <f>(Inventory[[#This Row],[Unadj Total Value]]-Inventory[[#This Row],[24Final]])/Inventory[[#This Row],[24Final]]</f>
        <v>2.1365294424179261E-2</v>
      </c>
      <c r="BE355" s="30">
        <f>VLOOKUP(Inventory[[#This Row],[Nbhd]],Lookups!$M$3:$P$5,4,FALSE)</f>
        <v>0.99970000000000003</v>
      </c>
      <c r="BF355" s="30">
        <f>VLOOKUP(Inventory[[#This Row],[Qlty]],Lookups!$M$8:$P$22,4,FALSE)</f>
        <v>0.99819999999999998</v>
      </c>
      <c r="BG355" s="30">
        <f>VLOOKUP(Inventory[[#This Row],[Cnd]],Lookups!$R$8:$U$17,4,FALSE)</f>
        <v>1.0007999999999999</v>
      </c>
      <c r="BH355" s="30">
        <f>VLOOKUP(Inventory[[#This Row],[LivArea Range]],Lookups!$R$25:$U$43,4,FALSE)</f>
        <v>0.99519999999999997</v>
      </c>
      <c r="BI355" s="30">
        <f>VLOOKUP(Inventory[[#This Row],[Decade]],Lookups!$M$24:$P$40,4,FALSE)</f>
        <v>1.0024</v>
      </c>
      <c r="BJ355" s="30">
        <f>Inventory[[#This Row],[Nbhd Adj]]*0.95</f>
        <v>0.94971499999999998</v>
      </c>
      <c r="BK355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355" s="30">
        <f>ROUND((SUM(Inventory[[#This Row],[Mdl Qlty]:[Mdl Garage Area]])+Inventory[[#This Row],[Mdl Res Intercept]])*Inventory[[#This Row],[Res Adj ]],-2)</f>
        <v>311100</v>
      </c>
      <c r="BM355" s="30">
        <f>ROUND(Inventory[[#This Row],[25Det]]*Inventory[[#This Row],[Det/Nbhd Adj]],-2)</f>
        <v>0</v>
      </c>
      <c r="BN355" s="30">
        <f>Inventory[[#This Row],[Adjusted Res]]+Inventory[[#This Row],[Adj Det ]]</f>
        <v>311100</v>
      </c>
      <c r="BO355" s="30">
        <f>ROUND((Inventory[[#This Row],[Mdl Land Intercept]]+Inventory[[#This Row],[Mdl LnAcres]])*Inventory[[#This Row],[Det/Nbhd Adj]],-2)</f>
        <v>61100</v>
      </c>
      <c r="BP355" s="30">
        <f>Inventory[[#This Row],[Adjusted Impr Total]]+Inventory[[#This Row],[Adjusted Land Total]]</f>
        <v>372200</v>
      </c>
      <c r="BQ355" s="30">
        <f>IFERROR((Inventory[[#This Row],[Adjusted Impr Total]]-Inventory[[#This Row],[24Bldg]])/Inventory[[#This Row],[24Bldg]],0)</f>
        <v>-3.6842105263157891E-2</v>
      </c>
      <c r="BR355" s="43">
        <f>(Inventory[[#This Row],[Adjusted Land Total]]-Inventory[[#This Row],[24Lnd]])/Inventory[[#This Row],[24Lnd]]</f>
        <v>4.9342105263157892E-3</v>
      </c>
      <c r="BS355" s="43">
        <f>(Inventory[[#This Row],[Adjusted Total]]-Inventory[[#This Row],[24Final]])/Inventory[[#This Row],[24Final]]</f>
        <v>-3.0224075039082855E-2</v>
      </c>
    </row>
    <row r="356" spans="1:71">
      <c r="A356" s="30">
        <v>2025</v>
      </c>
      <c r="B356" s="31" t="s">
        <v>869</v>
      </c>
      <c r="C356" s="31">
        <f>LN(Inventory[[#This Row],[Acres]])</f>
        <v>-1.8325814637483102</v>
      </c>
      <c r="D356" s="30">
        <v>0.16</v>
      </c>
      <c r="E356" s="30">
        <v>7070</v>
      </c>
      <c r="F356" s="31" t="s">
        <v>505</v>
      </c>
      <c r="G356" s="31" t="s">
        <v>155</v>
      </c>
      <c r="H356" s="31" t="s">
        <v>5</v>
      </c>
      <c r="I356" s="31" t="s">
        <v>506</v>
      </c>
      <c r="J356" s="31" t="s">
        <v>507</v>
      </c>
      <c r="K356" s="31" t="s">
        <v>330</v>
      </c>
      <c r="L356" s="31" t="s">
        <v>21</v>
      </c>
      <c r="M356" s="31" t="s">
        <v>22</v>
      </c>
      <c r="N356" s="31">
        <v>10</v>
      </c>
      <c r="O356" s="31">
        <f>2024-Inventory[[#This Row],[YrBlt]]</f>
        <v>12</v>
      </c>
      <c r="P356" s="31">
        <f>2024-Inventory[[#This Row],[EffYr]]</f>
        <v>12</v>
      </c>
      <c r="Q356" s="30">
        <v>2012</v>
      </c>
      <c r="R356" s="30">
        <v>2012</v>
      </c>
      <c r="S356" s="30">
        <v>1082</v>
      </c>
      <c r="T356" s="38">
        <v>1106</v>
      </c>
      <c r="U356" s="37"/>
      <c r="V356" s="32"/>
      <c r="W356" s="37"/>
      <c r="X356" s="37">
        <f>Inventory[[#This Row],[Bsmt Area]]-Inventory[[#This Row],[FnBsmt]]</f>
        <v>0</v>
      </c>
      <c r="Y356" s="37">
        <f>Inventory[[#This Row],[MainFn]]+Inventory[[#This Row],[UpprFn]]+Inventory[[#This Row],[AddFn]]+Inventory[[#This Row],[FnBsmt]]</f>
        <v>2188</v>
      </c>
      <c r="Z356" s="32">
        <v>2500</v>
      </c>
      <c r="AA356" s="31" t="s">
        <v>56</v>
      </c>
      <c r="AB356" s="32"/>
      <c r="AC356" s="30">
        <v>484</v>
      </c>
      <c r="AD356" s="32"/>
      <c r="AE356" s="32"/>
      <c r="AF356" s="32"/>
      <c r="AG356" s="32"/>
      <c r="AH356" s="32"/>
      <c r="AI356" s="30">
        <v>435856</v>
      </c>
      <c r="AJ356" s="30">
        <v>414063</v>
      </c>
      <c r="AK356" s="30">
        <v>0</v>
      </c>
      <c r="AL356" s="30">
        <v>0</v>
      </c>
      <c r="AM356" s="30">
        <v>60800</v>
      </c>
      <c r="AN356" s="30">
        <v>360900</v>
      </c>
      <c r="AO356" s="30">
        <v>421700</v>
      </c>
      <c r="AP356" s="30">
        <f>Lookups!$B$58*0.6</f>
        <v>132535.48800000001</v>
      </c>
      <c r="AQ356" s="30">
        <f>Lookups!$B$58*0.4</f>
        <v>88356.992000000013</v>
      </c>
      <c r="AR356" s="30">
        <f>Lookups!$B$59*Inventory[[#This Row],[LnAcres]]</f>
        <v>-24051.387388882686</v>
      </c>
      <c r="AS356" s="30">
        <f>VLOOKUP(Inventory[[#This Row],[Qlty]],Lookups!$A$66:$E$79,2,FALSE)</f>
        <v>32917.849192000001</v>
      </c>
      <c r="AT356" s="30">
        <f>VLOOKUP(Inventory[[#This Row],[Cnd]],Lookups!$A$80:$E$88,2,FALSE)</f>
        <v>50438.379078999998</v>
      </c>
      <c r="AU356" s="30">
        <f>Inventory[[#This Row],[EffAge]]*Lookups!$B$65</f>
        <v>-1304.8932</v>
      </c>
      <c r="AV356" s="30">
        <f>Inventory[[#This Row],[MainFn]]*Lookups!$B$90</f>
        <v>67528.031159999999</v>
      </c>
      <c r="AW356" s="30">
        <f>Inventory[[#This Row],[UpprFn]]*Lookups!$B$91</f>
        <v>65895.903598000004</v>
      </c>
      <c r="AX356" s="30">
        <f>Inventory[[#This Row],[Bsmt Area]]*Lookups!$B$95</f>
        <v>0</v>
      </c>
      <c r="AY356" s="30">
        <f>Inventory[[#This Row],[AttGar]]*Lookups!$B$93</f>
        <v>17085.699004000002</v>
      </c>
      <c r="AZ356" s="30">
        <f>ROUND(Inventory[[#This Row],[25Det]],-2)</f>
        <v>0</v>
      </c>
      <c r="BA356" s="30">
        <f>ROUND(SUM(Inventory[[#This Row],[Mdl Qlty]:[Mdl Garage Area]])+Inventory[[#This Row],[Mdl Res Intercept]],-2)</f>
        <v>365100</v>
      </c>
      <c r="BB356" s="30">
        <f>ROUND(Inventory[[#This Row],[Mdl Land Intercept]]+Inventory[[#This Row],[Mdl LnAcres]],-2)</f>
        <v>64300</v>
      </c>
      <c r="BC356" s="30">
        <f>Inventory[[#This Row],[Unadj Res Value]]+Inventory[[#This Row],[Unadj Det Value]]+Inventory[[#This Row],[Unadj Land Value]]</f>
        <v>429400</v>
      </c>
      <c r="BD356" s="30">
        <f>(Inventory[[#This Row],[Unadj Total Value]]-Inventory[[#This Row],[24Final]])/Inventory[[#This Row],[24Final]]</f>
        <v>1.8259426132321555E-2</v>
      </c>
      <c r="BE356" s="30">
        <f>VLOOKUP(Inventory[[#This Row],[Nbhd]],Lookups!$M$3:$P$5,4,FALSE)</f>
        <v>0.99970000000000003</v>
      </c>
      <c r="BF356" s="30">
        <f>VLOOKUP(Inventory[[#This Row],[Qlty]],Lookups!$M$8:$P$22,4,FALSE)</f>
        <v>1.0019</v>
      </c>
      <c r="BG356" s="30">
        <f>VLOOKUP(Inventory[[#This Row],[Cnd]],Lookups!$R$8:$U$17,4,FALSE)</f>
        <v>1.0007999999999999</v>
      </c>
      <c r="BH356" s="30">
        <f>VLOOKUP(Inventory[[#This Row],[LivArea Range]],Lookups!$R$25:$U$43,4,FALSE)</f>
        <v>1.0008999999999999</v>
      </c>
      <c r="BI356" s="30">
        <f>VLOOKUP(Inventory[[#This Row],[Decade]],Lookups!$M$24:$P$40,4,FALSE)</f>
        <v>1.0024</v>
      </c>
      <c r="BJ356" s="30">
        <f>Inventory[[#This Row],[Nbhd Adj]]*0.95</f>
        <v>0.94971499999999998</v>
      </c>
      <c r="BK356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356" s="30">
        <f>ROUND((SUM(Inventory[[#This Row],[Mdl Qlty]:[Mdl Garage Area]])+Inventory[[#This Row],[Mdl Res Intercept]])*Inventory[[#This Row],[Res Adj ]],-2)</f>
        <v>347200</v>
      </c>
      <c r="BM356" s="30">
        <f>ROUND(Inventory[[#This Row],[25Det]]*Inventory[[#This Row],[Det/Nbhd Adj]],-2)</f>
        <v>0</v>
      </c>
      <c r="BN356" s="30">
        <f>Inventory[[#This Row],[Adjusted Res]]+Inventory[[#This Row],[Adj Det ]]</f>
        <v>347200</v>
      </c>
      <c r="BO356" s="30">
        <f>ROUND((Inventory[[#This Row],[Mdl Land Intercept]]+Inventory[[#This Row],[Mdl LnAcres]])*Inventory[[#This Row],[Det/Nbhd Adj]],-2)</f>
        <v>61100</v>
      </c>
      <c r="BP356" s="30">
        <f>Inventory[[#This Row],[Adjusted Impr Total]]+Inventory[[#This Row],[Adjusted Land Total]]</f>
        <v>408300</v>
      </c>
      <c r="BQ356" s="30">
        <f>IFERROR((Inventory[[#This Row],[Adjusted Impr Total]]-Inventory[[#This Row],[24Bldg]])/Inventory[[#This Row],[24Bldg]],0)</f>
        <v>-3.7960653920753672E-2</v>
      </c>
      <c r="BR356" s="43">
        <f>(Inventory[[#This Row],[Adjusted Land Total]]-Inventory[[#This Row],[24Lnd]])/Inventory[[#This Row],[24Lnd]]</f>
        <v>4.9342105263157892E-3</v>
      </c>
      <c r="BS356" s="43">
        <f>(Inventory[[#This Row],[Adjusted Total]]-Inventory[[#This Row],[24Final]])/Inventory[[#This Row],[24Final]]</f>
        <v>-3.1776144178325826E-2</v>
      </c>
    </row>
    <row r="357" spans="1:71">
      <c r="A357" s="30">
        <v>2025</v>
      </c>
      <c r="B357" s="31" t="s">
        <v>870</v>
      </c>
      <c r="C357" s="31">
        <f>LN(Inventory[[#This Row],[Acres]])</f>
        <v>-1.8325814637483102</v>
      </c>
      <c r="D357" s="30">
        <v>0.16</v>
      </c>
      <c r="E357" s="30">
        <v>7070</v>
      </c>
      <c r="F357" s="31" t="s">
        <v>505</v>
      </c>
      <c r="G357" s="31" t="s">
        <v>155</v>
      </c>
      <c r="H357" s="31" t="s">
        <v>5</v>
      </c>
      <c r="I357" s="31" t="s">
        <v>506</v>
      </c>
      <c r="J357" s="31" t="s">
        <v>507</v>
      </c>
      <c r="K357" s="31" t="s">
        <v>193</v>
      </c>
      <c r="L357" s="31" t="s">
        <v>19</v>
      </c>
      <c r="M357" s="31" t="s">
        <v>22</v>
      </c>
      <c r="N357" s="31">
        <v>10</v>
      </c>
      <c r="O357" s="31">
        <f>2024-Inventory[[#This Row],[YrBlt]]</f>
        <v>12</v>
      </c>
      <c r="P357" s="31">
        <f>2024-Inventory[[#This Row],[EffYr]]</f>
        <v>12</v>
      </c>
      <c r="Q357" s="30">
        <v>2012</v>
      </c>
      <c r="R357" s="30">
        <v>2012</v>
      </c>
      <c r="S357" s="30">
        <v>1390</v>
      </c>
      <c r="T357" s="32"/>
      <c r="U357" s="32"/>
      <c r="V357" s="32"/>
      <c r="W357" s="32"/>
      <c r="X357" s="32">
        <f>Inventory[[#This Row],[Bsmt Area]]-Inventory[[#This Row],[FnBsmt]]</f>
        <v>0</v>
      </c>
      <c r="Y357" s="32">
        <f>Inventory[[#This Row],[MainFn]]+Inventory[[#This Row],[UpprFn]]+Inventory[[#This Row],[AddFn]]+Inventory[[#This Row],[FnBsmt]]</f>
        <v>1390</v>
      </c>
      <c r="Z357" s="32">
        <v>1500</v>
      </c>
      <c r="AA357" s="31" t="s">
        <v>56</v>
      </c>
      <c r="AB357" s="32"/>
      <c r="AC357" s="30">
        <v>402</v>
      </c>
      <c r="AD357" s="32"/>
      <c r="AE357" s="32"/>
      <c r="AF357" s="32"/>
      <c r="AG357" s="32"/>
      <c r="AH357" s="32"/>
      <c r="AI357" s="30">
        <v>277365</v>
      </c>
      <c r="AJ357" s="30">
        <v>263497</v>
      </c>
      <c r="AK357" s="30">
        <v>0</v>
      </c>
      <c r="AL357" s="30">
        <v>0</v>
      </c>
      <c r="AM357" s="30">
        <v>60800</v>
      </c>
      <c r="AN357" s="30">
        <v>312800</v>
      </c>
      <c r="AO357" s="30">
        <v>373600</v>
      </c>
      <c r="AP357" s="30">
        <f>Lookups!$B$58*0.6</f>
        <v>132535.48800000001</v>
      </c>
      <c r="AQ357" s="30">
        <f>Lookups!$B$58*0.4</f>
        <v>88356.992000000013</v>
      </c>
      <c r="AR357" s="30">
        <f>Lookups!$B$59*Inventory[[#This Row],[LnAcres]]</f>
        <v>-24051.387388882686</v>
      </c>
      <c r="AS357" s="30">
        <f>VLOOKUP(Inventory[[#This Row],[Qlty]],Lookups!$A$66:$E$79,2,FALSE)</f>
        <v>37154.252388000001</v>
      </c>
      <c r="AT357" s="30">
        <f>VLOOKUP(Inventory[[#This Row],[Cnd]],Lookups!$A$80:$E$88,2,FALSE)</f>
        <v>50438.379078999998</v>
      </c>
      <c r="AU357" s="30">
        <f>Inventory[[#This Row],[EffAge]]*Lookups!$B$65</f>
        <v>-1304.8932</v>
      </c>
      <c r="AV357" s="30">
        <f>Inventory[[#This Row],[MainFn]]*Lookups!$B$90</f>
        <v>86750.428200000009</v>
      </c>
      <c r="AW357" s="30">
        <f>Inventory[[#This Row],[UpprFn]]*Lookups!$B$91</f>
        <v>0</v>
      </c>
      <c r="AX357" s="30">
        <f>Inventory[[#This Row],[Bsmt Area]]*Lookups!$B$95</f>
        <v>0</v>
      </c>
      <c r="AY357" s="30">
        <f>Inventory[[#This Row],[AttGar]]*Lookups!$B$93</f>
        <v>14191.014462000001</v>
      </c>
      <c r="AZ357" s="30">
        <f>ROUND(Inventory[[#This Row],[25Det]],-2)</f>
        <v>0</v>
      </c>
      <c r="BA357" s="30">
        <f>ROUND(SUM(Inventory[[#This Row],[Mdl Qlty]:[Mdl Garage Area]])+Inventory[[#This Row],[Mdl Res Intercept]],-2)</f>
        <v>319800</v>
      </c>
      <c r="BB357" s="30">
        <f>ROUND(Inventory[[#This Row],[Mdl Land Intercept]]+Inventory[[#This Row],[Mdl LnAcres]],-2)</f>
        <v>64300</v>
      </c>
      <c r="BC357" s="30">
        <f>Inventory[[#This Row],[Unadj Res Value]]+Inventory[[#This Row],[Unadj Det Value]]+Inventory[[#This Row],[Unadj Land Value]]</f>
        <v>384100</v>
      </c>
      <c r="BD357" s="30">
        <f>(Inventory[[#This Row],[Unadj Total Value]]-Inventory[[#This Row],[24Final]])/Inventory[[#This Row],[24Final]]</f>
        <v>2.8104925053533191E-2</v>
      </c>
      <c r="BE357" s="30">
        <f>VLOOKUP(Inventory[[#This Row],[Nbhd]],Lookups!$M$3:$P$5,4,FALSE)</f>
        <v>0.99970000000000003</v>
      </c>
      <c r="BF357" s="30">
        <f>VLOOKUP(Inventory[[#This Row],[Qlty]],Lookups!$M$8:$P$22,4,FALSE)</f>
        <v>0.99819999999999998</v>
      </c>
      <c r="BG357" s="30">
        <f>VLOOKUP(Inventory[[#This Row],[Cnd]],Lookups!$R$8:$U$17,4,FALSE)</f>
        <v>1.0007999999999999</v>
      </c>
      <c r="BH357" s="30">
        <f>VLOOKUP(Inventory[[#This Row],[LivArea Range]],Lookups!$R$25:$U$43,4,FALSE)</f>
        <v>0.99519999999999997</v>
      </c>
      <c r="BI357" s="30">
        <f>VLOOKUP(Inventory[[#This Row],[Decade]],Lookups!$M$24:$P$40,4,FALSE)</f>
        <v>1.0024</v>
      </c>
      <c r="BJ357" s="30">
        <f>Inventory[[#This Row],[Nbhd Adj]]*0.95</f>
        <v>0.94971499999999998</v>
      </c>
      <c r="BK357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357" s="30">
        <f>ROUND((SUM(Inventory[[#This Row],[Mdl Qlty]:[Mdl Garage Area]])+Inventory[[#This Row],[Mdl Res Intercept]])*Inventory[[#This Row],[Res Adj ]],-2)</f>
        <v>303600</v>
      </c>
      <c r="BM357" s="30">
        <f>ROUND(Inventory[[#This Row],[25Det]]*Inventory[[#This Row],[Det/Nbhd Adj]],-2)</f>
        <v>0</v>
      </c>
      <c r="BN357" s="30">
        <f>Inventory[[#This Row],[Adjusted Res]]+Inventory[[#This Row],[Adj Det ]]</f>
        <v>303600</v>
      </c>
      <c r="BO357" s="30">
        <f>ROUND((Inventory[[#This Row],[Mdl Land Intercept]]+Inventory[[#This Row],[Mdl LnAcres]])*Inventory[[#This Row],[Det/Nbhd Adj]],-2)</f>
        <v>61100</v>
      </c>
      <c r="BP357" s="30">
        <f>Inventory[[#This Row],[Adjusted Impr Total]]+Inventory[[#This Row],[Adjusted Land Total]]</f>
        <v>364700</v>
      </c>
      <c r="BQ357" s="30">
        <f>IFERROR((Inventory[[#This Row],[Adjusted Impr Total]]-Inventory[[#This Row],[24Bldg]])/Inventory[[#This Row],[24Bldg]],0)</f>
        <v>-2.9411764705882353E-2</v>
      </c>
      <c r="BR357" s="43">
        <f>(Inventory[[#This Row],[Adjusted Land Total]]-Inventory[[#This Row],[24Lnd]])/Inventory[[#This Row],[24Lnd]]</f>
        <v>4.9342105263157892E-3</v>
      </c>
      <c r="BS357" s="43">
        <f>(Inventory[[#This Row],[Adjusted Total]]-Inventory[[#This Row],[24Final]])/Inventory[[#This Row],[24Final]]</f>
        <v>-2.3822269807280513E-2</v>
      </c>
    </row>
    <row r="358" spans="1:71">
      <c r="A358" s="30">
        <v>2025</v>
      </c>
      <c r="B358" s="31" t="s">
        <v>871</v>
      </c>
      <c r="C358" s="31">
        <f>LN(Inventory[[#This Row],[Acres]])</f>
        <v>-1.8325814637483102</v>
      </c>
      <c r="D358" s="30">
        <v>0.16</v>
      </c>
      <c r="E358" s="30">
        <v>7070</v>
      </c>
      <c r="F358" s="31" t="s">
        <v>505</v>
      </c>
      <c r="G358" s="31" t="s">
        <v>155</v>
      </c>
      <c r="H358" s="31" t="s">
        <v>5</v>
      </c>
      <c r="I358" s="31" t="s">
        <v>506</v>
      </c>
      <c r="J358" s="31" t="s">
        <v>507</v>
      </c>
      <c r="K358" s="31" t="s">
        <v>193</v>
      </c>
      <c r="L358" s="31" t="s">
        <v>21</v>
      </c>
      <c r="M358" s="31" t="s">
        <v>22</v>
      </c>
      <c r="N358" s="31">
        <v>10</v>
      </c>
      <c r="O358" s="31">
        <f>2024-Inventory[[#This Row],[YrBlt]]</f>
        <v>12</v>
      </c>
      <c r="P358" s="31">
        <f>2024-Inventory[[#This Row],[EffYr]]</f>
        <v>12</v>
      </c>
      <c r="Q358" s="30">
        <v>2012</v>
      </c>
      <c r="R358" s="30">
        <v>2012</v>
      </c>
      <c r="S358" s="30">
        <v>1712</v>
      </c>
      <c r="T358" s="32"/>
      <c r="U358" s="32"/>
      <c r="V358" s="32"/>
      <c r="W358" s="32"/>
      <c r="X358" s="32">
        <f>Inventory[[#This Row],[Bsmt Area]]-Inventory[[#This Row],[FnBsmt]]</f>
        <v>0</v>
      </c>
      <c r="Y358" s="32">
        <f>Inventory[[#This Row],[MainFn]]+Inventory[[#This Row],[UpprFn]]+Inventory[[#This Row],[AddFn]]+Inventory[[#This Row],[FnBsmt]]</f>
        <v>1712</v>
      </c>
      <c r="Z358" s="32">
        <v>2000</v>
      </c>
      <c r="AA358" s="31" t="s">
        <v>56</v>
      </c>
      <c r="AB358" s="32"/>
      <c r="AC358" s="30">
        <v>418</v>
      </c>
      <c r="AD358" s="32"/>
      <c r="AE358" s="32"/>
      <c r="AF358" s="32"/>
      <c r="AG358" s="32"/>
      <c r="AH358" s="32"/>
      <c r="AI358" s="30">
        <v>373969</v>
      </c>
      <c r="AJ358" s="30">
        <v>355271</v>
      </c>
      <c r="AK358" s="30">
        <v>0</v>
      </c>
      <c r="AL358" s="30">
        <v>0</v>
      </c>
      <c r="AM358" s="30">
        <v>60800</v>
      </c>
      <c r="AN358" s="30">
        <v>325100</v>
      </c>
      <c r="AO358" s="30">
        <v>385900</v>
      </c>
      <c r="AP358" s="30">
        <f>Lookups!$B$58*0.6</f>
        <v>132535.48800000001</v>
      </c>
      <c r="AQ358" s="30">
        <f>Lookups!$B$58*0.4</f>
        <v>88356.992000000013</v>
      </c>
      <c r="AR358" s="30">
        <f>Lookups!$B$59*Inventory[[#This Row],[LnAcres]]</f>
        <v>-24051.387388882686</v>
      </c>
      <c r="AS358" s="30">
        <f>VLOOKUP(Inventory[[#This Row],[Qlty]],Lookups!$A$66:$E$79,2,FALSE)</f>
        <v>32917.849192000001</v>
      </c>
      <c r="AT358" s="30">
        <f>VLOOKUP(Inventory[[#This Row],[Cnd]],Lookups!$A$80:$E$88,2,FALSE)</f>
        <v>50438.379078999998</v>
      </c>
      <c r="AU358" s="30">
        <f>Inventory[[#This Row],[EffAge]]*Lookups!$B$65</f>
        <v>-1304.8932</v>
      </c>
      <c r="AV358" s="30">
        <f>Inventory[[#This Row],[MainFn]]*Lookups!$B$90</f>
        <v>106846.57056000001</v>
      </c>
      <c r="AW358" s="30">
        <f>Inventory[[#This Row],[UpprFn]]*Lookups!$B$91</f>
        <v>0</v>
      </c>
      <c r="AX358" s="30">
        <f>Inventory[[#This Row],[Bsmt Area]]*Lookups!$B$95</f>
        <v>0</v>
      </c>
      <c r="AY358" s="30">
        <f>Inventory[[#This Row],[AttGar]]*Lookups!$B$93</f>
        <v>14755.830958</v>
      </c>
      <c r="AZ358" s="30">
        <f>ROUND(Inventory[[#This Row],[25Det]],-2)</f>
        <v>0</v>
      </c>
      <c r="BA358" s="30">
        <f>ROUND(SUM(Inventory[[#This Row],[Mdl Qlty]:[Mdl Garage Area]])+Inventory[[#This Row],[Mdl Res Intercept]],-2)</f>
        <v>336200</v>
      </c>
      <c r="BB358" s="30">
        <f>ROUND(Inventory[[#This Row],[Mdl Land Intercept]]+Inventory[[#This Row],[Mdl LnAcres]],-2)</f>
        <v>64300</v>
      </c>
      <c r="BC358" s="30">
        <f>Inventory[[#This Row],[Unadj Res Value]]+Inventory[[#This Row],[Unadj Det Value]]+Inventory[[#This Row],[Unadj Land Value]]</f>
        <v>400500</v>
      </c>
      <c r="BD358" s="30">
        <f>(Inventory[[#This Row],[Unadj Total Value]]-Inventory[[#This Row],[24Final]])/Inventory[[#This Row],[24Final]]</f>
        <v>3.7833635656905937E-2</v>
      </c>
      <c r="BE358" s="30">
        <f>VLOOKUP(Inventory[[#This Row],[Nbhd]],Lookups!$M$3:$P$5,4,FALSE)</f>
        <v>0.99970000000000003</v>
      </c>
      <c r="BF358" s="30">
        <f>VLOOKUP(Inventory[[#This Row],[Qlty]],Lookups!$M$8:$P$22,4,FALSE)</f>
        <v>1.0019</v>
      </c>
      <c r="BG358" s="30">
        <f>VLOOKUP(Inventory[[#This Row],[Cnd]],Lookups!$R$8:$U$17,4,FALSE)</f>
        <v>1.0007999999999999</v>
      </c>
      <c r="BH358" s="30">
        <f>VLOOKUP(Inventory[[#This Row],[LivArea Range]],Lookups!$R$25:$U$43,4,FALSE)</f>
        <v>1.0007999999999999</v>
      </c>
      <c r="BI358" s="30">
        <f>VLOOKUP(Inventory[[#This Row],[Decade]],Lookups!$M$24:$P$40,4,FALSE)</f>
        <v>1.0024</v>
      </c>
      <c r="BJ358" s="30">
        <f>Inventory[[#This Row],[Nbhd Adj]]*0.95</f>
        <v>0.94971499999999998</v>
      </c>
      <c r="BK358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358" s="30">
        <f>ROUND((SUM(Inventory[[#This Row],[Mdl Qlty]:[Mdl Garage Area]])+Inventory[[#This Row],[Mdl Res Intercept]])*Inventory[[#This Row],[Res Adj ]],-2)</f>
        <v>319700</v>
      </c>
      <c r="BM358" s="30">
        <f>ROUND(Inventory[[#This Row],[25Det]]*Inventory[[#This Row],[Det/Nbhd Adj]],-2)</f>
        <v>0</v>
      </c>
      <c r="BN358" s="30">
        <f>Inventory[[#This Row],[Adjusted Res]]+Inventory[[#This Row],[Adj Det ]]</f>
        <v>319700</v>
      </c>
      <c r="BO358" s="30">
        <f>ROUND((Inventory[[#This Row],[Mdl Land Intercept]]+Inventory[[#This Row],[Mdl LnAcres]])*Inventory[[#This Row],[Det/Nbhd Adj]],-2)</f>
        <v>61100</v>
      </c>
      <c r="BP358" s="30">
        <f>Inventory[[#This Row],[Adjusted Impr Total]]+Inventory[[#This Row],[Adjusted Land Total]]</f>
        <v>380800</v>
      </c>
      <c r="BQ358" s="30">
        <f>IFERROR((Inventory[[#This Row],[Adjusted Impr Total]]-Inventory[[#This Row],[24Bldg]])/Inventory[[#This Row],[24Bldg]],0)</f>
        <v>-1.6610273761919408E-2</v>
      </c>
      <c r="BR358" s="43">
        <f>(Inventory[[#This Row],[Adjusted Land Total]]-Inventory[[#This Row],[24Lnd]])/Inventory[[#This Row],[24Lnd]]</f>
        <v>4.9342105263157892E-3</v>
      </c>
      <c r="BS358" s="43">
        <f>(Inventory[[#This Row],[Adjusted Total]]-Inventory[[#This Row],[24Final]])/Inventory[[#This Row],[24Final]]</f>
        <v>-1.3215859030837005E-2</v>
      </c>
    </row>
    <row r="359" spans="1:71">
      <c r="A359" s="30">
        <v>2025</v>
      </c>
      <c r="B359" s="31" t="s">
        <v>872</v>
      </c>
      <c r="C359" s="31">
        <f>LN(Inventory[[#This Row],[Acres]])</f>
        <v>-1.7719568419318752</v>
      </c>
      <c r="D359" s="30">
        <v>0.17</v>
      </c>
      <c r="E359" s="30">
        <v>7200</v>
      </c>
      <c r="F359" s="31" t="s">
        <v>505</v>
      </c>
      <c r="G359" s="31" t="s">
        <v>155</v>
      </c>
      <c r="H359" s="31" t="s">
        <v>5</v>
      </c>
      <c r="I359" s="31" t="s">
        <v>506</v>
      </c>
      <c r="J359" s="31" t="s">
        <v>507</v>
      </c>
      <c r="K359" s="31" t="s">
        <v>330</v>
      </c>
      <c r="L359" s="31" t="s">
        <v>19</v>
      </c>
      <c r="M359" s="31" t="s">
        <v>22</v>
      </c>
      <c r="N359" s="31">
        <v>10</v>
      </c>
      <c r="O359" s="31">
        <f>2024-Inventory[[#This Row],[YrBlt]]</f>
        <v>12</v>
      </c>
      <c r="P359" s="31">
        <f>2024-Inventory[[#This Row],[EffYr]]</f>
        <v>12</v>
      </c>
      <c r="Q359" s="30">
        <v>2012</v>
      </c>
      <c r="R359" s="30">
        <v>2012</v>
      </c>
      <c r="S359" s="30">
        <v>1368</v>
      </c>
      <c r="T359" s="32"/>
      <c r="U359" s="32"/>
      <c r="V359" s="32"/>
      <c r="W359" s="32"/>
      <c r="X359" s="32">
        <f>Inventory[[#This Row],[Bsmt Area]]-Inventory[[#This Row],[FnBsmt]]</f>
        <v>0</v>
      </c>
      <c r="Y359" s="32">
        <f>Inventory[[#This Row],[MainFn]]+Inventory[[#This Row],[UpprFn]]+Inventory[[#This Row],[AddFn]]+Inventory[[#This Row],[FnBsmt]]</f>
        <v>1368</v>
      </c>
      <c r="Z359" s="32">
        <v>1500</v>
      </c>
      <c r="AA359" s="31" t="s">
        <v>56</v>
      </c>
      <c r="AB359" s="32"/>
      <c r="AC359" s="30">
        <v>424</v>
      </c>
      <c r="AD359" s="32"/>
      <c r="AE359" s="32"/>
      <c r="AF359" s="32"/>
      <c r="AG359" s="32"/>
      <c r="AH359" s="32"/>
      <c r="AI359" s="30">
        <v>296414</v>
      </c>
      <c r="AJ359" s="30">
        <v>281593</v>
      </c>
      <c r="AK359" s="30">
        <v>0</v>
      </c>
      <c r="AL359" s="30">
        <v>0</v>
      </c>
      <c r="AM359" s="30">
        <v>61700</v>
      </c>
      <c r="AN359" s="30">
        <v>347700</v>
      </c>
      <c r="AO359" s="30">
        <v>409400</v>
      </c>
      <c r="AP359" s="30">
        <f>Lookups!$B$58*0.6</f>
        <v>132535.48800000001</v>
      </c>
      <c r="AQ359" s="30">
        <f>Lookups!$B$58*0.4</f>
        <v>88356.992000000013</v>
      </c>
      <c r="AR359" s="30">
        <f>Lookups!$B$59*Inventory[[#This Row],[LnAcres]]</f>
        <v>-23255.730391660189</v>
      </c>
      <c r="AS359" s="30">
        <f>VLOOKUP(Inventory[[#This Row],[Qlty]],Lookups!$A$66:$E$79,2,FALSE)</f>
        <v>37154.252388000001</v>
      </c>
      <c r="AT359" s="30">
        <f>VLOOKUP(Inventory[[#This Row],[Cnd]],Lookups!$A$80:$E$88,2,FALSE)</f>
        <v>50438.379078999998</v>
      </c>
      <c r="AU359" s="30">
        <f>Inventory[[#This Row],[EffAge]]*Lookups!$B$65</f>
        <v>-1304.8932</v>
      </c>
      <c r="AV359" s="30">
        <f>Inventory[[#This Row],[MainFn]]*Lookups!$B$90</f>
        <v>85377.399839999998</v>
      </c>
      <c r="AW359" s="30">
        <f>Inventory[[#This Row],[UpprFn]]*Lookups!$B$91</f>
        <v>0</v>
      </c>
      <c r="AX359" s="30">
        <f>Inventory[[#This Row],[Bsmt Area]]*Lookups!$B$95</f>
        <v>0</v>
      </c>
      <c r="AY359" s="30">
        <f>Inventory[[#This Row],[AttGar]]*Lookups!$B$93</f>
        <v>14967.637144</v>
      </c>
      <c r="AZ359" s="30">
        <f>ROUND(Inventory[[#This Row],[25Det]],-2)</f>
        <v>0</v>
      </c>
      <c r="BA359" s="30">
        <f>ROUND(SUM(Inventory[[#This Row],[Mdl Qlty]:[Mdl Garage Area]])+Inventory[[#This Row],[Mdl Res Intercept]],-2)</f>
        <v>319200</v>
      </c>
      <c r="BB359" s="30">
        <f>ROUND(Inventory[[#This Row],[Mdl Land Intercept]]+Inventory[[#This Row],[Mdl LnAcres]],-2)</f>
        <v>65100</v>
      </c>
      <c r="BC359" s="30">
        <f>Inventory[[#This Row],[Unadj Res Value]]+Inventory[[#This Row],[Unadj Det Value]]+Inventory[[#This Row],[Unadj Land Value]]</f>
        <v>384300</v>
      </c>
      <c r="BD359" s="30">
        <f>(Inventory[[#This Row],[Unadj Total Value]]-Inventory[[#This Row],[24Final]])/Inventory[[#This Row],[24Final]]</f>
        <v>-6.1309233023937468E-2</v>
      </c>
      <c r="BE359" s="30">
        <f>VLOOKUP(Inventory[[#This Row],[Nbhd]],Lookups!$M$3:$P$5,4,FALSE)</f>
        <v>0.99970000000000003</v>
      </c>
      <c r="BF359" s="30">
        <f>VLOOKUP(Inventory[[#This Row],[Qlty]],Lookups!$M$8:$P$22,4,FALSE)</f>
        <v>0.99819999999999998</v>
      </c>
      <c r="BG359" s="30">
        <f>VLOOKUP(Inventory[[#This Row],[Cnd]],Lookups!$R$8:$U$17,4,FALSE)</f>
        <v>1.0007999999999999</v>
      </c>
      <c r="BH359" s="30">
        <f>VLOOKUP(Inventory[[#This Row],[LivArea Range]],Lookups!$R$25:$U$43,4,FALSE)</f>
        <v>0.99519999999999997</v>
      </c>
      <c r="BI359" s="30">
        <f>VLOOKUP(Inventory[[#This Row],[Decade]],Lookups!$M$24:$P$40,4,FALSE)</f>
        <v>1.0024</v>
      </c>
      <c r="BJ359" s="30">
        <f>Inventory[[#This Row],[Nbhd Adj]]*0.95</f>
        <v>0.94971499999999998</v>
      </c>
      <c r="BK359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359" s="30">
        <f>ROUND((SUM(Inventory[[#This Row],[Mdl Qlty]:[Mdl Garage Area]])+Inventory[[#This Row],[Mdl Res Intercept]])*Inventory[[#This Row],[Res Adj ]],-2)</f>
        <v>303000</v>
      </c>
      <c r="BM359" s="30">
        <f>ROUND(Inventory[[#This Row],[25Det]]*Inventory[[#This Row],[Det/Nbhd Adj]],-2)</f>
        <v>0</v>
      </c>
      <c r="BN359" s="30">
        <f>Inventory[[#This Row],[Adjusted Res]]+Inventory[[#This Row],[Adj Det ]]</f>
        <v>303000</v>
      </c>
      <c r="BO359" s="30">
        <f>ROUND((Inventory[[#This Row],[Mdl Land Intercept]]+Inventory[[#This Row],[Mdl LnAcres]])*Inventory[[#This Row],[Det/Nbhd Adj]],-2)</f>
        <v>61800</v>
      </c>
      <c r="BP359" s="30">
        <f>Inventory[[#This Row],[Adjusted Impr Total]]+Inventory[[#This Row],[Adjusted Land Total]]</f>
        <v>364800</v>
      </c>
      <c r="BQ359" s="30">
        <f>IFERROR((Inventory[[#This Row],[Adjusted Impr Total]]-Inventory[[#This Row],[24Bldg]])/Inventory[[#This Row],[24Bldg]],0)</f>
        <v>-0.12855910267471959</v>
      </c>
      <c r="BR359" s="43">
        <f>(Inventory[[#This Row],[Adjusted Land Total]]-Inventory[[#This Row],[24Lnd]])/Inventory[[#This Row],[24Lnd]]</f>
        <v>1.6207455429497568E-3</v>
      </c>
      <c r="BS359" s="43">
        <f>(Inventory[[#This Row],[Adjusted Total]]-Inventory[[#This Row],[24Final]])/Inventory[[#This Row],[24Final]]</f>
        <v>-0.10893991206643869</v>
      </c>
    </row>
    <row r="360" spans="1:71">
      <c r="A360" s="30">
        <v>2025</v>
      </c>
      <c r="B360" s="31" t="s">
        <v>873</v>
      </c>
      <c r="C360" s="31">
        <f>LN(Inventory[[#This Row],[Acres]])</f>
        <v>-1.7719568419318752</v>
      </c>
      <c r="D360" s="30">
        <v>0.17</v>
      </c>
      <c r="E360" s="30">
        <v>7200</v>
      </c>
      <c r="F360" s="31" t="s">
        <v>505</v>
      </c>
      <c r="G360" s="31" t="s">
        <v>155</v>
      </c>
      <c r="H360" s="31" t="s">
        <v>5</v>
      </c>
      <c r="I360" s="31" t="s">
        <v>506</v>
      </c>
      <c r="J360" s="31" t="s">
        <v>874</v>
      </c>
      <c r="K360" s="31" t="s">
        <v>330</v>
      </c>
      <c r="L360" s="31" t="s">
        <v>19</v>
      </c>
      <c r="M360" s="31" t="s">
        <v>22</v>
      </c>
      <c r="N360" s="31">
        <v>10</v>
      </c>
      <c r="O360" s="31">
        <f>2024-Inventory[[#This Row],[YrBlt]]</f>
        <v>12</v>
      </c>
      <c r="P360" s="31">
        <f>2024-Inventory[[#This Row],[EffYr]]</f>
        <v>12</v>
      </c>
      <c r="Q360" s="30">
        <v>2012</v>
      </c>
      <c r="R360" s="30">
        <v>2012</v>
      </c>
      <c r="S360" s="30">
        <v>1521</v>
      </c>
      <c r="T360" s="37"/>
      <c r="U360" s="32"/>
      <c r="V360" s="32"/>
      <c r="W360" s="32"/>
      <c r="X360" s="32">
        <f>Inventory[[#This Row],[Bsmt Area]]-Inventory[[#This Row],[FnBsmt]]</f>
        <v>0</v>
      </c>
      <c r="Y360" s="32">
        <f>Inventory[[#This Row],[MainFn]]+Inventory[[#This Row],[UpprFn]]+Inventory[[#This Row],[AddFn]]+Inventory[[#This Row],[FnBsmt]]</f>
        <v>1521</v>
      </c>
      <c r="Z360" s="32">
        <v>2000</v>
      </c>
      <c r="AA360" s="31" t="s">
        <v>56</v>
      </c>
      <c r="AB360" s="32"/>
      <c r="AC360" s="38">
        <v>435</v>
      </c>
      <c r="AD360" s="37"/>
      <c r="AE360" s="32"/>
      <c r="AF360" s="32"/>
      <c r="AG360" s="32"/>
      <c r="AH360" s="32"/>
      <c r="AI360" s="30">
        <v>304272</v>
      </c>
      <c r="AJ360" s="30">
        <v>289058</v>
      </c>
      <c r="AK360" s="30">
        <v>0</v>
      </c>
      <c r="AL360" s="30">
        <v>0</v>
      </c>
      <c r="AM360" s="30">
        <v>61700</v>
      </c>
      <c r="AN360" s="30">
        <v>328000</v>
      </c>
      <c r="AO360" s="30">
        <v>389700</v>
      </c>
      <c r="AP360" s="30">
        <f>Lookups!$B$58*0.6</f>
        <v>132535.48800000001</v>
      </c>
      <c r="AQ360" s="30">
        <f>Lookups!$B$58*0.4</f>
        <v>88356.992000000013</v>
      </c>
      <c r="AR360" s="30">
        <f>Lookups!$B$59*Inventory[[#This Row],[LnAcres]]</f>
        <v>-23255.730391660189</v>
      </c>
      <c r="AS360" s="30">
        <f>VLOOKUP(Inventory[[#This Row],[Qlty]],Lookups!$A$66:$E$79,2,FALSE)</f>
        <v>37154.252388000001</v>
      </c>
      <c r="AT360" s="30">
        <f>VLOOKUP(Inventory[[#This Row],[Cnd]],Lookups!$A$80:$E$88,2,FALSE)</f>
        <v>50438.379078999998</v>
      </c>
      <c r="AU360" s="30">
        <f>Inventory[[#This Row],[EffAge]]*Lookups!$B$65</f>
        <v>-1304.8932</v>
      </c>
      <c r="AV360" s="30">
        <f>Inventory[[#This Row],[MainFn]]*Lookups!$B$90</f>
        <v>94926.187980000002</v>
      </c>
      <c r="AW360" s="30">
        <f>Inventory[[#This Row],[UpprFn]]*Lookups!$B$91</f>
        <v>0</v>
      </c>
      <c r="AX360" s="30">
        <f>Inventory[[#This Row],[Bsmt Area]]*Lookups!$B$95</f>
        <v>0</v>
      </c>
      <c r="AY360" s="30">
        <f>Inventory[[#This Row],[AttGar]]*Lookups!$B$93</f>
        <v>15355.948485000001</v>
      </c>
      <c r="AZ360" s="30">
        <f>ROUND(Inventory[[#This Row],[25Det]],-2)</f>
        <v>0</v>
      </c>
      <c r="BA360" s="30">
        <f>ROUND(SUM(Inventory[[#This Row],[Mdl Qlty]:[Mdl Garage Area]])+Inventory[[#This Row],[Mdl Res Intercept]],-2)</f>
        <v>329100</v>
      </c>
      <c r="BB360" s="30">
        <f>ROUND(Inventory[[#This Row],[Mdl Land Intercept]]+Inventory[[#This Row],[Mdl LnAcres]],-2)</f>
        <v>65100</v>
      </c>
      <c r="BC360" s="30">
        <f>Inventory[[#This Row],[Unadj Res Value]]+Inventory[[#This Row],[Unadj Det Value]]+Inventory[[#This Row],[Unadj Land Value]]</f>
        <v>394200</v>
      </c>
      <c r="BD360" s="30">
        <f>(Inventory[[#This Row],[Unadj Total Value]]-Inventory[[#This Row],[24Final]])/Inventory[[#This Row],[24Final]]</f>
        <v>1.1547344110854504E-2</v>
      </c>
      <c r="BE360" s="30">
        <f>VLOOKUP(Inventory[[#This Row],[Nbhd]],Lookups!$M$3:$P$5,4,FALSE)</f>
        <v>0.99970000000000003</v>
      </c>
      <c r="BF360" s="30">
        <f>VLOOKUP(Inventory[[#This Row],[Qlty]],Lookups!$M$8:$P$22,4,FALSE)</f>
        <v>0.99819999999999998</v>
      </c>
      <c r="BG360" s="30">
        <f>VLOOKUP(Inventory[[#This Row],[Cnd]],Lookups!$R$8:$U$17,4,FALSE)</f>
        <v>1.0007999999999999</v>
      </c>
      <c r="BH360" s="30">
        <f>VLOOKUP(Inventory[[#This Row],[LivArea Range]],Lookups!$R$25:$U$43,4,FALSE)</f>
        <v>1.0007999999999999</v>
      </c>
      <c r="BI360" s="30">
        <f>VLOOKUP(Inventory[[#This Row],[Decade]],Lookups!$M$24:$P$40,4,FALSE)</f>
        <v>1.0024</v>
      </c>
      <c r="BJ360" s="30">
        <f>Inventory[[#This Row],[Nbhd Adj]]*0.95</f>
        <v>0.94971499999999998</v>
      </c>
      <c r="BK360" s="30">
        <f>AVERAGE(Inventory[[#This Row],[Nbhd Adj]],Inventory[[#This Row],[Quality Adj]],Inventory[[#This Row],[Condition Adj]],Inventory[[#This Row],[Living Area Adj]],Inventory[[#This Row],[Decade Adj]])*0.95</f>
        <v>0.95036100000000001</v>
      </c>
      <c r="BL360" s="30">
        <f>ROUND((SUM(Inventory[[#This Row],[Mdl Qlty]:[Mdl Garage Area]])+Inventory[[#This Row],[Mdl Res Intercept]])*Inventory[[#This Row],[Res Adj ]],-2)</f>
        <v>312800</v>
      </c>
      <c r="BM360" s="30">
        <f>ROUND(Inventory[[#This Row],[25Det]]*Inventory[[#This Row],[Det/Nbhd Adj]],-2)</f>
        <v>0</v>
      </c>
      <c r="BN360" s="30">
        <f>Inventory[[#This Row],[Adjusted Res]]+Inventory[[#This Row],[Adj Det ]]</f>
        <v>312800</v>
      </c>
      <c r="BO360" s="30">
        <f>ROUND((Inventory[[#This Row],[Mdl Land Intercept]]+Inventory[[#This Row],[Mdl LnAcres]])*Inventory[[#This Row],[Det/Nbhd Adj]],-2)</f>
        <v>61800</v>
      </c>
      <c r="BP360" s="30">
        <f>Inventory[[#This Row],[Adjusted Impr Total]]+Inventory[[#This Row],[Adjusted Land Total]]</f>
        <v>374600</v>
      </c>
      <c r="BQ360" s="30">
        <f>IFERROR((Inventory[[#This Row],[Adjusted Impr Total]]-Inventory[[#This Row],[24Bldg]])/Inventory[[#This Row],[24Bldg]],0)</f>
        <v>-4.6341463414634146E-2</v>
      </c>
      <c r="BR360" s="43">
        <f>(Inventory[[#This Row],[Adjusted Land Total]]-Inventory[[#This Row],[24Lnd]])/Inventory[[#This Row],[24Lnd]]</f>
        <v>1.6207455429497568E-3</v>
      </c>
      <c r="BS360" s="43">
        <f>(Inventory[[#This Row],[Adjusted Total]]-Inventory[[#This Row],[24Final]])/Inventory[[#This Row],[24Final]]</f>
        <v>-3.8747754683089559E-2</v>
      </c>
    </row>
    <row r="361" spans="1:71">
      <c r="A361" s="30">
        <v>2025</v>
      </c>
      <c r="B361" s="31" t="s">
        <v>875</v>
      </c>
      <c r="C361" s="31">
        <f>LN(Inventory[[#This Row],[Acres]])</f>
        <v>-1.7719568419318752</v>
      </c>
      <c r="D361" s="30">
        <v>0.17</v>
      </c>
      <c r="E361" s="30">
        <v>7305</v>
      </c>
      <c r="F361" s="31" t="s">
        <v>505</v>
      </c>
      <c r="G361" s="31" t="s">
        <v>155</v>
      </c>
      <c r="H361" s="31" t="s">
        <v>5</v>
      </c>
      <c r="I361" s="31" t="s">
        <v>506</v>
      </c>
      <c r="J361" s="31" t="s">
        <v>507</v>
      </c>
      <c r="K361" s="31" t="s">
        <v>330</v>
      </c>
      <c r="L361" s="31" t="s">
        <v>21</v>
      </c>
      <c r="M361" s="31" t="s">
        <v>22</v>
      </c>
      <c r="N361" s="31">
        <v>10</v>
      </c>
      <c r="O361" s="31">
        <f>2024-Inventory[[#This Row],[YrBlt]]</f>
        <v>12</v>
      </c>
      <c r="P361" s="31">
        <f>2024-Inventory[[#This Row],[EffYr]]</f>
        <v>12</v>
      </c>
      <c r="Q361" s="30">
        <v>2012</v>
      </c>
      <c r="R361" s="30">
        <v>2012</v>
      </c>
      <c r="S361" s="30">
        <v>1521</v>
      </c>
      <c r="T361" s="37"/>
      <c r="U361" s="32"/>
      <c r="V361" s="32"/>
      <c r="W361" s="32"/>
      <c r="X361" s="32">
        <f>Inventory[[#This Row],[Bsmt Area]]-Inventory[[#This Row],[FnBsmt]]</f>
        <v>0</v>
      </c>
      <c r="Y361" s="32">
        <f>Inventory[[#This Row],[MainFn]]+Inventory[[#This Row],[UpprFn]]+Inventory[[#This Row],[AddFn]]+Inventory[[#This Row],[FnBsmt]]</f>
        <v>1521</v>
      </c>
      <c r="Z361" s="32">
        <v>2000</v>
      </c>
      <c r="AA361" s="31" t="s">
        <v>56</v>
      </c>
      <c r="AB361" s="32"/>
      <c r="AC361" s="38">
        <v>435</v>
      </c>
      <c r="AD361" s="37"/>
      <c r="AE361" s="32"/>
      <c r="AF361" s="32"/>
      <c r="AG361" s="32"/>
      <c r="AH361" s="32"/>
      <c r="AI361" s="30">
        <v>356398</v>
      </c>
      <c r="AJ361" s="30">
        <v>338578</v>
      </c>
      <c r="AK361" s="30">
        <v>1186</v>
      </c>
      <c r="AL361" s="30">
        <v>0</v>
      </c>
      <c r="AM361" s="30">
        <v>61700</v>
      </c>
      <c r="AN361" s="30">
        <v>324700</v>
      </c>
      <c r="AO361" s="30">
        <v>386400</v>
      </c>
      <c r="AP361" s="30">
        <f>Lookups!$B$58*0.6</f>
        <v>132535.48800000001</v>
      </c>
      <c r="AQ361" s="30">
        <f>Lookups!$B$58*0.4</f>
        <v>88356.992000000013</v>
      </c>
      <c r="AR361" s="30">
        <f>Lookups!$B$59*Inventory[[#This Row],[LnAcres]]</f>
        <v>-23255.730391660189</v>
      </c>
      <c r="AS361" s="30">
        <f>VLOOKUP(Inventory[[#This Row],[Qlty]],Lookups!$A$66:$E$79,2,FALSE)</f>
        <v>32917.849192000001</v>
      </c>
      <c r="AT361" s="30">
        <f>VLOOKUP(Inventory[[#This Row],[Cnd]],Lookups!$A$80:$E$88,2,FALSE)</f>
        <v>50438.379078999998</v>
      </c>
      <c r="AU361" s="30">
        <f>Inventory[[#This Row],[EffAge]]*Lookups!$B$65</f>
        <v>-1304.8932</v>
      </c>
      <c r="AV361" s="30">
        <f>Inventory[[#This Row],[MainFn]]*Lookups!$B$90</f>
        <v>94926.187980000002</v>
      </c>
      <c r="AW361" s="30">
        <f>Inventory[[#This Row],[UpprFn]]*Lookups!$B$91</f>
        <v>0</v>
      </c>
      <c r="AX361" s="30">
        <f>Inventory[[#This Row],[Bsmt Area]]*Lookups!$B$95</f>
        <v>0</v>
      </c>
      <c r="AY361" s="30">
        <f>Inventory[[#This Row],[AttGar]]*Lookups!$B$93</f>
        <v>15355.948485000001</v>
      </c>
      <c r="AZ361" s="30">
        <f>ROUND(Inventory[[#This Row],[25Det]],-2)</f>
        <v>1200</v>
      </c>
      <c r="BA361" s="30">
        <f>ROUND(SUM(Inventory[[#This Row],[Mdl Qlty]:[Mdl Garage Area]])+Inventory[[#This Row],[Mdl Res Intercept]],-2)</f>
        <v>324900</v>
      </c>
      <c r="BB361" s="30">
        <f>ROUND(Inventory[[#This Row],[Mdl Land Intercept]]+Inventory[[#This Row],[Mdl LnAcres]],-2)</f>
        <v>65100</v>
      </c>
      <c r="BC361" s="30">
        <f>Inventory[[#This Row],[Unadj Res Value]]+Inventory[[#This Row],[Unadj Det Value]]+Inventory[[#This Row],[Unadj Land Value]]</f>
        <v>391200</v>
      </c>
      <c r="BD361" s="30">
        <f>(Inventory[[#This Row],[Unadj Total Value]]-Inventory[[#This Row],[24Final]])/Inventory[[#This Row],[24Final]]</f>
        <v>1.2422360248447204E-2</v>
      </c>
      <c r="BE361" s="30">
        <f>VLOOKUP(Inventory[[#This Row],[Nbhd]],Lookups!$M$3:$P$5,4,FALSE)</f>
        <v>0.99970000000000003</v>
      </c>
      <c r="BF361" s="30">
        <f>VLOOKUP(Inventory[[#This Row],[Qlty]],Lookups!$M$8:$P$22,4,FALSE)</f>
        <v>1.0019</v>
      </c>
      <c r="BG361" s="30">
        <f>VLOOKUP(Inventory[[#This Row],[Cnd]],Lookups!$R$8:$U$17,4,FALSE)</f>
        <v>1.0007999999999999</v>
      </c>
      <c r="BH361" s="30">
        <f>VLOOKUP(Inventory[[#This Row],[LivArea Range]],Lookups!$R$25:$U$43,4,FALSE)</f>
        <v>1.0007999999999999</v>
      </c>
      <c r="BI361" s="30">
        <f>VLOOKUP(Inventory[[#This Row],[Decade]],Lookups!$M$24:$P$40,4,FALSE)</f>
        <v>1.0024</v>
      </c>
      <c r="BJ361" s="30">
        <f>Inventory[[#This Row],[Nbhd Adj]]*0.95</f>
        <v>0.94971499999999998</v>
      </c>
      <c r="BK361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361" s="30">
        <f>ROUND((SUM(Inventory[[#This Row],[Mdl Qlty]:[Mdl Garage Area]])+Inventory[[#This Row],[Mdl Res Intercept]])*Inventory[[#This Row],[Res Adj ]],-2)</f>
        <v>309000</v>
      </c>
      <c r="BM361" s="30">
        <f>ROUND(Inventory[[#This Row],[25Det]]*Inventory[[#This Row],[Det/Nbhd Adj]],-2)</f>
        <v>1100</v>
      </c>
      <c r="BN361" s="30">
        <f>Inventory[[#This Row],[Adjusted Res]]+Inventory[[#This Row],[Adj Det ]]</f>
        <v>310100</v>
      </c>
      <c r="BO361" s="30">
        <f>ROUND((Inventory[[#This Row],[Mdl Land Intercept]]+Inventory[[#This Row],[Mdl LnAcres]])*Inventory[[#This Row],[Det/Nbhd Adj]],-2)</f>
        <v>61800</v>
      </c>
      <c r="BP361" s="30">
        <f>Inventory[[#This Row],[Adjusted Impr Total]]+Inventory[[#This Row],[Adjusted Land Total]]</f>
        <v>371900</v>
      </c>
      <c r="BQ361" s="30">
        <f>IFERROR((Inventory[[#This Row],[Adjusted Impr Total]]-Inventory[[#This Row],[24Bldg]])/Inventory[[#This Row],[24Bldg]],0)</f>
        <v>-4.4964582691715431E-2</v>
      </c>
      <c r="BR361" s="43">
        <f>(Inventory[[#This Row],[Adjusted Land Total]]-Inventory[[#This Row],[24Lnd]])/Inventory[[#This Row],[24Lnd]]</f>
        <v>1.6207455429497568E-3</v>
      </c>
      <c r="BS361" s="43">
        <f>(Inventory[[#This Row],[Adjusted Total]]-Inventory[[#This Row],[24Final]])/Inventory[[#This Row],[24Final]]</f>
        <v>-3.7525879917184264E-2</v>
      </c>
    </row>
    <row r="362" spans="1:71">
      <c r="A362" s="30">
        <v>2025</v>
      </c>
      <c r="B362" s="31" t="s">
        <v>876</v>
      </c>
      <c r="C362" s="31">
        <f>LN(Inventory[[#This Row],[Acres]])</f>
        <v>-1.7719568419318752</v>
      </c>
      <c r="D362" s="30">
        <v>0.17</v>
      </c>
      <c r="E362" s="30">
        <v>7606</v>
      </c>
      <c r="F362" s="31" t="s">
        <v>505</v>
      </c>
      <c r="G362" s="31" t="s">
        <v>155</v>
      </c>
      <c r="H362" s="31" t="s">
        <v>5</v>
      </c>
      <c r="I362" s="31" t="s">
        <v>506</v>
      </c>
      <c r="J362" s="31" t="s">
        <v>507</v>
      </c>
      <c r="K362" s="31" t="s">
        <v>330</v>
      </c>
      <c r="L362" s="31" t="s">
        <v>19</v>
      </c>
      <c r="M362" s="31" t="s">
        <v>22</v>
      </c>
      <c r="N362" s="31">
        <v>10</v>
      </c>
      <c r="O362" s="31">
        <f>2024-Inventory[[#This Row],[YrBlt]]</f>
        <v>12</v>
      </c>
      <c r="P362" s="31">
        <f>2024-Inventory[[#This Row],[EffYr]]</f>
        <v>12</v>
      </c>
      <c r="Q362" s="30">
        <v>2012</v>
      </c>
      <c r="R362" s="30">
        <v>2012</v>
      </c>
      <c r="S362" s="30">
        <v>1308</v>
      </c>
      <c r="T362" s="30">
        <v>1634</v>
      </c>
      <c r="U362" s="32"/>
      <c r="V362" s="32"/>
      <c r="W362" s="32"/>
      <c r="X362" s="32">
        <f>Inventory[[#This Row],[Bsmt Area]]-Inventory[[#This Row],[FnBsmt]]</f>
        <v>0</v>
      </c>
      <c r="Y362" s="32">
        <f>Inventory[[#This Row],[MainFn]]+Inventory[[#This Row],[UpprFn]]+Inventory[[#This Row],[AddFn]]+Inventory[[#This Row],[FnBsmt]]</f>
        <v>2942</v>
      </c>
      <c r="Z362" s="32">
        <v>3000</v>
      </c>
      <c r="AA362" s="31" t="s">
        <v>56</v>
      </c>
      <c r="AB362" s="38">
        <v>1</v>
      </c>
      <c r="AC362" s="38">
        <v>240</v>
      </c>
      <c r="AD362" s="30">
        <v>456</v>
      </c>
      <c r="AE362" s="32"/>
      <c r="AF362" s="32"/>
      <c r="AG362" s="32"/>
      <c r="AH362" s="32"/>
      <c r="AI362" s="30">
        <v>495090</v>
      </c>
      <c r="AJ362" s="30">
        <v>470336</v>
      </c>
      <c r="AK362" s="30">
        <v>0</v>
      </c>
      <c r="AL362" s="30">
        <v>0</v>
      </c>
      <c r="AM362" s="30">
        <v>61700</v>
      </c>
      <c r="AN362" s="30">
        <v>405000</v>
      </c>
      <c r="AO362" s="30">
        <v>466700</v>
      </c>
      <c r="AP362" s="30">
        <f>Lookups!$B$58*0.6</f>
        <v>132535.48800000001</v>
      </c>
      <c r="AQ362" s="30">
        <f>Lookups!$B$58*0.4</f>
        <v>88356.992000000013</v>
      </c>
      <c r="AR362" s="30">
        <f>Lookups!$B$59*Inventory[[#This Row],[LnAcres]]</f>
        <v>-23255.730391660189</v>
      </c>
      <c r="AS362" s="30">
        <f>VLOOKUP(Inventory[[#This Row],[Qlty]],Lookups!$A$66:$E$79,2,FALSE)</f>
        <v>37154.252388000001</v>
      </c>
      <c r="AT362" s="30">
        <f>VLOOKUP(Inventory[[#This Row],[Cnd]],Lookups!$A$80:$E$88,2,FALSE)</f>
        <v>50438.379078999998</v>
      </c>
      <c r="AU362" s="30">
        <f>Inventory[[#This Row],[EffAge]]*Lookups!$B$65</f>
        <v>-1304.8932</v>
      </c>
      <c r="AV362" s="30">
        <f>Inventory[[#This Row],[MainFn]]*Lookups!$B$90</f>
        <v>81632.777040000001</v>
      </c>
      <c r="AW362" s="30">
        <f>Inventory[[#This Row],[UpprFn]]*Lookups!$B$91</f>
        <v>97354.345822000003</v>
      </c>
      <c r="AX362" s="30">
        <f>Inventory[[#This Row],[Bsmt Area]]*Lookups!$B$95</f>
        <v>0</v>
      </c>
      <c r="AY362" s="30">
        <f>Inventory[[#This Row],[AttGar]]*Lookups!$B$93</f>
        <v>8472.247440000001</v>
      </c>
      <c r="AZ362" s="30">
        <f>ROUND(Inventory[[#This Row],[25Det]],-2)</f>
        <v>0</v>
      </c>
      <c r="BA362" s="30">
        <f>ROUND(SUM(Inventory[[#This Row],[Mdl Qlty]:[Mdl Garage Area]])+Inventory[[#This Row],[Mdl Res Intercept]],-2)</f>
        <v>406300</v>
      </c>
      <c r="BB362" s="30">
        <f>ROUND(Inventory[[#This Row],[Mdl Land Intercept]]+Inventory[[#This Row],[Mdl LnAcres]],-2)</f>
        <v>65100</v>
      </c>
      <c r="BC362" s="30">
        <f>Inventory[[#This Row],[Unadj Res Value]]+Inventory[[#This Row],[Unadj Det Value]]+Inventory[[#This Row],[Unadj Land Value]]</f>
        <v>471400</v>
      </c>
      <c r="BD362" s="30">
        <f>(Inventory[[#This Row],[Unadj Total Value]]-Inventory[[#This Row],[24Final]])/Inventory[[#This Row],[24Final]]</f>
        <v>1.007070923505464E-2</v>
      </c>
      <c r="BE362" s="30">
        <f>VLOOKUP(Inventory[[#This Row],[Nbhd]],Lookups!$M$3:$P$5,4,FALSE)</f>
        <v>0.99970000000000003</v>
      </c>
      <c r="BF362" s="30">
        <f>VLOOKUP(Inventory[[#This Row],[Qlty]],Lookups!$M$8:$P$22,4,FALSE)</f>
        <v>0.99819999999999998</v>
      </c>
      <c r="BG362" s="30">
        <f>VLOOKUP(Inventory[[#This Row],[Cnd]],Lookups!$R$8:$U$17,4,FALSE)</f>
        <v>1.0007999999999999</v>
      </c>
      <c r="BH362" s="30">
        <f>VLOOKUP(Inventory[[#This Row],[LivArea Range]],Lookups!$R$25:$U$43,4,FALSE)</f>
        <v>1.0099</v>
      </c>
      <c r="BI362" s="30">
        <f>VLOOKUP(Inventory[[#This Row],[Decade]],Lookups!$M$24:$P$40,4,FALSE)</f>
        <v>1.0024</v>
      </c>
      <c r="BJ362" s="30">
        <f>Inventory[[#This Row],[Nbhd Adj]]*0.95</f>
        <v>0.94971499999999998</v>
      </c>
      <c r="BK362" s="30">
        <f>AVERAGE(Inventory[[#This Row],[Nbhd Adj]],Inventory[[#This Row],[Quality Adj]],Inventory[[#This Row],[Condition Adj]],Inventory[[#This Row],[Living Area Adj]],Inventory[[#This Row],[Decade Adj]])*0.95</f>
        <v>0.95208999999999977</v>
      </c>
      <c r="BL362" s="30">
        <f>ROUND((SUM(Inventory[[#This Row],[Mdl Qlty]:[Mdl Garage Area]])+Inventory[[#This Row],[Mdl Res Intercept]])*Inventory[[#This Row],[Res Adj ]],-2)</f>
        <v>386800</v>
      </c>
      <c r="BM362" s="30">
        <f>ROUND(Inventory[[#This Row],[25Det]]*Inventory[[#This Row],[Det/Nbhd Adj]],-2)</f>
        <v>0</v>
      </c>
      <c r="BN362" s="30">
        <f>Inventory[[#This Row],[Adjusted Res]]+Inventory[[#This Row],[Adj Det ]]</f>
        <v>386800</v>
      </c>
      <c r="BO362" s="30">
        <f>ROUND((Inventory[[#This Row],[Mdl Land Intercept]]+Inventory[[#This Row],[Mdl LnAcres]])*Inventory[[#This Row],[Det/Nbhd Adj]],-2)</f>
        <v>61800</v>
      </c>
      <c r="BP362" s="30">
        <f>Inventory[[#This Row],[Adjusted Impr Total]]+Inventory[[#This Row],[Adjusted Land Total]]</f>
        <v>448600</v>
      </c>
      <c r="BQ362" s="30">
        <f>IFERROR((Inventory[[#This Row],[Adjusted Impr Total]]-Inventory[[#This Row],[24Bldg]])/Inventory[[#This Row],[24Bldg]],0)</f>
        <v>-4.4938271604938275E-2</v>
      </c>
      <c r="BR362" s="43">
        <f>(Inventory[[#This Row],[Adjusted Land Total]]-Inventory[[#This Row],[24Lnd]])/Inventory[[#This Row],[24Lnd]]</f>
        <v>1.6207455429497568E-3</v>
      </c>
      <c r="BS362" s="43">
        <f>(Inventory[[#This Row],[Adjusted Total]]-Inventory[[#This Row],[24Final]])/Inventory[[#This Row],[24Final]]</f>
        <v>-3.8782944075423181E-2</v>
      </c>
    </row>
    <row r="363" spans="1:71">
      <c r="A363" s="30">
        <v>2025</v>
      </c>
      <c r="B363" s="31" t="s">
        <v>877</v>
      </c>
      <c r="C363" s="31">
        <f>LN(Inventory[[#This Row],[Acres]])</f>
        <v>-1.7147984280919266</v>
      </c>
      <c r="D363" s="30">
        <v>0.18</v>
      </c>
      <c r="E363" s="30">
        <v>7738</v>
      </c>
      <c r="F363" s="31" t="s">
        <v>505</v>
      </c>
      <c r="G363" s="31" t="s">
        <v>155</v>
      </c>
      <c r="H363" s="31" t="s">
        <v>5</v>
      </c>
      <c r="I363" s="31" t="s">
        <v>506</v>
      </c>
      <c r="J363" s="31" t="s">
        <v>507</v>
      </c>
      <c r="K363" s="31" t="s">
        <v>330</v>
      </c>
      <c r="L363" s="31" t="s">
        <v>21</v>
      </c>
      <c r="M363" s="31" t="s">
        <v>22</v>
      </c>
      <c r="N363" s="31">
        <v>10</v>
      </c>
      <c r="O363" s="31">
        <f>2024-Inventory[[#This Row],[YrBlt]]</f>
        <v>12</v>
      </c>
      <c r="P363" s="31">
        <f>2024-Inventory[[#This Row],[EffYr]]</f>
        <v>12</v>
      </c>
      <c r="Q363" s="30">
        <v>2012</v>
      </c>
      <c r="R363" s="30">
        <v>2012</v>
      </c>
      <c r="S363" s="30">
        <v>1188</v>
      </c>
      <c r="T363" s="30">
        <v>1364</v>
      </c>
      <c r="U363" s="32"/>
      <c r="V363" s="32"/>
      <c r="W363" s="32"/>
      <c r="X363" s="32">
        <f>Inventory[[#This Row],[Bsmt Area]]-Inventory[[#This Row],[FnBsmt]]</f>
        <v>0</v>
      </c>
      <c r="Y363" s="32">
        <f>Inventory[[#This Row],[MainFn]]+Inventory[[#This Row],[UpprFn]]+Inventory[[#This Row],[AddFn]]+Inventory[[#This Row],[FnBsmt]]</f>
        <v>2552</v>
      </c>
      <c r="Z363" s="32">
        <v>3000</v>
      </c>
      <c r="AA363" s="31" t="s">
        <v>57</v>
      </c>
      <c r="AB363" s="32"/>
      <c r="AC363" s="38">
        <v>288</v>
      </c>
      <c r="AD363" s="30">
        <v>484</v>
      </c>
      <c r="AE363" s="32"/>
      <c r="AF363" s="32"/>
      <c r="AG363" s="32"/>
      <c r="AH363" s="32"/>
      <c r="AI363" s="30">
        <v>526186</v>
      </c>
      <c r="AJ363" s="30">
        <v>499877</v>
      </c>
      <c r="AK363" s="30">
        <v>0</v>
      </c>
      <c r="AL363" s="30">
        <v>0</v>
      </c>
      <c r="AM363" s="30">
        <v>62500</v>
      </c>
      <c r="AN363" s="30">
        <v>404700</v>
      </c>
      <c r="AO363" s="30">
        <v>467200</v>
      </c>
      <c r="AP363" s="30">
        <f>Lookups!$B$58*0.6</f>
        <v>132535.48800000001</v>
      </c>
      <c r="AQ363" s="30">
        <f>Lookups!$B$58*0.4</f>
        <v>88356.992000000013</v>
      </c>
      <c r="AR363" s="30">
        <f>Lookups!$B$59*Inventory[[#This Row],[LnAcres]]</f>
        <v>-22505.565020573864</v>
      </c>
      <c r="AS363" s="30">
        <f>VLOOKUP(Inventory[[#This Row],[Qlty]],Lookups!$A$66:$E$79,2,FALSE)</f>
        <v>32917.849192000001</v>
      </c>
      <c r="AT363" s="30">
        <f>VLOOKUP(Inventory[[#This Row],[Cnd]],Lookups!$A$80:$E$88,2,FALSE)</f>
        <v>50438.379078999998</v>
      </c>
      <c r="AU363" s="30">
        <f>Inventory[[#This Row],[EffAge]]*Lookups!$B$65</f>
        <v>-1304.8932</v>
      </c>
      <c r="AV363" s="30">
        <f>Inventory[[#This Row],[MainFn]]*Lookups!$B$90</f>
        <v>74143.531440000006</v>
      </c>
      <c r="AW363" s="30">
        <f>Inventory[[#This Row],[UpprFn]]*Lookups!$B$91</f>
        <v>81267.642412000001</v>
      </c>
      <c r="AX363" s="30">
        <f>Inventory[[#This Row],[Bsmt Area]]*Lookups!$B$95</f>
        <v>0</v>
      </c>
      <c r="AY363" s="30">
        <f>Inventory[[#This Row],[AttGar]]*Lookups!$B$93</f>
        <v>10166.696928000001</v>
      </c>
      <c r="AZ363" s="30">
        <f>ROUND(Inventory[[#This Row],[25Det]],-2)</f>
        <v>0</v>
      </c>
      <c r="BA363" s="30">
        <f>ROUND(SUM(Inventory[[#This Row],[Mdl Qlty]:[Mdl Garage Area]])+Inventory[[#This Row],[Mdl Res Intercept]],-2)</f>
        <v>380200</v>
      </c>
      <c r="BB363" s="30">
        <f>ROUND(Inventory[[#This Row],[Mdl Land Intercept]]+Inventory[[#This Row],[Mdl LnAcres]],-2)</f>
        <v>65900</v>
      </c>
      <c r="BC363" s="30">
        <f>Inventory[[#This Row],[Unadj Res Value]]+Inventory[[#This Row],[Unadj Det Value]]+Inventory[[#This Row],[Unadj Land Value]]</f>
        <v>446100</v>
      </c>
      <c r="BD363" s="30">
        <f>(Inventory[[#This Row],[Unadj Total Value]]-Inventory[[#This Row],[24Final]])/Inventory[[#This Row],[24Final]]</f>
        <v>-4.5162671232876712E-2</v>
      </c>
      <c r="BE363" s="30">
        <f>VLOOKUP(Inventory[[#This Row],[Nbhd]],Lookups!$M$3:$P$5,4,FALSE)</f>
        <v>0.99970000000000003</v>
      </c>
      <c r="BF363" s="30">
        <f>VLOOKUP(Inventory[[#This Row],[Qlty]],Lookups!$M$8:$P$22,4,FALSE)</f>
        <v>1.0019</v>
      </c>
      <c r="BG363" s="30">
        <f>VLOOKUP(Inventory[[#This Row],[Cnd]],Lookups!$R$8:$U$17,4,FALSE)</f>
        <v>1.0007999999999999</v>
      </c>
      <c r="BH363" s="30">
        <f>VLOOKUP(Inventory[[#This Row],[LivArea Range]],Lookups!$R$25:$U$43,4,FALSE)</f>
        <v>1.0099</v>
      </c>
      <c r="BI363" s="30">
        <f>VLOOKUP(Inventory[[#This Row],[Decade]],Lookups!$M$24:$P$40,4,FALSE)</f>
        <v>1.0024</v>
      </c>
      <c r="BJ363" s="30">
        <f>Inventory[[#This Row],[Nbhd Adj]]*0.95</f>
        <v>0.94971499999999998</v>
      </c>
      <c r="BK363" s="30">
        <f>AVERAGE(Inventory[[#This Row],[Nbhd Adj]],Inventory[[#This Row],[Quality Adj]],Inventory[[#This Row],[Condition Adj]],Inventory[[#This Row],[Living Area Adj]],Inventory[[#This Row],[Decade Adj]])*0.95</f>
        <v>0.95279299999999989</v>
      </c>
      <c r="BL363" s="30">
        <f>ROUND((SUM(Inventory[[#This Row],[Mdl Qlty]:[Mdl Garage Area]])+Inventory[[#This Row],[Mdl Res Intercept]])*Inventory[[#This Row],[Res Adj ]],-2)</f>
        <v>362200</v>
      </c>
      <c r="BM363" s="30">
        <f>ROUND(Inventory[[#This Row],[25Det]]*Inventory[[#This Row],[Det/Nbhd Adj]],-2)</f>
        <v>0</v>
      </c>
      <c r="BN363" s="30">
        <f>Inventory[[#This Row],[Adjusted Res]]+Inventory[[#This Row],[Adj Det ]]</f>
        <v>362200</v>
      </c>
      <c r="BO363" s="30">
        <f>ROUND((Inventory[[#This Row],[Mdl Land Intercept]]+Inventory[[#This Row],[Mdl LnAcres]])*Inventory[[#This Row],[Det/Nbhd Adj]],-2)</f>
        <v>62500</v>
      </c>
      <c r="BP363" s="30">
        <f>Inventory[[#This Row],[Adjusted Impr Total]]+Inventory[[#This Row],[Adjusted Land Total]]</f>
        <v>424700</v>
      </c>
      <c r="BQ363" s="30">
        <f>IFERROR((Inventory[[#This Row],[Adjusted Impr Total]]-Inventory[[#This Row],[24Bldg]])/Inventory[[#This Row],[24Bldg]],0)</f>
        <v>-0.10501606127996047</v>
      </c>
      <c r="BR363" s="43">
        <f>(Inventory[[#This Row],[Adjusted Land Total]]-Inventory[[#This Row],[24Lnd]])/Inventory[[#This Row],[24Lnd]]</f>
        <v>0</v>
      </c>
      <c r="BS363" s="43">
        <f>(Inventory[[#This Row],[Adjusted Total]]-Inventory[[#This Row],[24Final]])/Inventory[[#This Row],[24Final]]</f>
        <v>-9.0967465753424653E-2</v>
      </c>
    </row>
    <row r="364" spans="1:71">
      <c r="A364" s="30">
        <v>2025</v>
      </c>
      <c r="B364" s="31" t="s">
        <v>878</v>
      </c>
      <c r="C364" s="31">
        <f>LN(Inventory[[#This Row],[Acres]])</f>
        <v>-1.7147984280919266</v>
      </c>
      <c r="D364" s="30">
        <v>0.18</v>
      </c>
      <c r="E364" s="30">
        <v>7867</v>
      </c>
      <c r="F364" s="31" t="s">
        <v>505</v>
      </c>
      <c r="G364" s="31" t="s">
        <v>155</v>
      </c>
      <c r="H364" s="31" t="s">
        <v>5</v>
      </c>
      <c r="I364" s="31" t="s">
        <v>506</v>
      </c>
      <c r="J364" s="31" t="s">
        <v>507</v>
      </c>
      <c r="K364" s="31" t="s">
        <v>193</v>
      </c>
      <c r="L364" s="31" t="s">
        <v>21</v>
      </c>
      <c r="M364" s="31" t="s">
        <v>22</v>
      </c>
      <c r="N364" s="31">
        <v>10</v>
      </c>
      <c r="O364" s="31">
        <f>2024-Inventory[[#This Row],[YrBlt]]</f>
        <v>12</v>
      </c>
      <c r="P364" s="31">
        <f>2024-Inventory[[#This Row],[EffYr]]</f>
        <v>12</v>
      </c>
      <c r="Q364" s="30">
        <v>2012</v>
      </c>
      <c r="R364" s="30">
        <v>2012</v>
      </c>
      <c r="S364" s="30">
        <v>2120</v>
      </c>
      <c r="T364" s="37"/>
      <c r="U364" s="32"/>
      <c r="V364" s="32"/>
      <c r="W364" s="32"/>
      <c r="X364" s="32">
        <f>Inventory[[#This Row],[Bsmt Area]]-Inventory[[#This Row],[FnBsmt]]</f>
        <v>0</v>
      </c>
      <c r="Y364" s="32">
        <f>Inventory[[#This Row],[MainFn]]+Inventory[[#This Row],[UpprFn]]+Inventory[[#This Row],[AddFn]]+Inventory[[#This Row],[FnBsmt]]</f>
        <v>2120</v>
      </c>
      <c r="Z364" s="32">
        <v>2500</v>
      </c>
      <c r="AA364" s="31" t="s">
        <v>57</v>
      </c>
      <c r="AB364" s="30">
        <v>1</v>
      </c>
      <c r="AC364" s="38">
        <v>724</v>
      </c>
      <c r="AD364" s="37"/>
      <c r="AE364" s="32"/>
      <c r="AF364" s="32"/>
      <c r="AG364" s="32"/>
      <c r="AH364" s="32"/>
      <c r="AI364" s="30">
        <v>469419</v>
      </c>
      <c r="AJ364" s="30">
        <v>445948</v>
      </c>
      <c r="AK364" s="30">
        <v>0</v>
      </c>
      <c r="AL364" s="30">
        <v>0</v>
      </c>
      <c r="AM364" s="30">
        <v>62500</v>
      </c>
      <c r="AN364" s="30">
        <v>371800</v>
      </c>
      <c r="AO364" s="30">
        <v>434300</v>
      </c>
      <c r="AP364" s="30">
        <f>Lookups!$B$58*0.6</f>
        <v>132535.48800000001</v>
      </c>
      <c r="AQ364" s="30">
        <f>Lookups!$B$58*0.4</f>
        <v>88356.992000000013</v>
      </c>
      <c r="AR364" s="30">
        <f>Lookups!$B$59*Inventory[[#This Row],[LnAcres]]</f>
        <v>-22505.565020573864</v>
      </c>
      <c r="AS364" s="30">
        <f>VLOOKUP(Inventory[[#This Row],[Qlty]],Lookups!$A$66:$E$79,2,FALSE)</f>
        <v>32917.849192000001</v>
      </c>
      <c r="AT364" s="30">
        <f>VLOOKUP(Inventory[[#This Row],[Cnd]],Lookups!$A$80:$E$88,2,FALSE)</f>
        <v>50438.379078999998</v>
      </c>
      <c r="AU364" s="30">
        <f>Inventory[[#This Row],[EffAge]]*Lookups!$B$65</f>
        <v>-1304.8932</v>
      </c>
      <c r="AV364" s="30">
        <f>Inventory[[#This Row],[MainFn]]*Lookups!$B$90</f>
        <v>132310.0056</v>
      </c>
      <c r="AW364" s="30">
        <f>Inventory[[#This Row],[UpprFn]]*Lookups!$B$91</f>
        <v>0</v>
      </c>
      <c r="AX364" s="30">
        <f>Inventory[[#This Row],[Bsmt Area]]*Lookups!$B$95</f>
        <v>0</v>
      </c>
      <c r="AY364" s="30">
        <f>Inventory[[#This Row],[AttGar]]*Lookups!$B$93</f>
        <v>25557.946444000001</v>
      </c>
      <c r="AZ364" s="30">
        <f>ROUND(Inventory[[#This Row],[25Det]],-2)</f>
        <v>0</v>
      </c>
      <c r="BA364" s="30">
        <f>ROUND(SUM(Inventory[[#This Row],[Mdl Qlty]:[Mdl Garage Area]])+Inventory[[#This Row],[Mdl Res Intercept]],-2)</f>
        <v>372500</v>
      </c>
      <c r="BB364" s="30">
        <f>ROUND(Inventory[[#This Row],[Mdl Land Intercept]]+Inventory[[#This Row],[Mdl LnAcres]],-2)</f>
        <v>65900</v>
      </c>
      <c r="BC364" s="30">
        <f>Inventory[[#This Row],[Unadj Res Value]]+Inventory[[#This Row],[Unadj Det Value]]+Inventory[[#This Row],[Unadj Land Value]]</f>
        <v>438400</v>
      </c>
      <c r="BD364" s="30">
        <f>(Inventory[[#This Row],[Unadj Total Value]]-Inventory[[#This Row],[24Final]])/Inventory[[#This Row],[24Final]]</f>
        <v>9.4404789316140918E-3</v>
      </c>
      <c r="BE364" s="30">
        <f>VLOOKUP(Inventory[[#This Row],[Nbhd]],Lookups!$M$3:$P$5,4,FALSE)</f>
        <v>0.99970000000000003</v>
      </c>
      <c r="BF364" s="30">
        <f>VLOOKUP(Inventory[[#This Row],[Qlty]],Lookups!$M$8:$P$22,4,FALSE)</f>
        <v>1.0019</v>
      </c>
      <c r="BG364" s="30">
        <f>VLOOKUP(Inventory[[#This Row],[Cnd]],Lookups!$R$8:$U$17,4,FALSE)</f>
        <v>1.0007999999999999</v>
      </c>
      <c r="BH364" s="30">
        <f>VLOOKUP(Inventory[[#This Row],[LivArea Range]],Lookups!$R$25:$U$43,4,FALSE)</f>
        <v>1.0008999999999999</v>
      </c>
      <c r="BI364" s="30">
        <f>VLOOKUP(Inventory[[#This Row],[Decade]],Lookups!$M$24:$P$40,4,FALSE)</f>
        <v>1.0024</v>
      </c>
      <c r="BJ364" s="30">
        <f>Inventory[[#This Row],[Nbhd Adj]]*0.95</f>
        <v>0.94971499999999998</v>
      </c>
      <c r="BK364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364" s="30">
        <f>ROUND((SUM(Inventory[[#This Row],[Mdl Qlty]:[Mdl Garage Area]])+Inventory[[#This Row],[Mdl Res Intercept]])*Inventory[[#This Row],[Res Adj ]],-2)</f>
        <v>354200</v>
      </c>
      <c r="BM364" s="30">
        <f>ROUND(Inventory[[#This Row],[25Det]]*Inventory[[#This Row],[Det/Nbhd Adj]],-2)</f>
        <v>0</v>
      </c>
      <c r="BN364" s="30">
        <f>Inventory[[#This Row],[Adjusted Res]]+Inventory[[#This Row],[Adj Det ]]</f>
        <v>354200</v>
      </c>
      <c r="BO364" s="30">
        <f>ROUND((Inventory[[#This Row],[Mdl Land Intercept]]+Inventory[[#This Row],[Mdl LnAcres]])*Inventory[[#This Row],[Det/Nbhd Adj]],-2)</f>
        <v>62500</v>
      </c>
      <c r="BP364" s="30">
        <f>Inventory[[#This Row],[Adjusted Impr Total]]+Inventory[[#This Row],[Adjusted Land Total]]</f>
        <v>416700</v>
      </c>
      <c r="BQ364" s="30">
        <f>IFERROR((Inventory[[#This Row],[Adjusted Impr Total]]-Inventory[[#This Row],[24Bldg]])/Inventory[[#This Row],[24Bldg]],0)</f>
        <v>-4.7337278106508875E-2</v>
      </c>
      <c r="BR364" s="43">
        <f>(Inventory[[#This Row],[Adjusted Land Total]]-Inventory[[#This Row],[24Lnd]])/Inventory[[#This Row],[24Lnd]]</f>
        <v>0</v>
      </c>
      <c r="BS364" s="43">
        <f>(Inventory[[#This Row],[Adjusted Total]]-Inventory[[#This Row],[24Final]])/Inventory[[#This Row],[24Final]]</f>
        <v>-4.0524982730831223E-2</v>
      </c>
    </row>
    <row r="365" spans="1:71">
      <c r="A365" s="30">
        <v>2025</v>
      </c>
      <c r="B365" s="31" t="s">
        <v>879</v>
      </c>
      <c r="C365" s="31">
        <f>LN(Inventory[[#This Row],[Acres]])</f>
        <v>-1.7147984280919266</v>
      </c>
      <c r="D365" s="30">
        <v>0.18</v>
      </c>
      <c r="E365" s="30">
        <v>7738</v>
      </c>
      <c r="F365" s="31" t="s">
        <v>505</v>
      </c>
      <c r="G365" s="31" t="s">
        <v>155</v>
      </c>
      <c r="H365" s="31" t="s">
        <v>5</v>
      </c>
      <c r="I365" s="31" t="s">
        <v>506</v>
      </c>
      <c r="J365" s="31" t="s">
        <v>507</v>
      </c>
      <c r="K365" s="31" t="s">
        <v>193</v>
      </c>
      <c r="L365" s="31" t="s">
        <v>21</v>
      </c>
      <c r="M365" s="31" t="s">
        <v>22</v>
      </c>
      <c r="N365" s="31">
        <v>10</v>
      </c>
      <c r="O365" s="31">
        <f>2024-Inventory[[#This Row],[YrBlt]]</f>
        <v>12</v>
      </c>
      <c r="P365" s="31">
        <f>2024-Inventory[[#This Row],[EffYr]]</f>
        <v>12</v>
      </c>
      <c r="Q365" s="30">
        <v>2012</v>
      </c>
      <c r="R365" s="30">
        <v>2012</v>
      </c>
      <c r="S365" s="30">
        <v>2138</v>
      </c>
      <c r="T365" s="37"/>
      <c r="U365" s="32"/>
      <c r="V365" s="32"/>
      <c r="W365" s="32"/>
      <c r="X365" s="32">
        <f>Inventory[[#This Row],[Bsmt Area]]-Inventory[[#This Row],[FnBsmt]]</f>
        <v>0</v>
      </c>
      <c r="Y365" s="32">
        <f>Inventory[[#This Row],[MainFn]]+Inventory[[#This Row],[UpprFn]]+Inventory[[#This Row],[AddFn]]+Inventory[[#This Row],[FnBsmt]]</f>
        <v>2138</v>
      </c>
      <c r="Z365" s="32">
        <v>2500</v>
      </c>
      <c r="AA365" s="31" t="s">
        <v>57</v>
      </c>
      <c r="AB365" s="32"/>
      <c r="AC365" s="38">
        <v>706</v>
      </c>
      <c r="AD365" s="37"/>
      <c r="AE365" s="32"/>
      <c r="AF365" s="32"/>
      <c r="AG365" s="32"/>
      <c r="AH365" s="32"/>
      <c r="AI365" s="30">
        <v>467318</v>
      </c>
      <c r="AJ365" s="30">
        <v>443952</v>
      </c>
      <c r="AK365" s="30">
        <v>0</v>
      </c>
      <c r="AL365" s="30">
        <v>0</v>
      </c>
      <c r="AM365" s="30">
        <v>62500</v>
      </c>
      <c r="AN365" s="30">
        <v>371900</v>
      </c>
      <c r="AO365" s="30">
        <v>434400</v>
      </c>
      <c r="AP365" s="30">
        <f>Lookups!$B$58*0.6</f>
        <v>132535.48800000001</v>
      </c>
      <c r="AQ365" s="30">
        <f>Lookups!$B$58*0.4</f>
        <v>88356.992000000013</v>
      </c>
      <c r="AR365" s="30">
        <f>Lookups!$B$59*Inventory[[#This Row],[LnAcres]]</f>
        <v>-22505.565020573864</v>
      </c>
      <c r="AS365" s="30">
        <f>VLOOKUP(Inventory[[#This Row],[Qlty]],Lookups!$A$66:$E$79,2,FALSE)</f>
        <v>32917.849192000001</v>
      </c>
      <c r="AT365" s="30">
        <f>VLOOKUP(Inventory[[#This Row],[Cnd]],Lookups!$A$80:$E$88,2,FALSE)</f>
        <v>50438.379078999998</v>
      </c>
      <c r="AU365" s="30">
        <f>Inventory[[#This Row],[EffAge]]*Lookups!$B$65</f>
        <v>-1304.8932</v>
      </c>
      <c r="AV365" s="30">
        <f>Inventory[[#This Row],[MainFn]]*Lookups!$B$90</f>
        <v>133433.39244</v>
      </c>
      <c r="AW365" s="30">
        <f>Inventory[[#This Row],[UpprFn]]*Lookups!$B$91</f>
        <v>0</v>
      </c>
      <c r="AX365" s="30">
        <f>Inventory[[#This Row],[Bsmt Area]]*Lookups!$B$95</f>
        <v>0</v>
      </c>
      <c r="AY365" s="30">
        <f>Inventory[[#This Row],[AttGar]]*Lookups!$B$93</f>
        <v>24922.527886</v>
      </c>
      <c r="AZ365" s="30">
        <f>ROUND(Inventory[[#This Row],[25Det]],-2)</f>
        <v>0</v>
      </c>
      <c r="BA365" s="30">
        <f>ROUND(SUM(Inventory[[#This Row],[Mdl Qlty]:[Mdl Garage Area]])+Inventory[[#This Row],[Mdl Res Intercept]],-2)</f>
        <v>372900</v>
      </c>
      <c r="BB365" s="30">
        <f>ROUND(Inventory[[#This Row],[Mdl Land Intercept]]+Inventory[[#This Row],[Mdl LnAcres]],-2)</f>
        <v>65900</v>
      </c>
      <c r="BC365" s="30">
        <f>Inventory[[#This Row],[Unadj Res Value]]+Inventory[[#This Row],[Unadj Det Value]]+Inventory[[#This Row],[Unadj Land Value]]</f>
        <v>438800</v>
      </c>
      <c r="BD365" s="30">
        <f>(Inventory[[#This Row],[Unadj Total Value]]-Inventory[[#This Row],[24Final]])/Inventory[[#This Row],[24Final]]</f>
        <v>1.0128913443830571E-2</v>
      </c>
      <c r="BE365" s="30">
        <f>VLOOKUP(Inventory[[#This Row],[Nbhd]],Lookups!$M$3:$P$5,4,FALSE)</f>
        <v>0.99970000000000003</v>
      </c>
      <c r="BF365" s="30">
        <f>VLOOKUP(Inventory[[#This Row],[Qlty]],Lookups!$M$8:$P$22,4,FALSE)</f>
        <v>1.0019</v>
      </c>
      <c r="BG365" s="30">
        <f>VLOOKUP(Inventory[[#This Row],[Cnd]],Lookups!$R$8:$U$17,4,FALSE)</f>
        <v>1.0007999999999999</v>
      </c>
      <c r="BH365" s="30">
        <f>VLOOKUP(Inventory[[#This Row],[LivArea Range]],Lookups!$R$25:$U$43,4,FALSE)</f>
        <v>1.0008999999999999</v>
      </c>
      <c r="BI365" s="30">
        <f>VLOOKUP(Inventory[[#This Row],[Decade]],Lookups!$M$24:$P$40,4,FALSE)</f>
        <v>1.0024</v>
      </c>
      <c r="BJ365" s="30">
        <f>Inventory[[#This Row],[Nbhd Adj]]*0.95</f>
        <v>0.94971499999999998</v>
      </c>
      <c r="BK365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365" s="30">
        <f>ROUND((SUM(Inventory[[#This Row],[Mdl Qlty]:[Mdl Garage Area]])+Inventory[[#This Row],[Mdl Res Intercept]])*Inventory[[#This Row],[Res Adj ]],-2)</f>
        <v>354700</v>
      </c>
      <c r="BM365" s="30">
        <f>ROUND(Inventory[[#This Row],[25Det]]*Inventory[[#This Row],[Det/Nbhd Adj]],-2)</f>
        <v>0</v>
      </c>
      <c r="BN365" s="30">
        <f>Inventory[[#This Row],[Adjusted Res]]+Inventory[[#This Row],[Adj Det ]]</f>
        <v>354700</v>
      </c>
      <c r="BO365" s="30">
        <f>ROUND((Inventory[[#This Row],[Mdl Land Intercept]]+Inventory[[#This Row],[Mdl LnAcres]])*Inventory[[#This Row],[Det/Nbhd Adj]],-2)</f>
        <v>62500</v>
      </c>
      <c r="BP365" s="30">
        <f>Inventory[[#This Row],[Adjusted Impr Total]]+Inventory[[#This Row],[Adjusted Land Total]]</f>
        <v>417200</v>
      </c>
      <c r="BQ365" s="30">
        <f>IFERROR((Inventory[[#This Row],[Adjusted Impr Total]]-Inventory[[#This Row],[24Bldg]])/Inventory[[#This Row],[24Bldg]],0)</f>
        <v>-4.624899166442592E-2</v>
      </c>
      <c r="BR365" s="43">
        <f>(Inventory[[#This Row],[Adjusted Land Total]]-Inventory[[#This Row],[24Lnd]])/Inventory[[#This Row],[24Lnd]]</f>
        <v>0</v>
      </c>
      <c r="BS365" s="43">
        <f>(Inventory[[#This Row],[Adjusted Total]]-Inventory[[#This Row],[24Final]])/Inventory[[#This Row],[24Final]]</f>
        <v>-3.959484346224678E-2</v>
      </c>
    </row>
    <row r="366" spans="1:71">
      <c r="A366" s="30">
        <v>2025</v>
      </c>
      <c r="B366" s="31" t="s">
        <v>880</v>
      </c>
      <c r="C366" s="31">
        <f>LN(Inventory[[#This Row],[Acres]])</f>
        <v>-1.7147984280919266</v>
      </c>
      <c r="D366" s="30">
        <v>0.18</v>
      </c>
      <c r="E366" s="30">
        <v>7778</v>
      </c>
      <c r="F366" s="31" t="s">
        <v>505</v>
      </c>
      <c r="G366" s="31" t="s">
        <v>155</v>
      </c>
      <c r="H366" s="31" t="s">
        <v>5</v>
      </c>
      <c r="I366" s="31" t="s">
        <v>506</v>
      </c>
      <c r="J366" s="31" t="s">
        <v>507</v>
      </c>
      <c r="K366" s="31" t="s">
        <v>330</v>
      </c>
      <c r="L366" s="31" t="s">
        <v>19</v>
      </c>
      <c r="M366" s="31" t="s">
        <v>22</v>
      </c>
      <c r="N366" s="31">
        <v>10</v>
      </c>
      <c r="O366" s="31">
        <f>2024-Inventory[[#This Row],[YrBlt]]</f>
        <v>12</v>
      </c>
      <c r="P366" s="31">
        <f>2024-Inventory[[#This Row],[EffYr]]</f>
        <v>12</v>
      </c>
      <c r="Q366" s="30">
        <v>2012</v>
      </c>
      <c r="R366" s="30">
        <v>2012</v>
      </c>
      <c r="S366" s="30">
        <v>2110</v>
      </c>
      <c r="T366" s="37"/>
      <c r="U366" s="32"/>
      <c r="V366" s="32"/>
      <c r="W366" s="32"/>
      <c r="X366" s="32">
        <f>Inventory[[#This Row],[Bsmt Area]]-Inventory[[#This Row],[FnBsmt]]</f>
        <v>0</v>
      </c>
      <c r="Y366" s="32">
        <f>Inventory[[#This Row],[MainFn]]+Inventory[[#This Row],[UpprFn]]+Inventory[[#This Row],[AddFn]]+Inventory[[#This Row],[FnBsmt]]</f>
        <v>2110</v>
      </c>
      <c r="Z366" s="32">
        <v>2500</v>
      </c>
      <c r="AA366" s="31" t="s">
        <v>57</v>
      </c>
      <c r="AB366" s="38">
        <v>2</v>
      </c>
      <c r="AC366" s="38">
        <v>734</v>
      </c>
      <c r="AD366" s="32"/>
      <c r="AE366" s="32"/>
      <c r="AF366" s="32"/>
      <c r="AG366" s="32"/>
      <c r="AH366" s="32"/>
      <c r="AI366" s="30">
        <v>417238</v>
      </c>
      <c r="AJ366" s="30">
        <v>396376</v>
      </c>
      <c r="AK366" s="30">
        <v>0</v>
      </c>
      <c r="AL366" s="30">
        <v>0</v>
      </c>
      <c r="AM366" s="30">
        <v>62500</v>
      </c>
      <c r="AN366" s="30">
        <v>364300</v>
      </c>
      <c r="AO366" s="30">
        <v>426800</v>
      </c>
      <c r="AP366" s="30">
        <f>Lookups!$B$58*0.6</f>
        <v>132535.48800000001</v>
      </c>
      <c r="AQ366" s="30">
        <f>Lookups!$B$58*0.4</f>
        <v>88356.992000000013</v>
      </c>
      <c r="AR366" s="30">
        <f>Lookups!$B$59*Inventory[[#This Row],[LnAcres]]</f>
        <v>-22505.565020573864</v>
      </c>
      <c r="AS366" s="30">
        <f>VLOOKUP(Inventory[[#This Row],[Qlty]],Lookups!$A$66:$E$79,2,FALSE)</f>
        <v>37154.252388000001</v>
      </c>
      <c r="AT366" s="30">
        <f>VLOOKUP(Inventory[[#This Row],[Cnd]],Lookups!$A$80:$E$88,2,FALSE)</f>
        <v>50438.379078999998</v>
      </c>
      <c r="AU366" s="30">
        <f>Inventory[[#This Row],[EffAge]]*Lookups!$B$65</f>
        <v>-1304.8932</v>
      </c>
      <c r="AV366" s="30">
        <f>Inventory[[#This Row],[MainFn]]*Lookups!$B$90</f>
        <v>131685.90180000002</v>
      </c>
      <c r="AW366" s="30">
        <f>Inventory[[#This Row],[UpprFn]]*Lookups!$B$91</f>
        <v>0</v>
      </c>
      <c r="AX366" s="30">
        <f>Inventory[[#This Row],[Bsmt Area]]*Lookups!$B$95</f>
        <v>0</v>
      </c>
      <c r="AY366" s="30">
        <f>Inventory[[#This Row],[AttGar]]*Lookups!$B$93</f>
        <v>25910.956754000003</v>
      </c>
      <c r="AZ366" s="30">
        <f>ROUND(Inventory[[#This Row],[25Det]],-2)</f>
        <v>0</v>
      </c>
      <c r="BA366" s="30">
        <f>ROUND(SUM(Inventory[[#This Row],[Mdl Qlty]:[Mdl Garage Area]])+Inventory[[#This Row],[Mdl Res Intercept]],-2)</f>
        <v>376400</v>
      </c>
      <c r="BB366" s="30">
        <f>ROUND(Inventory[[#This Row],[Mdl Land Intercept]]+Inventory[[#This Row],[Mdl LnAcres]],-2)</f>
        <v>65900</v>
      </c>
      <c r="BC366" s="30">
        <f>Inventory[[#This Row],[Unadj Res Value]]+Inventory[[#This Row],[Unadj Det Value]]+Inventory[[#This Row],[Unadj Land Value]]</f>
        <v>442300</v>
      </c>
      <c r="BD366" s="30">
        <f>(Inventory[[#This Row],[Unadj Total Value]]-Inventory[[#This Row],[24Final]])/Inventory[[#This Row],[24Final]]</f>
        <v>3.6316776007497657E-2</v>
      </c>
      <c r="BE366" s="30">
        <f>VLOOKUP(Inventory[[#This Row],[Nbhd]],Lookups!$M$3:$P$5,4,FALSE)</f>
        <v>0.99970000000000003</v>
      </c>
      <c r="BF366" s="30">
        <f>VLOOKUP(Inventory[[#This Row],[Qlty]],Lookups!$M$8:$P$22,4,FALSE)</f>
        <v>0.99819999999999998</v>
      </c>
      <c r="BG366" s="30">
        <f>VLOOKUP(Inventory[[#This Row],[Cnd]],Lookups!$R$8:$U$17,4,FALSE)</f>
        <v>1.0007999999999999</v>
      </c>
      <c r="BH366" s="30">
        <f>VLOOKUP(Inventory[[#This Row],[LivArea Range]],Lookups!$R$25:$U$43,4,FALSE)</f>
        <v>1.0008999999999999</v>
      </c>
      <c r="BI366" s="30">
        <f>VLOOKUP(Inventory[[#This Row],[Decade]],Lookups!$M$24:$P$40,4,FALSE)</f>
        <v>1.0024</v>
      </c>
      <c r="BJ366" s="30">
        <f>Inventory[[#This Row],[Nbhd Adj]]*0.95</f>
        <v>0.94971499999999998</v>
      </c>
      <c r="BK366" s="30">
        <f>AVERAGE(Inventory[[#This Row],[Nbhd Adj]],Inventory[[#This Row],[Quality Adj]],Inventory[[#This Row],[Condition Adj]],Inventory[[#This Row],[Living Area Adj]],Inventory[[#This Row],[Decade Adj]])*0.95</f>
        <v>0.95037999999999989</v>
      </c>
      <c r="BL366" s="30">
        <f>ROUND((SUM(Inventory[[#This Row],[Mdl Qlty]:[Mdl Garage Area]])+Inventory[[#This Row],[Mdl Res Intercept]])*Inventory[[#This Row],[Res Adj ]],-2)</f>
        <v>357700</v>
      </c>
      <c r="BM366" s="30">
        <f>ROUND(Inventory[[#This Row],[25Det]]*Inventory[[#This Row],[Det/Nbhd Adj]],-2)</f>
        <v>0</v>
      </c>
      <c r="BN366" s="30">
        <f>Inventory[[#This Row],[Adjusted Res]]+Inventory[[#This Row],[Adj Det ]]</f>
        <v>357700</v>
      </c>
      <c r="BO366" s="30">
        <f>ROUND((Inventory[[#This Row],[Mdl Land Intercept]]+Inventory[[#This Row],[Mdl LnAcres]])*Inventory[[#This Row],[Det/Nbhd Adj]],-2)</f>
        <v>62500</v>
      </c>
      <c r="BP366" s="30">
        <f>Inventory[[#This Row],[Adjusted Impr Total]]+Inventory[[#This Row],[Adjusted Land Total]]</f>
        <v>420200</v>
      </c>
      <c r="BQ366" s="30">
        <f>IFERROR((Inventory[[#This Row],[Adjusted Impr Total]]-Inventory[[#This Row],[24Bldg]])/Inventory[[#This Row],[24Bldg]],0)</f>
        <v>-1.8116936590721933E-2</v>
      </c>
      <c r="BR366" s="43">
        <f>(Inventory[[#This Row],[Adjusted Land Total]]-Inventory[[#This Row],[24Lnd]])/Inventory[[#This Row],[24Lnd]]</f>
        <v>0</v>
      </c>
      <c r="BS366" s="43">
        <f>(Inventory[[#This Row],[Adjusted Total]]-Inventory[[#This Row],[24Final]])/Inventory[[#This Row],[24Final]]</f>
        <v>-1.5463917525773196E-2</v>
      </c>
    </row>
    <row r="367" spans="1:71">
      <c r="A367" s="30">
        <v>2025</v>
      </c>
      <c r="B367" s="31" t="s">
        <v>881</v>
      </c>
      <c r="C367" s="31">
        <f>LN(Inventory[[#This Row],[Acres]])</f>
        <v>-1.7147984280919266</v>
      </c>
      <c r="D367" s="30">
        <v>0.18</v>
      </c>
      <c r="E367" s="30">
        <v>7738</v>
      </c>
      <c r="F367" s="31" t="s">
        <v>505</v>
      </c>
      <c r="G367" s="31" t="s">
        <v>155</v>
      </c>
      <c r="H367" s="31" t="s">
        <v>5</v>
      </c>
      <c r="I367" s="31" t="s">
        <v>506</v>
      </c>
      <c r="J367" s="31" t="s">
        <v>507</v>
      </c>
      <c r="K367" s="31" t="s">
        <v>330</v>
      </c>
      <c r="L367" s="31" t="s">
        <v>21</v>
      </c>
      <c r="M367" s="31" t="s">
        <v>22</v>
      </c>
      <c r="N367" s="31">
        <v>10</v>
      </c>
      <c r="O367" s="31">
        <f>2024-Inventory[[#This Row],[YrBlt]]</f>
        <v>12</v>
      </c>
      <c r="P367" s="31">
        <f>2024-Inventory[[#This Row],[EffYr]]</f>
        <v>12</v>
      </c>
      <c r="Q367" s="30">
        <v>2012</v>
      </c>
      <c r="R367" s="30">
        <v>2012</v>
      </c>
      <c r="S367" s="30">
        <v>1270</v>
      </c>
      <c r="T367" s="30">
        <v>1634</v>
      </c>
      <c r="U367" s="32"/>
      <c r="V367" s="32"/>
      <c r="W367" s="32"/>
      <c r="X367" s="32">
        <f>Inventory[[#This Row],[Bsmt Area]]-Inventory[[#This Row],[FnBsmt]]</f>
        <v>0</v>
      </c>
      <c r="Y367" s="32">
        <f>Inventory[[#This Row],[MainFn]]+Inventory[[#This Row],[UpprFn]]+Inventory[[#This Row],[AddFn]]+Inventory[[#This Row],[FnBsmt]]</f>
        <v>2904</v>
      </c>
      <c r="Z367" s="32">
        <v>3000</v>
      </c>
      <c r="AA367" s="31" t="s">
        <v>55</v>
      </c>
      <c r="AB367" s="32"/>
      <c r="AC367" s="38">
        <v>240</v>
      </c>
      <c r="AD367" s="30">
        <v>570</v>
      </c>
      <c r="AE367" s="32"/>
      <c r="AF367" s="32"/>
      <c r="AG367" s="32"/>
      <c r="AH367" s="32"/>
      <c r="AI367" s="30">
        <v>557128</v>
      </c>
      <c r="AJ367" s="30">
        <v>529272</v>
      </c>
      <c r="AK367" s="30">
        <v>0</v>
      </c>
      <c r="AL367" s="30">
        <v>0</v>
      </c>
      <c r="AM367" s="30">
        <v>62500</v>
      </c>
      <c r="AN367" s="30">
        <v>403300</v>
      </c>
      <c r="AO367" s="30">
        <v>465800</v>
      </c>
      <c r="AP367" s="30">
        <f>Lookups!$B$58*0.6</f>
        <v>132535.48800000001</v>
      </c>
      <c r="AQ367" s="30">
        <f>Lookups!$B$58*0.4</f>
        <v>88356.992000000013</v>
      </c>
      <c r="AR367" s="30">
        <f>Lookups!$B$59*Inventory[[#This Row],[LnAcres]]</f>
        <v>-22505.565020573864</v>
      </c>
      <c r="AS367" s="30">
        <f>VLOOKUP(Inventory[[#This Row],[Qlty]],Lookups!$A$66:$E$79,2,FALSE)</f>
        <v>32917.849192000001</v>
      </c>
      <c r="AT367" s="30">
        <f>VLOOKUP(Inventory[[#This Row],[Cnd]],Lookups!$A$80:$E$88,2,FALSE)</f>
        <v>50438.379078999998</v>
      </c>
      <c r="AU367" s="30">
        <f>Inventory[[#This Row],[EffAge]]*Lookups!$B$65</f>
        <v>-1304.8932</v>
      </c>
      <c r="AV367" s="30">
        <f>Inventory[[#This Row],[MainFn]]*Lookups!$B$90</f>
        <v>79261.1826</v>
      </c>
      <c r="AW367" s="30">
        <f>Inventory[[#This Row],[UpprFn]]*Lookups!$B$91</f>
        <v>97354.345822000003</v>
      </c>
      <c r="AX367" s="30">
        <f>Inventory[[#This Row],[Bsmt Area]]*Lookups!$B$95</f>
        <v>0</v>
      </c>
      <c r="AY367" s="30">
        <f>Inventory[[#This Row],[AttGar]]*Lookups!$B$93</f>
        <v>8472.247440000001</v>
      </c>
      <c r="AZ367" s="30">
        <f>ROUND(Inventory[[#This Row],[25Det]],-2)</f>
        <v>0</v>
      </c>
      <c r="BA367" s="30">
        <f>ROUND(SUM(Inventory[[#This Row],[Mdl Qlty]:[Mdl Garage Area]])+Inventory[[#This Row],[Mdl Res Intercept]],-2)</f>
        <v>399700</v>
      </c>
      <c r="BB367" s="30">
        <f>ROUND(Inventory[[#This Row],[Mdl Land Intercept]]+Inventory[[#This Row],[Mdl LnAcres]],-2)</f>
        <v>65900</v>
      </c>
      <c r="BC367" s="30">
        <f>Inventory[[#This Row],[Unadj Res Value]]+Inventory[[#This Row],[Unadj Det Value]]+Inventory[[#This Row],[Unadj Land Value]]</f>
        <v>465600</v>
      </c>
      <c r="BD367" s="30">
        <f>(Inventory[[#This Row],[Unadj Total Value]]-Inventory[[#This Row],[24Final]])/Inventory[[#This Row],[24Final]]</f>
        <v>-4.2936882782310007E-4</v>
      </c>
      <c r="BE367" s="30">
        <f>VLOOKUP(Inventory[[#This Row],[Nbhd]],Lookups!$M$3:$P$5,4,FALSE)</f>
        <v>0.99970000000000003</v>
      </c>
      <c r="BF367" s="30">
        <f>VLOOKUP(Inventory[[#This Row],[Qlty]],Lookups!$M$8:$P$22,4,FALSE)</f>
        <v>1.0019</v>
      </c>
      <c r="BG367" s="30">
        <f>VLOOKUP(Inventory[[#This Row],[Cnd]],Lookups!$R$8:$U$17,4,FALSE)</f>
        <v>1.0007999999999999</v>
      </c>
      <c r="BH367" s="30">
        <f>VLOOKUP(Inventory[[#This Row],[LivArea Range]],Lookups!$R$25:$U$43,4,FALSE)</f>
        <v>1.0099</v>
      </c>
      <c r="BI367" s="30">
        <f>VLOOKUP(Inventory[[#This Row],[Decade]],Lookups!$M$24:$P$40,4,FALSE)</f>
        <v>1.0024</v>
      </c>
      <c r="BJ367" s="30">
        <f>Inventory[[#This Row],[Nbhd Adj]]*0.95</f>
        <v>0.94971499999999998</v>
      </c>
      <c r="BK367" s="30">
        <f>AVERAGE(Inventory[[#This Row],[Nbhd Adj]],Inventory[[#This Row],[Quality Adj]],Inventory[[#This Row],[Condition Adj]],Inventory[[#This Row],[Living Area Adj]],Inventory[[#This Row],[Decade Adj]])*0.95</f>
        <v>0.95279299999999989</v>
      </c>
      <c r="BL367" s="30">
        <f>ROUND((SUM(Inventory[[#This Row],[Mdl Qlty]:[Mdl Garage Area]])+Inventory[[#This Row],[Mdl Res Intercept]])*Inventory[[#This Row],[Res Adj ]],-2)</f>
        <v>380800</v>
      </c>
      <c r="BM367" s="30">
        <f>ROUND(Inventory[[#This Row],[25Det]]*Inventory[[#This Row],[Det/Nbhd Adj]],-2)</f>
        <v>0</v>
      </c>
      <c r="BN367" s="30">
        <f>Inventory[[#This Row],[Adjusted Res]]+Inventory[[#This Row],[Adj Det ]]</f>
        <v>380800</v>
      </c>
      <c r="BO367" s="30">
        <f>ROUND((Inventory[[#This Row],[Mdl Land Intercept]]+Inventory[[#This Row],[Mdl LnAcres]])*Inventory[[#This Row],[Det/Nbhd Adj]],-2)</f>
        <v>62500</v>
      </c>
      <c r="BP367" s="30">
        <f>Inventory[[#This Row],[Adjusted Impr Total]]+Inventory[[#This Row],[Adjusted Land Total]]</f>
        <v>443300</v>
      </c>
      <c r="BQ367" s="30">
        <f>IFERROR((Inventory[[#This Row],[Adjusted Impr Total]]-Inventory[[#This Row],[24Bldg]])/Inventory[[#This Row],[24Bldg]],0)</f>
        <v>-5.5789734688817261E-2</v>
      </c>
      <c r="BR367" s="43">
        <f>(Inventory[[#This Row],[Adjusted Land Total]]-Inventory[[#This Row],[24Lnd]])/Inventory[[#This Row],[24Lnd]]</f>
        <v>0</v>
      </c>
      <c r="BS367" s="43">
        <f>(Inventory[[#This Row],[Adjusted Total]]-Inventory[[#This Row],[24Final]])/Inventory[[#This Row],[24Final]]</f>
        <v>-4.8303993130098755E-2</v>
      </c>
    </row>
    <row r="368" spans="1:71">
      <c r="A368" s="30">
        <v>2025</v>
      </c>
      <c r="B368" s="31" t="s">
        <v>882</v>
      </c>
      <c r="C368" s="31">
        <f>LN(Inventory[[#This Row],[Acres]])</f>
        <v>-1.7147984280919266</v>
      </c>
      <c r="D368" s="30">
        <v>0.18</v>
      </c>
      <c r="E368" s="30">
        <v>7867</v>
      </c>
      <c r="F368" s="31" t="s">
        <v>505</v>
      </c>
      <c r="G368" s="31" t="s">
        <v>155</v>
      </c>
      <c r="H368" s="31" t="s">
        <v>5</v>
      </c>
      <c r="I368" s="31" t="s">
        <v>506</v>
      </c>
      <c r="J368" s="31" t="s">
        <v>507</v>
      </c>
      <c r="K368" s="31" t="s">
        <v>330</v>
      </c>
      <c r="L368" s="31" t="s">
        <v>19</v>
      </c>
      <c r="M368" s="31" t="s">
        <v>20</v>
      </c>
      <c r="N368" s="31">
        <v>10</v>
      </c>
      <c r="O368" s="31">
        <f>2024-Inventory[[#This Row],[YrBlt]]</f>
        <v>12</v>
      </c>
      <c r="P368" s="31">
        <f>2024-Inventory[[#This Row],[EffYr]]</f>
        <v>12</v>
      </c>
      <c r="Q368" s="30">
        <v>2012</v>
      </c>
      <c r="R368" s="30">
        <v>2012</v>
      </c>
      <c r="S368" s="30">
        <v>1289</v>
      </c>
      <c r="T368" s="30">
        <v>1564</v>
      </c>
      <c r="U368" s="32"/>
      <c r="V368" s="32"/>
      <c r="W368" s="32"/>
      <c r="X368" s="32">
        <f>Inventory[[#This Row],[Bsmt Area]]-Inventory[[#This Row],[FnBsmt]]</f>
        <v>0</v>
      </c>
      <c r="Y368" s="32">
        <f>Inventory[[#This Row],[MainFn]]+Inventory[[#This Row],[UpprFn]]+Inventory[[#This Row],[AddFn]]+Inventory[[#This Row],[FnBsmt]]</f>
        <v>2853</v>
      </c>
      <c r="Z368" s="32">
        <v>3000</v>
      </c>
      <c r="AA368" s="31" t="s">
        <v>56</v>
      </c>
      <c r="AB368" s="32"/>
      <c r="AC368" s="32"/>
      <c r="AD368" s="30">
        <v>494</v>
      </c>
      <c r="AE368" s="32"/>
      <c r="AF368" s="32"/>
      <c r="AG368" s="32"/>
      <c r="AH368" s="32"/>
      <c r="AI368" s="30">
        <v>466431</v>
      </c>
      <c r="AJ368" s="30">
        <v>438445</v>
      </c>
      <c r="AK368" s="30">
        <v>0</v>
      </c>
      <c r="AL368" s="30">
        <v>0</v>
      </c>
      <c r="AM368" s="30">
        <v>62500</v>
      </c>
      <c r="AN368" s="30">
        <v>386000</v>
      </c>
      <c r="AO368" s="30">
        <v>448500</v>
      </c>
      <c r="AP368" s="30">
        <f>Lookups!$B$58*0.6</f>
        <v>132535.48800000001</v>
      </c>
      <c r="AQ368" s="30">
        <f>Lookups!$B$58*0.4</f>
        <v>88356.992000000013</v>
      </c>
      <c r="AR368" s="30">
        <f>Lookups!$B$59*Inventory[[#This Row],[LnAcres]]</f>
        <v>-22505.565020573864</v>
      </c>
      <c r="AS368" s="30">
        <f>VLOOKUP(Inventory[[#This Row],[Qlty]],Lookups!$A$66:$E$79,2,FALSE)</f>
        <v>37154.252388000001</v>
      </c>
      <c r="AT368" s="30">
        <f>VLOOKUP(Inventory[[#This Row],[Cnd]],Lookups!$A$80:$E$88,2,FALSE)</f>
        <v>30300.329274</v>
      </c>
      <c r="AU368" s="30">
        <f>Inventory[[#This Row],[EffAge]]*Lookups!$B$65</f>
        <v>-1304.8932</v>
      </c>
      <c r="AV368" s="30">
        <f>Inventory[[#This Row],[MainFn]]*Lookups!$B$90</f>
        <v>80446.979820000008</v>
      </c>
      <c r="AW368" s="30">
        <f>Inventory[[#This Row],[UpprFn]]*Lookups!$B$91</f>
        <v>93183.719012000001</v>
      </c>
      <c r="AX368" s="30">
        <f>Inventory[[#This Row],[Bsmt Area]]*Lookups!$B$95</f>
        <v>0</v>
      </c>
      <c r="AY368" s="30">
        <f>Inventory[[#This Row],[AttGar]]*Lookups!$B$93</f>
        <v>0</v>
      </c>
      <c r="AZ368" s="30">
        <f>ROUND(Inventory[[#This Row],[25Det]],-2)</f>
        <v>0</v>
      </c>
      <c r="BA368" s="30">
        <f>ROUND(SUM(Inventory[[#This Row],[Mdl Qlty]:[Mdl Garage Area]])+Inventory[[#This Row],[Mdl Res Intercept]],-2)</f>
        <v>372300</v>
      </c>
      <c r="BB368" s="30">
        <f>ROUND(Inventory[[#This Row],[Mdl Land Intercept]]+Inventory[[#This Row],[Mdl LnAcres]],-2)</f>
        <v>65900</v>
      </c>
      <c r="BC368" s="30">
        <f>Inventory[[#This Row],[Unadj Res Value]]+Inventory[[#This Row],[Unadj Det Value]]+Inventory[[#This Row],[Unadj Land Value]]</f>
        <v>438200</v>
      </c>
      <c r="BD368" s="30">
        <f>(Inventory[[#This Row],[Unadj Total Value]]-Inventory[[#This Row],[24Final]])/Inventory[[#This Row],[24Final]]</f>
        <v>-2.2965440356744703E-2</v>
      </c>
      <c r="BE368" s="30">
        <f>VLOOKUP(Inventory[[#This Row],[Nbhd]],Lookups!$M$3:$P$5,4,FALSE)</f>
        <v>0.99970000000000003</v>
      </c>
      <c r="BF368" s="30">
        <f>VLOOKUP(Inventory[[#This Row],[Qlty]],Lookups!$M$8:$P$22,4,FALSE)</f>
        <v>0.99819999999999998</v>
      </c>
      <c r="BG368" s="30">
        <f>VLOOKUP(Inventory[[#This Row],[Cnd]],Lookups!$R$8:$U$17,4,FALSE)</f>
        <v>0.997</v>
      </c>
      <c r="BH368" s="30">
        <f>VLOOKUP(Inventory[[#This Row],[LivArea Range]],Lookups!$R$25:$U$43,4,FALSE)</f>
        <v>1.0099</v>
      </c>
      <c r="BI368" s="30">
        <f>VLOOKUP(Inventory[[#This Row],[Decade]],Lookups!$M$24:$P$40,4,FALSE)</f>
        <v>1.0024</v>
      </c>
      <c r="BJ368" s="30">
        <f>Inventory[[#This Row],[Nbhd Adj]]*0.95</f>
        <v>0.94971499999999998</v>
      </c>
      <c r="BK368" s="30">
        <f>AVERAGE(Inventory[[#This Row],[Nbhd Adj]],Inventory[[#This Row],[Quality Adj]],Inventory[[#This Row],[Condition Adj]],Inventory[[#This Row],[Living Area Adj]],Inventory[[#This Row],[Decade Adj]])*0.95</f>
        <v>0.95136799999999988</v>
      </c>
      <c r="BL368" s="30">
        <f>ROUND((SUM(Inventory[[#This Row],[Mdl Qlty]:[Mdl Garage Area]])+Inventory[[#This Row],[Mdl Res Intercept]])*Inventory[[#This Row],[Res Adj ]],-2)</f>
        <v>354200</v>
      </c>
      <c r="BM368" s="30">
        <f>ROUND(Inventory[[#This Row],[25Det]]*Inventory[[#This Row],[Det/Nbhd Adj]],-2)</f>
        <v>0</v>
      </c>
      <c r="BN368" s="30">
        <f>Inventory[[#This Row],[Adjusted Res]]+Inventory[[#This Row],[Adj Det ]]</f>
        <v>354200</v>
      </c>
      <c r="BO368" s="30">
        <f>ROUND((Inventory[[#This Row],[Mdl Land Intercept]]+Inventory[[#This Row],[Mdl LnAcres]])*Inventory[[#This Row],[Det/Nbhd Adj]],-2)</f>
        <v>62500</v>
      </c>
      <c r="BP368" s="30">
        <f>Inventory[[#This Row],[Adjusted Impr Total]]+Inventory[[#This Row],[Adjusted Land Total]]</f>
        <v>416700</v>
      </c>
      <c r="BQ368" s="30">
        <f>IFERROR((Inventory[[#This Row],[Adjusted Impr Total]]-Inventory[[#This Row],[24Bldg]])/Inventory[[#This Row],[24Bldg]],0)</f>
        <v>-8.2383419689119178E-2</v>
      </c>
      <c r="BR368" s="43">
        <f>(Inventory[[#This Row],[Adjusted Land Total]]-Inventory[[#This Row],[24Lnd]])/Inventory[[#This Row],[24Lnd]]</f>
        <v>0</v>
      </c>
      <c r="BS368" s="43">
        <f>(Inventory[[#This Row],[Adjusted Total]]-Inventory[[#This Row],[24Final]])/Inventory[[#This Row],[24Final]]</f>
        <v>-7.0903010033444819E-2</v>
      </c>
    </row>
    <row r="369" spans="1:71">
      <c r="A369" s="30">
        <v>2025</v>
      </c>
      <c r="B369" s="31" t="s">
        <v>883</v>
      </c>
      <c r="C369" s="31">
        <f>LN(Inventory[[#This Row],[Acres]])</f>
        <v>-1.7147984280919266</v>
      </c>
      <c r="D369" s="30">
        <v>0.18</v>
      </c>
      <c r="E369" s="30">
        <v>7738</v>
      </c>
      <c r="F369" s="31" t="s">
        <v>505</v>
      </c>
      <c r="G369" s="31" t="s">
        <v>155</v>
      </c>
      <c r="H369" s="31" t="s">
        <v>5</v>
      </c>
      <c r="I369" s="31" t="s">
        <v>506</v>
      </c>
      <c r="J369" s="31" t="s">
        <v>507</v>
      </c>
      <c r="K369" s="31" t="s">
        <v>193</v>
      </c>
      <c r="L369" s="31" t="s">
        <v>19</v>
      </c>
      <c r="M369" s="31" t="s">
        <v>20</v>
      </c>
      <c r="N369" s="31">
        <v>10</v>
      </c>
      <c r="O369" s="31">
        <f>2024-Inventory[[#This Row],[YrBlt]]</f>
        <v>12</v>
      </c>
      <c r="P369" s="31">
        <f>2024-Inventory[[#This Row],[EffYr]]</f>
        <v>12</v>
      </c>
      <c r="Q369" s="30">
        <v>2012</v>
      </c>
      <c r="R369" s="30">
        <v>2012</v>
      </c>
      <c r="S369" s="30">
        <v>1518</v>
      </c>
      <c r="T369" s="37"/>
      <c r="U369" s="32"/>
      <c r="V369" s="32"/>
      <c r="W369" s="32"/>
      <c r="X369" s="32">
        <f>Inventory[[#This Row],[Bsmt Area]]-Inventory[[#This Row],[FnBsmt]]</f>
        <v>0</v>
      </c>
      <c r="Y369" s="32">
        <f>Inventory[[#This Row],[MainFn]]+Inventory[[#This Row],[UpprFn]]+Inventory[[#This Row],[AddFn]]+Inventory[[#This Row],[FnBsmt]]</f>
        <v>1518</v>
      </c>
      <c r="Z369" s="32">
        <v>2000</v>
      </c>
      <c r="AA369" s="31" t="s">
        <v>56</v>
      </c>
      <c r="AB369" s="30">
        <v>1</v>
      </c>
      <c r="AC369" s="38">
        <v>438</v>
      </c>
      <c r="AD369" s="37"/>
      <c r="AE369" s="32"/>
      <c r="AF369" s="32"/>
      <c r="AG369" s="32"/>
      <c r="AH369" s="32"/>
      <c r="AI369" s="30">
        <v>314344</v>
      </c>
      <c r="AJ369" s="30">
        <v>295483</v>
      </c>
      <c r="AK369" s="30">
        <v>0</v>
      </c>
      <c r="AL369" s="30">
        <v>0</v>
      </c>
      <c r="AM369" s="30">
        <v>62500</v>
      </c>
      <c r="AN369" s="30">
        <v>312400</v>
      </c>
      <c r="AO369" s="30">
        <v>374900</v>
      </c>
      <c r="AP369" s="30">
        <f>Lookups!$B$58*0.6</f>
        <v>132535.48800000001</v>
      </c>
      <c r="AQ369" s="30">
        <f>Lookups!$B$58*0.4</f>
        <v>88356.992000000013</v>
      </c>
      <c r="AR369" s="30">
        <f>Lookups!$B$59*Inventory[[#This Row],[LnAcres]]</f>
        <v>-22505.565020573864</v>
      </c>
      <c r="AS369" s="30">
        <f>VLOOKUP(Inventory[[#This Row],[Qlty]],Lookups!$A$66:$E$79,2,FALSE)</f>
        <v>37154.252388000001</v>
      </c>
      <c r="AT369" s="30">
        <f>VLOOKUP(Inventory[[#This Row],[Cnd]],Lookups!$A$80:$E$88,2,FALSE)</f>
        <v>30300.329274</v>
      </c>
      <c r="AU369" s="30">
        <f>Inventory[[#This Row],[EffAge]]*Lookups!$B$65</f>
        <v>-1304.8932</v>
      </c>
      <c r="AV369" s="30">
        <f>Inventory[[#This Row],[MainFn]]*Lookups!$B$90</f>
        <v>94738.956839999999</v>
      </c>
      <c r="AW369" s="30">
        <f>Inventory[[#This Row],[UpprFn]]*Lookups!$B$91</f>
        <v>0</v>
      </c>
      <c r="AX369" s="30">
        <f>Inventory[[#This Row],[Bsmt Area]]*Lookups!$B$95</f>
        <v>0</v>
      </c>
      <c r="AY369" s="30">
        <f>Inventory[[#This Row],[AttGar]]*Lookups!$B$93</f>
        <v>15461.851578000002</v>
      </c>
      <c r="AZ369" s="30">
        <f>ROUND(Inventory[[#This Row],[25Det]],-2)</f>
        <v>0</v>
      </c>
      <c r="BA369" s="30">
        <f>ROUND(SUM(Inventory[[#This Row],[Mdl Qlty]:[Mdl Garage Area]])+Inventory[[#This Row],[Mdl Res Intercept]],-2)</f>
        <v>308900</v>
      </c>
      <c r="BB369" s="30">
        <f>ROUND(Inventory[[#This Row],[Mdl Land Intercept]]+Inventory[[#This Row],[Mdl LnAcres]],-2)</f>
        <v>65900</v>
      </c>
      <c r="BC369" s="30">
        <f>Inventory[[#This Row],[Unadj Res Value]]+Inventory[[#This Row],[Unadj Det Value]]+Inventory[[#This Row],[Unadj Land Value]]</f>
        <v>374800</v>
      </c>
      <c r="BD369" s="30">
        <f>(Inventory[[#This Row],[Unadj Total Value]]-Inventory[[#This Row],[24Final]])/Inventory[[#This Row],[24Final]]</f>
        <v>-2.6673779674579886E-4</v>
      </c>
      <c r="BE369" s="30">
        <f>VLOOKUP(Inventory[[#This Row],[Nbhd]],Lookups!$M$3:$P$5,4,FALSE)</f>
        <v>0.99970000000000003</v>
      </c>
      <c r="BF369" s="30">
        <f>VLOOKUP(Inventory[[#This Row],[Qlty]],Lookups!$M$8:$P$22,4,FALSE)</f>
        <v>0.99819999999999998</v>
      </c>
      <c r="BG369" s="30">
        <f>VLOOKUP(Inventory[[#This Row],[Cnd]],Lookups!$R$8:$U$17,4,FALSE)</f>
        <v>0.997</v>
      </c>
      <c r="BH369" s="30">
        <f>VLOOKUP(Inventory[[#This Row],[LivArea Range]],Lookups!$R$25:$U$43,4,FALSE)</f>
        <v>1.0007999999999999</v>
      </c>
      <c r="BI369" s="30">
        <f>VLOOKUP(Inventory[[#This Row],[Decade]],Lookups!$M$24:$P$40,4,FALSE)</f>
        <v>1.0024</v>
      </c>
      <c r="BJ369" s="30">
        <f>Inventory[[#This Row],[Nbhd Adj]]*0.95</f>
        <v>0.94971499999999998</v>
      </c>
      <c r="BK369" s="30">
        <f>AVERAGE(Inventory[[#This Row],[Nbhd Adj]],Inventory[[#This Row],[Quality Adj]],Inventory[[#This Row],[Condition Adj]],Inventory[[#This Row],[Living Area Adj]],Inventory[[#This Row],[Decade Adj]])*0.95</f>
        <v>0.9496389999999999</v>
      </c>
      <c r="BL369" s="30">
        <f>ROUND((SUM(Inventory[[#This Row],[Mdl Qlty]:[Mdl Garage Area]])+Inventory[[#This Row],[Mdl Res Intercept]])*Inventory[[#This Row],[Res Adj ]],-2)</f>
        <v>293300</v>
      </c>
      <c r="BM369" s="30">
        <f>ROUND(Inventory[[#This Row],[25Det]]*Inventory[[#This Row],[Det/Nbhd Adj]],-2)</f>
        <v>0</v>
      </c>
      <c r="BN369" s="30">
        <f>Inventory[[#This Row],[Adjusted Res]]+Inventory[[#This Row],[Adj Det ]]</f>
        <v>293300</v>
      </c>
      <c r="BO369" s="30">
        <f>ROUND((Inventory[[#This Row],[Mdl Land Intercept]]+Inventory[[#This Row],[Mdl LnAcres]])*Inventory[[#This Row],[Det/Nbhd Adj]],-2)</f>
        <v>62500</v>
      </c>
      <c r="BP369" s="30">
        <f>Inventory[[#This Row],[Adjusted Impr Total]]+Inventory[[#This Row],[Adjusted Land Total]]</f>
        <v>355800</v>
      </c>
      <c r="BQ369" s="30">
        <f>IFERROR((Inventory[[#This Row],[Adjusted Impr Total]]-Inventory[[#This Row],[24Bldg]])/Inventory[[#This Row],[24Bldg]],0)</f>
        <v>-6.1139564660691419E-2</v>
      </c>
      <c r="BR369" s="43">
        <f>(Inventory[[#This Row],[Adjusted Land Total]]-Inventory[[#This Row],[24Lnd]])/Inventory[[#This Row],[24Lnd]]</f>
        <v>0</v>
      </c>
      <c r="BS369" s="43">
        <f>(Inventory[[#This Row],[Adjusted Total]]-Inventory[[#This Row],[24Final]])/Inventory[[#This Row],[24Final]]</f>
        <v>-5.0946919178447583E-2</v>
      </c>
    </row>
    <row r="370" spans="1:71">
      <c r="A370" s="30">
        <v>2025</v>
      </c>
      <c r="B370" s="31" t="s">
        <v>884</v>
      </c>
      <c r="C370" s="31">
        <f>LN(Inventory[[#This Row],[Acres]])</f>
        <v>-1.7147984280919266</v>
      </c>
      <c r="D370" s="30">
        <v>0.18</v>
      </c>
      <c r="E370" s="30">
        <v>7738</v>
      </c>
      <c r="F370" s="31" t="s">
        <v>505</v>
      </c>
      <c r="G370" s="31" t="s">
        <v>155</v>
      </c>
      <c r="H370" s="31" t="s">
        <v>5</v>
      </c>
      <c r="I370" s="31" t="s">
        <v>506</v>
      </c>
      <c r="J370" s="31" t="s">
        <v>507</v>
      </c>
      <c r="K370" s="31" t="s">
        <v>193</v>
      </c>
      <c r="L370" s="31" t="s">
        <v>19</v>
      </c>
      <c r="M370" s="31" t="s">
        <v>20</v>
      </c>
      <c r="N370" s="31">
        <v>10</v>
      </c>
      <c r="O370" s="31">
        <f>2024-Inventory[[#This Row],[YrBlt]]</f>
        <v>12</v>
      </c>
      <c r="P370" s="31">
        <f>2024-Inventory[[#This Row],[EffYr]]</f>
        <v>12</v>
      </c>
      <c r="Q370" s="30">
        <v>2012</v>
      </c>
      <c r="R370" s="30">
        <v>2012</v>
      </c>
      <c r="S370" s="30">
        <v>1536</v>
      </c>
      <c r="T370" s="32"/>
      <c r="U370" s="32"/>
      <c r="V370" s="32"/>
      <c r="W370" s="32"/>
      <c r="X370" s="32">
        <f>Inventory[[#This Row],[Bsmt Area]]-Inventory[[#This Row],[FnBsmt]]</f>
        <v>0</v>
      </c>
      <c r="Y370" s="32">
        <f>Inventory[[#This Row],[MainFn]]+Inventory[[#This Row],[UpprFn]]+Inventory[[#This Row],[AddFn]]+Inventory[[#This Row],[FnBsmt]]</f>
        <v>1536</v>
      </c>
      <c r="Z370" s="32">
        <v>2000</v>
      </c>
      <c r="AA370" s="31" t="s">
        <v>56</v>
      </c>
      <c r="AB370" s="32"/>
      <c r="AC370" s="38">
        <v>420</v>
      </c>
      <c r="AD370" s="32"/>
      <c r="AE370" s="32"/>
      <c r="AF370" s="32"/>
      <c r="AG370" s="32"/>
      <c r="AH370" s="32"/>
      <c r="AI370" s="30">
        <v>313553</v>
      </c>
      <c r="AJ370" s="30">
        <v>294740</v>
      </c>
      <c r="AK370" s="30">
        <v>0</v>
      </c>
      <c r="AL370" s="30">
        <v>0</v>
      </c>
      <c r="AM370" s="30">
        <v>62500</v>
      </c>
      <c r="AN370" s="30">
        <v>312500</v>
      </c>
      <c r="AO370" s="30">
        <v>375000</v>
      </c>
      <c r="AP370" s="30">
        <f>Lookups!$B$58*0.6</f>
        <v>132535.48800000001</v>
      </c>
      <c r="AQ370" s="30">
        <f>Lookups!$B$58*0.4</f>
        <v>88356.992000000013</v>
      </c>
      <c r="AR370" s="30">
        <f>Lookups!$B$59*Inventory[[#This Row],[LnAcres]]</f>
        <v>-22505.565020573864</v>
      </c>
      <c r="AS370" s="30">
        <f>VLOOKUP(Inventory[[#This Row],[Qlty]],Lookups!$A$66:$E$79,2,FALSE)</f>
        <v>37154.252388000001</v>
      </c>
      <c r="AT370" s="30">
        <f>VLOOKUP(Inventory[[#This Row],[Cnd]],Lookups!$A$80:$E$88,2,FALSE)</f>
        <v>30300.329274</v>
      </c>
      <c r="AU370" s="30">
        <f>Inventory[[#This Row],[EffAge]]*Lookups!$B$65</f>
        <v>-1304.8932</v>
      </c>
      <c r="AV370" s="30">
        <f>Inventory[[#This Row],[MainFn]]*Lookups!$B$90</f>
        <v>95862.343680000005</v>
      </c>
      <c r="AW370" s="30">
        <f>Inventory[[#This Row],[UpprFn]]*Lookups!$B$91</f>
        <v>0</v>
      </c>
      <c r="AX370" s="30">
        <f>Inventory[[#This Row],[Bsmt Area]]*Lookups!$B$95</f>
        <v>0</v>
      </c>
      <c r="AY370" s="30">
        <f>Inventory[[#This Row],[AttGar]]*Lookups!$B$93</f>
        <v>14826.43302</v>
      </c>
      <c r="AZ370" s="30">
        <f>ROUND(Inventory[[#This Row],[25Det]],-2)</f>
        <v>0</v>
      </c>
      <c r="BA370" s="30">
        <f>ROUND(SUM(Inventory[[#This Row],[Mdl Qlty]:[Mdl Garage Area]])+Inventory[[#This Row],[Mdl Res Intercept]],-2)</f>
        <v>309400</v>
      </c>
      <c r="BB370" s="30">
        <f>ROUND(Inventory[[#This Row],[Mdl Land Intercept]]+Inventory[[#This Row],[Mdl LnAcres]],-2)</f>
        <v>65900</v>
      </c>
      <c r="BC370" s="30">
        <f>Inventory[[#This Row],[Unadj Res Value]]+Inventory[[#This Row],[Unadj Det Value]]+Inventory[[#This Row],[Unadj Land Value]]</f>
        <v>375300</v>
      </c>
      <c r="BD370" s="30">
        <f>(Inventory[[#This Row],[Unadj Total Value]]-Inventory[[#This Row],[24Final]])/Inventory[[#This Row],[24Final]]</f>
        <v>8.0000000000000004E-4</v>
      </c>
      <c r="BE370" s="30">
        <f>VLOOKUP(Inventory[[#This Row],[Nbhd]],Lookups!$M$3:$P$5,4,FALSE)</f>
        <v>0.99970000000000003</v>
      </c>
      <c r="BF370" s="30">
        <f>VLOOKUP(Inventory[[#This Row],[Qlty]],Lookups!$M$8:$P$22,4,FALSE)</f>
        <v>0.99819999999999998</v>
      </c>
      <c r="BG370" s="30">
        <f>VLOOKUP(Inventory[[#This Row],[Cnd]],Lookups!$R$8:$U$17,4,FALSE)</f>
        <v>0.997</v>
      </c>
      <c r="BH370" s="30">
        <f>VLOOKUP(Inventory[[#This Row],[LivArea Range]],Lookups!$R$25:$U$43,4,FALSE)</f>
        <v>1.0007999999999999</v>
      </c>
      <c r="BI370" s="30">
        <f>VLOOKUP(Inventory[[#This Row],[Decade]],Lookups!$M$24:$P$40,4,FALSE)</f>
        <v>1.0024</v>
      </c>
      <c r="BJ370" s="30">
        <f>Inventory[[#This Row],[Nbhd Adj]]*0.95</f>
        <v>0.94971499999999998</v>
      </c>
      <c r="BK370" s="30">
        <f>AVERAGE(Inventory[[#This Row],[Nbhd Adj]],Inventory[[#This Row],[Quality Adj]],Inventory[[#This Row],[Condition Adj]],Inventory[[#This Row],[Living Area Adj]],Inventory[[#This Row],[Decade Adj]])*0.95</f>
        <v>0.9496389999999999</v>
      </c>
      <c r="BL370" s="30">
        <f>ROUND((SUM(Inventory[[#This Row],[Mdl Qlty]:[Mdl Garage Area]])+Inventory[[#This Row],[Mdl Res Intercept]])*Inventory[[#This Row],[Res Adj ]],-2)</f>
        <v>293800</v>
      </c>
      <c r="BM370" s="30">
        <f>ROUND(Inventory[[#This Row],[25Det]]*Inventory[[#This Row],[Det/Nbhd Adj]],-2)</f>
        <v>0</v>
      </c>
      <c r="BN370" s="30">
        <f>Inventory[[#This Row],[Adjusted Res]]+Inventory[[#This Row],[Adj Det ]]</f>
        <v>293800</v>
      </c>
      <c r="BO370" s="30">
        <f>ROUND((Inventory[[#This Row],[Mdl Land Intercept]]+Inventory[[#This Row],[Mdl LnAcres]])*Inventory[[#This Row],[Det/Nbhd Adj]],-2)</f>
        <v>62500</v>
      </c>
      <c r="BP370" s="30">
        <f>Inventory[[#This Row],[Adjusted Impr Total]]+Inventory[[#This Row],[Adjusted Land Total]]</f>
        <v>356300</v>
      </c>
      <c r="BQ370" s="30">
        <f>IFERROR((Inventory[[#This Row],[Adjusted Impr Total]]-Inventory[[#This Row],[24Bldg]])/Inventory[[#This Row],[24Bldg]],0)</f>
        <v>-5.9839999999999997E-2</v>
      </c>
      <c r="BR370" s="43">
        <f>(Inventory[[#This Row],[Adjusted Land Total]]-Inventory[[#This Row],[24Lnd]])/Inventory[[#This Row],[24Lnd]]</f>
        <v>0</v>
      </c>
      <c r="BS370" s="43">
        <f>(Inventory[[#This Row],[Adjusted Total]]-Inventory[[#This Row],[24Final]])/Inventory[[#This Row],[24Final]]</f>
        <v>-4.9866666666666663E-2</v>
      </c>
    </row>
    <row r="371" spans="1:71">
      <c r="A371" s="30">
        <v>2025</v>
      </c>
      <c r="B371" s="31" t="s">
        <v>885</v>
      </c>
      <c r="C371" s="31">
        <f>LN(Inventory[[#This Row],[Acres]])</f>
        <v>-1.7147984280919266</v>
      </c>
      <c r="D371" s="30">
        <v>0.18</v>
      </c>
      <c r="E371" s="30">
        <v>7867</v>
      </c>
      <c r="F371" s="31" t="s">
        <v>505</v>
      </c>
      <c r="G371" s="31" t="s">
        <v>155</v>
      </c>
      <c r="H371" s="31" t="s">
        <v>5</v>
      </c>
      <c r="I371" s="31" t="s">
        <v>506</v>
      </c>
      <c r="J371" s="31" t="s">
        <v>507</v>
      </c>
      <c r="K371" s="31" t="s">
        <v>330</v>
      </c>
      <c r="L371" s="31" t="s">
        <v>21</v>
      </c>
      <c r="M371" s="31" t="s">
        <v>22</v>
      </c>
      <c r="N371" s="31">
        <v>10</v>
      </c>
      <c r="O371" s="31">
        <f>2024-Inventory[[#This Row],[YrBlt]]</f>
        <v>12</v>
      </c>
      <c r="P371" s="31">
        <f>2024-Inventory[[#This Row],[EffYr]]</f>
        <v>12</v>
      </c>
      <c r="Q371" s="30">
        <v>2012</v>
      </c>
      <c r="R371" s="30">
        <v>2012</v>
      </c>
      <c r="S371" s="30">
        <v>1521</v>
      </c>
      <c r="T371" s="32"/>
      <c r="U371" s="32"/>
      <c r="V371" s="32"/>
      <c r="W371" s="32"/>
      <c r="X371" s="32">
        <f>Inventory[[#This Row],[Bsmt Area]]-Inventory[[#This Row],[FnBsmt]]</f>
        <v>0</v>
      </c>
      <c r="Y371" s="32">
        <f>Inventory[[#This Row],[MainFn]]+Inventory[[#This Row],[UpprFn]]+Inventory[[#This Row],[AddFn]]+Inventory[[#This Row],[FnBsmt]]</f>
        <v>1521</v>
      </c>
      <c r="Z371" s="32">
        <v>2000</v>
      </c>
      <c r="AA371" s="31" t="s">
        <v>56</v>
      </c>
      <c r="AB371" s="32"/>
      <c r="AC371" s="38">
        <v>435</v>
      </c>
      <c r="AD371" s="32"/>
      <c r="AE371" s="32"/>
      <c r="AF371" s="32"/>
      <c r="AG371" s="32"/>
      <c r="AH371" s="32"/>
      <c r="AI371" s="30">
        <v>349845</v>
      </c>
      <c r="AJ371" s="30">
        <v>332353</v>
      </c>
      <c r="AK371" s="30">
        <v>0</v>
      </c>
      <c r="AL371" s="30">
        <v>0</v>
      </c>
      <c r="AM371" s="30">
        <v>62500</v>
      </c>
      <c r="AN371" s="30">
        <v>324100</v>
      </c>
      <c r="AO371" s="30">
        <v>386600</v>
      </c>
      <c r="AP371" s="30">
        <f>Lookups!$B$58*0.6</f>
        <v>132535.48800000001</v>
      </c>
      <c r="AQ371" s="30">
        <f>Lookups!$B$58*0.4</f>
        <v>88356.992000000013</v>
      </c>
      <c r="AR371" s="30">
        <f>Lookups!$B$59*Inventory[[#This Row],[LnAcres]]</f>
        <v>-22505.565020573864</v>
      </c>
      <c r="AS371" s="30">
        <f>VLOOKUP(Inventory[[#This Row],[Qlty]],Lookups!$A$66:$E$79,2,FALSE)</f>
        <v>32917.849192000001</v>
      </c>
      <c r="AT371" s="30">
        <f>VLOOKUP(Inventory[[#This Row],[Cnd]],Lookups!$A$80:$E$88,2,FALSE)</f>
        <v>50438.379078999998</v>
      </c>
      <c r="AU371" s="30">
        <f>Inventory[[#This Row],[EffAge]]*Lookups!$B$65</f>
        <v>-1304.8932</v>
      </c>
      <c r="AV371" s="30">
        <f>Inventory[[#This Row],[MainFn]]*Lookups!$B$90</f>
        <v>94926.187980000002</v>
      </c>
      <c r="AW371" s="30">
        <f>Inventory[[#This Row],[UpprFn]]*Lookups!$B$91</f>
        <v>0</v>
      </c>
      <c r="AX371" s="30">
        <f>Inventory[[#This Row],[Bsmt Area]]*Lookups!$B$95</f>
        <v>0</v>
      </c>
      <c r="AY371" s="30">
        <f>Inventory[[#This Row],[AttGar]]*Lookups!$B$93</f>
        <v>15355.948485000001</v>
      </c>
      <c r="AZ371" s="30">
        <f>ROUND(Inventory[[#This Row],[25Det]],-2)</f>
        <v>0</v>
      </c>
      <c r="BA371" s="30">
        <f>ROUND(SUM(Inventory[[#This Row],[Mdl Qlty]:[Mdl Garage Area]])+Inventory[[#This Row],[Mdl Res Intercept]],-2)</f>
        <v>324900</v>
      </c>
      <c r="BB371" s="30">
        <f>ROUND(Inventory[[#This Row],[Mdl Land Intercept]]+Inventory[[#This Row],[Mdl LnAcres]],-2)</f>
        <v>65900</v>
      </c>
      <c r="BC371" s="30">
        <f>Inventory[[#This Row],[Unadj Res Value]]+Inventory[[#This Row],[Unadj Det Value]]+Inventory[[#This Row],[Unadj Land Value]]</f>
        <v>390800</v>
      </c>
      <c r="BD371" s="30">
        <f>(Inventory[[#This Row],[Unadj Total Value]]-Inventory[[#This Row],[24Final]])/Inventory[[#This Row],[24Final]]</f>
        <v>1.0863942058975685E-2</v>
      </c>
      <c r="BE371" s="30">
        <f>VLOOKUP(Inventory[[#This Row],[Nbhd]],Lookups!$M$3:$P$5,4,FALSE)</f>
        <v>0.99970000000000003</v>
      </c>
      <c r="BF371" s="30">
        <f>VLOOKUP(Inventory[[#This Row],[Qlty]],Lookups!$M$8:$P$22,4,FALSE)</f>
        <v>1.0019</v>
      </c>
      <c r="BG371" s="30">
        <f>VLOOKUP(Inventory[[#This Row],[Cnd]],Lookups!$R$8:$U$17,4,FALSE)</f>
        <v>1.0007999999999999</v>
      </c>
      <c r="BH371" s="30">
        <f>VLOOKUP(Inventory[[#This Row],[LivArea Range]],Lookups!$R$25:$U$43,4,FALSE)</f>
        <v>1.0007999999999999</v>
      </c>
      <c r="BI371" s="30">
        <f>VLOOKUP(Inventory[[#This Row],[Decade]],Lookups!$M$24:$P$40,4,FALSE)</f>
        <v>1.0024</v>
      </c>
      <c r="BJ371" s="30">
        <f>Inventory[[#This Row],[Nbhd Adj]]*0.95</f>
        <v>0.94971499999999998</v>
      </c>
      <c r="BK371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371" s="30">
        <f>ROUND((SUM(Inventory[[#This Row],[Mdl Qlty]:[Mdl Garage Area]])+Inventory[[#This Row],[Mdl Res Intercept]])*Inventory[[#This Row],[Res Adj ]],-2)</f>
        <v>309000</v>
      </c>
      <c r="BM371" s="30">
        <f>ROUND(Inventory[[#This Row],[25Det]]*Inventory[[#This Row],[Det/Nbhd Adj]],-2)</f>
        <v>0</v>
      </c>
      <c r="BN371" s="30">
        <f>Inventory[[#This Row],[Adjusted Res]]+Inventory[[#This Row],[Adj Det ]]</f>
        <v>309000</v>
      </c>
      <c r="BO371" s="30">
        <f>ROUND((Inventory[[#This Row],[Mdl Land Intercept]]+Inventory[[#This Row],[Mdl LnAcres]])*Inventory[[#This Row],[Det/Nbhd Adj]],-2)</f>
        <v>62500</v>
      </c>
      <c r="BP371" s="30">
        <f>Inventory[[#This Row],[Adjusted Impr Total]]+Inventory[[#This Row],[Adjusted Land Total]]</f>
        <v>371500</v>
      </c>
      <c r="BQ371" s="30">
        <f>IFERROR((Inventory[[#This Row],[Adjusted Impr Total]]-Inventory[[#This Row],[24Bldg]])/Inventory[[#This Row],[24Bldg]],0)</f>
        <v>-4.6590558469608148E-2</v>
      </c>
      <c r="BR371" s="43">
        <f>(Inventory[[#This Row],[Adjusted Land Total]]-Inventory[[#This Row],[24Lnd]])/Inventory[[#This Row],[24Lnd]]</f>
        <v>0</v>
      </c>
      <c r="BS371" s="43">
        <f>(Inventory[[#This Row],[Adjusted Total]]-Inventory[[#This Row],[24Final]])/Inventory[[#This Row],[24Final]]</f>
        <v>-3.9058458354888775E-2</v>
      </c>
    </row>
    <row r="372" spans="1:71">
      <c r="A372" s="30">
        <v>2025</v>
      </c>
      <c r="B372" s="31" t="s">
        <v>886</v>
      </c>
      <c r="C372" s="31">
        <f>LN(Inventory[[#This Row],[Acres]])</f>
        <v>-1.7147984280919266</v>
      </c>
      <c r="D372" s="30">
        <v>0.18</v>
      </c>
      <c r="E372" s="30">
        <v>7738</v>
      </c>
      <c r="F372" s="31" t="s">
        <v>505</v>
      </c>
      <c r="G372" s="31" t="s">
        <v>155</v>
      </c>
      <c r="H372" s="31" t="s">
        <v>5</v>
      </c>
      <c r="I372" s="31" t="s">
        <v>506</v>
      </c>
      <c r="J372" s="31" t="s">
        <v>507</v>
      </c>
      <c r="K372" s="31" t="s">
        <v>330</v>
      </c>
      <c r="L372" s="31" t="s">
        <v>19</v>
      </c>
      <c r="M372" s="31" t="s">
        <v>22</v>
      </c>
      <c r="N372" s="31">
        <v>10</v>
      </c>
      <c r="O372" s="31">
        <f>2024-Inventory[[#This Row],[YrBlt]]</f>
        <v>12</v>
      </c>
      <c r="P372" s="31">
        <f>2024-Inventory[[#This Row],[EffYr]]</f>
        <v>12</v>
      </c>
      <c r="Q372" s="30">
        <v>2012</v>
      </c>
      <c r="R372" s="30">
        <v>2012</v>
      </c>
      <c r="S372" s="30">
        <v>1270</v>
      </c>
      <c r="T372" s="38">
        <v>1634</v>
      </c>
      <c r="U372" s="32"/>
      <c r="V372" s="32"/>
      <c r="W372" s="32"/>
      <c r="X372" s="32">
        <f>Inventory[[#This Row],[Bsmt Area]]-Inventory[[#This Row],[FnBsmt]]</f>
        <v>0</v>
      </c>
      <c r="Y372" s="32">
        <f>Inventory[[#This Row],[MainFn]]+Inventory[[#This Row],[UpprFn]]+Inventory[[#This Row],[AddFn]]+Inventory[[#This Row],[FnBsmt]]</f>
        <v>2904</v>
      </c>
      <c r="Z372" s="32">
        <v>3000</v>
      </c>
      <c r="AA372" s="31" t="s">
        <v>56</v>
      </c>
      <c r="AB372" s="38">
        <v>1</v>
      </c>
      <c r="AC372" s="38">
        <v>240</v>
      </c>
      <c r="AD372" s="38">
        <v>494</v>
      </c>
      <c r="AE372" s="32"/>
      <c r="AF372" s="32"/>
      <c r="AG372" s="32"/>
      <c r="AH372" s="32"/>
      <c r="AI372" s="30">
        <v>504186</v>
      </c>
      <c r="AJ372" s="30">
        <v>478977</v>
      </c>
      <c r="AK372" s="30">
        <v>0</v>
      </c>
      <c r="AL372" s="30">
        <v>0</v>
      </c>
      <c r="AM372" s="30">
        <v>62500</v>
      </c>
      <c r="AN372" s="30">
        <v>404700</v>
      </c>
      <c r="AO372" s="30">
        <v>467200</v>
      </c>
      <c r="AP372" s="30">
        <f>Lookups!$B$58*0.6</f>
        <v>132535.48800000001</v>
      </c>
      <c r="AQ372" s="30">
        <f>Lookups!$B$58*0.4</f>
        <v>88356.992000000013</v>
      </c>
      <c r="AR372" s="30">
        <f>Lookups!$B$59*Inventory[[#This Row],[LnAcres]]</f>
        <v>-22505.565020573864</v>
      </c>
      <c r="AS372" s="30">
        <f>VLOOKUP(Inventory[[#This Row],[Qlty]],Lookups!$A$66:$E$79,2,FALSE)</f>
        <v>37154.252388000001</v>
      </c>
      <c r="AT372" s="30">
        <f>VLOOKUP(Inventory[[#This Row],[Cnd]],Lookups!$A$80:$E$88,2,FALSE)</f>
        <v>50438.379078999998</v>
      </c>
      <c r="AU372" s="30">
        <f>Inventory[[#This Row],[EffAge]]*Lookups!$B$65</f>
        <v>-1304.8932</v>
      </c>
      <c r="AV372" s="30">
        <f>Inventory[[#This Row],[MainFn]]*Lookups!$B$90</f>
        <v>79261.1826</v>
      </c>
      <c r="AW372" s="30">
        <f>Inventory[[#This Row],[UpprFn]]*Lookups!$B$91</f>
        <v>97354.345822000003</v>
      </c>
      <c r="AX372" s="30">
        <f>Inventory[[#This Row],[Bsmt Area]]*Lookups!$B$95</f>
        <v>0</v>
      </c>
      <c r="AY372" s="30">
        <f>Inventory[[#This Row],[AttGar]]*Lookups!$B$93</f>
        <v>8472.247440000001</v>
      </c>
      <c r="AZ372" s="30">
        <f>ROUND(Inventory[[#This Row],[25Det]],-2)</f>
        <v>0</v>
      </c>
      <c r="BA372" s="30">
        <f>ROUND(SUM(Inventory[[#This Row],[Mdl Qlty]:[Mdl Garage Area]])+Inventory[[#This Row],[Mdl Res Intercept]],-2)</f>
        <v>403900</v>
      </c>
      <c r="BB372" s="30">
        <f>ROUND(Inventory[[#This Row],[Mdl Land Intercept]]+Inventory[[#This Row],[Mdl LnAcres]],-2)</f>
        <v>65900</v>
      </c>
      <c r="BC372" s="30">
        <f>Inventory[[#This Row],[Unadj Res Value]]+Inventory[[#This Row],[Unadj Det Value]]+Inventory[[#This Row],[Unadj Land Value]]</f>
        <v>469800</v>
      </c>
      <c r="BD372" s="30">
        <f>(Inventory[[#This Row],[Unadj Total Value]]-Inventory[[#This Row],[24Final]])/Inventory[[#This Row],[24Final]]</f>
        <v>5.5650684931506846E-3</v>
      </c>
      <c r="BE372" s="30">
        <f>VLOOKUP(Inventory[[#This Row],[Nbhd]],Lookups!$M$3:$P$5,4,FALSE)</f>
        <v>0.99970000000000003</v>
      </c>
      <c r="BF372" s="30">
        <f>VLOOKUP(Inventory[[#This Row],[Qlty]],Lookups!$M$8:$P$22,4,FALSE)</f>
        <v>0.99819999999999998</v>
      </c>
      <c r="BG372" s="30">
        <f>VLOOKUP(Inventory[[#This Row],[Cnd]],Lookups!$R$8:$U$17,4,FALSE)</f>
        <v>1.0007999999999999</v>
      </c>
      <c r="BH372" s="30">
        <f>VLOOKUP(Inventory[[#This Row],[LivArea Range]],Lookups!$R$25:$U$43,4,FALSE)</f>
        <v>1.0099</v>
      </c>
      <c r="BI372" s="30">
        <f>VLOOKUP(Inventory[[#This Row],[Decade]],Lookups!$M$24:$P$40,4,FALSE)</f>
        <v>1.0024</v>
      </c>
      <c r="BJ372" s="30">
        <f>Inventory[[#This Row],[Nbhd Adj]]*0.95</f>
        <v>0.94971499999999998</v>
      </c>
      <c r="BK372" s="30">
        <f>AVERAGE(Inventory[[#This Row],[Nbhd Adj]],Inventory[[#This Row],[Quality Adj]],Inventory[[#This Row],[Condition Adj]],Inventory[[#This Row],[Living Area Adj]],Inventory[[#This Row],[Decade Adj]])*0.95</f>
        <v>0.95208999999999977</v>
      </c>
      <c r="BL372" s="30">
        <f>ROUND((SUM(Inventory[[#This Row],[Mdl Qlty]:[Mdl Garage Area]])+Inventory[[#This Row],[Mdl Res Intercept]])*Inventory[[#This Row],[Res Adj ]],-2)</f>
        <v>384600</v>
      </c>
      <c r="BM372" s="30">
        <f>ROUND(Inventory[[#This Row],[25Det]]*Inventory[[#This Row],[Det/Nbhd Adj]],-2)</f>
        <v>0</v>
      </c>
      <c r="BN372" s="30">
        <f>Inventory[[#This Row],[Adjusted Res]]+Inventory[[#This Row],[Adj Det ]]</f>
        <v>384600</v>
      </c>
      <c r="BO372" s="30">
        <f>ROUND((Inventory[[#This Row],[Mdl Land Intercept]]+Inventory[[#This Row],[Mdl LnAcres]])*Inventory[[#This Row],[Det/Nbhd Adj]],-2)</f>
        <v>62500</v>
      </c>
      <c r="BP372" s="30">
        <f>Inventory[[#This Row],[Adjusted Impr Total]]+Inventory[[#This Row],[Adjusted Land Total]]</f>
        <v>447100</v>
      </c>
      <c r="BQ372" s="30">
        <f>IFERROR((Inventory[[#This Row],[Adjusted Impr Total]]-Inventory[[#This Row],[24Bldg]])/Inventory[[#This Row],[24Bldg]],0)</f>
        <v>-4.9666419570051891E-2</v>
      </c>
      <c r="BR372" s="43">
        <f>(Inventory[[#This Row],[Adjusted Land Total]]-Inventory[[#This Row],[24Lnd]])/Inventory[[#This Row],[24Lnd]]</f>
        <v>0</v>
      </c>
      <c r="BS372" s="43">
        <f>(Inventory[[#This Row],[Adjusted Total]]-Inventory[[#This Row],[24Final]])/Inventory[[#This Row],[24Final]]</f>
        <v>-4.3022260273972601E-2</v>
      </c>
    </row>
    <row r="373" spans="1:71">
      <c r="A373" s="30">
        <v>2025</v>
      </c>
      <c r="B373" s="31" t="s">
        <v>887</v>
      </c>
      <c r="C373" s="31">
        <f>LN(Inventory[[#This Row],[Acres]])</f>
        <v>-1.7147984280919266</v>
      </c>
      <c r="D373" s="30">
        <v>0.18</v>
      </c>
      <c r="E373" s="30">
        <v>7738</v>
      </c>
      <c r="F373" s="31" t="s">
        <v>505</v>
      </c>
      <c r="G373" s="31" t="s">
        <v>155</v>
      </c>
      <c r="H373" s="31" t="s">
        <v>5</v>
      </c>
      <c r="I373" s="31" t="s">
        <v>506</v>
      </c>
      <c r="J373" s="31" t="s">
        <v>507</v>
      </c>
      <c r="K373" s="31" t="s">
        <v>193</v>
      </c>
      <c r="L373" s="31" t="s">
        <v>19</v>
      </c>
      <c r="M373" s="31" t="s">
        <v>22</v>
      </c>
      <c r="N373" s="31">
        <v>10</v>
      </c>
      <c r="O373" s="31">
        <f>2024-Inventory[[#This Row],[YrBlt]]</f>
        <v>12</v>
      </c>
      <c r="P373" s="31">
        <f>2024-Inventory[[#This Row],[EffYr]]</f>
        <v>12</v>
      </c>
      <c r="Q373" s="30">
        <v>2012</v>
      </c>
      <c r="R373" s="30">
        <v>2012</v>
      </c>
      <c r="S373" s="30">
        <v>1384</v>
      </c>
      <c r="T373" s="32"/>
      <c r="U373" s="32"/>
      <c r="V373" s="32"/>
      <c r="W373" s="32"/>
      <c r="X373" s="32">
        <f>Inventory[[#This Row],[Bsmt Area]]-Inventory[[#This Row],[FnBsmt]]</f>
        <v>0</v>
      </c>
      <c r="Y373" s="32">
        <f>Inventory[[#This Row],[MainFn]]+Inventory[[#This Row],[UpprFn]]+Inventory[[#This Row],[AddFn]]+Inventory[[#This Row],[FnBsmt]]</f>
        <v>1384</v>
      </c>
      <c r="Z373" s="32">
        <v>1500</v>
      </c>
      <c r="AA373" s="31" t="s">
        <v>56</v>
      </c>
      <c r="AB373" s="38">
        <v>1</v>
      </c>
      <c r="AC373" s="38">
        <v>408</v>
      </c>
      <c r="AD373" s="32"/>
      <c r="AE373" s="32"/>
      <c r="AF373" s="32"/>
      <c r="AG373" s="32"/>
      <c r="AH373" s="32"/>
      <c r="AI373" s="30">
        <v>280380</v>
      </c>
      <c r="AJ373" s="30">
        <v>266361</v>
      </c>
      <c r="AK373" s="30">
        <v>0</v>
      </c>
      <c r="AL373" s="30">
        <v>0</v>
      </c>
      <c r="AM373" s="30">
        <v>62500</v>
      </c>
      <c r="AN373" s="30">
        <v>312800</v>
      </c>
      <c r="AO373" s="30">
        <v>375300</v>
      </c>
      <c r="AP373" s="30">
        <f>Lookups!$B$58*0.6</f>
        <v>132535.48800000001</v>
      </c>
      <c r="AQ373" s="30">
        <f>Lookups!$B$58*0.4</f>
        <v>88356.992000000013</v>
      </c>
      <c r="AR373" s="30">
        <f>Lookups!$B$59*Inventory[[#This Row],[LnAcres]]</f>
        <v>-22505.565020573864</v>
      </c>
      <c r="AS373" s="30">
        <f>VLOOKUP(Inventory[[#This Row],[Qlty]],Lookups!$A$66:$E$79,2,FALSE)</f>
        <v>37154.252388000001</v>
      </c>
      <c r="AT373" s="30">
        <f>VLOOKUP(Inventory[[#This Row],[Cnd]],Lookups!$A$80:$E$88,2,FALSE)</f>
        <v>50438.379078999998</v>
      </c>
      <c r="AU373" s="30">
        <f>Inventory[[#This Row],[EffAge]]*Lookups!$B$65</f>
        <v>-1304.8932</v>
      </c>
      <c r="AV373" s="30">
        <f>Inventory[[#This Row],[MainFn]]*Lookups!$B$90</f>
        <v>86375.965920000002</v>
      </c>
      <c r="AW373" s="30">
        <f>Inventory[[#This Row],[UpprFn]]*Lookups!$B$91</f>
        <v>0</v>
      </c>
      <c r="AX373" s="30">
        <f>Inventory[[#This Row],[Bsmt Area]]*Lookups!$B$95</f>
        <v>0</v>
      </c>
      <c r="AY373" s="30">
        <f>Inventory[[#This Row],[AttGar]]*Lookups!$B$93</f>
        <v>14402.820648000001</v>
      </c>
      <c r="AZ373" s="30">
        <f>ROUND(Inventory[[#This Row],[25Det]],-2)</f>
        <v>0</v>
      </c>
      <c r="BA373" s="30">
        <f>ROUND(SUM(Inventory[[#This Row],[Mdl Qlty]:[Mdl Garage Area]])+Inventory[[#This Row],[Mdl Res Intercept]],-2)</f>
        <v>319600</v>
      </c>
      <c r="BB373" s="30">
        <f>ROUND(Inventory[[#This Row],[Mdl Land Intercept]]+Inventory[[#This Row],[Mdl LnAcres]],-2)</f>
        <v>65900</v>
      </c>
      <c r="BC373" s="30">
        <f>Inventory[[#This Row],[Unadj Res Value]]+Inventory[[#This Row],[Unadj Det Value]]+Inventory[[#This Row],[Unadj Land Value]]</f>
        <v>385500</v>
      </c>
      <c r="BD373" s="30">
        <f>(Inventory[[#This Row],[Unadj Total Value]]-Inventory[[#This Row],[24Final]])/Inventory[[#This Row],[24Final]]</f>
        <v>2.7178257394084731E-2</v>
      </c>
      <c r="BE373" s="30">
        <f>VLOOKUP(Inventory[[#This Row],[Nbhd]],Lookups!$M$3:$P$5,4,FALSE)</f>
        <v>0.99970000000000003</v>
      </c>
      <c r="BF373" s="30">
        <f>VLOOKUP(Inventory[[#This Row],[Qlty]],Lookups!$M$8:$P$22,4,FALSE)</f>
        <v>0.99819999999999998</v>
      </c>
      <c r="BG373" s="30">
        <f>VLOOKUP(Inventory[[#This Row],[Cnd]],Lookups!$R$8:$U$17,4,FALSE)</f>
        <v>1.0007999999999999</v>
      </c>
      <c r="BH373" s="30">
        <f>VLOOKUP(Inventory[[#This Row],[LivArea Range]],Lookups!$R$25:$U$43,4,FALSE)</f>
        <v>0.99519999999999997</v>
      </c>
      <c r="BI373" s="30">
        <f>VLOOKUP(Inventory[[#This Row],[Decade]],Lookups!$M$24:$P$40,4,FALSE)</f>
        <v>1.0024</v>
      </c>
      <c r="BJ373" s="30">
        <f>Inventory[[#This Row],[Nbhd Adj]]*0.95</f>
        <v>0.94971499999999998</v>
      </c>
      <c r="BK373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373" s="30">
        <f>ROUND((SUM(Inventory[[#This Row],[Mdl Qlty]:[Mdl Garage Area]])+Inventory[[#This Row],[Mdl Res Intercept]])*Inventory[[#This Row],[Res Adj ]],-2)</f>
        <v>303400</v>
      </c>
      <c r="BM373" s="30">
        <f>ROUND(Inventory[[#This Row],[25Det]]*Inventory[[#This Row],[Det/Nbhd Adj]],-2)</f>
        <v>0</v>
      </c>
      <c r="BN373" s="30">
        <f>Inventory[[#This Row],[Adjusted Res]]+Inventory[[#This Row],[Adj Det ]]</f>
        <v>303400</v>
      </c>
      <c r="BO373" s="30">
        <f>ROUND((Inventory[[#This Row],[Mdl Land Intercept]]+Inventory[[#This Row],[Mdl LnAcres]])*Inventory[[#This Row],[Det/Nbhd Adj]],-2)</f>
        <v>62500</v>
      </c>
      <c r="BP373" s="30">
        <f>Inventory[[#This Row],[Adjusted Impr Total]]+Inventory[[#This Row],[Adjusted Land Total]]</f>
        <v>365900</v>
      </c>
      <c r="BQ373" s="30">
        <f>IFERROR((Inventory[[#This Row],[Adjusted Impr Total]]-Inventory[[#This Row],[24Bldg]])/Inventory[[#This Row],[24Bldg]],0)</f>
        <v>-3.0051150895140665E-2</v>
      </c>
      <c r="BR373" s="43">
        <f>(Inventory[[#This Row],[Adjusted Land Total]]-Inventory[[#This Row],[24Lnd]])/Inventory[[#This Row],[24Lnd]]</f>
        <v>0</v>
      </c>
      <c r="BS373" s="43">
        <f>(Inventory[[#This Row],[Adjusted Total]]-Inventory[[#This Row],[24Final]])/Inventory[[#This Row],[24Final]]</f>
        <v>-2.5046629363176125E-2</v>
      </c>
    </row>
    <row r="374" spans="1:71">
      <c r="A374" s="30">
        <v>2025</v>
      </c>
      <c r="B374" s="31" t="s">
        <v>888</v>
      </c>
      <c r="C374" s="31">
        <f>LN(Inventory[[#This Row],[Acres]])</f>
        <v>-1.7147984280919266</v>
      </c>
      <c r="D374" s="30">
        <v>0.18</v>
      </c>
      <c r="E374" s="30">
        <v>7738</v>
      </c>
      <c r="F374" s="31" t="s">
        <v>505</v>
      </c>
      <c r="G374" s="31" t="s">
        <v>155</v>
      </c>
      <c r="H374" s="31" t="s">
        <v>5</v>
      </c>
      <c r="I374" s="31" t="s">
        <v>506</v>
      </c>
      <c r="J374" s="31" t="s">
        <v>507</v>
      </c>
      <c r="K374" s="31" t="s">
        <v>193</v>
      </c>
      <c r="L374" s="31" t="s">
        <v>21</v>
      </c>
      <c r="M374" s="31" t="s">
        <v>22</v>
      </c>
      <c r="N374" s="31">
        <v>10</v>
      </c>
      <c r="O374" s="31">
        <f>2024-Inventory[[#This Row],[YrBlt]]</f>
        <v>12</v>
      </c>
      <c r="P374" s="31">
        <f>2024-Inventory[[#This Row],[EffYr]]</f>
        <v>12</v>
      </c>
      <c r="Q374" s="30">
        <v>2012</v>
      </c>
      <c r="R374" s="30">
        <v>2012</v>
      </c>
      <c r="S374" s="30">
        <v>1906</v>
      </c>
      <c r="T374" s="32"/>
      <c r="U374" s="32"/>
      <c r="V374" s="32"/>
      <c r="W374" s="32"/>
      <c r="X374" s="32">
        <f>Inventory[[#This Row],[Bsmt Area]]-Inventory[[#This Row],[FnBsmt]]</f>
        <v>0</v>
      </c>
      <c r="Y374" s="32">
        <f>Inventory[[#This Row],[MainFn]]+Inventory[[#This Row],[UpprFn]]+Inventory[[#This Row],[AddFn]]+Inventory[[#This Row],[FnBsmt]]</f>
        <v>1906</v>
      </c>
      <c r="Z374" s="32">
        <v>2000</v>
      </c>
      <c r="AA374" s="31" t="s">
        <v>56</v>
      </c>
      <c r="AB374" s="38">
        <v>1</v>
      </c>
      <c r="AC374" s="38">
        <v>501</v>
      </c>
      <c r="AD374" s="32"/>
      <c r="AE374" s="32"/>
      <c r="AF374" s="32"/>
      <c r="AG374" s="32"/>
      <c r="AH374" s="32"/>
      <c r="AI374" s="30">
        <v>426047</v>
      </c>
      <c r="AJ374" s="30">
        <v>404745</v>
      </c>
      <c r="AK374" s="30">
        <v>0</v>
      </c>
      <c r="AL374" s="30">
        <v>0</v>
      </c>
      <c r="AM374" s="30">
        <v>62500</v>
      </c>
      <c r="AN374" s="30">
        <v>345300</v>
      </c>
      <c r="AO374" s="30">
        <v>407800</v>
      </c>
      <c r="AP374" s="30">
        <f>Lookups!$B$58*0.6</f>
        <v>132535.48800000001</v>
      </c>
      <c r="AQ374" s="30">
        <f>Lookups!$B$58*0.4</f>
        <v>88356.992000000013</v>
      </c>
      <c r="AR374" s="30">
        <f>Lookups!$B$59*Inventory[[#This Row],[LnAcres]]</f>
        <v>-22505.565020573864</v>
      </c>
      <c r="AS374" s="30">
        <f>VLOOKUP(Inventory[[#This Row],[Qlty]],Lookups!$A$66:$E$79,2,FALSE)</f>
        <v>32917.849192000001</v>
      </c>
      <c r="AT374" s="30">
        <f>VLOOKUP(Inventory[[#This Row],[Cnd]],Lookups!$A$80:$E$88,2,FALSE)</f>
        <v>50438.379078999998</v>
      </c>
      <c r="AU374" s="30">
        <f>Inventory[[#This Row],[EffAge]]*Lookups!$B$65</f>
        <v>-1304.8932</v>
      </c>
      <c r="AV374" s="30">
        <f>Inventory[[#This Row],[MainFn]]*Lookups!$B$90</f>
        <v>118954.18428</v>
      </c>
      <c r="AW374" s="30">
        <f>Inventory[[#This Row],[UpprFn]]*Lookups!$B$91</f>
        <v>0</v>
      </c>
      <c r="AX374" s="30">
        <f>Inventory[[#This Row],[Bsmt Area]]*Lookups!$B$95</f>
        <v>0</v>
      </c>
      <c r="AY374" s="30">
        <f>Inventory[[#This Row],[AttGar]]*Lookups!$B$93</f>
        <v>17685.816531</v>
      </c>
      <c r="AZ374" s="30">
        <f>ROUND(Inventory[[#This Row],[25Det]],-2)</f>
        <v>0</v>
      </c>
      <c r="BA374" s="30">
        <f>ROUND(SUM(Inventory[[#This Row],[Mdl Qlty]:[Mdl Garage Area]])+Inventory[[#This Row],[Mdl Res Intercept]],-2)</f>
        <v>351200</v>
      </c>
      <c r="BB374" s="30">
        <f>ROUND(Inventory[[#This Row],[Mdl Land Intercept]]+Inventory[[#This Row],[Mdl LnAcres]],-2)</f>
        <v>65900</v>
      </c>
      <c r="BC374" s="30">
        <f>Inventory[[#This Row],[Unadj Res Value]]+Inventory[[#This Row],[Unadj Det Value]]+Inventory[[#This Row],[Unadj Land Value]]</f>
        <v>417100</v>
      </c>
      <c r="BD374" s="30">
        <f>(Inventory[[#This Row],[Unadj Total Value]]-Inventory[[#This Row],[24Final]])/Inventory[[#This Row],[24Final]]</f>
        <v>2.2805296714075527E-2</v>
      </c>
      <c r="BE374" s="30">
        <f>VLOOKUP(Inventory[[#This Row],[Nbhd]],Lookups!$M$3:$P$5,4,FALSE)</f>
        <v>0.99970000000000003</v>
      </c>
      <c r="BF374" s="30">
        <f>VLOOKUP(Inventory[[#This Row],[Qlty]],Lookups!$M$8:$P$22,4,FALSE)</f>
        <v>1.0019</v>
      </c>
      <c r="BG374" s="30">
        <f>VLOOKUP(Inventory[[#This Row],[Cnd]],Lookups!$R$8:$U$17,4,FALSE)</f>
        <v>1.0007999999999999</v>
      </c>
      <c r="BH374" s="30">
        <f>VLOOKUP(Inventory[[#This Row],[LivArea Range]],Lookups!$R$25:$U$43,4,FALSE)</f>
        <v>1.0007999999999999</v>
      </c>
      <c r="BI374" s="30">
        <f>VLOOKUP(Inventory[[#This Row],[Decade]],Lookups!$M$24:$P$40,4,FALSE)</f>
        <v>1.0024</v>
      </c>
      <c r="BJ374" s="30">
        <f>Inventory[[#This Row],[Nbhd Adj]]*0.95</f>
        <v>0.94971499999999998</v>
      </c>
      <c r="BK374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374" s="30">
        <f>ROUND((SUM(Inventory[[#This Row],[Mdl Qlty]:[Mdl Garage Area]])+Inventory[[#This Row],[Mdl Res Intercept]])*Inventory[[#This Row],[Res Adj ]],-2)</f>
        <v>334000</v>
      </c>
      <c r="BM374" s="30">
        <f>ROUND(Inventory[[#This Row],[25Det]]*Inventory[[#This Row],[Det/Nbhd Adj]],-2)</f>
        <v>0</v>
      </c>
      <c r="BN374" s="30">
        <f>Inventory[[#This Row],[Adjusted Res]]+Inventory[[#This Row],[Adj Det ]]</f>
        <v>334000</v>
      </c>
      <c r="BO374" s="30">
        <f>ROUND((Inventory[[#This Row],[Mdl Land Intercept]]+Inventory[[#This Row],[Mdl LnAcres]])*Inventory[[#This Row],[Det/Nbhd Adj]],-2)</f>
        <v>62500</v>
      </c>
      <c r="BP374" s="30">
        <f>Inventory[[#This Row],[Adjusted Impr Total]]+Inventory[[#This Row],[Adjusted Land Total]]</f>
        <v>396500</v>
      </c>
      <c r="BQ374" s="30">
        <f>IFERROR((Inventory[[#This Row],[Adjusted Impr Total]]-Inventory[[#This Row],[24Bldg]])/Inventory[[#This Row],[24Bldg]],0)</f>
        <v>-3.2725166521865044E-2</v>
      </c>
      <c r="BR374" s="43">
        <f>(Inventory[[#This Row],[Adjusted Land Total]]-Inventory[[#This Row],[24Lnd]])/Inventory[[#This Row],[24Lnd]]</f>
        <v>0</v>
      </c>
      <c r="BS374" s="43">
        <f>(Inventory[[#This Row],[Adjusted Total]]-Inventory[[#This Row],[24Final]])/Inventory[[#This Row],[24Final]]</f>
        <v>-2.7709661598822953E-2</v>
      </c>
    </row>
    <row r="375" spans="1:71">
      <c r="A375" s="30">
        <v>2025</v>
      </c>
      <c r="B375" s="31" t="s">
        <v>889</v>
      </c>
      <c r="C375" s="31">
        <f>LN(Inventory[[#This Row],[Acres]])</f>
        <v>-1.7147984280919266</v>
      </c>
      <c r="D375" s="30">
        <v>0.18</v>
      </c>
      <c r="E375" s="38">
        <v>7738</v>
      </c>
      <c r="F375" s="31" t="s">
        <v>505</v>
      </c>
      <c r="G375" s="31" t="s">
        <v>155</v>
      </c>
      <c r="H375" s="31" t="s">
        <v>5</v>
      </c>
      <c r="I375" s="31" t="s">
        <v>506</v>
      </c>
      <c r="J375" s="31" t="s">
        <v>507</v>
      </c>
      <c r="K375" s="31" t="s">
        <v>330</v>
      </c>
      <c r="L375" s="31" t="s">
        <v>21</v>
      </c>
      <c r="M375" s="31" t="s">
        <v>22</v>
      </c>
      <c r="N375" s="31">
        <v>10</v>
      </c>
      <c r="O375" s="31">
        <f>2024-Inventory[[#This Row],[YrBlt]]</f>
        <v>12</v>
      </c>
      <c r="P375" s="31">
        <f>2024-Inventory[[#This Row],[EffYr]]</f>
        <v>12</v>
      </c>
      <c r="Q375" s="30">
        <v>2012</v>
      </c>
      <c r="R375" s="30">
        <v>2012</v>
      </c>
      <c r="S375" s="30">
        <v>1975</v>
      </c>
      <c r="T375" s="32"/>
      <c r="U375" s="32"/>
      <c r="V375" s="32"/>
      <c r="W375" s="32"/>
      <c r="X375" s="32">
        <f>Inventory[[#This Row],[Bsmt Area]]-Inventory[[#This Row],[FnBsmt]]</f>
        <v>0</v>
      </c>
      <c r="Y375" s="32">
        <f>Inventory[[#This Row],[MainFn]]+Inventory[[#This Row],[UpprFn]]+Inventory[[#This Row],[AddFn]]+Inventory[[#This Row],[FnBsmt]]</f>
        <v>1975</v>
      </c>
      <c r="Z375" s="32">
        <v>2000</v>
      </c>
      <c r="AA375" s="31" t="s">
        <v>56</v>
      </c>
      <c r="AB375" s="32"/>
      <c r="AC375" s="30">
        <v>432</v>
      </c>
      <c r="AD375" s="32"/>
      <c r="AE375" s="32"/>
      <c r="AF375" s="32"/>
      <c r="AG375" s="32"/>
      <c r="AH375" s="32"/>
      <c r="AI375" s="30">
        <v>421107</v>
      </c>
      <c r="AJ375" s="30">
        <v>400052</v>
      </c>
      <c r="AK375" s="30">
        <v>0</v>
      </c>
      <c r="AL375" s="30">
        <v>0</v>
      </c>
      <c r="AM375" s="30">
        <v>62500</v>
      </c>
      <c r="AN375" s="30">
        <v>345500</v>
      </c>
      <c r="AO375" s="30">
        <v>408000</v>
      </c>
      <c r="AP375" s="30">
        <f>Lookups!$B$58*0.6</f>
        <v>132535.48800000001</v>
      </c>
      <c r="AQ375" s="30">
        <f>Lookups!$B$58*0.4</f>
        <v>88356.992000000013</v>
      </c>
      <c r="AR375" s="30">
        <f>Lookups!$B$59*Inventory[[#This Row],[LnAcres]]</f>
        <v>-22505.565020573864</v>
      </c>
      <c r="AS375" s="30">
        <f>VLOOKUP(Inventory[[#This Row],[Qlty]],Lookups!$A$66:$E$79,2,FALSE)</f>
        <v>32917.849192000001</v>
      </c>
      <c r="AT375" s="30">
        <f>VLOOKUP(Inventory[[#This Row],[Cnd]],Lookups!$A$80:$E$88,2,FALSE)</f>
        <v>50438.379078999998</v>
      </c>
      <c r="AU375" s="30">
        <f>Inventory[[#This Row],[EffAge]]*Lookups!$B$65</f>
        <v>-1304.8932</v>
      </c>
      <c r="AV375" s="30">
        <f>Inventory[[#This Row],[MainFn]]*Lookups!$B$90</f>
        <v>123260.50050000001</v>
      </c>
      <c r="AW375" s="30">
        <f>Inventory[[#This Row],[UpprFn]]*Lookups!$B$91</f>
        <v>0</v>
      </c>
      <c r="AX375" s="30">
        <f>Inventory[[#This Row],[Bsmt Area]]*Lookups!$B$95</f>
        <v>0</v>
      </c>
      <c r="AY375" s="30">
        <f>Inventory[[#This Row],[AttGar]]*Lookups!$B$93</f>
        <v>15250.045392</v>
      </c>
      <c r="AZ375" s="30">
        <f>ROUND(Inventory[[#This Row],[25Det]],-2)</f>
        <v>0</v>
      </c>
      <c r="BA375" s="30">
        <f>ROUND(SUM(Inventory[[#This Row],[Mdl Qlty]:[Mdl Garage Area]])+Inventory[[#This Row],[Mdl Res Intercept]],-2)</f>
        <v>353100</v>
      </c>
      <c r="BB375" s="30">
        <f>ROUND(Inventory[[#This Row],[Mdl Land Intercept]]+Inventory[[#This Row],[Mdl LnAcres]],-2)</f>
        <v>65900</v>
      </c>
      <c r="BC375" s="30">
        <f>Inventory[[#This Row],[Unadj Res Value]]+Inventory[[#This Row],[Unadj Det Value]]+Inventory[[#This Row],[Unadj Land Value]]</f>
        <v>419000</v>
      </c>
      <c r="BD375" s="30">
        <f>(Inventory[[#This Row],[Unadj Total Value]]-Inventory[[#This Row],[24Final]])/Inventory[[#This Row],[24Final]]</f>
        <v>2.6960784313725492E-2</v>
      </c>
      <c r="BE375" s="30">
        <f>VLOOKUP(Inventory[[#This Row],[Nbhd]],Lookups!$M$3:$P$5,4,FALSE)</f>
        <v>0.99970000000000003</v>
      </c>
      <c r="BF375" s="30">
        <f>VLOOKUP(Inventory[[#This Row],[Qlty]],Lookups!$M$8:$P$22,4,FALSE)</f>
        <v>1.0019</v>
      </c>
      <c r="BG375" s="30">
        <f>VLOOKUP(Inventory[[#This Row],[Cnd]],Lookups!$R$8:$U$17,4,FALSE)</f>
        <v>1.0007999999999999</v>
      </c>
      <c r="BH375" s="30">
        <f>VLOOKUP(Inventory[[#This Row],[LivArea Range]],Lookups!$R$25:$U$43,4,FALSE)</f>
        <v>1.0007999999999999</v>
      </c>
      <c r="BI375" s="30">
        <f>VLOOKUP(Inventory[[#This Row],[Decade]],Lookups!$M$24:$P$40,4,FALSE)</f>
        <v>1.0024</v>
      </c>
      <c r="BJ375" s="30">
        <f>Inventory[[#This Row],[Nbhd Adj]]*0.95</f>
        <v>0.94971499999999998</v>
      </c>
      <c r="BK375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375" s="30">
        <f>ROUND((SUM(Inventory[[#This Row],[Mdl Qlty]:[Mdl Garage Area]])+Inventory[[#This Row],[Mdl Res Intercept]])*Inventory[[#This Row],[Res Adj ]],-2)</f>
        <v>335800</v>
      </c>
      <c r="BM375" s="30">
        <f>ROUND(Inventory[[#This Row],[25Det]]*Inventory[[#This Row],[Det/Nbhd Adj]],-2)</f>
        <v>0</v>
      </c>
      <c r="BN375" s="30">
        <f>Inventory[[#This Row],[Adjusted Res]]+Inventory[[#This Row],[Adj Det ]]</f>
        <v>335800</v>
      </c>
      <c r="BO375" s="30">
        <f>ROUND((Inventory[[#This Row],[Mdl Land Intercept]]+Inventory[[#This Row],[Mdl LnAcres]])*Inventory[[#This Row],[Det/Nbhd Adj]],-2)</f>
        <v>62500</v>
      </c>
      <c r="BP375" s="30">
        <f>Inventory[[#This Row],[Adjusted Impr Total]]+Inventory[[#This Row],[Adjusted Land Total]]</f>
        <v>398300</v>
      </c>
      <c r="BQ375" s="30">
        <f>IFERROR((Inventory[[#This Row],[Adjusted Impr Total]]-Inventory[[#This Row],[24Bldg]])/Inventory[[#This Row],[24Bldg]],0)</f>
        <v>-2.8075253256150505E-2</v>
      </c>
      <c r="BR375" s="43">
        <f>(Inventory[[#This Row],[Adjusted Land Total]]-Inventory[[#This Row],[24Lnd]])/Inventory[[#This Row],[24Lnd]]</f>
        <v>0</v>
      </c>
      <c r="BS375" s="43">
        <f>(Inventory[[#This Row],[Adjusted Total]]-Inventory[[#This Row],[24Final]])/Inventory[[#This Row],[24Final]]</f>
        <v>-2.3774509803921567E-2</v>
      </c>
    </row>
    <row r="376" spans="1:71">
      <c r="A376" s="30">
        <v>2025</v>
      </c>
      <c r="B376" s="31" t="s">
        <v>890</v>
      </c>
      <c r="C376" s="31">
        <f>LN(Inventory[[#This Row],[Acres]])</f>
        <v>-1.7147984280919266</v>
      </c>
      <c r="D376" s="30">
        <v>0.18</v>
      </c>
      <c r="E376" s="30">
        <v>7867</v>
      </c>
      <c r="F376" s="31" t="s">
        <v>505</v>
      </c>
      <c r="G376" s="31" t="s">
        <v>155</v>
      </c>
      <c r="H376" s="31" t="s">
        <v>5</v>
      </c>
      <c r="I376" s="31" t="s">
        <v>506</v>
      </c>
      <c r="J376" s="31" t="s">
        <v>507</v>
      </c>
      <c r="K376" s="31" t="s">
        <v>193</v>
      </c>
      <c r="L376" s="31" t="s">
        <v>21</v>
      </c>
      <c r="M376" s="31" t="s">
        <v>20</v>
      </c>
      <c r="N376" s="31">
        <v>10</v>
      </c>
      <c r="O376" s="31">
        <f>2024-Inventory[[#This Row],[YrBlt]]</f>
        <v>12</v>
      </c>
      <c r="P376" s="31">
        <f>2024-Inventory[[#This Row],[EffYr]]</f>
        <v>12</v>
      </c>
      <c r="Q376" s="30">
        <v>2012</v>
      </c>
      <c r="R376" s="30">
        <v>2012</v>
      </c>
      <c r="S376" s="30">
        <v>2138</v>
      </c>
      <c r="T376" s="32"/>
      <c r="U376" s="32"/>
      <c r="V376" s="32"/>
      <c r="W376" s="32"/>
      <c r="X376" s="32">
        <f>Inventory[[#This Row],[Bsmt Area]]-Inventory[[#This Row],[FnBsmt]]</f>
        <v>0</v>
      </c>
      <c r="Y376" s="32">
        <f>Inventory[[#This Row],[MainFn]]+Inventory[[#This Row],[UpprFn]]+Inventory[[#This Row],[AddFn]]+Inventory[[#This Row],[FnBsmt]]</f>
        <v>2138</v>
      </c>
      <c r="Z376" s="32">
        <v>2500</v>
      </c>
      <c r="AA376" s="31" t="s">
        <v>56</v>
      </c>
      <c r="AB376" s="37"/>
      <c r="AC376" s="30">
        <v>706</v>
      </c>
      <c r="AD376" s="32"/>
      <c r="AE376" s="32"/>
      <c r="AF376" s="32"/>
      <c r="AG376" s="32"/>
      <c r="AH376" s="32"/>
      <c r="AI376" s="30">
        <v>459760</v>
      </c>
      <c r="AJ376" s="30">
        <v>432174</v>
      </c>
      <c r="AK376" s="30">
        <v>0</v>
      </c>
      <c r="AL376" s="30">
        <v>0</v>
      </c>
      <c r="AM376" s="30">
        <v>62500</v>
      </c>
      <c r="AN376" s="30">
        <v>344600</v>
      </c>
      <c r="AO376" s="30">
        <v>407100</v>
      </c>
      <c r="AP376" s="30">
        <f>Lookups!$B$58*0.6</f>
        <v>132535.48800000001</v>
      </c>
      <c r="AQ376" s="30">
        <f>Lookups!$B$58*0.4</f>
        <v>88356.992000000013</v>
      </c>
      <c r="AR376" s="30">
        <f>Lookups!$B$59*Inventory[[#This Row],[LnAcres]]</f>
        <v>-22505.565020573864</v>
      </c>
      <c r="AS376" s="30">
        <f>VLOOKUP(Inventory[[#This Row],[Qlty]],Lookups!$A$66:$E$79,2,FALSE)</f>
        <v>32917.849192000001</v>
      </c>
      <c r="AT376" s="30">
        <f>VLOOKUP(Inventory[[#This Row],[Cnd]],Lookups!$A$80:$E$88,2,FALSE)</f>
        <v>30300.329274</v>
      </c>
      <c r="AU376" s="30">
        <f>Inventory[[#This Row],[EffAge]]*Lookups!$B$65</f>
        <v>-1304.8932</v>
      </c>
      <c r="AV376" s="30">
        <f>Inventory[[#This Row],[MainFn]]*Lookups!$B$90</f>
        <v>133433.39244</v>
      </c>
      <c r="AW376" s="30">
        <f>Inventory[[#This Row],[UpprFn]]*Lookups!$B$91</f>
        <v>0</v>
      </c>
      <c r="AX376" s="30">
        <f>Inventory[[#This Row],[Bsmt Area]]*Lookups!$B$95</f>
        <v>0</v>
      </c>
      <c r="AY376" s="30">
        <f>Inventory[[#This Row],[AttGar]]*Lookups!$B$93</f>
        <v>24922.527886</v>
      </c>
      <c r="AZ376" s="30">
        <f>ROUND(Inventory[[#This Row],[25Det]],-2)</f>
        <v>0</v>
      </c>
      <c r="BA376" s="30">
        <f>ROUND(SUM(Inventory[[#This Row],[Mdl Qlty]:[Mdl Garage Area]])+Inventory[[#This Row],[Mdl Res Intercept]],-2)</f>
        <v>352800</v>
      </c>
      <c r="BB376" s="30">
        <f>ROUND(Inventory[[#This Row],[Mdl Land Intercept]]+Inventory[[#This Row],[Mdl LnAcres]],-2)</f>
        <v>65900</v>
      </c>
      <c r="BC376" s="30">
        <f>Inventory[[#This Row],[Unadj Res Value]]+Inventory[[#This Row],[Unadj Det Value]]+Inventory[[#This Row],[Unadj Land Value]]</f>
        <v>418700</v>
      </c>
      <c r="BD376" s="30">
        <f>(Inventory[[#This Row],[Unadj Total Value]]-Inventory[[#This Row],[24Final]])/Inventory[[#This Row],[24Final]]</f>
        <v>2.8494227462539917E-2</v>
      </c>
      <c r="BE376" s="30">
        <f>VLOOKUP(Inventory[[#This Row],[Nbhd]],Lookups!$M$3:$P$5,4,FALSE)</f>
        <v>0.99970000000000003</v>
      </c>
      <c r="BF376" s="30">
        <f>VLOOKUP(Inventory[[#This Row],[Qlty]],Lookups!$M$8:$P$22,4,FALSE)</f>
        <v>1.0019</v>
      </c>
      <c r="BG376" s="30">
        <f>VLOOKUP(Inventory[[#This Row],[Cnd]],Lookups!$R$8:$U$17,4,FALSE)</f>
        <v>0.997</v>
      </c>
      <c r="BH376" s="30">
        <f>VLOOKUP(Inventory[[#This Row],[LivArea Range]],Lookups!$R$25:$U$43,4,FALSE)</f>
        <v>1.0008999999999999</v>
      </c>
      <c r="BI376" s="30">
        <f>VLOOKUP(Inventory[[#This Row],[Decade]],Lookups!$M$24:$P$40,4,FALSE)</f>
        <v>1.0024</v>
      </c>
      <c r="BJ376" s="30">
        <f>Inventory[[#This Row],[Nbhd Adj]]*0.95</f>
        <v>0.94971499999999998</v>
      </c>
      <c r="BK376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376" s="30">
        <f>ROUND((SUM(Inventory[[#This Row],[Mdl Qlty]:[Mdl Garage Area]])+Inventory[[#This Row],[Mdl Res Intercept]])*Inventory[[#This Row],[Res Adj ]],-2)</f>
        <v>335300</v>
      </c>
      <c r="BM376" s="30">
        <f>ROUND(Inventory[[#This Row],[25Det]]*Inventory[[#This Row],[Det/Nbhd Adj]],-2)</f>
        <v>0</v>
      </c>
      <c r="BN376" s="30">
        <f>Inventory[[#This Row],[Adjusted Res]]+Inventory[[#This Row],[Adj Det ]]</f>
        <v>335300</v>
      </c>
      <c r="BO376" s="30">
        <f>ROUND((Inventory[[#This Row],[Mdl Land Intercept]]+Inventory[[#This Row],[Mdl LnAcres]])*Inventory[[#This Row],[Det/Nbhd Adj]],-2)</f>
        <v>62500</v>
      </c>
      <c r="BP376" s="30">
        <f>Inventory[[#This Row],[Adjusted Impr Total]]+Inventory[[#This Row],[Adjusted Land Total]]</f>
        <v>397800</v>
      </c>
      <c r="BQ376" s="30">
        <f>IFERROR((Inventory[[#This Row],[Adjusted Impr Total]]-Inventory[[#This Row],[24Bldg]])/Inventory[[#This Row],[24Bldg]],0)</f>
        <v>-2.6987811955890888E-2</v>
      </c>
      <c r="BR376" s="43">
        <f>(Inventory[[#This Row],[Adjusted Land Total]]-Inventory[[#This Row],[24Lnd]])/Inventory[[#This Row],[24Lnd]]</f>
        <v>0</v>
      </c>
      <c r="BS376" s="43">
        <f>(Inventory[[#This Row],[Adjusted Total]]-Inventory[[#This Row],[24Final]])/Inventory[[#This Row],[24Final]]</f>
        <v>-2.2844509948415623E-2</v>
      </c>
    </row>
    <row r="377" spans="1:71">
      <c r="A377" s="30">
        <v>2025</v>
      </c>
      <c r="B377" s="31" t="s">
        <v>891</v>
      </c>
      <c r="C377" s="31">
        <f>LN(Inventory[[#This Row],[Acres]])</f>
        <v>-1.4271163556401458</v>
      </c>
      <c r="D377" s="30">
        <v>0.24</v>
      </c>
      <c r="E377" s="38">
        <v>10548</v>
      </c>
      <c r="F377" s="31" t="s">
        <v>505</v>
      </c>
      <c r="G377" s="31" t="s">
        <v>155</v>
      </c>
      <c r="H377" s="31" t="s">
        <v>5</v>
      </c>
      <c r="I377" s="31" t="s">
        <v>506</v>
      </c>
      <c r="J377" s="31" t="s">
        <v>507</v>
      </c>
      <c r="K377" s="31" t="s">
        <v>193</v>
      </c>
      <c r="L377" s="31" t="s">
        <v>21</v>
      </c>
      <c r="M377" s="31" t="s">
        <v>22</v>
      </c>
      <c r="N377" s="31">
        <v>10</v>
      </c>
      <c r="O377" s="31">
        <f>2024-Inventory[[#This Row],[YrBlt]]</f>
        <v>12</v>
      </c>
      <c r="P377" s="31">
        <f>2024-Inventory[[#This Row],[EffYr]]</f>
        <v>12</v>
      </c>
      <c r="Q377" s="30">
        <v>2012</v>
      </c>
      <c r="R377" s="30">
        <v>2012</v>
      </c>
      <c r="S377" s="30">
        <v>2144</v>
      </c>
      <c r="T377" s="37"/>
      <c r="U377" s="32"/>
      <c r="V377" s="32"/>
      <c r="W377" s="32"/>
      <c r="X377" s="32">
        <f>Inventory[[#This Row],[Bsmt Area]]-Inventory[[#This Row],[FnBsmt]]</f>
        <v>0</v>
      </c>
      <c r="Y377" s="32">
        <f>Inventory[[#This Row],[MainFn]]+Inventory[[#This Row],[UpprFn]]+Inventory[[#This Row],[AddFn]]+Inventory[[#This Row],[FnBsmt]]</f>
        <v>2144</v>
      </c>
      <c r="Z377" s="32">
        <v>2500</v>
      </c>
      <c r="AA377" s="31" t="s">
        <v>57</v>
      </c>
      <c r="AB377" s="38">
        <v>1</v>
      </c>
      <c r="AC377" s="30">
        <v>700</v>
      </c>
      <c r="AD377" s="32"/>
      <c r="AE377" s="32"/>
      <c r="AF377" s="32"/>
      <c r="AG377" s="32"/>
      <c r="AH377" s="32"/>
      <c r="AI377" s="30">
        <v>458259</v>
      </c>
      <c r="AJ377" s="30">
        <v>435346</v>
      </c>
      <c r="AK377" s="30">
        <v>0</v>
      </c>
      <c r="AL377" s="30">
        <v>0</v>
      </c>
      <c r="AM377" s="30">
        <v>66500</v>
      </c>
      <c r="AN377" s="30">
        <v>349900</v>
      </c>
      <c r="AO377" s="30">
        <v>416400</v>
      </c>
      <c r="AP377" s="30">
        <f>Lookups!$B$58*0.6</f>
        <v>132535.48800000001</v>
      </c>
      <c r="AQ377" s="30">
        <f>Lookups!$B$58*0.4</f>
        <v>88356.992000000013</v>
      </c>
      <c r="AR377" s="30">
        <f>Lookups!$B$59*Inventory[[#This Row],[LnAcres]]</f>
        <v>-18729.933155771436</v>
      </c>
      <c r="AS377" s="30">
        <f>VLOOKUP(Inventory[[#This Row],[Qlty]],Lookups!$A$66:$E$79,2,FALSE)</f>
        <v>32917.849192000001</v>
      </c>
      <c r="AT377" s="30">
        <f>VLOOKUP(Inventory[[#This Row],[Cnd]],Lookups!$A$80:$E$88,2,FALSE)</f>
        <v>50438.379078999998</v>
      </c>
      <c r="AU377" s="30">
        <f>Inventory[[#This Row],[EffAge]]*Lookups!$B$65</f>
        <v>-1304.8932</v>
      </c>
      <c r="AV377" s="30">
        <f>Inventory[[#This Row],[MainFn]]*Lookups!$B$90</f>
        <v>133807.85472</v>
      </c>
      <c r="AW377" s="30">
        <f>Inventory[[#This Row],[UpprFn]]*Lookups!$B$91</f>
        <v>0</v>
      </c>
      <c r="AX377" s="30">
        <f>Inventory[[#This Row],[Bsmt Area]]*Lookups!$B$95</f>
        <v>0</v>
      </c>
      <c r="AY377" s="30">
        <f>Inventory[[#This Row],[AttGar]]*Lookups!$B$93</f>
        <v>24710.721700000002</v>
      </c>
      <c r="AZ377" s="30">
        <f>ROUND(Inventory[[#This Row],[25Det]],-2)</f>
        <v>0</v>
      </c>
      <c r="BA377" s="30">
        <f>ROUND(SUM(Inventory[[#This Row],[Mdl Qlty]:[Mdl Garage Area]])+Inventory[[#This Row],[Mdl Res Intercept]],-2)</f>
        <v>373100</v>
      </c>
      <c r="BB377" s="30">
        <f>ROUND(Inventory[[#This Row],[Mdl Land Intercept]]+Inventory[[#This Row],[Mdl LnAcres]],-2)</f>
        <v>69600</v>
      </c>
      <c r="BC377" s="30">
        <f>Inventory[[#This Row],[Unadj Res Value]]+Inventory[[#This Row],[Unadj Det Value]]+Inventory[[#This Row],[Unadj Land Value]]</f>
        <v>442700</v>
      </c>
      <c r="BD377" s="30">
        <f>(Inventory[[#This Row],[Unadj Total Value]]-Inventory[[#This Row],[24Final]])/Inventory[[#This Row],[24Final]]</f>
        <v>6.3160422670509128E-2</v>
      </c>
      <c r="BE377" s="30">
        <f>VLOOKUP(Inventory[[#This Row],[Nbhd]],Lookups!$M$3:$P$5,4,FALSE)</f>
        <v>0.99970000000000003</v>
      </c>
      <c r="BF377" s="30">
        <f>VLOOKUP(Inventory[[#This Row],[Qlty]],Lookups!$M$8:$P$22,4,FALSE)</f>
        <v>1.0019</v>
      </c>
      <c r="BG377" s="30">
        <f>VLOOKUP(Inventory[[#This Row],[Cnd]],Lookups!$R$8:$U$17,4,FALSE)</f>
        <v>1.0007999999999999</v>
      </c>
      <c r="BH377" s="30">
        <f>VLOOKUP(Inventory[[#This Row],[LivArea Range]],Lookups!$R$25:$U$43,4,FALSE)</f>
        <v>1.0008999999999999</v>
      </c>
      <c r="BI377" s="30">
        <f>VLOOKUP(Inventory[[#This Row],[Decade]],Lookups!$M$24:$P$40,4,FALSE)</f>
        <v>1.0024</v>
      </c>
      <c r="BJ377" s="30">
        <f>Inventory[[#This Row],[Nbhd Adj]]*0.95</f>
        <v>0.94971499999999998</v>
      </c>
      <c r="BK377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377" s="30">
        <f>ROUND((SUM(Inventory[[#This Row],[Mdl Qlty]:[Mdl Garage Area]])+Inventory[[#This Row],[Mdl Res Intercept]])*Inventory[[#This Row],[Res Adj ]],-2)</f>
        <v>354900</v>
      </c>
      <c r="BM377" s="30">
        <f>ROUND(Inventory[[#This Row],[25Det]]*Inventory[[#This Row],[Det/Nbhd Adj]],-2)</f>
        <v>0</v>
      </c>
      <c r="BN377" s="30">
        <f>Inventory[[#This Row],[Adjusted Res]]+Inventory[[#This Row],[Adj Det ]]</f>
        <v>354900</v>
      </c>
      <c r="BO377" s="30">
        <f>ROUND((Inventory[[#This Row],[Mdl Land Intercept]]+Inventory[[#This Row],[Mdl LnAcres]])*Inventory[[#This Row],[Det/Nbhd Adj]],-2)</f>
        <v>66100</v>
      </c>
      <c r="BP377" s="30">
        <f>Inventory[[#This Row],[Adjusted Impr Total]]+Inventory[[#This Row],[Adjusted Land Total]]</f>
        <v>421000</v>
      </c>
      <c r="BQ377" s="30">
        <f>IFERROR((Inventory[[#This Row],[Adjusted Impr Total]]-Inventory[[#This Row],[24Bldg]])/Inventory[[#This Row],[24Bldg]],0)</f>
        <v>1.4289797084881395E-2</v>
      </c>
      <c r="BR377" s="43">
        <f>(Inventory[[#This Row],[Adjusted Land Total]]-Inventory[[#This Row],[24Lnd]])/Inventory[[#This Row],[24Lnd]]</f>
        <v>-6.0150375939849628E-3</v>
      </c>
      <c r="BS377" s="43">
        <f>(Inventory[[#This Row],[Adjusted Total]]-Inventory[[#This Row],[24Final]])/Inventory[[#This Row],[24Final]]</f>
        <v>1.1047070124879923E-2</v>
      </c>
    </row>
    <row r="378" spans="1:71">
      <c r="A378" s="30">
        <v>2025</v>
      </c>
      <c r="B378" s="31" t="s">
        <v>892</v>
      </c>
      <c r="C378" s="31">
        <f>LN(Inventory[[#This Row],[Acres]])</f>
        <v>-1.4271163556401458</v>
      </c>
      <c r="D378" s="30">
        <v>0.24</v>
      </c>
      <c r="E378" s="38">
        <v>10540</v>
      </c>
      <c r="F378" s="31" t="s">
        <v>505</v>
      </c>
      <c r="G378" s="31" t="s">
        <v>155</v>
      </c>
      <c r="H378" s="31" t="s">
        <v>5</v>
      </c>
      <c r="I378" s="31" t="s">
        <v>506</v>
      </c>
      <c r="J378" s="31" t="s">
        <v>507</v>
      </c>
      <c r="K378" s="31" t="s">
        <v>193</v>
      </c>
      <c r="L378" s="31" t="s">
        <v>19</v>
      </c>
      <c r="M378" s="31" t="s">
        <v>18</v>
      </c>
      <c r="N378" s="31">
        <v>10</v>
      </c>
      <c r="O378" s="31">
        <f>2024-Inventory[[#This Row],[YrBlt]]</f>
        <v>12</v>
      </c>
      <c r="P378" s="31">
        <f>2024-Inventory[[#This Row],[EffYr]]</f>
        <v>12</v>
      </c>
      <c r="Q378" s="30">
        <v>2012</v>
      </c>
      <c r="R378" s="30">
        <v>2012</v>
      </c>
      <c r="S378" s="30">
        <v>1948</v>
      </c>
      <c r="T378" s="32"/>
      <c r="U378" s="32"/>
      <c r="V378" s="32"/>
      <c r="W378" s="32"/>
      <c r="X378" s="32">
        <f>Inventory[[#This Row],[Bsmt Area]]-Inventory[[#This Row],[FnBsmt]]</f>
        <v>0</v>
      </c>
      <c r="Y378" s="32">
        <f>Inventory[[#This Row],[MainFn]]+Inventory[[#This Row],[UpprFn]]+Inventory[[#This Row],[AddFn]]+Inventory[[#This Row],[FnBsmt]]</f>
        <v>1948</v>
      </c>
      <c r="Z378" s="32">
        <v>2000</v>
      </c>
      <c r="AA378" s="31" t="s">
        <v>56</v>
      </c>
      <c r="AB378" s="32"/>
      <c r="AC378" s="37"/>
      <c r="AD378" s="32"/>
      <c r="AE378" s="32"/>
      <c r="AF378" s="32"/>
      <c r="AG378" s="32"/>
      <c r="AH378" s="32"/>
      <c r="AI378" s="30">
        <v>353598</v>
      </c>
      <c r="AJ378" s="30">
        <v>332382</v>
      </c>
      <c r="AK378" s="30">
        <v>35523</v>
      </c>
      <c r="AL378" s="30">
        <v>0</v>
      </c>
      <c r="AM378" s="30">
        <v>66500</v>
      </c>
      <c r="AN378" s="30">
        <v>355800</v>
      </c>
      <c r="AO378" s="30">
        <v>422300</v>
      </c>
      <c r="AP378" s="30">
        <f>Lookups!$B$58*0.6</f>
        <v>132535.48800000001</v>
      </c>
      <c r="AQ378" s="30">
        <f>Lookups!$B$58*0.4</f>
        <v>88356.992000000013</v>
      </c>
      <c r="AR378" s="30">
        <f>Lookups!$B$59*Inventory[[#This Row],[LnAcres]]</f>
        <v>-18729.933155771436</v>
      </c>
      <c r="AS378" s="30">
        <f>VLOOKUP(Inventory[[#This Row],[Qlty]],Lookups!$A$66:$E$79,2,FALSE)</f>
        <v>37154.252388000001</v>
      </c>
      <c r="AT378" s="30">
        <f>VLOOKUP(Inventory[[#This Row],[Cnd]],Lookups!$A$80:$E$88,2,FALSE)</f>
        <v>17761.121909000001</v>
      </c>
      <c r="AU378" s="30">
        <f>Inventory[[#This Row],[EffAge]]*Lookups!$B$65</f>
        <v>-1304.8932</v>
      </c>
      <c r="AV378" s="30">
        <f>Inventory[[#This Row],[MainFn]]*Lookups!$B$90</f>
        <v>121575.42024000001</v>
      </c>
      <c r="AW378" s="30">
        <f>Inventory[[#This Row],[UpprFn]]*Lookups!$B$91</f>
        <v>0</v>
      </c>
      <c r="AX378" s="30">
        <f>Inventory[[#This Row],[Bsmt Area]]*Lookups!$B$95</f>
        <v>0</v>
      </c>
      <c r="AY378" s="30">
        <f>Inventory[[#This Row],[AttGar]]*Lookups!$B$93</f>
        <v>0</v>
      </c>
      <c r="AZ378" s="30">
        <f>ROUND(Inventory[[#This Row],[25Det]],-2)</f>
        <v>35500</v>
      </c>
      <c r="BA378" s="30">
        <f>ROUND(SUM(Inventory[[#This Row],[Mdl Qlty]:[Mdl Garage Area]])+Inventory[[#This Row],[Mdl Res Intercept]],-2)</f>
        <v>307700</v>
      </c>
      <c r="BB378" s="30">
        <f>ROUND(Inventory[[#This Row],[Mdl Land Intercept]]+Inventory[[#This Row],[Mdl LnAcres]],-2)</f>
        <v>69600</v>
      </c>
      <c r="BC378" s="30">
        <f>Inventory[[#This Row],[Unadj Res Value]]+Inventory[[#This Row],[Unadj Det Value]]+Inventory[[#This Row],[Unadj Land Value]]</f>
        <v>412800</v>
      </c>
      <c r="BD378" s="30">
        <f>(Inventory[[#This Row],[Unadj Total Value]]-Inventory[[#This Row],[24Final]])/Inventory[[#This Row],[24Final]]</f>
        <v>-2.2495856026521429E-2</v>
      </c>
      <c r="BE378" s="30">
        <f>VLOOKUP(Inventory[[#This Row],[Nbhd]],Lookups!$M$3:$P$5,4,FALSE)</f>
        <v>0.99970000000000003</v>
      </c>
      <c r="BF378" s="30">
        <f>VLOOKUP(Inventory[[#This Row],[Qlty]],Lookups!$M$8:$P$22,4,FALSE)</f>
        <v>0.99819999999999998</v>
      </c>
      <c r="BG378" s="30">
        <f>VLOOKUP(Inventory[[#This Row],[Cnd]],Lookups!$R$8:$U$17,4,FALSE)</f>
        <v>0.99680000000000002</v>
      </c>
      <c r="BH378" s="30">
        <f>VLOOKUP(Inventory[[#This Row],[LivArea Range]],Lookups!$R$25:$U$43,4,FALSE)</f>
        <v>1.0007999999999999</v>
      </c>
      <c r="BI378" s="30">
        <f>VLOOKUP(Inventory[[#This Row],[Decade]],Lookups!$M$24:$P$40,4,FALSE)</f>
        <v>1.0024</v>
      </c>
      <c r="BJ378" s="30">
        <f>Inventory[[#This Row],[Nbhd Adj]]*0.95</f>
        <v>0.94971499999999998</v>
      </c>
      <c r="BK378" s="30">
        <f>AVERAGE(Inventory[[#This Row],[Nbhd Adj]],Inventory[[#This Row],[Quality Adj]],Inventory[[#This Row],[Condition Adj]],Inventory[[#This Row],[Living Area Adj]],Inventory[[#This Row],[Decade Adj]])*0.95</f>
        <v>0.94960099999999992</v>
      </c>
      <c r="BL378" s="30">
        <f>ROUND((SUM(Inventory[[#This Row],[Mdl Qlty]:[Mdl Garage Area]])+Inventory[[#This Row],[Mdl Res Intercept]])*Inventory[[#This Row],[Res Adj ]],-2)</f>
        <v>292200</v>
      </c>
      <c r="BM378" s="30">
        <f>ROUND(Inventory[[#This Row],[25Det]]*Inventory[[#This Row],[Det/Nbhd Adj]],-2)</f>
        <v>33700</v>
      </c>
      <c r="BN378" s="30">
        <f>Inventory[[#This Row],[Adjusted Res]]+Inventory[[#This Row],[Adj Det ]]</f>
        <v>325900</v>
      </c>
      <c r="BO378" s="30">
        <f>ROUND((Inventory[[#This Row],[Mdl Land Intercept]]+Inventory[[#This Row],[Mdl LnAcres]])*Inventory[[#This Row],[Det/Nbhd Adj]],-2)</f>
        <v>66100</v>
      </c>
      <c r="BP378" s="30">
        <f>Inventory[[#This Row],[Adjusted Impr Total]]+Inventory[[#This Row],[Adjusted Land Total]]</f>
        <v>392000</v>
      </c>
      <c r="BQ378" s="30">
        <f>IFERROR((Inventory[[#This Row],[Adjusted Impr Total]]-Inventory[[#This Row],[24Bldg]])/Inventory[[#This Row],[24Bldg]],0)</f>
        <v>-8.4035975267003932E-2</v>
      </c>
      <c r="BR378" s="43">
        <f>(Inventory[[#This Row],[Adjusted Land Total]]-Inventory[[#This Row],[24Lnd]])/Inventory[[#This Row],[24Lnd]]</f>
        <v>-6.0150375939849628E-3</v>
      </c>
      <c r="BS378" s="43">
        <f>(Inventory[[#This Row],[Adjusted Total]]-Inventory[[#This Row],[24Final]])/Inventory[[#This Row],[24Final]]</f>
        <v>-7.1749940800378872E-2</v>
      </c>
    </row>
    <row r="379" spans="1:71">
      <c r="A379" s="30">
        <v>2025</v>
      </c>
      <c r="B379" s="31" t="s">
        <v>893</v>
      </c>
      <c r="C379" s="31">
        <f>LN(Inventory[[#This Row],[Acres]])</f>
        <v>-1.8971199848858813</v>
      </c>
      <c r="D379" s="30">
        <v>0.15</v>
      </c>
      <c r="E379" s="30">
        <v>6528</v>
      </c>
      <c r="F379" s="31" t="s">
        <v>505</v>
      </c>
      <c r="G379" s="31" t="s">
        <v>155</v>
      </c>
      <c r="H379" s="31" t="s">
        <v>5</v>
      </c>
      <c r="I379" s="31" t="s">
        <v>506</v>
      </c>
      <c r="J379" s="31" t="s">
        <v>507</v>
      </c>
      <c r="K379" s="31" t="s">
        <v>157</v>
      </c>
      <c r="L379" s="31" t="s">
        <v>19</v>
      </c>
      <c r="M379" s="31" t="s">
        <v>22</v>
      </c>
      <c r="N379" s="31">
        <v>10</v>
      </c>
      <c r="O379" s="31">
        <f>2024-Inventory[[#This Row],[YrBlt]]</f>
        <v>13</v>
      </c>
      <c r="P379" s="31">
        <f>2024-Inventory[[#This Row],[EffYr]]</f>
        <v>13</v>
      </c>
      <c r="Q379" s="30">
        <v>2011</v>
      </c>
      <c r="R379" s="30">
        <v>2011</v>
      </c>
      <c r="S379" s="30">
        <v>1368</v>
      </c>
      <c r="T379" s="37"/>
      <c r="U379" s="32"/>
      <c r="V379" s="32"/>
      <c r="W379" s="32"/>
      <c r="X379" s="32">
        <f>Inventory[[#This Row],[Bsmt Area]]-Inventory[[#This Row],[FnBsmt]]</f>
        <v>0</v>
      </c>
      <c r="Y379" s="32">
        <f>Inventory[[#This Row],[MainFn]]+Inventory[[#This Row],[UpprFn]]+Inventory[[#This Row],[AddFn]]+Inventory[[#This Row],[FnBsmt]]</f>
        <v>1368</v>
      </c>
      <c r="Z379" s="32">
        <v>1500</v>
      </c>
      <c r="AA379" s="31" t="s">
        <v>57</v>
      </c>
      <c r="AB379" s="38">
        <v>1</v>
      </c>
      <c r="AC379" s="38">
        <v>424</v>
      </c>
      <c r="AD379" s="32"/>
      <c r="AE379" s="32"/>
      <c r="AF379" s="32"/>
      <c r="AG379" s="32"/>
      <c r="AH379" s="32"/>
      <c r="AI379" s="30">
        <v>278595</v>
      </c>
      <c r="AJ379" s="30">
        <v>264665</v>
      </c>
      <c r="AK379" s="30">
        <v>0</v>
      </c>
      <c r="AL379" s="30">
        <v>0</v>
      </c>
      <c r="AM379" s="30">
        <v>59900</v>
      </c>
      <c r="AN379" s="30">
        <v>311800</v>
      </c>
      <c r="AO379" s="30">
        <v>371700</v>
      </c>
      <c r="AP379" s="30">
        <f>Lookups!$B$58*0.6</f>
        <v>132535.48800000001</v>
      </c>
      <c r="AQ379" s="30">
        <f>Lookups!$B$58*0.4</f>
        <v>88356.992000000013</v>
      </c>
      <c r="AR379" s="30">
        <f>Lookups!$B$59*Inventory[[#This Row],[LnAcres]]</f>
        <v>-24898.411657157456</v>
      </c>
      <c r="AS379" s="30">
        <f>VLOOKUP(Inventory[[#This Row],[Qlty]],Lookups!$A$66:$E$79,2,FALSE)</f>
        <v>37154.252388000001</v>
      </c>
      <c r="AT379" s="30">
        <f>VLOOKUP(Inventory[[#This Row],[Cnd]],Lookups!$A$80:$E$88,2,FALSE)</f>
        <v>50438.379078999998</v>
      </c>
      <c r="AU379" s="30">
        <f>Inventory[[#This Row],[EffAge]]*Lookups!$B$65</f>
        <v>-1413.6342999999999</v>
      </c>
      <c r="AV379" s="30">
        <f>Inventory[[#This Row],[MainFn]]*Lookups!$B$90</f>
        <v>85377.399839999998</v>
      </c>
      <c r="AW379" s="30">
        <f>Inventory[[#This Row],[UpprFn]]*Lookups!$B$91</f>
        <v>0</v>
      </c>
      <c r="AX379" s="30">
        <f>Inventory[[#This Row],[Bsmt Area]]*Lookups!$B$95</f>
        <v>0</v>
      </c>
      <c r="AY379" s="30">
        <f>Inventory[[#This Row],[AttGar]]*Lookups!$B$93</f>
        <v>14967.637144</v>
      </c>
      <c r="AZ379" s="30">
        <f>ROUND(Inventory[[#This Row],[25Det]],-2)</f>
        <v>0</v>
      </c>
      <c r="BA379" s="30">
        <f>ROUND(SUM(Inventory[[#This Row],[Mdl Qlty]:[Mdl Garage Area]])+Inventory[[#This Row],[Mdl Res Intercept]],-2)</f>
        <v>319100</v>
      </c>
      <c r="BB379" s="30">
        <f>ROUND(Inventory[[#This Row],[Mdl Land Intercept]]+Inventory[[#This Row],[Mdl LnAcres]],-2)</f>
        <v>63500</v>
      </c>
      <c r="BC379" s="30">
        <f>Inventory[[#This Row],[Unadj Res Value]]+Inventory[[#This Row],[Unadj Det Value]]+Inventory[[#This Row],[Unadj Land Value]]</f>
        <v>382600</v>
      </c>
      <c r="BD379" s="30">
        <f>(Inventory[[#This Row],[Unadj Total Value]]-Inventory[[#This Row],[24Final]])/Inventory[[#This Row],[24Final]]</f>
        <v>2.9324724239978478E-2</v>
      </c>
      <c r="BE379" s="30">
        <f>VLOOKUP(Inventory[[#This Row],[Nbhd]],Lookups!$M$3:$P$5,4,FALSE)</f>
        <v>0.99970000000000003</v>
      </c>
      <c r="BF379" s="30">
        <f>VLOOKUP(Inventory[[#This Row],[Qlty]],Lookups!$M$8:$P$22,4,FALSE)</f>
        <v>0.99819999999999998</v>
      </c>
      <c r="BG379" s="30">
        <f>VLOOKUP(Inventory[[#This Row],[Cnd]],Lookups!$R$8:$U$17,4,FALSE)</f>
        <v>1.0007999999999999</v>
      </c>
      <c r="BH379" s="30">
        <f>VLOOKUP(Inventory[[#This Row],[LivArea Range]],Lookups!$R$25:$U$43,4,FALSE)</f>
        <v>0.99519999999999997</v>
      </c>
      <c r="BI379" s="30">
        <f>VLOOKUP(Inventory[[#This Row],[Decade]],Lookups!$M$24:$P$40,4,FALSE)</f>
        <v>1.0024</v>
      </c>
      <c r="BJ379" s="30">
        <f>Inventory[[#This Row],[Nbhd Adj]]*0.95</f>
        <v>0.94971499999999998</v>
      </c>
      <c r="BK379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379" s="30">
        <f>ROUND((SUM(Inventory[[#This Row],[Mdl Qlty]:[Mdl Garage Area]])+Inventory[[#This Row],[Mdl Res Intercept]])*Inventory[[#This Row],[Res Adj ]],-2)</f>
        <v>302900</v>
      </c>
      <c r="BM379" s="30">
        <f>ROUND(Inventory[[#This Row],[25Det]]*Inventory[[#This Row],[Det/Nbhd Adj]],-2)</f>
        <v>0</v>
      </c>
      <c r="BN379" s="30">
        <f>Inventory[[#This Row],[Adjusted Res]]+Inventory[[#This Row],[Adj Det ]]</f>
        <v>302900</v>
      </c>
      <c r="BO379" s="30">
        <f>ROUND((Inventory[[#This Row],[Mdl Land Intercept]]+Inventory[[#This Row],[Mdl LnAcres]])*Inventory[[#This Row],[Det/Nbhd Adj]],-2)</f>
        <v>60300</v>
      </c>
      <c r="BP379" s="30">
        <f>Inventory[[#This Row],[Adjusted Impr Total]]+Inventory[[#This Row],[Adjusted Land Total]]</f>
        <v>363200</v>
      </c>
      <c r="BQ379" s="30">
        <f>IFERROR((Inventory[[#This Row],[Adjusted Impr Total]]-Inventory[[#This Row],[24Bldg]])/Inventory[[#This Row],[24Bldg]],0)</f>
        <v>-2.8543938422065426E-2</v>
      </c>
      <c r="BR379" s="43">
        <f>(Inventory[[#This Row],[Adjusted Land Total]]-Inventory[[#This Row],[24Lnd]])/Inventory[[#This Row],[24Lnd]]</f>
        <v>6.6777963272120202E-3</v>
      </c>
      <c r="BS379" s="43">
        <f>(Inventory[[#This Row],[Adjusted Total]]-Inventory[[#This Row],[24Final]])/Inventory[[#This Row],[24Final]]</f>
        <v>-2.2867904223836426E-2</v>
      </c>
    </row>
    <row r="380" spans="1:71">
      <c r="A380" s="30">
        <v>2025</v>
      </c>
      <c r="B380" s="31" t="s">
        <v>894</v>
      </c>
      <c r="C380" s="31">
        <f>LN(Inventory[[#This Row],[Acres]])</f>
        <v>-1.8325814637483102</v>
      </c>
      <c r="D380" s="30">
        <v>0.16</v>
      </c>
      <c r="E380" s="30">
        <v>7070</v>
      </c>
      <c r="F380" s="31" t="s">
        <v>505</v>
      </c>
      <c r="G380" s="31" t="s">
        <v>155</v>
      </c>
      <c r="H380" s="31" t="s">
        <v>5</v>
      </c>
      <c r="I380" s="31" t="s">
        <v>506</v>
      </c>
      <c r="J380" s="31" t="s">
        <v>507</v>
      </c>
      <c r="K380" s="31" t="s">
        <v>330</v>
      </c>
      <c r="L380" s="31" t="s">
        <v>19</v>
      </c>
      <c r="M380" s="31" t="s">
        <v>18</v>
      </c>
      <c r="N380" s="31">
        <v>10</v>
      </c>
      <c r="O380" s="31">
        <f>2024-Inventory[[#This Row],[YrBlt]]</f>
        <v>13</v>
      </c>
      <c r="P380" s="31">
        <f>2024-Inventory[[#This Row],[EffYr]]</f>
        <v>13</v>
      </c>
      <c r="Q380" s="30">
        <v>2011</v>
      </c>
      <c r="R380" s="30">
        <v>2011</v>
      </c>
      <c r="S380" s="30">
        <v>1176</v>
      </c>
      <c r="T380" s="32"/>
      <c r="U380" s="32"/>
      <c r="V380" s="32"/>
      <c r="W380" s="32"/>
      <c r="X380" s="32">
        <f>Inventory[[#This Row],[Bsmt Area]]-Inventory[[#This Row],[FnBsmt]]</f>
        <v>0</v>
      </c>
      <c r="Y380" s="32">
        <f>Inventory[[#This Row],[MainFn]]+Inventory[[#This Row],[UpprFn]]+Inventory[[#This Row],[AddFn]]+Inventory[[#This Row],[FnBsmt]]</f>
        <v>1176</v>
      </c>
      <c r="Z380" s="32">
        <v>1500</v>
      </c>
      <c r="AA380" s="31" t="s">
        <v>56</v>
      </c>
      <c r="AB380" s="32"/>
      <c r="AC380" s="30">
        <v>400</v>
      </c>
      <c r="AD380" s="32"/>
      <c r="AE380" s="32"/>
      <c r="AF380" s="32"/>
      <c r="AG380" s="32"/>
      <c r="AH380" s="32"/>
      <c r="AI380" s="30">
        <v>256270</v>
      </c>
      <c r="AJ380" s="30">
        <v>240894</v>
      </c>
      <c r="AK380" s="30">
        <v>0</v>
      </c>
      <c r="AL380" s="30">
        <v>0</v>
      </c>
      <c r="AM380" s="30">
        <v>60800</v>
      </c>
      <c r="AN380" s="30">
        <v>301400</v>
      </c>
      <c r="AO380" s="30">
        <v>362200</v>
      </c>
      <c r="AP380" s="30">
        <f>Lookups!$B$58*0.6</f>
        <v>132535.48800000001</v>
      </c>
      <c r="AQ380" s="30">
        <f>Lookups!$B$58*0.4</f>
        <v>88356.992000000013</v>
      </c>
      <c r="AR380" s="30">
        <f>Lookups!$B$59*Inventory[[#This Row],[LnAcres]]</f>
        <v>-24051.387388882686</v>
      </c>
      <c r="AS380" s="30">
        <f>VLOOKUP(Inventory[[#This Row],[Qlty]],Lookups!$A$66:$E$79,2,FALSE)</f>
        <v>37154.252388000001</v>
      </c>
      <c r="AT380" s="30">
        <f>VLOOKUP(Inventory[[#This Row],[Cnd]],Lookups!$A$80:$E$88,2,FALSE)</f>
        <v>17761.121909000001</v>
      </c>
      <c r="AU380" s="30">
        <f>Inventory[[#This Row],[EffAge]]*Lookups!$B$65</f>
        <v>-1413.6342999999999</v>
      </c>
      <c r="AV380" s="30">
        <f>Inventory[[#This Row],[MainFn]]*Lookups!$B$90</f>
        <v>73394.606880000007</v>
      </c>
      <c r="AW380" s="30">
        <f>Inventory[[#This Row],[UpprFn]]*Lookups!$B$91</f>
        <v>0</v>
      </c>
      <c r="AX380" s="30">
        <f>Inventory[[#This Row],[Bsmt Area]]*Lookups!$B$95</f>
        <v>0</v>
      </c>
      <c r="AY380" s="30">
        <f>Inventory[[#This Row],[AttGar]]*Lookups!$B$93</f>
        <v>14120.412400000001</v>
      </c>
      <c r="AZ380" s="30">
        <f>ROUND(Inventory[[#This Row],[25Det]],-2)</f>
        <v>0</v>
      </c>
      <c r="BA380" s="30">
        <f>ROUND(SUM(Inventory[[#This Row],[Mdl Qlty]:[Mdl Garage Area]])+Inventory[[#This Row],[Mdl Res Intercept]],-2)</f>
        <v>273600</v>
      </c>
      <c r="BB380" s="30">
        <f>ROUND(Inventory[[#This Row],[Mdl Land Intercept]]+Inventory[[#This Row],[Mdl LnAcres]],-2)</f>
        <v>64300</v>
      </c>
      <c r="BC380" s="30">
        <f>Inventory[[#This Row],[Unadj Res Value]]+Inventory[[#This Row],[Unadj Det Value]]+Inventory[[#This Row],[Unadj Land Value]]</f>
        <v>337900</v>
      </c>
      <c r="BD380" s="30">
        <f>(Inventory[[#This Row],[Unadj Total Value]]-Inventory[[#This Row],[24Final]])/Inventory[[#This Row],[24Final]]</f>
        <v>-6.7090005521811158E-2</v>
      </c>
      <c r="BE380" s="30">
        <f>VLOOKUP(Inventory[[#This Row],[Nbhd]],Lookups!$M$3:$P$5,4,FALSE)</f>
        <v>0.99970000000000003</v>
      </c>
      <c r="BF380" s="30">
        <f>VLOOKUP(Inventory[[#This Row],[Qlty]],Lookups!$M$8:$P$22,4,FALSE)</f>
        <v>0.99819999999999998</v>
      </c>
      <c r="BG380" s="30">
        <f>VLOOKUP(Inventory[[#This Row],[Cnd]],Lookups!$R$8:$U$17,4,FALSE)</f>
        <v>0.99680000000000002</v>
      </c>
      <c r="BH380" s="30">
        <f>VLOOKUP(Inventory[[#This Row],[LivArea Range]],Lookups!$R$25:$U$43,4,FALSE)</f>
        <v>0.99519999999999997</v>
      </c>
      <c r="BI380" s="30">
        <f>VLOOKUP(Inventory[[#This Row],[Decade]],Lookups!$M$24:$P$40,4,FALSE)</f>
        <v>1.0024</v>
      </c>
      <c r="BJ380" s="30">
        <f>Inventory[[#This Row],[Nbhd Adj]]*0.95</f>
        <v>0.94971499999999998</v>
      </c>
      <c r="BK380" s="30">
        <f>AVERAGE(Inventory[[#This Row],[Nbhd Adj]],Inventory[[#This Row],[Quality Adj]],Inventory[[#This Row],[Condition Adj]],Inventory[[#This Row],[Living Area Adj]],Inventory[[#This Row],[Decade Adj]])*0.95</f>
        <v>0.94853699999999996</v>
      </c>
      <c r="BL380" s="30">
        <f>ROUND((SUM(Inventory[[#This Row],[Mdl Qlty]:[Mdl Garage Area]])+Inventory[[#This Row],[Mdl Res Intercept]])*Inventory[[#This Row],[Res Adj ]],-2)</f>
        <v>259500</v>
      </c>
      <c r="BM380" s="30">
        <f>ROUND(Inventory[[#This Row],[25Det]]*Inventory[[#This Row],[Det/Nbhd Adj]],-2)</f>
        <v>0</v>
      </c>
      <c r="BN380" s="30">
        <f>Inventory[[#This Row],[Adjusted Res]]+Inventory[[#This Row],[Adj Det ]]</f>
        <v>259500</v>
      </c>
      <c r="BO380" s="30">
        <f>ROUND((Inventory[[#This Row],[Mdl Land Intercept]]+Inventory[[#This Row],[Mdl LnAcres]])*Inventory[[#This Row],[Det/Nbhd Adj]],-2)</f>
        <v>61100</v>
      </c>
      <c r="BP380" s="30">
        <f>Inventory[[#This Row],[Adjusted Impr Total]]+Inventory[[#This Row],[Adjusted Land Total]]</f>
        <v>320600</v>
      </c>
      <c r="BQ380" s="30">
        <f>IFERROR((Inventory[[#This Row],[Adjusted Impr Total]]-Inventory[[#This Row],[24Bldg]])/Inventory[[#This Row],[24Bldg]],0)</f>
        <v>-0.13901791639017916</v>
      </c>
      <c r="BR380" s="43">
        <f>(Inventory[[#This Row],[Adjusted Land Total]]-Inventory[[#This Row],[24Lnd]])/Inventory[[#This Row],[24Lnd]]</f>
        <v>4.9342105263157892E-3</v>
      </c>
      <c r="BS380" s="43">
        <f>(Inventory[[#This Row],[Adjusted Total]]-Inventory[[#This Row],[24Final]])/Inventory[[#This Row],[24Final]]</f>
        <v>-0.11485367200441744</v>
      </c>
    </row>
    <row r="381" spans="1:71">
      <c r="A381" s="30">
        <v>2025</v>
      </c>
      <c r="B381" s="31" t="s">
        <v>895</v>
      </c>
      <c r="C381" s="31">
        <f>LN(Inventory[[#This Row],[Acres]])</f>
        <v>-1.8325814637483102</v>
      </c>
      <c r="D381" s="30">
        <v>0.16</v>
      </c>
      <c r="E381" s="38">
        <v>7187</v>
      </c>
      <c r="F381" s="31" t="s">
        <v>505</v>
      </c>
      <c r="G381" s="31" t="s">
        <v>155</v>
      </c>
      <c r="H381" s="31" t="s">
        <v>5</v>
      </c>
      <c r="I381" s="31" t="s">
        <v>506</v>
      </c>
      <c r="J381" s="31" t="s">
        <v>507</v>
      </c>
      <c r="K381" s="31" t="s">
        <v>330</v>
      </c>
      <c r="L381" s="31" t="s">
        <v>19</v>
      </c>
      <c r="M381" s="31" t="s">
        <v>18</v>
      </c>
      <c r="N381" s="31">
        <v>10</v>
      </c>
      <c r="O381" s="31">
        <f>2024-Inventory[[#This Row],[YrBlt]]</f>
        <v>13</v>
      </c>
      <c r="P381" s="31">
        <f>2024-Inventory[[#This Row],[EffYr]]</f>
        <v>13</v>
      </c>
      <c r="Q381" s="30">
        <v>2011</v>
      </c>
      <c r="R381" s="30">
        <v>2011</v>
      </c>
      <c r="S381" s="30">
        <v>1368</v>
      </c>
      <c r="T381" s="32"/>
      <c r="U381" s="32"/>
      <c r="V381" s="32"/>
      <c r="W381" s="32"/>
      <c r="X381" s="32">
        <f>Inventory[[#This Row],[Bsmt Area]]-Inventory[[#This Row],[FnBsmt]]</f>
        <v>0</v>
      </c>
      <c r="Y381" s="32">
        <f>Inventory[[#This Row],[MainFn]]+Inventory[[#This Row],[UpprFn]]+Inventory[[#This Row],[AddFn]]+Inventory[[#This Row],[FnBsmt]]</f>
        <v>1368</v>
      </c>
      <c r="Z381" s="32">
        <v>1500</v>
      </c>
      <c r="AA381" s="31" t="s">
        <v>56</v>
      </c>
      <c r="AB381" s="32"/>
      <c r="AC381" s="30">
        <v>424</v>
      </c>
      <c r="AD381" s="32"/>
      <c r="AE381" s="32"/>
      <c r="AF381" s="32"/>
      <c r="AG381" s="32"/>
      <c r="AH381" s="32"/>
      <c r="AI381" s="30">
        <v>276704</v>
      </c>
      <c r="AJ381" s="30">
        <v>260102</v>
      </c>
      <c r="AK381" s="30">
        <v>0</v>
      </c>
      <c r="AL381" s="30">
        <v>0</v>
      </c>
      <c r="AM381" s="30">
        <v>60800</v>
      </c>
      <c r="AN381" s="30">
        <v>296600</v>
      </c>
      <c r="AO381" s="30">
        <v>357400</v>
      </c>
      <c r="AP381" s="30">
        <f>Lookups!$B$58*0.6</f>
        <v>132535.48800000001</v>
      </c>
      <c r="AQ381" s="30">
        <f>Lookups!$B$58*0.4</f>
        <v>88356.992000000013</v>
      </c>
      <c r="AR381" s="30">
        <f>Lookups!$B$59*Inventory[[#This Row],[LnAcres]]</f>
        <v>-24051.387388882686</v>
      </c>
      <c r="AS381" s="30">
        <f>VLOOKUP(Inventory[[#This Row],[Qlty]],Lookups!$A$66:$E$79,2,FALSE)</f>
        <v>37154.252388000001</v>
      </c>
      <c r="AT381" s="30">
        <f>VLOOKUP(Inventory[[#This Row],[Cnd]],Lookups!$A$80:$E$88,2,FALSE)</f>
        <v>17761.121909000001</v>
      </c>
      <c r="AU381" s="30">
        <f>Inventory[[#This Row],[EffAge]]*Lookups!$B$65</f>
        <v>-1413.6342999999999</v>
      </c>
      <c r="AV381" s="30">
        <f>Inventory[[#This Row],[MainFn]]*Lookups!$B$90</f>
        <v>85377.399839999998</v>
      </c>
      <c r="AW381" s="30">
        <f>Inventory[[#This Row],[UpprFn]]*Lookups!$B$91</f>
        <v>0</v>
      </c>
      <c r="AX381" s="30">
        <f>Inventory[[#This Row],[Bsmt Area]]*Lookups!$B$95</f>
        <v>0</v>
      </c>
      <c r="AY381" s="30">
        <f>Inventory[[#This Row],[AttGar]]*Lookups!$B$93</f>
        <v>14967.637144</v>
      </c>
      <c r="AZ381" s="30">
        <f>ROUND(Inventory[[#This Row],[25Det]],-2)</f>
        <v>0</v>
      </c>
      <c r="BA381" s="30">
        <f>ROUND(SUM(Inventory[[#This Row],[Mdl Qlty]:[Mdl Garage Area]])+Inventory[[#This Row],[Mdl Res Intercept]],-2)</f>
        <v>286400</v>
      </c>
      <c r="BB381" s="30">
        <f>ROUND(Inventory[[#This Row],[Mdl Land Intercept]]+Inventory[[#This Row],[Mdl LnAcres]],-2)</f>
        <v>64300</v>
      </c>
      <c r="BC381" s="30">
        <f>Inventory[[#This Row],[Unadj Res Value]]+Inventory[[#This Row],[Unadj Det Value]]+Inventory[[#This Row],[Unadj Land Value]]</f>
        <v>350700</v>
      </c>
      <c r="BD381" s="30">
        <f>(Inventory[[#This Row],[Unadj Total Value]]-Inventory[[#This Row],[24Final]])/Inventory[[#This Row],[24Final]]</f>
        <v>-1.8746502518186905E-2</v>
      </c>
      <c r="BE381" s="30">
        <f>VLOOKUP(Inventory[[#This Row],[Nbhd]],Lookups!$M$3:$P$5,4,FALSE)</f>
        <v>0.99970000000000003</v>
      </c>
      <c r="BF381" s="30">
        <f>VLOOKUP(Inventory[[#This Row],[Qlty]],Lookups!$M$8:$P$22,4,FALSE)</f>
        <v>0.99819999999999998</v>
      </c>
      <c r="BG381" s="30">
        <f>VLOOKUP(Inventory[[#This Row],[Cnd]],Lookups!$R$8:$U$17,4,FALSE)</f>
        <v>0.99680000000000002</v>
      </c>
      <c r="BH381" s="30">
        <f>VLOOKUP(Inventory[[#This Row],[LivArea Range]],Lookups!$R$25:$U$43,4,FALSE)</f>
        <v>0.99519999999999997</v>
      </c>
      <c r="BI381" s="30">
        <f>VLOOKUP(Inventory[[#This Row],[Decade]],Lookups!$M$24:$P$40,4,FALSE)</f>
        <v>1.0024</v>
      </c>
      <c r="BJ381" s="30">
        <f>Inventory[[#This Row],[Nbhd Adj]]*0.95</f>
        <v>0.94971499999999998</v>
      </c>
      <c r="BK381" s="30">
        <f>AVERAGE(Inventory[[#This Row],[Nbhd Adj]],Inventory[[#This Row],[Quality Adj]],Inventory[[#This Row],[Condition Adj]],Inventory[[#This Row],[Living Area Adj]],Inventory[[#This Row],[Decade Adj]])*0.95</f>
        <v>0.94853699999999996</v>
      </c>
      <c r="BL381" s="30">
        <f>ROUND((SUM(Inventory[[#This Row],[Mdl Qlty]:[Mdl Garage Area]])+Inventory[[#This Row],[Mdl Res Intercept]])*Inventory[[#This Row],[Res Adj ]],-2)</f>
        <v>271600</v>
      </c>
      <c r="BM381" s="30">
        <f>ROUND(Inventory[[#This Row],[25Det]]*Inventory[[#This Row],[Det/Nbhd Adj]],-2)</f>
        <v>0</v>
      </c>
      <c r="BN381" s="30">
        <f>Inventory[[#This Row],[Adjusted Res]]+Inventory[[#This Row],[Adj Det ]]</f>
        <v>271600</v>
      </c>
      <c r="BO381" s="30">
        <f>ROUND((Inventory[[#This Row],[Mdl Land Intercept]]+Inventory[[#This Row],[Mdl LnAcres]])*Inventory[[#This Row],[Det/Nbhd Adj]],-2)</f>
        <v>61100</v>
      </c>
      <c r="BP381" s="30">
        <f>Inventory[[#This Row],[Adjusted Impr Total]]+Inventory[[#This Row],[Adjusted Land Total]]</f>
        <v>332700</v>
      </c>
      <c r="BQ381" s="30">
        <f>IFERROR((Inventory[[#This Row],[Adjusted Impr Total]]-Inventory[[#This Row],[24Bldg]])/Inventory[[#This Row],[24Bldg]],0)</f>
        <v>-8.4288604180714766E-2</v>
      </c>
      <c r="BR381" s="43">
        <f>(Inventory[[#This Row],[Adjusted Land Total]]-Inventory[[#This Row],[24Lnd]])/Inventory[[#This Row],[24Lnd]]</f>
        <v>4.9342105263157892E-3</v>
      </c>
      <c r="BS381" s="43">
        <f>(Inventory[[#This Row],[Adjusted Total]]-Inventory[[#This Row],[24Final]])/Inventory[[#This Row],[24Final]]</f>
        <v>-6.911024062674874E-2</v>
      </c>
    </row>
    <row r="382" spans="1:71">
      <c r="A382" s="30">
        <v>2025</v>
      </c>
      <c r="B382" s="31" t="s">
        <v>896</v>
      </c>
      <c r="C382" s="31">
        <f>LN(Inventory[[#This Row],[Acres]])</f>
        <v>-1.8325814637483102</v>
      </c>
      <c r="D382" s="30">
        <v>0.16</v>
      </c>
      <c r="E382" s="30">
        <v>7097</v>
      </c>
      <c r="F382" s="31" t="s">
        <v>505</v>
      </c>
      <c r="G382" s="31" t="s">
        <v>155</v>
      </c>
      <c r="H382" s="31" t="s">
        <v>5</v>
      </c>
      <c r="I382" s="31" t="s">
        <v>506</v>
      </c>
      <c r="J382" s="31" t="s">
        <v>507</v>
      </c>
      <c r="K382" s="31" t="s">
        <v>330</v>
      </c>
      <c r="L382" s="31" t="s">
        <v>19</v>
      </c>
      <c r="M382" s="31" t="s">
        <v>22</v>
      </c>
      <c r="N382" s="31">
        <v>10</v>
      </c>
      <c r="O382" s="31">
        <f>2024-Inventory[[#This Row],[YrBlt]]</f>
        <v>13</v>
      </c>
      <c r="P382" s="31">
        <f>2024-Inventory[[#This Row],[EffYr]]</f>
        <v>13</v>
      </c>
      <c r="Q382" s="30">
        <v>2011</v>
      </c>
      <c r="R382" s="30">
        <v>2011</v>
      </c>
      <c r="S382" s="30">
        <v>1126</v>
      </c>
      <c r="T382" s="38">
        <v>1260</v>
      </c>
      <c r="U382" s="32"/>
      <c r="V382" s="32"/>
      <c r="W382" s="32"/>
      <c r="X382" s="32">
        <f>Inventory[[#This Row],[Bsmt Area]]-Inventory[[#This Row],[FnBsmt]]</f>
        <v>0</v>
      </c>
      <c r="Y382" s="32">
        <f>Inventory[[#This Row],[MainFn]]+Inventory[[#This Row],[UpprFn]]+Inventory[[#This Row],[AddFn]]+Inventory[[#This Row],[FnBsmt]]</f>
        <v>2386</v>
      </c>
      <c r="Z382" s="32">
        <v>2500</v>
      </c>
      <c r="AA382" s="31" t="s">
        <v>56</v>
      </c>
      <c r="AB382" s="38">
        <v>1</v>
      </c>
      <c r="AC382" s="30">
        <v>714</v>
      </c>
      <c r="AD382" s="32"/>
      <c r="AE382" s="32"/>
      <c r="AF382" s="32"/>
      <c r="AG382" s="32"/>
      <c r="AH382" s="32"/>
      <c r="AI382" s="30">
        <v>432008</v>
      </c>
      <c r="AJ382" s="30">
        <v>410408</v>
      </c>
      <c r="AK382" s="30">
        <v>0</v>
      </c>
      <c r="AL382" s="30">
        <v>0</v>
      </c>
      <c r="AM382" s="30">
        <v>60800</v>
      </c>
      <c r="AN382" s="30">
        <v>393500</v>
      </c>
      <c r="AO382" s="30">
        <v>454300</v>
      </c>
      <c r="AP382" s="30">
        <f>Lookups!$B$58*0.6</f>
        <v>132535.48800000001</v>
      </c>
      <c r="AQ382" s="30">
        <f>Lookups!$B$58*0.4</f>
        <v>88356.992000000013</v>
      </c>
      <c r="AR382" s="30">
        <f>Lookups!$B$59*Inventory[[#This Row],[LnAcres]]</f>
        <v>-24051.387388882686</v>
      </c>
      <c r="AS382" s="30">
        <f>VLOOKUP(Inventory[[#This Row],[Qlty]],Lookups!$A$66:$E$79,2,FALSE)</f>
        <v>37154.252388000001</v>
      </c>
      <c r="AT382" s="30">
        <f>VLOOKUP(Inventory[[#This Row],[Cnd]],Lookups!$A$80:$E$88,2,FALSE)</f>
        <v>50438.379078999998</v>
      </c>
      <c r="AU382" s="30">
        <f>Inventory[[#This Row],[EffAge]]*Lookups!$B$65</f>
        <v>-1413.6342999999999</v>
      </c>
      <c r="AV382" s="30">
        <f>Inventory[[#This Row],[MainFn]]*Lookups!$B$90</f>
        <v>70274.087880000006</v>
      </c>
      <c r="AW382" s="30">
        <f>Inventory[[#This Row],[UpprFn]]*Lookups!$B$91</f>
        <v>75071.282579999999</v>
      </c>
      <c r="AX382" s="30">
        <f>Inventory[[#This Row],[Bsmt Area]]*Lookups!$B$95</f>
        <v>0</v>
      </c>
      <c r="AY382" s="30">
        <f>Inventory[[#This Row],[AttGar]]*Lookups!$B$93</f>
        <v>25204.936134</v>
      </c>
      <c r="AZ382" s="30">
        <f>ROUND(Inventory[[#This Row],[25Det]],-2)</f>
        <v>0</v>
      </c>
      <c r="BA382" s="30">
        <f>ROUND(SUM(Inventory[[#This Row],[Mdl Qlty]:[Mdl Garage Area]])+Inventory[[#This Row],[Mdl Res Intercept]],-2)</f>
        <v>389300</v>
      </c>
      <c r="BB382" s="30">
        <f>ROUND(Inventory[[#This Row],[Mdl Land Intercept]]+Inventory[[#This Row],[Mdl LnAcres]],-2)</f>
        <v>64300</v>
      </c>
      <c r="BC382" s="30">
        <f>Inventory[[#This Row],[Unadj Res Value]]+Inventory[[#This Row],[Unadj Det Value]]+Inventory[[#This Row],[Unadj Land Value]]</f>
        <v>453600</v>
      </c>
      <c r="BD382" s="30">
        <f>(Inventory[[#This Row],[Unadj Total Value]]-Inventory[[#This Row],[24Final]])/Inventory[[#This Row],[24Final]]</f>
        <v>-1.5408320493066256E-3</v>
      </c>
      <c r="BE382" s="30">
        <f>VLOOKUP(Inventory[[#This Row],[Nbhd]],Lookups!$M$3:$P$5,4,FALSE)</f>
        <v>0.99970000000000003</v>
      </c>
      <c r="BF382" s="30">
        <f>VLOOKUP(Inventory[[#This Row],[Qlty]],Lookups!$M$8:$P$22,4,FALSE)</f>
        <v>0.99819999999999998</v>
      </c>
      <c r="BG382" s="30">
        <f>VLOOKUP(Inventory[[#This Row],[Cnd]],Lookups!$R$8:$U$17,4,FALSE)</f>
        <v>1.0007999999999999</v>
      </c>
      <c r="BH382" s="30">
        <f>VLOOKUP(Inventory[[#This Row],[LivArea Range]],Lookups!$R$25:$U$43,4,FALSE)</f>
        <v>1.0008999999999999</v>
      </c>
      <c r="BI382" s="30">
        <f>VLOOKUP(Inventory[[#This Row],[Decade]],Lookups!$M$24:$P$40,4,FALSE)</f>
        <v>1.0024</v>
      </c>
      <c r="BJ382" s="30">
        <f>Inventory[[#This Row],[Nbhd Adj]]*0.95</f>
        <v>0.94971499999999998</v>
      </c>
      <c r="BK382" s="30">
        <f>AVERAGE(Inventory[[#This Row],[Nbhd Adj]],Inventory[[#This Row],[Quality Adj]],Inventory[[#This Row],[Condition Adj]],Inventory[[#This Row],[Living Area Adj]],Inventory[[#This Row],[Decade Adj]])*0.95</f>
        <v>0.95037999999999989</v>
      </c>
      <c r="BL382" s="30">
        <f>ROUND((SUM(Inventory[[#This Row],[Mdl Qlty]:[Mdl Garage Area]])+Inventory[[#This Row],[Mdl Res Intercept]])*Inventory[[#This Row],[Res Adj ]],-2)</f>
        <v>369900</v>
      </c>
      <c r="BM382" s="30">
        <f>ROUND(Inventory[[#This Row],[25Det]]*Inventory[[#This Row],[Det/Nbhd Adj]],-2)</f>
        <v>0</v>
      </c>
      <c r="BN382" s="30">
        <f>Inventory[[#This Row],[Adjusted Res]]+Inventory[[#This Row],[Adj Det ]]</f>
        <v>369900</v>
      </c>
      <c r="BO382" s="30">
        <f>ROUND((Inventory[[#This Row],[Mdl Land Intercept]]+Inventory[[#This Row],[Mdl LnAcres]])*Inventory[[#This Row],[Det/Nbhd Adj]],-2)</f>
        <v>61100</v>
      </c>
      <c r="BP382" s="30">
        <f>Inventory[[#This Row],[Adjusted Impr Total]]+Inventory[[#This Row],[Adjusted Land Total]]</f>
        <v>431000</v>
      </c>
      <c r="BQ382" s="30">
        <f>IFERROR((Inventory[[#This Row],[Adjusted Impr Total]]-Inventory[[#This Row],[24Bldg]])/Inventory[[#This Row],[24Bldg]],0)</f>
        <v>-5.9974587039390091E-2</v>
      </c>
      <c r="BR382" s="43">
        <f>(Inventory[[#This Row],[Adjusted Land Total]]-Inventory[[#This Row],[24Lnd]])/Inventory[[#This Row],[24Lnd]]</f>
        <v>4.9342105263157892E-3</v>
      </c>
      <c r="BS382" s="43">
        <f>(Inventory[[#This Row],[Adjusted Total]]-Inventory[[#This Row],[24Final]])/Inventory[[#This Row],[24Final]]</f>
        <v>-5.1287695355491963E-2</v>
      </c>
    </row>
    <row r="383" spans="1:71">
      <c r="A383" s="30">
        <v>2025</v>
      </c>
      <c r="B383" s="31" t="s">
        <v>897</v>
      </c>
      <c r="C383" s="31">
        <f>LN(Inventory[[#This Row],[Acres]])</f>
        <v>-1.8325814637483102</v>
      </c>
      <c r="D383" s="30">
        <v>0.16</v>
      </c>
      <c r="E383" s="30">
        <v>7100</v>
      </c>
      <c r="F383" s="31" t="s">
        <v>505</v>
      </c>
      <c r="G383" s="31" t="s">
        <v>155</v>
      </c>
      <c r="H383" s="31" t="s">
        <v>5</v>
      </c>
      <c r="I383" s="31" t="s">
        <v>506</v>
      </c>
      <c r="J383" s="31" t="s">
        <v>507</v>
      </c>
      <c r="K383" s="31" t="s">
        <v>157</v>
      </c>
      <c r="L383" s="31" t="s">
        <v>19</v>
      </c>
      <c r="M383" s="31" t="s">
        <v>22</v>
      </c>
      <c r="N383" s="31">
        <v>10</v>
      </c>
      <c r="O383" s="31">
        <f>2024-Inventory[[#This Row],[YrBlt]]</f>
        <v>13</v>
      </c>
      <c r="P383" s="31">
        <f>2024-Inventory[[#This Row],[EffYr]]</f>
        <v>13</v>
      </c>
      <c r="Q383" s="30">
        <v>2011</v>
      </c>
      <c r="R383" s="30">
        <v>2011</v>
      </c>
      <c r="S383" s="30">
        <v>1364</v>
      </c>
      <c r="T383" s="32"/>
      <c r="U383" s="32"/>
      <c r="V383" s="32"/>
      <c r="W383" s="32"/>
      <c r="X383" s="32">
        <f>Inventory[[#This Row],[Bsmt Area]]-Inventory[[#This Row],[FnBsmt]]</f>
        <v>0</v>
      </c>
      <c r="Y383" s="32">
        <f>Inventory[[#This Row],[MainFn]]+Inventory[[#This Row],[UpprFn]]+Inventory[[#This Row],[AddFn]]+Inventory[[#This Row],[FnBsmt]]</f>
        <v>1364</v>
      </c>
      <c r="Z383" s="32">
        <v>1500</v>
      </c>
      <c r="AA383" s="31" t="s">
        <v>56</v>
      </c>
      <c r="AB383" s="37"/>
      <c r="AC383" s="30">
        <v>428</v>
      </c>
      <c r="AD383" s="32"/>
      <c r="AE383" s="32"/>
      <c r="AF383" s="32"/>
      <c r="AG383" s="32"/>
      <c r="AH383" s="32"/>
      <c r="AI383" s="30">
        <v>274796</v>
      </c>
      <c r="AJ383" s="30">
        <v>261056</v>
      </c>
      <c r="AK383" s="30">
        <v>0</v>
      </c>
      <c r="AL383" s="30">
        <v>0</v>
      </c>
      <c r="AM383" s="30">
        <v>60800</v>
      </c>
      <c r="AN383" s="30">
        <v>312200</v>
      </c>
      <c r="AO383" s="30">
        <v>373000</v>
      </c>
      <c r="AP383" s="30">
        <f>Lookups!$B$58*0.6</f>
        <v>132535.48800000001</v>
      </c>
      <c r="AQ383" s="30">
        <f>Lookups!$B$58*0.4</f>
        <v>88356.992000000013</v>
      </c>
      <c r="AR383" s="30">
        <f>Lookups!$B$59*Inventory[[#This Row],[LnAcres]]</f>
        <v>-24051.387388882686</v>
      </c>
      <c r="AS383" s="30">
        <f>VLOOKUP(Inventory[[#This Row],[Qlty]],Lookups!$A$66:$E$79,2,FALSE)</f>
        <v>37154.252388000001</v>
      </c>
      <c r="AT383" s="30">
        <f>VLOOKUP(Inventory[[#This Row],[Cnd]],Lookups!$A$80:$E$88,2,FALSE)</f>
        <v>50438.379078999998</v>
      </c>
      <c r="AU383" s="30">
        <f>Inventory[[#This Row],[EffAge]]*Lookups!$B$65</f>
        <v>-1413.6342999999999</v>
      </c>
      <c r="AV383" s="30">
        <f>Inventory[[#This Row],[MainFn]]*Lookups!$B$90</f>
        <v>85127.758320000008</v>
      </c>
      <c r="AW383" s="30">
        <f>Inventory[[#This Row],[UpprFn]]*Lookups!$B$91</f>
        <v>0</v>
      </c>
      <c r="AX383" s="30">
        <f>Inventory[[#This Row],[Bsmt Area]]*Lookups!$B$95</f>
        <v>0</v>
      </c>
      <c r="AY383" s="30">
        <f>Inventory[[#This Row],[AttGar]]*Lookups!$B$93</f>
        <v>15108.841268</v>
      </c>
      <c r="AZ383" s="30">
        <f>ROUND(Inventory[[#This Row],[25Det]],-2)</f>
        <v>0</v>
      </c>
      <c r="BA383" s="30">
        <f>ROUND(SUM(Inventory[[#This Row],[Mdl Qlty]:[Mdl Garage Area]])+Inventory[[#This Row],[Mdl Res Intercept]],-2)</f>
        <v>319000</v>
      </c>
      <c r="BB383" s="30">
        <f>ROUND(Inventory[[#This Row],[Mdl Land Intercept]]+Inventory[[#This Row],[Mdl LnAcres]],-2)</f>
        <v>64300</v>
      </c>
      <c r="BC383" s="30">
        <f>Inventory[[#This Row],[Unadj Res Value]]+Inventory[[#This Row],[Unadj Det Value]]+Inventory[[#This Row],[Unadj Land Value]]</f>
        <v>383300</v>
      </c>
      <c r="BD383" s="30">
        <f>(Inventory[[#This Row],[Unadj Total Value]]-Inventory[[#This Row],[24Final]])/Inventory[[#This Row],[24Final]]</f>
        <v>2.7613941018766755E-2</v>
      </c>
      <c r="BE383" s="30">
        <f>VLOOKUP(Inventory[[#This Row],[Nbhd]],Lookups!$M$3:$P$5,4,FALSE)</f>
        <v>0.99970000000000003</v>
      </c>
      <c r="BF383" s="30">
        <f>VLOOKUP(Inventory[[#This Row],[Qlty]],Lookups!$M$8:$P$22,4,FALSE)</f>
        <v>0.99819999999999998</v>
      </c>
      <c r="BG383" s="30">
        <f>VLOOKUP(Inventory[[#This Row],[Cnd]],Lookups!$R$8:$U$17,4,FALSE)</f>
        <v>1.0007999999999999</v>
      </c>
      <c r="BH383" s="30">
        <f>VLOOKUP(Inventory[[#This Row],[LivArea Range]],Lookups!$R$25:$U$43,4,FALSE)</f>
        <v>0.99519999999999997</v>
      </c>
      <c r="BI383" s="30">
        <f>VLOOKUP(Inventory[[#This Row],[Decade]],Lookups!$M$24:$P$40,4,FALSE)</f>
        <v>1.0024</v>
      </c>
      <c r="BJ383" s="30">
        <f>Inventory[[#This Row],[Nbhd Adj]]*0.95</f>
        <v>0.94971499999999998</v>
      </c>
      <c r="BK383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383" s="30">
        <f>ROUND((SUM(Inventory[[#This Row],[Mdl Qlty]:[Mdl Garage Area]])+Inventory[[#This Row],[Mdl Res Intercept]])*Inventory[[#This Row],[Res Adj ]],-2)</f>
        <v>302800</v>
      </c>
      <c r="BM383" s="30">
        <f>ROUND(Inventory[[#This Row],[25Det]]*Inventory[[#This Row],[Det/Nbhd Adj]],-2)</f>
        <v>0</v>
      </c>
      <c r="BN383" s="30">
        <f>Inventory[[#This Row],[Adjusted Res]]+Inventory[[#This Row],[Adj Det ]]</f>
        <v>302800</v>
      </c>
      <c r="BO383" s="30">
        <f>ROUND((Inventory[[#This Row],[Mdl Land Intercept]]+Inventory[[#This Row],[Mdl LnAcres]])*Inventory[[#This Row],[Det/Nbhd Adj]],-2)</f>
        <v>61100</v>
      </c>
      <c r="BP383" s="30">
        <f>Inventory[[#This Row],[Adjusted Impr Total]]+Inventory[[#This Row],[Adjusted Land Total]]</f>
        <v>363900</v>
      </c>
      <c r="BQ383" s="30">
        <f>IFERROR((Inventory[[#This Row],[Adjusted Impr Total]]-Inventory[[#This Row],[24Bldg]])/Inventory[[#This Row],[24Bldg]],0)</f>
        <v>-3.0108904548366431E-2</v>
      </c>
      <c r="BR383" s="43">
        <f>(Inventory[[#This Row],[Adjusted Land Total]]-Inventory[[#This Row],[24Lnd]])/Inventory[[#This Row],[24Lnd]]</f>
        <v>4.9342105263157892E-3</v>
      </c>
      <c r="BS383" s="43">
        <f>(Inventory[[#This Row],[Adjusted Total]]-Inventory[[#This Row],[24Final]])/Inventory[[#This Row],[24Final]]</f>
        <v>-2.4396782841823058E-2</v>
      </c>
    </row>
    <row r="384" spans="1:71">
      <c r="A384" s="30">
        <v>2025</v>
      </c>
      <c r="B384" s="31" t="s">
        <v>898</v>
      </c>
      <c r="C384" s="31">
        <f>LN(Inventory[[#This Row],[Acres]])</f>
        <v>-1.8325814637483102</v>
      </c>
      <c r="D384" s="30">
        <v>0.16</v>
      </c>
      <c r="E384" s="30">
        <v>7030</v>
      </c>
      <c r="F384" s="31" t="s">
        <v>505</v>
      </c>
      <c r="G384" s="31" t="s">
        <v>155</v>
      </c>
      <c r="H384" s="31" t="s">
        <v>5</v>
      </c>
      <c r="I384" s="31" t="s">
        <v>506</v>
      </c>
      <c r="J384" s="31" t="s">
        <v>507</v>
      </c>
      <c r="K384" s="31" t="s">
        <v>330</v>
      </c>
      <c r="L384" s="31" t="s">
        <v>21</v>
      </c>
      <c r="M384" s="31" t="s">
        <v>22</v>
      </c>
      <c r="N384" s="31">
        <v>10</v>
      </c>
      <c r="O384" s="31">
        <f>2024-Inventory[[#This Row],[YrBlt]]</f>
        <v>13</v>
      </c>
      <c r="P384" s="31">
        <f>2024-Inventory[[#This Row],[EffYr]]</f>
        <v>13</v>
      </c>
      <c r="Q384" s="30">
        <v>2011</v>
      </c>
      <c r="R384" s="30">
        <v>2011</v>
      </c>
      <c r="S384" s="30">
        <v>1111</v>
      </c>
      <c r="T384" s="30">
        <v>1126</v>
      </c>
      <c r="U384" s="32"/>
      <c r="V384" s="32"/>
      <c r="W384" s="32"/>
      <c r="X384" s="32">
        <f>Inventory[[#This Row],[Bsmt Area]]-Inventory[[#This Row],[FnBsmt]]</f>
        <v>0</v>
      </c>
      <c r="Y384" s="32">
        <f>Inventory[[#This Row],[MainFn]]+Inventory[[#This Row],[UpprFn]]+Inventory[[#This Row],[AddFn]]+Inventory[[#This Row],[FnBsmt]]</f>
        <v>2237</v>
      </c>
      <c r="Z384" s="32">
        <v>2500</v>
      </c>
      <c r="AA384" s="31" t="s">
        <v>56</v>
      </c>
      <c r="AB384" s="37"/>
      <c r="AC384" s="38">
        <v>455</v>
      </c>
      <c r="AD384" s="37"/>
      <c r="AE384" s="32"/>
      <c r="AF384" s="32"/>
      <c r="AG384" s="32"/>
      <c r="AH384" s="32"/>
      <c r="AI384" s="30">
        <v>448615</v>
      </c>
      <c r="AJ384" s="30">
        <v>426184</v>
      </c>
      <c r="AK384" s="30">
        <v>0</v>
      </c>
      <c r="AL384" s="30">
        <v>0</v>
      </c>
      <c r="AM384" s="30">
        <v>60800</v>
      </c>
      <c r="AN384" s="30">
        <v>360600</v>
      </c>
      <c r="AO384" s="30">
        <v>421400</v>
      </c>
      <c r="AP384" s="30">
        <f>Lookups!$B$58*0.6</f>
        <v>132535.48800000001</v>
      </c>
      <c r="AQ384" s="30">
        <f>Lookups!$B$58*0.4</f>
        <v>88356.992000000013</v>
      </c>
      <c r="AR384" s="30">
        <f>Lookups!$B$59*Inventory[[#This Row],[LnAcres]]</f>
        <v>-24051.387388882686</v>
      </c>
      <c r="AS384" s="30">
        <f>VLOOKUP(Inventory[[#This Row],[Qlty]],Lookups!$A$66:$E$79,2,FALSE)</f>
        <v>32917.849192000001</v>
      </c>
      <c r="AT384" s="30">
        <f>VLOOKUP(Inventory[[#This Row],[Cnd]],Lookups!$A$80:$E$88,2,FALSE)</f>
        <v>50438.379078999998</v>
      </c>
      <c r="AU384" s="30">
        <f>Inventory[[#This Row],[EffAge]]*Lookups!$B$65</f>
        <v>-1413.6342999999999</v>
      </c>
      <c r="AV384" s="30">
        <f>Inventory[[#This Row],[MainFn]]*Lookups!$B$90</f>
        <v>69337.932180000003</v>
      </c>
      <c r="AW384" s="30">
        <f>Inventory[[#This Row],[UpprFn]]*Lookups!$B$91</f>
        <v>67087.511257999999</v>
      </c>
      <c r="AX384" s="30">
        <f>Inventory[[#This Row],[Bsmt Area]]*Lookups!$B$95</f>
        <v>0</v>
      </c>
      <c r="AY384" s="30">
        <f>Inventory[[#This Row],[AttGar]]*Lookups!$B$93</f>
        <v>16061.969105</v>
      </c>
      <c r="AZ384" s="30">
        <f>ROUND(Inventory[[#This Row],[25Det]],-2)</f>
        <v>0</v>
      </c>
      <c r="BA384" s="30">
        <f>ROUND(SUM(Inventory[[#This Row],[Mdl Qlty]:[Mdl Garage Area]])+Inventory[[#This Row],[Mdl Res Intercept]],-2)</f>
        <v>367000</v>
      </c>
      <c r="BB384" s="30">
        <f>ROUND(Inventory[[#This Row],[Mdl Land Intercept]]+Inventory[[#This Row],[Mdl LnAcres]],-2)</f>
        <v>64300</v>
      </c>
      <c r="BC384" s="30">
        <f>Inventory[[#This Row],[Unadj Res Value]]+Inventory[[#This Row],[Unadj Det Value]]+Inventory[[#This Row],[Unadj Land Value]]</f>
        <v>431300</v>
      </c>
      <c r="BD384" s="30">
        <f>(Inventory[[#This Row],[Unadj Total Value]]-Inventory[[#This Row],[24Final]])/Inventory[[#This Row],[24Final]]</f>
        <v>2.3493118177503561E-2</v>
      </c>
      <c r="BE384" s="30">
        <f>VLOOKUP(Inventory[[#This Row],[Nbhd]],Lookups!$M$3:$P$5,4,FALSE)</f>
        <v>0.99970000000000003</v>
      </c>
      <c r="BF384" s="30">
        <f>VLOOKUP(Inventory[[#This Row],[Qlty]],Lookups!$M$8:$P$22,4,FALSE)</f>
        <v>1.0019</v>
      </c>
      <c r="BG384" s="30">
        <f>VLOOKUP(Inventory[[#This Row],[Cnd]],Lookups!$R$8:$U$17,4,FALSE)</f>
        <v>1.0007999999999999</v>
      </c>
      <c r="BH384" s="30">
        <f>VLOOKUP(Inventory[[#This Row],[LivArea Range]],Lookups!$R$25:$U$43,4,FALSE)</f>
        <v>1.0008999999999999</v>
      </c>
      <c r="BI384" s="30">
        <f>VLOOKUP(Inventory[[#This Row],[Decade]],Lookups!$M$24:$P$40,4,FALSE)</f>
        <v>1.0024</v>
      </c>
      <c r="BJ384" s="30">
        <f>Inventory[[#This Row],[Nbhd Adj]]*0.95</f>
        <v>0.94971499999999998</v>
      </c>
      <c r="BK384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384" s="30">
        <f>ROUND((SUM(Inventory[[#This Row],[Mdl Qlty]:[Mdl Garage Area]])+Inventory[[#This Row],[Mdl Res Intercept]])*Inventory[[#This Row],[Res Adj ]],-2)</f>
        <v>349000</v>
      </c>
      <c r="BM384" s="30">
        <f>ROUND(Inventory[[#This Row],[25Det]]*Inventory[[#This Row],[Det/Nbhd Adj]],-2)</f>
        <v>0</v>
      </c>
      <c r="BN384" s="30">
        <f>Inventory[[#This Row],[Adjusted Res]]+Inventory[[#This Row],[Adj Det ]]</f>
        <v>349000</v>
      </c>
      <c r="BO384" s="30">
        <f>ROUND((Inventory[[#This Row],[Mdl Land Intercept]]+Inventory[[#This Row],[Mdl LnAcres]])*Inventory[[#This Row],[Det/Nbhd Adj]],-2)</f>
        <v>61100</v>
      </c>
      <c r="BP384" s="30">
        <f>Inventory[[#This Row],[Adjusted Impr Total]]+Inventory[[#This Row],[Adjusted Land Total]]</f>
        <v>410100</v>
      </c>
      <c r="BQ384" s="30">
        <f>IFERROR((Inventory[[#This Row],[Adjusted Impr Total]]-Inventory[[#This Row],[24Bldg]])/Inventory[[#This Row],[24Bldg]],0)</f>
        <v>-3.2168607875762617E-2</v>
      </c>
      <c r="BR384" s="43">
        <f>(Inventory[[#This Row],[Adjusted Land Total]]-Inventory[[#This Row],[24Lnd]])/Inventory[[#This Row],[24Lnd]]</f>
        <v>4.9342105263157892E-3</v>
      </c>
      <c r="BS384" s="43">
        <f>(Inventory[[#This Row],[Adjusted Total]]-Inventory[[#This Row],[24Final]])/Inventory[[#This Row],[24Final]]</f>
        <v>-2.6815377313716183E-2</v>
      </c>
    </row>
    <row r="385" spans="1:71">
      <c r="A385" s="30">
        <v>2025</v>
      </c>
      <c r="B385" s="31" t="s">
        <v>899</v>
      </c>
      <c r="C385" s="31">
        <f>LN(Inventory[[#This Row],[Acres]])</f>
        <v>-1.7719568419318752</v>
      </c>
      <c r="D385" s="30">
        <v>0.17</v>
      </c>
      <c r="E385" s="30">
        <v>7200</v>
      </c>
      <c r="F385" s="31" t="s">
        <v>505</v>
      </c>
      <c r="G385" s="31" t="s">
        <v>155</v>
      </c>
      <c r="H385" s="31" t="s">
        <v>5</v>
      </c>
      <c r="I385" s="31" t="s">
        <v>506</v>
      </c>
      <c r="J385" s="31" t="s">
        <v>507</v>
      </c>
      <c r="K385" s="31" t="s">
        <v>330</v>
      </c>
      <c r="L385" s="31" t="s">
        <v>21</v>
      </c>
      <c r="M385" s="31" t="s">
        <v>20</v>
      </c>
      <c r="N385" s="31">
        <v>10</v>
      </c>
      <c r="O385" s="31">
        <f>2024-Inventory[[#This Row],[YrBlt]]</f>
        <v>13</v>
      </c>
      <c r="P385" s="31">
        <f>2024-Inventory[[#This Row],[EffYr]]</f>
        <v>13</v>
      </c>
      <c r="Q385" s="30">
        <v>2011</v>
      </c>
      <c r="R385" s="30">
        <v>2011</v>
      </c>
      <c r="S385" s="30">
        <v>1971</v>
      </c>
      <c r="T385" s="32"/>
      <c r="U385" s="32"/>
      <c r="V385" s="32"/>
      <c r="W385" s="32"/>
      <c r="X385" s="32">
        <f>Inventory[[#This Row],[Bsmt Area]]-Inventory[[#This Row],[FnBsmt]]</f>
        <v>0</v>
      </c>
      <c r="Y385" s="32">
        <f>Inventory[[#This Row],[MainFn]]+Inventory[[#This Row],[UpprFn]]+Inventory[[#This Row],[AddFn]]+Inventory[[#This Row],[FnBsmt]]</f>
        <v>1971</v>
      </c>
      <c r="Z385" s="32">
        <v>2000</v>
      </c>
      <c r="AA385" s="31" t="s">
        <v>56</v>
      </c>
      <c r="AB385" s="32"/>
      <c r="AC385" s="30">
        <v>676</v>
      </c>
      <c r="AD385" s="32"/>
      <c r="AE385" s="32"/>
      <c r="AF385" s="32"/>
      <c r="AG385" s="32"/>
      <c r="AH385" s="32"/>
      <c r="AI385" s="30">
        <v>421141</v>
      </c>
      <c r="AJ385" s="30">
        <v>395873</v>
      </c>
      <c r="AK385" s="30">
        <v>0</v>
      </c>
      <c r="AL385" s="30">
        <v>0</v>
      </c>
      <c r="AM385" s="30">
        <v>61700</v>
      </c>
      <c r="AN385" s="30">
        <v>327400</v>
      </c>
      <c r="AO385" s="30">
        <v>389100</v>
      </c>
      <c r="AP385" s="30">
        <f>Lookups!$B$58*0.6</f>
        <v>132535.48800000001</v>
      </c>
      <c r="AQ385" s="30">
        <f>Lookups!$B$58*0.4</f>
        <v>88356.992000000013</v>
      </c>
      <c r="AR385" s="30">
        <f>Lookups!$B$59*Inventory[[#This Row],[LnAcres]]</f>
        <v>-23255.730391660189</v>
      </c>
      <c r="AS385" s="30">
        <f>VLOOKUP(Inventory[[#This Row],[Qlty]],Lookups!$A$66:$E$79,2,FALSE)</f>
        <v>32917.849192000001</v>
      </c>
      <c r="AT385" s="30">
        <f>VLOOKUP(Inventory[[#This Row],[Cnd]],Lookups!$A$80:$E$88,2,FALSE)</f>
        <v>30300.329274</v>
      </c>
      <c r="AU385" s="30">
        <f>Inventory[[#This Row],[EffAge]]*Lookups!$B$65</f>
        <v>-1413.6342999999999</v>
      </c>
      <c r="AV385" s="30">
        <f>Inventory[[#This Row],[MainFn]]*Lookups!$B$90</f>
        <v>123010.85898</v>
      </c>
      <c r="AW385" s="30">
        <f>Inventory[[#This Row],[UpprFn]]*Lookups!$B$91</f>
        <v>0</v>
      </c>
      <c r="AX385" s="30">
        <f>Inventory[[#This Row],[Bsmt Area]]*Lookups!$B$95</f>
        <v>0</v>
      </c>
      <c r="AY385" s="30">
        <f>Inventory[[#This Row],[AttGar]]*Lookups!$B$93</f>
        <v>23863.496956000003</v>
      </c>
      <c r="AZ385" s="30">
        <f>ROUND(Inventory[[#This Row],[25Det]],-2)</f>
        <v>0</v>
      </c>
      <c r="BA385" s="30">
        <f>ROUND(SUM(Inventory[[#This Row],[Mdl Qlty]:[Mdl Garage Area]])+Inventory[[#This Row],[Mdl Res Intercept]],-2)</f>
        <v>341200</v>
      </c>
      <c r="BB385" s="30">
        <f>ROUND(Inventory[[#This Row],[Mdl Land Intercept]]+Inventory[[#This Row],[Mdl LnAcres]],-2)</f>
        <v>65100</v>
      </c>
      <c r="BC385" s="30">
        <f>Inventory[[#This Row],[Unadj Res Value]]+Inventory[[#This Row],[Unadj Det Value]]+Inventory[[#This Row],[Unadj Land Value]]</f>
        <v>406300</v>
      </c>
      <c r="BD385" s="30">
        <f>(Inventory[[#This Row],[Unadj Total Value]]-Inventory[[#This Row],[24Final]])/Inventory[[#This Row],[24Final]]</f>
        <v>4.4204574659470572E-2</v>
      </c>
      <c r="BE385" s="30">
        <f>VLOOKUP(Inventory[[#This Row],[Nbhd]],Lookups!$M$3:$P$5,4,FALSE)</f>
        <v>0.99970000000000003</v>
      </c>
      <c r="BF385" s="30">
        <f>VLOOKUP(Inventory[[#This Row],[Qlty]],Lookups!$M$8:$P$22,4,FALSE)</f>
        <v>1.0019</v>
      </c>
      <c r="BG385" s="30">
        <f>VLOOKUP(Inventory[[#This Row],[Cnd]],Lookups!$R$8:$U$17,4,FALSE)</f>
        <v>0.997</v>
      </c>
      <c r="BH385" s="30">
        <f>VLOOKUP(Inventory[[#This Row],[LivArea Range]],Lookups!$R$25:$U$43,4,FALSE)</f>
        <v>1.0007999999999999</v>
      </c>
      <c r="BI385" s="30">
        <f>VLOOKUP(Inventory[[#This Row],[Decade]],Lookups!$M$24:$P$40,4,FALSE)</f>
        <v>1.0024</v>
      </c>
      <c r="BJ385" s="30">
        <f>Inventory[[#This Row],[Nbhd Adj]]*0.95</f>
        <v>0.94971499999999998</v>
      </c>
      <c r="BK385" s="30">
        <f>AVERAGE(Inventory[[#This Row],[Nbhd Adj]],Inventory[[#This Row],[Quality Adj]],Inventory[[#This Row],[Condition Adj]],Inventory[[#This Row],[Living Area Adj]],Inventory[[#This Row],[Decade Adj]])*0.95</f>
        <v>0.95034199999999991</v>
      </c>
      <c r="BL385" s="30">
        <f>ROUND((SUM(Inventory[[#This Row],[Mdl Qlty]:[Mdl Garage Area]])+Inventory[[#This Row],[Mdl Res Intercept]])*Inventory[[#This Row],[Res Adj ]],-2)</f>
        <v>324300</v>
      </c>
      <c r="BM385" s="30">
        <f>ROUND(Inventory[[#This Row],[25Det]]*Inventory[[#This Row],[Det/Nbhd Adj]],-2)</f>
        <v>0</v>
      </c>
      <c r="BN385" s="30">
        <f>Inventory[[#This Row],[Adjusted Res]]+Inventory[[#This Row],[Adj Det ]]</f>
        <v>324300</v>
      </c>
      <c r="BO385" s="30">
        <f>ROUND((Inventory[[#This Row],[Mdl Land Intercept]]+Inventory[[#This Row],[Mdl LnAcres]])*Inventory[[#This Row],[Det/Nbhd Adj]],-2)</f>
        <v>61800</v>
      </c>
      <c r="BP385" s="30">
        <f>Inventory[[#This Row],[Adjusted Impr Total]]+Inventory[[#This Row],[Adjusted Land Total]]</f>
        <v>386100</v>
      </c>
      <c r="BQ385" s="30">
        <f>IFERROR((Inventory[[#This Row],[Adjusted Impr Total]]-Inventory[[#This Row],[24Bldg]])/Inventory[[#This Row],[24Bldg]],0)</f>
        <v>-9.4685400122174711E-3</v>
      </c>
      <c r="BR385" s="43">
        <f>(Inventory[[#This Row],[Adjusted Land Total]]-Inventory[[#This Row],[24Lnd]])/Inventory[[#This Row],[24Lnd]]</f>
        <v>1.6207455429497568E-3</v>
      </c>
      <c r="BS385" s="43">
        <f>(Inventory[[#This Row],[Adjusted Total]]-Inventory[[#This Row],[24Final]])/Inventory[[#This Row],[24Final]]</f>
        <v>-7.7101002313030072E-3</v>
      </c>
    </row>
    <row r="386" spans="1:71">
      <c r="A386" s="30">
        <v>2025</v>
      </c>
      <c r="B386" s="31" t="s">
        <v>900</v>
      </c>
      <c r="C386" s="31">
        <f>LN(Inventory[[#This Row],[Acres]])</f>
        <v>-1.7147984280919266</v>
      </c>
      <c r="D386" s="30">
        <v>0.18</v>
      </c>
      <c r="E386" s="30">
        <v>7870</v>
      </c>
      <c r="F386" s="31" t="s">
        <v>505</v>
      </c>
      <c r="G386" s="31" t="s">
        <v>155</v>
      </c>
      <c r="H386" s="31" t="s">
        <v>5</v>
      </c>
      <c r="I386" s="31" t="s">
        <v>506</v>
      </c>
      <c r="J386" s="31" t="s">
        <v>507</v>
      </c>
      <c r="K386" s="31" t="s">
        <v>330</v>
      </c>
      <c r="L386" s="31" t="s">
        <v>21</v>
      </c>
      <c r="M386" s="31" t="s">
        <v>20</v>
      </c>
      <c r="N386" s="31">
        <v>10</v>
      </c>
      <c r="O386" s="31">
        <f>2024-Inventory[[#This Row],[YrBlt]]</f>
        <v>13</v>
      </c>
      <c r="P386" s="31">
        <f>2024-Inventory[[#This Row],[EffYr]]</f>
        <v>13</v>
      </c>
      <c r="Q386" s="30">
        <v>2011</v>
      </c>
      <c r="R386" s="30">
        <v>2011</v>
      </c>
      <c r="S386" s="30">
        <v>1730</v>
      </c>
      <c r="T386" s="32"/>
      <c r="U386" s="32"/>
      <c r="V386" s="32"/>
      <c r="W386" s="32"/>
      <c r="X386" s="32">
        <f>Inventory[[#This Row],[Bsmt Area]]-Inventory[[#This Row],[FnBsmt]]</f>
        <v>0</v>
      </c>
      <c r="Y386" s="32">
        <f>Inventory[[#This Row],[MainFn]]+Inventory[[#This Row],[UpprFn]]+Inventory[[#This Row],[AddFn]]+Inventory[[#This Row],[FnBsmt]]</f>
        <v>1730</v>
      </c>
      <c r="Z386" s="32">
        <v>2000</v>
      </c>
      <c r="AA386" s="31" t="s">
        <v>57</v>
      </c>
      <c r="AB386" s="30">
        <v>1</v>
      </c>
      <c r="AC386" s="30">
        <v>400</v>
      </c>
      <c r="AD386" s="32"/>
      <c r="AE386" s="32"/>
      <c r="AF386" s="32"/>
      <c r="AG386" s="32"/>
      <c r="AH386" s="32"/>
      <c r="AI386" s="30">
        <v>384236</v>
      </c>
      <c r="AJ386" s="30">
        <v>361182</v>
      </c>
      <c r="AK386" s="30">
        <v>0</v>
      </c>
      <c r="AL386" s="30">
        <v>0</v>
      </c>
      <c r="AM386" s="30">
        <v>62500</v>
      </c>
      <c r="AN386" s="30">
        <v>307900</v>
      </c>
      <c r="AO386" s="30">
        <v>370400</v>
      </c>
      <c r="AP386" s="30">
        <f>Lookups!$B$58*0.6</f>
        <v>132535.48800000001</v>
      </c>
      <c r="AQ386" s="30">
        <f>Lookups!$B$58*0.4</f>
        <v>88356.992000000013</v>
      </c>
      <c r="AR386" s="30">
        <f>Lookups!$B$59*Inventory[[#This Row],[LnAcres]]</f>
        <v>-22505.565020573864</v>
      </c>
      <c r="AS386" s="30">
        <f>VLOOKUP(Inventory[[#This Row],[Qlty]],Lookups!$A$66:$E$79,2,FALSE)</f>
        <v>32917.849192000001</v>
      </c>
      <c r="AT386" s="30">
        <f>VLOOKUP(Inventory[[#This Row],[Cnd]],Lookups!$A$80:$E$88,2,FALSE)</f>
        <v>30300.329274</v>
      </c>
      <c r="AU386" s="30">
        <f>Inventory[[#This Row],[EffAge]]*Lookups!$B$65</f>
        <v>-1413.6342999999999</v>
      </c>
      <c r="AV386" s="30">
        <f>Inventory[[#This Row],[MainFn]]*Lookups!$B$90</f>
        <v>107969.9574</v>
      </c>
      <c r="AW386" s="30">
        <f>Inventory[[#This Row],[UpprFn]]*Lookups!$B$91</f>
        <v>0</v>
      </c>
      <c r="AX386" s="30">
        <f>Inventory[[#This Row],[Bsmt Area]]*Lookups!$B$95</f>
        <v>0</v>
      </c>
      <c r="AY386" s="30">
        <f>Inventory[[#This Row],[AttGar]]*Lookups!$B$93</f>
        <v>14120.412400000001</v>
      </c>
      <c r="AZ386" s="30">
        <f>ROUND(Inventory[[#This Row],[25Det]],-2)</f>
        <v>0</v>
      </c>
      <c r="BA386" s="30">
        <f>ROUND(SUM(Inventory[[#This Row],[Mdl Qlty]:[Mdl Garage Area]])+Inventory[[#This Row],[Mdl Res Intercept]],-2)</f>
        <v>316400</v>
      </c>
      <c r="BB386" s="30">
        <f>ROUND(Inventory[[#This Row],[Mdl Land Intercept]]+Inventory[[#This Row],[Mdl LnAcres]],-2)</f>
        <v>65900</v>
      </c>
      <c r="BC386" s="30">
        <f>Inventory[[#This Row],[Unadj Res Value]]+Inventory[[#This Row],[Unadj Det Value]]+Inventory[[#This Row],[Unadj Land Value]]</f>
        <v>382300</v>
      </c>
      <c r="BD386" s="30">
        <f>(Inventory[[#This Row],[Unadj Total Value]]-Inventory[[#This Row],[24Final]])/Inventory[[#This Row],[24Final]]</f>
        <v>3.2127429805615552E-2</v>
      </c>
      <c r="BE386" s="30">
        <f>VLOOKUP(Inventory[[#This Row],[Nbhd]],Lookups!$M$3:$P$5,4,FALSE)</f>
        <v>0.99970000000000003</v>
      </c>
      <c r="BF386" s="30">
        <f>VLOOKUP(Inventory[[#This Row],[Qlty]],Lookups!$M$8:$P$22,4,FALSE)</f>
        <v>1.0019</v>
      </c>
      <c r="BG386" s="30">
        <f>VLOOKUP(Inventory[[#This Row],[Cnd]],Lookups!$R$8:$U$17,4,FALSE)</f>
        <v>0.997</v>
      </c>
      <c r="BH386" s="30">
        <f>VLOOKUP(Inventory[[#This Row],[LivArea Range]],Lookups!$R$25:$U$43,4,FALSE)</f>
        <v>1.0007999999999999</v>
      </c>
      <c r="BI386" s="30">
        <f>VLOOKUP(Inventory[[#This Row],[Decade]],Lookups!$M$24:$P$40,4,FALSE)</f>
        <v>1.0024</v>
      </c>
      <c r="BJ386" s="30">
        <f>Inventory[[#This Row],[Nbhd Adj]]*0.95</f>
        <v>0.94971499999999998</v>
      </c>
      <c r="BK386" s="30">
        <f>AVERAGE(Inventory[[#This Row],[Nbhd Adj]],Inventory[[#This Row],[Quality Adj]],Inventory[[#This Row],[Condition Adj]],Inventory[[#This Row],[Living Area Adj]],Inventory[[#This Row],[Decade Adj]])*0.95</f>
        <v>0.95034199999999991</v>
      </c>
      <c r="BL386" s="30">
        <f>ROUND((SUM(Inventory[[#This Row],[Mdl Qlty]:[Mdl Garage Area]])+Inventory[[#This Row],[Mdl Res Intercept]])*Inventory[[#This Row],[Res Adj ]],-2)</f>
        <v>300700</v>
      </c>
      <c r="BM386" s="30">
        <f>ROUND(Inventory[[#This Row],[25Det]]*Inventory[[#This Row],[Det/Nbhd Adj]],-2)</f>
        <v>0</v>
      </c>
      <c r="BN386" s="30">
        <f>Inventory[[#This Row],[Adjusted Res]]+Inventory[[#This Row],[Adj Det ]]</f>
        <v>300700</v>
      </c>
      <c r="BO386" s="30">
        <f>ROUND((Inventory[[#This Row],[Mdl Land Intercept]]+Inventory[[#This Row],[Mdl LnAcres]])*Inventory[[#This Row],[Det/Nbhd Adj]],-2)</f>
        <v>62500</v>
      </c>
      <c r="BP386" s="30">
        <f>Inventory[[#This Row],[Adjusted Impr Total]]+Inventory[[#This Row],[Adjusted Land Total]]</f>
        <v>363200</v>
      </c>
      <c r="BQ386" s="30">
        <f>IFERROR((Inventory[[#This Row],[Adjusted Impr Total]]-Inventory[[#This Row],[24Bldg]])/Inventory[[#This Row],[24Bldg]],0)</f>
        <v>-2.3384215654433257E-2</v>
      </c>
      <c r="BR386" s="43">
        <f>(Inventory[[#This Row],[Adjusted Land Total]]-Inventory[[#This Row],[24Lnd]])/Inventory[[#This Row],[24Lnd]]</f>
        <v>0</v>
      </c>
      <c r="BS386" s="43">
        <f>(Inventory[[#This Row],[Adjusted Total]]-Inventory[[#This Row],[24Final]])/Inventory[[#This Row],[24Final]]</f>
        <v>-1.9438444924406047E-2</v>
      </c>
    </row>
    <row r="387" spans="1:71">
      <c r="A387" s="30">
        <v>2025</v>
      </c>
      <c r="B387" s="31" t="s">
        <v>901</v>
      </c>
      <c r="C387" s="31">
        <f>LN(Inventory[[#This Row],[Acres]])</f>
        <v>-1.7147984280919266</v>
      </c>
      <c r="D387" s="30">
        <v>0.18</v>
      </c>
      <c r="E387" s="30">
        <v>7867</v>
      </c>
      <c r="F387" s="31" t="s">
        <v>505</v>
      </c>
      <c r="G387" s="31" t="s">
        <v>155</v>
      </c>
      <c r="H387" s="31" t="s">
        <v>5</v>
      </c>
      <c r="I387" s="31" t="s">
        <v>506</v>
      </c>
      <c r="J387" s="31" t="s">
        <v>507</v>
      </c>
      <c r="K387" s="31" t="s">
        <v>330</v>
      </c>
      <c r="L387" s="31" t="s">
        <v>19</v>
      </c>
      <c r="M387" s="31" t="s">
        <v>22</v>
      </c>
      <c r="N387" s="31">
        <v>10</v>
      </c>
      <c r="O387" s="31">
        <f>2024-Inventory[[#This Row],[YrBlt]]</f>
        <v>13</v>
      </c>
      <c r="P387" s="31">
        <f>2024-Inventory[[#This Row],[EffYr]]</f>
        <v>13</v>
      </c>
      <c r="Q387" s="30">
        <v>2011</v>
      </c>
      <c r="R387" s="30">
        <v>2011</v>
      </c>
      <c r="S387" s="30">
        <v>1373</v>
      </c>
      <c r="T387" s="37"/>
      <c r="U387" s="32"/>
      <c r="V387" s="32"/>
      <c r="W387" s="32"/>
      <c r="X387" s="32">
        <f>Inventory[[#This Row],[Bsmt Area]]-Inventory[[#This Row],[FnBsmt]]</f>
        <v>0</v>
      </c>
      <c r="Y387" s="32">
        <f>Inventory[[#This Row],[MainFn]]+Inventory[[#This Row],[UpprFn]]+Inventory[[#This Row],[AddFn]]+Inventory[[#This Row],[FnBsmt]]</f>
        <v>1373</v>
      </c>
      <c r="Z387" s="32">
        <v>1500</v>
      </c>
      <c r="AA387" s="31" t="s">
        <v>56</v>
      </c>
      <c r="AB387" s="32"/>
      <c r="AC387" s="30">
        <v>419</v>
      </c>
      <c r="AD387" s="32"/>
      <c r="AE387" s="32"/>
      <c r="AF387" s="32"/>
      <c r="AG387" s="32"/>
      <c r="AH387" s="32"/>
      <c r="AI387" s="30">
        <v>299219</v>
      </c>
      <c r="AJ387" s="30">
        <v>284258</v>
      </c>
      <c r="AK387" s="30">
        <v>0</v>
      </c>
      <c r="AL387" s="30">
        <v>0</v>
      </c>
      <c r="AM387" s="30">
        <v>62500</v>
      </c>
      <c r="AN387" s="30">
        <v>350000</v>
      </c>
      <c r="AO387" s="30">
        <v>412500</v>
      </c>
      <c r="AP387" s="30">
        <f>Lookups!$B$58*0.6</f>
        <v>132535.48800000001</v>
      </c>
      <c r="AQ387" s="30">
        <f>Lookups!$B$58*0.4</f>
        <v>88356.992000000013</v>
      </c>
      <c r="AR387" s="30">
        <f>Lookups!$B$59*Inventory[[#This Row],[LnAcres]]</f>
        <v>-22505.565020573864</v>
      </c>
      <c r="AS387" s="30">
        <f>VLOOKUP(Inventory[[#This Row],[Qlty]],Lookups!$A$66:$E$79,2,FALSE)</f>
        <v>37154.252388000001</v>
      </c>
      <c r="AT387" s="30">
        <f>VLOOKUP(Inventory[[#This Row],[Cnd]],Lookups!$A$80:$E$88,2,FALSE)</f>
        <v>50438.379078999998</v>
      </c>
      <c r="AU387" s="30">
        <f>Inventory[[#This Row],[EffAge]]*Lookups!$B$65</f>
        <v>-1413.6342999999999</v>
      </c>
      <c r="AV387" s="30">
        <f>Inventory[[#This Row],[MainFn]]*Lookups!$B$90</f>
        <v>85689.451740000004</v>
      </c>
      <c r="AW387" s="30">
        <f>Inventory[[#This Row],[UpprFn]]*Lookups!$B$91</f>
        <v>0</v>
      </c>
      <c r="AX387" s="30">
        <f>Inventory[[#This Row],[Bsmt Area]]*Lookups!$B$95</f>
        <v>0</v>
      </c>
      <c r="AY387" s="30">
        <f>Inventory[[#This Row],[AttGar]]*Lookups!$B$93</f>
        <v>14791.131989000001</v>
      </c>
      <c r="AZ387" s="30">
        <f>ROUND(Inventory[[#This Row],[25Det]],-2)</f>
        <v>0</v>
      </c>
      <c r="BA387" s="30">
        <f>ROUND(SUM(Inventory[[#This Row],[Mdl Qlty]:[Mdl Garage Area]])+Inventory[[#This Row],[Mdl Res Intercept]],-2)</f>
        <v>319200</v>
      </c>
      <c r="BB387" s="30">
        <f>ROUND(Inventory[[#This Row],[Mdl Land Intercept]]+Inventory[[#This Row],[Mdl LnAcres]],-2)</f>
        <v>65900</v>
      </c>
      <c r="BC387" s="30">
        <f>Inventory[[#This Row],[Unadj Res Value]]+Inventory[[#This Row],[Unadj Det Value]]+Inventory[[#This Row],[Unadj Land Value]]</f>
        <v>385100</v>
      </c>
      <c r="BD387" s="30">
        <f>(Inventory[[#This Row],[Unadj Total Value]]-Inventory[[#This Row],[24Final]])/Inventory[[#This Row],[24Final]]</f>
        <v>-6.6424242424242427E-2</v>
      </c>
      <c r="BE387" s="30">
        <f>VLOOKUP(Inventory[[#This Row],[Nbhd]],Lookups!$M$3:$P$5,4,FALSE)</f>
        <v>0.99970000000000003</v>
      </c>
      <c r="BF387" s="30">
        <f>VLOOKUP(Inventory[[#This Row],[Qlty]],Lookups!$M$8:$P$22,4,FALSE)</f>
        <v>0.99819999999999998</v>
      </c>
      <c r="BG387" s="30">
        <f>VLOOKUP(Inventory[[#This Row],[Cnd]],Lookups!$R$8:$U$17,4,FALSE)</f>
        <v>1.0007999999999999</v>
      </c>
      <c r="BH387" s="30">
        <f>VLOOKUP(Inventory[[#This Row],[LivArea Range]],Lookups!$R$25:$U$43,4,FALSE)</f>
        <v>0.99519999999999997</v>
      </c>
      <c r="BI387" s="30">
        <f>VLOOKUP(Inventory[[#This Row],[Decade]],Lookups!$M$24:$P$40,4,FALSE)</f>
        <v>1.0024</v>
      </c>
      <c r="BJ387" s="30">
        <f>Inventory[[#This Row],[Nbhd Adj]]*0.95</f>
        <v>0.94971499999999998</v>
      </c>
      <c r="BK387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387" s="30">
        <f>ROUND((SUM(Inventory[[#This Row],[Mdl Qlty]:[Mdl Garage Area]])+Inventory[[#This Row],[Mdl Res Intercept]])*Inventory[[#This Row],[Res Adj ]],-2)</f>
        <v>303000</v>
      </c>
      <c r="BM387" s="30">
        <f>ROUND(Inventory[[#This Row],[25Det]]*Inventory[[#This Row],[Det/Nbhd Adj]],-2)</f>
        <v>0</v>
      </c>
      <c r="BN387" s="30">
        <f>Inventory[[#This Row],[Adjusted Res]]+Inventory[[#This Row],[Adj Det ]]</f>
        <v>303000</v>
      </c>
      <c r="BO387" s="30">
        <f>ROUND((Inventory[[#This Row],[Mdl Land Intercept]]+Inventory[[#This Row],[Mdl LnAcres]])*Inventory[[#This Row],[Det/Nbhd Adj]],-2)</f>
        <v>62500</v>
      </c>
      <c r="BP387" s="30">
        <f>Inventory[[#This Row],[Adjusted Impr Total]]+Inventory[[#This Row],[Adjusted Land Total]]</f>
        <v>365500</v>
      </c>
      <c r="BQ387" s="30">
        <f>IFERROR((Inventory[[#This Row],[Adjusted Impr Total]]-Inventory[[#This Row],[24Bldg]])/Inventory[[#This Row],[24Bldg]],0)</f>
        <v>-0.13428571428571429</v>
      </c>
      <c r="BR387" s="43">
        <f>(Inventory[[#This Row],[Adjusted Land Total]]-Inventory[[#This Row],[24Lnd]])/Inventory[[#This Row],[24Lnd]]</f>
        <v>0</v>
      </c>
      <c r="BS387" s="43">
        <f>(Inventory[[#This Row],[Adjusted Total]]-Inventory[[#This Row],[24Final]])/Inventory[[#This Row],[24Final]]</f>
        <v>-0.11393939393939394</v>
      </c>
    </row>
    <row r="388" spans="1:71">
      <c r="A388" s="30">
        <v>2025</v>
      </c>
      <c r="B388" s="31" t="s">
        <v>902</v>
      </c>
      <c r="C388" s="31">
        <f>LN(Inventory[[#This Row],[Acres]])</f>
        <v>-1.7147984280919266</v>
      </c>
      <c r="D388" s="30">
        <v>0.18</v>
      </c>
      <c r="E388" s="30">
        <v>7898</v>
      </c>
      <c r="F388" s="31" t="s">
        <v>505</v>
      </c>
      <c r="G388" s="31" t="s">
        <v>155</v>
      </c>
      <c r="H388" s="31" t="s">
        <v>5</v>
      </c>
      <c r="I388" s="31" t="s">
        <v>506</v>
      </c>
      <c r="J388" s="31" t="s">
        <v>507</v>
      </c>
      <c r="K388" s="31" t="s">
        <v>330</v>
      </c>
      <c r="L388" s="31" t="s">
        <v>19</v>
      </c>
      <c r="M388" s="31" t="s">
        <v>22</v>
      </c>
      <c r="N388" s="31">
        <v>10</v>
      </c>
      <c r="O388" s="31">
        <f>2024-Inventory[[#This Row],[YrBlt]]</f>
        <v>13</v>
      </c>
      <c r="P388" s="31">
        <f>2024-Inventory[[#This Row],[EffYr]]</f>
        <v>13</v>
      </c>
      <c r="Q388" s="30">
        <v>2011</v>
      </c>
      <c r="R388" s="30">
        <v>2011</v>
      </c>
      <c r="S388" s="30">
        <v>1126</v>
      </c>
      <c r="T388" s="30">
        <v>1204</v>
      </c>
      <c r="U388" s="32"/>
      <c r="V388" s="32"/>
      <c r="W388" s="32"/>
      <c r="X388" s="32">
        <f>Inventory[[#This Row],[Bsmt Area]]-Inventory[[#This Row],[FnBsmt]]</f>
        <v>0</v>
      </c>
      <c r="Y388" s="32">
        <f>Inventory[[#This Row],[MainFn]]+Inventory[[#This Row],[UpprFn]]+Inventory[[#This Row],[AddFn]]+Inventory[[#This Row],[FnBsmt]]</f>
        <v>2330</v>
      </c>
      <c r="Z388" s="32">
        <v>2500</v>
      </c>
      <c r="AA388" s="31" t="s">
        <v>56</v>
      </c>
      <c r="AB388" s="37"/>
      <c r="AC388" s="32"/>
      <c r="AD388" s="30">
        <v>657</v>
      </c>
      <c r="AE388" s="32"/>
      <c r="AF388" s="32"/>
      <c r="AG388" s="32"/>
      <c r="AH388" s="32"/>
      <c r="AI388" s="30">
        <v>409564</v>
      </c>
      <c r="AJ388" s="30">
        <v>389086</v>
      </c>
      <c r="AK388" s="30">
        <v>0</v>
      </c>
      <c r="AL388" s="30">
        <v>0</v>
      </c>
      <c r="AM388" s="30">
        <v>62500</v>
      </c>
      <c r="AN388" s="30">
        <v>378500</v>
      </c>
      <c r="AO388" s="30">
        <v>441000</v>
      </c>
      <c r="AP388" s="30">
        <f>Lookups!$B$58*0.6</f>
        <v>132535.48800000001</v>
      </c>
      <c r="AQ388" s="30">
        <f>Lookups!$B$58*0.4</f>
        <v>88356.992000000013</v>
      </c>
      <c r="AR388" s="30">
        <f>Lookups!$B$59*Inventory[[#This Row],[LnAcres]]</f>
        <v>-22505.565020573864</v>
      </c>
      <c r="AS388" s="30">
        <f>VLOOKUP(Inventory[[#This Row],[Qlty]],Lookups!$A$66:$E$79,2,FALSE)</f>
        <v>37154.252388000001</v>
      </c>
      <c r="AT388" s="30">
        <f>VLOOKUP(Inventory[[#This Row],[Cnd]],Lookups!$A$80:$E$88,2,FALSE)</f>
        <v>50438.379078999998</v>
      </c>
      <c r="AU388" s="30">
        <f>Inventory[[#This Row],[EffAge]]*Lookups!$B$65</f>
        <v>-1413.6342999999999</v>
      </c>
      <c r="AV388" s="30">
        <f>Inventory[[#This Row],[MainFn]]*Lookups!$B$90</f>
        <v>70274.087880000006</v>
      </c>
      <c r="AW388" s="30">
        <f>Inventory[[#This Row],[UpprFn]]*Lookups!$B$91</f>
        <v>71734.781132000004</v>
      </c>
      <c r="AX388" s="30">
        <f>Inventory[[#This Row],[Bsmt Area]]*Lookups!$B$95</f>
        <v>0</v>
      </c>
      <c r="AY388" s="30">
        <f>Inventory[[#This Row],[AttGar]]*Lookups!$B$93</f>
        <v>0</v>
      </c>
      <c r="AZ388" s="30">
        <f>ROUND(Inventory[[#This Row],[25Det]],-2)</f>
        <v>0</v>
      </c>
      <c r="BA388" s="30">
        <f>ROUND(SUM(Inventory[[#This Row],[Mdl Qlty]:[Mdl Garage Area]])+Inventory[[#This Row],[Mdl Res Intercept]],-2)</f>
        <v>360700</v>
      </c>
      <c r="BB388" s="30">
        <f>ROUND(Inventory[[#This Row],[Mdl Land Intercept]]+Inventory[[#This Row],[Mdl LnAcres]],-2)</f>
        <v>65900</v>
      </c>
      <c r="BC388" s="30">
        <f>Inventory[[#This Row],[Unadj Res Value]]+Inventory[[#This Row],[Unadj Det Value]]+Inventory[[#This Row],[Unadj Land Value]]</f>
        <v>426600</v>
      </c>
      <c r="BD388" s="30">
        <f>(Inventory[[#This Row],[Unadj Total Value]]-Inventory[[#This Row],[24Final]])/Inventory[[#This Row],[24Final]]</f>
        <v>-3.2653061224489799E-2</v>
      </c>
      <c r="BE388" s="30">
        <f>VLOOKUP(Inventory[[#This Row],[Nbhd]],Lookups!$M$3:$P$5,4,FALSE)</f>
        <v>0.99970000000000003</v>
      </c>
      <c r="BF388" s="30">
        <f>VLOOKUP(Inventory[[#This Row],[Qlty]],Lookups!$M$8:$P$22,4,FALSE)</f>
        <v>0.99819999999999998</v>
      </c>
      <c r="BG388" s="30">
        <f>VLOOKUP(Inventory[[#This Row],[Cnd]],Lookups!$R$8:$U$17,4,FALSE)</f>
        <v>1.0007999999999999</v>
      </c>
      <c r="BH388" s="30">
        <f>VLOOKUP(Inventory[[#This Row],[LivArea Range]],Lookups!$R$25:$U$43,4,FALSE)</f>
        <v>1.0008999999999999</v>
      </c>
      <c r="BI388" s="30">
        <f>VLOOKUP(Inventory[[#This Row],[Decade]],Lookups!$M$24:$P$40,4,FALSE)</f>
        <v>1.0024</v>
      </c>
      <c r="BJ388" s="30">
        <f>Inventory[[#This Row],[Nbhd Adj]]*0.95</f>
        <v>0.94971499999999998</v>
      </c>
      <c r="BK388" s="30">
        <f>AVERAGE(Inventory[[#This Row],[Nbhd Adj]],Inventory[[#This Row],[Quality Adj]],Inventory[[#This Row],[Condition Adj]],Inventory[[#This Row],[Living Area Adj]],Inventory[[#This Row],[Decade Adj]])*0.95</f>
        <v>0.95037999999999989</v>
      </c>
      <c r="BL388" s="30">
        <f>ROUND((SUM(Inventory[[#This Row],[Mdl Qlty]:[Mdl Garage Area]])+Inventory[[#This Row],[Mdl Res Intercept]])*Inventory[[#This Row],[Res Adj ]],-2)</f>
        <v>342800</v>
      </c>
      <c r="BM388" s="30">
        <f>ROUND(Inventory[[#This Row],[25Det]]*Inventory[[#This Row],[Det/Nbhd Adj]],-2)</f>
        <v>0</v>
      </c>
      <c r="BN388" s="30">
        <f>Inventory[[#This Row],[Adjusted Res]]+Inventory[[#This Row],[Adj Det ]]</f>
        <v>342800</v>
      </c>
      <c r="BO388" s="30">
        <f>ROUND((Inventory[[#This Row],[Mdl Land Intercept]]+Inventory[[#This Row],[Mdl LnAcres]])*Inventory[[#This Row],[Det/Nbhd Adj]],-2)</f>
        <v>62500</v>
      </c>
      <c r="BP388" s="30">
        <f>Inventory[[#This Row],[Adjusted Impr Total]]+Inventory[[#This Row],[Adjusted Land Total]]</f>
        <v>405300</v>
      </c>
      <c r="BQ388" s="30">
        <f>IFERROR((Inventory[[#This Row],[Adjusted Impr Total]]-Inventory[[#This Row],[24Bldg]])/Inventory[[#This Row],[24Bldg]],0)</f>
        <v>-9.4319682959048884E-2</v>
      </c>
      <c r="BR388" s="43">
        <f>(Inventory[[#This Row],[Adjusted Land Total]]-Inventory[[#This Row],[24Lnd]])/Inventory[[#This Row],[24Lnd]]</f>
        <v>0</v>
      </c>
      <c r="BS388" s="43">
        <f>(Inventory[[#This Row],[Adjusted Total]]-Inventory[[#This Row],[24Final]])/Inventory[[#This Row],[24Final]]</f>
        <v>-8.0952380952380956E-2</v>
      </c>
    </row>
    <row r="389" spans="1:71">
      <c r="A389" s="30">
        <v>2025</v>
      </c>
      <c r="B389" s="31" t="s">
        <v>903</v>
      </c>
      <c r="C389" s="31">
        <f>LN(Inventory[[#This Row],[Acres]])</f>
        <v>-1.7147984280919266</v>
      </c>
      <c r="D389" s="30">
        <v>0.18</v>
      </c>
      <c r="E389" s="30">
        <v>7738</v>
      </c>
      <c r="F389" s="31" t="s">
        <v>505</v>
      </c>
      <c r="G389" s="31" t="s">
        <v>155</v>
      </c>
      <c r="H389" s="31" t="s">
        <v>5</v>
      </c>
      <c r="I389" s="31" t="s">
        <v>506</v>
      </c>
      <c r="J389" s="31" t="s">
        <v>507</v>
      </c>
      <c r="K389" s="31" t="s">
        <v>157</v>
      </c>
      <c r="L389" s="31" t="s">
        <v>21</v>
      </c>
      <c r="M389" s="31" t="s">
        <v>22</v>
      </c>
      <c r="N389" s="31">
        <v>10</v>
      </c>
      <c r="O389" s="31">
        <f>2024-Inventory[[#This Row],[YrBlt]]</f>
        <v>13</v>
      </c>
      <c r="P389" s="31">
        <f>2024-Inventory[[#This Row],[EffYr]]</f>
        <v>13</v>
      </c>
      <c r="Q389" s="30">
        <v>2011</v>
      </c>
      <c r="R389" s="30">
        <v>2011</v>
      </c>
      <c r="S389" s="30">
        <v>1185</v>
      </c>
      <c r="T389" s="30">
        <v>1308</v>
      </c>
      <c r="U389" s="32"/>
      <c r="V389" s="32"/>
      <c r="W389" s="32"/>
      <c r="X389" s="32">
        <f>Inventory[[#This Row],[Bsmt Area]]-Inventory[[#This Row],[FnBsmt]]</f>
        <v>0</v>
      </c>
      <c r="Y389" s="32">
        <f>Inventory[[#This Row],[MainFn]]+Inventory[[#This Row],[UpprFn]]+Inventory[[#This Row],[AddFn]]+Inventory[[#This Row],[FnBsmt]]</f>
        <v>2493</v>
      </c>
      <c r="Z389" s="32">
        <v>2500</v>
      </c>
      <c r="AA389" s="31" t="s">
        <v>56</v>
      </c>
      <c r="AB389" s="32"/>
      <c r="AC389" s="30">
        <v>300</v>
      </c>
      <c r="AD389" s="38">
        <v>488</v>
      </c>
      <c r="AE389" s="32"/>
      <c r="AF389" s="32"/>
      <c r="AG389" s="32"/>
      <c r="AH389" s="32"/>
      <c r="AI389" s="30">
        <v>509883</v>
      </c>
      <c r="AJ389" s="30">
        <v>484389</v>
      </c>
      <c r="AK389" s="30">
        <v>0</v>
      </c>
      <c r="AL389" s="30">
        <v>0</v>
      </c>
      <c r="AM389" s="30">
        <v>62500</v>
      </c>
      <c r="AN389" s="30">
        <v>386300</v>
      </c>
      <c r="AO389" s="30">
        <v>448800</v>
      </c>
      <c r="AP389" s="30">
        <f>Lookups!$B$58*0.6</f>
        <v>132535.48800000001</v>
      </c>
      <c r="AQ389" s="30">
        <f>Lookups!$B$58*0.4</f>
        <v>88356.992000000013</v>
      </c>
      <c r="AR389" s="30">
        <f>Lookups!$B$59*Inventory[[#This Row],[LnAcres]]</f>
        <v>-22505.565020573864</v>
      </c>
      <c r="AS389" s="30">
        <f>VLOOKUP(Inventory[[#This Row],[Qlty]],Lookups!$A$66:$E$79,2,FALSE)</f>
        <v>32917.849192000001</v>
      </c>
      <c r="AT389" s="30">
        <f>VLOOKUP(Inventory[[#This Row],[Cnd]],Lookups!$A$80:$E$88,2,FALSE)</f>
        <v>50438.379078999998</v>
      </c>
      <c r="AU389" s="30">
        <f>Inventory[[#This Row],[EffAge]]*Lookups!$B$65</f>
        <v>-1413.6342999999999</v>
      </c>
      <c r="AV389" s="30">
        <f>Inventory[[#This Row],[MainFn]]*Lookups!$B$90</f>
        <v>73956.300300000003</v>
      </c>
      <c r="AW389" s="30">
        <f>Inventory[[#This Row],[UpprFn]]*Lookups!$B$91</f>
        <v>77931.140963999991</v>
      </c>
      <c r="AX389" s="30">
        <f>Inventory[[#This Row],[Bsmt Area]]*Lookups!$B$95</f>
        <v>0</v>
      </c>
      <c r="AY389" s="30">
        <f>Inventory[[#This Row],[AttGar]]*Lookups!$B$93</f>
        <v>10590.309300000001</v>
      </c>
      <c r="AZ389" s="30">
        <f>ROUND(Inventory[[#This Row],[25Det]],-2)</f>
        <v>0</v>
      </c>
      <c r="BA389" s="30">
        <f>ROUND(SUM(Inventory[[#This Row],[Mdl Qlty]:[Mdl Garage Area]])+Inventory[[#This Row],[Mdl Res Intercept]],-2)</f>
        <v>377000</v>
      </c>
      <c r="BB389" s="30">
        <f>ROUND(Inventory[[#This Row],[Mdl Land Intercept]]+Inventory[[#This Row],[Mdl LnAcres]],-2)</f>
        <v>65900</v>
      </c>
      <c r="BC389" s="30">
        <f>Inventory[[#This Row],[Unadj Res Value]]+Inventory[[#This Row],[Unadj Det Value]]+Inventory[[#This Row],[Unadj Land Value]]</f>
        <v>442900</v>
      </c>
      <c r="BD389" s="30">
        <f>(Inventory[[#This Row],[Unadj Total Value]]-Inventory[[#This Row],[24Final]])/Inventory[[#This Row],[24Final]]</f>
        <v>-1.3146167557932263E-2</v>
      </c>
      <c r="BE389" s="30">
        <f>VLOOKUP(Inventory[[#This Row],[Nbhd]],Lookups!$M$3:$P$5,4,FALSE)</f>
        <v>0.99970000000000003</v>
      </c>
      <c r="BF389" s="30">
        <f>VLOOKUP(Inventory[[#This Row],[Qlty]],Lookups!$M$8:$P$22,4,FALSE)</f>
        <v>1.0019</v>
      </c>
      <c r="BG389" s="30">
        <f>VLOOKUP(Inventory[[#This Row],[Cnd]],Lookups!$R$8:$U$17,4,FALSE)</f>
        <v>1.0007999999999999</v>
      </c>
      <c r="BH389" s="30">
        <f>VLOOKUP(Inventory[[#This Row],[LivArea Range]],Lookups!$R$25:$U$43,4,FALSE)</f>
        <v>1.0008999999999999</v>
      </c>
      <c r="BI389" s="30">
        <f>VLOOKUP(Inventory[[#This Row],[Decade]],Lookups!$M$24:$P$40,4,FALSE)</f>
        <v>1.0024</v>
      </c>
      <c r="BJ389" s="30">
        <f>Inventory[[#This Row],[Nbhd Adj]]*0.95</f>
        <v>0.94971499999999998</v>
      </c>
      <c r="BK389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389" s="30">
        <f>ROUND((SUM(Inventory[[#This Row],[Mdl Qlty]:[Mdl Garage Area]])+Inventory[[#This Row],[Mdl Res Intercept]])*Inventory[[#This Row],[Res Adj ]],-2)</f>
        <v>358500</v>
      </c>
      <c r="BM389" s="30">
        <f>ROUND(Inventory[[#This Row],[25Det]]*Inventory[[#This Row],[Det/Nbhd Adj]],-2)</f>
        <v>0</v>
      </c>
      <c r="BN389" s="30">
        <f>Inventory[[#This Row],[Adjusted Res]]+Inventory[[#This Row],[Adj Det ]]</f>
        <v>358500</v>
      </c>
      <c r="BO389" s="30">
        <f>ROUND((Inventory[[#This Row],[Mdl Land Intercept]]+Inventory[[#This Row],[Mdl LnAcres]])*Inventory[[#This Row],[Det/Nbhd Adj]],-2)</f>
        <v>62500</v>
      </c>
      <c r="BP389" s="30">
        <f>Inventory[[#This Row],[Adjusted Impr Total]]+Inventory[[#This Row],[Adjusted Land Total]]</f>
        <v>421000</v>
      </c>
      <c r="BQ389" s="30">
        <f>IFERROR((Inventory[[#This Row],[Adjusted Impr Total]]-Inventory[[#This Row],[24Bldg]])/Inventory[[#This Row],[24Bldg]],0)</f>
        <v>-7.1964794201397883E-2</v>
      </c>
      <c r="BR389" s="43">
        <f>(Inventory[[#This Row],[Adjusted Land Total]]-Inventory[[#This Row],[24Lnd]])/Inventory[[#This Row],[24Lnd]]</f>
        <v>0</v>
      </c>
      <c r="BS389" s="43">
        <f>(Inventory[[#This Row],[Adjusted Total]]-Inventory[[#This Row],[24Final]])/Inventory[[#This Row],[24Final]]</f>
        <v>-6.1942959001782531E-2</v>
      </c>
    </row>
    <row r="390" spans="1:71">
      <c r="A390" s="30">
        <v>2025</v>
      </c>
      <c r="B390" s="31" t="s">
        <v>904</v>
      </c>
      <c r="C390" s="31">
        <f>LN(Inventory[[#This Row],[Acres]])</f>
        <v>-1.7147984280919266</v>
      </c>
      <c r="D390" s="30">
        <v>0.18</v>
      </c>
      <c r="E390" s="30">
        <v>7738</v>
      </c>
      <c r="F390" s="31" t="s">
        <v>505</v>
      </c>
      <c r="G390" s="31" t="s">
        <v>155</v>
      </c>
      <c r="H390" s="31" t="s">
        <v>5</v>
      </c>
      <c r="I390" s="31" t="s">
        <v>506</v>
      </c>
      <c r="J390" s="31" t="s">
        <v>507</v>
      </c>
      <c r="K390" s="31" t="s">
        <v>330</v>
      </c>
      <c r="L390" s="31" t="s">
        <v>19</v>
      </c>
      <c r="M390" s="31" t="s">
        <v>22</v>
      </c>
      <c r="N390" s="31">
        <v>10</v>
      </c>
      <c r="O390" s="31">
        <f>2024-Inventory[[#This Row],[YrBlt]]</f>
        <v>13</v>
      </c>
      <c r="P390" s="31">
        <f>2024-Inventory[[#This Row],[EffYr]]</f>
        <v>13</v>
      </c>
      <c r="Q390" s="30">
        <v>2011</v>
      </c>
      <c r="R390" s="30">
        <v>2011</v>
      </c>
      <c r="S390" s="30">
        <v>1289</v>
      </c>
      <c r="T390" s="30">
        <v>1564</v>
      </c>
      <c r="U390" s="32"/>
      <c r="V390" s="32"/>
      <c r="W390" s="32"/>
      <c r="X390" s="32">
        <f>Inventory[[#This Row],[Bsmt Area]]-Inventory[[#This Row],[FnBsmt]]</f>
        <v>0</v>
      </c>
      <c r="Y390" s="32">
        <f>Inventory[[#This Row],[MainFn]]+Inventory[[#This Row],[UpprFn]]+Inventory[[#This Row],[AddFn]]+Inventory[[#This Row],[FnBsmt]]</f>
        <v>2853</v>
      </c>
      <c r="Z390" s="32">
        <v>3000</v>
      </c>
      <c r="AA390" s="31" t="s">
        <v>56</v>
      </c>
      <c r="AB390" s="37"/>
      <c r="AC390" s="32"/>
      <c r="AD390" s="30">
        <v>494</v>
      </c>
      <c r="AE390" s="32"/>
      <c r="AF390" s="32"/>
      <c r="AG390" s="32"/>
      <c r="AH390" s="32"/>
      <c r="AI390" s="30">
        <v>468918</v>
      </c>
      <c r="AJ390" s="30">
        <v>445472</v>
      </c>
      <c r="AK390" s="30">
        <v>0</v>
      </c>
      <c r="AL390" s="30">
        <v>0</v>
      </c>
      <c r="AM390" s="30">
        <v>62500</v>
      </c>
      <c r="AN390" s="30">
        <v>399700</v>
      </c>
      <c r="AO390" s="30">
        <v>462200</v>
      </c>
      <c r="AP390" s="30">
        <f>Lookups!$B$58*0.6</f>
        <v>132535.48800000001</v>
      </c>
      <c r="AQ390" s="30">
        <f>Lookups!$B$58*0.4</f>
        <v>88356.992000000013</v>
      </c>
      <c r="AR390" s="30">
        <f>Lookups!$B$59*Inventory[[#This Row],[LnAcres]]</f>
        <v>-22505.565020573864</v>
      </c>
      <c r="AS390" s="30">
        <f>VLOOKUP(Inventory[[#This Row],[Qlty]],Lookups!$A$66:$E$79,2,FALSE)</f>
        <v>37154.252388000001</v>
      </c>
      <c r="AT390" s="30">
        <f>VLOOKUP(Inventory[[#This Row],[Cnd]],Lookups!$A$80:$E$88,2,FALSE)</f>
        <v>50438.379078999998</v>
      </c>
      <c r="AU390" s="30">
        <f>Inventory[[#This Row],[EffAge]]*Lookups!$B$65</f>
        <v>-1413.6342999999999</v>
      </c>
      <c r="AV390" s="30">
        <f>Inventory[[#This Row],[MainFn]]*Lookups!$B$90</f>
        <v>80446.979820000008</v>
      </c>
      <c r="AW390" s="30">
        <f>Inventory[[#This Row],[UpprFn]]*Lookups!$B$91</f>
        <v>93183.719012000001</v>
      </c>
      <c r="AX390" s="30">
        <f>Inventory[[#This Row],[Bsmt Area]]*Lookups!$B$95</f>
        <v>0</v>
      </c>
      <c r="AY390" s="30">
        <f>Inventory[[#This Row],[AttGar]]*Lookups!$B$93</f>
        <v>0</v>
      </c>
      <c r="AZ390" s="30">
        <f>ROUND(Inventory[[#This Row],[25Det]],-2)</f>
        <v>0</v>
      </c>
      <c r="BA390" s="30">
        <f>ROUND(SUM(Inventory[[#This Row],[Mdl Qlty]:[Mdl Garage Area]])+Inventory[[#This Row],[Mdl Res Intercept]],-2)</f>
        <v>392300</v>
      </c>
      <c r="BB390" s="30">
        <f>ROUND(Inventory[[#This Row],[Mdl Land Intercept]]+Inventory[[#This Row],[Mdl LnAcres]],-2)</f>
        <v>65900</v>
      </c>
      <c r="BC390" s="30">
        <f>Inventory[[#This Row],[Unadj Res Value]]+Inventory[[#This Row],[Unadj Det Value]]+Inventory[[#This Row],[Unadj Land Value]]</f>
        <v>458200</v>
      </c>
      <c r="BD390" s="30">
        <f>(Inventory[[#This Row],[Unadj Total Value]]-Inventory[[#This Row],[24Final]])/Inventory[[#This Row],[24Final]]</f>
        <v>-8.6542622241453909E-3</v>
      </c>
      <c r="BE390" s="30">
        <f>VLOOKUP(Inventory[[#This Row],[Nbhd]],Lookups!$M$3:$P$5,4,FALSE)</f>
        <v>0.99970000000000003</v>
      </c>
      <c r="BF390" s="30">
        <f>VLOOKUP(Inventory[[#This Row],[Qlty]],Lookups!$M$8:$P$22,4,FALSE)</f>
        <v>0.99819999999999998</v>
      </c>
      <c r="BG390" s="30">
        <f>VLOOKUP(Inventory[[#This Row],[Cnd]],Lookups!$R$8:$U$17,4,FALSE)</f>
        <v>1.0007999999999999</v>
      </c>
      <c r="BH390" s="30">
        <f>VLOOKUP(Inventory[[#This Row],[LivArea Range]],Lookups!$R$25:$U$43,4,FALSE)</f>
        <v>1.0099</v>
      </c>
      <c r="BI390" s="30">
        <f>VLOOKUP(Inventory[[#This Row],[Decade]],Lookups!$M$24:$P$40,4,FALSE)</f>
        <v>1.0024</v>
      </c>
      <c r="BJ390" s="30">
        <f>Inventory[[#This Row],[Nbhd Adj]]*0.95</f>
        <v>0.94971499999999998</v>
      </c>
      <c r="BK390" s="30">
        <f>AVERAGE(Inventory[[#This Row],[Nbhd Adj]],Inventory[[#This Row],[Quality Adj]],Inventory[[#This Row],[Condition Adj]],Inventory[[#This Row],[Living Area Adj]],Inventory[[#This Row],[Decade Adj]])*0.95</f>
        <v>0.95208999999999977</v>
      </c>
      <c r="BL390" s="30">
        <f>ROUND((SUM(Inventory[[#This Row],[Mdl Qlty]:[Mdl Garage Area]])+Inventory[[#This Row],[Mdl Res Intercept]])*Inventory[[#This Row],[Res Adj ]],-2)</f>
        <v>373500</v>
      </c>
      <c r="BM390" s="30">
        <f>ROUND(Inventory[[#This Row],[25Det]]*Inventory[[#This Row],[Det/Nbhd Adj]],-2)</f>
        <v>0</v>
      </c>
      <c r="BN390" s="30">
        <f>Inventory[[#This Row],[Adjusted Res]]+Inventory[[#This Row],[Adj Det ]]</f>
        <v>373500</v>
      </c>
      <c r="BO390" s="30">
        <f>ROUND((Inventory[[#This Row],[Mdl Land Intercept]]+Inventory[[#This Row],[Mdl LnAcres]])*Inventory[[#This Row],[Det/Nbhd Adj]],-2)</f>
        <v>62500</v>
      </c>
      <c r="BP390" s="30">
        <f>Inventory[[#This Row],[Adjusted Impr Total]]+Inventory[[#This Row],[Adjusted Land Total]]</f>
        <v>436000</v>
      </c>
      <c r="BQ390" s="30">
        <f>IFERROR((Inventory[[#This Row],[Adjusted Impr Total]]-Inventory[[#This Row],[24Bldg]])/Inventory[[#This Row],[24Bldg]],0)</f>
        <v>-6.5549161871403555E-2</v>
      </c>
      <c r="BR390" s="43">
        <f>(Inventory[[#This Row],[Adjusted Land Total]]-Inventory[[#This Row],[24Lnd]])/Inventory[[#This Row],[24Lnd]]</f>
        <v>0</v>
      </c>
      <c r="BS390" s="43">
        <f>(Inventory[[#This Row],[Adjusted Total]]-Inventory[[#This Row],[24Final]])/Inventory[[#This Row],[24Final]]</f>
        <v>-5.6685417568152312E-2</v>
      </c>
    </row>
    <row r="391" spans="1:71">
      <c r="A391" s="30">
        <v>2025</v>
      </c>
      <c r="B391" s="31" t="s">
        <v>905</v>
      </c>
      <c r="C391" s="31">
        <f>LN(Inventory[[#This Row],[Acres]])</f>
        <v>-1.7147984280919266</v>
      </c>
      <c r="D391" s="30">
        <v>0.18</v>
      </c>
      <c r="E391" s="30">
        <v>7865</v>
      </c>
      <c r="F391" s="31" t="s">
        <v>505</v>
      </c>
      <c r="G391" s="31" t="s">
        <v>155</v>
      </c>
      <c r="H391" s="31" t="s">
        <v>5</v>
      </c>
      <c r="I391" s="31" t="s">
        <v>506</v>
      </c>
      <c r="J391" s="31" t="s">
        <v>507</v>
      </c>
      <c r="K391" s="31" t="s">
        <v>330</v>
      </c>
      <c r="L391" s="31" t="s">
        <v>21</v>
      </c>
      <c r="M391" s="31" t="s">
        <v>20</v>
      </c>
      <c r="N391" s="31">
        <v>10</v>
      </c>
      <c r="O391" s="31">
        <f>2024-Inventory[[#This Row],[YrBlt]]</f>
        <v>13</v>
      </c>
      <c r="P391" s="31">
        <f>2024-Inventory[[#This Row],[EffYr]]</f>
        <v>13</v>
      </c>
      <c r="Q391" s="30">
        <v>2011</v>
      </c>
      <c r="R391" s="30">
        <v>2011</v>
      </c>
      <c r="S391" s="30">
        <v>1521</v>
      </c>
      <c r="T391" s="37"/>
      <c r="U391" s="32"/>
      <c r="V391" s="32"/>
      <c r="W391" s="32"/>
      <c r="X391" s="32">
        <f>Inventory[[#This Row],[Bsmt Area]]-Inventory[[#This Row],[FnBsmt]]</f>
        <v>0</v>
      </c>
      <c r="Y391" s="32">
        <f>Inventory[[#This Row],[MainFn]]+Inventory[[#This Row],[UpprFn]]+Inventory[[#This Row],[AddFn]]+Inventory[[#This Row],[FnBsmt]]</f>
        <v>1521</v>
      </c>
      <c r="Z391" s="32">
        <v>2000</v>
      </c>
      <c r="AA391" s="31" t="s">
        <v>56</v>
      </c>
      <c r="AB391" s="32"/>
      <c r="AC391" s="30">
        <v>435</v>
      </c>
      <c r="AD391" s="32"/>
      <c r="AE391" s="32"/>
      <c r="AF391" s="32"/>
      <c r="AG391" s="32"/>
      <c r="AH391" s="32"/>
      <c r="AI391" s="30">
        <v>353009</v>
      </c>
      <c r="AJ391" s="30">
        <v>331828</v>
      </c>
      <c r="AK391" s="30">
        <v>0</v>
      </c>
      <c r="AL391" s="30">
        <v>0</v>
      </c>
      <c r="AM391" s="30">
        <v>62500</v>
      </c>
      <c r="AN391" s="30">
        <v>307200</v>
      </c>
      <c r="AO391" s="30">
        <v>369700</v>
      </c>
      <c r="AP391" s="30">
        <f>Lookups!$B$58*0.6</f>
        <v>132535.48800000001</v>
      </c>
      <c r="AQ391" s="30">
        <f>Lookups!$B$58*0.4</f>
        <v>88356.992000000013</v>
      </c>
      <c r="AR391" s="30">
        <f>Lookups!$B$59*Inventory[[#This Row],[LnAcres]]</f>
        <v>-22505.565020573864</v>
      </c>
      <c r="AS391" s="30">
        <f>VLOOKUP(Inventory[[#This Row],[Qlty]],Lookups!$A$66:$E$79,2,FALSE)</f>
        <v>32917.849192000001</v>
      </c>
      <c r="AT391" s="30">
        <f>VLOOKUP(Inventory[[#This Row],[Cnd]],Lookups!$A$80:$E$88,2,FALSE)</f>
        <v>30300.329274</v>
      </c>
      <c r="AU391" s="30">
        <f>Inventory[[#This Row],[EffAge]]*Lookups!$B$65</f>
        <v>-1413.6342999999999</v>
      </c>
      <c r="AV391" s="30">
        <f>Inventory[[#This Row],[MainFn]]*Lookups!$B$90</f>
        <v>94926.187980000002</v>
      </c>
      <c r="AW391" s="30">
        <f>Inventory[[#This Row],[UpprFn]]*Lookups!$B$91</f>
        <v>0</v>
      </c>
      <c r="AX391" s="30">
        <f>Inventory[[#This Row],[Bsmt Area]]*Lookups!$B$95</f>
        <v>0</v>
      </c>
      <c r="AY391" s="30">
        <f>Inventory[[#This Row],[AttGar]]*Lookups!$B$93</f>
        <v>15355.948485000001</v>
      </c>
      <c r="AZ391" s="30">
        <f>ROUND(Inventory[[#This Row],[25Det]],-2)</f>
        <v>0</v>
      </c>
      <c r="BA391" s="30">
        <f>ROUND(SUM(Inventory[[#This Row],[Mdl Qlty]:[Mdl Garage Area]])+Inventory[[#This Row],[Mdl Res Intercept]],-2)</f>
        <v>304600</v>
      </c>
      <c r="BB391" s="30">
        <f>ROUND(Inventory[[#This Row],[Mdl Land Intercept]]+Inventory[[#This Row],[Mdl LnAcres]],-2)</f>
        <v>65900</v>
      </c>
      <c r="BC391" s="30">
        <f>Inventory[[#This Row],[Unadj Res Value]]+Inventory[[#This Row],[Unadj Det Value]]+Inventory[[#This Row],[Unadj Land Value]]</f>
        <v>370500</v>
      </c>
      <c r="BD391" s="30">
        <f>(Inventory[[#This Row],[Unadj Total Value]]-Inventory[[#This Row],[24Final]])/Inventory[[#This Row],[24Final]]</f>
        <v>2.1639166892074655E-3</v>
      </c>
      <c r="BE391" s="30">
        <f>VLOOKUP(Inventory[[#This Row],[Nbhd]],Lookups!$M$3:$P$5,4,FALSE)</f>
        <v>0.99970000000000003</v>
      </c>
      <c r="BF391" s="30">
        <f>VLOOKUP(Inventory[[#This Row],[Qlty]],Lookups!$M$8:$P$22,4,FALSE)</f>
        <v>1.0019</v>
      </c>
      <c r="BG391" s="30">
        <f>VLOOKUP(Inventory[[#This Row],[Cnd]],Lookups!$R$8:$U$17,4,FALSE)</f>
        <v>0.997</v>
      </c>
      <c r="BH391" s="30">
        <f>VLOOKUP(Inventory[[#This Row],[LivArea Range]],Lookups!$R$25:$U$43,4,FALSE)</f>
        <v>1.0007999999999999</v>
      </c>
      <c r="BI391" s="30">
        <f>VLOOKUP(Inventory[[#This Row],[Decade]],Lookups!$M$24:$P$40,4,FALSE)</f>
        <v>1.0024</v>
      </c>
      <c r="BJ391" s="30">
        <f>Inventory[[#This Row],[Nbhd Adj]]*0.95</f>
        <v>0.94971499999999998</v>
      </c>
      <c r="BK391" s="30">
        <f>AVERAGE(Inventory[[#This Row],[Nbhd Adj]],Inventory[[#This Row],[Quality Adj]],Inventory[[#This Row],[Condition Adj]],Inventory[[#This Row],[Living Area Adj]],Inventory[[#This Row],[Decade Adj]])*0.95</f>
        <v>0.95034199999999991</v>
      </c>
      <c r="BL391" s="30">
        <f>ROUND((SUM(Inventory[[#This Row],[Mdl Qlty]:[Mdl Garage Area]])+Inventory[[#This Row],[Mdl Res Intercept]])*Inventory[[#This Row],[Res Adj ]],-2)</f>
        <v>289500</v>
      </c>
      <c r="BM391" s="30">
        <f>ROUND(Inventory[[#This Row],[25Det]]*Inventory[[#This Row],[Det/Nbhd Adj]],-2)</f>
        <v>0</v>
      </c>
      <c r="BN391" s="30">
        <f>Inventory[[#This Row],[Adjusted Res]]+Inventory[[#This Row],[Adj Det ]]</f>
        <v>289500</v>
      </c>
      <c r="BO391" s="30">
        <f>ROUND((Inventory[[#This Row],[Mdl Land Intercept]]+Inventory[[#This Row],[Mdl LnAcres]])*Inventory[[#This Row],[Det/Nbhd Adj]],-2)</f>
        <v>62500</v>
      </c>
      <c r="BP391" s="30">
        <f>Inventory[[#This Row],[Adjusted Impr Total]]+Inventory[[#This Row],[Adjusted Land Total]]</f>
        <v>352000</v>
      </c>
      <c r="BQ391" s="30">
        <f>IFERROR((Inventory[[#This Row],[Adjusted Impr Total]]-Inventory[[#This Row],[24Bldg]])/Inventory[[#This Row],[24Bldg]],0)</f>
        <v>-5.76171875E-2</v>
      </c>
      <c r="BR391" s="43">
        <f>(Inventory[[#This Row],[Adjusted Land Total]]-Inventory[[#This Row],[24Lnd]])/Inventory[[#This Row],[24Lnd]]</f>
        <v>0</v>
      </c>
      <c r="BS391" s="43">
        <f>(Inventory[[#This Row],[Adjusted Total]]-Inventory[[#This Row],[24Final]])/Inventory[[#This Row],[24Final]]</f>
        <v>-4.7876656748715177E-2</v>
      </c>
    </row>
    <row r="392" spans="1:71">
      <c r="A392" s="30">
        <v>2025</v>
      </c>
      <c r="B392" s="31" t="s">
        <v>906</v>
      </c>
      <c r="C392" s="31">
        <f>LN(Inventory[[#This Row],[Acres]])</f>
        <v>-1.7147984280919266</v>
      </c>
      <c r="D392" s="30">
        <v>0.18</v>
      </c>
      <c r="E392" s="30">
        <v>7687</v>
      </c>
      <c r="F392" s="31" t="s">
        <v>505</v>
      </c>
      <c r="G392" s="31" t="s">
        <v>155</v>
      </c>
      <c r="H392" s="31" t="s">
        <v>5</v>
      </c>
      <c r="I392" s="31" t="s">
        <v>506</v>
      </c>
      <c r="J392" s="31" t="s">
        <v>507</v>
      </c>
      <c r="K392" s="31" t="s">
        <v>330</v>
      </c>
      <c r="L392" s="31" t="s">
        <v>21</v>
      </c>
      <c r="M392" s="31" t="s">
        <v>20</v>
      </c>
      <c r="N392" s="31">
        <v>10</v>
      </c>
      <c r="O392" s="31">
        <f>2024-Inventory[[#This Row],[YrBlt]]</f>
        <v>13</v>
      </c>
      <c r="P392" s="31">
        <f>2024-Inventory[[#This Row],[EffYr]]</f>
        <v>13</v>
      </c>
      <c r="Q392" s="30">
        <v>2011</v>
      </c>
      <c r="R392" s="30">
        <v>2011</v>
      </c>
      <c r="S392" s="30">
        <v>1524</v>
      </c>
      <c r="T392" s="37"/>
      <c r="U392" s="32"/>
      <c r="V392" s="32"/>
      <c r="W392" s="32"/>
      <c r="X392" s="32">
        <f>Inventory[[#This Row],[Bsmt Area]]-Inventory[[#This Row],[FnBsmt]]</f>
        <v>0</v>
      </c>
      <c r="Y392" s="32">
        <f>Inventory[[#This Row],[MainFn]]+Inventory[[#This Row],[UpprFn]]+Inventory[[#This Row],[AddFn]]+Inventory[[#This Row],[FnBsmt]]</f>
        <v>1524</v>
      </c>
      <c r="Z392" s="32">
        <v>2000</v>
      </c>
      <c r="AA392" s="31" t="s">
        <v>56</v>
      </c>
      <c r="AB392" s="32"/>
      <c r="AC392" s="30">
        <v>432</v>
      </c>
      <c r="AD392" s="37"/>
      <c r="AE392" s="32"/>
      <c r="AF392" s="32"/>
      <c r="AG392" s="32"/>
      <c r="AH392" s="32"/>
      <c r="AI392" s="30">
        <v>349818</v>
      </c>
      <c r="AJ392" s="30">
        <v>328829</v>
      </c>
      <c r="AK392" s="30">
        <v>0</v>
      </c>
      <c r="AL392" s="30">
        <v>0</v>
      </c>
      <c r="AM392" s="30">
        <v>62500</v>
      </c>
      <c r="AN392" s="30">
        <v>307200</v>
      </c>
      <c r="AO392" s="30">
        <v>369700</v>
      </c>
      <c r="AP392" s="30">
        <f>Lookups!$B$58*0.6</f>
        <v>132535.48800000001</v>
      </c>
      <c r="AQ392" s="30">
        <f>Lookups!$B$58*0.4</f>
        <v>88356.992000000013</v>
      </c>
      <c r="AR392" s="30">
        <f>Lookups!$B$59*Inventory[[#This Row],[LnAcres]]</f>
        <v>-22505.565020573864</v>
      </c>
      <c r="AS392" s="30">
        <f>VLOOKUP(Inventory[[#This Row],[Qlty]],Lookups!$A$66:$E$79,2,FALSE)</f>
        <v>32917.849192000001</v>
      </c>
      <c r="AT392" s="30">
        <f>VLOOKUP(Inventory[[#This Row],[Cnd]],Lookups!$A$80:$E$88,2,FALSE)</f>
        <v>30300.329274</v>
      </c>
      <c r="AU392" s="30">
        <f>Inventory[[#This Row],[EffAge]]*Lookups!$B$65</f>
        <v>-1413.6342999999999</v>
      </c>
      <c r="AV392" s="30">
        <f>Inventory[[#This Row],[MainFn]]*Lookups!$B$90</f>
        <v>95113.419120000006</v>
      </c>
      <c r="AW392" s="30">
        <f>Inventory[[#This Row],[UpprFn]]*Lookups!$B$91</f>
        <v>0</v>
      </c>
      <c r="AX392" s="30">
        <f>Inventory[[#This Row],[Bsmt Area]]*Lookups!$B$95</f>
        <v>0</v>
      </c>
      <c r="AY392" s="30">
        <f>Inventory[[#This Row],[AttGar]]*Lookups!$B$93</f>
        <v>15250.045392</v>
      </c>
      <c r="AZ392" s="30">
        <f>ROUND(Inventory[[#This Row],[25Det]],-2)</f>
        <v>0</v>
      </c>
      <c r="BA392" s="30">
        <f>ROUND(SUM(Inventory[[#This Row],[Mdl Qlty]:[Mdl Garage Area]])+Inventory[[#This Row],[Mdl Res Intercept]],-2)</f>
        <v>304700</v>
      </c>
      <c r="BB392" s="30">
        <f>ROUND(Inventory[[#This Row],[Mdl Land Intercept]]+Inventory[[#This Row],[Mdl LnAcres]],-2)</f>
        <v>65900</v>
      </c>
      <c r="BC392" s="30">
        <f>Inventory[[#This Row],[Unadj Res Value]]+Inventory[[#This Row],[Unadj Det Value]]+Inventory[[#This Row],[Unadj Land Value]]</f>
        <v>370600</v>
      </c>
      <c r="BD392" s="30">
        <f>(Inventory[[#This Row],[Unadj Total Value]]-Inventory[[#This Row],[24Final]])/Inventory[[#This Row],[24Final]]</f>
        <v>2.4344062753583989E-3</v>
      </c>
      <c r="BE392" s="30">
        <f>VLOOKUP(Inventory[[#This Row],[Nbhd]],Lookups!$M$3:$P$5,4,FALSE)</f>
        <v>0.99970000000000003</v>
      </c>
      <c r="BF392" s="30">
        <f>VLOOKUP(Inventory[[#This Row],[Qlty]],Lookups!$M$8:$P$22,4,FALSE)</f>
        <v>1.0019</v>
      </c>
      <c r="BG392" s="30">
        <f>VLOOKUP(Inventory[[#This Row],[Cnd]],Lookups!$R$8:$U$17,4,FALSE)</f>
        <v>0.997</v>
      </c>
      <c r="BH392" s="30">
        <f>VLOOKUP(Inventory[[#This Row],[LivArea Range]],Lookups!$R$25:$U$43,4,FALSE)</f>
        <v>1.0007999999999999</v>
      </c>
      <c r="BI392" s="30">
        <f>VLOOKUP(Inventory[[#This Row],[Decade]],Lookups!$M$24:$P$40,4,FALSE)</f>
        <v>1.0024</v>
      </c>
      <c r="BJ392" s="30">
        <f>Inventory[[#This Row],[Nbhd Adj]]*0.95</f>
        <v>0.94971499999999998</v>
      </c>
      <c r="BK392" s="30">
        <f>AVERAGE(Inventory[[#This Row],[Nbhd Adj]],Inventory[[#This Row],[Quality Adj]],Inventory[[#This Row],[Condition Adj]],Inventory[[#This Row],[Living Area Adj]],Inventory[[#This Row],[Decade Adj]])*0.95</f>
        <v>0.95034199999999991</v>
      </c>
      <c r="BL392" s="30">
        <f>ROUND((SUM(Inventory[[#This Row],[Mdl Qlty]:[Mdl Garage Area]])+Inventory[[#This Row],[Mdl Res Intercept]])*Inventory[[#This Row],[Res Adj ]],-2)</f>
        <v>289600</v>
      </c>
      <c r="BM392" s="30">
        <f>ROUND(Inventory[[#This Row],[25Det]]*Inventory[[#This Row],[Det/Nbhd Adj]],-2)</f>
        <v>0</v>
      </c>
      <c r="BN392" s="30">
        <f>Inventory[[#This Row],[Adjusted Res]]+Inventory[[#This Row],[Adj Det ]]</f>
        <v>289600</v>
      </c>
      <c r="BO392" s="30">
        <f>ROUND((Inventory[[#This Row],[Mdl Land Intercept]]+Inventory[[#This Row],[Mdl LnAcres]])*Inventory[[#This Row],[Det/Nbhd Adj]],-2)</f>
        <v>62500</v>
      </c>
      <c r="BP392" s="30">
        <f>Inventory[[#This Row],[Adjusted Impr Total]]+Inventory[[#This Row],[Adjusted Land Total]]</f>
        <v>352100</v>
      </c>
      <c r="BQ392" s="30">
        <f>IFERROR((Inventory[[#This Row],[Adjusted Impr Total]]-Inventory[[#This Row],[24Bldg]])/Inventory[[#This Row],[24Bldg]],0)</f>
        <v>-5.7291666666666664E-2</v>
      </c>
      <c r="BR392" s="43">
        <f>(Inventory[[#This Row],[Adjusted Land Total]]-Inventory[[#This Row],[24Lnd]])/Inventory[[#This Row],[24Lnd]]</f>
        <v>0</v>
      </c>
      <c r="BS392" s="43">
        <f>(Inventory[[#This Row],[Adjusted Total]]-Inventory[[#This Row],[24Final]])/Inventory[[#This Row],[24Final]]</f>
        <v>-4.7606167162564245E-2</v>
      </c>
    </row>
    <row r="393" spans="1:71">
      <c r="A393" s="30">
        <v>2025</v>
      </c>
      <c r="B393" s="31" t="s">
        <v>907</v>
      </c>
      <c r="C393" s="31">
        <f>LN(Inventory[[#This Row],[Acres]])</f>
        <v>-1.7147984280919266</v>
      </c>
      <c r="D393" s="30">
        <v>0.18</v>
      </c>
      <c r="E393" s="30">
        <v>7738</v>
      </c>
      <c r="F393" s="31" t="s">
        <v>505</v>
      </c>
      <c r="G393" s="31" t="s">
        <v>155</v>
      </c>
      <c r="H393" s="31" t="s">
        <v>5</v>
      </c>
      <c r="I393" s="31" t="s">
        <v>506</v>
      </c>
      <c r="J393" s="31" t="s">
        <v>507</v>
      </c>
      <c r="K393" s="31" t="s">
        <v>330</v>
      </c>
      <c r="L393" s="31" t="s">
        <v>19</v>
      </c>
      <c r="M393" s="31" t="s">
        <v>22</v>
      </c>
      <c r="N393" s="31">
        <v>10</v>
      </c>
      <c r="O393" s="31">
        <f>2024-Inventory[[#This Row],[YrBlt]]</f>
        <v>13</v>
      </c>
      <c r="P393" s="31">
        <f>2024-Inventory[[#This Row],[EffYr]]</f>
        <v>13</v>
      </c>
      <c r="Q393" s="30">
        <v>2011</v>
      </c>
      <c r="R393" s="30">
        <v>2011</v>
      </c>
      <c r="S393" s="30">
        <v>1126</v>
      </c>
      <c r="T393" s="38">
        <v>1260</v>
      </c>
      <c r="U393" s="32"/>
      <c r="V393" s="32"/>
      <c r="W393" s="32"/>
      <c r="X393" s="32">
        <f>Inventory[[#This Row],[Bsmt Area]]-Inventory[[#This Row],[FnBsmt]]</f>
        <v>0</v>
      </c>
      <c r="Y393" s="32">
        <f>Inventory[[#This Row],[MainFn]]+Inventory[[#This Row],[UpprFn]]+Inventory[[#This Row],[AddFn]]+Inventory[[#This Row],[FnBsmt]]</f>
        <v>2386</v>
      </c>
      <c r="Z393" s="32">
        <v>2500</v>
      </c>
      <c r="AA393" s="31" t="s">
        <v>56</v>
      </c>
      <c r="AB393" s="38">
        <v>1</v>
      </c>
      <c r="AC393" s="30">
        <v>657</v>
      </c>
      <c r="AD393" s="32"/>
      <c r="AE393" s="32"/>
      <c r="AF393" s="32"/>
      <c r="AG393" s="32"/>
      <c r="AH393" s="32"/>
      <c r="AI393" s="30">
        <v>429865</v>
      </c>
      <c r="AJ393" s="30">
        <v>408372</v>
      </c>
      <c r="AK393" s="30">
        <v>0</v>
      </c>
      <c r="AL393" s="30">
        <v>0</v>
      </c>
      <c r="AM393" s="30">
        <v>62500</v>
      </c>
      <c r="AN393" s="30">
        <v>391000</v>
      </c>
      <c r="AO393" s="30">
        <v>453500</v>
      </c>
      <c r="AP393" s="30">
        <f>Lookups!$B$58*0.6</f>
        <v>132535.48800000001</v>
      </c>
      <c r="AQ393" s="30">
        <f>Lookups!$B$58*0.4</f>
        <v>88356.992000000013</v>
      </c>
      <c r="AR393" s="30">
        <f>Lookups!$B$59*Inventory[[#This Row],[LnAcres]]</f>
        <v>-22505.565020573864</v>
      </c>
      <c r="AS393" s="30">
        <f>VLOOKUP(Inventory[[#This Row],[Qlty]],Lookups!$A$66:$E$79,2,FALSE)</f>
        <v>37154.252388000001</v>
      </c>
      <c r="AT393" s="30">
        <f>VLOOKUP(Inventory[[#This Row],[Cnd]],Lookups!$A$80:$E$88,2,FALSE)</f>
        <v>50438.379078999998</v>
      </c>
      <c r="AU393" s="30">
        <f>Inventory[[#This Row],[EffAge]]*Lookups!$B$65</f>
        <v>-1413.6342999999999</v>
      </c>
      <c r="AV393" s="30">
        <f>Inventory[[#This Row],[MainFn]]*Lookups!$B$90</f>
        <v>70274.087880000006</v>
      </c>
      <c r="AW393" s="30">
        <f>Inventory[[#This Row],[UpprFn]]*Lookups!$B$91</f>
        <v>75071.282579999999</v>
      </c>
      <c r="AX393" s="30">
        <f>Inventory[[#This Row],[Bsmt Area]]*Lookups!$B$95</f>
        <v>0</v>
      </c>
      <c r="AY393" s="30">
        <f>Inventory[[#This Row],[AttGar]]*Lookups!$B$93</f>
        <v>23192.777367000002</v>
      </c>
      <c r="AZ393" s="30">
        <f>ROUND(Inventory[[#This Row],[25Det]],-2)</f>
        <v>0</v>
      </c>
      <c r="BA393" s="30">
        <f>ROUND(SUM(Inventory[[#This Row],[Mdl Qlty]:[Mdl Garage Area]])+Inventory[[#This Row],[Mdl Res Intercept]],-2)</f>
        <v>387300</v>
      </c>
      <c r="BB393" s="30">
        <f>ROUND(Inventory[[#This Row],[Mdl Land Intercept]]+Inventory[[#This Row],[Mdl LnAcres]],-2)</f>
        <v>65900</v>
      </c>
      <c r="BC393" s="30">
        <f>Inventory[[#This Row],[Unadj Res Value]]+Inventory[[#This Row],[Unadj Det Value]]+Inventory[[#This Row],[Unadj Land Value]]</f>
        <v>453200</v>
      </c>
      <c r="BD393" s="30">
        <f>(Inventory[[#This Row],[Unadj Total Value]]-Inventory[[#This Row],[24Final]])/Inventory[[#This Row],[24Final]]</f>
        <v>-6.6152149944873203E-4</v>
      </c>
      <c r="BE393" s="30">
        <f>VLOOKUP(Inventory[[#This Row],[Nbhd]],Lookups!$M$3:$P$5,4,FALSE)</f>
        <v>0.99970000000000003</v>
      </c>
      <c r="BF393" s="30">
        <f>VLOOKUP(Inventory[[#This Row],[Qlty]],Lookups!$M$8:$P$22,4,FALSE)</f>
        <v>0.99819999999999998</v>
      </c>
      <c r="BG393" s="30">
        <f>VLOOKUP(Inventory[[#This Row],[Cnd]],Lookups!$R$8:$U$17,4,FALSE)</f>
        <v>1.0007999999999999</v>
      </c>
      <c r="BH393" s="30">
        <f>VLOOKUP(Inventory[[#This Row],[LivArea Range]],Lookups!$R$25:$U$43,4,FALSE)</f>
        <v>1.0008999999999999</v>
      </c>
      <c r="BI393" s="30">
        <f>VLOOKUP(Inventory[[#This Row],[Decade]],Lookups!$M$24:$P$40,4,FALSE)</f>
        <v>1.0024</v>
      </c>
      <c r="BJ393" s="30">
        <f>Inventory[[#This Row],[Nbhd Adj]]*0.95</f>
        <v>0.94971499999999998</v>
      </c>
      <c r="BK393" s="30">
        <f>AVERAGE(Inventory[[#This Row],[Nbhd Adj]],Inventory[[#This Row],[Quality Adj]],Inventory[[#This Row],[Condition Adj]],Inventory[[#This Row],[Living Area Adj]],Inventory[[#This Row],[Decade Adj]])*0.95</f>
        <v>0.95037999999999989</v>
      </c>
      <c r="BL393" s="30">
        <f>ROUND((SUM(Inventory[[#This Row],[Mdl Qlty]:[Mdl Garage Area]])+Inventory[[#This Row],[Mdl Res Intercept]])*Inventory[[#This Row],[Res Adj ]],-2)</f>
        <v>368000</v>
      </c>
      <c r="BM393" s="30">
        <f>ROUND(Inventory[[#This Row],[25Det]]*Inventory[[#This Row],[Det/Nbhd Adj]],-2)</f>
        <v>0</v>
      </c>
      <c r="BN393" s="30">
        <f>Inventory[[#This Row],[Adjusted Res]]+Inventory[[#This Row],[Adj Det ]]</f>
        <v>368000</v>
      </c>
      <c r="BO393" s="30">
        <f>ROUND((Inventory[[#This Row],[Mdl Land Intercept]]+Inventory[[#This Row],[Mdl LnAcres]])*Inventory[[#This Row],[Det/Nbhd Adj]],-2)</f>
        <v>62500</v>
      </c>
      <c r="BP393" s="30">
        <f>Inventory[[#This Row],[Adjusted Impr Total]]+Inventory[[#This Row],[Adjusted Land Total]]</f>
        <v>430500</v>
      </c>
      <c r="BQ393" s="30">
        <f>IFERROR((Inventory[[#This Row],[Adjusted Impr Total]]-Inventory[[#This Row],[24Bldg]])/Inventory[[#This Row],[24Bldg]],0)</f>
        <v>-5.8823529411764705E-2</v>
      </c>
      <c r="BR393" s="43">
        <f>(Inventory[[#This Row],[Adjusted Land Total]]-Inventory[[#This Row],[24Lnd]])/Inventory[[#This Row],[24Lnd]]</f>
        <v>0</v>
      </c>
      <c r="BS393" s="43">
        <f>(Inventory[[#This Row],[Adjusted Total]]-Inventory[[#This Row],[24Final]])/Inventory[[#This Row],[24Final]]</f>
        <v>-5.0716648291069456E-2</v>
      </c>
    </row>
    <row r="394" spans="1:71">
      <c r="A394" s="30">
        <v>2025</v>
      </c>
      <c r="B394" s="31" t="s">
        <v>908</v>
      </c>
      <c r="C394" s="31">
        <f>LN(Inventory[[#This Row],[Acres]])</f>
        <v>-1.7147984280919266</v>
      </c>
      <c r="D394" s="30">
        <v>0.18</v>
      </c>
      <c r="E394" s="30">
        <v>7738</v>
      </c>
      <c r="F394" s="31" t="s">
        <v>505</v>
      </c>
      <c r="G394" s="31" t="s">
        <v>155</v>
      </c>
      <c r="H394" s="31" t="s">
        <v>5</v>
      </c>
      <c r="I394" s="31" t="s">
        <v>506</v>
      </c>
      <c r="J394" s="31" t="s">
        <v>507</v>
      </c>
      <c r="K394" s="31" t="s">
        <v>157</v>
      </c>
      <c r="L394" s="31" t="s">
        <v>19</v>
      </c>
      <c r="M394" s="31" t="s">
        <v>22</v>
      </c>
      <c r="N394" s="31">
        <v>10</v>
      </c>
      <c r="O394" s="31">
        <f>2024-Inventory[[#This Row],[YrBlt]]</f>
        <v>13</v>
      </c>
      <c r="P394" s="31">
        <f>2024-Inventory[[#This Row],[EffYr]]</f>
        <v>13</v>
      </c>
      <c r="Q394" s="30">
        <v>2011</v>
      </c>
      <c r="R394" s="30">
        <v>2011</v>
      </c>
      <c r="S394" s="30">
        <v>1536</v>
      </c>
      <c r="T394" s="37"/>
      <c r="U394" s="32"/>
      <c r="V394" s="32"/>
      <c r="W394" s="32"/>
      <c r="X394" s="32">
        <f>Inventory[[#This Row],[Bsmt Area]]-Inventory[[#This Row],[FnBsmt]]</f>
        <v>0</v>
      </c>
      <c r="Y394" s="32">
        <f>Inventory[[#This Row],[MainFn]]+Inventory[[#This Row],[UpprFn]]+Inventory[[#This Row],[AddFn]]+Inventory[[#This Row],[FnBsmt]]</f>
        <v>1536</v>
      </c>
      <c r="Z394" s="32">
        <v>2000</v>
      </c>
      <c r="AA394" s="31" t="s">
        <v>56</v>
      </c>
      <c r="AB394" s="32"/>
      <c r="AC394" s="30">
        <v>420</v>
      </c>
      <c r="AD394" s="37"/>
      <c r="AE394" s="32"/>
      <c r="AF394" s="32"/>
      <c r="AG394" s="32"/>
      <c r="AH394" s="32"/>
      <c r="AI394" s="30">
        <v>308809</v>
      </c>
      <c r="AJ394" s="30">
        <v>293369</v>
      </c>
      <c r="AK394" s="30">
        <v>0</v>
      </c>
      <c r="AL394" s="30">
        <v>0</v>
      </c>
      <c r="AM394" s="30">
        <v>62500</v>
      </c>
      <c r="AN394" s="30">
        <v>327200</v>
      </c>
      <c r="AO394" s="30">
        <v>389700</v>
      </c>
      <c r="AP394" s="30">
        <f>Lookups!$B$58*0.6</f>
        <v>132535.48800000001</v>
      </c>
      <c r="AQ394" s="30">
        <f>Lookups!$B$58*0.4</f>
        <v>88356.992000000013</v>
      </c>
      <c r="AR394" s="30">
        <f>Lookups!$B$59*Inventory[[#This Row],[LnAcres]]</f>
        <v>-22505.565020573864</v>
      </c>
      <c r="AS394" s="30">
        <f>VLOOKUP(Inventory[[#This Row],[Qlty]],Lookups!$A$66:$E$79,2,FALSE)</f>
        <v>37154.252388000001</v>
      </c>
      <c r="AT394" s="30">
        <f>VLOOKUP(Inventory[[#This Row],[Cnd]],Lookups!$A$80:$E$88,2,FALSE)</f>
        <v>50438.379078999998</v>
      </c>
      <c r="AU394" s="30">
        <f>Inventory[[#This Row],[EffAge]]*Lookups!$B$65</f>
        <v>-1413.6342999999999</v>
      </c>
      <c r="AV394" s="30">
        <f>Inventory[[#This Row],[MainFn]]*Lookups!$B$90</f>
        <v>95862.343680000005</v>
      </c>
      <c r="AW394" s="30">
        <f>Inventory[[#This Row],[UpprFn]]*Lookups!$B$91</f>
        <v>0</v>
      </c>
      <c r="AX394" s="30">
        <f>Inventory[[#This Row],[Bsmt Area]]*Lookups!$B$95</f>
        <v>0</v>
      </c>
      <c r="AY394" s="30">
        <f>Inventory[[#This Row],[AttGar]]*Lookups!$B$93</f>
        <v>14826.43302</v>
      </c>
      <c r="AZ394" s="30">
        <f>ROUND(Inventory[[#This Row],[25Det]],-2)</f>
        <v>0</v>
      </c>
      <c r="BA394" s="30">
        <f>ROUND(SUM(Inventory[[#This Row],[Mdl Qlty]:[Mdl Garage Area]])+Inventory[[#This Row],[Mdl Res Intercept]],-2)</f>
        <v>329400</v>
      </c>
      <c r="BB394" s="30">
        <f>ROUND(Inventory[[#This Row],[Mdl Land Intercept]]+Inventory[[#This Row],[Mdl LnAcres]],-2)</f>
        <v>65900</v>
      </c>
      <c r="BC394" s="30">
        <f>Inventory[[#This Row],[Unadj Res Value]]+Inventory[[#This Row],[Unadj Det Value]]+Inventory[[#This Row],[Unadj Land Value]]</f>
        <v>395300</v>
      </c>
      <c r="BD394" s="30">
        <f>(Inventory[[#This Row],[Unadj Total Value]]-Inventory[[#This Row],[24Final]])/Inventory[[#This Row],[24Final]]</f>
        <v>1.437002822684116E-2</v>
      </c>
      <c r="BE394" s="30">
        <f>VLOOKUP(Inventory[[#This Row],[Nbhd]],Lookups!$M$3:$P$5,4,FALSE)</f>
        <v>0.99970000000000003</v>
      </c>
      <c r="BF394" s="30">
        <f>VLOOKUP(Inventory[[#This Row],[Qlty]],Lookups!$M$8:$P$22,4,FALSE)</f>
        <v>0.99819999999999998</v>
      </c>
      <c r="BG394" s="30">
        <f>VLOOKUP(Inventory[[#This Row],[Cnd]],Lookups!$R$8:$U$17,4,FALSE)</f>
        <v>1.0007999999999999</v>
      </c>
      <c r="BH394" s="30">
        <f>VLOOKUP(Inventory[[#This Row],[LivArea Range]],Lookups!$R$25:$U$43,4,FALSE)</f>
        <v>1.0007999999999999</v>
      </c>
      <c r="BI394" s="30">
        <f>VLOOKUP(Inventory[[#This Row],[Decade]],Lookups!$M$24:$P$40,4,FALSE)</f>
        <v>1.0024</v>
      </c>
      <c r="BJ394" s="30">
        <f>Inventory[[#This Row],[Nbhd Adj]]*0.95</f>
        <v>0.94971499999999998</v>
      </c>
      <c r="BK394" s="30">
        <f>AVERAGE(Inventory[[#This Row],[Nbhd Adj]],Inventory[[#This Row],[Quality Adj]],Inventory[[#This Row],[Condition Adj]],Inventory[[#This Row],[Living Area Adj]],Inventory[[#This Row],[Decade Adj]])*0.95</f>
        <v>0.95036100000000001</v>
      </c>
      <c r="BL394" s="30">
        <f>ROUND((SUM(Inventory[[#This Row],[Mdl Qlty]:[Mdl Garage Area]])+Inventory[[#This Row],[Mdl Res Intercept]])*Inventory[[#This Row],[Res Adj ]],-2)</f>
        <v>313100</v>
      </c>
      <c r="BM394" s="30">
        <f>ROUND(Inventory[[#This Row],[25Det]]*Inventory[[#This Row],[Det/Nbhd Adj]],-2)</f>
        <v>0</v>
      </c>
      <c r="BN394" s="30">
        <f>Inventory[[#This Row],[Adjusted Res]]+Inventory[[#This Row],[Adj Det ]]</f>
        <v>313100</v>
      </c>
      <c r="BO394" s="30">
        <f>ROUND((Inventory[[#This Row],[Mdl Land Intercept]]+Inventory[[#This Row],[Mdl LnAcres]])*Inventory[[#This Row],[Det/Nbhd Adj]],-2)</f>
        <v>62500</v>
      </c>
      <c r="BP394" s="30">
        <f>Inventory[[#This Row],[Adjusted Impr Total]]+Inventory[[#This Row],[Adjusted Land Total]]</f>
        <v>375600</v>
      </c>
      <c r="BQ394" s="30">
        <f>IFERROR((Inventory[[#This Row],[Adjusted Impr Total]]-Inventory[[#This Row],[24Bldg]])/Inventory[[#This Row],[24Bldg]],0)</f>
        <v>-4.309290953545232E-2</v>
      </c>
      <c r="BR394" s="43">
        <f>(Inventory[[#This Row],[Adjusted Land Total]]-Inventory[[#This Row],[24Lnd]])/Inventory[[#This Row],[24Lnd]]</f>
        <v>0</v>
      </c>
      <c r="BS394" s="43">
        <f>(Inventory[[#This Row],[Adjusted Total]]-Inventory[[#This Row],[24Final]])/Inventory[[#This Row],[24Final]]</f>
        <v>-3.6181678214010776E-2</v>
      </c>
    </row>
    <row r="395" spans="1:71">
      <c r="A395" s="30">
        <v>2025</v>
      </c>
      <c r="B395" s="31" t="s">
        <v>909</v>
      </c>
      <c r="C395" s="31">
        <f>LN(Inventory[[#This Row],[Acres]])</f>
        <v>-1.7147984280919266</v>
      </c>
      <c r="D395" s="30">
        <v>0.18</v>
      </c>
      <c r="E395" s="30">
        <v>7845</v>
      </c>
      <c r="F395" s="31" t="s">
        <v>505</v>
      </c>
      <c r="G395" s="31" t="s">
        <v>155</v>
      </c>
      <c r="H395" s="31" t="s">
        <v>5</v>
      </c>
      <c r="I395" s="31" t="s">
        <v>506</v>
      </c>
      <c r="J395" s="31" t="s">
        <v>507</v>
      </c>
      <c r="K395" s="31" t="s">
        <v>330</v>
      </c>
      <c r="L395" s="31" t="s">
        <v>19</v>
      </c>
      <c r="M395" s="31" t="s">
        <v>20</v>
      </c>
      <c r="N395" s="31">
        <v>10</v>
      </c>
      <c r="O395" s="31">
        <f>2024-Inventory[[#This Row],[YrBlt]]</f>
        <v>13</v>
      </c>
      <c r="P395" s="31">
        <f>2024-Inventory[[#This Row],[EffYr]]</f>
        <v>13</v>
      </c>
      <c r="Q395" s="30">
        <v>2011</v>
      </c>
      <c r="R395" s="30">
        <v>2011</v>
      </c>
      <c r="S395" s="30">
        <v>1380</v>
      </c>
      <c r="T395" s="32"/>
      <c r="U395" s="32"/>
      <c r="V395" s="32"/>
      <c r="W395" s="32"/>
      <c r="X395" s="32">
        <f>Inventory[[#This Row],[Bsmt Area]]-Inventory[[#This Row],[FnBsmt]]</f>
        <v>0</v>
      </c>
      <c r="Y395" s="32">
        <f>Inventory[[#This Row],[MainFn]]+Inventory[[#This Row],[UpprFn]]+Inventory[[#This Row],[AddFn]]+Inventory[[#This Row],[FnBsmt]]</f>
        <v>1380</v>
      </c>
      <c r="Z395" s="32">
        <v>1500</v>
      </c>
      <c r="AA395" s="31" t="s">
        <v>56</v>
      </c>
      <c r="AB395" s="32"/>
      <c r="AC395" s="30">
        <v>428</v>
      </c>
      <c r="AD395" s="32"/>
      <c r="AE395" s="32"/>
      <c r="AF395" s="32"/>
      <c r="AG395" s="32"/>
      <c r="AH395" s="32"/>
      <c r="AI395" s="30">
        <v>283188</v>
      </c>
      <c r="AJ395" s="30">
        <v>266197</v>
      </c>
      <c r="AK395" s="30">
        <v>0</v>
      </c>
      <c r="AL395" s="30">
        <v>0</v>
      </c>
      <c r="AM395" s="30">
        <v>62500</v>
      </c>
      <c r="AN395" s="30">
        <v>295700</v>
      </c>
      <c r="AO395" s="30">
        <v>358200</v>
      </c>
      <c r="AP395" s="30">
        <f>Lookups!$B$58*0.6</f>
        <v>132535.48800000001</v>
      </c>
      <c r="AQ395" s="30">
        <f>Lookups!$B$58*0.4</f>
        <v>88356.992000000013</v>
      </c>
      <c r="AR395" s="30">
        <f>Lookups!$B$59*Inventory[[#This Row],[LnAcres]]</f>
        <v>-22505.565020573864</v>
      </c>
      <c r="AS395" s="30">
        <f>VLOOKUP(Inventory[[#This Row],[Qlty]],Lookups!$A$66:$E$79,2,FALSE)</f>
        <v>37154.252388000001</v>
      </c>
      <c r="AT395" s="30">
        <f>VLOOKUP(Inventory[[#This Row],[Cnd]],Lookups!$A$80:$E$88,2,FALSE)</f>
        <v>30300.329274</v>
      </c>
      <c r="AU395" s="30">
        <f>Inventory[[#This Row],[EffAge]]*Lookups!$B$65</f>
        <v>-1413.6342999999999</v>
      </c>
      <c r="AV395" s="30">
        <f>Inventory[[#This Row],[MainFn]]*Lookups!$B$90</f>
        <v>86126.324399999998</v>
      </c>
      <c r="AW395" s="30">
        <f>Inventory[[#This Row],[UpprFn]]*Lookups!$B$91</f>
        <v>0</v>
      </c>
      <c r="AX395" s="30">
        <f>Inventory[[#This Row],[Bsmt Area]]*Lookups!$B$95</f>
        <v>0</v>
      </c>
      <c r="AY395" s="30">
        <f>Inventory[[#This Row],[AttGar]]*Lookups!$B$93</f>
        <v>15108.841268</v>
      </c>
      <c r="AZ395" s="30">
        <f>ROUND(Inventory[[#This Row],[25Det]],-2)</f>
        <v>0</v>
      </c>
      <c r="BA395" s="30">
        <f>ROUND(SUM(Inventory[[#This Row],[Mdl Qlty]:[Mdl Garage Area]])+Inventory[[#This Row],[Mdl Res Intercept]],-2)</f>
        <v>299800</v>
      </c>
      <c r="BB395" s="30">
        <f>ROUND(Inventory[[#This Row],[Mdl Land Intercept]]+Inventory[[#This Row],[Mdl LnAcres]],-2)</f>
        <v>65900</v>
      </c>
      <c r="BC395" s="30">
        <f>Inventory[[#This Row],[Unadj Res Value]]+Inventory[[#This Row],[Unadj Det Value]]+Inventory[[#This Row],[Unadj Land Value]]</f>
        <v>365700</v>
      </c>
      <c r="BD395" s="30">
        <f>(Inventory[[#This Row],[Unadj Total Value]]-Inventory[[#This Row],[24Final]])/Inventory[[#This Row],[24Final]]</f>
        <v>2.0938023450586266E-2</v>
      </c>
      <c r="BE395" s="30">
        <f>VLOOKUP(Inventory[[#This Row],[Nbhd]],Lookups!$M$3:$P$5,4,FALSE)</f>
        <v>0.99970000000000003</v>
      </c>
      <c r="BF395" s="30">
        <f>VLOOKUP(Inventory[[#This Row],[Qlty]],Lookups!$M$8:$P$22,4,FALSE)</f>
        <v>0.99819999999999998</v>
      </c>
      <c r="BG395" s="30">
        <f>VLOOKUP(Inventory[[#This Row],[Cnd]],Lookups!$R$8:$U$17,4,FALSE)</f>
        <v>0.997</v>
      </c>
      <c r="BH395" s="30">
        <f>VLOOKUP(Inventory[[#This Row],[LivArea Range]],Lookups!$R$25:$U$43,4,FALSE)</f>
        <v>0.99519999999999997</v>
      </c>
      <c r="BI395" s="30">
        <f>VLOOKUP(Inventory[[#This Row],[Decade]],Lookups!$M$24:$P$40,4,FALSE)</f>
        <v>1.0024</v>
      </c>
      <c r="BJ395" s="30">
        <f>Inventory[[#This Row],[Nbhd Adj]]*0.95</f>
        <v>0.94971499999999998</v>
      </c>
      <c r="BK395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395" s="30">
        <f>ROUND((SUM(Inventory[[#This Row],[Mdl Qlty]:[Mdl Garage Area]])+Inventory[[#This Row],[Mdl Res Intercept]])*Inventory[[#This Row],[Res Adj ]],-2)</f>
        <v>284400</v>
      </c>
      <c r="BM395" s="30">
        <f>ROUND(Inventory[[#This Row],[25Det]]*Inventory[[#This Row],[Det/Nbhd Adj]],-2)</f>
        <v>0</v>
      </c>
      <c r="BN395" s="30">
        <f>Inventory[[#This Row],[Adjusted Res]]+Inventory[[#This Row],[Adj Det ]]</f>
        <v>284400</v>
      </c>
      <c r="BO395" s="30">
        <f>ROUND((Inventory[[#This Row],[Mdl Land Intercept]]+Inventory[[#This Row],[Mdl LnAcres]])*Inventory[[#This Row],[Det/Nbhd Adj]],-2)</f>
        <v>62500</v>
      </c>
      <c r="BP395" s="30">
        <f>Inventory[[#This Row],[Adjusted Impr Total]]+Inventory[[#This Row],[Adjusted Land Total]]</f>
        <v>346900</v>
      </c>
      <c r="BQ395" s="30">
        <f>IFERROR((Inventory[[#This Row],[Adjusted Impr Total]]-Inventory[[#This Row],[24Bldg]])/Inventory[[#This Row],[24Bldg]],0)</f>
        <v>-3.8214406493067295E-2</v>
      </c>
      <c r="BR395" s="43">
        <f>(Inventory[[#This Row],[Adjusted Land Total]]-Inventory[[#This Row],[24Lnd]])/Inventory[[#This Row],[24Lnd]]</f>
        <v>0</v>
      </c>
      <c r="BS395" s="43">
        <f>(Inventory[[#This Row],[Adjusted Total]]-Inventory[[#This Row],[24Final]])/Inventory[[#This Row],[24Final]]</f>
        <v>-3.1546621998883306E-2</v>
      </c>
    </row>
    <row r="396" spans="1:71">
      <c r="A396" s="30">
        <v>2025</v>
      </c>
      <c r="B396" s="31" t="s">
        <v>910</v>
      </c>
      <c r="C396" s="31">
        <f>LN(Inventory[[#This Row],[Acres]])</f>
        <v>-1.7147984280919266</v>
      </c>
      <c r="D396" s="30">
        <v>0.18</v>
      </c>
      <c r="E396" s="30">
        <v>7921</v>
      </c>
      <c r="F396" s="31" t="s">
        <v>505</v>
      </c>
      <c r="G396" s="31" t="s">
        <v>155</v>
      </c>
      <c r="H396" s="31" t="s">
        <v>5</v>
      </c>
      <c r="I396" s="31" t="s">
        <v>506</v>
      </c>
      <c r="J396" s="31" t="s">
        <v>507</v>
      </c>
      <c r="K396" s="31" t="s">
        <v>330</v>
      </c>
      <c r="L396" s="31" t="s">
        <v>19</v>
      </c>
      <c r="M396" s="31" t="s">
        <v>20</v>
      </c>
      <c r="N396" s="31">
        <v>10</v>
      </c>
      <c r="O396" s="31">
        <f>2024-Inventory[[#This Row],[YrBlt]]</f>
        <v>13</v>
      </c>
      <c r="P396" s="31">
        <f>2024-Inventory[[#This Row],[EffYr]]</f>
        <v>13</v>
      </c>
      <c r="Q396" s="30">
        <v>2011</v>
      </c>
      <c r="R396" s="30">
        <v>2011</v>
      </c>
      <c r="S396" s="30">
        <v>1380</v>
      </c>
      <c r="T396" s="37"/>
      <c r="U396" s="32"/>
      <c r="V396" s="32"/>
      <c r="W396" s="32"/>
      <c r="X396" s="32">
        <f>Inventory[[#This Row],[Bsmt Area]]-Inventory[[#This Row],[FnBsmt]]</f>
        <v>0</v>
      </c>
      <c r="Y396" s="32">
        <f>Inventory[[#This Row],[MainFn]]+Inventory[[#This Row],[UpprFn]]+Inventory[[#This Row],[AddFn]]+Inventory[[#This Row],[FnBsmt]]</f>
        <v>1380</v>
      </c>
      <c r="Z396" s="32">
        <v>1500</v>
      </c>
      <c r="AA396" s="31" t="s">
        <v>56</v>
      </c>
      <c r="AB396" s="37"/>
      <c r="AC396" s="38">
        <v>412</v>
      </c>
      <c r="AD396" s="37"/>
      <c r="AE396" s="32"/>
      <c r="AF396" s="32"/>
      <c r="AG396" s="32"/>
      <c r="AH396" s="32"/>
      <c r="AI396" s="30">
        <v>281769</v>
      </c>
      <c r="AJ396" s="30">
        <v>264863</v>
      </c>
      <c r="AK396" s="30">
        <v>0</v>
      </c>
      <c r="AL396" s="30">
        <v>0</v>
      </c>
      <c r="AM396" s="30">
        <v>62500</v>
      </c>
      <c r="AN396" s="30">
        <v>294900</v>
      </c>
      <c r="AO396" s="30">
        <v>357400</v>
      </c>
      <c r="AP396" s="30">
        <f>Lookups!$B$58*0.6</f>
        <v>132535.48800000001</v>
      </c>
      <c r="AQ396" s="30">
        <f>Lookups!$B$58*0.4</f>
        <v>88356.992000000013</v>
      </c>
      <c r="AR396" s="30">
        <f>Lookups!$B$59*Inventory[[#This Row],[LnAcres]]</f>
        <v>-22505.565020573864</v>
      </c>
      <c r="AS396" s="30">
        <f>VLOOKUP(Inventory[[#This Row],[Qlty]],Lookups!$A$66:$E$79,2,FALSE)</f>
        <v>37154.252388000001</v>
      </c>
      <c r="AT396" s="30">
        <f>VLOOKUP(Inventory[[#This Row],[Cnd]],Lookups!$A$80:$E$88,2,FALSE)</f>
        <v>30300.329274</v>
      </c>
      <c r="AU396" s="30">
        <f>Inventory[[#This Row],[EffAge]]*Lookups!$B$65</f>
        <v>-1413.6342999999999</v>
      </c>
      <c r="AV396" s="30">
        <f>Inventory[[#This Row],[MainFn]]*Lookups!$B$90</f>
        <v>86126.324399999998</v>
      </c>
      <c r="AW396" s="30">
        <f>Inventory[[#This Row],[UpprFn]]*Lookups!$B$91</f>
        <v>0</v>
      </c>
      <c r="AX396" s="30">
        <f>Inventory[[#This Row],[Bsmt Area]]*Lookups!$B$95</f>
        <v>0</v>
      </c>
      <c r="AY396" s="30">
        <f>Inventory[[#This Row],[AttGar]]*Lookups!$B$93</f>
        <v>14544.024772000001</v>
      </c>
      <c r="AZ396" s="30">
        <f>ROUND(Inventory[[#This Row],[25Det]],-2)</f>
        <v>0</v>
      </c>
      <c r="BA396" s="30">
        <f>ROUND(SUM(Inventory[[#This Row],[Mdl Qlty]:[Mdl Garage Area]])+Inventory[[#This Row],[Mdl Res Intercept]],-2)</f>
        <v>299200</v>
      </c>
      <c r="BB396" s="30">
        <f>ROUND(Inventory[[#This Row],[Mdl Land Intercept]]+Inventory[[#This Row],[Mdl LnAcres]],-2)</f>
        <v>65900</v>
      </c>
      <c r="BC396" s="30">
        <f>Inventory[[#This Row],[Unadj Res Value]]+Inventory[[#This Row],[Unadj Det Value]]+Inventory[[#This Row],[Unadj Land Value]]</f>
        <v>365100</v>
      </c>
      <c r="BD396" s="30">
        <f>(Inventory[[#This Row],[Unadj Total Value]]-Inventory[[#This Row],[24Final]])/Inventory[[#This Row],[24Final]]</f>
        <v>2.1544487968662564E-2</v>
      </c>
      <c r="BE396" s="30">
        <f>VLOOKUP(Inventory[[#This Row],[Nbhd]],Lookups!$M$3:$P$5,4,FALSE)</f>
        <v>0.99970000000000003</v>
      </c>
      <c r="BF396" s="30">
        <f>VLOOKUP(Inventory[[#This Row],[Qlty]],Lookups!$M$8:$P$22,4,FALSE)</f>
        <v>0.99819999999999998</v>
      </c>
      <c r="BG396" s="30">
        <f>VLOOKUP(Inventory[[#This Row],[Cnd]],Lookups!$R$8:$U$17,4,FALSE)</f>
        <v>0.997</v>
      </c>
      <c r="BH396" s="30">
        <f>VLOOKUP(Inventory[[#This Row],[LivArea Range]],Lookups!$R$25:$U$43,4,FALSE)</f>
        <v>0.99519999999999997</v>
      </c>
      <c r="BI396" s="30">
        <f>VLOOKUP(Inventory[[#This Row],[Decade]],Lookups!$M$24:$P$40,4,FALSE)</f>
        <v>1.0024</v>
      </c>
      <c r="BJ396" s="30">
        <f>Inventory[[#This Row],[Nbhd Adj]]*0.95</f>
        <v>0.94971499999999998</v>
      </c>
      <c r="BK396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396" s="30">
        <f>ROUND((SUM(Inventory[[#This Row],[Mdl Qlty]:[Mdl Garage Area]])+Inventory[[#This Row],[Mdl Res Intercept]])*Inventory[[#This Row],[Res Adj ]],-2)</f>
        <v>283900</v>
      </c>
      <c r="BM396" s="30">
        <f>ROUND(Inventory[[#This Row],[25Det]]*Inventory[[#This Row],[Det/Nbhd Adj]],-2)</f>
        <v>0</v>
      </c>
      <c r="BN396" s="30">
        <f>Inventory[[#This Row],[Adjusted Res]]+Inventory[[#This Row],[Adj Det ]]</f>
        <v>283900</v>
      </c>
      <c r="BO396" s="30">
        <f>ROUND((Inventory[[#This Row],[Mdl Land Intercept]]+Inventory[[#This Row],[Mdl LnAcres]])*Inventory[[#This Row],[Det/Nbhd Adj]],-2)</f>
        <v>62500</v>
      </c>
      <c r="BP396" s="30">
        <f>Inventory[[#This Row],[Adjusted Impr Total]]+Inventory[[#This Row],[Adjusted Land Total]]</f>
        <v>346400</v>
      </c>
      <c r="BQ396" s="30">
        <f>IFERROR((Inventory[[#This Row],[Adjusted Impr Total]]-Inventory[[#This Row],[24Bldg]])/Inventory[[#This Row],[24Bldg]],0)</f>
        <v>-3.7300779925398438E-2</v>
      </c>
      <c r="BR396" s="43">
        <f>(Inventory[[#This Row],[Adjusted Land Total]]-Inventory[[#This Row],[24Lnd]])/Inventory[[#This Row],[24Lnd]]</f>
        <v>0</v>
      </c>
      <c r="BS396" s="43">
        <f>(Inventory[[#This Row],[Adjusted Total]]-Inventory[[#This Row],[24Final]])/Inventory[[#This Row],[24Final]]</f>
        <v>-3.0777839955232231E-2</v>
      </c>
    </row>
    <row r="397" spans="1:71">
      <c r="A397" s="30">
        <v>2025</v>
      </c>
      <c r="B397" s="31" t="s">
        <v>911</v>
      </c>
      <c r="C397" s="31">
        <f>LN(Inventory[[#This Row],[Acres]])</f>
        <v>-1.7147984280919266</v>
      </c>
      <c r="D397" s="30">
        <v>0.18</v>
      </c>
      <c r="E397" s="30">
        <v>8015</v>
      </c>
      <c r="F397" s="31" t="s">
        <v>505</v>
      </c>
      <c r="G397" s="31" t="s">
        <v>155</v>
      </c>
      <c r="H397" s="31" t="s">
        <v>5</v>
      </c>
      <c r="I397" s="31" t="s">
        <v>506</v>
      </c>
      <c r="J397" s="31" t="s">
        <v>507</v>
      </c>
      <c r="K397" s="31" t="s">
        <v>330</v>
      </c>
      <c r="L397" s="31" t="s">
        <v>19</v>
      </c>
      <c r="M397" s="31" t="s">
        <v>22</v>
      </c>
      <c r="N397" s="31">
        <v>10</v>
      </c>
      <c r="O397" s="31">
        <f>2024-Inventory[[#This Row],[YrBlt]]</f>
        <v>13</v>
      </c>
      <c r="P397" s="31">
        <f>2024-Inventory[[#This Row],[EffYr]]</f>
        <v>13</v>
      </c>
      <c r="Q397" s="30">
        <v>2011</v>
      </c>
      <c r="R397" s="30">
        <v>2011</v>
      </c>
      <c r="S397" s="30">
        <v>1118</v>
      </c>
      <c r="T397" s="38">
        <v>1260</v>
      </c>
      <c r="U397" s="32"/>
      <c r="V397" s="32"/>
      <c r="W397" s="32"/>
      <c r="X397" s="32">
        <f>Inventory[[#This Row],[Bsmt Area]]-Inventory[[#This Row],[FnBsmt]]</f>
        <v>0</v>
      </c>
      <c r="Y397" s="32">
        <f>Inventory[[#This Row],[MainFn]]+Inventory[[#This Row],[UpprFn]]+Inventory[[#This Row],[AddFn]]+Inventory[[#This Row],[FnBsmt]]</f>
        <v>2378</v>
      </c>
      <c r="Z397" s="32">
        <v>2500</v>
      </c>
      <c r="AA397" s="31" t="s">
        <v>56</v>
      </c>
      <c r="AB397" s="38">
        <v>1</v>
      </c>
      <c r="AC397" s="30">
        <v>730</v>
      </c>
      <c r="AD397" s="32"/>
      <c r="AE397" s="32"/>
      <c r="AF397" s="32"/>
      <c r="AG397" s="32"/>
      <c r="AH397" s="32"/>
      <c r="AI397" s="30">
        <v>423264</v>
      </c>
      <c r="AJ397" s="30">
        <v>402101</v>
      </c>
      <c r="AK397" s="30">
        <v>0</v>
      </c>
      <c r="AL397" s="30">
        <v>0</v>
      </c>
      <c r="AM397" s="30">
        <v>62500</v>
      </c>
      <c r="AN397" s="30">
        <v>381200</v>
      </c>
      <c r="AO397" s="30">
        <v>443700</v>
      </c>
      <c r="AP397" s="30">
        <f>Lookups!$B$58*0.6</f>
        <v>132535.48800000001</v>
      </c>
      <c r="AQ397" s="30">
        <f>Lookups!$B$58*0.4</f>
        <v>88356.992000000013</v>
      </c>
      <c r="AR397" s="30">
        <f>Lookups!$B$59*Inventory[[#This Row],[LnAcres]]</f>
        <v>-22505.565020573864</v>
      </c>
      <c r="AS397" s="30">
        <f>VLOOKUP(Inventory[[#This Row],[Qlty]],Lookups!$A$66:$E$79,2,FALSE)</f>
        <v>37154.252388000001</v>
      </c>
      <c r="AT397" s="30">
        <f>VLOOKUP(Inventory[[#This Row],[Cnd]],Lookups!$A$80:$E$88,2,FALSE)</f>
        <v>50438.379078999998</v>
      </c>
      <c r="AU397" s="30">
        <f>Inventory[[#This Row],[EffAge]]*Lookups!$B$65</f>
        <v>-1413.6342999999999</v>
      </c>
      <c r="AV397" s="30">
        <f>Inventory[[#This Row],[MainFn]]*Lookups!$B$90</f>
        <v>69774.804839999997</v>
      </c>
      <c r="AW397" s="30">
        <f>Inventory[[#This Row],[UpprFn]]*Lookups!$B$91</f>
        <v>75071.282579999999</v>
      </c>
      <c r="AX397" s="30">
        <f>Inventory[[#This Row],[Bsmt Area]]*Lookups!$B$95</f>
        <v>0</v>
      </c>
      <c r="AY397" s="30">
        <f>Inventory[[#This Row],[AttGar]]*Lookups!$B$93</f>
        <v>25769.752630000003</v>
      </c>
      <c r="AZ397" s="30">
        <f>ROUND(Inventory[[#This Row],[25Det]],-2)</f>
        <v>0</v>
      </c>
      <c r="BA397" s="30">
        <f>ROUND(SUM(Inventory[[#This Row],[Mdl Qlty]:[Mdl Garage Area]])+Inventory[[#This Row],[Mdl Res Intercept]],-2)</f>
        <v>389300</v>
      </c>
      <c r="BB397" s="30">
        <f>ROUND(Inventory[[#This Row],[Mdl Land Intercept]]+Inventory[[#This Row],[Mdl LnAcres]],-2)</f>
        <v>65900</v>
      </c>
      <c r="BC397" s="30">
        <f>Inventory[[#This Row],[Unadj Res Value]]+Inventory[[#This Row],[Unadj Det Value]]+Inventory[[#This Row],[Unadj Land Value]]</f>
        <v>455200</v>
      </c>
      <c r="BD397" s="30">
        <f>(Inventory[[#This Row],[Unadj Total Value]]-Inventory[[#This Row],[24Final]])/Inventory[[#This Row],[24Final]]</f>
        <v>2.5918413342348432E-2</v>
      </c>
      <c r="BE397" s="30">
        <f>VLOOKUP(Inventory[[#This Row],[Nbhd]],Lookups!$M$3:$P$5,4,FALSE)</f>
        <v>0.99970000000000003</v>
      </c>
      <c r="BF397" s="30">
        <f>VLOOKUP(Inventory[[#This Row],[Qlty]],Lookups!$M$8:$P$22,4,FALSE)</f>
        <v>0.99819999999999998</v>
      </c>
      <c r="BG397" s="30">
        <f>VLOOKUP(Inventory[[#This Row],[Cnd]],Lookups!$R$8:$U$17,4,FALSE)</f>
        <v>1.0007999999999999</v>
      </c>
      <c r="BH397" s="30">
        <f>VLOOKUP(Inventory[[#This Row],[LivArea Range]],Lookups!$R$25:$U$43,4,FALSE)</f>
        <v>1.0008999999999999</v>
      </c>
      <c r="BI397" s="30">
        <f>VLOOKUP(Inventory[[#This Row],[Decade]],Lookups!$M$24:$P$40,4,FALSE)</f>
        <v>1.0024</v>
      </c>
      <c r="BJ397" s="30">
        <f>Inventory[[#This Row],[Nbhd Adj]]*0.95</f>
        <v>0.94971499999999998</v>
      </c>
      <c r="BK397" s="30">
        <f>AVERAGE(Inventory[[#This Row],[Nbhd Adj]],Inventory[[#This Row],[Quality Adj]],Inventory[[#This Row],[Condition Adj]],Inventory[[#This Row],[Living Area Adj]],Inventory[[#This Row],[Decade Adj]])*0.95</f>
        <v>0.95037999999999989</v>
      </c>
      <c r="BL397" s="30">
        <f>ROUND((SUM(Inventory[[#This Row],[Mdl Qlty]:[Mdl Garage Area]])+Inventory[[#This Row],[Mdl Res Intercept]])*Inventory[[#This Row],[Res Adj ]],-2)</f>
        <v>370000</v>
      </c>
      <c r="BM397" s="30">
        <f>ROUND(Inventory[[#This Row],[25Det]]*Inventory[[#This Row],[Det/Nbhd Adj]],-2)</f>
        <v>0</v>
      </c>
      <c r="BN397" s="30">
        <f>Inventory[[#This Row],[Adjusted Res]]+Inventory[[#This Row],[Adj Det ]]</f>
        <v>370000</v>
      </c>
      <c r="BO397" s="30">
        <f>ROUND((Inventory[[#This Row],[Mdl Land Intercept]]+Inventory[[#This Row],[Mdl LnAcres]])*Inventory[[#This Row],[Det/Nbhd Adj]],-2)</f>
        <v>62500</v>
      </c>
      <c r="BP397" s="30">
        <f>Inventory[[#This Row],[Adjusted Impr Total]]+Inventory[[#This Row],[Adjusted Land Total]]</f>
        <v>432500</v>
      </c>
      <c r="BQ397" s="30">
        <f>IFERROR((Inventory[[#This Row],[Adjusted Impr Total]]-Inventory[[#This Row],[24Bldg]])/Inventory[[#This Row],[24Bldg]],0)</f>
        <v>-2.9380902413431269E-2</v>
      </c>
      <c r="BR397" s="43">
        <f>(Inventory[[#This Row],[Adjusted Land Total]]-Inventory[[#This Row],[24Lnd]])/Inventory[[#This Row],[24Lnd]]</f>
        <v>0</v>
      </c>
      <c r="BS397" s="43">
        <f>(Inventory[[#This Row],[Adjusted Total]]-Inventory[[#This Row],[24Final]])/Inventory[[#This Row],[24Final]]</f>
        <v>-2.5242280820374125E-2</v>
      </c>
    </row>
    <row r="398" spans="1:71">
      <c r="A398" s="30">
        <v>2025</v>
      </c>
      <c r="B398" s="31" t="s">
        <v>912</v>
      </c>
      <c r="C398" s="31">
        <f>LN(Inventory[[#This Row],[Acres]])</f>
        <v>-1.7147984280919266</v>
      </c>
      <c r="D398" s="30">
        <v>0.18</v>
      </c>
      <c r="E398" s="30">
        <v>7736</v>
      </c>
      <c r="F398" s="31" t="s">
        <v>505</v>
      </c>
      <c r="G398" s="31" t="s">
        <v>155</v>
      </c>
      <c r="H398" s="31" t="s">
        <v>5</v>
      </c>
      <c r="I398" s="31" t="s">
        <v>506</v>
      </c>
      <c r="J398" s="31" t="s">
        <v>507</v>
      </c>
      <c r="K398" s="31" t="s">
        <v>330</v>
      </c>
      <c r="L398" s="31" t="s">
        <v>21</v>
      </c>
      <c r="M398" s="31" t="s">
        <v>22</v>
      </c>
      <c r="N398" s="31">
        <v>10</v>
      </c>
      <c r="O398" s="31">
        <f>2024-Inventory[[#This Row],[YrBlt]]</f>
        <v>13</v>
      </c>
      <c r="P398" s="31">
        <f>2024-Inventory[[#This Row],[EffYr]]</f>
        <v>13</v>
      </c>
      <c r="Q398" s="30">
        <v>2011</v>
      </c>
      <c r="R398" s="30">
        <v>2011</v>
      </c>
      <c r="S398" s="30">
        <v>2096</v>
      </c>
      <c r="T398" s="37"/>
      <c r="U398" s="32"/>
      <c r="V398" s="32"/>
      <c r="W398" s="32"/>
      <c r="X398" s="32">
        <f>Inventory[[#This Row],[Bsmt Area]]-Inventory[[#This Row],[FnBsmt]]</f>
        <v>0</v>
      </c>
      <c r="Y398" s="32">
        <f>Inventory[[#This Row],[MainFn]]+Inventory[[#This Row],[UpprFn]]+Inventory[[#This Row],[AddFn]]+Inventory[[#This Row],[FnBsmt]]</f>
        <v>2096</v>
      </c>
      <c r="Z398" s="32">
        <v>2500</v>
      </c>
      <c r="AA398" s="31" t="s">
        <v>56</v>
      </c>
      <c r="AB398" s="32"/>
      <c r="AC398" s="38">
        <v>748</v>
      </c>
      <c r="AD398" s="37"/>
      <c r="AE398" s="32"/>
      <c r="AF398" s="32"/>
      <c r="AG398" s="32"/>
      <c r="AH398" s="32"/>
      <c r="AI398" s="30">
        <v>451691</v>
      </c>
      <c r="AJ398" s="30">
        <v>429106</v>
      </c>
      <c r="AK398" s="30">
        <v>0</v>
      </c>
      <c r="AL398" s="30">
        <v>0</v>
      </c>
      <c r="AM398" s="30">
        <v>62500</v>
      </c>
      <c r="AN398" s="30">
        <v>360700</v>
      </c>
      <c r="AO398" s="30">
        <v>423200</v>
      </c>
      <c r="AP398" s="30">
        <f>Lookups!$B$58*0.6</f>
        <v>132535.48800000001</v>
      </c>
      <c r="AQ398" s="30">
        <f>Lookups!$B$58*0.4</f>
        <v>88356.992000000013</v>
      </c>
      <c r="AR398" s="30">
        <f>Lookups!$B$59*Inventory[[#This Row],[LnAcres]]</f>
        <v>-22505.565020573864</v>
      </c>
      <c r="AS398" s="30">
        <f>VLOOKUP(Inventory[[#This Row],[Qlty]],Lookups!$A$66:$E$79,2,FALSE)</f>
        <v>32917.849192000001</v>
      </c>
      <c r="AT398" s="30">
        <f>VLOOKUP(Inventory[[#This Row],[Cnd]],Lookups!$A$80:$E$88,2,FALSE)</f>
        <v>50438.379078999998</v>
      </c>
      <c r="AU398" s="30">
        <f>Inventory[[#This Row],[EffAge]]*Lookups!$B$65</f>
        <v>-1413.6342999999999</v>
      </c>
      <c r="AV398" s="30">
        <f>Inventory[[#This Row],[MainFn]]*Lookups!$B$90</f>
        <v>130812.15648000001</v>
      </c>
      <c r="AW398" s="30">
        <f>Inventory[[#This Row],[UpprFn]]*Lookups!$B$91</f>
        <v>0</v>
      </c>
      <c r="AX398" s="30">
        <f>Inventory[[#This Row],[Bsmt Area]]*Lookups!$B$95</f>
        <v>0</v>
      </c>
      <c r="AY398" s="30">
        <f>Inventory[[#This Row],[AttGar]]*Lookups!$B$93</f>
        <v>26405.171188</v>
      </c>
      <c r="AZ398" s="30">
        <f>ROUND(Inventory[[#This Row],[25Det]],-2)</f>
        <v>0</v>
      </c>
      <c r="BA398" s="30">
        <f>ROUND(SUM(Inventory[[#This Row],[Mdl Qlty]:[Mdl Garage Area]])+Inventory[[#This Row],[Mdl Res Intercept]],-2)</f>
        <v>371700</v>
      </c>
      <c r="BB398" s="30">
        <f>ROUND(Inventory[[#This Row],[Mdl Land Intercept]]+Inventory[[#This Row],[Mdl LnAcres]],-2)</f>
        <v>65900</v>
      </c>
      <c r="BC398" s="30">
        <f>Inventory[[#This Row],[Unadj Res Value]]+Inventory[[#This Row],[Unadj Det Value]]+Inventory[[#This Row],[Unadj Land Value]]</f>
        <v>437600</v>
      </c>
      <c r="BD398" s="30">
        <f>(Inventory[[#This Row],[Unadj Total Value]]-Inventory[[#This Row],[24Final]])/Inventory[[#This Row],[24Final]]</f>
        <v>3.4026465028355386E-2</v>
      </c>
      <c r="BE398" s="30">
        <f>VLOOKUP(Inventory[[#This Row],[Nbhd]],Lookups!$M$3:$P$5,4,FALSE)</f>
        <v>0.99970000000000003</v>
      </c>
      <c r="BF398" s="30">
        <f>VLOOKUP(Inventory[[#This Row],[Qlty]],Lookups!$M$8:$P$22,4,FALSE)</f>
        <v>1.0019</v>
      </c>
      <c r="BG398" s="30">
        <f>VLOOKUP(Inventory[[#This Row],[Cnd]],Lookups!$R$8:$U$17,4,FALSE)</f>
        <v>1.0007999999999999</v>
      </c>
      <c r="BH398" s="30">
        <f>VLOOKUP(Inventory[[#This Row],[LivArea Range]],Lookups!$R$25:$U$43,4,FALSE)</f>
        <v>1.0008999999999999</v>
      </c>
      <c r="BI398" s="30">
        <f>VLOOKUP(Inventory[[#This Row],[Decade]],Lookups!$M$24:$P$40,4,FALSE)</f>
        <v>1.0024</v>
      </c>
      <c r="BJ398" s="30">
        <f>Inventory[[#This Row],[Nbhd Adj]]*0.95</f>
        <v>0.94971499999999998</v>
      </c>
      <c r="BK398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398" s="30">
        <f>ROUND((SUM(Inventory[[#This Row],[Mdl Qlty]:[Mdl Garage Area]])+Inventory[[#This Row],[Mdl Res Intercept]])*Inventory[[#This Row],[Res Adj ]],-2)</f>
        <v>353500</v>
      </c>
      <c r="BM398" s="30">
        <f>ROUND(Inventory[[#This Row],[25Det]]*Inventory[[#This Row],[Det/Nbhd Adj]],-2)</f>
        <v>0</v>
      </c>
      <c r="BN398" s="30">
        <f>Inventory[[#This Row],[Adjusted Res]]+Inventory[[#This Row],[Adj Det ]]</f>
        <v>353500</v>
      </c>
      <c r="BO398" s="30">
        <f>ROUND((Inventory[[#This Row],[Mdl Land Intercept]]+Inventory[[#This Row],[Mdl LnAcres]])*Inventory[[#This Row],[Det/Nbhd Adj]],-2)</f>
        <v>62500</v>
      </c>
      <c r="BP398" s="30">
        <f>Inventory[[#This Row],[Adjusted Impr Total]]+Inventory[[#This Row],[Adjusted Land Total]]</f>
        <v>416000</v>
      </c>
      <c r="BQ398" s="30">
        <f>IFERROR((Inventory[[#This Row],[Adjusted Impr Total]]-Inventory[[#This Row],[24Bldg]])/Inventory[[#This Row],[24Bldg]],0)</f>
        <v>-1.9961186581646799E-2</v>
      </c>
      <c r="BR398" s="43">
        <f>(Inventory[[#This Row],[Adjusted Land Total]]-Inventory[[#This Row],[24Lnd]])/Inventory[[#This Row],[24Lnd]]</f>
        <v>0</v>
      </c>
      <c r="BS398" s="43">
        <f>(Inventory[[#This Row],[Adjusted Total]]-Inventory[[#This Row],[24Final]])/Inventory[[#This Row],[24Final]]</f>
        <v>-1.7013232514177693E-2</v>
      </c>
    </row>
    <row r="399" spans="1:71">
      <c r="A399" s="30">
        <v>2025</v>
      </c>
      <c r="B399" s="31" t="s">
        <v>913</v>
      </c>
      <c r="C399" s="31">
        <f>LN(Inventory[[#This Row],[Acres]])</f>
        <v>-1.7147984280919266</v>
      </c>
      <c r="D399" s="30">
        <v>0.18</v>
      </c>
      <c r="E399" s="30">
        <v>7738</v>
      </c>
      <c r="F399" s="31" t="s">
        <v>505</v>
      </c>
      <c r="G399" s="31" t="s">
        <v>155</v>
      </c>
      <c r="H399" s="31" t="s">
        <v>5</v>
      </c>
      <c r="I399" s="31" t="s">
        <v>506</v>
      </c>
      <c r="J399" s="31" t="s">
        <v>507</v>
      </c>
      <c r="K399" s="31" t="s">
        <v>330</v>
      </c>
      <c r="L399" s="31" t="s">
        <v>21</v>
      </c>
      <c r="M399" s="31" t="s">
        <v>22</v>
      </c>
      <c r="N399" s="31">
        <v>10</v>
      </c>
      <c r="O399" s="31">
        <f>2024-Inventory[[#This Row],[YrBlt]]</f>
        <v>13</v>
      </c>
      <c r="P399" s="31">
        <f>2024-Inventory[[#This Row],[EffYr]]</f>
        <v>13</v>
      </c>
      <c r="Q399" s="30">
        <v>2011</v>
      </c>
      <c r="R399" s="30">
        <v>2011</v>
      </c>
      <c r="S399" s="30">
        <v>1975</v>
      </c>
      <c r="T399" s="37"/>
      <c r="U399" s="32"/>
      <c r="V399" s="32"/>
      <c r="W399" s="32"/>
      <c r="X399" s="32">
        <f>Inventory[[#This Row],[Bsmt Area]]-Inventory[[#This Row],[FnBsmt]]</f>
        <v>0</v>
      </c>
      <c r="Y399" s="32">
        <f>Inventory[[#This Row],[MainFn]]+Inventory[[#This Row],[UpprFn]]+Inventory[[#This Row],[AddFn]]+Inventory[[#This Row],[FnBsmt]]</f>
        <v>1975</v>
      </c>
      <c r="Z399" s="32">
        <v>2000</v>
      </c>
      <c r="AA399" s="31" t="s">
        <v>56</v>
      </c>
      <c r="AB399" s="37"/>
      <c r="AC399" s="30">
        <v>432</v>
      </c>
      <c r="AD399" s="37"/>
      <c r="AE399" s="32"/>
      <c r="AF399" s="32"/>
      <c r="AG399" s="32"/>
      <c r="AH399" s="32"/>
      <c r="AI399" s="30">
        <v>420660</v>
      </c>
      <c r="AJ399" s="30">
        <v>399627</v>
      </c>
      <c r="AK399" s="30">
        <v>0</v>
      </c>
      <c r="AL399" s="30">
        <v>0</v>
      </c>
      <c r="AM399" s="30">
        <v>62500</v>
      </c>
      <c r="AN399" s="30">
        <v>332600</v>
      </c>
      <c r="AO399" s="30">
        <v>395100</v>
      </c>
      <c r="AP399" s="30">
        <f>Lookups!$B$58*0.6</f>
        <v>132535.48800000001</v>
      </c>
      <c r="AQ399" s="30">
        <f>Lookups!$B$58*0.4</f>
        <v>88356.992000000013</v>
      </c>
      <c r="AR399" s="30">
        <f>Lookups!$B$59*Inventory[[#This Row],[LnAcres]]</f>
        <v>-22505.565020573864</v>
      </c>
      <c r="AS399" s="30">
        <f>VLOOKUP(Inventory[[#This Row],[Qlty]],Lookups!$A$66:$E$79,2,FALSE)</f>
        <v>32917.849192000001</v>
      </c>
      <c r="AT399" s="30">
        <f>VLOOKUP(Inventory[[#This Row],[Cnd]],Lookups!$A$80:$E$88,2,FALSE)</f>
        <v>50438.379078999998</v>
      </c>
      <c r="AU399" s="30">
        <f>Inventory[[#This Row],[EffAge]]*Lookups!$B$65</f>
        <v>-1413.6342999999999</v>
      </c>
      <c r="AV399" s="30">
        <f>Inventory[[#This Row],[MainFn]]*Lookups!$B$90</f>
        <v>123260.50050000001</v>
      </c>
      <c r="AW399" s="30">
        <f>Inventory[[#This Row],[UpprFn]]*Lookups!$B$91</f>
        <v>0</v>
      </c>
      <c r="AX399" s="30">
        <f>Inventory[[#This Row],[Bsmt Area]]*Lookups!$B$95</f>
        <v>0</v>
      </c>
      <c r="AY399" s="30">
        <f>Inventory[[#This Row],[AttGar]]*Lookups!$B$93</f>
        <v>15250.045392</v>
      </c>
      <c r="AZ399" s="30">
        <f>ROUND(Inventory[[#This Row],[25Det]],-2)</f>
        <v>0</v>
      </c>
      <c r="BA399" s="30">
        <f>ROUND(SUM(Inventory[[#This Row],[Mdl Qlty]:[Mdl Garage Area]])+Inventory[[#This Row],[Mdl Res Intercept]],-2)</f>
        <v>353000</v>
      </c>
      <c r="BB399" s="30">
        <f>ROUND(Inventory[[#This Row],[Mdl Land Intercept]]+Inventory[[#This Row],[Mdl LnAcres]],-2)</f>
        <v>65900</v>
      </c>
      <c r="BC399" s="30">
        <f>Inventory[[#This Row],[Unadj Res Value]]+Inventory[[#This Row],[Unadj Det Value]]+Inventory[[#This Row],[Unadj Land Value]]</f>
        <v>418900</v>
      </c>
      <c r="BD399" s="30">
        <f>(Inventory[[#This Row],[Unadj Total Value]]-Inventory[[#This Row],[24Final]])/Inventory[[#This Row],[24Final]]</f>
        <v>6.023791445203746E-2</v>
      </c>
      <c r="BE399" s="30">
        <f>VLOOKUP(Inventory[[#This Row],[Nbhd]],Lookups!$M$3:$P$5,4,FALSE)</f>
        <v>0.99970000000000003</v>
      </c>
      <c r="BF399" s="30">
        <f>VLOOKUP(Inventory[[#This Row],[Qlty]],Lookups!$M$8:$P$22,4,FALSE)</f>
        <v>1.0019</v>
      </c>
      <c r="BG399" s="30">
        <f>VLOOKUP(Inventory[[#This Row],[Cnd]],Lookups!$R$8:$U$17,4,FALSE)</f>
        <v>1.0007999999999999</v>
      </c>
      <c r="BH399" s="30">
        <f>VLOOKUP(Inventory[[#This Row],[LivArea Range]],Lookups!$R$25:$U$43,4,FALSE)</f>
        <v>1.0007999999999999</v>
      </c>
      <c r="BI399" s="30">
        <f>VLOOKUP(Inventory[[#This Row],[Decade]],Lookups!$M$24:$P$40,4,FALSE)</f>
        <v>1.0024</v>
      </c>
      <c r="BJ399" s="30">
        <f>Inventory[[#This Row],[Nbhd Adj]]*0.95</f>
        <v>0.94971499999999998</v>
      </c>
      <c r="BK399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399" s="30">
        <f>ROUND((SUM(Inventory[[#This Row],[Mdl Qlty]:[Mdl Garage Area]])+Inventory[[#This Row],[Mdl Res Intercept]])*Inventory[[#This Row],[Res Adj ]],-2)</f>
        <v>335700</v>
      </c>
      <c r="BM399" s="30">
        <f>ROUND(Inventory[[#This Row],[25Det]]*Inventory[[#This Row],[Det/Nbhd Adj]],-2)</f>
        <v>0</v>
      </c>
      <c r="BN399" s="30">
        <f>Inventory[[#This Row],[Adjusted Res]]+Inventory[[#This Row],[Adj Det ]]</f>
        <v>335700</v>
      </c>
      <c r="BO399" s="30">
        <f>ROUND((Inventory[[#This Row],[Mdl Land Intercept]]+Inventory[[#This Row],[Mdl LnAcres]])*Inventory[[#This Row],[Det/Nbhd Adj]],-2)</f>
        <v>62500</v>
      </c>
      <c r="BP399" s="30">
        <f>Inventory[[#This Row],[Adjusted Impr Total]]+Inventory[[#This Row],[Adjusted Land Total]]</f>
        <v>398200</v>
      </c>
      <c r="BQ399" s="30">
        <f>IFERROR((Inventory[[#This Row],[Adjusted Impr Total]]-Inventory[[#This Row],[24Bldg]])/Inventory[[#This Row],[24Bldg]],0)</f>
        <v>9.3205051112447389E-3</v>
      </c>
      <c r="BR399" s="43">
        <f>(Inventory[[#This Row],[Adjusted Land Total]]-Inventory[[#This Row],[24Lnd]])/Inventory[[#This Row],[24Lnd]]</f>
        <v>0</v>
      </c>
      <c r="BS399" s="43">
        <f>(Inventory[[#This Row],[Adjusted Total]]-Inventory[[#This Row],[24Final]])/Inventory[[#This Row],[24Final]]</f>
        <v>7.8461149076183238E-3</v>
      </c>
    </row>
    <row r="400" spans="1:71">
      <c r="A400" s="30">
        <v>2025</v>
      </c>
      <c r="B400" s="31" t="s">
        <v>914</v>
      </c>
      <c r="C400" s="31">
        <f>LN(Inventory[[#This Row],[Acres]])</f>
        <v>-1.6094379124341003</v>
      </c>
      <c r="D400" s="30">
        <v>0.2</v>
      </c>
      <c r="E400" s="30">
        <v>8496</v>
      </c>
      <c r="F400" s="31" t="s">
        <v>505</v>
      </c>
      <c r="G400" s="31" t="s">
        <v>155</v>
      </c>
      <c r="H400" s="31" t="s">
        <v>5</v>
      </c>
      <c r="I400" s="31" t="s">
        <v>506</v>
      </c>
      <c r="J400" s="31" t="s">
        <v>507</v>
      </c>
      <c r="K400" s="31" t="s">
        <v>330</v>
      </c>
      <c r="L400" s="31" t="s">
        <v>19</v>
      </c>
      <c r="M400" s="31" t="s">
        <v>22</v>
      </c>
      <c r="N400" s="31">
        <v>10</v>
      </c>
      <c r="O400" s="31">
        <f>2024-Inventory[[#This Row],[YrBlt]]</f>
        <v>13</v>
      </c>
      <c r="P400" s="31">
        <f>2024-Inventory[[#This Row],[EffYr]]</f>
        <v>13</v>
      </c>
      <c r="Q400" s="30">
        <v>2011</v>
      </c>
      <c r="R400" s="30">
        <v>2011</v>
      </c>
      <c r="S400" s="30">
        <v>1126</v>
      </c>
      <c r="T400" s="30">
        <v>1260</v>
      </c>
      <c r="U400" s="32"/>
      <c r="V400" s="32"/>
      <c r="W400" s="32"/>
      <c r="X400" s="32">
        <f>Inventory[[#This Row],[Bsmt Area]]-Inventory[[#This Row],[FnBsmt]]</f>
        <v>0</v>
      </c>
      <c r="Y400" s="32">
        <f>Inventory[[#This Row],[MainFn]]+Inventory[[#This Row],[UpprFn]]+Inventory[[#This Row],[AddFn]]+Inventory[[#This Row],[FnBsmt]]</f>
        <v>2386</v>
      </c>
      <c r="Z400" s="32">
        <v>2500</v>
      </c>
      <c r="AA400" s="31" t="s">
        <v>56</v>
      </c>
      <c r="AB400" s="30">
        <v>1</v>
      </c>
      <c r="AC400" s="38">
        <v>657</v>
      </c>
      <c r="AD400" s="37"/>
      <c r="AE400" s="32"/>
      <c r="AF400" s="32"/>
      <c r="AG400" s="32"/>
      <c r="AH400" s="32"/>
      <c r="AI400" s="30">
        <v>425421</v>
      </c>
      <c r="AJ400" s="30">
        <v>404150</v>
      </c>
      <c r="AK400" s="30">
        <v>0</v>
      </c>
      <c r="AL400" s="30">
        <v>0</v>
      </c>
      <c r="AM400" s="30">
        <v>64000</v>
      </c>
      <c r="AN400" s="30">
        <v>388400</v>
      </c>
      <c r="AO400" s="30">
        <v>452400</v>
      </c>
      <c r="AP400" s="30">
        <f>Lookups!$B$58*0.6</f>
        <v>132535.48800000001</v>
      </c>
      <c r="AQ400" s="30">
        <f>Lookups!$B$58*0.4</f>
        <v>88356.992000000013</v>
      </c>
      <c r="AR400" s="30">
        <f>Lookups!$B$59*Inventory[[#This Row],[LnAcres]]</f>
        <v>-21122.779792355024</v>
      </c>
      <c r="AS400" s="30">
        <f>VLOOKUP(Inventory[[#This Row],[Qlty]],Lookups!$A$66:$E$79,2,FALSE)</f>
        <v>37154.252388000001</v>
      </c>
      <c r="AT400" s="30">
        <f>VLOOKUP(Inventory[[#This Row],[Cnd]],Lookups!$A$80:$E$88,2,FALSE)</f>
        <v>50438.379078999998</v>
      </c>
      <c r="AU400" s="30">
        <f>Inventory[[#This Row],[EffAge]]*Lookups!$B$65</f>
        <v>-1413.6342999999999</v>
      </c>
      <c r="AV400" s="30">
        <f>Inventory[[#This Row],[MainFn]]*Lookups!$B$90</f>
        <v>70274.087880000006</v>
      </c>
      <c r="AW400" s="30">
        <f>Inventory[[#This Row],[UpprFn]]*Lookups!$B$91</f>
        <v>75071.282579999999</v>
      </c>
      <c r="AX400" s="30">
        <f>Inventory[[#This Row],[Bsmt Area]]*Lookups!$B$95</f>
        <v>0</v>
      </c>
      <c r="AY400" s="30">
        <f>Inventory[[#This Row],[AttGar]]*Lookups!$B$93</f>
        <v>23192.777367000002</v>
      </c>
      <c r="AZ400" s="30">
        <f>ROUND(Inventory[[#This Row],[25Det]],-2)</f>
        <v>0</v>
      </c>
      <c r="BA400" s="30">
        <f>ROUND(SUM(Inventory[[#This Row],[Mdl Qlty]:[Mdl Garage Area]])+Inventory[[#This Row],[Mdl Res Intercept]],-2)</f>
        <v>387300</v>
      </c>
      <c r="BB400" s="30">
        <f>ROUND(Inventory[[#This Row],[Mdl Land Intercept]]+Inventory[[#This Row],[Mdl LnAcres]],-2)</f>
        <v>67200</v>
      </c>
      <c r="BC400" s="30">
        <f>Inventory[[#This Row],[Unadj Res Value]]+Inventory[[#This Row],[Unadj Det Value]]+Inventory[[#This Row],[Unadj Land Value]]</f>
        <v>454500</v>
      </c>
      <c r="BD400" s="30">
        <f>(Inventory[[#This Row],[Unadj Total Value]]-Inventory[[#This Row],[24Final]])/Inventory[[#This Row],[24Final]]</f>
        <v>4.6419098143236073E-3</v>
      </c>
      <c r="BE400" s="30">
        <f>VLOOKUP(Inventory[[#This Row],[Nbhd]],Lookups!$M$3:$P$5,4,FALSE)</f>
        <v>0.99970000000000003</v>
      </c>
      <c r="BF400" s="30">
        <f>VLOOKUP(Inventory[[#This Row],[Qlty]],Lookups!$M$8:$P$22,4,FALSE)</f>
        <v>0.99819999999999998</v>
      </c>
      <c r="BG400" s="30">
        <f>VLOOKUP(Inventory[[#This Row],[Cnd]],Lookups!$R$8:$U$17,4,FALSE)</f>
        <v>1.0007999999999999</v>
      </c>
      <c r="BH400" s="30">
        <f>VLOOKUP(Inventory[[#This Row],[LivArea Range]],Lookups!$R$25:$U$43,4,FALSE)</f>
        <v>1.0008999999999999</v>
      </c>
      <c r="BI400" s="30">
        <f>VLOOKUP(Inventory[[#This Row],[Decade]],Lookups!$M$24:$P$40,4,FALSE)</f>
        <v>1.0024</v>
      </c>
      <c r="BJ400" s="30">
        <f>Inventory[[#This Row],[Nbhd Adj]]*0.95</f>
        <v>0.94971499999999998</v>
      </c>
      <c r="BK400" s="30">
        <f>AVERAGE(Inventory[[#This Row],[Nbhd Adj]],Inventory[[#This Row],[Quality Adj]],Inventory[[#This Row],[Condition Adj]],Inventory[[#This Row],[Living Area Adj]],Inventory[[#This Row],[Decade Adj]])*0.95</f>
        <v>0.95037999999999989</v>
      </c>
      <c r="BL400" s="30">
        <f>ROUND((SUM(Inventory[[#This Row],[Mdl Qlty]:[Mdl Garage Area]])+Inventory[[#This Row],[Mdl Res Intercept]])*Inventory[[#This Row],[Res Adj ]],-2)</f>
        <v>368000</v>
      </c>
      <c r="BM400" s="30">
        <f>ROUND(Inventory[[#This Row],[25Det]]*Inventory[[#This Row],[Det/Nbhd Adj]],-2)</f>
        <v>0</v>
      </c>
      <c r="BN400" s="30">
        <f>Inventory[[#This Row],[Adjusted Res]]+Inventory[[#This Row],[Adj Det ]]</f>
        <v>368000</v>
      </c>
      <c r="BO400" s="30">
        <f>ROUND((Inventory[[#This Row],[Mdl Land Intercept]]+Inventory[[#This Row],[Mdl LnAcres]])*Inventory[[#This Row],[Det/Nbhd Adj]],-2)</f>
        <v>63900</v>
      </c>
      <c r="BP400" s="30">
        <f>Inventory[[#This Row],[Adjusted Impr Total]]+Inventory[[#This Row],[Adjusted Land Total]]</f>
        <v>431900</v>
      </c>
      <c r="BQ400" s="30">
        <f>IFERROR((Inventory[[#This Row],[Adjusted Impr Total]]-Inventory[[#This Row],[24Bldg]])/Inventory[[#This Row],[24Bldg]],0)</f>
        <v>-5.2523171987641608E-2</v>
      </c>
      <c r="BR400" s="43">
        <f>(Inventory[[#This Row],[Adjusted Land Total]]-Inventory[[#This Row],[24Lnd]])/Inventory[[#This Row],[24Lnd]]</f>
        <v>-1.5625000000000001E-3</v>
      </c>
      <c r="BS400" s="43">
        <f>(Inventory[[#This Row],[Adjusted Total]]-Inventory[[#This Row],[24Final]])/Inventory[[#This Row],[24Final]]</f>
        <v>-4.5313881520778074E-2</v>
      </c>
    </row>
    <row r="401" spans="1:71">
      <c r="A401" s="30">
        <v>2025</v>
      </c>
      <c r="B401" s="31" t="s">
        <v>915</v>
      </c>
      <c r="C401" s="31">
        <f>LN(Inventory[[#This Row],[Acres]])</f>
        <v>-1.8971199848858813</v>
      </c>
      <c r="D401" s="30">
        <v>0.15</v>
      </c>
      <c r="E401" s="30">
        <v>6633</v>
      </c>
      <c r="F401" s="31" t="s">
        <v>505</v>
      </c>
      <c r="G401" s="31" t="s">
        <v>155</v>
      </c>
      <c r="H401" s="31" t="s">
        <v>5</v>
      </c>
      <c r="I401" s="31" t="s">
        <v>506</v>
      </c>
      <c r="J401" s="31" t="s">
        <v>507</v>
      </c>
      <c r="K401" s="31" t="s">
        <v>330</v>
      </c>
      <c r="L401" s="31" t="s">
        <v>19</v>
      </c>
      <c r="M401" s="31" t="s">
        <v>20</v>
      </c>
      <c r="N401" s="31">
        <v>10</v>
      </c>
      <c r="O401" s="31">
        <f>2024-Inventory[[#This Row],[YrBlt]]</f>
        <v>14</v>
      </c>
      <c r="P401" s="31">
        <f>2024-Inventory[[#This Row],[EffYr]]</f>
        <v>14</v>
      </c>
      <c r="Q401" s="30">
        <v>2010</v>
      </c>
      <c r="R401" s="30">
        <v>2010</v>
      </c>
      <c r="S401" s="30">
        <v>1117</v>
      </c>
      <c r="T401" s="37"/>
      <c r="U401" s="32"/>
      <c r="V401" s="32"/>
      <c r="W401" s="32"/>
      <c r="X401" s="32">
        <f>Inventory[[#This Row],[Bsmt Area]]-Inventory[[#This Row],[FnBsmt]]</f>
        <v>0</v>
      </c>
      <c r="Y401" s="32">
        <f>Inventory[[#This Row],[MainFn]]+Inventory[[#This Row],[UpprFn]]+Inventory[[#This Row],[AddFn]]+Inventory[[#This Row],[FnBsmt]]</f>
        <v>1117</v>
      </c>
      <c r="Z401" s="32">
        <v>1500</v>
      </c>
      <c r="AA401" s="31" t="s">
        <v>57</v>
      </c>
      <c r="AB401" s="32"/>
      <c r="AC401" s="38">
        <v>459</v>
      </c>
      <c r="AD401" s="37"/>
      <c r="AE401" s="32"/>
      <c r="AF401" s="32"/>
      <c r="AG401" s="32"/>
      <c r="AH401" s="32"/>
      <c r="AI401" s="30">
        <v>253154</v>
      </c>
      <c r="AJ401" s="30">
        <v>235433</v>
      </c>
      <c r="AK401" s="30">
        <v>0</v>
      </c>
      <c r="AL401" s="30">
        <v>0</v>
      </c>
      <c r="AM401" s="30">
        <v>59900</v>
      </c>
      <c r="AN401" s="30">
        <v>306600</v>
      </c>
      <c r="AO401" s="30">
        <v>366500</v>
      </c>
      <c r="AP401" s="30">
        <f>Lookups!$B$58*0.6</f>
        <v>132535.48800000001</v>
      </c>
      <c r="AQ401" s="30">
        <f>Lookups!$B$58*0.4</f>
        <v>88356.992000000013</v>
      </c>
      <c r="AR401" s="30">
        <f>Lookups!$B$59*Inventory[[#This Row],[LnAcres]]</f>
        <v>-24898.411657157456</v>
      </c>
      <c r="AS401" s="30">
        <f>VLOOKUP(Inventory[[#This Row],[Qlty]],Lookups!$A$66:$E$79,2,FALSE)</f>
        <v>37154.252388000001</v>
      </c>
      <c r="AT401" s="30">
        <f>VLOOKUP(Inventory[[#This Row],[Cnd]],Lookups!$A$80:$E$88,2,FALSE)</f>
        <v>30300.329274</v>
      </c>
      <c r="AU401" s="30">
        <f>Inventory[[#This Row],[EffAge]]*Lookups!$B$65</f>
        <v>-1522.3754000000001</v>
      </c>
      <c r="AV401" s="30">
        <f>Inventory[[#This Row],[MainFn]]*Lookups!$B$90</f>
        <v>69712.39446000001</v>
      </c>
      <c r="AW401" s="30">
        <f>Inventory[[#This Row],[UpprFn]]*Lookups!$B$91</f>
        <v>0</v>
      </c>
      <c r="AX401" s="30">
        <f>Inventory[[#This Row],[Bsmt Area]]*Lookups!$B$95</f>
        <v>0</v>
      </c>
      <c r="AY401" s="30">
        <f>Inventory[[#This Row],[AttGar]]*Lookups!$B$93</f>
        <v>16203.173229</v>
      </c>
      <c r="AZ401" s="30">
        <f>ROUND(Inventory[[#This Row],[25Det]],-2)</f>
        <v>0</v>
      </c>
      <c r="BA401" s="30">
        <f>ROUND(SUM(Inventory[[#This Row],[Mdl Qlty]:[Mdl Garage Area]])+Inventory[[#This Row],[Mdl Res Intercept]],-2)</f>
        <v>284400</v>
      </c>
      <c r="BB401" s="30">
        <f>ROUND(Inventory[[#This Row],[Mdl Land Intercept]]+Inventory[[#This Row],[Mdl LnAcres]],-2)</f>
        <v>63500</v>
      </c>
      <c r="BC401" s="30">
        <f>Inventory[[#This Row],[Unadj Res Value]]+Inventory[[#This Row],[Unadj Det Value]]+Inventory[[#This Row],[Unadj Land Value]]</f>
        <v>347900</v>
      </c>
      <c r="BD401" s="30">
        <f>(Inventory[[#This Row],[Unadj Total Value]]-Inventory[[#This Row],[24Final]])/Inventory[[#This Row],[24Final]]</f>
        <v>-5.0750341064120054E-2</v>
      </c>
      <c r="BE401" s="30">
        <f>VLOOKUP(Inventory[[#This Row],[Nbhd]],Lookups!$M$3:$P$5,4,FALSE)</f>
        <v>0.99970000000000003</v>
      </c>
      <c r="BF401" s="30">
        <f>VLOOKUP(Inventory[[#This Row],[Qlty]],Lookups!$M$8:$P$22,4,FALSE)</f>
        <v>0.99819999999999998</v>
      </c>
      <c r="BG401" s="30">
        <f>VLOOKUP(Inventory[[#This Row],[Cnd]],Lookups!$R$8:$U$17,4,FALSE)</f>
        <v>0.997</v>
      </c>
      <c r="BH401" s="30">
        <f>VLOOKUP(Inventory[[#This Row],[LivArea Range]],Lookups!$R$25:$U$43,4,FALSE)</f>
        <v>0.99519999999999997</v>
      </c>
      <c r="BI401" s="30">
        <f>VLOOKUP(Inventory[[#This Row],[Decade]],Lookups!$M$24:$P$40,4,FALSE)</f>
        <v>1.0024</v>
      </c>
      <c r="BJ401" s="30">
        <f>Inventory[[#This Row],[Nbhd Adj]]*0.95</f>
        <v>0.94971499999999998</v>
      </c>
      <c r="BK401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401" s="30">
        <f>ROUND((SUM(Inventory[[#This Row],[Mdl Qlty]:[Mdl Garage Area]])+Inventory[[#This Row],[Mdl Res Intercept]])*Inventory[[#This Row],[Res Adj ]],-2)</f>
        <v>269800</v>
      </c>
      <c r="BM401" s="30">
        <f>ROUND(Inventory[[#This Row],[25Det]]*Inventory[[#This Row],[Det/Nbhd Adj]],-2)</f>
        <v>0</v>
      </c>
      <c r="BN401" s="30">
        <f>Inventory[[#This Row],[Adjusted Res]]+Inventory[[#This Row],[Adj Det ]]</f>
        <v>269800</v>
      </c>
      <c r="BO401" s="30">
        <f>ROUND((Inventory[[#This Row],[Mdl Land Intercept]]+Inventory[[#This Row],[Mdl LnAcres]])*Inventory[[#This Row],[Det/Nbhd Adj]],-2)</f>
        <v>60300</v>
      </c>
      <c r="BP401" s="30">
        <f>Inventory[[#This Row],[Adjusted Impr Total]]+Inventory[[#This Row],[Adjusted Land Total]]</f>
        <v>330100</v>
      </c>
      <c r="BQ401" s="30">
        <f>IFERROR((Inventory[[#This Row],[Adjusted Impr Total]]-Inventory[[#This Row],[24Bldg]])/Inventory[[#This Row],[24Bldg]],0)</f>
        <v>-0.12002609262883235</v>
      </c>
      <c r="BR401" s="43">
        <f>(Inventory[[#This Row],[Adjusted Land Total]]-Inventory[[#This Row],[24Lnd]])/Inventory[[#This Row],[24Lnd]]</f>
        <v>6.6777963272120202E-3</v>
      </c>
      <c r="BS401" s="43">
        <f>(Inventory[[#This Row],[Adjusted Total]]-Inventory[[#This Row],[24Final]])/Inventory[[#This Row],[24Final]]</f>
        <v>-9.9317871759890861E-2</v>
      </c>
    </row>
    <row r="402" spans="1:71">
      <c r="A402" s="30">
        <v>2025</v>
      </c>
      <c r="B402" s="31" t="s">
        <v>916</v>
      </c>
      <c r="C402" s="31">
        <f>LN(Inventory[[#This Row],[Acres]])</f>
        <v>-1.8325814637483102</v>
      </c>
      <c r="D402" s="30">
        <v>0.16</v>
      </c>
      <c r="E402" s="30">
        <v>7033</v>
      </c>
      <c r="F402" s="31" t="s">
        <v>505</v>
      </c>
      <c r="G402" s="31" t="s">
        <v>155</v>
      </c>
      <c r="H402" s="31" t="s">
        <v>5</v>
      </c>
      <c r="I402" s="31" t="s">
        <v>506</v>
      </c>
      <c r="J402" s="31" t="s">
        <v>507</v>
      </c>
      <c r="K402" s="31" t="s">
        <v>330</v>
      </c>
      <c r="L402" s="31" t="s">
        <v>21</v>
      </c>
      <c r="M402" s="31" t="s">
        <v>20</v>
      </c>
      <c r="N402" s="31">
        <v>10</v>
      </c>
      <c r="O402" s="31">
        <f>2024-Inventory[[#This Row],[YrBlt]]</f>
        <v>14</v>
      </c>
      <c r="P402" s="31">
        <f>2024-Inventory[[#This Row],[EffYr]]</f>
        <v>14</v>
      </c>
      <c r="Q402" s="30">
        <v>2010</v>
      </c>
      <c r="R402" s="30">
        <v>2010</v>
      </c>
      <c r="S402" s="30">
        <v>1114</v>
      </c>
      <c r="T402" s="38">
        <v>1114</v>
      </c>
      <c r="U402" s="32"/>
      <c r="V402" s="32"/>
      <c r="W402" s="32"/>
      <c r="X402" s="32">
        <f>Inventory[[#This Row],[Bsmt Area]]-Inventory[[#This Row],[FnBsmt]]</f>
        <v>0</v>
      </c>
      <c r="Y402" s="32">
        <f>Inventory[[#This Row],[MainFn]]+Inventory[[#This Row],[UpprFn]]+Inventory[[#This Row],[AddFn]]+Inventory[[#This Row],[FnBsmt]]</f>
        <v>2228</v>
      </c>
      <c r="Z402" s="32">
        <v>2500</v>
      </c>
      <c r="AA402" s="31" t="s">
        <v>57</v>
      </c>
      <c r="AB402" s="37"/>
      <c r="AC402" s="30">
        <v>440</v>
      </c>
      <c r="AD402" s="32"/>
      <c r="AE402" s="32"/>
      <c r="AF402" s="32"/>
      <c r="AG402" s="32"/>
      <c r="AH402" s="32"/>
      <c r="AI402" s="30">
        <v>438288</v>
      </c>
      <c r="AJ402" s="30">
        <v>407608</v>
      </c>
      <c r="AK402" s="30">
        <v>0</v>
      </c>
      <c r="AL402" s="30">
        <v>0</v>
      </c>
      <c r="AM402" s="30">
        <v>60800</v>
      </c>
      <c r="AN402" s="30">
        <v>337600</v>
      </c>
      <c r="AO402" s="30">
        <v>398400</v>
      </c>
      <c r="AP402" s="30">
        <f>Lookups!$B$58*0.6</f>
        <v>132535.48800000001</v>
      </c>
      <c r="AQ402" s="30">
        <f>Lookups!$B$58*0.4</f>
        <v>88356.992000000013</v>
      </c>
      <c r="AR402" s="30">
        <f>Lookups!$B$59*Inventory[[#This Row],[LnAcres]]</f>
        <v>-24051.387388882686</v>
      </c>
      <c r="AS402" s="30">
        <f>VLOOKUP(Inventory[[#This Row],[Qlty]],Lookups!$A$66:$E$79,2,FALSE)</f>
        <v>32917.849192000001</v>
      </c>
      <c r="AT402" s="30">
        <f>VLOOKUP(Inventory[[#This Row],[Cnd]],Lookups!$A$80:$E$88,2,FALSE)</f>
        <v>30300.329274</v>
      </c>
      <c r="AU402" s="30">
        <f>Inventory[[#This Row],[EffAge]]*Lookups!$B$65</f>
        <v>-1522.3754000000001</v>
      </c>
      <c r="AV402" s="30">
        <f>Inventory[[#This Row],[MainFn]]*Lookups!$B$90</f>
        <v>69525.163320000007</v>
      </c>
      <c r="AW402" s="30">
        <f>Inventory[[#This Row],[UpprFn]]*Lookups!$B$91</f>
        <v>66372.546661999993</v>
      </c>
      <c r="AX402" s="30">
        <f>Inventory[[#This Row],[Bsmt Area]]*Lookups!$B$95</f>
        <v>0</v>
      </c>
      <c r="AY402" s="30">
        <f>Inventory[[#This Row],[AttGar]]*Lookups!$B$93</f>
        <v>15532.453640000002</v>
      </c>
      <c r="AZ402" s="30">
        <f>ROUND(Inventory[[#This Row],[25Det]],-2)</f>
        <v>0</v>
      </c>
      <c r="BA402" s="30">
        <f>ROUND(SUM(Inventory[[#This Row],[Mdl Qlty]:[Mdl Garage Area]])+Inventory[[#This Row],[Mdl Res Intercept]],-2)</f>
        <v>345700</v>
      </c>
      <c r="BB402" s="30">
        <f>ROUND(Inventory[[#This Row],[Mdl Land Intercept]]+Inventory[[#This Row],[Mdl LnAcres]],-2)</f>
        <v>64300</v>
      </c>
      <c r="BC402" s="30">
        <f>Inventory[[#This Row],[Unadj Res Value]]+Inventory[[#This Row],[Unadj Det Value]]+Inventory[[#This Row],[Unadj Land Value]]</f>
        <v>410000</v>
      </c>
      <c r="BD402" s="30">
        <f>(Inventory[[#This Row],[Unadj Total Value]]-Inventory[[#This Row],[24Final]])/Inventory[[#This Row],[24Final]]</f>
        <v>2.9116465863453816E-2</v>
      </c>
      <c r="BE402" s="30">
        <f>VLOOKUP(Inventory[[#This Row],[Nbhd]],Lookups!$M$3:$P$5,4,FALSE)</f>
        <v>0.99970000000000003</v>
      </c>
      <c r="BF402" s="30">
        <f>VLOOKUP(Inventory[[#This Row],[Qlty]],Lookups!$M$8:$P$22,4,FALSE)</f>
        <v>1.0019</v>
      </c>
      <c r="BG402" s="30">
        <f>VLOOKUP(Inventory[[#This Row],[Cnd]],Lookups!$R$8:$U$17,4,FALSE)</f>
        <v>0.997</v>
      </c>
      <c r="BH402" s="30">
        <f>VLOOKUP(Inventory[[#This Row],[LivArea Range]],Lookups!$R$25:$U$43,4,FALSE)</f>
        <v>1.0008999999999999</v>
      </c>
      <c r="BI402" s="30">
        <f>VLOOKUP(Inventory[[#This Row],[Decade]],Lookups!$M$24:$P$40,4,FALSE)</f>
        <v>1.0024</v>
      </c>
      <c r="BJ402" s="30">
        <f>Inventory[[#This Row],[Nbhd Adj]]*0.95</f>
        <v>0.94971499999999998</v>
      </c>
      <c r="BK402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402" s="30">
        <f>ROUND((SUM(Inventory[[#This Row],[Mdl Qlty]:[Mdl Garage Area]])+Inventory[[#This Row],[Mdl Res Intercept]])*Inventory[[#This Row],[Res Adj ]],-2)</f>
        <v>328500</v>
      </c>
      <c r="BM402" s="30">
        <f>ROUND(Inventory[[#This Row],[25Det]]*Inventory[[#This Row],[Det/Nbhd Adj]],-2)</f>
        <v>0</v>
      </c>
      <c r="BN402" s="30">
        <f>Inventory[[#This Row],[Adjusted Res]]+Inventory[[#This Row],[Adj Det ]]</f>
        <v>328500</v>
      </c>
      <c r="BO402" s="30">
        <f>ROUND((Inventory[[#This Row],[Mdl Land Intercept]]+Inventory[[#This Row],[Mdl LnAcres]])*Inventory[[#This Row],[Det/Nbhd Adj]],-2)</f>
        <v>61100</v>
      </c>
      <c r="BP402" s="30">
        <f>Inventory[[#This Row],[Adjusted Impr Total]]+Inventory[[#This Row],[Adjusted Land Total]]</f>
        <v>389600</v>
      </c>
      <c r="BQ402" s="30">
        <f>IFERROR((Inventory[[#This Row],[Adjusted Impr Total]]-Inventory[[#This Row],[24Bldg]])/Inventory[[#This Row],[24Bldg]],0)</f>
        <v>-2.6954976303317536E-2</v>
      </c>
      <c r="BR402" s="43">
        <f>(Inventory[[#This Row],[Adjusted Land Total]]-Inventory[[#This Row],[24Lnd]])/Inventory[[#This Row],[24Lnd]]</f>
        <v>4.9342105263157892E-3</v>
      </c>
      <c r="BS402" s="43">
        <f>(Inventory[[#This Row],[Adjusted Total]]-Inventory[[#This Row],[24Final]])/Inventory[[#This Row],[24Final]]</f>
        <v>-2.2088353413654619E-2</v>
      </c>
    </row>
    <row r="403" spans="1:71">
      <c r="A403" s="30">
        <v>2025</v>
      </c>
      <c r="B403" s="31" t="s">
        <v>917</v>
      </c>
      <c r="C403" s="31">
        <f>LN(Inventory[[#This Row],[Acres]])</f>
        <v>-1.8325814637483102</v>
      </c>
      <c r="D403" s="30">
        <v>0.16</v>
      </c>
      <c r="E403" s="30">
        <v>7095</v>
      </c>
      <c r="F403" s="31" t="s">
        <v>505</v>
      </c>
      <c r="G403" s="31" t="s">
        <v>155</v>
      </c>
      <c r="H403" s="31" t="s">
        <v>5</v>
      </c>
      <c r="I403" s="31" t="s">
        <v>506</v>
      </c>
      <c r="J403" s="31" t="s">
        <v>507</v>
      </c>
      <c r="K403" s="31" t="s">
        <v>330</v>
      </c>
      <c r="L403" s="31" t="s">
        <v>19</v>
      </c>
      <c r="M403" s="31" t="s">
        <v>22</v>
      </c>
      <c r="N403" s="31">
        <v>10</v>
      </c>
      <c r="O403" s="31">
        <f>2024-Inventory[[#This Row],[YrBlt]]</f>
        <v>14</v>
      </c>
      <c r="P403" s="31">
        <f>2024-Inventory[[#This Row],[EffYr]]</f>
        <v>14</v>
      </c>
      <c r="Q403" s="30">
        <v>2010</v>
      </c>
      <c r="R403" s="30">
        <v>2010</v>
      </c>
      <c r="S403" s="30">
        <v>1721</v>
      </c>
      <c r="T403" s="32"/>
      <c r="U403" s="32"/>
      <c r="V403" s="32"/>
      <c r="W403" s="32"/>
      <c r="X403" s="32">
        <f>Inventory[[#This Row],[Bsmt Area]]-Inventory[[#This Row],[FnBsmt]]</f>
        <v>0</v>
      </c>
      <c r="Y403" s="32">
        <f>Inventory[[#This Row],[MainFn]]+Inventory[[#This Row],[UpprFn]]+Inventory[[#This Row],[AddFn]]+Inventory[[#This Row],[FnBsmt]]</f>
        <v>1721</v>
      </c>
      <c r="Z403" s="32">
        <v>2000</v>
      </c>
      <c r="AA403" s="31" t="s">
        <v>57</v>
      </c>
      <c r="AB403" s="38">
        <v>1</v>
      </c>
      <c r="AC403" s="30">
        <v>435</v>
      </c>
      <c r="AD403" s="32"/>
      <c r="AE403" s="32"/>
      <c r="AF403" s="32"/>
      <c r="AG403" s="32"/>
      <c r="AH403" s="32"/>
      <c r="AI403" s="30">
        <v>334766</v>
      </c>
      <c r="AJ403" s="30">
        <v>314680</v>
      </c>
      <c r="AK403" s="30">
        <v>0</v>
      </c>
      <c r="AL403" s="30">
        <v>0</v>
      </c>
      <c r="AM403" s="30">
        <v>60800</v>
      </c>
      <c r="AN403" s="30">
        <v>330500</v>
      </c>
      <c r="AO403" s="30">
        <v>391300</v>
      </c>
      <c r="AP403" s="30">
        <f>Lookups!$B$58*0.6</f>
        <v>132535.48800000001</v>
      </c>
      <c r="AQ403" s="30">
        <f>Lookups!$B$58*0.4</f>
        <v>88356.992000000013</v>
      </c>
      <c r="AR403" s="30">
        <f>Lookups!$B$59*Inventory[[#This Row],[LnAcres]]</f>
        <v>-24051.387388882686</v>
      </c>
      <c r="AS403" s="30">
        <f>VLOOKUP(Inventory[[#This Row],[Qlty]],Lookups!$A$66:$E$79,2,FALSE)</f>
        <v>37154.252388000001</v>
      </c>
      <c r="AT403" s="30">
        <f>VLOOKUP(Inventory[[#This Row],[Cnd]],Lookups!$A$80:$E$88,2,FALSE)</f>
        <v>50438.379078999998</v>
      </c>
      <c r="AU403" s="30">
        <f>Inventory[[#This Row],[EffAge]]*Lookups!$B$65</f>
        <v>-1522.3754000000001</v>
      </c>
      <c r="AV403" s="30">
        <f>Inventory[[#This Row],[MainFn]]*Lookups!$B$90</f>
        <v>107408.26398</v>
      </c>
      <c r="AW403" s="30">
        <f>Inventory[[#This Row],[UpprFn]]*Lookups!$B$91</f>
        <v>0</v>
      </c>
      <c r="AX403" s="30">
        <f>Inventory[[#This Row],[Bsmt Area]]*Lookups!$B$95</f>
        <v>0</v>
      </c>
      <c r="AY403" s="30">
        <f>Inventory[[#This Row],[AttGar]]*Lookups!$B$93</f>
        <v>15355.948485000001</v>
      </c>
      <c r="AZ403" s="30">
        <f>ROUND(Inventory[[#This Row],[25Det]],-2)</f>
        <v>0</v>
      </c>
      <c r="BA403" s="30">
        <f>ROUND(SUM(Inventory[[#This Row],[Mdl Qlty]:[Mdl Garage Area]])+Inventory[[#This Row],[Mdl Res Intercept]],-2)</f>
        <v>341400</v>
      </c>
      <c r="BB403" s="30">
        <f>ROUND(Inventory[[#This Row],[Mdl Land Intercept]]+Inventory[[#This Row],[Mdl LnAcres]],-2)</f>
        <v>64300</v>
      </c>
      <c r="BC403" s="30">
        <f>Inventory[[#This Row],[Unadj Res Value]]+Inventory[[#This Row],[Unadj Det Value]]+Inventory[[#This Row],[Unadj Land Value]]</f>
        <v>405700</v>
      </c>
      <c r="BD403" s="30">
        <f>(Inventory[[#This Row],[Unadj Total Value]]-Inventory[[#This Row],[24Final]])/Inventory[[#This Row],[24Final]]</f>
        <v>3.6800408893432147E-2</v>
      </c>
      <c r="BE403" s="30">
        <f>VLOOKUP(Inventory[[#This Row],[Nbhd]],Lookups!$M$3:$P$5,4,FALSE)</f>
        <v>0.99970000000000003</v>
      </c>
      <c r="BF403" s="30">
        <f>VLOOKUP(Inventory[[#This Row],[Qlty]],Lookups!$M$8:$P$22,4,FALSE)</f>
        <v>0.99819999999999998</v>
      </c>
      <c r="BG403" s="30">
        <f>VLOOKUP(Inventory[[#This Row],[Cnd]],Lookups!$R$8:$U$17,4,FALSE)</f>
        <v>1.0007999999999999</v>
      </c>
      <c r="BH403" s="30">
        <f>VLOOKUP(Inventory[[#This Row],[LivArea Range]],Lookups!$R$25:$U$43,4,FALSE)</f>
        <v>1.0007999999999999</v>
      </c>
      <c r="BI403" s="30">
        <f>VLOOKUP(Inventory[[#This Row],[Decade]],Lookups!$M$24:$P$40,4,FALSE)</f>
        <v>1.0024</v>
      </c>
      <c r="BJ403" s="30">
        <f>Inventory[[#This Row],[Nbhd Adj]]*0.95</f>
        <v>0.94971499999999998</v>
      </c>
      <c r="BK403" s="30">
        <f>AVERAGE(Inventory[[#This Row],[Nbhd Adj]],Inventory[[#This Row],[Quality Adj]],Inventory[[#This Row],[Condition Adj]],Inventory[[#This Row],[Living Area Adj]],Inventory[[#This Row],[Decade Adj]])*0.95</f>
        <v>0.95036100000000001</v>
      </c>
      <c r="BL403" s="30">
        <f>ROUND((SUM(Inventory[[#This Row],[Mdl Qlty]:[Mdl Garage Area]])+Inventory[[#This Row],[Mdl Res Intercept]])*Inventory[[#This Row],[Res Adj ]],-2)</f>
        <v>324400</v>
      </c>
      <c r="BM403" s="30">
        <f>ROUND(Inventory[[#This Row],[25Det]]*Inventory[[#This Row],[Det/Nbhd Adj]],-2)</f>
        <v>0</v>
      </c>
      <c r="BN403" s="30">
        <f>Inventory[[#This Row],[Adjusted Res]]+Inventory[[#This Row],[Adj Det ]]</f>
        <v>324400</v>
      </c>
      <c r="BO403" s="30">
        <f>ROUND((Inventory[[#This Row],[Mdl Land Intercept]]+Inventory[[#This Row],[Mdl LnAcres]])*Inventory[[#This Row],[Det/Nbhd Adj]],-2)</f>
        <v>61100</v>
      </c>
      <c r="BP403" s="30">
        <f>Inventory[[#This Row],[Adjusted Impr Total]]+Inventory[[#This Row],[Adjusted Land Total]]</f>
        <v>385500</v>
      </c>
      <c r="BQ403" s="30">
        <f>IFERROR((Inventory[[#This Row],[Adjusted Impr Total]]-Inventory[[#This Row],[24Bldg]])/Inventory[[#This Row],[24Bldg]],0)</f>
        <v>-1.8456883509833585E-2</v>
      </c>
      <c r="BR403" s="43">
        <f>(Inventory[[#This Row],[Adjusted Land Total]]-Inventory[[#This Row],[24Lnd]])/Inventory[[#This Row],[24Lnd]]</f>
        <v>4.9342105263157892E-3</v>
      </c>
      <c r="BS403" s="43">
        <f>(Inventory[[#This Row],[Adjusted Total]]-Inventory[[#This Row],[24Final]])/Inventory[[#This Row],[24Final]]</f>
        <v>-1.4822386915410171E-2</v>
      </c>
    </row>
    <row r="404" spans="1:71">
      <c r="A404" s="30">
        <v>2025</v>
      </c>
      <c r="B404" s="31" t="s">
        <v>918</v>
      </c>
      <c r="C404" s="31">
        <f>LN(Inventory[[#This Row],[Acres]])</f>
        <v>-1.8325814637483102</v>
      </c>
      <c r="D404" s="30">
        <v>0.16</v>
      </c>
      <c r="E404" s="30">
        <v>7098</v>
      </c>
      <c r="F404" s="31" t="s">
        <v>505</v>
      </c>
      <c r="G404" s="31" t="s">
        <v>155</v>
      </c>
      <c r="H404" s="31" t="s">
        <v>5</v>
      </c>
      <c r="I404" s="31" t="s">
        <v>506</v>
      </c>
      <c r="J404" s="31" t="s">
        <v>507</v>
      </c>
      <c r="K404" s="31" t="s">
        <v>330</v>
      </c>
      <c r="L404" s="31" t="s">
        <v>21</v>
      </c>
      <c r="M404" s="31" t="s">
        <v>22</v>
      </c>
      <c r="N404" s="31">
        <v>10</v>
      </c>
      <c r="O404" s="31">
        <f>2024-Inventory[[#This Row],[YrBlt]]</f>
        <v>14</v>
      </c>
      <c r="P404" s="31">
        <f>2024-Inventory[[#This Row],[EffYr]]</f>
        <v>14</v>
      </c>
      <c r="Q404" s="30">
        <v>2010</v>
      </c>
      <c r="R404" s="30">
        <v>2010</v>
      </c>
      <c r="S404" s="30">
        <v>1737</v>
      </c>
      <c r="T404" s="32"/>
      <c r="U404" s="32"/>
      <c r="V404" s="32"/>
      <c r="W404" s="32"/>
      <c r="X404" s="32">
        <f>Inventory[[#This Row],[Bsmt Area]]-Inventory[[#This Row],[FnBsmt]]</f>
        <v>0</v>
      </c>
      <c r="Y404" s="32">
        <f>Inventory[[#This Row],[MainFn]]+Inventory[[#This Row],[UpprFn]]+Inventory[[#This Row],[AddFn]]+Inventory[[#This Row],[FnBsmt]]</f>
        <v>1737</v>
      </c>
      <c r="Z404" s="32">
        <v>2000</v>
      </c>
      <c r="AA404" s="31" t="s">
        <v>57</v>
      </c>
      <c r="AB404" s="32"/>
      <c r="AC404" s="30">
        <v>435</v>
      </c>
      <c r="AD404" s="32"/>
      <c r="AE404" s="32"/>
      <c r="AF404" s="32"/>
      <c r="AG404" s="32"/>
      <c r="AH404" s="32"/>
      <c r="AI404" s="30">
        <v>373825</v>
      </c>
      <c r="AJ404" s="30">
        <v>351396</v>
      </c>
      <c r="AK404" s="30">
        <v>0</v>
      </c>
      <c r="AL404" s="30">
        <v>0</v>
      </c>
      <c r="AM404" s="30">
        <v>60800</v>
      </c>
      <c r="AN404" s="30">
        <v>325700</v>
      </c>
      <c r="AO404" s="30">
        <v>386500</v>
      </c>
      <c r="AP404" s="30">
        <f>Lookups!$B$58*0.6</f>
        <v>132535.48800000001</v>
      </c>
      <c r="AQ404" s="30">
        <f>Lookups!$B$58*0.4</f>
        <v>88356.992000000013</v>
      </c>
      <c r="AR404" s="30">
        <f>Lookups!$B$59*Inventory[[#This Row],[LnAcres]]</f>
        <v>-24051.387388882686</v>
      </c>
      <c r="AS404" s="30">
        <f>VLOOKUP(Inventory[[#This Row],[Qlty]],Lookups!$A$66:$E$79,2,FALSE)</f>
        <v>32917.849192000001</v>
      </c>
      <c r="AT404" s="30">
        <f>VLOOKUP(Inventory[[#This Row],[Cnd]],Lookups!$A$80:$E$88,2,FALSE)</f>
        <v>50438.379078999998</v>
      </c>
      <c r="AU404" s="30">
        <f>Inventory[[#This Row],[EffAge]]*Lookups!$B$65</f>
        <v>-1522.3754000000001</v>
      </c>
      <c r="AV404" s="30">
        <f>Inventory[[#This Row],[MainFn]]*Lookups!$B$90</f>
        <v>108406.83006000001</v>
      </c>
      <c r="AW404" s="30">
        <f>Inventory[[#This Row],[UpprFn]]*Lookups!$B$91</f>
        <v>0</v>
      </c>
      <c r="AX404" s="30">
        <f>Inventory[[#This Row],[Bsmt Area]]*Lookups!$B$95</f>
        <v>0</v>
      </c>
      <c r="AY404" s="30">
        <f>Inventory[[#This Row],[AttGar]]*Lookups!$B$93</f>
        <v>15355.948485000001</v>
      </c>
      <c r="AZ404" s="30">
        <f>ROUND(Inventory[[#This Row],[25Det]],-2)</f>
        <v>0</v>
      </c>
      <c r="BA404" s="30">
        <f>ROUND(SUM(Inventory[[#This Row],[Mdl Qlty]:[Mdl Garage Area]])+Inventory[[#This Row],[Mdl Res Intercept]],-2)</f>
        <v>338100</v>
      </c>
      <c r="BB404" s="30">
        <f>ROUND(Inventory[[#This Row],[Mdl Land Intercept]]+Inventory[[#This Row],[Mdl LnAcres]],-2)</f>
        <v>64300</v>
      </c>
      <c r="BC404" s="30">
        <f>Inventory[[#This Row],[Unadj Res Value]]+Inventory[[#This Row],[Unadj Det Value]]+Inventory[[#This Row],[Unadj Land Value]]</f>
        <v>402400</v>
      </c>
      <c r="BD404" s="30">
        <f>(Inventory[[#This Row],[Unadj Total Value]]-Inventory[[#This Row],[24Final]])/Inventory[[#This Row],[24Final]]</f>
        <v>4.113842173350582E-2</v>
      </c>
      <c r="BE404" s="30">
        <f>VLOOKUP(Inventory[[#This Row],[Nbhd]],Lookups!$M$3:$P$5,4,FALSE)</f>
        <v>0.99970000000000003</v>
      </c>
      <c r="BF404" s="30">
        <f>VLOOKUP(Inventory[[#This Row],[Qlty]],Lookups!$M$8:$P$22,4,FALSE)</f>
        <v>1.0019</v>
      </c>
      <c r="BG404" s="30">
        <f>VLOOKUP(Inventory[[#This Row],[Cnd]],Lookups!$R$8:$U$17,4,FALSE)</f>
        <v>1.0007999999999999</v>
      </c>
      <c r="BH404" s="30">
        <f>VLOOKUP(Inventory[[#This Row],[LivArea Range]],Lookups!$R$25:$U$43,4,FALSE)</f>
        <v>1.0007999999999999</v>
      </c>
      <c r="BI404" s="30">
        <f>VLOOKUP(Inventory[[#This Row],[Decade]],Lookups!$M$24:$P$40,4,FALSE)</f>
        <v>1.0024</v>
      </c>
      <c r="BJ404" s="30">
        <f>Inventory[[#This Row],[Nbhd Adj]]*0.95</f>
        <v>0.94971499999999998</v>
      </c>
      <c r="BK404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404" s="30">
        <f>ROUND((SUM(Inventory[[#This Row],[Mdl Qlty]:[Mdl Garage Area]])+Inventory[[#This Row],[Mdl Res Intercept]])*Inventory[[#This Row],[Res Adj ]],-2)</f>
        <v>321600</v>
      </c>
      <c r="BM404" s="30">
        <f>ROUND(Inventory[[#This Row],[25Det]]*Inventory[[#This Row],[Det/Nbhd Adj]],-2)</f>
        <v>0</v>
      </c>
      <c r="BN404" s="30">
        <f>Inventory[[#This Row],[Adjusted Res]]+Inventory[[#This Row],[Adj Det ]]</f>
        <v>321600</v>
      </c>
      <c r="BO404" s="30">
        <f>ROUND((Inventory[[#This Row],[Mdl Land Intercept]]+Inventory[[#This Row],[Mdl LnAcres]])*Inventory[[#This Row],[Det/Nbhd Adj]],-2)</f>
        <v>61100</v>
      </c>
      <c r="BP404" s="30">
        <f>Inventory[[#This Row],[Adjusted Impr Total]]+Inventory[[#This Row],[Adjusted Land Total]]</f>
        <v>382700</v>
      </c>
      <c r="BQ404" s="30">
        <f>IFERROR((Inventory[[#This Row],[Adjusted Impr Total]]-Inventory[[#This Row],[24Bldg]])/Inventory[[#This Row],[24Bldg]],0)</f>
        <v>-1.2588271415412957E-2</v>
      </c>
      <c r="BR404" s="43">
        <f>(Inventory[[#This Row],[Adjusted Land Total]]-Inventory[[#This Row],[24Lnd]])/Inventory[[#This Row],[24Lnd]]</f>
        <v>4.9342105263157892E-3</v>
      </c>
      <c r="BS404" s="43">
        <f>(Inventory[[#This Row],[Adjusted Total]]-Inventory[[#This Row],[24Final]])/Inventory[[#This Row],[24Final]]</f>
        <v>-9.8318240620957308E-3</v>
      </c>
    </row>
    <row r="405" spans="1:71">
      <c r="A405" s="30">
        <v>2025</v>
      </c>
      <c r="B405" s="31" t="s">
        <v>919</v>
      </c>
      <c r="C405" s="31">
        <f>LN(Inventory[[#This Row],[Acres]])</f>
        <v>-1.8325814637483102</v>
      </c>
      <c r="D405" s="30">
        <v>0.16</v>
      </c>
      <c r="E405" s="30">
        <v>7092</v>
      </c>
      <c r="F405" s="31" t="s">
        <v>505</v>
      </c>
      <c r="G405" s="31" t="s">
        <v>155</v>
      </c>
      <c r="H405" s="31" t="s">
        <v>5</v>
      </c>
      <c r="I405" s="31" t="s">
        <v>506</v>
      </c>
      <c r="J405" s="31" t="s">
        <v>507</v>
      </c>
      <c r="K405" s="31" t="s">
        <v>157</v>
      </c>
      <c r="L405" s="31" t="s">
        <v>21</v>
      </c>
      <c r="M405" s="31" t="s">
        <v>20</v>
      </c>
      <c r="N405" s="31">
        <v>10</v>
      </c>
      <c r="O405" s="31">
        <f>2024-Inventory[[#This Row],[YrBlt]]</f>
        <v>14</v>
      </c>
      <c r="P405" s="31">
        <f>2024-Inventory[[#This Row],[EffYr]]</f>
        <v>14</v>
      </c>
      <c r="Q405" s="30">
        <v>2010</v>
      </c>
      <c r="R405" s="30">
        <v>2010</v>
      </c>
      <c r="S405" s="30">
        <v>1389</v>
      </c>
      <c r="T405" s="38">
        <v>1322</v>
      </c>
      <c r="U405" s="32"/>
      <c r="V405" s="32"/>
      <c r="W405" s="32"/>
      <c r="X405" s="32">
        <f>Inventory[[#This Row],[Bsmt Area]]-Inventory[[#This Row],[FnBsmt]]</f>
        <v>0</v>
      </c>
      <c r="Y405" s="32">
        <f>Inventory[[#This Row],[MainFn]]+Inventory[[#This Row],[UpprFn]]+Inventory[[#This Row],[AddFn]]+Inventory[[#This Row],[FnBsmt]]</f>
        <v>2711</v>
      </c>
      <c r="Z405" s="32">
        <v>3000</v>
      </c>
      <c r="AA405" s="31" t="s">
        <v>56</v>
      </c>
      <c r="AB405" s="32"/>
      <c r="AC405" s="37"/>
      <c r="AD405" s="38">
        <v>728</v>
      </c>
      <c r="AE405" s="32"/>
      <c r="AF405" s="32"/>
      <c r="AG405" s="32"/>
      <c r="AH405" s="32"/>
      <c r="AI405" s="30">
        <v>516642</v>
      </c>
      <c r="AJ405" s="30">
        <v>480477</v>
      </c>
      <c r="AK405" s="30">
        <v>0</v>
      </c>
      <c r="AL405" s="30">
        <v>0</v>
      </c>
      <c r="AM405" s="30">
        <v>60800</v>
      </c>
      <c r="AN405" s="30">
        <v>375900</v>
      </c>
      <c r="AO405" s="30">
        <v>436700</v>
      </c>
      <c r="AP405" s="30">
        <f>Lookups!$B$58*0.6</f>
        <v>132535.48800000001</v>
      </c>
      <c r="AQ405" s="30">
        <f>Lookups!$B$58*0.4</f>
        <v>88356.992000000013</v>
      </c>
      <c r="AR405" s="30">
        <f>Lookups!$B$59*Inventory[[#This Row],[LnAcres]]</f>
        <v>-24051.387388882686</v>
      </c>
      <c r="AS405" s="30">
        <f>VLOOKUP(Inventory[[#This Row],[Qlty]],Lookups!$A$66:$E$79,2,FALSE)</f>
        <v>32917.849192000001</v>
      </c>
      <c r="AT405" s="30">
        <f>VLOOKUP(Inventory[[#This Row],[Cnd]],Lookups!$A$80:$E$88,2,FALSE)</f>
        <v>30300.329274</v>
      </c>
      <c r="AU405" s="30">
        <f>Inventory[[#This Row],[EffAge]]*Lookups!$B$65</f>
        <v>-1522.3754000000001</v>
      </c>
      <c r="AV405" s="30">
        <f>Inventory[[#This Row],[MainFn]]*Lookups!$B$90</f>
        <v>86688.017820000008</v>
      </c>
      <c r="AW405" s="30">
        <f>Inventory[[#This Row],[UpprFn]]*Lookups!$B$91</f>
        <v>78765.266325999997</v>
      </c>
      <c r="AX405" s="30">
        <f>Inventory[[#This Row],[Bsmt Area]]*Lookups!$B$95</f>
        <v>0</v>
      </c>
      <c r="AY405" s="30">
        <f>Inventory[[#This Row],[AttGar]]*Lookups!$B$93</f>
        <v>0</v>
      </c>
      <c r="AZ405" s="30">
        <f>ROUND(Inventory[[#This Row],[25Det]],-2)</f>
        <v>0</v>
      </c>
      <c r="BA405" s="30">
        <f>ROUND(SUM(Inventory[[#This Row],[Mdl Qlty]:[Mdl Garage Area]])+Inventory[[#This Row],[Mdl Res Intercept]],-2)</f>
        <v>359700</v>
      </c>
      <c r="BB405" s="30">
        <f>ROUND(Inventory[[#This Row],[Mdl Land Intercept]]+Inventory[[#This Row],[Mdl LnAcres]],-2)</f>
        <v>64300</v>
      </c>
      <c r="BC405" s="30">
        <f>Inventory[[#This Row],[Unadj Res Value]]+Inventory[[#This Row],[Unadj Det Value]]+Inventory[[#This Row],[Unadj Land Value]]</f>
        <v>424000</v>
      </c>
      <c r="BD405" s="30">
        <f>(Inventory[[#This Row],[Unadj Total Value]]-Inventory[[#This Row],[24Final]])/Inventory[[#This Row],[24Final]]</f>
        <v>-2.9081749484772153E-2</v>
      </c>
      <c r="BE405" s="30">
        <f>VLOOKUP(Inventory[[#This Row],[Nbhd]],Lookups!$M$3:$P$5,4,FALSE)</f>
        <v>0.99970000000000003</v>
      </c>
      <c r="BF405" s="30">
        <f>VLOOKUP(Inventory[[#This Row],[Qlty]],Lookups!$M$8:$P$22,4,FALSE)</f>
        <v>1.0019</v>
      </c>
      <c r="BG405" s="30">
        <f>VLOOKUP(Inventory[[#This Row],[Cnd]],Lookups!$R$8:$U$17,4,FALSE)</f>
        <v>0.997</v>
      </c>
      <c r="BH405" s="30">
        <f>VLOOKUP(Inventory[[#This Row],[LivArea Range]],Lookups!$R$25:$U$43,4,FALSE)</f>
        <v>1.0099</v>
      </c>
      <c r="BI405" s="30">
        <f>VLOOKUP(Inventory[[#This Row],[Decade]],Lookups!$M$24:$P$40,4,FALSE)</f>
        <v>1.0024</v>
      </c>
      <c r="BJ405" s="30">
        <f>Inventory[[#This Row],[Nbhd Adj]]*0.95</f>
        <v>0.94971499999999998</v>
      </c>
      <c r="BK405" s="30">
        <f>AVERAGE(Inventory[[#This Row],[Nbhd Adj]],Inventory[[#This Row],[Quality Adj]],Inventory[[#This Row],[Condition Adj]],Inventory[[#This Row],[Living Area Adj]],Inventory[[#This Row],[Decade Adj]])*0.95</f>
        <v>0.95207099999999978</v>
      </c>
      <c r="BL405" s="30">
        <f>ROUND((SUM(Inventory[[#This Row],[Mdl Qlty]:[Mdl Garage Area]])+Inventory[[#This Row],[Mdl Res Intercept]])*Inventory[[#This Row],[Res Adj ]],-2)</f>
        <v>342400</v>
      </c>
      <c r="BM405" s="30">
        <f>ROUND(Inventory[[#This Row],[25Det]]*Inventory[[#This Row],[Det/Nbhd Adj]],-2)</f>
        <v>0</v>
      </c>
      <c r="BN405" s="30">
        <f>Inventory[[#This Row],[Adjusted Res]]+Inventory[[#This Row],[Adj Det ]]</f>
        <v>342400</v>
      </c>
      <c r="BO405" s="30">
        <f>ROUND((Inventory[[#This Row],[Mdl Land Intercept]]+Inventory[[#This Row],[Mdl LnAcres]])*Inventory[[#This Row],[Det/Nbhd Adj]],-2)</f>
        <v>61100</v>
      </c>
      <c r="BP405" s="30">
        <f>Inventory[[#This Row],[Adjusted Impr Total]]+Inventory[[#This Row],[Adjusted Land Total]]</f>
        <v>403500</v>
      </c>
      <c r="BQ405" s="30">
        <f>IFERROR((Inventory[[#This Row],[Adjusted Impr Total]]-Inventory[[#This Row],[24Bldg]])/Inventory[[#This Row],[24Bldg]],0)</f>
        <v>-8.9119446661346108E-2</v>
      </c>
      <c r="BR405" s="43">
        <f>(Inventory[[#This Row],[Adjusted Land Total]]-Inventory[[#This Row],[24Lnd]])/Inventory[[#This Row],[24Lnd]]</f>
        <v>4.9342105263157892E-3</v>
      </c>
      <c r="BS405" s="43">
        <f>(Inventory[[#This Row],[Adjusted Total]]-Inventory[[#This Row],[24Final]])/Inventory[[#This Row],[24Final]]</f>
        <v>-7.6024730936569723E-2</v>
      </c>
    </row>
    <row r="406" spans="1:71">
      <c r="A406" s="30">
        <v>2025</v>
      </c>
      <c r="B406" s="31" t="s">
        <v>920</v>
      </c>
      <c r="C406" s="31">
        <f>LN(Inventory[[#This Row],[Acres]])</f>
        <v>-1.8325814637483102</v>
      </c>
      <c r="D406" s="30">
        <v>0.16</v>
      </c>
      <c r="E406" s="30">
        <v>7096</v>
      </c>
      <c r="F406" s="31" t="s">
        <v>505</v>
      </c>
      <c r="G406" s="31" t="s">
        <v>155</v>
      </c>
      <c r="H406" s="31" t="s">
        <v>5</v>
      </c>
      <c r="I406" s="31" t="s">
        <v>506</v>
      </c>
      <c r="J406" s="31" t="s">
        <v>507</v>
      </c>
      <c r="K406" s="31" t="s">
        <v>157</v>
      </c>
      <c r="L406" s="31" t="s">
        <v>21</v>
      </c>
      <c r="M406" s="31" t="s">
        <v>20</v>
      </c>
      <c r="N406" s="31">
        <v>10</v>
      </c>
      <c r="O406" s="31">
        <f>2024-Inventory[[#This Row],[YrBlt]]</f>
        <v>14</v>
      </c>
      <c r="P406" s="31">
        <f>2024-Inventory[[#This Row],[EffYr]]</f>
        <v>14</v>
      </c>
      <c r="Q406" s="30">
        <v>2010</v>
      </c>
      <c r="R406" s="30">
        <v>2010</v>
      </c>
      <c r="S406" s="30">
        <v>1116</v>
      </c>
      <c r="T406" s="38">
        <v>1116</v>
      </c>
      <c r="U406" s="32"/>
      <c r="V406" s="32"/>
      <c r="W406" s="32"/>
      <c r="X406" s="32">
        <f>Inventory[[#This Row],[Bsmt Area]]-Inventory[[#This Row],[FnBsmt]]</f>
        <v>0</v>
      </c>
      <c r="Y406" s="32">
        <f>Inventory[[#This Row],[MainFn]]+Inventory[[#This Row],[UpprFn]]+Inventory[[#This Row],[AddFn]]+Inventory[[#This Row],[FnBsmt]]</f>
        <v>2232</v>
      </c>
      <c r="Z406" s="32">
        <v>2500</v>
      </c>
      <c r="AA406" s="31" t="s">
        <v>56</v>
      </c>
      <c r="AB406" s="32"/>
      <c r="AC406" s="30">
        <v>440</v>
      </c>
      <c r="AD406" s="32"/>
      <c r="AE406" s="32"/>
      <c r="AF406" s="32"/>
      <c r="AG406" s="32"/>
      <c r="AH406" s="32"/>
      <c r="AI406" s="30">
        <v>453271</v>
      </c>
      <c r="AJ406" s="30">
        <v>421542</v>
      </c>
      <c r="AK406" s="30">
        <v>0</v>
      </c>
      <c r="AL406" s="30">
        <v>0</v>
      </c>
      <c r="AM406" s="30">
        <v>60800</v>
      </c>
      <c r="AN406" s="30">
        <v>357400</v>
      </c>
      <c r="AO406" s="30">
        <v>418200</v>
      </c>
      <c r="AP406" s="30">
        <f>Lookups!$B$58*0.6</f>
        <v>132535.48800000001</v>
      </c>
      <c r="AQ406" s="30">
        <f>Lookups!$B$58*0.4</f>
        <v>88356.992000000013</v>
      </c>
      <c r="AR406" s="30">
        <f>Lookups!$B$59*Inventory[[#This Row],[LnAcres]]</f>
        <v>-24051.387388882686</v>
      </c>
      <c r="AS406" s="30">
        <f>VLOOKUP(Inventory[[#This Row],[Qlty]],Lookups!$A$66:$E$79,2,FALSE)</f>
        <v>32917.849192000001</v>
      </c>
      <c r="AT406" s="30">
        <f>VLOOKUP(Inventory[[#This Row],[Cnd]],Lookups!$A$80:$E$88,2,FALSE)</f>
        <v>30300.329274</v>
      </c>
      <c r="AU406" s="30">
        <f>Inventory[[#This Row],[EffAge]]*Lookups!$B$65</f>
        <v>-1522.3754000000001</v>
      </c>
      <c r="AV406" s="30">
        <f>Inventory[[#This Row],[MainFn]]*Lookups!$B$90</f>
        <v>69649.984080000009</v>
      </c>
      <c r="AW406" s="30">
        <f>Inventory[[#This Row],[UpprFn]]*Lookups!$B$91</f>
        <v>66491.707427999994</v>
      </c>
      <c r="AX406" s="30">
        <f>Inventory[[#This Row],[Bsmt Area]]*Lookups!$B$95</f>
        <v>0</v>
      </c>
      <c r="AY406" s="30">
        <f>Inventory[[#This Row],[AttGar]]*Lookups!$B$93</f>
        <v>15532.453640000002</v>
      </c>
      <c r="AZ406" s="30">
        <f>ROUND(Inventory[[#This Row],[25Det]],-2)</f>
        <v>0</v>
      </c>
      <c r="BA406" s="30">
        <f>ROUND(SUM(Inventory[[#This Row],[Mdl Qlty]:[Mdl Garage Area]])+Inventory[[#This Row],[Mdl Res Intercept]],-2)</f>
        <v>345900</v>
      </c>
      <c r="BB406" s="30">
        <f>ROUND(Inventory[[#This Row],[Mdl Land Intercept]]+Inventory[[#This Row],[Mdl LnAcres]],-2)</f>
        <v>64300</v>
      </c>
      <c r="BC406" s="30">
        <f>Inventory[[#This Row],[Unadj Res Value]]+Inventory[[#This Row],[Unadj Det Value]]+Inventory[[#This Row],[Unadj Land Value]]</f>
        <v>410200</v>
      </c>
      <c r="BD406" s="30">
        <f>(Inventory[[#This Row],[Unadj Total Value]]-Inventory[[#This Row],[24Final]])/Inventory[[#This Row],[24Final]]</f>
        <v>-1.9129603060736491E-2</v>
      </c>
      <c r="BE406" s="30">
        <f>VLOOKUP(Inventory[[#This Row],[Nbhd]],Lookups!$M$3:$P$5,4,FALSE)</f>
        <v>0.99970000000000003</v>
      </c>
      <c r="BF406" s="30">
        <f>VLOOKUP(Inventory[[#This Row],[Qlty]],Lookups!$M$8:$P$22,4,FALSE)</f>
        <v>1.0019</v>
      </c>
      <c r="BG406" s="30">
        <f>VLOOKUP(Inventory[[#This Row],[Cnd]],Lookups!$R$8:$U$17,4,FALSE)</f>
        <v>0.997</v>
      </c>
      <c r="BH406" s="30">
        <f>VLOOKUP(Inventory[[#This Row],[LivArea Range]],Lookups!$R$25:$U$43,4,FALSE)</f>
        <v>1.0008999999999999</v>
      </c>
      <c r="BI406" s="30">
        <f>VLOOKUP(Inventory[[#This Row],[Decade]],Lookups!$M$24:$P$40,4,FALSE)</f>
        <v>1.0024</v>
      </c>
      <c r="BJ406" s="30">
        <f>Inventory[[#This Row],[Nbhd Adj]]*0.95</f>
        <v>0.94971499999999998</v>
      </c>
      <c r="BK406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406" s="30">
        <f>ROUND((SUM(Inventory[[#This Row],[Mdl Qlty]:[Mdl Garage Area]])+Inventory[[#This Row],[Mdl Res Intercept]])*Inventory[[#This Row],[Res Adj ]],-2)</f>
        <v>328700</v>
      </c>
      <c r="BM406" s="30">
        <f>ROUND(Inventory[[#This Row],[25Det]]*Inventory[[#This Row],[Det/Nbhd Adj]],-2)</f>
        <v>0</v>
      </c>
      <c r="BN406" s="30">
        <f>Inventory[[#This Row],[Adjusted Res]]+Inventory[[#This Row],[Adj Det ]]</f>
        <v>328700</v>
      </c>
      <c r="BO406" s="30">
        <f>ROUND((Inventory[[#This Row],[Mdl Land Intercept]]+Inventory[[#This Row],[Mdl LnAcres]])*Inventory[[#This Row],[Det/Nbhd Adj]],-2)</f>
        <v>61100</v>
      </c>
      <c r="BP406" s="30">
        <f>Inventory[[#This Row],[Adjusted Impr Total]]+Inventory[[#This Row],[Adjusted Land Total]]</f>
        <v>389800</v>
      </c>
      <c r="BQ406" s="30">
        <f>IFERROR((Inventory[[#This Row],[Adjusted Impr Total]]-Inventory[[#This Row],[24Bldg]])/Inventory[[#This Row],[24Bldg]],0)</f>
        <v>-8.0302182428651364E-2</v>
      </c>
      <c r="BR406" s="43">
        <f>(Inventory[[#This Row],[Adjusted Land Total]]-Inventory[[#This Row],[24Lnd]])/Inventory[[#This Row],[24Lnd]]</f>
        <v>4.9342105263157892E-3</v>
      </c>
      <c r="BS406" s="43">
        <f>(Inventory[[#This Row],[Adjusted Total]]-Inventory[[#This Row],[24Final]])/Inventory[[#This Row],[24Final]]</f>
        <v>-6.7910090865614545E-2</v>
      </c>
    </row>
    <row r="407" spans="1:71">
      <c r="A407" s="30">
        <v>2025</v>
      </c>
      <c r="B407" s="31" t="s">
        <v>921</v>
      </c>
      <c r="C407" s="31">
        <f>LN(Inventory[[#This Row],[Acres]])</f>
        <v>-1.8325814637483102</v>
      </c>
      <c r="D407" s="30">
        <v>0.16</v>
      </c>
      <c r="E407" s="30">
        <v>7181</v>
      </c>
      <c r="F407" s="31" t="s">
        <v>505</v>
      </c>
      <c r="G407" s="31" t="s">
        <v>155</v>
      </c>
      <c r="H407" s="31" t="s">
        <v>5</v>
      </c>
      <c r="I407" s="31" t="s">
        <v>506</v>
      </c>
      <c r="J407" s="31" t="s">
        <v>507</v>
      </c>
      <c r="K407" s="31" t="s">
        <v>157</v>
      </c>
      <c r="L407" s="31" t="s">
        <v>21</v>
      </c>
      <c r="M407" s="31" t="s">
        <v>22</v>
      </c>
      <c r="N407" s="31">
        <v>10</v>
      </c>
      <c r="O407" s="31">
        <f>2024-Inventory[[#This Row],[YrBlt]]</f>
        <v>14</v>
      </c>
      <c r="P407" s="31">
        <f>2024-Inventory[[#This Row],[EffYr]]</f>
        <v>14</v>
      </c>
      <c r="Q407" s="30">
        <v>2010</v>
      </c>
      <c r="R407" s="30">
        <v>2010</v>
      </c>
      <c r="S407" s="30">
        <v>1389</v>
      </c>
      <c r="T407" s="30">
        <v>1322</v>
      </c>
      <c r="U407" s="32"/>
      <c r="V407" s="32"/>
      <c r="W407" s="32"/>
      <c r="X407" s="32">
        <f>Inventory[[#This Row],[Bsmt Area]]-Inventory[[#This Row],[FnBsmt]]</f>
        <v>0</v>
      </c>
      <c r="Y407" s="32">
        <f>Inventory[[#This Row],[MainFn]]+Inventory[[#This Row],[UpprFn]]+Inventory[[#This Row],[AddFn]]+Inventory[[#This Row],[FnBsmt]]</f>
        <v>2711</v>
      </c>
      <c r="Z407" s="32">
        <v>3000</v>
      </c>
      <c r="AA407" s="31" t="s">
        <v>56</v>
      </c>
      <c r="AB407" s="38">
        <v>1</v>
      </c>
      <c r="AC407" s="32"/>
      <c r="AD407" s="30">
        <v>728</v>
      </c>
      <c r="AE407" s="32"/>
      <c r="AF407" s="32"/>
      <c r="AG407" s="32"/>
      <c r="AH407" s="32"/>
      <c r="AI407" s="30">
        <v>542639</v>
      </c>
      <c r="AJ407" s="30">
        <v>510081</v>
      </c>
      <c r="AK407" s="30">
        <v>0</v>
      </c>
      <c r="AL407" s="30">
        <v>0</v>
      </c>
      <c r="AM407" s="30">
        <v>60800</v>
      </c>
      <c r="AN407" s="30">
        <v>391300</v>
      </c>
      <c r="AO407" s="30">
        <v>452100</v>
      </c>
      <c r="AP407" s="30">
        <f>Lookups!$B$58*0.6</f>
        <v>132535.48800000001</v>
      </c>
      <c r="AQ407" s="30">
        <f>Lookups!$B$58*0.4</f>
        <v>88356.992000000013</v>
      </c>
      <c r="AR407" s="30">
        <f>Lookups!$B$59*Inventory[[#This Row],[LnAcres]]</f>
        <v>-24051.387388882686</v>
      </c>
      <c r="AS407" s="30">
        <f>VLOOKUP(Inventory[[#This Row],[Qlty]],Lookups!$A$66:$E$79,2,FALSE)</f>
        <v>32917.849192000001</v>
      </c>
      <c r="AT407" s="30">
        <f>VLOOKUP(Inventory[[#This Row],[Cnd]],Lookups!$A$80:$E$88,2,FALSE)</f>
        <v>50438.379078999998</v>
      </c>
      <c r="AU407" s="30">
        <f>Inventory[[#This Row],[EffAge]]*Lookups!$B$65</f>
        <v>-1522.3754000000001</v>
      </c>
      <c r="AV407" s="30">
        <f>Inventory[[#This Row],[MainFn]]*Lookups!$B$90</f>
        <v>86688.017820000008</v>
      </c>
      <c r="AW407" s="30">
        <f>Inventory[[#This Row],[UpprFn]]*Lookups!$B$91</f>
        <v>78765.266325999997</v>
      </c>
      <c r="AX407" s="30">
        <f>Inventory[[#This Row],[Bsmt Area]]*Lookups!$B$95</f>
        <v>0</v>
      </c>
      <c r="AY407" s="30">
        <f>Inventory[[#This Row],[AttGar]]*Lookups!$B$93</f>
        <v>0</v>
      </c>
      <c r="AZ407" s="30">
        <f>ROUND(Inventory[[#This Row],[25Det]],-2)</f>
        <v>0</v>
      </c>
      <c r="BA407" s="30">
        <f>ROUND(SUM(Inventory[[#This Row],[Mdl Qlty]:[Mdl Garage Area]])+Inventory[[#This Row],[Mdl Res Intercept]],-2)</f>
        <v>379800</v>
      </c>
      <c r="BB407" s="30">
        <f>ROUND(Inventory[[#This Row],[Mdl Land Intercept]]+Inventory[[#This Row],[Mdl LnAcres]],-2)</f>
        <v>64300</v>
      </c>
      <c r="BC407" s="30">
        <f>Inventory[[#This Row],[Unadj Res Value]]+Inventory[[#This Row],[Unadj Det Value]]+Inventory[[#This Row],[Unadj Land Value]]</f>
        <v>444100</v>
      </c>
      <c r="BD407" s="30">
        <f>(Inventory[[#This Row],[Unadj Total Value]]-Inventory[[#This Row],[24Final]])/Inventory[[#This Row],[24Final]]</f>
        <v>-1.7695200176952003E-2</v>
      </c>
      <c r="BE407" s="30">
        <f>VLOOKUP(Inventory[[#This Row],[Nbhd]],Lookups!$M$3:$P$5,4,FALSE)</f>
        <v>0.99970000000000003</v>
      </c>
      <c r="BF407" s="30">
        <f>VLOOKUP(Inventory[[#This Row],[Qlty]],Lookups!$M$8:$P$22,4,FALSE)</f>
        <v>1.0019</v>
      </c>
      <c r="BG407" s="30">
        <f>VLOOKUP(Inventory[[#This Row],[Cnd]],Lookups!$R$8:$U$17,4,FALSE)</f>
        <v>1.0007999999999999</v>
      </c>
      <c r="BH407" s="30">
        <f>VLOOKUP(Inventory[[#This Row],[LivArea Range]],Lookups!$R$25:$U$43,4,FALSE)</f>
        <v>1.0099</v>
      </c>
      <c r="BI407" s="30">
        <f>VLOOKUP(Inventory[[#This Row],[Decade]],Lookups!$M$24:$P$40,4,FALSE)</f>
        <v>1.0024</v>
      </c>
      <c r="BJ407" s="30">
        <f>Inventory[[#This Row],[Nbhd Adj]]*0.95</f>
        <v>0.94971499999999998</v>
      </c>
      <c r="BK407" s="30">
        <f>AVERAGE(Inventory[[#This Row],[Nbhd Adj]],Inventory[[#This Row],[Quality Adj]],Inventory[[#This Row],[Condition Adj]],Inventory[[#This Row],[Living Area Adj]],Inventory[[#This Row],[Decade Adj]])*0.95</f>
        <v>0.95279299999999989</v>
      </c>
      <c r="BL407" s="30">
        <f>ROUND((SUM(Inventory[[#This Row],[Mdl Qlty]:[Mdl Garage Area]])+Inventory[[#This Row],[Mdl Res Intercept]])*Inventory[[#This Row],[Res Adj ]],-2)</f>
        <v>361900</v>
      </c>
      <c r="BM407" s="30">
        <f>ROUND(Inventory[[#This Row],[25Det]]*Inventory[[#This Row],[Det/Nbhd Adj]],-2)</f>
        <v>0</v>
      </c>
      <c r="BN407" s="30">
        <f>Inventory[[#This Row],[Adjusted Res]]+Inventory[[#This Row],[Adj Det ]]</f>
        <v>361900</v>
      </c>
      <c r="BO407" s="30">
        <f>ROUND((Inventory[[#This Row],[Mdl Land Intercept]]+Inventory[[#This Row],[Mdl LnAcres]])*Inventory[[#This Row],[Det/Nbhd Adj]],-2)</f>
        <v>61100</v>
      </c>
      <c r="BP407" s="30">
        <f>Inventory[[#This Row],[Adjusted Impr Total]]+Inventory[[#This Row],[Adjusted Land Total]]</f>
        <v>423000</v>
      </c>
      <c r="BQ407" s="30">
        <f>IFERROR((Inventory[[#This Row],[Adjusted Impr Total]]-Inventory[[#This Row],[24Bldg]])/Inventory[[#This Row],[24Bldg]],0)</f>
        <v>-7.5134168157423978E-2</v>
      </c>
      <c r="BR407" s="43">
        <f>(Inventory[[#This Row],[Adjusted Land Total]]-Inventory[[#This Row],[24Lnd]])/Inventory[[#This Row],[24Lnd]]</f>
        <v>4.9342105263157892E-3</v>
      </c>
      <c r="BS407" s="43">
        <f>(Inventory[[#This Row],[Adjusted Total]]-Inventory[[#This Row],[24Final]])/Inventory[[#This Row],[24Final]]</f>
        <v>-6.4366290643662907E-2</v>
      </c>
    </row>
    <row r="408" spans="1:71">
      <c r="A408" s="30">
        <v>2025</v>
      </c>
      <c r="B408" s="31" t="s">
        <v>922</v>
      </c>
      <c r="C408" s="31">
        <f>LN(Inventory[[#This Row],[Acres]])</f>
        <v>-1.8325814637483102</v>
      </c>
      <c r="D408" s="30">
        <v>0.16</v>
      </c>
      <c r="E408" s="30">
        <v>6835</v>
      </c>
      <c r="F408" s="31" t="s">
        <v>505</v>
      </c>
      <c r="G408" s="31" t="s">
        <v>155</v>
      </c>
      <c r="H408" s="31" t="s">
        <v>5</v>
      </c>
      <c r="I408" s="31" t="s">
        <v>506</v>
      </c>
      <c r="J408" s="31" t="s">
        <v>507</v>
      </c>
      <c r="K408" s="31" t="s">
        <v>330</v>
      </c>
      <c r="L408" s="31" t="s">
        <v>19</v>
      </c>
      <c r="M408" s="31" t="s">
        <v>20</v>
      </c>
      <c r="N408" s="31">
        <v>10</v>
      </c>
      <c r="O408" s="31">
        <f>2024-Inventory[[#This Row],[YrBlt]]</f>
        <v>14</v>
      </c>
      <c r="P408" s="31">
        <f>2024-Inventory[[#This Row],[EffYr]]</f>
        <v>14</v>
      </c>
      <c r="Q408" s="30">
        <v>2010</v>
      </c>
      <c r="R408" s="30">
        <v>2010</v>
      </c>
      <c r="S408" s="30">
        <v>1540</v>
      </c>
      <c r="T408" s="32"/>
      <c r="U408" s="32"/>
      <c r="V408" s="32"/>
      <c r="W408" s="32"/>
      <c r="X408" s="32">
        <f>Inventory[[#This Row],[Bsmt Area]]-Inventory[[#This Row],[FnBsmt]]</f>
        <v>0</v>
      </c>
      <c r="Y408" s="32">
        <f>Inventory[[#This Row],[MainFn]]+Inventory[[#This Row],[UpprFn]]+Inventory[[#This Row],[AddFn]]+Inventory[[#This Row],[FnBsmt]]</f>
        <v>1540</v>
      </c>
      <c r="Z408" s="32">
        <v>2000</v>
      </c>
      <c r="AA408" s="31" t="s">
        <v>56</v>
      </c>
      <c r="AB408" s="32"/>
      <c r="AC408" s="30">
        <v>420</v>
      </c>
      <c r="AD408" s="32"/>
      <c r="AE408" s="32"/>
      <c r="AF408" s="32"/>
      <c r="AG408" s="32"/>
      <c r="AH408" s="32"/>
      <c r="AI408" s="30">
        <v>305088</v>
      </c>
      <c r="AJ408" s="30">
        <v>283732</v>
      </c>
      <c r="AK408" s="30">
        <v>0</v>
      </c>
      <c r="AL408" s="30">
        <v>0</v>
      </c>
      <c r="AM408" s="30">
        <v>60800</v>
      </c>
      <c r="AN408" s="30">
        <v>313700</v>
      </c>
      <c r="AO408" s="30">
        <v>374500</v>
      </c>
      <c r="AP408" s="30">
        <f>Lookups!$B$58*0.6</f>
        <v>132535.48800000001</v>
      </c>
      <c r="AQ408" s="30">
        <f>Lookups!$B$58*0.4</f>
        <v>88356.992000000013</v>
      </c>
      <c r="AR408" s="30">
        <f>Lookups!$B$59*Inventory[[#This Row],[LnAcres]]</f>
        <v>-24051.387388882686</v>
      </c>
      <c r="AS408" s="30">
        <f>VLOOKUP(Inventory[[#This Row],[Qlty]],Lookups!$A$66:$E$79,2,FALSE)</f>
        <v>37154.252388000001</v>
      </c>
      <c r="AT408" s="30">
        <f>VLOOKUP(Inventory[[#This Row],[Cnd]],Lookups!$A$80:$E$88,2,FALSE)</f>
        <v>30300.329274</v>
      </c>
      <c r="AU408" s="30">
        <f>Inventory[[#This Row],[EffAge]]*Lookups!$B$65</f>
        <v>-1522.3754000000001</v>
      </c>
      <c r="AV408" s="30">
        <f>Inventory[[#This Row],[MainFn]]*Lookups!$B$90</f>
        <v>96111.98520000001</v>
      </c>
      <c r="AW408" s="30">
        <f>Inventory[[#This Row],[UpprFn]]*Lookups!$B$91</f>
        <v>0</v>
      </c>
      <c r="AX408" s="30">
        <f>Inventory[[#This Row],[Bsmt Area]]*Lookups!$B$95</f>
        <v>0</v>
      </c>
      <c r="AY408" s="30">
        <f>Inventory[[#This Row],[AttGar]]*Lookups!$B$93</f>
        <v>14826.43302</v>
      </c>
      <c r="AZ408" s="30">
        <f>ROUND(Inventory[[#This Row],[25Det]],-2)</f>
        <v>0</v>
      </c>
      <c r="BA408" s="30">
        <f>ROUND(SUM(Inventory[[#This Row],[Mdl Qlty]:[Mdl Garage Area]])+Inventory[[#This Row],[Mdl Res Intercept]],-2)</f>
        <v>309400</v>
      </c>
      <c r="BB408" s="30">
        <f>ROUND(Inventory[[#This Row],[Mdl Land Intercept]]+Inventory[[#This Row],[Mdl LnAcres]],-2)</f>
        <v>64300</v>
      </c>
      <c r="BC408" s="30">
        <f>Inventory[[#This Row],[Unadj Res Value]]+Inventory[[#This Row],[Unadj Det Value]]+Inventory[[#This Row],[Unadj Land Value]]</f>
        <v>373700</v>
      </c>
      <c r="BD408" s="30">
        <f>(Inventory[[#This Row],[Unadj Total Value]]-Inventory[[#This Row],[24Final]])/Inventory[[#This Row],[24Final]]</f>
        <v>-2.1361815754339119E-3</v>
      </c>
      <c r="BE408" s="30">
        <f>VLOOKUP(Inventory[[#This Row],[Nbhd]],Lookups!$M$3:$P$5,4,FALSE)</f>
        <v>0.99970000000000003</v>
      </c>
      <c r="BF408" s="30">
        <f>VLOOKUP(Inventory[[#This Row],[Qlty]],Lookups!$M$8:$P$22,4,FALSE)</f>
        <v>0.99819999999999998</v>
      </c>
      <c r="BG408" s="30">
        <f>VLOOKUP(Inventory[[#This Row],[Cnd]],Lookups!$R$8:$U$17,4,FALSE)</f>
        <v>0.997</v>
      </c>
      <c r="BH408" s="30">
        <f>VLOOKUP(Inventory[[#This Row],[LivArea Range]],Lookups!$R$25:$U$43,4,FALSE)</f>
        <v>1.0007999999999999</v>
      </c>
      <c r="BI408" s="30">
        <f>VLOOKUP(Inventory[[#This Row],[Decade]],Lookups!$M$24:$P$40,4,FALSE)</f>
        <v>1.0024</v>
      </c>
      <c r="BJ408" s="30">
        <f>Inventory[[#This Row],[Nbhd Adj]]*0.95</f>
        <v>0.94971499999999998</v>
      </c>
      <c r="BK408" s="30">
        <f>AVERAGE(Inventory[[#This Row],[Nbhd Adj]],Inventory[[#This Row],[Quality Adj]],Inventory[[#This Row],[Condition Adj]],Inventory[[#This Row],[Living Area Adj]],Inventory[[#This Row],[Decade Adj]])*0.95</f>
        <v>0.9496389999999999</v>
      </c>
      <c r="BL408" s="30">
        <f>ROUND((SUM(Inventory[[#This Row],[Mdl Qlty]:[Mdl Garage Area]])+Inventory[[#This Row],[Mdl Res Intercept]])*Inventory[[#This Row],[Res Adj ]],-2)</f>
        <v>293800</v>
      </c>
      <c r="BM408" s="30">
        <f>ROUND(Inventory[[#This Row],[25Det]]*Inventory[[#This Row],[Det/Nbhd Adj]],-2)</f>
        <v>0</v>
      </c>
      <c r="BN408" s="30">
        <f>Inventory[[#This Row],[Adjusted Res]]+Inventory[[#This Row],[Adj Det ]]</f>
        <v>293800</v>
      </c>
      <c r="BO408" s="30">
        <f>ROUND((Inventory[[#This Row],[Mdl Land Intercept]]+Inventory[[#This Row],[Mdl LnAcres]])*Inventory[[#This Row],[Det/Nbhd Adj]],-2)</f>
        <v>61100</v>
      </c>
      <c r="BP408" s="30">
        <f>Inventory[[#This Row],[Adjusted Impr Total]]+Inventory[[#This Row],[Adjusted Land Total]]</f>
        <v>354900</v>
      </c>
      <c r="BQ408" s="30">
        <f>IFERROR((Inventory[[#This Row],[Adjusted Impr Total]]-Inventory[[#This Row],[24Bldg]])/Inventory[[#This Row],[24Bldg]],0)</f>
        <v>-6.3436404207841884E-2</v>
      </c>
      <c r="BR408" s="43">
        <f>(Inventory[[#This Row],[Adjusted Land Total]]-Inventory[[#This Row],[24Lnd]])/Inventory[[#This Row],[24Lnd]]</f>
        <v>4.9342105263157892E-3</v>
      </c>
      <c r="BS408" s="43">
        <f>(Inventory[[#This Row],[Adjusted Total]]-Inventory[[#This Row],[24Final]])/Inventory[[#This Row],[24Final]]</f>
        <v>-5.2336448598130844E-2</v>
      </c>
    </row>
    <row r="409" spans="1:71">
      <c r="A409" s="30">
        <v>2025</v>
      </c>
      <c r="B409" s="31" t="s">
        <v>923</v>
      </c>
      <c r="C409" s="31">
        <f>LN(Inventory[[#This Row],[Acres]])</f>
        <v>-1.8325814637483102</v>
      </c>
      <c r="D409" s="30">
        <v>0.16</v>
      </c>
      <c r="E409" s="30">
        <v>7093</v>
      </c>
      <c r="F409" s="31" t="s">
        <v>505</v>
      </c>
      <c r="G409" s="31" t="s">
        <v>155</v>
      </c>
      <c r="H409" s="31" t="s">
        <v>5</v>
      </c>
      <c r="I409" s="31" t="s">
        <v>506</v>
      </c>
      <c r="J409" s="31" t="s">
        <v>507</v>
      </c>
      <c r="K409" s="31" t="s">
        <v>330</v>
      </c>
      <c r="L409" s="31" t="s">
        <v>19</v>
      </c>
      <c r="M409" s="31" t="s">
        <v>20</v>
      </c>
      <c r="N409" s="31">
        <v>10</v>
      </c>
      <c r="O409" s="31">
        <f>2024-Inventory[[#This Row],[YrBlt]]</f>
        <v>14</v>
      </c>
      <c r="P409" s="31">
        <f>2024-Inventory[[#This Row],[EffYr]]</f>
        <v>14</v>
      </c>
      <c r="Q409" s="30">
        <v>2010</v>
      </c>
      <c r="R409" s="30">
        <v>2010</v>
      </c>
      <c r="S409" s="30">
        <v>1540</v>
      </c>
      <c r="T409" s="37"/>
      <c r="U409" s="32"/>
      <c r="V409" s="32"/>
      <c r="W409" s="32"/>
      <c r="X409" s="32">
        <f>Inventory[[#This Row],[Bsmt Area]]-Inventory[[#This Row],[FnBsmt]]</f>
        <v>0</v>
      </c>
      <c r="Y409" s="32">
        <f>Inventory[[#This Row],[MainFn]]+Inventory[[#This Row],[UpprFn]]+Inventory[[#This Row],[AddFn]]+Inventory[[#This Row],[FnBsmt]]</f>
        <v>1540</v>
      </c>
      <c r="Z409" s="32">
        <v>2000</v>
      </c>
      <c r="AA409" s="31" t="s">
        <v>56</v>
      </c>
      <c r="AB409" s="32"/>
      <c r="AC409" s="38">
        <v>420</v>
      </c>
      <c r="AD409" s="37"/>
      <c r="AE409" s="32"/>
      <c r="AF409" s="32"/>
      <c r="AG409" s="32"/>
      <c r="AH409" s="32"/>
      <c r="AI409" s="30">
        <v>305088</v>
      </c>
      <c r="AJ409" s="30">
        <v>283732</v>
      </c>
      <c r="AK409" s="30">
        <v>0</v>
      </c>
      <c r="AL409" s="30">
        <v>0</v>
      </c>
      <c r="AM409" s="30">
        <v>60800</v>
      </c>
      <c r="AN409" s="30">
        <v>313700</v>
      </c>
      <c r="AO409" s="30">
        <v>374500</v>
      </c>
      <c r="AP409" s="30">
        <f>Lookups!$B$58*0.6</f>
        <v>132535.48800000001</v>
      </c>
      <c r="AQ409" s="30">
        <f>Lookups!$B$58*0.4</f>
        <v>88356.992000000013</v>
      </c>
      <c r="AR409" s="30">
        <f>Lookups!$B$59*Inventory[[#This Row],[LnAcres]]</f>
        <v>-24051.387388882686</v>
      </c>
      <c r="AS409" s="30">
        <f>VLOOKUP(Inventory[[#This Row],[Qlty]],Lookups!$A$66:$E$79,2,FALSE)</f>
        <v>37154.252388000001</v>
      </c>
      <c r="AT409" s="30">
        <f>VLOOKUP(Inventory[[#This Row],[Cnd]],Lookups!$A$80:$E$88,2,FALSE)</f>
        <v>30300.329274</v>
      </c>
      <c r="AU409" s="30">
        <f>Inventory[[#This Row],[EffAge]]*Lookups!$B$65</f>
        <v>-1522.3754000000001</v>
      </c>
      <c r="AV409" s="30">
        <f>Inventory[[#This Row],[MainFn]]*Lookups!$B$90</f>
        <v>96111.98520000001</v>
      </c>
      <c r="AW409" s="30">
        <f>Inventory[[#This Row],[UpprFn]]*Lookups!$B$91</f>
        <v>0</v>
      </c>
      <c r="AX409" s="30">
        <f>Inventory[[#This Row],[Bsmt Area]]*Lookups!$B$95</f>
        <v>0</v>
      </c>
      <c r="AY409" s="30">
        <f>Inventory[[#This Row],[AttGar]]*Lookups!$B$93</f>
        <v>14826.43302</v>
      </c>
      <c r="AZ409" s="30">
        <f>ROUND(Inventory[[#This Row],[25Det]],-2)</f>
        <v>0</v>
      </c>
      <c r="BA409" s="30">
        <f>ROUND(SUM(Inventory[[#This Row],[Mdl Qlty]:[Mdl Garage Area]])+Inventory[[#This Row],[Mdl Res Intercept]],-2)</f>
        <v>309400</v>
      </c>
      <c r="BB409" s="30">
        <f>ROUND(Inventory[[#This Row],[Mdl Land Intercept]]+Inventory[[#This Row],[Mdl LnAcres]],-2)</f>
        <v>64300</v>
      </c>
      <c r="BC409" s="30">
        <f>Inventory[[#This Row],[Unadj Res Value]]+Inventory[[#This Row],[Unadj Det Value]]+Inventory[[#This Row],[Unadj Land Value]]</f>
        <v>373700</v>
      </c>
      <c r="BD409" s="30">
        <f>(Inventory[[#This Row],[Unadj Total Value]]-Inventory[[#This Row],[24Final]])/Inventory[[#This Row],[24Final]]</f>
        <v>-2.1361815754339119E-3</v>
      </c>
      <c r="BE409" s="30">
        <f>VLOOKUP(Inventory[[#This Row],[Nbhd]],Lookups!$M$3:$P$5,4,FALSE)</f>
        <v>0.99970000000000003</v>
      </c>
      <c r="BF409" s="30">
        <f>VLOOKUP(Inventory[[#This Row],[Qlty]],Lookups!$M$8:$P$22,4,FALSE)</f>
        <v>0.99819999999999998</v>
      </c>
      <c r="BG409" s="30">
        <f>VLOOKUP(Inventory[[#This Row],[Cnd]],Lookups!$R$8:$U$17,4,FALSE)</f>
        <v>0.997</v>
      </c>
      <c r="BH409" s="30">
        <f>VLOOKUP(Inventory[[#This Row],[LivArea Range]],Lookups!$R$25:$U$43,4,FALSE)</f>
        <v>1.0007999999999999</v>
      </c>
      <c r="BI409" s="30">
        <f>VLOOKUP(Inventory[[#This Row],[Decade]],Lookups!$M$24:$P$40,4,FALSE)</f>
        <v>1.0024</v>
      </c>
      <c r="BJ409" s="30">
        <f>Inventory[[#This Row],[Nbhd Adj]]*0.95</f>
        <v>0.94971499999999998</v>
      </c>
      <c r="BK409" s="30">
        <f>AVERAGE(Inventory[[#This Row],[Nbhd Adj]],Inventory[[#This Row],[Quality Adj]],Inventory[[#This Row],[Condition Adj]],Inventory[[#This Row],[Living Area Adj]],Inventory[[#This Row],[Decade Adj]])*0.95</f>
        <v>0.9496389999999999</v>
      </c>
      <c r="BL409" s="30">
        <f>ROUND((SUM(Inventory[[#This Row],[Mdl Qlty]:[Mdl Garage Area]])+Inventory[[#This Row],[Mdl Res Intercept]])*Inventory[[#This Row],[Res Adj ]],-2)</f>
        <v>293800</v>
      </c>
      <c r="BM409" s="30">
        <f>ROUND(Inventory[[#This Row],[25Det]]*Inventory[[#This Row],[Det/Nbhd Adj]],-2)</f>
        <v>0</v>
      </c>
      <c r="BN409" s="30">
        <f>Inventory[[#This Row],[Adjusted Res]]+Inventory[[#This Row],[Adj Det ]]</f>
        <v>293800</v>
      </c>
      <c r="BO409" s="30">
        <f>ROUND((Inventory[[#This Row],[Mdl Land Intercept]]+Inventory[[#This Row],[Mdl LnAcres]])*Inventory[[#This Row],[Det/Nbhd Adj]],-2)</f>
        <v>61100</v>
      </c>
      <c r="BP409" s="30">
        <f>Inventory[[#This Row],[Adjusted Impr Total]]+Inventory[[#This Row],[Adjusted Land Total]]</f>
        <v>354900</v>
      </c>
      <c r="BQ409" s="30">
        <f>IFERROR((Inventory[[#This Row],[Adjusted Impr Total]]-Inventory[[#This Row],[24Bldg]])/Inventory[[#This Row],[24Bldg]],0)</f>
        <v>-6.3436404207841884E-2</v>
      </c>
      <c r="BR409" s="43">
        <f>(Inventory[[#This Row],[Adjusted Land Total]]-Inventory[[#This Row],[24Lnd]])/Inventory[[#This Row],[24Lnd]]</f>
        <v>4.9342105263157892E-3</v>
      </c>
      <c r="BS409" s="43">
        <f>(Inventory[[#This Row],[Adjusted Total]]-Inventory[[#This Row],[24Final]])/Inventory[[#This Row],[24Final]]</f>
        <v>-5.2336448598130844E-2</v>
      </c>
    </row>
    <row r="410" spans="1:71">
      <c r="A410" s="30">
        <v>2025</v>
      </c>
      <c r="B410" s="31" t="s">
        <v>924</v>
      </c>
      <c r="C410" s="31">
        <f>LN(Inventory[[#This Row],[Acres]])</f>
        <v>-1.8325814637483102</v>
      </c>
      <c r="D410" s="30">
        <v>0.16</v>
      </c>
      <c r="E410" s="30">
        <v>7007</v>
      </c>
      <c r="F410" s="31" t="s">
        <v>505</v>
      </c>
      <c r="G410" s="31" t="s">
        <v>155</v>
      </c>
      <c r="H410" s="31" t="s">
        <v>5</v>
      </c>
      <c r="I410" s="31" t="s">
        <v>506</v>
      </c>
      <c r="J410" s="31" t="s">
        <v>507</v>
      </c>
      <c r="K410" s="31" t="s">
        <v>193</v>
      </c>
      <c r="L410" s="31" t="s">
        <v>19</v>
      </c>
      <c r="M410" s="31" t="s">
        <v>20</v>
      </c>
      <c r="N410" s="31">
        <v>10</v>
      </c>
      <c r="O410" s="31">
        <f>2024-Inventory[[#This Row],[YrBlt]]</f>
        <v>14</v>
      </c>
      <c r="P410" s="31">
        <f>2024-Inventory[[#This Row],[EffYr]]</f>
        <v>14</v>
      </c>
      <c r="Q410" s="30">
        <v>2010</v>
      </c>
      <c r="R410" s="30">
        <v>2010</v>
      </c>
      <c r="S410" s="30">
        <v>1124</v>
      </c>
      <c r="T410" s="37"/>
      <c r="U410" s="32"/>
      <c r="V410" s="32"/>
      <c r="W410" s="32"/>
      <c r="X410" s="32">
        <f>Inventory[[#This Row],[Bsmt Area]]-Inventory[[#This Row],[FnBsmt]]</f>
        <v>0</v>
      </c>
      <c r="Y410" s="32">
        <f>Inventory[[#This Row],[MainFn]]+Inventory[[#This Row],[UpprFn]]+Inventory[[#This Row],[AddFn]]+Inventory[[#This Row],[FnBsmt]]</f>
        <v>1124</v>
      </c>
      <c r="Z410" s="32">
        <v>1500</v>
      </c>
      <c r="AA410" s="31" t="s">
        <v>56</v>
      </c>
      <c r="AB410" s="32"/>
      <c r="AC410" s="38">
        <v>452</v>
      </c>
      <c r="AD410" s="37"/>
      <c r="AE410" s="32"/>
      <c r="AF410" s="32"/>
      <c r="AG410" s="32"/>
      <c r="AH410" s="32"/>
      <c r="AI410" s="30">
        <v>238780</v>
      </c>
      <c r="AJ410" s="30">
        <v>222065</v>
      </c>
      <c r="AK410" s="30">
        <v>0</v>
      </c>
      <c r="AL410" s="30">
        <v>0</v>
      </c>
      <c r="AM410" s="30">
        <v>60800</v>
      </c>
      <c r="AN410" s="30">
        <v>284500</v>
      </c>
      <c r="AO410" s="30">
        <v>345300</v>
      </c>
      <c r="AP410" s="30">
        <f>Lookups!$B$58*0.6</f>
        <v>132535.48800000001</v>
      </c>
      <c r="AQ410" s="30">
        <f>Lookups!$B$58*0.4</f>
        <v>88356.992000000013</v>
      </c>
      <c r="AR410" s="30">
        <f>Lookups!$B$59*Inventory[[#This Row],[LnAcres]]</f>
        <v>-24051.387388882686</v>
      </c>
      <c r="AS410" s="30">
        <f>VLOOKUP(Inventory[[#This Row],[Qlty]],Lookups!$A$66:$E$79,2,FALSE)</f>
        <v>37154.252388000001</v>
      </c>
      <c r="AT410" s="30">
        <f>VLOOKUP(Inventory[[#This Row],[Cnd]],Lookups!$A$80:$E$88,2,FALSE)</f>
        <v>30300.329274</v>
      </c>
      <c r="AU410" s="30">
        <f>Inventory[[#This Row],[EffAge]]*Lookups!$B$65</f>
        <v>-1522.3754000000001</v>
      </c>
      <c r="AV410" s="30">
        <f>Inventory[[#This Row],[MainFn]]*Lookups!$B$90</f>
        <v>70149.267120000004</v>
      </c>
      <c r="AW410" s="30">
        <f>Inventory[[#This Row],[UpprFn]]*Lookups!$B$91</f>
        <v>0</v>
      </c>
      <c r="AX410" s="30">
        <f>Inventory[[#This Row],[Bsmt Area]]*Lookups!$B$95</f>
        <v>0</v>
      </c>
      <c r="AY410" s="30">
        <f>Inventory[[#This Row],[AttGar]]*Lookups!$B$93</f>
        <v>15956.066012000001</v>
      </c>
      <c r="AZ410" s="30">
        <f>ROUND(Inventory[[#This Row],[25Det]],-2)</f>
        <v>0</v>
      </c>
      <c r="BA410" s="30">
        <f>ROUND(SUM(Inventory[[#This Row],[Mdl Qlty]:[Mdl Garage Area]])+Inventory[[#This Row],[Mdl Res Intercept]],-2)</f>
        <v>284600</v>
      </c>
      <c r="BB410" s="30">
        <f>ROUND(Inventory[[#This Row],[Mdl Land Intercept]]+Inventory[[#This Row],[Mdl LnAcres]],-2)</f>
        <v>64300</v>
      </c>
      <c r="BC410" s="30">
        <f>Inventory[[#This Row],[Unadj Res Value]]+Inventory[[#This Row],[Unadj Det Value]]+Inventory[[#This Row],[Unadj Land Value]]</f>
        <v>348900</v>
      </c>
      <c r="BD410" s="30">
        <f>(Inventory[[#This Row],[Unadj Total Value]]-Inventory[[#This Row],[24Final]])/Inventory[[#This Row],[24Final]]</f>
        <v>1.0425716768027803E-2</v>
      </c>
      <c r="BE410" s="30">
        <f>VLOOKUP(Inventory[[#This Row],[Nbhd]],Lookups!$M$3:$P$5,4,FALSE)</f>
        <v>0.99970000000000003</v>
      </c>
      <c r="BF410" s="30">
        <f>VLOOKUP(Inventory[[#This Row],[Qlty]],Lookups!$M$8:$P$22,4,FALSE)</f>
        <v>0.99819999999999998</v>
      </c>
      <c r="BG410" s="30">
        <f>VLOOKUP(Inventory[[#This Row],[Cnd]],Lookups!$R$8:$U$17,4,FALSE)</f>
        <v>0.997</v>
      </c>
      <c r="BH410" s="30">
        <f>VLOOKUP(Inventory[[#This Row],[LivArea Range]],Lookups!$R$25:$U$43,4,FALSE)</f>
        <v>0.99519999999999997</v>
      </c>
      <c r="BI410" s="30">
        <f>VLOOKUP(Inventory[[#This Row],[Decade]],Lookups!$M$24:$P$40,4,FALSE)</f>
        <v>1.0024</v>
      </c>
      <c r="BJ410" s="30">
        <f>Inventory[[#This Row],[Nbhd Adj]]*0.95</f>
        <v>0.94971499999999998</v>
      </c>
      <c r="BK410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410" s="30">
        <f>ROUND((SUM(Inventory[[#This Row],[Mdl Qlty]:[Mdl Garage Area]])+Inventory[[#This Row],[Mdl Res Intercept]])*Inventory[[#This Row],[Res Adj ]],-2)</f>
        <v>269900</v>
      </c>
      <c r="BM410" s="30">
        <f>ROUND(Inventory[[#This Row],[25Det]]*Inventory[[#This Row],[Det/Nbhd Adj]],-2)</f>
        <v>0</v>
      </c>
      <c r="BN410" s="30">
        <f>Inventory[[#This Row],[Adjusted Res]]+Inventory[[#This Row],[Adj Det ]]</f>
        <v>269900</v>
      </c>
      <c r="BO410" s="30">
        <f>ROUND((Inventory[[#This Row],[Mdl Land Intercept]]+Inventory[[#This Row],[Mdl LnAcres]])*Inventory[[#This Row],[Det/Nbhd Adj]],-2)</f>
        <v>61100</v>
      </c>
      <c r="BP410" s="30">
        <f>Inventory[[#This Row],[Adjusted Impr Total]]+Inventory[[#This Row],[Adjusted Land Total]]</f>
        <v>331000</v>
      </c>
      <c r="BQ410" s="30">
        <f>IFERROR((Inventory[[#This Row],[Adjusted Impr Total]]-Inventory[[#This Row],[24Bldg]])/Inventory[[#This Row],[24Bldg]],0)</f>
        <v>-5.1318101933216169E-2</v>
      </c>
      <c r="BR410" s="43">
        <f>(Inventory[[#This Row],[Adjusted Land Total]]-Inventory[[#This Row],[24Lnd]])/Inventory[[#This Row],[24Lnd]]</f>
        <v>4.9342105263157892E-3</v>
      </c>
      <c r="BS410" s="43">
        <f>(Inventory[[#This Row],[Adjusted Total]]-Inventory[[#This Row],[24Final]])/Inventory[[#This Row],[24Final]]</f>
        <v>-4.1413263828554883E-2</v>
      </c>
    </row>
    <row r="411" spans="1:71">
      <c r="A411" s="30">
        <v>2025</v>
      </c>
      <c r="B411" s="31" t="s">
        <v>925</v>
      </c>
      <c r="C411" s="31">
        <f>LN(Inventory[[#This Row],[Acres]])</f>
        <v>-1.8325814637483102</v>
      </c>
      <c r="D411" s="30">
        <v>0.16</v>
      </c>
      <c r="E411" s="30">
        <v>7001</v>
      </c>
      <c r="F411" s="31" t="s">
        <v>505</v>
      </c>
      <c r="G411" s="31" t="s">
        <v>155</v>
      </c>
      <c r="H411" s="31" t="s">
        <v>5</v>
      </c>
      <c r="I411" s="31" t="s">
        <v>506</v>
      </c>
      <c r="J411" s="31" t="s">
        <v>507</v>
      </c>
      <c r="K411" s="31" t="s">
        <v>193</v>
      </c>
      <c r="L411" s="31" t="s">
        <v>19</v>
      </c>
      <c r="M411" s="31" t="s">
        <v>20</v>
      </c>
      <c r="N411" s="31">
        <v>10</v>
      </c>
      <c r="O411" s="31">
        <f>2024-Inventory[[#This Row],[YrBlt]]</f>
        <v>14</v>
      </c>
      <c r="P411" s="31">
        <f>2024-Inventory[[#This Row],[EffYr]]</f>
        <v>14</v>
      </c>
      <c r="Q411" s="30">
        <v>2010</v>
      </c>
      <c r="R411" s="30">
        <v>2010</v>
      </c>
      <c r="S411" s="30">
        <v>1140</v>
      </c>
      <c r="T411" s="32"/>
      <c r="U411" s="32"/>
      <c r="V411" s="32"/>
      <c r="W411" s="32"/>
      <c r="X411" s="32">
        <f>Inventory[[#This Row],[Bsmt Area]]-Inventory[[#This Row],[FnBsmt]]</f>
        <v>0</v>
      </c>
      <c r="Y411" s="32">
        <f>Inventory[[#This Row],[MainFn]]+Inventory[[#This Row],[UpprFn]]+Inventory[[#This Row],[AddFn]]+Inventory[[#This Row],[FnBsmt]]</f>
        <v>1140</v>
      </c>
      <c r="Z411" s="32">
        <v>1500</v>
      </c>
      <c r="AA411" s="31" t="s">
        <v>56</v>
      </c>
      <c r="AB411" s="37"/>
      <c r="AC411" s="30">
        <v>436</v>
      </c>
      <c r="AD411" s="32"/>
      <c r="AE411" s="32"/>
      <c r="AF411" s="32"/>
      <c r="AG411" s="32"/>
      <c r="AH411" s="32"/>
      <c r="AI411" s="30">
        <v>240495</v>
      </c>
      <c r="AJ411" s="30">
        <v>223660</v>
      </c>
      <c r="AK411" s="30">
        <v>0</v>
      </c>
      <c r="AL411" s="30">
        <v>0</v>
      </c>
      <c r="AM411" s="30">
        <v>60800</v>
      </c>
      <c r="AN411" s="30">
        <v>284600</v>
      </c>
      <c r="AO411" s="30">
        <v>345400</v>
      </c>
      <c r="AP411" s="30">
        <f>Lookups!$B$58*0.6</f>
        <v>132535.48800000001</v>
      </c>
      <c r="AQ411" s="30">
        <f>Lookups!$B$58*0.4</f>
        <v>88356.992000000013</v>
      </c>
      <c r="AR411" s="30">
        <f>Lookups!$B$59*Inventory[[#This Row],[LnAcres]]</f>
        <v>-24051.387388882686</v>
      </c>
      <c r="AS411" s="30">
        <f>VLOOKUP(Inventory[[#This Row],[Qlty]],Lookups!$A$66:$E$79,2,FALSE)</f>
        <v>37154.252388000001</v>
      </c>
      <c r="AT411" s="30">
        <f>VLOOKUP(Inventory[[#This Row],[Cnd]],Lookups!$A$80:$E$88,2,FALSE)</f>
        <v>30300.329274</v>
      </c>
      <c r="AU411" s="30">
        <f>Inventory[[#This Row],[EffAge]]*Lookups!$B$65</f>
        <v>-1522.3754000000001</v>
      </c>
      <c r="AV411" s="30">
        <f>Inventory[[#This Row],[MainFn]]*Lookups!$B$90</f>
        <v>71147.833200000008</v>
      </c>
      <c r="AW411" s="30">
        <f>Inventory[[#This Row],[UpprFn]]*Lookups!$B$91</f>
        <v>0</v>
      </c>
      <c r="AX411" s="30">
        <f>Inventory[[#This Row],[Bsmt Area]]*Lookups!$B$95</f>
        <v>0</v>
      </c>
      <c r="AY411" s="30">
        <f>Inventory[[#This Row],[AttGar]]*Lookups!$B$93</f>
        <v>15391.249516000002</v>
      </c>
      <c r="AZ411" s="30">
        <f>ROUND(Inventory[[#This Row],[25Det]],-2)</f>
        <v>0</v>
      </c>
      <c r="BA411" s="30">
        <f>ROUND(SUM(Inventory[[#This Row],[Mdl Qlty]:[Mdl Garage Area]])+Inventory[[#This Row],[Mdl Res Intercept]],-2)</f>
        <v>285000</v>
      </c>
      <c r="BB411" s="30">
        <f>ROUND(Inventory[[#This Row],[Mdl Land Intercept]]+Inventory[[#This Row],[Mdl LnAcres]],-2)</f>
        <v>64300</v>
      </c>
      <c r="BC411" s="30">
        <f>Inventory[[#This Row],[Unadj Res Value]]+Inventory[[#This Row],[Unadj Det Value]]+Inventory[[#This Row],[Unadj Land Value]]</f>
        <v>349300</v>
      </c>
      <c r="BD411" s="30">
        <f>(Inventory[[#This Row],[Unadj Total Value]]-Inventory[[#This Row],[24Final]])/Inventory[[#This Row],[24Final]]</f>
        <v>1.129125651418645E-2</v>
      </c>
      <c r="BE411" s="30">
        <f>VLOOKUP(Inventory[[#This Row],[Nbhd]],Lookups!$M$3:$P$5,4,FALSE)</f>
        <v>0.99970000000000003</v>
      </c>
      <c r="BF411" s="30">
        <f>VLOOKUP(Inventory[[#This Row],[Qlty]],Lookups!$M$8:$P$22,4,FALSE)</f>
        <v>0.99819999999999998</v>
      </c>
      <c r="BG411" s="30">
        <f>VLOOKUP(Inventory[[#This Row],[Cnd]],Lookups!$R$8:$U$17,4,FALSE)</f>
        <v>0.997</v>
      </c>
      <c r="BH411" s="30">
        <f>VLOOKUP(Inventory[[#This Row],[LivArea Range]],Lookups!$R$25:$U$43,4,FALSE)</f>
        <v>0.99519999999999997</v>
      </c>
      <c r="BI411" s="30">
        <f>VLOOKUP(Inventory[[#This Row],[Decade]],Lookups!$M$24:$P$40,4,FALSE)</f>
        <v>1.0024</v>
      </c>
      <c r="BJ411" s="30">
        <f>Inventory[[#This Row],[Nbhd Adj]]*0.95</f>
        <v>0.94971499999999998</v>
      </c>
      <c r="BK411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411" s="30">
        <f>ROUND((SUM(Inventory[[#This Row],[Mdl Qlty]:[Mdl Garage Area]])+Inventory[[#This Row],[Mdl Res Intercept]])*Inventory[[#This Row],[Res Adj ]],-2)</f>
        <v>270400</v>
      </c>
      <c r="BM411" s="30">
        <f>ROUND(Inventory[[#This Row],[25Det]]*Inventory[[#This Row],[Det/Nbhd Adj]],-2)</f>
        <v>0</v>
      </c>
      <c r="BN411" s="30">
        <f>Inventory[[#This Row],[Adjusted Res]]+Inventory[[#This Row],[Adj Det ]]</f>
        <v>270400</v>
      </c>
      <c r="BO411" s="30">
        <f>ROUND((Inventory[[#This Row],[Mdl Land Intercept]]+Inventory[[#This Row],[Mdl LnAcres]])*Inventory[[#This Row],[Det/Nbhd Adj]],-2)</f>
        <v>61100</v>
      </c>
      <c r="BP411" s="30">
        <f>Inventory[[#This Row],[Adjusted Impr Total]]+Inventory[[#This Row],[Adjusted Land Total]]</f>
        <v>331500</v>
      </c>
      <c r="BQ411" s="30">
        <f>IFERROR((Inventory[[#This Row],[Adjusted Impr Total]]-Inventory[[#This Row],[24Bldg]])/Inventory[[#This Row],[24Bldg]],0)</f>
        <v>-4.9894588896697116E-2</v>
      </c>
      <c r="BR411" s="43">
        <f>(Inventory[[#This Row],[Adjusted Land Total]]-Inventory[[#This Row],[24Lnd]])/Inventory[[#This Row],[24Lnd]]</f>
        <v>4.9342105263157892E-3</v>
      </c>
      <c r="BS411" s="43">
        <f>(Inventory[[#This Row],[Adjusted Total]]-Inventory[[#This Row],[24Final]])/Inventory[[#This Row],[24Final]]</f>
        <v>-4.0243196294151705E-2</v>
      </c>
    </row>
    <row r="412" spans="1:71">
      <c r="A412" s="30">
        <v>2025</v>
      </c>
      <c r="B412" s="31" t="s">
        <v>926</v>
      </c>
      <c r="C412" s="31">
        <f>LN(Inventory[[#This Row],[Acres]])</f>
        <v>-1.8325814637483102</v>
      </c>
      <c r="D412" s="30">
        <v>0.16</v>
      </c>
      <c r="E412" s="30">
        <v>7001</v>
      </c>
      <c r="F412" s="31" t="s">
        <v>505</v>
      </c>
      <c r="G412" s="31" t="s">
        <v>155</v>
      </c>
      <c r="H412" s="31" t="s">
        <v>5</v>
      </c>
      <c r="I412" s="31" t="s">
        <v>506</v>
      </c>
      <c r="J412" s="31" t="s">
        <v>507</v>
      </c>
      <c r="K412" s="31" t="s">
        <v>193</v>
      </c>
      <c r="L412" s="31" t="s">
        <v>19</v>
      </c>
      <c r="M412" s="31" t="s">
        <v>20</v>
      </c>
      <c r="N412" s="31">
        <v>10</v>
      </c>
      <c r="O412" s="31">
        <f>2024-Inventory[[#This Row],[YrBlt]]</f>
        <v>14</v>
      </c>
      <c r="P412" s="31">
        <f>2024-Inventory[[#This Row],[EffYr]]</f>
        <v>14</v>
      </c>
      <c r="Q412" s="30">
        <v>2010</v>
      </c>
      <c r="R412" s="30">
        <v>2010</v>
      </c>
      <c r="S412" s="30">
        <v>1176</v>
      </c>
      <c r="T412" s="32"/>
      <c r="U412" s="32"/>
      <c r="V412" s="32"/>
      <c r="W412" s="32"/>
      <c r="X412" s="32">
        <f>Inventory[[#This Row],[Bsmt Area]]-Inventory[[#This Row],[FnBsmt]]</f>
        <v>0</v>
      </c>
      <c r="Y412" s="32">
        <f>Inventory[[#This Row],[MainFn]]+Inventory[[#This Row],[UpprFn]]+Inventory[[#This Row],[AddFn]]+Inventory[[#This Row],[FnBsmt]]</f>
        <v>1176</v>
      </c>
      <c r="Z412" s="32">
        <v>1500</v>
      </c>
      <c r="AA412" s="31" t="s">
        <v>56</v>
      </c>
      <c r="AB412" s="32"/>
      <c r="AC412" s="30">
        <v>400</v>
      </c>
      <c r="AD412" s="32"/>
      <c r="AE412" s="32"/>
      <c r="AF412" s="32"/>
      <c r="AG412" s="32"/>
      <c r="AH412" s="32"/>
      <c r="AI412" s="30">
        <v>244217</v>
      </c>
      <c r="AJ412" s="30">
        <v>227122</v>
      </c>
      <c r="AK412" s="30">
        <v>0</v>
      </c>
      <c r="AL412" s="30">
        <v>0</v>
      </c>
      <c r="AM412" s="30">
        <v>60800</v>
      </c>
      <c r="AN412" s="30">
        <v>284800</v>
      </c>
      <c r="AO412" s="30">
        <v>345600</v>
      </c>
      <c r="AP412" s="30">
        <f>Lookups!$B$58*0.6</f>
        <v>132535.48800000001</v>
      </c>
      <c r="AQ412" s="30">
        <f>Lookups!$B$58*0.4</f>
        <v>88356.992000000013</v>
      </c>
      <c r="AR412" s="30">
        <f>Lookups!$B$59*Inventory[[#This Row],[LnAcres]]</f>
        <v>-24051.387388882686</v>
      </c>
      <c r="AS412" s="30">
        <f>VLOOKUP(Inventory[[#This Row],[Qlty]],Lookups!$A$66:$E$79,2,FALSE)</f>
        <v>37154.252388000001</v>
      </c>
      <c r="AT412" s="30">
        <f>VLOOKUP(Inventory[[#This Row],[Cnd]],Lookups!$A$80:$E$88,2,FALSE)</f>
        <v>30300.329274</v>
      </c>
      <c r="AU412" s="30">
        <f>Inventory[[#This Row],[EffAge]]*Lookups!$B$65</f>
        <v>-1522.3754000000001</v>
      </c>
      <c r="AV412" s="30">
        <f>Inventory[[#This Row],[MainFn]]*Lookups!$B$90</f>
        <v>73394.606880000007</v>
      </c>
      <c r="AW412" s="30">
        <f>Inventory[[#This Row],[UpprFn]]*Lookups!$B$91</f>
        <v>0</v>
      </c>
      <c r="AX412" s="30">
        <f>Inventory[[#This Row],[Bsmt Area]]*Lookups!$B$95</f>
        <v>0</v>
      </c>
      <c r="AY412" s="30">
        <f>Inventory[[#This Row],[AttGar]]*Lookups!$B$93</f>
        <v>14120.412400000001</v>
      </c>
      <c r="AZ412" s="30">
        <f>ROUND(Inventory[[#This Row],[25Det]],-2)</f>
        <v>0</v>
      </c>
      <c r="BA412" s="30">
        <f>ROUND(SUM(Inventory[[#This Row],[Mdl Qlty]:[Mdl Garage Area]])+Inventory[[#This Row],[Mdl Res Intercept]],-2)</f>
        <v>286000</v>
      </c>
      <c r="BB412" s="30">
        <f>ROUND(Inventory[[#This Row],[Mdl Land Intercept]]+Inventory[[#This Row],[Mdl LnAcres]],-2)</f>
        <v>64300</v>
      </c>
      <c r="BC412" s="30">
        <f>Inventory[[#This Row],[Unadj Res Value]]+Inventory[[#This Row],[Unadj Det Value]]+Inventory[[#This Row],[Unadj Land Value]]</f>
        <v>350300</v>
      </c>
      <c r="BD412" s="30">
        <f>(Inventory[[#This Row],[Unadj Total Value]]-Inventory[[#This Row],[24Final]])/Inventory[[#This Row],[24Final]]</f>
        <v>1.3599537037037037E-2</v>
      </c>
      <c r="BE412" s="30">
        <f>VLOOKUP(Inventory[[#This Row],[Nbhd]],Lookups!$M$3:$P$5,4,FALSE)</f>
        <v>0.99970000000000003</v>
      </c>
      <c r="BF412" s="30">
        <f>VLOOKUP(Inventory[[#This Row],[Qlty]],Lookups!$M$8:$P$22,4,FALSE)</f>
        <v>0.99819999999999998</v>
      </c>
      <c r="BG412" s="30">
        <f>VLOOKUP(Inventory[[#This Row],[Cnd]],Lookups!$R$8:$U$17,4,FALSE)</f>
        <v>0.997</v>
      </c>
      <c r="BH412" s="30">
        <f>VLOOKUP(Inventory[[#This Row],[LivArea Range]],Lookups!$R$25:$U$43,4,FALSE)</f>
        <v>0.99519999999999997</v>
      </c>
      <c r="BI412" s="30">
        <f>VLOOKUP(Inventory[[#This Row],[Decade]],Lookups!$M$24:$P$40,4,FALSE)</f>
        <v>1.0024</v>
      </c>
      <c r="BJ412" s="30">
        <f>Inventory[[#This Row],[Nbhd Adj]]*0.95</f>
        <v>0.94971499999999998</v>
      </c>
      <c r="BK412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412" s="30">
        <f>ROUND((SUM(Inventory[[#This Row],[Mdl Qlty]:[Mdl Garage Area]])+Inventory[[#This Row],[Mdl Res Intercept]])*Inventory[[#This Row],[Res Adj ]],-2)</f>
        <v>271300</v>
      </c>
      <c r="BM412" s="30">
        <f>ROUND(Inventory[[#This Row],[25Det]]*Inventory[[#This Row],[Det/Nbhd Adj]],-2)</f>
        <v>0</v>
      </c>
      <c r="BN412" s="30">
        <f>Inventory[[#This Row],[Adjusted Res]]+Inventory[[#This Row],[Adj Det ]]</f>
        <v>271300</v>
      </c>
      <c r="BO412" s="30">
        <f>ROUND((Inventory[[#This Row],[Mdl Land Intercept]]+Inventory[[#This Row],[Mdl LnAcres]])*Inventory[[#This Row],[Det/Nbhd Adj]],-2)</f>
        <v>61100</v>
      </c>
      <c r="BP412" s="30">
        <f>Inventory[[#This Row],[Adjusted Impr Total]]+Inventory[[#This Row],[Adjusted Land Total]]</f>
        <v>332400</v>
      </c>
      <c r="BQ412" s="30">
        <f>IFERROR((Inventory[[#This Row],[Adjusted Impr Total]]-Inventory[[#This Row],[24Bldg]])/Inventory[[#This Row],[24Bldg]],0)</f>
        <v>-4.7401685393258425E-2</v>
      </c>
      <c r="BR412" s="43">
        <f>(Inventory[[#This Row],[Adjusted Land Total]]-Inventory[[#This Row],[24Lnd]])/Inventory[[#This Row],[24Lnd]]</f>
        <v>4.9342105263157892E-3</v>
      </c>
      <c r="BS412" s="43">
        <f>(Inventory[[#This Row],[Adjusted Total]]-Inventory[[#This Row],[24Final]])/Inventory[[#This Row],[24Final]]</f>
        <v>-3.8194444444444448E-2</v>
      </c>
    </row>
    <row r="413" spans="1:71">
      <c r="A413" s="30">
        <v>2025</v>
      </c>
      <c r="B413" s="31" t="s">
        <v>927</v>
      </c>
      <c r="C413" s="31">
        <f>LN(Inventory[[#This Row],[Acres]])</f>
        <v>-1.8325814637483102</v>
      </c>
      <c r="D413" s="30">
        <v>0.16</v>
      </c>
      <c r="E413" s="30">
        <v>7164</v>
      </c>
      <c r="F413" s="31" t="s">
        <v>505</v>
      </c>
      <c r="G413" s="31" t="s">
        <v>155</v>
      </c>
      <c r="H413" s="31" t="s">
        <v>5</v>
      </c>
      <c r="I413" s="31" t="s">
        <v>506</v>
      </c>
      <c r="J413" s="31" t="s">
        <v>507</v>
      </c>
      <c r="K413" s="31" t="s">
        <v>330</v>
      </c>
      <c r="L413" s="31" t="s">
        <v>19</v>
      </c>
      <c r="M413" s="31" t="s">
        <v>20</v>
      </c>
      <c r="N413" s="31">
        <v>10</v>
      </c>
      <c r="O413" s="31">
        <f>2024-Inventory[[#This Row],[YrBlt]]</f>
        <v>14</v>
      </c>
      <c r="P413" s="31">
        <f>2024-Inventory[[#This Row],[EffYr]]</f>
        <v>14</v>
      </c>
      <c r="Q413" s="30">
        <v>2010</v>
      </c>
      <c r="R413" s="30">
        <v>2010</v>
      </c>
      <c r="S413" s="30">
        <v>1364</v>
      </c>
      <c r="T413" s="37"/>
      <c r="U413" s="32"/>
      <c r="V413" s="32"/>
      <c r="W413" s="32"/>
      <c r="X413" s="32">
        <f>Inventory[[#This Row],[Bsmt Area]]-Inventory[[#This Row],[FnBsmt]]</f>
        <v>0</v>
      </c>
      <c r="Y413" s="32">
        <f>Inventory[[#This Row],[MainFn]]+Inventory[[#This Row],[UpprFn]]+Inventory[[#This Row],[AddFn]]+Inventory[[#This Row],[FnBsmt]]</f>
        <v>1364</v>
      </c>
      <c r="Z413" s="32">
        <v>1500</v>
      </c>
      <c r="AA413" s="31" t="s">
        <v>56</v>
      </c>
      <c r="AB413" s="32"/>
      <c r="AC413" s="30">
        <v>428</v>
      </c>
      <c r="AD413" s="32"/>
      <c r="AE413" s="32"/>
      <c r="AF413" s="32"/>
      <c r="AG413" s="32"/>
      <c r="AH413" s="32"/>
      <c r="AI413" s="30">
        <v>282476</v>
      </c>
      <c r="AJ413" s="30">
        <v>262703</v>
      </c>
      <c r="AK413" s="30">
        <v>0</v>
      </c>
      <c r="AL413" s="30">
        <v>0</v>
      </c>
      <c r="AM413" s="30">
        <v>60800</v>
      </c>
      <c r="AN413" s="30">
        <v>295300</v>
      </c>
      <c r="AO413" s="30">
        <v>356100</v>
      </c>
      <c r="AP413" s="30">
        <f>Lookups!$B$58*0.6</f>
        <v>132535.48800000001</v>
      </c>
      <c r="AQ413" s="30">
        <f>Lookups!$B$58*0.4</f>
        <v>88356.992000000013</v>
      </c>
      <c r="AR413" s="30">
        <f>Lookups!$B$59*Inventory[[#This Row],[LnAcres]]</f>
        <v>-24051.387388882686</v>
      </c>
      <c r="AS413" s="30">
        <f>VLOOKUP(Inventory[[#This Row],[Qlty]],Lookups!$A$66:$E$79,2,FALSE)</f>
        <v>37154.252388000001</v>
      </c>
      <c r="AT413" s="30">
        <f>VLOOKUP(Inventory[[#This Row],[Cnd]],Lookups!$A$80:$E$88,2,FALSE)</f>
        <v>30300.329274</v>
      </c>
      <c r="AU413" s="30">
        <f>Inventory[[#This Row],[EffAge]]*Lookups!$B$65</f>
        <v>-1522.3754000000001</v>
      </c>
      <c r="AV413" s="30">
        <f>Inventory[[#This Row],[MainFn]]*Lookups!$B$90</f>
        <v>85127.758320000008</v>
      </c>
      <c r="AW413" s="30">
        <f>Inventory[[#This Row],[UpprFn]]*Lookups!$B$91</f>
        <v>0</v>
      </c>
      <c r="AX413" s="30">
        <f>Inventory[[#This Row],[Bsmt Area]]*Lookups!$B$95</f>
        <v>0</v>
      </c>
      <c r="AY413" s="30">
        <f>Inventory[[#This Row],[AttGar]]*Lookups!$B$93</f>
        <v>15108.841268</v>
      </c>
      <c r="AZ413" s="30">
        <f>ROUND(Inventory[[#This Row],[25Det]],-2)</f>
        <v>0</v>
      </c>
      <c r="BA413" s="30">
        <f>ROUND(SUM(Inventory[[#This Row],[Mdl Qlty]:[Mdl Garage Area]])+Inventory[[#This Row],[Mdl Res Intercept]],-2)</f>
        <v>298700</v>
      </c>
      <c r="BB413" s="30">
        <f>ROUND(Inventory[[#This Row],[Mdl Land Intercept]]+Inventory[[#This Row],[Mdl LnAcres]],-2)</f>
        <v>64300</v>
      </c>
      <c r="BC413" s="30">
        <f>Inventory[[#This Row],[Unadj Res Value]]+Inventory[[#This Row],[Unadj Det Value]]+Inventory[[#This Row],[Unadj Land Value]]</f>
        <v>363000</v>
      </c>
      <c r="BD413" s="30">
        <f>(Inventory[[#This Row],[Unadj Total Value]]-Inventory[[#This Row],[24Final]])/Inventory[[#This Row],[24Final]]</f>
        <v>1.9376579612468407E-2</v>
      </c>
      <c r="BE413" s="30">
        <f>VLOOKUP(Inventory[[#This Row],[Nbhd]],Lookups!$M$3:$P$5,4,FALSE)</f>
        <v>0.99970000000000003</v>
      </c>
      <c r="BF413" s="30">
        <f>VLOOKUP(Inventory[[#This Row],[Qlty]],Lookups!$M$8:$P$22,4,FALSE)</f>
        <v>0.99819999999999998</v>
      </c>
      <c r="BG413" s="30">
        <f>VLOOKUP(Inventory[[#This Row],[Cnd]],Lookups!$R$8:$U$17,4,FALSE)</f>
        <v>0.997</v>
      </c>
      <c r="BH413" s="30">
        <f>VLOOKUP(Inventory[[#This Row],[LivArea Range]],Lookups!$R$25:$U$43,4,FALSE)</f>
        <v>0.99519999999999997</v>
      </c>
      <c r="BI413" s="30">
        <f>VLOOKUP(Inventory[[#This Row],[Decade]],Lookups!$M$24:$P$40,4,FALSE)</f>
        <v>1.0024</v>
      </c>
      <c r="BJ413" s="30">
        <f>Inventory[[#This Row],[Nbhd Adj]]*0.95</f>
        <v>0.94971499999999998</v>
      </c>
      <c r="BK413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413" s="30">
        <f>ROUND((SUM(Inventory[[#This Row],[Mdl Qlty]:[Mdl Garage Area]])+Inventory[[#This Row],[Mdl Res Intercept]])*Inventory[[#This Row],[Res Adj ]],-2)</f>
        <v>283300</v>
      </c>
      <c r="BM413" s="30">
        <f>ROUND(Inventory[[#This Row],[25Det]]*Inventory[[#This Row],[Det/Nbhd Adj]],-2)</f>
        <v>0</v>
      </c>
      <c r="BN413" s="30">
        <f>Inventory[[#This Row],[Adjusted Res]]+Inventory[[#This Row],[Adj Det ]]</f>
        <v>283300</v>
      </c>
      <c r="BO413" s="30">
        <f>ROUND((Inventory[[#This Row],[Mdl Land Intercept]]+Inventory[[#This Row],[Mdl LnAcres]])*Inventory[[#This Row],[Det/Nbhd Adj]],-2)</f>
        <v>61100</v>
      </c>
      <c r="BP413" s="30">
        <f>Inventory[[#This Row],[Adjusted Impr Total]]+Inventory[[#This Row],[Adjusted Land Total]]</f>
        <v>344400</v>
      </c>
      <c r="BQ413" s="30">
        <f>IFERROR((Inventory[[#This Row],[Adjusted Impr Total]]-Inventory[[#This Row],[24Bldg]])/Inventory[[#This Row],[24Bldg]],0)</f>
        <v>-4.063664070436844E-2</v>
      </c>
      <c r="BR413" s="43">
        <f>(Inventory[[#This Row],[Adjusted Land Total]]-Inventory[[#This Row],[24Lnd]])/Inventory[[#This Row],[24Lnd]]</f>
        <v>4.9342105263157892E-3</v>
      </c>
      <c r="BS413" s="43">
        <f>(Inventory[[#This Row],[Adjusted Total]]-Inventory[[#This Row],[24Final]])/Inventory[[#This Row],[24Final]]</f>
        <v>-3.285593934288121E-2</v>
      </c>
    </row>
    <row r="414" spans="1:71">
      <c r="A414" s="30">
        <v>2025</v>
      </c>
      <c r="B414" s="31" t="s">
        <v>928</v>
      </c>
      <c r="C414" s="31">
        <f>LN(Inventory[[#This Row],[Acres]])</f>
        <v>-1.8325814637483102</v>
      </c>
      <c r="D414" s="30">
        <v>0.16</v>
      </c>
      <c r="E414" s="30">
        <v>7181</v>
      </c>
      <c r="F414" s="31" t="s">
        <v>505</v>
      </c>
      <c r="G414" s="31" t="s">
        <v>155</v>
      </c>
      <c r="H414" s="31" t="s">
        <v>5</v>
      </c>
      <c r="I414" s="31" t="s">
        <v>506</v>
      </c>
      <c r="J414" s="31" t="s">
        <v>507</v>
      </c>
      <c r="K414" s="31" t="s">
        <v>330</v>
      </c>
      <c r="L414" s="31" t="s">
        <v>19</v>
      </c>
      <c r="M414" s="31" t="s">
        <v>20</v>
      </c>
      <c r="N414" s="31">
        <v>10</v>
      </c>
      <c r="O414" s="31">
        <f>2024-Inventory[[#This Row],[YrBlt]]</f>
        <v>14</v>
      </c>
      <c r="P414" s="31">
        <f>2024-Inventory[[#This Row],[EffYr]]</f>
        <v>14</v>
      </c>
      <c r="Q414" s="30">
        <v>2010</v>
      </c>
      <c r="R414" s="30">
        <v>2010</v>
      </c>
      <c r="S414" s="30">
        <v>1380</v>
      </c>
      <c r="T414" s="32"/>
      <c r="U414" s="32"/>
      <c r="V414" s="32"/>
      <c r="W414" s="32"/>
      <c r="X414" s="32">
        <f>Inventory[[#This Row],[Bsmt Area]]-Inventory[[#This Row],[FnBsmt]]</f>
        <v>0</v>
      </c>
      <c r="Y414" s="32">
        <f>Inventory[[#This Row],[MainFn]]+Inventory[[#This Row],[UpprFn]]+Inventory[[#This Row],[AddFn]]+Inventory[[#This Row],[FnBsmt]]</f>
        <v>1380</v>
      </c>
      <c r="Z414" s="32">
        <v>1500</v>
      </c>
      <c r="AA414" s="31" t="s">
        <v>56</v>
      </c>
      <c r="AB414" s="32"/>
      <c r="AC414" s="30">
        <v>426</v>
      </c>
      <c r="AD414" s="32"/>
      <c r="AE414" s="32"/>
      <c r="AF414" s="32"/>
      <c r="AG414" s="32"/>
      <c r="AH414" s="32"/>
      <c r="AI414" s="30">
        <v>276068</v>
      </c>
      <c r="AJ414" s="30">
        <v>256743</v>
      </c>
      <c r="AK414" s="30">
        <v>0</v>
      </c>
      <c r="AL414" s="30">
        <v>0</v>
      </c>
      <c r="AM414" s="30">
        <v>60800</v>
      </c>
      <c r="AN414" s="30">
        <v>294900</v>
      </c>
      <c r="AO414" s="30">
        <v>355700</v>
      </c>
      <c r="AP414" s="30">
        <f>Lookups!$B$58*0.6</f>
        <v>132535.48800000001</v>
      </c>
      <c r="AQ414" s="30">
        <f>Lookups!$B$58*0.4</f>
        <v>88356.992000000013</v>
      </c>
      <c r="AR414" s="30">
        <f>Lookups!$B$59*Inventory[[#This Row],[LnAcres]]</f>
        <v>-24051.387388882686</v>
      </c>
      <c r="AS414" s="30">
        <f>VLOOKUP(Inventory[[#This Row],[Qlty]],Lookups!$A$66:$E$79,2,FALSE)</f>
        <v>37154.252388000001</v>
      </c>
      <c r="AT414" s="30">
        <f>VLOOKUP(Inventory[[#This Row],[Cnd]],Lookups!$A$80:$E$88,2,FALSE)</f>
        <v>30300.329274</v>
      </c>
      <c r="AU414" s="30">
        <f>Inventory[[#This Row],[EffAge]]*Lookups!$B$65</f>
        <v>-1522.3754000000001</v>
      </c>
      <c r="AV414" s="30">
        <f>Inventory[[#This Row],[MainFn]]*Lookups!$B$90</f>
        <v>86126.324399999998</v>
      </c>
      <c r="AW414" s="30">
        <f>Inventory[[#This Row],[UpprFn]]*Lookups!$B$91</f>
        <v>0</v>
      </c>
      <c r="AX414" s="30">
        <f>Inventory[[#This Row],[Bsmt Area]]*Lookups!$B$95</f>
        <v>0</v>
      </c>
      <c r="AY414" s="30">
        <f>Inventory[[#This Row],[AttGar]]*Lookups!$B$93</f>
        <v>15038.239206</v>
      </c>
      <c r="AZ414" s="30">
        <f>ROUND(Inventory[[#This Row],[25Det]],-2)</f>
        <v>0</v>
      </c>
      <c r="BA414" s="30">
        <f>ROUND(SUM(Inventory[[#This Row],[Mdl Qlty]:[Mdl Garage Area]])+Inventory[[#This Row],[Mdl Res Intercept]],-2)</f>
        <v>299600</v>
      </c>
      <c r="BB414" s="30">
        <f>ROUND(Inventory[[#This Row],[Mdl Land Intercept]]+Inventory[[#This Row],[Mdl LnAcres]],-2)</f>
        <v>64300</v>
      </c>
      <c r="BC414" s="30">
        <f>Inventory[[#This Row],[Unadj Res Value]]+Inventory[[#This Row],[Unadj Det Value]]+Inventory[[#This Row],[Unadj Land Value]]</f>
        <v>363900</v>
      </c>
      <c r="BD414" s="30">
        <f>(Inventory[[#This Row],[Unadj Total Value]]-Inventory[[#This Row],[24Final]])/Inventory[[#This Row],[24Final]]</f>
        <v>2.3053134664042733E-2</v>
      </c>
      <c r="BE414" s="30">
        <f>VLOOKUP(Inventory[[#This Row],[Nbhd]],Lookups!$M$3:$P$5,4,FALSE)</f>
        <v>0.99970000000000003</v>
      </c>
      <c r="BF414" s="30">
        <f>VLOOKUP(Inventory[[#This Row],[Qlty]],Lookups!$M$8:$P$22,4,FALSE)</f>
        <v>0.99819999999999998</v>
      </c>
      <c r="BG414" s="30">
        <f>VLOOKUP(Inventory[[#This Row],[Cnd]],Lookups!$R$8:$U$17,4,FALSE)</f>
        <v>0.997</v>
      </c>
      <c r="BH414" s="30">
        <f>VLOOKUP(Inventory[[#This Row],[LivArea Range]],Lookups!$R$25:$U$43,4,FALSE)</f>
        <v>0.99519999999999997</v>
      </c>
      <c r="BI414" s="30">
        <f>VLOOKUP(Inventory[[#This Row],[Decade]],Lookups!$M$24:$P$40,4,FALSE)</f>
        <v>1.0024</v>
      </c>
      <c r="BJ414" s="30">
        <f>Inventory[[#This Row],[Nbhd Adj]]*0.95</f>
        <v>0.94971499999999998</v>
      </c>
      <c r="BK414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414" s="30">
        <f>ROUND((SUM(Inventory[[#This Row],[Mdl Qlty]:[Mdl Garage Area]])+Inventory[[#This Row],[Mdl Res Intercept]])*Inventory[[#This Row],[Res Adj ]],-2)</f>
        <v>284200</v>
      </c>
      <c r="BM414" s="30">
        <f>ROUND(Inventory[[#This Row],[25Det]]*Inventory[[#This Row],[Det/Nbhd Adj]],-2)</f>
        <v>0</v>
      </c>
      <c r="BN414" s="30">
        <f>Inventory[[#This Row],[Adjusted Res]]+Inventory[[#This Row],[Adj Det ]]</f>
        <v>284200</v>
      </c>
      <c r="BO414" s="30">
        <f>ROUND((Inventory[[#This Row],[Mdl Land Intercept]]+Inventory[[#This Row],[Mdl LnAcres]])*Inventory[[#This Row],[Det/Nbhd Adj]],-2)</f>
        <v>61100</v>
      </c>
      <c r="BP414" s="30">
        <f>Inventory[[#This Row],[Adjusted Impr Total]]+Inventory[[#This Row],[Adjusted Land Total]]</f>
        <v>345300</v>
      </c>
      <c r="BQ414" s="30">
        <f>IFERROR((Inventory[[#This Row],[Adjusted Impr Total]]-Inventory[[#This Row],[24Bldg]])/Inventory[[#This Row],[24Bldg]],0)</f>
        <v>-3.628348592743303E-2</v>
      </c>
      <c r="BR414" s="43">
        <f>(Inventory[[#This Row],[Adjusted Land Total]]-Inventory[[#This Row],[24Lnd]])/Inventory[[#This Row],[24Lnd]]</f>
        <v>4.9342105263157892E-3</v>
      </c>
      <c r="BS414" s="43">
        <f>(Inventory[[#This Row],[Adjusted Total]]-Inventory[[#This Row],[24Final]])/Inventory[[#This Row],[24Final]]</f>
        <v>-2.9238122012932247E-2</v>
      </c>
    </row>
    <row r="415" spans="1:71">
      <c r="A415" s="30">
        <v>2025</v>
      </c>
      <c r="B415" s="31" t="s">
        <v>929</v>
      </c>
      <c r="C415" s="31">
        <f>LN(Inventory[[#This Row],[Acres]])</f>
        <v>-1.8325814637483102</v>
      </c>
      <c r="D415" s="30">
        <v>0.16</v>
      </c>
      <c r="E415" s="30">
        <v>7100</v>
      </c>
      <c r="F415" s="31" t="s">
        <v>505</v>
      </c>
      <c r="G415" s="31" t="s">
        <v>155</v>
      </c>
      <c r="H415" s="31" t="s">
        <v>5</v>
      </c>
      <c r="I415" s="31" t="s">
        <v>506</v>
      </c>
      <c r="J415" s="31" t="s">
        <v>507</v>
      </c>
      <c r="K415" s="31" t="s">
        <v>330</v>
      </c>
      <c r="L415" s="31" t="s">
        <v>21</v>
      </c>
      <c r="M415" s="31" t="s">
        <v>20</v>
      </c>
      <c r="N415" s="31">
        <v>10</v>
      </c>
      <c r="O415" s="31">
        <f>2024-Inventory[[#This Row],[YrBlt]]</f>
        <v>14</v>
      </c>
      <c r="P415" s="31">
        <f>2024-Inventory[[#This Row],[EffYr]]</f>
        <v>14</v>
      </c>
      <c r="Q415" s="30">
        <v>2010</v>
      </c>
      <c r="R415" s="30">
        <v>2010</v>
      </c>
      <c r="S415" s="30">
        <v>1737</v>
      </c>
      <c r="T415" s="32"/>
      <c r="U415" s="32"/>
      <c r="V415" s="32"/>
      <c r="W415" s="32"/>
      <c r="X415" s="32">
        <f>Inventory[[#This Row],[Bsmt Area]]-Inventory[[#This Row],[FnBsmt]]</f>
        <v>0</v>
      </c>
      <c r="Y415" s="32">
        <f>Inventory[[#This Row],[MainFn]]+Inventory[[#This Row],[UpprFn]]+Inventory[[#This Row],[AddFn]]+Inventory[[#This Row],[FnBsmt]]</f>
        <v>1737</v>
      </c>
      <c r="Z415" s="32">
        <v>2000</v>
      </c>
      <c r="AA415" s="31" t="s">
        <v>56</v>
      </c>
      <c r="AB415" s="32"/>
      <c r="AC415" s="30">
        <v>435</v>
      </c>
      <c r="AD415" s="32"/>
      <c r="AE415" s="32"/>
      <c r="AF415" s="32"/>
      <c r="AG415" s="32"/>
      <c r="AH415" s="32"/>
      <c r="AI415" s="30">
        <v>377496</v>
      </c>
      <c r="AJ415" s="30">
        <v>351071</v>
      </c>
      <c r="AK415" s="30">
        <v>0</v>
      </c>
      <c r="AL415" s="30">
        <v>0</v>
      </c>
      <c r="AM415" s="30">
        <v>60800</v>
      </c>
      <c r="AN415" s="30">
        <v>310100</v>
      </c>
      <c r="AO415" s="30">
        <v>370900</v>
      </c>
      <c r="AP415" s="30">
        <f>Lookups!$B$58*0.6</f>
        <v>132535.48800000001</v>
      </c>
      <c r="AQ415" s="30">
        <f>Lookups!$B$58*0.4</f>
        <v>88356.992000000013</v>
      </c>
      <c r="AR415" s="30">
        <f>Lookups!$B$59*Inventory[[#This Row],[LnAcres]]</f>
        <v>-24051.387388882686</v>
      </c>
      <c r="AS415" s="30">
        <f>VLOOKUP(Inventory[[#This Row],[Qlty]],Lookups!$A$66:$E$79,2,FALSE)</f>
        <v>32917.849192000001</v>
      </c>
      <c r="AT415" s="30">
        <f>VLOOKUP(Inventory[[#This Row],[Cnd]],Lookups!$A$80:$E$88,2,FALSE)</f>
        <v>30300.329274</v>
      </c>
      <c r="AU415" s="30">
        <f>Inventory[[#This Row],[EffAge]]*Lookups!$B$65</f>
        <v>-1522.3754000000001</v>
      </c>
      <c r="AV415" s="30">
        <f>Inventory[[#This Row],[MainFn]]*Lookups!$B$90</f>
        <v>108406.83006000001</v>
      </c>
      <c r="AW415" s="30">
        <f>Inventory[[#This Row],[UpprFn]]*Lookups!$B$91</f>
        <v>0</v>
      </c>
      <c r="AX415" s="30">
        <f>Inventory[[#This Row],[Bsmt Area]]*Lookups!$B$95</f>
        <v>0</v>
      </c>
      <c r="AY415" s="30">
        <f>Inventory[[#This Row],[AttGar]]*Lookups!$B$93</f>
        <v>15355.948485000001</v>
      </c>
      <c r="AZ415" s="30">
        <f>ROUND(Inventory[[#This Row],[25Det]],-2)</f>
        <v>0</v>
      </c>
      <c r="BA415" s="30">
        <f>ROUND(SUM(Inventory[[#This Row],[Mdl Qlty]:[Mdl Garage Area]])+Inventory[[#This Row],[Mdl Res Intercept]],-2)</f>
        <v>318000</v>
      </c>
      <c r="BB415" s="30">
        <f>ROUND(Inventory[[#This Row],[Mdl Land Intercept]]+Inventory[[#This Row],[Mdl LnAcres]],-2)</f>
        <v>64300</v>
      </c>
      <c r="BC415" s="30">
        <f>Inventory[[#This Row],[Unadj Res Value]]+Inventory[[#This Row],[Unadj Det Value]]+Inventory[[#This Row],[Unadj Land Value]]</f>
        <v>382300</v>
      </c>
      <c r="BD415" s="30">
        <f>(Inventory[[#This Row],[Unadj Total Value]]-Inventory[[#This Row],[24Final]])/Inventory[[#This Row],[24Final]]</f>
        <v>3.0736047452143436E-2</v>
      </c>
      <c r="BE415" s="30">
        <f>VLOOKUP(Inventory[[#This Row],[Nbhd]],Lookups!$M$3:$P$5,4,FALSE)</f>
        <v>0.99970000000000003</v>
      </c>
      <c r="BF415" s="30">
        <f>VLOOKUP(Inventory[[#This Row],[Qlty]],Lookups!$M$8:$P$22,4,FALSE)</f>
        <v>1.0019</v>
      </c>
      <c r="BG415" s="30">
        <f>VLOOKUP(Inventory[[#This Row],[Cnd]],Lookups!$R$8:$U$17,4,FALSE)</f>
        <v>0.997</v>
      </c>
      <c r="BH415" s="30">
        <f>VLOOKUP(Inventory[[#This Row],[LivArea Range]],Lookups!$R$25:$U$43,4,FALSE)</f>
        <v>1.0007999999999999</v>
      </c>
      <c r="BI415" s="30">
        <f>VLOOKUP(Inventory[[#This Row],[Decade]],Lookups!$M$24:$P$40,4,FALSE)</f>
        <v>1.0024</v>
      </c>
      <c r="BJ415" s="30">
        <f>Inventory[[#This Row],[Nbhd Adj]]*0.95</f>
        <v>0.94971499999999998</v>
      </c>
      <c r="BK415" s="30">
        <f>AVERAGE(Inventory[[#This Row],[Nbhd Adj]],Inventory[[#This Row],[Quality Adj]],Inventory[[#This Row],[Condition Adj]],Inventory[[#This Row],[Living Area Adj]],Inventory[[#This Row],[Decade Adj]])*0.95</f>
        <v>0.95034199999999991</v>
      </c>
      <c r="BL415" s="30">
        <f>ROUND((SUM(Inventory[[#This Row],[Mdl Qlty]:[Mdl Garage Area]])+Inventory[[#This Row],[Mdl Res Intercept]])*Inventory[[#This Row],[Res Adj ]],-2)</f>
        <v>302200</v>
      </c>
      <c r="BM415" s="30">
        <f>ROUND(Inventory[[#This Row],[25Det]]*Inventory[[#This Row],[Det/Nbhd Adj]],-2)</f>
        <v>0</v>
      </c>
      <c r="BN415" s="30">
        <f>Inventory[[#This Row],[Adjusted Res]]+Inventory[[#This Row],[Adj Det ]]</f>
        <v>302200</v>
      </c>
      <c r="BO415" s="30">
        <f>ROUND((Inventory[[#This Row],[Mdl Land Intercept]]+Inventory[[#This Row],[Mdl LnAcres]])*Inventory[[#This Row],[Det/Nbhd Adj]],-2)</f>
        <v>61100</v>
      </c>
      <c r="BP415" s="30">
        <f>Inventory[[#This Row],[Adjusted Impr Total]]+Inventory[[#This Row],[Adjusted Land Total]]</f>
        <v>363300</v>
      </c>
      <c r="BQ415" s="30">
        <f>IFERROR((Inventory[[#This Row],[Adjusted Impr Total]]-Inventory[[#This Row],[24Bldg]])/Inventory[[#This Row],[24Bldg]],0)</f>
        <v>-2.5475653015156401E-2</v>
      </c>
      <c r="BR415" s="43">
        <f>(Inventory[[#This Row],[Adjusted Land Total]]-Inventory[[#This Row],[24Lnd]])/Inventory[[#This Row],[24Lnd]]</f>
        <v>4.9342105263157892E-3</v>
      </c>
      <c r="BS415" s="43">
        <f>(Inventory[[#This Row],[Adjusted Total]]-Inventory[[#This Row],[24Final]])/Inventory[[#This Row],[24Final]]</f>
        <v>-2.0490698301428956E-2</v>
      </c>
    </row>
    <row r="416" spans="1:71">
      <c r="A416" s="30">
        <v>2025</v>
      </c>
      <c r="B416" s="31" t="s">
        <v>930</v>
      </c>
      <c r="C416" s="31">
        <f>LN(Inventory[[#This Row],[Acres]])</f>
        <v>-1.8325814637483102</v>
      </c>
      <c r="D416" s="30">
        <v>0.16</v>
      </c>
      <c r="E416" s="30">
        <v>7146</v>
      </c>
      <c r="F416" s="31" t="s">
        <v>505</v>
      </c>
      <c r="G416" s="31" t="s">
        <v>155</v>
      </c>
      <c r="H416" s="31" t="s">
        <v>5</v>
      </c>
      <c r="I416" s="31" t="s">
        <v>506</v>
      </c>
      <c r="J416" s="31" t="s">
        <v>507</v>
      </c>
      <c r="K416" s="31" t="s">
        <v>330</v>
      </c>
      <c r="L416" s="31" t="s">
        <v>19</v>
      </c>
      <c r="M416" s="31" t="s">
        <v>22</v>
      </c>
      <c r="N416" s="31">
        <v>10</v>
      </c>
      <c r="O416" s="31">
        <f>2024-Inventory[[#This Row],[YrBlt]]</f>
        <v>14</v>
      </c>
      <c r="P416" s="31">
        <f>2024-Inventory[[#This Row],[EffYr]]</f>
        <v>14</v>
      </c>
      <c r="Q416" s="30">
        <v>2010</v>
      </c>
      <c r="R416" s="30">
        <v>2010</v>
      </c>
      <c r="S416" s="30">
        <v>1380</v>
      </c>
      <c r="T416" s="37"/>
      <c r="U416" s="32"/>
      <c r="V416" s="32"/>
      <c r="W416" s="32"/>
      <c r="X416" s="32">
        <f>Inventory[[#This Row],[Bsmt Area]]-Inventory[[#This Row],[FnBsmt]]</f>
        <v>0</v>
      </c>
      <c r="Y416" s="32">
        <f>Inventory[[#This Row],[MainFn]]+Inventory[[#This Row],[UpprFn]]+Inventory[[#This Row],[AddFn]]+Inventory[[#This Row],[FnBsmt]]</f>
        <v>1380</v>
      </c>
      <c r="Z416" s="32">
        <v>1500</v>
      </c>
      <c r="AA416" s="31" t="s">
        <v>56</v>
      </c>
      <c r="AB416" s="37"/>
      <c r="AC416" s="30">
        <v>428</v>
      </c>
      <c r="AD416" s="32"/>
      <c r="AE416" s="32"/>
      <c r="AF416" s="32"/>
      <c r="AG416" s="32"/>
      <c r="AH416" s="32"/>
      <c r="AI416" s="30">
        <v>276046</v>
      </c>
      <c r="AJ416" s="30">
        <v>259483</v>
      </c>
      <c r="AK416" s="30">
        <v>0</v>
      </c>
      <c r="AL416" s="30">
        <v>0</v>
      </c>
      <c r="AM416" s="30">
        <v>60800</v>
      </c>
      <c r="AN416" s="30">
        <v>310400</v>
      </c>
      <c r="AO416" s="30">
        <v>371200</v>
      </c>
      <c r="AP416" s="30">
        <f>Lookups!$B$58*0.6</f>
        <v>132535.48800000001</v>
      </c>
      <c r="AQ416" s="30">
        <f>Lookups!$B$58*0.4</f>
        <v>88356.992000000013</v>
      </c>
      <c r="AR416" s="30">
        <f>Lookups!$B$59*Inventory[[#This Row],[LnAcres]]</f>
        <v>-24051.387388882686</v>
      </c>
      <c r="AS416" s="30">
        <f>VLOOKUP(Inventory[[#This Row],[Qlty]],Lookups!$A$66:$E$79,2,FALSE)</f>
        <v>37154.252388000001</v>
      </c>
      <c r="AT416" s="30">
        <f>VLOOKUP(Inventory[[#This Row],[Cnd]],Lookups!$A$80:$E$88,2,FALSE)</f>
        <v>50438.379078999998</v>
      </c>
      <c r="AU416" s="30">
        <f>Inventory[[#This Row],[EffAge]]*Lookups!$B$65</f>
        <v>-1522.3754000000001</v>
      </c>
      <c r="AV416" s="30">
        <f>Inventory[[#This Row],[MainFn]]*Lookups!$B$90</f>
        <v>86126.324399999998</v>
      </c>
      <c r="AW416" s="30">
        <f>Inventory[[#This Row],[UpprFn]]*Lookups!$B$91</f>
        <v>0</v>
      </c>
      <c r="AX416" s="30">
        <f>Inventory[[#This Row],[Bsmt Area]]*Lookups!$B$95</f>
        <v>0</v>
      </c>
      <c r="AY416" s="30">
        <f>Inventory[[#This Row],[AttGar]]*Lookups!$B$93</f>
        <v>15108.841268</v>
      </c>
      <c r="AZ416" s="30">
        <f>ROUND(Inventory[[#This Row],[25Det]],-2)</f>
        <v>0</v>
      </c>
      <c r="BA416" s="30">
        <f>ROUND(SUM(Inventory[[#This Row],[Mdl Qlty]:[Mdl Garage Area]])+Inventory[[#This Row],[Mdl Res Intercept]],-2)</f>
        <v>319800</v>
      </c>
      <c r="BB416" s="30">
        <f>ROUND(Inventory[[#This Row],[Mdl Land Intercept]]+Inventory[[#This Row],[Mdl LnAcres]],-2)</f>
        <v>64300</v>
      </c>
      <c r="BC416" s="30">
        <f>Inventory[[#This Row],[Unadj Res Value]]+Inventory[[#This Row],[Unadj Det Value]]+Inventory[[#This Row],[Unadj Land Value]]</f>
        <v>384100</v>
      </c>
      <c r="BD416" s="30">
        <f>(Inventory[[#This Row],[Unadj Total Value]]-Inventory[[#This Row],[24Final]])/Inventory[[#This Row],[24Final]]</f>
        <v>3.4752155172413791E-2</v>
      </c>
      <c r="BE416" s="30">
        <f>VLOOKUP(Inventory[[#This Row],[Nbhd]],Lookups!$M$3:$P$5,4,FALSE)</f>
        <v>0.99970000000000003</v>
      </c>
      <c r="BF416" s="30">
        <f>VLOOKUP(Inventory[[#This Row],[Qlty]],Lookups!$M$8:$P$22,4,FALSE)</f>
        <v>0.99819999999999998</v>
      </c>
      <c r="BG416" s="30">
        <f>VLOOKUP(Inventory[[#This Row],[Cnd]],Lookups!$R$8:$U$17,4,FALSE)</f>
        <v>1.0007999999999999</v>
      </c>
      <c r="BH416" s="30">
        <f>VLOOKUP(Inventory[[#This Row],[LivArea Range]],Lookups!$R$25:$U$43,4,FALSE)</f>
        <v>0.99519999999999997</v>
      </c>
      <c r="BI416" s="30">
        <f>VLOOKUP(Inventory[[#This Row],[Decade]],Lookups!$M$24:$P$40,4,FALSE)</f>
        <v>1.0024</v>
      </c>
      <c r="BJ416" s="30">
        <f>Inventory[[#This Row],[Nbhd Adj]]*0.95</f>
        <v>0.94971499999999998</v>
      </c>
      <c r="BK416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416" s="30">
        <f>ROUND((SUM(Inventory[[#This Row],[Mdl Qlty]:[Mdl Garage Area]])+Inventory[[#This Row],[Mdl Res Intercept]])*Inventory[[#This Row],[Res Adj ]],-2)</f>
        <v>303600</v>
      </c>
      <c r="BM416" s="30">
        <f>ROUND(Inventory[[#This Row],[25Det]]*Inventory[[#This Row],[Det/Nbhd Adj]],-2)</f>
        <v>0</v>
      </c>
      <c r="BN416" s="30">
        <f>Inventory[[#This Row],[Adjusted Res]]+Inventory[[#This Row],[Adj Det ]]</f>
        <v>303600</v>
      </c>
      <c r="BO416" s="30">
        <f>ROUND((Inventory[[#This Row],[Mdl Land Intercept]]+Inventory[[#This Row],[Mdl LnAcres]])*Inventory[[#This Row],[Det/Nbhd Adj]],-2)</f>
        <v>61100</v>
      </c>
      <c r="BP416" s="30">
        <f>Inventory[[#This Row],[Adjusted Impr Total]]+Inventory[[#This Row],[Adjusted Land Total]]</f>
        <v>364700</v>
      </c>
      <c r="BQ416" s="30">
        <f>IFERROR((Inventory[[#This Row],[Adjusted Impr Total]]-Inventory[[#This Row],[24Bldg]])/Inventory[[#This Row],[24Bldg]],0)</f>
        <v>-2.1907216494845359E-2</v>
      </c>
      <c r="BR416" s="43">
        <f>(Inventory[[#This Row],[Adjusted Land Total]]-Inventory[[#This Row],[24Lnd]])/Inventory[[#This Row],[24Lnd]]</f>
        <v>4.9342105263157892E-3</v>
      </c>
      <c r="BS416" s="43">
        <f>(Inventory[[#This Row],[Adjusted Total]]-Inventory[[#This Row],[24Final]])/Inventory[[#This Row],[24Final]]</f>
        <v>-1.7510775862068964E-2</v>
      </c>
    </row>
    <row r="417" spans="1:71">
      <c r="A417" s="30">
        <v>2025</v>
      </c>
      <c r="B417" s="31" t="s">
        <v>931</v>
      </c>
      <c r="C417" s="31">
        <f>LN(Inventory[[#This Row],[Acres]])</f>
        <v>-1.8325814637483102</v>
      </c>
      <c r="D417" s="30">
        <v>0.16</v>
      </c>
      <c r="E417" s="30">
        <v>7181</v>
      </c>
      <c r="F417" s="31" t="s">
        <v>505</v>
      </c>
      <c r="G417" s="31" t="s">
        <v>155</v>
      </c>
      <c r="H417" s="31" t="s">
        <v>5</v>
      </c>
      <c r="I417" s="31" t="s">
        <v>506</v>
      </c>
      <c r="J417" s="31" t="s">
        <v>507</v>
      </c>
      <c r="K417" s="31" t="s">
        <v>330</v>
      </c>
      <c r="L417" s="31" t="s">
        <v>19</v>
      </c>
      <c r="M417" s="31" t="s">
        <v>22</v>
      </c>
      <c r="N417" s="31">
        <v>10</v>
      </c>
      <c r="O417" s="31">
        <f>2024-Inventory[[#This Row],[YrBlt]]</f>
        <v>14</v>
      </c>
      <c r="P417" s="31">
        <f>2024-Inventory[[#This Row],[EffYr]]</f>
        <v>14</v>
      </c>
      <c r="Q417" s="30">
        <v>2010</v>
      </c>
      <c r="R417" s="30">
        <v>2010</v>
      </c>
      <c r="S417" s="30">
        <v>1380</v>
      </c>
      <c r="T417" s="32"/>
      <c r="U417" s="32"/>
      <c r="V417" s="32"/>
      <c r="W417" s="32"/>
      <c r="X417" s="32">
        <f>Inventory[[#This Row],[Bsmt Area]]-Inventory[[#This Row],[FnBsmt]]</f>
        <v>0</v>
      </c>
      <c r="Y417" s="32">
        <f>Inventory[[#This Row],[MainFn]]+Inventory[[#This Row],[UpprFn]]+Inventory[[#This Row],[AddFn]]+Inventory[[#This Row],[FnBsmt]]</f>
        <v>1380</v>
      </c>
      <c r="Z417" s="32">
        <v>1500</v>
      </c>
      <c r="AA417" s="31" t="s">
        <v>56</v>
      </c>
      <c r="AB417" s="32"/>
      <c r="AC417" s="30">
        <v>428</v>
      </c>
      <c r="AD417" s="32"/>
      <c r="AE417" s="32"/>
      <c r="AF417" s="32"/>
      <c r="AG417" s="32"/>
      <c r="AH417" s="32"/>
      <c r="AI417" s="30">
        <v>276046</v>
      </c>
      <c r="AJ417" s="30">
        <v>259483</v>
      </c>
      <c r="AK417" s="30">
        <v>0</v>
      </c>
      <c r="AL417" s="30">
        <v>0</v>
      </c>
      <c r="AM417" s="30">
        <v>60800</v>
      </c>
      <c r="AN417" s="30">
        <v>310400</v>
      </c>
      <c r="AO417" s="30">
        <v>371200</v>
      </c>
      <c r="AP417" s="30">
        <f>Lookups!$B$58*0.6</f>
        <v>132535.48800000001</v>
      </c>
      <c r="AQ417" s="30">
        <f>Lookups!$B$58*0.4</f>
        <v>88356.992000000013</v>
      </c>
      <c r="AR417" s="30">
        <f>Lookups!$B$59*Inventory[[#This Row],[LnAcres]]</f>
        <v>-24051.387388882686</v>
      </c>
      <c r="AS417" s="30">
        <f>VLOOKUP(Inventory[[#This Row],[Qlty]],Lookups!$A$66:$E$79,2,FALSE)</f>
        <v>37154.252388000001</v>
      </c>
      <c r="AT417" s="30">
        <f>VLOOKUP(Inventory[[#This Row],[Cnd]],Lookups!$A$80:$E$88,2,FALSE)</f>
        <v>50438.379078999998</v>
      </c>
      <c r="AU417" s="30">
        <f>Inventory[[#This Row],[EffAge]]*Lookups!$B$65</f>
        <v>-1522.3754000000001</v>
      </c>
      <c r="AV417" s="30">
        <f>Inventory[[#This Row],[MainFn]]*Lookups!$B$90</f>
        <v>86126.324399999998</v>
      </c>
      <c r="AW417" s="30">
        <f>Inventory[[#This Row],[UpprFn]]*Lookups!$B$91</f>
        <v>0</v>
      </c>
      <c r="AX417" s="30">
        <f>Inventory[[#This Row],[Bsmt Area]]*Lookups!$B$95</f>
        <v>0</v>
      </c>
      <c r="AY417" s="30">
        <f>Inventory[[#This Row],[AttGar]]*Lookups!$B$93</f>
        <v>15108.841268</v>
      </c>
      <c r="AZ417" s="30">
        <f>ROUND(Inventory[[#This Row],[25Det]],-2)</f>
        <v>0</v>
      </c>
      <c r="BA417" s="30">
        <f>ROUND(SUM(Inventory[[#This Row],[Mdl Qlty]:[Mdl Garage Area]])+Inventory[[#This Row],[Mdl Res Intercept]],-2)</f>
        <v>319800</v>
      </c>
      <c r="BB417" s="30">
        <f>ROUND(Inventory[[#This Row],[Mdl Land Intercept]]+Inventory[[#This Row],[Mdl LnAcres]],-2)</f>
        <v>64300</v>
      </c>
      <c r="BC417" s="30">
        <f>Inventory[[#This Row],[Unadj Res Value]]+Inventory[[#This Row],[Unadj Det Value]]+Inventory[[#This Row],[Unadj Land Value]]</f>
        <v>384100</v>
      </c>
      <c r="BD417" s="30">
        <f>(Inventory[[#This Row],[Unadj Total Value]]-Inventory[[#This Row],[24Final]])/Inventory[[#This Row],[24Final]]</f>
        <v>3.4752155172413791E-2</v>
      </c>
      <c r="BE417" s="30">
        <f>VLOOKUP(Inventory[[#This Row],[Nbhd]],Lookups!$M$3:$P$5,4,FALSE)</f>
        <v>0.99970000000000003</v>
      </c>
      <c r="BF417" s="30">
        <f>VLOOKUP(Inventory[[#This Row],[Qlty]],Lookups!$M$8:$P$22,4,FALSE)</f>
        <v>0.99819999999999998</v>
      </c>
      <c r="BG417" s="30">
        <f>VLOOKUP(Inventory[[#This Row],[Cnd]],Lookups!$R$8:$U$17,4,FALSE)</f>
        <v>1.0007999999999999</v>
      </c>
      <c r="BH417" s="30">
        <f>VLOOKUP(Inventory[[#This Row],[LivArea Range]],Lookups!$R$25:$U$43,4,FALSE)</f>
        <v>0.99519999999999997</v>
      </c>
      <c r="BI417" s="30">
        <f>VLOOKUP(Inventory[[#This Row],[Decade]],Lookups!$M$24:$P$40,4,FALSE)</f>
        <v>1.0024</v>
      </c>
      <c r="BJ417" s="30">
        <f>Inventory[[#This Row],[Nbhd Adj]]*0.95</f>
        <v>0.94971499999999998</v>
      </c>
      <c r="BK417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417" s="30">
        <f>ROUND((SUM(Inventory[[#This Row],[Mdl Qlty]:[Mdl Garage Area]])+Inventory[[#This Row],[Mdl Res Intercept]])*Inventory[[#This Row],[Res Adj ]],-2)</f>
        <v>303600</v>
      </c>
      <c r="BM417" s="30">
        <f>ROUND(Inventory[[#This Row],[25Det]]*Inventory[[#This Row],[Det/Nbhd Adj]],-2)</f>
        <v>0</v>
      </c>
      <c r="BN417" s="30">
        <f>Inventory[[#This Row],[Adjusted Res]]+Inventory[[#This Row],[Adj Det ]]</f>
        <v>303600</v>
      </c>
      <c r="BO417" s="30">
        <f>ROUND((Inventory[[#This Row],[Mdl Land Intercept]]+Inventory[[#This Row],[Mdl LnAcres]])*Inventory[[#This Row],[Det/Nbhd Adj]],-2)</f>
        <v>61100</v>
      </c>
      <c r="BP417" s="30">
        <f>Inventory[[#This Row],[Adjusted Impr Total]]+Inventory[[#This Row],[Adjusted Land Total]]</f>
        <v>364700</v>
      </c>
      <c r="BQ417" s="30">
        <f>IFERROR((Inventory[[#This Row],[Adjusted Impr Total]]-Inventory[[#This Row],[24Bldg]])/Inventory[[#This Row],[24Bldg]],0)</f>
        <v>-2.1907216494845359E-2</v>
      </c>
      <c r="BR417" s="43">
        <f>(Inventory[[#This Row],[Adjusted Land Total]]-Inventory[[#This Row],[24Lnd]])/Inventory[[#This Row],[24Lnd]]</f>
        <v>4.9342105263157892E-3</v>
      </c>
      <c r="BS417" s="43">
        <f>(Inventory[[#This Row],[Adjusted Total]]-Inventory[[#This Row],[24Final]])/Inventory[[#This Row],[24Final]]</f>
        <v>-1.7510775862068964E-2</v>
      </c>
    </row>
    <row r="418" spans="1:71">
      <c r="A418" s="30">
        <v>2025</v>
      </c>
      <c r="B418" s="31" t="s">
        <v>932</v>
      </c>
      <c r="C418" s="31">
        <f>LN(Inventory[[#This Row],[Acres]])</f>
        <v>-1.8325814637483102</v>
      </c>
      <c r="D418" s="30">
        <v>0.16</v>
      </c>
      <c r="E418" s="30">
        <v>6781</v>
      </c>
      <c r="F418" s="31" t="s">
        <v>505</v>
      </c>
      <c r="G418" s="31" t="s">
        <v>155</v>
      </c>
      <c r="H418" s="31" t="s">
        <v>5</v>
      </c>
      <c r="I418" s="31" t="s">
        <v>506</v>
      </c>
      <c r="J418" s="31" t="s">
        <v>507</v>
      </c>
      <c r="K418" s="31" t="s">
        <v>157</v>
      </c>
      <c r="L418" s="31" t="s">
        <v>21</v>
      </c>
      <c r="M418" s="31" t="s">
        <v>22</v>
      </c>
      <c r="N418" s="31">
        <v>10</v>
      </c>
      <c r="O418" s="31">
        <f>2024-Inventory[[#This Row],[YrBlt]]</f>
        <v>14</v>
      </c>
      <c r="P418" s="31">
        <f>2024-Inventory[[#This Row],[EffYr]]</f>
        <v>14</v>
      </c>
      <c r="Q418" s="30">
        <v>2010</v>
      </c>
      <c r="R418" s="30">
        <v>2010</v>
      </c>
      <c r="S418" s="30">
        <v>1116</v>
      </c>
      <c r="T418" s="38">
        <v>1116</v>
      </c>
      <c r="U418" s="32"/>
      <c r="V418" s="32"/>
      <c r="W418" s="32"/>
      <c r="X418" s="32">
        <f>Inventory[[#This Row],[Bsmt Area]]-Inventory[[#This Row],[FnBsmt]]</f>
        <v>0</v>
      </c>
      <c r="Y418" s="32">
        <f>Inventory[[#This Row],[MainFn]]+Inventory[[#This Row],[UpprFn]]+Inventory[[#This Row],[AddFn]]+Inventory[[#This Row],[FnBsmt]]</f>
        <v>2232</v>
      </c>
      <c r="Z418" s="32">
        <v>2500</v>
      </c>
      <c r="AA418" s="31" t="s">
        <v>56</v>
      </c>
      <c r="AB418" s="37"/>
      <c r="AC418" s="30">
        <v>440</v>
      </c>
      <c r="AD418" s="32"/>
      <c r="AE418" s="32"/>
      <c r="AF418" s="32"/>
      <c r="AG418" s="32"/>
      <c r="AH418" s="32"/>
      <c r="AI418" s="30">
        <v>439887</v>
      </c>
      <c r="AJ418" s="30">
        <v>413494</v>
      </c>
      <c r="AK418" s="30">
        <v>0</v>
      </c>
      <c r="AL418" s="30">
        <v>0</v>
      </c>
      <c r="AM418" s="30">
        <v>60800</v>
      </c>
      <c r="AN418" s="30">
        <v>354500</v>
      </c>
      <c r="AO418" s="30">
        <v>415300</v>
      </c>
      <c r="AP418" s="30">
        <f>Lookups!$B$58*0.6</f>
        <v>132535.48800000001</v>
      </c>
      <c r="AQ418" s="30">
        <f>Lookups!$B$58*0.4</f>
        <v>88356.992000000013</v>
      </c>
      <c r="AR418" s="30">
        <f>Lookups!$B$59*Inventory[[#This Row],[LnAcres]]</f>
        <v>-24051.387388882686</v>
      </c>
      <c r="AS418" s="30">
        <f>VLOOKUP(Inventory[[#This Row],[Qlty]],Lookups!$A$66:$E$79,2,FALSE)</f>
        <v>32917.849192000001</v>
      </c>
      <c r="AT418" s="30">
        <f>VLOOKUP(Inventory[[#This Row],[Cnd]],Lookups!$A$80:$E$88,2,FALSE)</f>
        <v>50438.379078999998</v>
      </c>
      <c r="AU418" s="30">
        <f>Inventory[[#This Row],[EffAge]]*Lookups!$B$65</f>
        <v>-1522.3754000000001</v>
      </c>
      <c r="AV418" s="30">
        <f>Inventory[[#This Row],[MainFn]]*Lookups!$B$90</f>
        <v>69649.984080000009</v>
      </c>
      <c r="AW418" s="30">
        <f>Inventory[[#This Row],[UpprFn]]*Lookups!$B$91</f>
        <v>66491.707427999994</v>
      </c>
      <c r="AX418" s="30">
        <f>Inventory[[#This Row],[Bsmt Area]]*Lookups!$B$95</f>
        <v>0</v>
      </c>
      <c r="AY418" s="30">
        <f>Inventory[[#This Row],[AttGar]]*Lookups!$B$93</f>
        <v>15532.453640000002</v>
      </c>
      <c r="AZ418" s="30">
        <f>ROUND(Inventory[[#This Row],[25Det]],-2)</f>
        <v>0</v>
      </c>
      <c r="BA418" s="30">
        <f>ROUND(SUM(Inventory[[#This Row],[Mdl Qlty]:[Mdl Garage Area]])+Inventory[[#This Row],[Mdl Res Intercept]],-2)</f>
        <v>366000</v>
      </c>
      <c r="BB418" s="30">
        <f>ROUND(Inventory[[#This Row],[Mdl Land Intercept]]+Inventory[[#This Row],[Mdl LnAcres]],-2)</f>
        <v>64300</v>
      </c>
      <c r="BC418" s="30">
        <f>Inventory[[#This Row],[Unadj Res Value]]+Inventory[[#This Row],[Unadj Det Value]]+Inventory[[#This Row],[Unadj Land Value]]</f>
        <v>430300</v>
      </c>
      <c r="BD418" s="30">
        <f>(Inventory[[#This Row],[Unadj Total Value]]-Inventory[[#This Row],[24Final]])/Inventory[[#This Row],[24Final]]</f>
        <v>3.6118468576932336E-2</v>
      </c>
      <c r="BE418" s="30">
        <f>VLOOKUP(Inventory[[#This Row],[Nbhd]],Lookups!$M$3:$P$5,4,FALSE)</f>
        <v>0.99970000000000003</v>
      </c>
      <c r="BF418" s="30">
        <f>VLOOKUP(Inventory[[#This Row],[Qlty]],Lookups!$M$8:$P$22,4,FALSE)</f>
        <v>1.0019</v>
      </c>
      <c r="BG418" s="30">
        <f>VLOOKUP(Inventory[[#This Row],[Cnd]],Lookups!$R$8:$U$17,4,FALSE)</f>
        <v>1.0007999999999999</v>
      </c>
      <c r="BH418" s="30">
        <f>VLOOKUP(Inventory[[#This Row],[LivArea Range]],Lookups!$R$25:$U$43,4,FALSE)</f>
        <v>1.0008999999999999</v>
      </c>
      <c r="BI418" s="30">
        <f>VLOOKUP(Inventory[[#This Row],[Decade]],Lookups!$M$24:$P$40,4,FALSE)</f>
        <v>1.0024</v>
      </c>
      <c r="BJ418" s="30">
        <f>Inventory[[#This Row],[Nbhd Adj]]*0.95</f>
        <v>0.94971499999999998</v>
      </c>
      <c r="BK418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418" s="30">
        <f>ROUND((SUM(Inventory[[#This Row],[Mdl Qlty]:[Mdl Garage Area]])+Inventory[[#This Row],[Mdl Res Intercept]])*Inventory[[#This Row],[Res Adj ]],-2)</f>
        <v>348100</v>
      </c>
      <c r="BM418" s="30">
        <f>ROUND(Inventory[[#This Row],[25Det]]*Inventory[[#This Row],[Det/Nbhd Adj]],-2)</f>
        <v>0</v>
      </c>
      <c r="BN418" s="30">
        <f>Inventory[[#This Row],[Adjusted Res]]+Inventory[[#This Row],[Adj Det ]]</f>
        <v>348100</v>
      </c>
      <c r="BO418" s="30">
        <f>ROUND((Inventory[[#This Row],[Mdl Land Intercept]]+Inventory[[#This Row],[Mdl LnAcres]])*Inventory[[#This Row],[Det/Nbhd Adj]],-2)</f>
        <v>61100</v>
      </c>
      <c r="BP418" s="30">
        <f>Inventory[[#This Row],[Adjusted Impr Total]]+Inventory[[#This Row],[Adjusted Land Total]]</f>
        <v>409200</v>
      </c>
      <c r="BQ418" s="30">
        <f>IFERROR((Inventory[[#This Row],[Adjusted Impr Total]]-Inventory[[#This Row],[24Bldg]])/Inventory[[#This Row],[24Bldg]],0)</f>
        <v>-1.8053596614950634E-2</v>
      </c>
      <c r="BR418" s="43">
        <f>(Inventory[[#This Row],[Adjusted Land Total]]-Inventory[[#This Row],[24Lnd]])/Inventory[[#This Row],[24Lnd]]</f>
        <v>4.9342105263157892E-3</v>
      </c>
      <c r="BS418" s="43">
        <f>(Inventory[[#This Row],[Adjusted Total]]-Inventory[[#This Row],[24Final]])/Inventory[[#This Row],[24Final]]</f>
        <v>-1.4688177221285818E-2</v>
      </c>
    </row>
    <row r="419" spans="1:71">
      <c r="A419" s="30">
        <v>2025</v>
      </c>
      <c r="B419" s="31" t="s">
        <v>933</v>
      </c>
      <c r="C419" s="31">
        <f>LN(Inventory[[#This Row],[Acres]])</f>
        <v>-1.8325814637483102</v>
      </c>
      <c r="D419" s="30">
        <v>0.16</v>
      </c>
      <c r="E419" s="30">
        <v>7181</v>
      </c>
      <c r="F419" s="31" t="s">
        <v>505</v>
      </c>
      <c r="G419" s="31" t="s">
        <v>155</v>
      </c>
      <c r="H419" s="31" t="s">
        <v>5</v>
      </c>
      <c r="I419" s="31" t="s">
        <v>506</v>
      </c>
      <c r="J419" s="31" t="s">
        <v>507</v>
      </c>
      <c r="K419" s="31" t="s">
        <v>193</v>
      </c>
      <c r="L419" s="31" t="s">
        <v>19</v>
      </c>
      <c r="M419" s="31" t="s">
        <v>22</v>
      </c>
      <c r="N419" s="31">
        <v>10</v>
      </c>
      <c r="O419" s="31">
        <f>2024-Inventory[[#This Row],[YrBlt]]</f>
        <v>14</v>
      </c>
      <c r="P419" s="31">
        <f>2024-Inventory[[#This Row],[EffYr]]</f>
        <v>14</v>
      </c>
      <c r="Q419" s="30">
        <v>2010</v>
      </c>
      <c r="R419" s="30">
        <v>2010</v>
      </c>
      <c r="S419" s="30">
        <v>1737</v>
      </c>
      <c r="T419" s="37"/>
      <c r="U419" s="32"/>
      <c r="V419" s="32"/>
      <c r="W419" s="32"/>
      <c r="X419" s="32">
        <f>Inventory[[#This Row],[Bsmt Area]]-Inventory[[#This Row],[FnBsmt]]</f>
        <v>0</v>
      </c>
      <c r="Y419" s="32">
        <f>Inventory[[#This Row],[MainFn]]+Inventory[[#This Row],[UpprFn]]+Inventory[[#This Row],[AddFn]]+Inventory[[#This Row],[FnBsmt]]</f>
        <v>1737</v>
      </c>
      <c r="Z419" s="32">
        <v>2000</v>
      </c>
      <c r="AA419" s="31" t="s">
        <v>56</v>
      </c>
      <c r="AB419" s="37"/>
      <c r="AC419" s="30">
        <v>435</v>
      </c>
      <c r="AD419" s="32"/>
      <c r="AE419" s="32"/>
      <c r="AF419" s="32"/>
      <c r="AG419" s="32"/>
      <c r="AH419" s="32"/>
      <c r="AI419" s="30">
        <v>332450</v>
      </c>
      <c r="AJ419" s="30">
        <v>312503</v>
      </c>
      <c r="AK419" s="30">
        <v>0</v>
      </c>
      <c r="AL419" s="30">
        <v>0</v>
      </c>
      <c r="AM419" s="30">
        <v>60800</v>
      </c>
      <c r="AN419" s="30">
        <v>330000</v>
      </c>
      <c r="AO419" s="30">
        <v>390800</v>
      </c>
      <c r="AP419" s="30">
        <f>Lookups!$B$58*0.6</f>
        <v>132535.48800000001</v>
      </c>
      <c r="AQ419" s="30">
        <f>Lookups!$B$58*0.4</f>
        <v>88356.992000000013</v>
      </c>
      <c r="AR419" s="30">
        <f>Lookups!$B$59*Inventory[[#This Row],[LnAcres]]</f>
        <v>-24051.387388882686</v>
      </c>
      <c r="AS419" s="30">
        <f>VLOOKUP(Inventory[[#This Row],[Qlty]],Lookups!$A$66:$E$79,2,FALSE)</f>
        <v>37154.252388000001</v>
      </c>
      <c r="AT419" s="30">
        <f>VLOOKUP(Inventory[[#This Row],[Cnd]],Lookups!$A$80:$E$88,2,FALSE)</f>
        <v>50438.379078999998</v>
      </c>
      <c r="AU419" s="30">
        <f>Inventory[[#This Row],[EffAge]]*Lookups!$B$65</f>
        <v>-1522.3754000000001</v>
      </c>
      <c r="AV419" s="30">
        <f>Inventory[[#This Row],[MainFn]]*Lookups!$B$90</f>
        <v>108406.83006000001</v>
      </c>
      <c r="AW419" s="30">
        <f>Inventory[[#This Row],[UpprFn]]*Lookups!$B$91</f>
        <v>0</v>
      </c>
      <c r="AX419" s="30">
        <f>Inventory[[#This Row],[Bsmt Area]]*Lookups!$B$95</f>
        <v>0</v>
      </c>
      <c r="AY419" s="30">
        <f>Inventory[[#This Row],[AttGar]]*Lookups!$B$93</f>
        <v>15355.948485000001</v>
      </c>
      <c r="AZ419" s="30">
        <f>ROUND(Inventory[[#This Row],[25Det]],-2)</f>
        <v>0</v>
      </c>
      <c r="BA419" s="30">
        <f>ROUND(SUM(Inventory[[#This Row],[Mdl Qlty]:[Mdl Garage Area]])+Inventory[[#This Row],[Mdl Res Intercept]],-2)</f>
        <v>342400</v>
      </c>
      <c r="BB419" s="30">
        <f>ROUND(Inventory[[#This Row],[Mdl Land Intercept]]+Inventory[[#This Row],[Mdl LnAcres]],-2)</f>
        <v>64300</v>
      </c>
      <c r="BC419" s="30">
        <f>Inventory[[#This Row],[Unadj Res Value]]+Inventory[[#This Row],[Unadj Det Value]]+Inventory[[#This Row],[Unadj Land Value]]</f>
        <v>406700</v>
      </c>
      <c r="BD419" s="30">
        <f>(Inventory[[#This Row],[Unadj Total Value]]-Inventory[[#This Row],[24Final]])/Inventory[[#This Row],[24Final]]</f>
        <v>4.0685772773797341E-2</v>
      </c>
      <c r="BE419" s="30">
        <f>VLOOKUP(Inventory[[#This Row],[Nbhd]],Lookups!$M$3:$P$5,4,FALSE)</f>
        <v>0.99970000000000003</v>
      </c>
      <c r="BF419" s="30">
        <f>VLOOKUP(Inventory[[#This Row],[Qlty]],Lookups!$M$8:$P$22,4,FALSE)</f>
        <v>0.99819999999999998</v>
      </c>
      <c r="BG419" s="30">
        <f>VLOOKUP(Inventory[[#This Row],[Cnd]],Lookups!$R$8:$U$17,4,FALSE)</f>
        <v>1.0007999999999999</v>
      </c>
      <c r="BH419" s="30">
        <f>VLOOKUP(Inventory[[#This Row],[LivArea Range]],Lookups!$R$25:$U$43,4,FALSE)</f>
        <v>1.0007999999999999</v>
      </c>
      <c r="BI419" s="30">
        <f>VLOOKUP(Inventory[[#This Row],[Decade]],Lookups!$M$24:$P$40,4,FALSE)</f>
        <v>1.0024</v>
      </c>
      <c r="BJ419" s="30">
        <f>Inventory[[#This Row],[Nbhd Adj]]*0.95</f>
        <v>0.94971499999999998</v>
      </c>
      <c r="BK419" s="30">
        <f>AVERAGE(Inventory[[#This Row],[Nbhd Adj]],Inventory[[#This Row],[Quality Adj]],Inventory[[#This Row],[Condition Adj]],Inventory[[#This Row],[Living Area Adj]],Inventory[[#This Row],[Decade Adj]])*0.95</f>
        <v>0.95036100000000001</v>
      </c>
      <c r="BL419" s="30">
        <f>ROUND((SUM(Inventory[[#This Row],[Mdl Qlty]:[Mdl Garage Area]])+Inventory[[#This Row],[Mdl Res Intercept]])*Inventory[[#This Row],[Res Adj ]],-2)</f>
        <v>325400</v>
      </c>
      <c r="BM419" s="30">
        <f>ROUND(Inventory[[#This Row],[25Det]]*Inventory[[#This Row],[Det/Nbhd Adj]],-2)</f>
        <v>0</v>
      </c>
      <c r="BN419" s="30">
        <f>Inventory[[#This Row],[Adjusted Res]]+Inventory[[#This Row],[Adj Det ]]</f>
        <v>325400</v>
      </c>
      <c r="BO419" s="30">
        <f>ROUND((Inventory[[#This Row],[Mdl Land Intercept]]+Inventory[[#This Row],[Mdl LnAcres]])*Inventory[[#This Row],[Det/Nbhd Adj]],-2)</f>
        <v>61100</v>
      </c>
      <c r="BP419" s="30">
        <f>Inventory[[#This Row],[Adjusted Impr Total]]+Inventory[[#This Row],[Adjusted Land Total]]</f>
        <v>386500</v>
      </c>
      <c r="BQ419" s="30">
        <f>IFERROR((Inventory[[#This Row],[Adjusted Impr Total]]-Inventory[[#This Row],[24Bldg]])/Inventory[[#This Row],[24Bldg]],0)</f>
        <v>-1.3939393939393939E-2</v>
      </c>
      <c r="BR419" s="43">
        <f>(Inventory[[#This Row],[Adjusted Land Total]]-Inventory[[#This Row],[24Lnd]])/Inventory[[#This Row],[24Lnd]]</f>
        <v>4.9342105263157892E-3</v>
      </c>
      <c r="BS419" s="43">
        <f>(Inventory[[#This Row],[Adjusted Total]]-Inventory[[#This Row],[24Final]])/Inventory[[#This Row],[24Final]]</f>
        <v>-1.1003070624360286E-2</v>
      </c>
    </row>
    <row r="420" spans="1:71">
      <c r="A420" s="30">
        <v>2025</v>
      </c>
      <c r="B420" s="31" t="s">
        <v>934</v>
      </c>
      <c r="C420" s="31">
        <f>LN(Inventory[[#This Row],[Acres]])</f>
        <v>-1.7719568419318752</v>
      </c>
      <c r="D420" s="30">
        <v>0.17</v>
      </c>
      <c r="E420" s="30">
        <v>7547</v>
      </c>
      <c r="F420" s="31" t="s">
        <v>505</v>
      </c>
      <c r="G420" s="31" t="s">
        <v>155</v>
      </c>
      <c r="H420" s="31" t="s">
        <v>5</v>
      </c>
      <c r="I420" s="31" t="s">
        <v>506</v>
      </c>
      <c r="J420" s="31" t="s">
        <v>507</v>
      </c>
      <c r="K420" s="31" t="s">
        <v>157</v>
      </c>
      <c r="L420" s="31" t="s">
        <v>21</v>
      </c>
      <c r="M420" s="31" t="s">
        <v>22</v>
      </c>
      <c r="N420" s="31">
        <v>10</v>
      </c>
      <c r="O420" s="31">
        <f>2024-Inventory[[#This Row],[YrBlt]]</f>
        <v>14</v>
      </c>
      <c r="P420" s="31">
        <f>2024-Inventory[[#This Row],[EffYr]]</f>
        <v>14</v>
      </c>
      <c r="Q420" s="30">
        <v>2010</v>
      </c>
      <c r="R420" s="30">
        <v>2010</v>
      </c>
      <c r="S420" s="30">
        <v>1116</v>
      </c>
      <c r="T420" s="30">
        <v>1116</v>
      </c>
      <c r="U420" s="32"/>
      <c r="V420" s="32"/>
      <c r="W420" s="32"/>
      <c r="X420" s="32">
        <f>Inventory[[#This Row],[Bsmt Area]]-Inventory[[#This Row],[FnBsmt]]</f>
        <v>0</v>
      </c>
      <c r="Y420" s="32">
        <f>Inventory[[#This Row],[MainFn]]+Inventory[[#This Row],[UpprFn]]+Inventory[[#This Row],[AddFn]]+Inventory[[#This Row],[FnBsmt]]</f>
        <v>2232</v>
      </c>
      <c r="Z420" s="32">
        <v>2500</v>
      </c>
      <c r="AA420" s="31" t="s">
        <v>57</v>
      </c>
      <c r="AB420" s="32"/>
      <c r="AC420" s="30">
        <v>440</v>
      </c>
      <c r="AD420" s="32"/>
      <c r="AE420" s="32"/>
      <c r="AF420" s="32"/>
      <c r="AG420" s="32"/>
      <c r="AH420" s="32"/>
      <c r="AI420" s="30">
        <v>457542</v>
      </c>
      <c r="AJ420" s="30">
        <v>430089</v>
      </c>
      <c r="AK420" s="30">
        <v>0</v>
      </c>
      <c r="AL420" s="30">
        <v>0</v>
      </c>
      <c r="AM420" s="30">
        <v>61700</v>
      </c>
      <c r="AN420" s="30">
        <v>354500</v>
      </c>
      <c r="AO420" s="30">
        <v>416200</v>
      </c>
      <c r="AP420" s="30">
        <f>Lookups!$B$58*0.6</f>
        <v>132535.48800000001</v>
      </c>
      <c r="AQ420" s="30">
        <f>Lookups!$B$58*0.4</f>
        <v>88356.992000000013</v>
      </c>
      <c r="AR420" s="30">
        <f>Lookups!$B$59*Inventory[[#This Row],[LnAcres]]</f>
        <v>-23255.730391660189</v>
      </c>
      <c r="AS420" s="30">
        <f>VLOOKUP(Inventory[[#This Row],[Qlty]],Lookups!$A$66:$E$79,2,FALSE)</f>
        <v>32917.849192000001</v>
      </c>
      <c r="AT420" s="30">
        <f>VLOOKUP(Inventory[[#This Row],[Cnd]],Lookups!$A$80:$E$88,2,FALSE)</f>
        <v>50438.379078999998</v>
      </c>
      <c r="AU420" s="30">
        <f>Inventory[[#This Row],[EffAge]]*Lookups!$B$65</f>
        <v>-1522.3754000000001</v>
      </c>
      <c r="AV420" s="30">
        <f>Inventory[[#This Row],[MainFn]]*Lookups!$B$90</f>
        <v>69649.984080000009</v>
      </c>
      <c r="AW420" s="30">
        <f>Inventory[[#This Row],[UpprFn]]*Lookups!$B$91</f>
        <v>66491.707427999994</v>
      </c>
      <c r="AX420" s="30">
        <f>Inventory[[#This Row],[Bsmt Area]]*Lookups!$B$95</f>
        <v>0</v>
      </c>
      <c r="AY420" s="30">
        <f>Inventory[[#This Row],[AttGar]]*Lookups!$B$93</f>
        <v>15532.453640000002</v>
      </c>
      <c r="AZ420" s="30">
        <f>ROUND(Inventory[[#This Row],[25Det]],-2)</f>
        <v>0</v>
      </c>
      <c r="BA420" s="30">
        <f>ROUND(SUM(Inventory[[#This Row],[Mdl Qlty]:[Mdl Garage Area]])+Inventory[[#This Row],[Mdl Res Intercept]],-2)</f>
        <v>366000</v>
      </c>
      <c r="BB420" s="30">
        <f>ROUND(Inventory[[#This Row],[Mdl Land Intercept]]+Inventory[[#This Row],[Mdl LnAcres]],-2)</f>
        <v>65100</v>
      </c>
      <c r="BC420" s="30">
        <f>Inventory[[#This Row],[Unadj Res Value]]+Inventory[[#This Row],[Unadj Det Value]]+Inventory[[#This Row],[Unadj Land Value]]</f>
        <v>431100</v>
      </c>
      <c r="BD420" s="30">
        <f>(Inventory[[#This Row],[Unadj Total Value]]-Inventory[[#This Row],[24Final]])/Inventory[[#This Row],[24Final]]</f>
        <v>3.580009610764056E-2</v>
      </c>
      <c r="BE420" s="30">
        <f>VLOOKUP(Inventory[[#This Row],[Nbhd]],Lookups!$M$3:$P$5,4,FALSE)</f>
        <v>0.99970000000000003</v>
      </c>
      <c r="BF420" s="30">
        <f>VLOOKUP(Inventory[[#This Row],[Qlty]],Lookups!$M$8:$P$22,4,FALSE)</f>
        <v>1.0019</v>
      </c>
      <c r="BG420" s="30">
        <f>VLOOKUP(Inventory[[#This Row],[Cnd]],Lookups!$R$8:$U$17,4,FALSE)</f>
        <v>1.0007999999999999</v>
      </c>
      <c r="BH420" s="30">
        <f>VLOOKUP(Inventory[[#This Row],[LivArea Range]],Lookups!$R$25:$U$43,4,FALSE)</f>
        <v>1.0008999999999999</v>
      </c>
      <c r="BI420" s="30">
        <f>VLOOKUP(Inventory[[#This Row],[Decade]],Lookups!$M$24:$P$40,4,FALSE)</f>
        <v>1.0024</v>
      </c>
      <c r="BJ420" s="30">
        <f>Inventory[[#This Row],[Nbhd Adj]]*0.95</f>
        <v>0.94971499999999998</v>
      </c>
      <c r="BK420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420" s="30">
        <f>ROUND((SUM(Inventory[[#This Row],[Mdl Qlty]:[Mdl Garage Area]])+Inventory[[#This Row],[Mdl Res Intercept]])*Inventory[[#This Row],[Res Adj ]],-2)</f>
        <v>348100</v>
      </c>
      <c r="BM420" s="30">
        <f>ROUND(Inventory[[#This Row],[25Det]]*Inventory[[#This Row],[Det/Nbhd Adj]],-2)</f>
        <v>0</v>
      </c>
      <c r="BN420" s="30">
        <f>Inventory[[#This Row],[Adjusted Res]]+Inventory[[#This Row],[Adj Det ]]</f>
        <v>348100</v>
      </c>
      <c r="BO420" s="30">
        <f>ROUND((Inventory[[#This Row],[Mdl Land Intercept]]+Inventory[[#This Row],[Mdl LnAcres]])*Inventory[[#This Row],[Det/Nbhd Adj]],-2)</f>
        <v>61800</v>
      </c>
      <c r="BP420" s="30">
        <f>Inventory[[#This Row],[Adjusted Impr Total]]+Inventory[[#This Row],[Adjusted Land Total]]</f>
        <v>409900</v>
      </c>
      <c r="BQ420" s="30">
        <f>IFERROR((Inventory[[#This Row],[Adjusted Impr Total]]-Inventory[[#This Row],[24Bldg]])/Inventory[[#This Row],[24Bldg]],0)</f>
        <v>-1.8053596614950634E-2</v>
      </c>
      <c r="BR420" s="43">
        <f>(Inventory[[#This Row],[Adjusted Land Total]]-Inventory[[#This Row],[24Lnd]])/Inventory[[#This Row],[24Lnd]]</f>
        <v>1.6207455429497568E-3</v>
      </c>
      <c r="BS420" s="43">
        <f>(Inventory[[#This Row],[Adjusted Total]]-Inventory[[#This Row],[24Final]])/Inventory[[#This Row],[24Final]]</f>
        <v>-1.513695338779433E-2</v>
      </c>
    </row>
    <row r="421" spans="1:71">
      <c r="A421" s="30">
        <v>2025</v>
      </c>
      <c r="B421" s="31" t="s">
        <v>935</v>
      </c>
      <c r="C421" s="31">
        <f>LN(Inventory[[#This Row],[Acres]])</f>
        <v>-1.7719568419318752</v>
      </c>
      <c r="D421" s="30">
        <v>0.17</v>
      </c>
      <c r="E421" s="30">
        <v>7200</v>
      </c>
      <c r="F421" s="31" t="s">
        <v>505</v>
      </c>
      <c r="G421" s="31" t="s">
        <v>155</v>
      </c>
      <c r="H421" s="31" t="s">
        <v>5</v>
      </c>
      <c r="I421" s="31" t="s">
        <v>506</v>
      </c>
      <c r="J421" s="31" t="s">
        <v>507</v>
      </c>
      <c r="K421" s="31" t="s">
        <v>157</v>
      </c>
      <c r="L421" s="31" t="s">
        <v>21</v>
      </c>
      <c r="M421" s="31" t="s">
        <v>22</v>
      </c>
      <c r="N421" s="31">
        <v>10</v>
      </c>
      <c r="O421" s="31">
        <f>2024-Inventory[[#This Row],[YrBlt]]</f>
        <v>14</v>
      </c>
      <c r="P421" s="31">
        <f>2024-Inventory[[#This Row],[EffYr]]</f>
        <v>14</v>
      </c>
      <c r="Q421" s="30">
        <v>2010</v>
      </c>
      <c r="R421" s="30">
        <v>2010</v>
      </c>
      <c r="S421" s="30">
        <v>1116</v>
      </c>
      <c r="T421" s="38">
        <v>1116</v>
      </c>
      <c r="U421" s="32"/>
      <c r="V421" s="32"/>
      <c r="W421" s="32"/>
      <c r="X421" s="32">
        <f>Inventory[[#This Row],[Bsmt Area]]-Inventory[[#This Row],[FnBsmt]]</f>
        <v>0</v>
      </c>
      <c r="Y421" s="32">
        <f>Inventory[[#This Row],[MainFn]]+Inventory[[#This Row],[UpprFn]]+Inventory[[#This Row],[AddFn]]+Inventory[[#This Row],[FnBsmt]]</f>
        <v>2232</v>
      </c>
      <c r="Z421" s="32">
        <v>2500</v>
      </c>
      <c r="AA421" s="31" t="s">
        <v>56</v>
      </c>
      <c r="AB421" s="37"/>
      <c r="AC421" s="30">
        <v>440</v>
      </c>
      <c r="AD421" s="32"/>
      <c r="AE421" s="32"/>
      <c r="AF421" s="32"/>
      <c r="AG421" s="32"/>
      <c r="AH421" s="32"/>
      <c r="AI421" s="30">
        <v>466762</v>
      </c>
      <c r="AJ421" s="30">
        <v>438756</v>
      </c>
      <c r="AK421" s="30">
        <v>0</v>
      </c>
      <c r="AL421" s="30">
        <v>0</v>
      </c>
      <c r="AM421" s="30">
        <v>61700</v>
      </c>
      <c r="AN421" s="30">
        <v>392400</v>
      </c>
      <c r="AO421" s="30">
        <v>454100</v>
      </c>
      <c r="AP421" s="30">
        <f>Lookups!$B$58*0.6</f>
        <v>132535.48800000001</v>
      </c>
      <c r="AQ421" s="30">
        <f>Lookups!$B$58*0.4</f>
        <v>88356.992000000013</v>
      </c>
      <c r="AR421" s="30">
        <f>Lookups!$B$59*Inventory[[#This Row],[LnAcres]]</f>
        <v>-23255.730391660189</v>
      </c>
      <c r="AS421" s="30">
        <f>VLOOKUP(Inventory[[#This Row],[Qlty]],Lookups!$A$66:$E$79,2,FALSE)</f>
        <v>32917.849192000001</v>
      </c>
      <c r="AT421" s="30">
        <f>VLOOKUP(Inventory[[#This Row],[Cnd]],Lookups!$A$80:$E$88,2,FALSE)</f>
        <v>50438.379078999998</v>
      </c>
      <c r="AU421" s="30">
        <f>Inventory[[#This Row],[EffAge]]*Lookups!$B$65</f>
        <v>-1522.3754000000001</v>
      </c>
      <c r="AV421" s="30">
        <f>Inventory[[#This Row],[MainFn]]*Lookups!$B$90</f>
        <v>69649.984080000009</v>
      </c>
      <c r="AW421" s="30">
        <f>Inventory[[#This Row],[UpprFn]]*Lookups!$B$91</f>
        <v>66491.707427999994</v>
      </c>
      <c r="AX421" s="30">
        <f>Inventory[[#This Row],[Bsmt Area]]*Lookups!$B$95</f>
        <v>0</v>
      </c>
      <c r="AY421" s="30">
        <f>Inventory[[#This Row],[AttGar]]*Lookups!$B$93</f>
        <v>15532.453640000002</v>
      </c>
      <c r="AZ421" s="30">
        <f>ROUND(Inventory[[#This Row],[25Det]],-2)</f>
        <v>0</v>
      </c>
      <c r="BA421" s="30">
        <f>ROUND(SUM(Inventory[[#This Row],[Mdl Qlty]:[Mdl Garage Area]])+Inventory[[#This Row],[Mdl Res Intercept]],-2)</f>
        <v>366000</v>
      </c>
      <c r="BB421" s="30">
        <f>ROUND(Inventory[[#This Row],[Mdl Land Intercept]]+Inventory[[#This Row],[Mdl LnAcres]],-2)</f>
        <v>65100</v>
      </c>
      <c r="BC421" s="30">
        <f>Inventory[[#This Row],[Unadj Res Value]]+Inventory[[#This Row],[Unadj Det Value]]+Inventory[[#This Row],[Unadj Land Value]]</f>
        <v>431100</v>
      </c>
      <c r="BD421" s="30">
        <f>(Inventory[[#This Row],[Unadj Total Value]]-Inventory[[#This Row],[24Final]])/Inventory[[#This Row],[24Final]]</f>
        <v>-5.0649636643911033E-2</v>
      </c>
      <c r="BE421" s="30">
        <f>VLOOKUP(Inventory[[#This Row],[Nbhd]],Lookups!$M$3:$P$5,4,FALSE)</f>
        <v>0.99970000000000003</v>
      </c>
      <c r="BF421" s="30">
        <f>VLOOKUP(Inventory[[#This Row],[Qlty]],Lookups!$M$8:$P$22,4,FALSE)</f>
        <v>1.0019</v>
      </c>
      <c r="BG421" s="30">
        <f>VLOOKUP(Inventory[[#This Row],[Cnd]],Lookups!$R$8:$U$17,4,FALSE)</f>
        <v>1.0007999999999999</v>
      </c>
      <c r="BH421" s="30">
        <f>VLOOKUP(Inventory[[#This Row],[LivArea Range]],Lookups!$R$25:$U$43,4,FALSE)</f>
        <v>1.0008999999999999</v>
      </c>
      <c r="BI421" s="30">
        <f>VLOOKUP(Inventory[[#This Row],[Decade]],Lookups!$M$24:$P$40,4,FALSE)</f>
        <v>1.0024</v>
      </c>
      <c r="BJ421" s="30">
        <f>Inventory[[#This Row],[Nbhd Adj]]*0.95</f>
        <v>0.94971499999999998</v>
      </c>
      <c r="BK421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421" s="30">
        <f>ROUND((SUM(Inventory[[#This Row],[Mdl Qlty]:[Mdl Garage Area]])+Inventory[[#This Row],[Mdl Res Intercept]])*Inventory[[#This Row],[Res Adj ]],-2)</f>
        <v>348100</v>
      </c>
      <c r="BM421" s="30">
        <f>ROUND(Inventory[[#This Row],[25Det]]*Inventory[[#This Row],[Det/Nbhd Adj]],-2)</f>
        <v>0</v>
      </c>
      <c r="BN421" s="30">
        <f>Inventory[[#This Row],[Adjusted Res]]+Inventory[[#This Row],[Adj Det ]]</f>
        <v>348100</v>
      </c>
      <c r="BO421" s="30">
        <f>ROUND((Inventory[[#This Row],[Mdl Land Intercept]]+Inventory[[#This Row],[Mdl LnAcres]])*Inventory[[#This Row],[Det/Nbhd Adj]],-2)</f>
        <v>61800</v>
      </c>
      <c r="BP421" s="30">
        <f>Inventory[[#This Row],[Adjusted Impr Total]]+Inventory[[#This Row],[Adjusted Land Total]]</f>
        <v>409900</v>
      </c>
      <c r="BQ421" s="30">
        <f>IFERROR((Inventory[[#This Row],[Adjusted Impr Total]]-Inventory[[#This Row],[24Bldg]])/Inventory[[#This Row],[24Bldg]],0)</f>
        <v>-0.11289500509683996</v>
      </c>
      <c r="BR421" s="43">
        <f>(Inventory[[#This Row],[Adjusted Land Total]]-Inventory[[#This Row],[24Lnd]])/Inventory[[#This Row],[24Lnd]]</f>
        <v>1.6207455429497568E-3</v>
      </c>
      <c r="BS421" s="43">
        <f>(Inventory[[#This Row],[Adjusted Total]]-Inventory[[#This Row],[24Final]])/Inventory[[#This Row],[24Final]]</f>
        <v>-9.7335388680907284E-2</v>
      </c>
    </row>
    <row r="422" spans="1:71">
      <c r="A422" s="30">
        <v>2025</v>
      </c>
      <c r="B422" s="31" t="s">
        <v>936</v>
      </c>
      <c r="C422" s="31">
        <f>LN(Inventory[[#This Row],[Acres]])</f>
        <v>-1.7719568419318752</v>
      </c>
      <c r="D422" s="30">
        <v>0.17</v>
      </c>
      <c r="E422" s="30">
        <v>7332</v>
      </c>
      <c r="F422" s="31" t="s">
        <v>505</v>
      </c>
      <c r="G422" s="31" t="s">
        <v>155</v>
      </c>
      <c r="H422" s="31" t="s">
        <v>5</v>
      </c>
      <c r="I422" s="31" t="s">
        <v>506</v>
      </c>
      <c r="J422" s="31" t="s">
        <v>507</v>
      </c>
      <c r="K422" s="31" t="s">
        <v>330</v>
      </c>
      <c r="L422" s="31" t="s">
        <v>19</v>
      </c>
      <c r="M422" s="31" t="s">
        <v>22</v>
      </c>
      <c r="N422" s="31">
        <v>10</v>
      </c>
      <c r="O422" s="31">
        <f>2024-Inventory[[#This Row],[YrBlt]]</f>
        <v>14</v>
      </c>
      <c r="P422" s="31">
        <f>2024-Inventory[[#This Row],[EffYr]]</f>
        <v>14</v>
      </c>
      <c r="Q422" s="30">
        <v>2010</v>
      </c>
      <c r="R422" s="30">
        <v>2010</v>
      </c>
      <c r="S422" s="30">
        <v>1024</v>
      </c>
      <c r="T422" s="30">
        <v>1404</v>
      </c>
      <c r="U422" s="32"/>
      <c r="V422" s="32"/>
      <c r="W422" s="32"/>
      <c r="X422" s="32">
        <f>Inventory[[#This Row],[Bsmt Area]]-Inventory[[#This Row],[FnBsmt]]</f>
        <v>0</v>
      </c>
      <c r="Y422" s="32">
        <f>Inventory[[#This Row],[MainFn]]+Inventory[[#This Row],[UpprFn]]+Inventory[[#This Row],[AddFn]]+Inventory[[#This Row],[FnBsmt]]</f>
        <v>2428</v>
      </c>
      <c r="Z422" s="32">
        <v>2500</v>
      </c>
      <c r="AA422" s="31" t="s">
        <v>56</v>
      </c>
      <c r="AB422" s="32"/>
      <c r="AC422" s="32"/>
      <c r="AD422" s="30">
        <v>400</v>
      </c>
      <c r="AE422" s="32"/>
      <c r="AF422" s="32"/>
      <c r="AG422" s="32"/>
      <c r="AH422" s="32"/>
      <c r="AI422" s="30">
        <v>418260</v>
      </c>
      <c r="AJ422" s="30">
        <v>393164</v>
      </c>
      <c r="AK422" s="30">
        <v>0</v>
      </c>
      <c r="AL422" s="30">
        <v>0</v>
      </c>
      <c r="AM422" s="30">
        <v>61700</v>
      </c>
      <c r="AN422" s="30">
        <v>383600</v>
      </c>
      <c r="AO422" s="30">
        <v>445300</v>
      </c>
      <c r="AP422" s="30">
        <f>Lookups!$B$58*0.6</f>
        <v>132535.48800000001</v>
      </c>
      <c r="AQ422" s="30">
        <f>Lookups!$B$58*0.4</f>
        <v>88356.992000000013</v>
      </c>
      <c r="AR422" s="30">
        <f>Lookups!$B$59*Inventory[[#This Row],[LnAcres]]</f>
        <v>-23255.730391660189</v>
      </c>
      <c r="AS422" s="30">
        <f>VLOOKUP(Inventory[[#This Row],[Qlty]],Lookups!$A$66:$E$79,2,FALSE)</f>
        <v>37154.252388000001</v>
      </c>
      <c r="AT422" s="30">
        <f>VLOOKUP(Inventory[[#This Row],[Cnd]],Lookups!$A$80:$E$88,2,FALSE)</f>
        <v>50438.379078999998</v>
      </c>
      <c r="AU422" s="30">
        <f>Inventory[[#This Row],[EffAge]]*Lookups!$B$65</f>
        <v>-1522.3754000000001</v>
      </c>
      <c r="AV422" s="30">
        <f>Inventory[[#This Row],[MainFn]]*Lookups!$B$90</f>
        <v>63908.229120000004</v>
      </c>
      <c r="AW422" s="30">
        <f>Inventory[[#This Row],[UpprFn]]*Lookups!$B$91</f>
        <v>83650.857731999989</v>
      </c>
      <c r="AX422" s="30">
        <f>Inventory[[#This Row],[Bsmt Area]]*Lookups!$B$95</f>
        <v>0</v>
      </c>
      <c r="AY422" s="30">
        <f>Inventory[[#This Row],[AttGar]]*Lookups!$B$93</f>
        <v>0</v>
      </c>
      <c r="AZ422" s="30">
        <f>ROUND(Inventory[[#This Row],[25Det]],-2)</f>
        <v>0</v>
      </c>
      <c r="BA422" s="30">
        <f>ROUND(SUM(Inventory[[#This Row],[Mdl Qlty]:[Mdl Garage Area]])+Inventory[[#This Row],[Mdl Res Intercept]],-2)</f>
        <v>366200</v>
      </c>
      <c r="BB422" s="30">
        <f>ROUND(Inventory[[#This Row],[Mdl Land Intercept]]+Inventory[[#This Row],[Mdl LnAcres]],-2)</f>
        <v>65100</v>
      </c>
      <c r="BC422" s="30">
        <f>Inventory[[#This Row],[Unadj Res Value]]+Inventory[[#This Row],[Unadj Det Value]]+Inventory[[#This Row],[Unadj Land Value]]</f>
        <v>431300</v>
      </c>
      <c r="BD422" s="30">
        <f>(Inventory[[#This Row],[Unadj Total Value]]-Inventory[[#This Row],[24Final]])/Inventory[[#This Row],[24Final]]</f>
        <v>-3.1439479002919379E-2</v>
      </c>
      <c r="BE422" s="30">
        <f>VLOOKUP(Inventory[[#This Row],[Nbhd]],Lookups!$M$3:$P$5,4,FALSE)</f>
        <v>0.99970000000000003</v>
      </c>
      <c r="BF422" s="30">
        <f>VLOOKUP(Inventory[[#This Row],[Qlty]],Lookups!$M$8:$P$22,4,FALSE)</f>
        <v>0.99819999999999998</v>
      </c>
      <c r="BG422" s="30">
        <f>VLOOKUP(Inventory[[#This Row],[Cnd]],Lookups!$R$8:$U$17,4,FALSE)</f>
        <v>1.0007999999999999</v>
      </c>
      <c r="BH422" s="30">
        <f>VLOOKUP(Inventory[[#This Row],[LivArea Range]],Lookups!$R$25:$U$43,4,FALSE)</f>
        <v>1.0008999999999999</v>
      </c>
      <c r="BI422" s="30">
        <f>VLOOKUP(Inventory[[#This Row],[Decade]],Lookups!$M$24:$P$40,4,FALSE)</f>
        <v>1.0024</v>
      </c>
      <c r="BJ422" s="30">
        <f>Inventory[[#This Row],[Nbhd Adj]]*0.95</f>
        <v>0.94971499999999998</v>
      </c>
      <c r="BK422" s="30">
        <f>AVERAGE(Inventory[[#This Row],[Nbhd Adj]],Inventory[[#This Row],[Quality Adj]],Inventory[[#This Row],[Condition Adj]],Inventory[[#This Row],[Living Area Adj]],Inventory[[#This Row],[Decade Adj]])*0.95</f>
        <v>0.95037999999999989</v>
      </c>
      <c r="BL422" s="30">
        <f>ROUND((SUM(Inventory[[#This Row],[Mdl Qlty]:[Mdl Garage Area]])+Inventory[[#This Row],[Mdl Res Intercept]])*Inventory[[#This Row],[Res Adj ]],-2)</f>
        <v>348000</v>
      </c>
      <c r="BM422" s="30">
        <f>ROUND(Inventory[[#This Row],[25Det]]*Inventory[[#This Row],[Det/Nbhd Adj]],-2)</f>
        <v>0</v>
      </c>
      <c r="BN422" s="30">
        <f>Inventory[[#This Row],[Adjusted Res]]+Inventory[[#This Row],[Adj Det ]]</f>
        <v>348000</v>
      </c>
      <c r="BO422" s="30">
        <f>ROUND((Inventory[[#This Row],[Mdl Land Intercept]]+Inventory[[#This Row],[Mdl LnAcres]])*Inventory[[#This Row],[Det/Nbhd Adj]],-2)</f>
        <v>61800</v>
      </c>
      <c r="BP422" s="30">
        <f>Inventory[[#This Row],[Adjusted Impr Total]]+Inventory[[#This Row],[Adjusted Land Total]]</f>
        <v>409800</v>
      </c>
      <c r="BQ422" s="30">
        <f>IFERROR((Inventory[[#This Row],[Adjusted Impr Total]]-Inventory[[#This Row],[24Bldg]])/Inventory[[#This Row],[24Bldg]],0)</f>
        <v>-9.2805005213764336E-2</v>
      </c>
      <c r="BR422" s="43">
        <f>(Inventory[[#This Row],[Adjusted Land Total]]-Inventory[[#This Row],[24Lnd]])/Inventory[[#This Row],[24Lnd]]</f>
        <v>1.6207455429497568E-3</v>
      </c>
      <c r="BS422" s="43">
        <f>(Inventory[[#This Row],[Adjusted Total]]-Inventory[[#This Row],[24Final]])/Inventory[[#This Row],[24Final]]</f>
        <v>-7.9721536043117006E-2</v>
      </c>
    </row>
    <row r="423" spans="1:71">
      <c r="A423" s="30">
        <v>2025</v>
      </c>
      <c r="B423" s="31" t="s">
        <v>937</v>
      </c>
      <c r="C423" s="31">
        <f>LN(Inventory[[#This Row],[Acres]])</f>
        <v>-1.7719568419318752</v>
      </c>
      <c r="D423" s="30">
        <v>0.17</v>
      </c>
      <c r="E423" s="30">
        <v>7200</v>
      </c>
      <c r="F423" s="31" t="s">
        <v>505</v>
      </c>
      <c r="G423" s="31" t="s">
        <v>155</v>
      </c>
      <c r="H423" s="31" t="s">
        <v>5</v>
      </c>
      <c r="I423" s="31" t="s">
        <v>506</v>
      </c>
      <c r="J423" s="31" t="s">
        <v>507</v>
      </c>
      <c r="K423" s="31" t="s">
        <v>193</v>
      </c>
      <c r="L423" s="31" t="s">
        <v>19</v>
      </c>
      <c r="M423" s="31" t="s">
        <v>20</v>
      </c>
      <c r="N423" s="31">
        <v>10</v>
      </c>
      <c r="O423" s="31">
        <f>2024-Inventory[[#This Row],[YrBlt]]</f>
        <v>14</v>
      </c>
      <c r="P423" s="31">
        <f>2024-Inventory[[#This Row],[EffYr]]</f>
        <v>14</v>
      </c>
      <c r="Q423" s="30">
        <v>2010</v>
      </c>
      <c r="R423" s="30">
        <v>2010</v>
      </c>
      <c r="S423" s="30">
        <v>1536</v>
      </c>
      <c r="T423" s="37"/>
      <c r="U423" s="32"/>
      <c r="V423" s="32"/>
      <c r="W423" s="32"/>
      <c r="X423" s="32">
        <f>Inventory[[#This Row],[Bsmt Area]]-Inventory[[#This Row],[FnBsmt]]</f>
        <v>0</v>
      </c>
      <c r="Y423" s="32">
        <f>Inventory[[#This Row],[MainFn]]+Inventory[[#This Row],[UpprFn]]+Inventory[[#This Row],[AddFn]]+Inventory[[#This Row],[FnBsmt]]</f>
        <v>1536</v>
      </c>
      <c r="Z423" s="32">
        <v>2000</v>
      </c>
      <c r="AA423" s="31" t="s">
        <v>56</v>
      </c>
      <c r="AB423" s="37"/>
      <c r="AC423" s="30">
        <v>420</v>
      </c>
      <c r="AD423" s="37"/>
      <c r="AE423" s="32"/>
      <c r="AF423" s="32"/>
      <c r="AG423" s="32"/>
      <c r="AH423" s="32"/>
      <c r="AI423" s="30">
        <v>309529</v>
      </c>
      <c r="AJ423" s="30">
        <v>287862</v>
      </c>
      <c r="AK423" s="30">
        <v>0</v>
      </c>
      <c r="AL423" s="30">
        <v>0</v>
      </c>
      <c r="AM423" s="30">
        <v>61700</v>
      </c>
      <c r="AN423" s="30">
        <v>310700</v>
      </c>
      <c r="AO423" s="30">
        <v>372400</v>
      </c>
      <c r="AP423" s="30">
        <f>Lookups!$B$58*0.6</f>
        <v>132535.48800000001</v>
      </c>
      <c r="AQ423" s="30">
        <f>Lookups!$B$58*0.4</f>
        <v>88356.992000000013</v>
      </c>
      <c r="AR423" s="30">
        <f>Lookups!$B$59*Inventory[[#This Row],[LnAcres]]</f>
        <v>-23255.730391660189</v>
      </c>
      <c r="AS423" s="30">
        <f>VLOOKUP(Inventory[[#This Row],[Qlty]],Lookups!$A$66:$E$79,2,FALSE)</f>
        <v>37154.252388000001</v>
      </c>
      <c r="AT423" s="30">
        <f>VLOOKUP(Inventory[[#This Row],[Cnd]],Lookups!$A$80:$E$88,2,FALSE)</f>
        <v>30300.329274</v>
      </c>
      <c r="AU423" s="30">
        <f>Inventory[[#This Row],[EffAge]]*Lookups!$B$65</f>
        <v>-1522.3754000000001</v>
      </c>
      <c r="AV423" s="30">
        <f>Inventory[[#This Row],[MainFn]]*Lookups!$B$90</f>
        <v>95862.343680000005</v>
      </c>
      <c r="AW423" s="30">
        <f>Inventory[[#This Row],[UpprFn]]*Lookups!$B$91</f>
        <v>0</v>
      </c>
      <c r="AX423" s="30">
        <f>Inventory[[#This Row],[Bsmt Area]]*Lookups!$B$95</f>
        <v>0</v>
      </c>
      <c r="AY423" s="30">
        <f>Inventory[[#This Row],[AttGar]]*Lookups!$B$93</f>
        <v>14826.43302</v>
      </c>
      <c r="AZ423" s="30">
        <f>ROUND(Inventory[[#This Row],[25Det]],-2)</f>
        <v>0</v>
      </c>
      <c r="BA423" s="30">
        <f>ROUND(SUM(Inventory[[#This Row],[Mdl Qlty]:[Mdl Garage Area]])+Inventory[[#This Row],[Mdl Res Intercept]],-2)</f>
        <v>309200</v>
      </c>
      <c r="BB423" s="30">
        <f>ROUND(Inventory[[#This Row],[Mdl Land Intercept]]+Inventory[[#This Row],[Mdl LnAcres]],-2)</f>
        <v>65100</v>
      </c>
      <c r="BC423" s="30">
        <f>Inventory[[#This Row],[Unadj Res Value]]+Inventory[[#This Row],[Unadj Det Value]]+Inventory[[#This Row],[Unadj Land Value]]</f>
        <v>374300</v>
      </c>
      <c r="BD423" s="30">
        <f>(Inventory[[#This Row],[Unadj Total Value]]-Inventory[[#This Row],[24Final]])/Inventory[[#This Row],[24Final]]</f>
        <v>5.1020408163265302E-3</v>
      </c>
      <c r="BE423" s="30">
        <f>VLOOKUP(Inventory[[#This Row],[Nbhd]],Lookups!$M$3:$P$5,4,FALSE)</f>
        <v>0.99970000000000003</v>
      </c>
      <c r="BF423" s="30">
        <f>VLOOKUP(Inventory[[#This Row],[Qlty]],Lookups!$M$8:$P$22,4,FALSE)</f>
        <v>0.99819999999999998</v>
      </c>
      <c r="BG423" s="30">
        <f>VLOOKUP(Inventory[[#This Row],[Cnd]],Lookups!$R$8:$U$17,4,FALSE)</f>
        <v>0.997</v>
      </c>
      <c r="BH423" s="30">
        <f>VLOOKUP(Inventory[[#This Row],[LivArea Range]],Lookups!$R$25:$U$43,4,FALSE)</f>
        <v>1.0007999999999999</v>
      </c>
      <c r="BI423" s="30">
        <f>VLOOKUP(Inventory[[#This Row],[Decade]],Lookups!$M$24:$P$40,4,FALSE)</f>
        <v>1.0024</v>
      </c>
      <c r="BJ423" s="30">
        <f>Inventory[[#This Row],[Nbhd Adj]]*0.95</f>
        <v>0.94971499999999998</v>
      </c>
      <c r="BK423" s="30">
        <f>AVERAGE(Inventory[[#This Row],[Nbhd Adj]],Inventory[[#This Row],[Quality Adj]],Inventory[[#This Row],[Condition Adj]],Inventory[[#This Row],[Living Area Adj]],Inventory[[#This Row],[Decade Adj]])*0.95</f>
        <v>0.9496389999999999</v>
      </c>
      <c r="BL423" s="30">
        <f>ROUND((SUM(Inventory[[#This Row],[Mdl Qlty]:[Mdl Garage Area]])+Inventory[[#This Row],[Mdl Res Intercept]])*Inventory[[#This Row],[Res Adj ]],-2)</f>
        <v>293600</v>
      </c>
      <c r="BM423" s="30">
        <f>ROUND(Inventory[[#This Row],[25Det]]*Inventory[[#This Row],[Det/Nbhd Adj]],-2)</f>
        <v>0</v>
      </c>
      <c r="BN423" s="30">
        <f>Inventory[[#This Row],[Adjusted Res]]+Inventory[[#This Row],[Adj Det ]]</f>
        <v>293600</v>
      </c>
      <c r="BO423" s="30">
        <f>ROUND((Inventory[[#This Row],[Mdl Land Intercept]]+Inventory[[#This Row],[Mdl LnAcres]])*Inventory[[#This Row],[Det/Nbhd Adj]],-2)</f>
        <v>61800</v>
      </c>
      <c r="BP423" s="30">
        <f>Inventory[[#This Row],[Adjusted Impr Total]]+Inventory[[#This Row],[Adjusted Land Total]]</f>
        <v>355400</v>
      </c>
      <c r="BQ423" s="30">
        <f>IFERROR((Inventory[[#This Row],[Adjusted Impr Total]]-Inventory[[#This Row],[24Bldg]])/Inventory[[#This Row],[24Bldg]],0)</f>
        <v>-5.503701319600901E-2</v>
      </c>
      <c r="BR423" s="43">
        <f>(Inventory[[#This Row],[Adjusted Land Total]]-Inventory[[#This Row],[24Lnd]])/Inventory[[#This Row],[24Lnd]]</f>
        <v>1.6207455429497568E-3</v>
      </c>
      <c r="BS423" s="43">
        <f>(Inventory[[#This Row],[Adjusted Total]]-Inventory[[#This Row],[24Final]])/Inventory[[#This Row],[24Final]]</f>
        <v>-4.5649838882921588E-2</v>
      </c>
    </row>
    <row r="424" spans="1:71">
      <c r="A424" s="30">
        <v>2025</v>
      </c>
      <c r="B424" s="31" t="s">
        <v>938</v>
      </c>
      <c r="C424" s="31">
        <f>LN(Inventory[[#This Row],[Acres]])</f>
        <v>-1.7147984280919266</v>
      </c>
      <c r="D424" s="30">
        <v>0.18</v>
      </c>
      <c r="E424" s="30">
        <v>7750</v>
      </c>
      <c r="F424" s="31" t="s">
        <v>505</v>
      </c>
      <c r="G424" s="31" t="s">
        <v>155</v>
      </c>
      <c r="H424" s="31" t="s">
        <v>5</v>
      </c>
      <c r="I424" s="31" t="s">
        <v>506</v>
      </c>
      <c r="J424" s="31" t="s">
        <v>507</v>
      </c>
      <c r="K424" s="31" t="s">
        <v>157</v>
      </c>
      <c r="L424" s="31" t="s">
        <v>21</v>
      </c>
      <c r="M424" s="31" t="s">
        <v>20</v>
      </c>
      <c r="N424" s="31">
        <v>10</v>
      </c>
      <c r="O424" s="31">
        <f>2024-Inventory[[#This Row],[YrBlt]]</f>
        <v>14</v>
      </c>
      <c r="P424" s="31">
        <f>2024-Inventory[[#This Row],[EffYr]]</f>
        <v>14</v>
      </c>
      <c r="Q424" s="30">
        <v>2010</v>
      </c>
      <c r="R424" s="30">
        <v>2010</v>
      </c>
      <c r="S424" s="30">
        <v>1173</v>
      </c>
      <c r="T424" s="30">
        <v>1322</v>
      </c>
      <c r="U424" s="32"/>
      <c r="V424" s="32"/>
      <c r="W424" s="32"/>
      <c r="X424" s="32">
        <f>Inventory[[#This Row],[Bsmt Area]]-Inventory[[#This Row],[FnBsmt]]</f>
        <v>0</v>
      </c>
      <c r="Y424" s="32">
        <f>Inventory[[#This Row],[MainFn]]+Inventory[[#This Row],[UpprFn]]+Inventory[[#This Row],[AddFn]]+Inventory[[#This Row],[FnBsmt]]</f>
        <v>2495</v>
      </c>
      <c r="Z424" s="32">
        <v>2500</v>
      </c>
      <c r="AA424" s="31" t="s">
        <v>57</v>
      </c>
      <c r="AB424" s="38">
        <v>1</v>
      </c>
      <c r="AC424" s="30">
        <v>288</v>
      </c>
      <c r="AD424" s="38">
        <v>488</v>
      </c>
      <c r="AE424" s="32"/>
      <c r="AF424" s="32"/>
      <c r="AG424" s="32"/>
      <c r="AH424" s="32"/>
      <c r="AI424" s="30">
        <v>515780</v>
      </c>
      <c r="AJ424" s="30">
        <v>479675</v>
      </c>
      <c r="AK424" s="30">
        <v>0</v>
      </c>
      <c r="AL424" s="30">
        <v>0</v>
      </c>
      <c r="AM424" s="30">
        <v>62500</v>
      </c>
      <c r="AN424" s="30">
        <v>368400</v>
      </c>
      <c r="AO424" s="30">
        <v>430900</v>
      </c>
      <c r="AP424" s="30">
        <f>Lookups!$B$58*0.6</f>
        <v>132535.48800000001</v>
      </c>
      <c r="AQ424" s="30">
        <f>Lookups!$B$58*0.4</f>
        <v>88356.992000000013</v>
      </c>
      <c r="AR424" s="30">
        <f>Lookups!$B$59*Inventory[[#This Row],[LnAcres]]</f>
        <v>-22505.565020573864</v>
      </c>
      <c r="AS424" s="30">
        <f>VLOOKUP(Inventory[[#This Row],[Qlty]],Lookups!$A$66:$E$79,2,FALSE)</f>
        <v>32917.849192000001</v>
      </c>
      <c r="AT424" s="30">
        <f>VLOOKUP(Inventory[[#This Row],[Cnd]],Lookups!$A$80:$E$88,2,FALSE)</f>
        <v>30300.329274</v>
      </c>
      <c r="AU424" s="30">
        <f>Inventory[[#This Row],[EffAge]]*Lookups!$B$65</f>
        <v>-1522.3754000000001</v>
      </c>
      <c r="AV424" s="30">
        <f>Inventory[[#This Row],[MainFn]]*Lookups!$B$90</f>
        <v>73207.375740000003</v>
      </c>
      <c r="AW424" s="30">
        <f>Inventory[[#This Row],[UpprFn]]*Lookups!$B$91</f>
        <v>78765.266325999997</v>
      </c>
      <c r="AX424" s="30">
        <f>Inventory[[#This Row],[Bsmt Area]]*Lookups!$B$95</f>
        <v>0</v>
      </c>
      <c r="AY424" s="30">
        <f>Inventory[[#This Row],[AttGar]]*Lookups!$B$93</f>
        <v>10166.696928000001</v>
      </c>
      <c r="AZ424" s="30">
        <f>ROUND(Inventory[[#This Row],[25Det]],-2)</f>
        <v>0</v>
      </c>
      <c r="BA424" s="30">
        <f>ROUND(SUM(Inventory[[#This Row],[Mdl Qlty]:[Mdl Garage Area]])+Inventory[[#This Row],[Mdl Res Intercept]],-2)</f>
        <v>356400</v>
      </c>
      <c r="BB424" s="30">
        <f>ROUND(Inventory[[#This Row],[Mdl Land Intercept]]+Inventory[[#This Row],[Mdl LnAcres]],-2)</f>
        <v>65900</v>
      </c>
      <c r="BC424" s="30">
        <f>Inventory[[#This Row],[Unadj Res Value]]+Inventory[[#This Row],[Unadj Det Value]]+Inventory[[#This Row],[Unadj Land Value]]</f>
        <v>422300</v>
      </c>
      <c r="BD424" s="30">
        <f>(Inventory[[#This Row],[Unadj Total Value]]-Inventory[[#This Row],[24Final]])/Inventory[[#This Row],[24Final]]</f>
        <v>-1.9958226966813646E-2</v>
      </c>
      <c r="BE424" s="30">
        <f>VLOOKUP(Inventory[[#This Row],[Nbhd]],Lookups!$M$3:$P$5,4,FALSE)</f>
        <v>0.99970000000000003</v>
      </c>
      <c r="BF424" s="30">
        <f>VLOOKUP(Inventory[[#This Row],[Qlty]],Lookups!$M$8:$P$22,4,FALSE)</f>
        <v>1.0019</v>
      </c>
      <c r="BG424" s="30">
        <f>VLOOKUP(Inventory[[#This Row],[Cnd]],Lookups!$R$8:$U$17,4,FALSE)</f>
        <v>0.997</v>
      </c>
      <c r="BH424" s="30">
        <f>VLOOKUP(Inventory[[#This Row],[LivArea Range]],Lookups!$R$25:$U$43,4,FALSE)</f>
        <v>1.0008999999999999</v>
      </c>
      <c r="BI424" s="30">
        <f>VLOOKUP(Inventory[[#This Row],[Decade]],Lookups!$M$24:$P$40,4,FALSE)</f>
        <v>1.0024</v>
      </c>
      <c r="BJ424" s="30">
        <f>Inventory[[#This Row],[Nbhd Adj]]*0.95</f>
        <v>0.94971499999999998</v>
      </c>
      <c r="BK424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424" s="30">
        <f>ROUND((SUM(Inventory[[#This Row],[Mdl Qlty]:[Mdl Garage Area]])+Inventory[[#This Row],[Mdl Res Intercept]])*Inventory[[#This Row],[Res Adj ]],-2)</f>
        <v>338700</v>
      </c>
      <c r="BM424" s="30">
        <f>ROUND(Inventory[[#This Row],[25Det]]*Inventory[[#This Row],[Det/Nbhd Adj]],-2)</f>
        <v>0</v>
      </c>
      <c r="BN424" s="30">
        <f>Inventory[[#This Row],[Adjusted Res]]+Inventory[[#This Row],[Adj Det ]]</f>
        <v>338700</v>
      </c>
      <c r="BO424" s="30">
        <f>ROUND((Inventory[[#This Row],[Mdl Land Intercept]]+Inventory[[#This Row],[Mdl LnAcres]])*Inventory[[#This Row],[Det/Nbhd Adj]],-2)</f>
        <v>62500</v>
      </c>
      <c r="BP424" s="30">
        <f>Inventory[[#This Row],[Adjusted Impr Total]]+Inventory[[#This Row],[Adjusted Land Total]]</f>
        <v>401200</v>
      </c>
      <c r="BQ424" s="30">
        <f>IFERROR((Inventory[[#This Row],[Adjusted Impr Total]]-Inventory[[#This Row],[24Bldg]])/Inventory[[#This Row],[24Bldg]],0)</f>
        <v>-8.0618892508143317E-2</v>
      </c>
      <c r="BR424" s="43">
        <f>(Inventory[[#This Row],[Adjusted Land Total]]-Inventory[[#This Row],[24Lnd]])/Inventory[[#This Row],[24Lnd]]</f>
        <v>0</v>
      </c>
      <c r="BS424" s="43">
        <f>(Inventory[[#This Row],[Adjusted Total]]-Inventory[[#This Row],[24Final]])/Inventory[[#This Row],[24Final]]</f>
        <v>-6.8925504757484338E-2</v>
      </c>
    </row>
    <row r="425" spans="1:71">
      <c r="A425" s="30">
        <v>2025</v>
      </c>
      <c r="B425" s="31" t="s">
        <v>939</v>
      </c>
      <c r="C425" s="31">
        <f>LN(Inventory[[#This Row],[Acres]])</f>
        <v>-1.7147984280919266</v>
      </c>
      <c r="D425" s="30">
        <v>0.18</v>
      </c>
      <c r="E425" s="30">
        <v>7764</v>
      </c>
      <c r="F425" s="31" t="s">
        <v>505</v>
      </c>
      <c r="G425" s="31" t="s">
        <v>155</v>
      </c>
      <c r="H425" s="31" t="s">
        <v>5</v>
      </c>
      <c r="I425" s="31" t="s">
        <v>506</v>
      </c>
      <c r="J425" s="31" t="s">
        <v>507</v>
      </c>
      <c r="K425" s="31" t="s">
        <v>330</v>
      </c>
      <c r="L425" s="31" t="s">
        <v>21</v>
      </c>
      <c r="M425" s="31" t="s">
        <v>20</v>
      </c>
      <c r="N425" s="31">
        <v>10</v>
      </c>
      <c r="O425" s="31">
        <f>2024-Inventory[[#This Row],[YrBlt]]</f>
        <v>14</v>
      </c>
      <c r="P425" s="31">
        <f>2024-Inventory[[#This Row],[EffYr]]</f>
        <v>14</v>
      </c>
      <c r="Q425" s="30">
        <v>2010</v>
      </c>
      <c r="R425" s="30">
        <v>2010</v>
      </c>
      <c r="S425" s="30">
        <v>1389</v>
      </c>
      <c r="T425" s="38">
        <v>1322</v>
      </c>
      <c r="U425" s="32"/>
      <c r="V425" s="32"/>
      <c r="W425" s="32"/>
      <c r="X425" s="32">
        <f>Inventory[[#This Row],[Bsmt Area]]-Inventory[[#This Row],[FnBsmt]]</f>
        <v>0</v>
      </c>
      <c r="Y425" s="32">
        <f>Inventory[[#This Row],[MainFn]]+Inventory[[#This Row],[UpprFn]]+Inventory[[#This Row],[AddFn]]+Inventory[[#This Row],[FnBsmt]]</f>
        <v>2711</v>
      </c>
      <c r="Z425" s="32">
        <v>3000</v>
      </c>
      <c r="AA425" s="31" t="s">
        <v>57</v>
      </c>
      <c r="AB425" s="32"/>
      <c r="AC425" s="30">
        <v>240</v>
      </c>
      <c r="AD425" s="38">
        <v>488</v>
      </c>
      <c r="AE425" s="32"/>
      <c r="AF425" s="32"/>
      <c r="AG425" s="32"/>
      <c r="AH425" s="32"/>
      <c r="AI425" s="30">
        <v>537334</v>
      </c>
      <c r="AJ425" s="30">
        <v>499721</v>
      </c>
      <c r="AK425" s="30">
        <v>0</v>
      </c>
      <c r="AL425" s="30">
        <v>0</v>
      </c>
      <c r="AM425" s="30">
        <v>62500</v>
      </c>
      <c r="AN425" s="30">
        <v>376900</v>
      </c>
      <c r="AO425" s="30">
        <v>439400</v>
      </c>
      <c r="AP425" s="30">
        <f>Lookups!$B$58*0.6</f>
        <v>132535.48800000001</v>
      </c>
      <c r="AQ425" s="30">
        <f>Lookups!$B$58*0.4</f>
        <v>88356.992000000013</v>
      </c>
      <c r="AR425" s="30">
        <f>Lookups!$B$59*Inventory[[#This Row],[LnAcres]]</f>
        <v>-22505.565020573864</v>
      </c>
      <c r="AS425" s="30">
        <f>VLOOKUP(Inventory[[#This Row],[Qlty]],Lookups!$A$66:$E$79,2,FALSE)</f>
        <v>32917.849192000001</v>
      </c>
      <c r="AT425" s="30">
        <f>VLOOKUP(Inventory[[#This Row],[Cnd]],Lookups!$A$80:$E$88,2,FALSE)</f>
        <v>30300.329274</v>
      </c>
      <c r="AU425" s="30">
        <f>Inventory[[#This Row],[EffAge]]*Lookups!$B$65</f>
        <v>-1522.3754000000001</v>
      </c>
      <c r="AV425" s="30">
        <f>Inventory[[#This Row],[MainFn]]*Lookups!$B$90</f>
        <v>86688.017820000008</v>
      </c>
      <c r="AW425" s="30">
        <f>Inventory[[#This Row],[UpprFn]]*Lookups!$B$91</f>
        <v>78765.266325999997</v>
      </c>
      <c r="AX425" s="30">
        <f>Inventory[[#This Row],[Bsmt Area]]*Lookups!$B$95</f>
        <v>0</v>
      </c>
      <c r="AY425" s="30">
        <f>Inventory[[#This Row],[AttGar]]*Lookups!$B$93</f>
        <v>8472.247440000001</v>
      </c>
      <c r="AZ425" s="30">
        <f>ROUND(Inventory[[#This Row],[25Det]],-2)</f>
        <v>0</v>
      </c>
      <c r="BA425" s="30">
        <f>ROUND(SUM(Inventory[[#This Row],[Mdl Qlty]:[Mdl Garage Area]])+Inventory[[#This Row],[Mdl Res Intercept]],-2)</f>
        <v>368200</v>
      </c>
      <c r="BB425" s="30">
        <f>ROUND(Inventory[[#This Row],[Mdl Land Intercept]]+Inventory[[#This Row],[Mdl LnAcres]],-2)</f>
        <v>65900</v>
      </c>
      <c r="BC425" s="30">
        <f>Inventory[[#This Row],[Unadj Res Value]]+Inventory[[#This Row],[Unadj Det Value]]+Inventory[[#This Row],[Unadj Land Value]]</f>
        <v>434100</v>
      </c>
      <c r="BD425" s="30">
        <f>(Inventory[[#This Row],[Unadj Total Value]]-Inventory[[#This Row],[24Final]])/Inventory[[#This Row],[24Final]]</f>
        <v>-1.2061902594446974E-2</v>
      </c>
      <c r="BE425" s="30">
        <f>VLOOKUP(Inventory[[#This Row],[Nbhd]],Lookups!$M$3:$P$5,4,FALSE)</f>
        <v>0.99970000000000003</v>
      </c>
      <c r="BF425" s="30">
        <f>VLOOKUP(Inventory[[#This Row],[Qlty]],Lookups!$M$8:$P$22,4,FALSE)</f>
        <v>1.0019</v>
      </c>
      <c r="BG425" s="30">
        <f>VLOOKUP(Inventory[[#This Row],[Cnd]],Lookups!$R$8:$U$17,4,FALSE)</f>
        <v>0.997</v>
      </c>
      <c r="BH425" s="30">
        <f>VLOOKUP(Inventory[[#This Row],[LivArea Range]],Lookups!$R$25:$U$43,4,FALSE)</f>
        <v>1.0099</v>
      </c>
      <c r="BI425" s="30">
        <f>VLOOKUP(Inventory[[#This Row],[Decade]],Lookups!$M$24:$P$40,4,FALSE)</f>
        <v>1.0024</v>
      </c>
      <c r="BJ425" s="30">
        <f>Inventory[[#This Row],[Nbhd Adj]]*0.95</f>
        <v>0.94971499999999998</v>
      </c>
      <c r="BK425" s="30">
        <f>AVERAGE(Inventory[[#This Row],[Nbhd Adj]],Inventory[[#This Row],[Quality Adj]],Inventory[[#This Row],[Condition Adj]],Inventory[[#This Row],[Living Area Adj]],Inventory[[#This Row],[Decade Adj]])*0.95</f>
        <v>0.95207099999999978</v>
      </c>
      <c r="BL425" s="30">
        <f>ROUND((SUM(Inventory[[#This Row],[Mdl Qlty]:[Mdl Garage Area]])+Inventory[[#This Row],[Mdl Res Intercept]])*Inventory[[#This Row],[Res Adj ]],-2)</f>
        <v>350500</v>
      </c>
      <c r="BM425" s="30">
        <f>ROUND(Inventory[[#This Row],[25Det]]*Inventory[[#This Row],[Det/Nbhd Adj]],-2)</f>
        <v>0</v>
      </c>
      <c r="BN425" s="30">
        <f>Inventory[[#This Row],[Adjusted Res]]+Inventory[[#This Row],[Adj Det ]]</f>
        <v>350500</v>
      </c>
      <c r="BO425" s="30">
        <f>ROUND((Inventory[[#This Row],[Mdl Land Intercept]]+Inventory[[#This Row],[Mdl LnAcres]])*Inventory[[#This Row],[Det/Nbhd Adj]],-2)</f>
        <v>62500</v>
      </c>
      <c r="BP425" s="30">
        <f>Inventory[[#This Row],[Adjusted Impr Total]]+Inventory[[#This Row],[Adjusted Land Total]]</f>
        <v>413000</v>
      </c>
      <c r="BQ425" s="30">
        <f>IFERROR((Inventory[[#This Row],[Adjusted Impr Total]]-Inventory[[#This Row],[24Bldg]])/Inventory[[#This Row],[24Bldg]],0)</f>
        <v>-7.0045104802334834E-2</v>
      </c>
      <c r="BR425" s="43">
        <f>(Inventory[[#This Row],[Adjusted Land Total]]-Inventory[[#This Row],[24Lnd]])/Inventory[[#This Row],[24Lnd]]</f>
        <v>0</v>
      </c>
      <c r="BS425" s="43">
        <f>(Inventory[[#This Row],[Adjusted Total]]-Inventory[[#This Row],[24Final]])/Inventory[[#This Row],[24Final]]</f>
        <v>-6.0081929904415111E-2</v>
      </c>
    </row>
    <row r="426" spans="1:71">
      <c r="A426" s="30">
        <v>2025</v>
      </c>
      <c r="B426" s="31" t="s">
        <v>940</v>
      </c>
      <c r="C426" s="31">
        <f>LN(Inventory[[#This Row],[Acres]])</f>
        <v>-1.7147984280919266</v>
      </c>
      <c r="D426" s="30">
        <v>0.18</v>
      </c>
      <c r="E426" s="30">
        <v>7722</v>
      </c>
      <c r="F426" s="31" t="s">
        <v>505</v>
      </c>
      <c r="G426" s="31" t="s">
        <v>155</v>
      </c>
      <c r="H426" s="31" t="s">
        <v>5</v>
      </c>
      <c r="I426" s="31" t="s">
        <v>506</v>
      </c>
      <c r="J426" s="31" t="s">
        <v>507</v>
      </c>
      <c r="K426" s="31" t="s">
        <v>157</v>
      </c>
      <c r="L426" s="31" t="s">
        <v>23</v>
      </c>
      <c r="M426" s="31" t="s">
        <v>22</v>
      </c>
      <c r="N426" s="31">
        <v>10</v>
      </c>
      <c r="O426" s="31">
        <f>2024-Inventory[[#This Row],[YrBlt]]</f>
        <v>14</v>
      </c>
      <c r="P426" s="31">
        <f>2024-Inventory[[#This Row],[EffYr]]</f>
        <v>14</v>
      </c>
      <c r="Q426" s="30">
        <v>2010</v>
      </c>
      <c r="R426" s="30">
        <v>2010</v>
      </c>
      <c r="S426" s="30">
        <v>1389</v>
      </c>
      <c r="T426" s="30">
        <v>1322</v>
      </c>
      <c r="U426" s="32"/>
      <c r="V426" s="32"/>
      <c r="W426" s="32"/>
      <c r="X426" s="32">
        <f>Inventory[[#This Row],[Bsmt Area]]-Inventory[[#This Row],[FnBsmt]]</f>
        <v>0</v>
      </c>
      <c r="Y426" s="32">
        <f>Inventory[[#This Row],[MainFn]]+Inventory[[#This Row],[UpprFn]]+Inventory[[#This Row],[AddFn]]+Inventory[[#This Row],[FnBsmt]]</f>
        <v>2711</v>
      </c>
      <c r="Z426" s="32">
        <v>3000</v>
      </c>
      <c r="AA426" s="31" t="s">
        <v>56</v>
      </c>
      <c r="AB426" s="32"/>
      <c r="AC426" s="37"/>
      <c r="AD426" s="38">
        <v>728</v>
      </c>
      <c r="AE426" s="32"/>
      <c r="AF426" s="32"/>
      <c r="AG426" s="32"/>
      <c r="AH426" s="32"/>
      <c r="AI426" s="30">
        <v>619722</v>
      </c>
      <c r="AJ426" s="30">
        <v>588736</v>
      </c>
      <c r="AK426" s="30">
        <v>0</v>
      </c>
      <c r="AL426" s="30">
        <v>0</v>
      </c>
      <c r="AM426" s="30">
        <v>62500</v>
      </c>
      <c r="AN426" s="30">
        <v>419900</v>
      </c>
      <c r="AO426" s="30">
        <v>482400</v>
      </c>
      <c r="AP426" s="30">
        <f>Lookups!$B$58*0.6</f>
        <v>132535.48800000001</v>
      </c>
      <c r="AQ426" s="30">
        <f>Lookups!$B$58*0.4</f>
        <v>88356.992000000013</v>
      </c>
      <c r="AR426" s="30">
        <f>Lookups!$B$59*Inventory[[#This Row],[LnAcres]]</f>
        <v>-22505.565020573864</v>
      </c>
      <c r="AS426" s="30">
        <f>VLOOKUP(Inventory[[#This Row],[Qlty]],Lookups!$A$66:$E$79,2,FALSE)</f>
        <v>39366.494398000003</v>
      </c>
      <c r="AT426" s="30">
        <f>VLOOKUP(Inventory[[#This Row],[Cnd]],Lookups!$A$80:$E$88,2,FALSE)</f>
        <v>50438.379078999998</v>
      </c>
      <c r="AU426" s="30">
        <f>Inventory[[#This Row],[EffAge]]*Lookups!$B$65</f>
        <v>-1522.3754000000001</v>
      </c>
      <c r="AV426" s="30">
        <f>Inventory[[#This Row],[MainFn]]*Lookups!$B$90</f>
        <v>86688.017820000008</v>
      </c>
      <c r="AW426" s="30">
        <f>Inventory[[#This Row],[UpprFn]]*Lookups!$B$91</f>
        <v>78765.266325999997</v>
      </c>
      <c r="AX426" s="30">
        <f>Inventory[[#This Row],[Bsmt Area]]*Lookups!$B$95</f>
        <v>0</v>
      </c>
      <c r="AY426" s="30">
        <f>Inventory[[#This Row],[AttGar]]*Lookups!$B$93</f>
        <v>0</v>
      </c>
      <c r="AZ426" s="30">
        <f>ROUND(Inventory[[#This Row],[25Det]],-2)</f>
        <v>0</v>
      </c>
      <c r="BA426" s="30">
        <f>ROUND(SUM(Inventory[[#This Row],[Mdl Qlty]:[Mdl Garage Area]])+Inventory[[#This Row],[Mdl Res Intercept]],-2)</f>
        <v>386300</v>
      </c>
      <c r="BB426" s="30">
        <f>ROUND(Inventory[[#This Row],[Mdl Land Intercept]]+Inventory[[#This Row],[Mdl LnAcres]],-2)</f>
        <v>65900</v>
      </c>
      <c r="BC426" s="30">
        <f>Inventory[[#This Row],[Unadj Res Value]]+Inventory[[#This Row],[Unadj Det Value]]+Inventory[[#This Row],[Unadj Land Value]]</f>
        <v>452200</v>
      </c>
      <c r="BD426" s="30">
        <f>(Inventory[[#This Row],[Unadj Total Value]]-Inventory[[#This Row],[24Final]])/Inventory[[#This Row],[24Final]]</f>
        <v>-6.2603648424543953E-2</v>
      </c>
      <c r="BE426" s="30">
        <f>VLOOKUP(Inventory[[#This Row],[Nbhd]],Lookups!$M$3:$P$5,4,FALSE)</f>
        <v>0.99970000000000003</v>
      </c>
      <c r="BF426" s="30">
        <f>VLOOKUP(Inventory[[#This Row],[Qlty]],Lookups!$M$8:$P$22,4,FALSE)</f>
        <v>0.99980000000000002</v>
      </c>
      <c r="BG426" s="30">
        <f>VLOOKUP(Inventory[[#This Row],[Cnd]],Lookups!$R$8:$U$17,4,FALSE)</f>
        <v>1.0007999999999999</v>
      </c>
      <c r="BH426" s="30">
        <f>VLOOKUP(Inventory[[#This Row],[LivArea Range]],Lookups!$R$25:$U$43,4,FALSE)</f>
        <v>1.0099</v>
      </c>
      <c r="BI426" s="30">
        <f>VLOOKUP(Inventory[[#This Row],[Decade]],Lookups!$M$24:$P$40,4,FALSE)</f>
        <v>1.0024</v>
      </c>
      <c r="BJ426" s="30">
        <f>Inventory[[#This Row],[Nbhd Adj]]*0.95</f>
        <v>0.94971499999999998</v>
      </c>
      <c r="BK426" s="30">
        <f>AVERAGE(Inventory[[#This Row],[Nbhd Adj]],Inventory[[#This Row],[Quality Adj]],Inventory[[#This Row],[Condition Adj]],Inventory[[#This Row],[Living Area Adj]],Inventory[[#This Row],[Decade Adj]])*0.95</f>
        <v>0.95239400000000007</v>
      </c>
      <c r="BL426" s="30">
        <f>ROUND((SUM(Inventory[[#This Row],[Mdl Qlty]:[Mdl Garage Area]])+Inventory[[#This Row],[Mdl Res Intercept]])*Inventory[[#This Row],[Res Adj ]],-2)</f>
        <v>367900</v>
      </c>
      <c r="BM426" s="30">
        <f>ROUND(Inventory[[#This Row],[25Det]]*Inventory[[#This Row],[Det/Nbhd Adj]],-2)</f>
        <v>0</v>
      </c>
      <c r="BN426" s="30">
        <f>Inventory[[#This Row],[Adjusted Res]]+Inventory[[#This Row],[Adj Det ]]</f>
        <v>367900</v>
      </c>
      <c r="BO426" s="30">
        <f>ROUND((Inventory[[#This Row],[Mdl Land Intercept]]+Inventory[[#This Row],[Mdl LnAcres]])*Inventory[[#This Row],[Det/Nbhd Adj]],-2)</f>
        <v>62500</v>
      </c>
      <c r="BP426" s="30">
        <f>Inventory[[#This Row],[Adjusted Impr Total]]+Inventory[[#This Row],[Adjusted Land Total]]</f>
        <v>430400</v>
      </c>
      <c r="BQ426" s="30">
        <f>IFERROR((Inventory[[#This Row],[Adjusted Impr Total]]-Inventory[[#This Row],[24Bldg]])/Inventory[[#This Row],[24Bldg]],0)</f>
        <v>-0.1238390092879257</v>
      </c>
      <c r="BR426" s="43">
        <f>(Inventory[[#This Row],[Adjusted Land Total]]-Inventory[[#This Row],[24Lnd]])/Inventory[[#This Row],[24Lnd]]</f>
        <v>0</v>
      </c>
      <c r="BS426" s="43">
        <f>(Inventory[[#This Row],[Adjusted Total]]-Inventory[[#This Row],[24Final]])/Inventory[[#This Row],[24Final]]</f>
        <v>-0.1077943615257048</v>
      </c>
    </row>
    <row r="427" spans="1:71">
      <c r="A427" s="30">
        <v>2025</v>
      </c>
      <c r="B427" s="31" t="s">
        <v>941</v>
      </c>
      <c r="C427" s="31">
        <f>LN(Inventory[[#This Row],[Acres]])</f>
        <v>-1.7147984280919266</v>
      </c>
      <c r="D427" s="30">
        <v>0.18</v>
      </c>
      <c r="E427" s="30">
        <v>7693</v>
      </c>
      <c r="F427" s="31" t="s">
        <v>505</v>
      </c>
      <c r="G427" s="31" t="s">
        <v>155</v>
      </c>
      <c r="H427" s="31" t="s">
        <v>5</v>
      </c>
      <c r="I427" s="31" t="s">
        <v>506</v>
      </c>
      <c r="J427" s="31" t="s">
        <v>507</v>
      </c>
      <c r="K427" s="31" t="s">
        <v>157</v>
      </c>
      <c r="L427" s="31" t="s">
        <v>21</v>
      </c>
      <c r="M427" s="31" t="s">
        <v>20</v>
      </c>
      <c r="N427" s="31">
        <v>10</v>
      </c>
      <c r="O427" s="31">
        <f>2024-Inventory[[#This Row],[YrBlt]]</f>
        <v>14</v>
      </c>
      <c r="P427" s="31">
        <f>2024-Inventory[[#This Row],[EffYr]]</f>
        <v>14</v>
      </c>
      <c r="Q427" s="30">
        <v>2010</v>
      </c>
      <c r="R427" s="30">
        <v>2010</v>
      </c>
      <c r="S427" s="30">
        <v>1389</v>
      </c>
      <c r="T427" s="30">
        <v>1322</v>
      </c>
      <c r="U427" s="32"/>
      <c r="V427" s="32"/>
      <c r="W427" s="32"/>
      <c r="X427" s="32">
        <f>Inventory[[#This Row],[Bsmt Area]]-Inventory[[#This Row],[FnBsmt]]</f>
        <v>0</v>
      </c>
      <c r="Y427" s="32">
        <f>Inventory[[#This Row],[MainFn]]+Inventory[[#This Row],[UpprFn]]+Inventory[[#This Row],[AddFn]]+Inventory[[#This Row],[FnBsmt]]</f>
        <v>2711</v>
      </c>
      <c r="Z427" s="32">
        <v>3000</v>
      </c>
      <c r="AA427" s="31" t="s">
        <v>56</v>
      </c>
      <c r="AB427" s="38">
        <v>1</v>
      </c>
      <c r="AC427" s="30">
        <v>240</v>
      </c>
      <c r="AD427" s="38">
        <v>488</v>
      </c>
      <c r="AE427" s="32"/>
      <c r="AF427" s="32"/>
      <c r="AG427" s="32"/>
      <c r="AH427" s="32"/>
      <c r="AI427" s="30">
        <v>534899</v>
      </c>
      <c r="AJ427" s="30">
        <v>497456</v>
      </c>
      <c r="AK427" s="30">
        <v>0</v>
      </c>
      <c r="AL427" s="30">
        <v>0</v>
      </c>
      <c r="AM427" s="30">
        <v>62500</v>
      </c>
      <c r="AN427" s="30">
        <v>376900</v>
      </c>
      <c r="AO427" s="30">
        <v>439400</v>
      </c>
      <c r="AP427" s="30">
        <f>Lookups!$B$58*0.6</f>
        <v>132535.48800000001</v>
      </c>
      <c r="AQ427" s="30">
        <f>Lookups!$B$58*0.4</f>
        <v>88356.992000000013</v>
      </c>
      <c r="AR427" s="30">
        <f>Lookups!$B$59*Inventory[[#This Row],[LnAcres]]</f>
        <v>-22505.565020573864</v>
      </c>
      <c r="AS427" s="30">
        <f>VLOOKUP(Inventory[[#This Row],[Qlty]],Lookups!$A$66:$E$79,2,FALSE)</f>
        <v>32917.849192000001</v>
      </c>
      <c r="AT427" s="30">
        <f>VLOOKUP(Inventory[[#This Row],[Cnd]],Lookups!$A$80:$E$88,2,FALSE)</f>
        <v>30300.329274</v>
      </c>
      <c r="AU427" s="30">
        <f>Inventory[[#This Row],[EffAge]]*Lookups!$B$65</f>
        <v>-1522.3754000000001</v>
      </c>
      <c r="AV427" s="30">
        <f>Inventory[[#This Row],[MainFn]]*Lookups!$B$90</f>
        <v>86688.017820000008</v>
      </c>
      <c r="AW427" s="30">
        <f>Inventory[[#This Row],[UpprFn]]*Lookups!$B$91</f>
        <v>78765.266325999997</v>
      </c>
      <c r="AX427" s="30">
        <f>Inventory[[#This Row],[Bsmt Area]]*Lookups!$B$95</f>
        <v>0</v>
      </c>
      <c r="AY427" s="30">
        <f>Inventory[[#This Row],[AttGar]]*Lookups!$B$93</f>
        <v>8472.247440000001</v>
      </c>
      <c r="AZ427" s="30">
        <f>ROUND(Inventory[[#This Row],[25Det]],-2)</f>
        <v>0</v>
      </c>
      <c r="BA427" s="30">
        <f>ROUND(SUM(Inventory[[#This Row],[Mdl Qlty]:[Mdl Garage Area]])+Inventory[[#This Row],[Mdl Res Intercept]],-2)</f>
        <v>368200</v>
      </c>
      <c r="BB427" s="30">
        <f>ROUND(Inventory[[#This Row],[Mdl Land Intercept]]+Inventory[[#This Row],[Mdl LnAcres]],-2)</f>
        <v>65900</v>
      </c>
      <c r="BC427" s="30">
        <f>Inventory[[#This Row],[Unadj Res Value]]+Inventory[[#This Row],[Unadj Det Value]]+Inventory[[#This Row],[Unadj Land Value]]</f>
        <v>434100</v>
      </c>
      <c r="BD427" s="30">
        <f>(Inventory[[#This Row],[Unadj Total Value]]-Inventory[[#This Row],[24Final]])/Inventory[[#This Row],[24Final]]</f>
        <v>-1.2061902594446974E-2</v>
      </c>
      <c r="BE427" s="30">
        <f>VLOOKUP(Inventory[[#This Row],[Nbhd]],Lookups!$M$3:$P$5,4,FALSE)</f>
        <v>0.99970000000000003</v>
      </c>
      <c r="BF427" s="30">
        <f>VLOOKUP(Inventory[[#This Row],[Qlty]],Lookups!$M$8:$P$22,4,FALSE)</f>
        <v>1.0019</v>
      </c>
      <c r="BG427" s="30">
        <f>VLOOKUP(Inventory[[#This Row],[Cnd]],Lookups!$R$8:$U$17,4,FALSE)</f>
        <v>0.997</v>
      </c>
      <c r="BH427" s="30">
        <f>VLOOKUP(Inventory[[#This Row],[LivArea Range]],Lookups!$R$25:$U$43,4,FALSE)</f>
        <v>1.0099</v>
      </c>
      <c r="BI427" s="30">
        <f>VLOOKUP(Inventory[[#This Row],[Decade]],Lookups!$M$24:$P$40,4,FALSE)</f>
        <v>1.0024</v>
      </c>
      <c r="BJ427" s="30">
        <f>Inventory[[#This Row],[Nbhd Adj]]*0.95</f>
        <v>0.94971499999999998</v>
      </c>
      <c r="BK427" s="30">
        <f>AVERAGE(Inventory[[#This Row],[Nbhd Adj]],Inventory[[#This Row],[Quality Adj]],Inventory[[#This Row],[Condition Adj]],Inventory[[#This Row],[Living Area Adj]],Inventory[[#This Row],[Decade Adj]])*0.95</f>
        <v>0.95207099999999978</v>
      </c>
      <c r="BL427" s="30">
        <f>ROUND((SUM(Inventory[[#This Row],[Mdl Qlty]:[Mdl Garage Area]])+Inventory[[#This Row],[Mdl Res Intercept]])*Inventory[[#This Row],[Res Adj ]],-2)</f>
        <v>350500</v>
      </c>
      <c r="BM427" s="30">
        <f>ROUND(Inventory[[#This Row],[25Det]]*Inventory[[#This Row],[Det/Nbhd Adj]],-2)</f>
        <v>0</v>
      </c>
      <c r="BN427" s="30">
        <f>Inventory[[#This Row],[Adjusted Res]]+Inventory[[#This Row],[Adj Det ]]</f>
        <v>350500</v>
      </c>
      <c r="BO427" s="30">
        <f>ROUND((Inventory[[#This Row],[Mdl Land Intercept]]+Inventory[[#This Row],[Mdl LnAcres]])*Inventory[[#This Row],[Det/Nbhd Adj]],-2)</f>
        <v>62500</v>
      </c>
      <c r="BP427" s="30">
        <f>Inventory[[#This Row],[Adjusted Impr Total]]+Inventory[[#This Row],[Adjusted Land Total]]</f>
        <v>413000</v>
      </c>
      <c r="BQ427" s="30">
        <f>IFERROR((Inventory[[#This Row],[Adjusted Impr Total]]-Inventory[[#This Row],[24Bldg]])/Inventory[[#This Row],[24Bldg]],0)</f>
        <v>-7.0045104802334834E-2</v>
      </c>
      <c r="BR427" s="43">
        <f>(Inventory[[#This Row],[Adjusted Land Total]]-Inventory[[#This Row],[24Lnd]])/Inventory[[#This Row],[24Lnd]]</f>
        <v>0</v>
      </c>
      <c r="BS427" s="43">
        <f>(Inventory[[#This Row],[Adjusted Total]]-Inventory[[#This Row],[24Final]])/Inventory[[#This Row],[24Final]]</f>
        <v>-6.0081929904415111E-2</v>
      </c>
    </row>
    <row r="428" spans="1:71">
      <c r="A428" s="30">
        <v>2025</v>
      </c>
      <c r="B428" s="31" t="s">
        <v>942</v>
      </c>
      <c r="C428" s="31">
        <f>LN(Inventory[[#This Row],[Acres]])</f>
        <v>-1.7147984280919266</v>
      </c>
      <c r="D428" s="30">
        <v>0.18</v>
      </c>
      <c r="E428" s="30">
        <v>7799</v>
      </c>
      <c r="F428" s="31" t="s">
        <v>505</v>
      </c>
      <c r="G428" s="31" t="s">
        <v>155</v>
      </c>
      <c r="H428" s="31" t="s">
        <v>5</v>
      </c>
      <c r="I428" s="31" t="s">
        <v>506</v>
      </c>
      <c r="J428" s="31" t="s">
        <v>507</v>
      </c>
      <c r="K428" s="31" t="s">
        <v>330</v>
      </c>
      <c r="L428" s="31" t="s">
        <v>19</v>
      </c>
      <c r="M428" s="31" t="s">
        <v>20</v>
      </c>
      <c r="N428" s="31">
        <v>10</v>
      </c>
      <c r="O428" s="31">
        <f>2024-Inventory[[#This Row],[YrBlt]]</f>
        <v>14</v>
      </c>
      <c r="P428" s="31">
        <f>2024-Inventory[[#This Row],[EffYr]]</f>
        <v>14</v>
      </c>
      <c r="Q428" s="30">
        <v>2010</v>
      </c>
      <c r="R428" s="30">
        <v>2010</v>
      </c>
      <c r="S428" s="30">
        <v>1380</v>
      </c>
      <c r="T428" s="32"/>
      <c r="U428" s="32"/>
      <c r="V428" s="32"/>
      <c r="W428" s="32"/>
      <c r="X428" s="32">
        <f>Inventory[[#This Row],[Bsmt Area]]-Inventory[[#This Row],[FnBsmt]]</f>
        <v>0</v>
      </c>
      <c r="Y428" s="32">
        <f>Inventory[[#This Row],[MainFn]]+Inventory[[#This Row],[UpprFn]]+Inventory[[#This Row],[AddFn]]+Inventory[[#This Row],[FnBsmt]]</f>
        <v>1380</v>
      </c>
      <c r="Z428" s="32">
        <v>1500</v>
      </c>
      <c r="AA428" s="31" t="s">
        <v>56</v>
      </c>
      <c r="AB428" s="32"/>
      <c r="AC428" s="30">
        <v>428</v>
      </c>
      <c r="AD428" s="32"/>
      <c r="AE428" s="32"/>
      <c r="AF428" s="32"/>
      <c r="AG428" s="32"/>
      <c r="AH428" s="32"/>
      <c r="AI428" s="30">
        <v>276046</v>
      </c>
      <c r="AJ428" s="30">
        <v>256723</v>
      </c>
      <c r="AK428" s="30">
        <v>0</v>
      </c>
      <c r="AL428" s="30">
        <v>0</v>
      </c>
      <c r="AM428" s="30">
        <v>62500</v>
      </c>
      <c r="AN428" s="30">
        <v>294800</v>
      </c>
      <c r="AO428" s="30">
        <v>357300</v>
      </c>
      <c r="AP428" s="30">
        <f>Lookups!$B$58*0.6</f>
        <v>132535.48800000001</v>
      </c>
      <c r="AQ428" s="30">
        <f>Lookups!$B$58*0.4</f>
        <v>88356.992000000013</v>
      </c>
      <c r="AR428" s="30">
        <f>Lookups!$B$59*Inventory[[#This Row],[LnAcres]]</f>
        <v>-22505.565020573864</v>
      </c>
      <c r="AS428" s="30">
        <f>VLOOKUP(Inventory[[#This Row],[Qlty]],Lookups!$A$66:$E$79,2,FALSE)</f>
        <v>37154.252388000001</v>
      </c>
      <c r="AT428" s="30">
        <f>VLOOKUP(Inventory[[#This Row],[Cnd]],Lookups!$A$80:$E$88,2,FALSE)</f>
        <v>30300.329274</v>
      </c>
      <c r="AU428" s="30">
        <f>Inventory[[#This Row],[EffAge]]*Lookups!$B$65</f>
        <v>-1522.3754000000001</v>
      </c>
      <c r="AV428" s="30">
        <f>Inventory[[#This Row],[MainFn]]*Lookups!$B$90</f>
        <v>86126.324399999998</v>
      </c>
      <c r="AW428" s="30">
        <f>Inventory[[#This Row],[UpprFn]]*Lookups!$B$91</f>
        <v>0</v>
      </c>
      <c r="AX428" s="30">
        <f>Inventory[[#This Row],[Bsmt Area]]*Lookups!$B$95</f>
        <v>0</v>
      </c>
      <c r="AY428" s="30">
        <f>Inventory[[#This Row],[AttGar]]*Lookups!$B$93</f>
        <v>15108.841268</v>
      </c>
      <c r="AZ428" s="30">
        <f>ROUND(Inventory[[#This Row],[25Det]],-2)</f>
        <v>0</v>
      </c>
      <c r="BA428" s="30">
        <f>ROUND(SUM(Inventory[[#This Row],[Mdl Qlty]:[Mdl Garage Area]])+Inventory[[#This Row],[Mdl Res Intercept]],-2)</f>
        <v>299700</v>
      </c>
      <c r="BB428" s="30">
        <f>ROUND(Inventory[[#This Row],[Mdl Land Intercept]]+Inventory[[#This Row],[Mdl LnAcres]],-2)</f>
        <v>65900</v>
      </c>
      <c r="BC428" s="30">
        <f>Inventory[[#This Row],[Unadj Res Value]]+Inventory[[#This Row],[Unadj Det Value]]+Inventory[[#This Row],[Unadj Land Value]]</f>
        <v>365600</v>
      </c>
      <c r="BD428" s="30">
        <f>(Inventory[[#This Row],[Unadj Total Value]]-Inventory[[#This Row],[24Final]])/Inventory[[#This Row],[24Final]]</f>
        <v>2.3229778897285194E-2</v>
      </c>
      <c r="BE428" s="30">
        <f>VLOOKUP(Inventory[[#This Row],[Nbhd]],Lookups!$M$3:$P$5,4,FALSE)</f>
        <v>0.99970000000000003</v>
      </c>
      <c r="BF428" s="30">
        <f>VLOOKUP(Inventory[[#This Row],[Qlty]],Lookups!$M$8:$P$22,4,FALSE)</f>
        <v>0.99819999999999998</v>
      </c>
      <c r="BG428" s="30">
        <f>VLOOKUP(Inventory[[#This Row],[Cnd]],Lookups!$R$8:$U$17,4,FALSE)</f>
        <v>0.997</v>
      </c>
      <c r="BH428" s="30">
        <f>VLOOKUP(Inventory[[#This Row],[LivArea Range]],Lookups!$R$25:$U$43,4,FALSE)</f>
        <v>0.99519999999999997</v>
      </c>
      <c r="BI428" s="30">
        <f>VLOOKUP(Inventory[[#This Row],[Decade]],Lookups!$M$24:$P$40,4,FALSE)</f>
        <v>1.0024</v>
      </c>
      <c r="BJ428" s="30">
        <f>Inventory[[#This Row],[Nbhd Adj]]*0.95</f>
        <v>0.94971499999999998</v>
      </c>
      <c r="BK428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428" s="30">
        <f>ROUND((SUM(Inventory[[#This Row],[Mdl Qlty]:[Mdl Garage Area]])+Inventory[[#This Row],[Mdl Res Intercept]])*Inventory[[#This Row],[Res Adj ]],-2)</f>
        <v>284300</v>
      </c>
      <c r="BM428" s="30">
        <f>ROUND(Inventory[[#This Row],[25Det]]*Inventory[[#This Row],[Det/Nbhd Adj]],-2)</f>
        <v>0</v>
      </c>
      <c r="BN428" s="30">
        <f>Inventory[[#This Row],[Adjusted Res]]+Inventory[[#This Row],[Adj Det ]]</f>
        <v>284300</v>
      </c>
      <c r="BO428" s="30">
        <f>ROUND((Inventory[[#This Row],[Mdl Land Intercept]]+Inventory[[#This Row],[Mdl LnAcres]])*Inventory[[#This Row],[Det/Nbhd Adj]],-2)</f>
        <v>62500</v>
      </c>
      <c r="BP428" s="30">
        <f>Inventory[[#This Row],[Adjusted Impr Total]]+Inventory[[#This Row],[Adjusted Land Total]]</f>
        <v>346800</v>
      </c>
      <c r="BQ428" s="30">
        <f>IFERROR((Inventory[[#This Row],[Adjusted Impr Total]]-Inventory[[#This Row],[24Bldg]])/Inventory[[#This Row],[24Bldg]],0)</f>
        <v>-3.5617367706919943E-2</v>
      </c>
      <c r="BR428" s="43">
        <f>(Inventory[[#This Row],[Adjusted Land Total]]-Inventory[[#This Row],[24Lnd]])/Inventory[[#This Row],[24Lnd]]</f>
        <v>0</v>
      </c>
      <c r="BS428" s="43">
        <f>(Inventory[[#This Row],[Adjusted Total]]-Inventory[[#This Row],[24Final]])/Inventory[[#This Row],[24Final]]</f>
        <v>-2.938706968933669E-2</v>
      </c>
    </row>
    <row r="429" spans="1:71">
      <c r="A429" s="30">
        <v>2025</v>
      </c>
      <c r="B429" s="31" t="s">
        <v>943</v>
      </c>
      <c r="C429" s="31">
        <f>LN(Inventory[[#This Row],[Acres]])</f>
        <v>-1.7147984280919266</v>
      </c>
      <c r="D429" s="30">
        <v>0.18</v>
      </c>
      <c r="E429" s="30">
        <v>7707</v>
      </c>
      <c r="F429" s="31" t="s">
        <v>505</v>
      </c>
      <c r="G429" s="31" t="s">
        <v>155</v>
      </c>
      <c r="H429" s="31" t="s">
        <v>5</v>
      </c>
      <c r="I429" s="31" t="s">
        <v>506</v>
      </c>
      <c r="J429" s="31" t="s">
        <v>507</v>
      </c>
      <c r="K429" s="31" t="s">
        <v>193</v>
      </c>
      <c r="L429" s="31" t="s">
        <v>21</v>
      </c>
      <c r="M429" s="31" t="s">
        <v>22</v>
      </c>
      <c r="N429" s="31">
        <v>10</v>
      </c>
      <c r="O429" s="31">
        <f>2024-Inventory[[#This Row],[YrBlt]]</f>
        <v>14</v>
      </c>
      <c r="P429" s="31">
        <f>2024-Inventory[[#This Row],[EffYr]]</f>
        <v>14</v>
      </c>
      <c r="Q429" s="30">
        <v>2010</v>
      </c>
      <c r="R429" s="30">
        <v>2010</v>
      </c>
      <c r="S429" s="30">
        <v>2030</v>
      </c>
      <c r="T429" s="32"/>
      <c r="U429" s="32"/>
      <c r="V429" s="32"/>
      <c r="W429" s="32"/>
      <c r="X429" s="32">
        <f>Inventory[[#This Row],[Bsmt Area]]-Inventory[[#This Row],[FnBsmt]]</f>
        <v>0</v>
      </c>
      <c r="Y429" s="32">
        <f>Inventory[[#This Row],[MainFn]]+Inventory[[#This Row],[UpprFn]]+Inventory[[#This Row],[AddFn]]+Inventory[[#This Row],[FnBsmt]]</f>
        <v>2030</v>
      </c>
      <c r="Z429" s="32">
        <v>2500</v>
      </c>
      <c r="AA429" s="31" t="s">
        <v>56</v>
      </c>
      <c r="AB429" s="32"/>
      <c r="AC429" s="30">
        <v>814</v>
      </c>
      <c r="AD429" s="32"/>
      <c r="AE429" s="32"/>
      <c r="AF429" s="32"/>
      <c r="AG429" s="32"/>
      <c r="AH429" s="32"/>
      <c r="AI429" s="30">
        <v>444407</v>
      </c>
      <c r="AJ429" s="30">
        <v>417743</v>
      </c>
      <c r="AK429" s="30">
        <v>0</v>
      </c>
      <c r="AL429" s="30">
        <v>0</v>
      </c>
      <c r="AM429" s="30">
        <v>62500</v>
      </c>
      <c r="AN429" s="30">
        <v>356000</v>
      </c>
      <c r="AO429" s="30">
        <v>418500</v>
      </c>
      <c r="AP429" s="30">
        <f>Lookups!$B$58*0.6</f>
        <v>132535.48800000001</v>
      </c>
      <c r="AQ429" s="30">
        <f>Lookups!$B$58*0.4</f>
        <v>88356.992000000013</v>
      </c>
      <c r="AR429" s="30">
        <f>Lookups!$B$59*Inventory[[#This Row],[LnAcres]]</f>
        <v>-22505.565020573864</v>
      </c>
      <c r="AS429" s="30">
        <f>VLOOKUP(Inventory[[#This Row],[Qlty]],Lookups!$A$66:$E$79,2,FALSE)</f>
        <v>32917.849192000001</v>
      </c>
      <c r="AT429" s="30">
        <f>VLOOKUP(Inventory[[#This Row],[Cnd]],Lookups!$A$80:$E$88,2,FALSE)</f>
        <v>50438.379078999998</v>
      </c>
      <c r="AU429" s="30">
        <f>Inventory[[#This Row],[EffAge]]*Lookups!$B$65</f>
        <v>-1522.3754000000001</v>
      </c>
      <c r="AV429" s="30">
        <f>Inventory[[#This Row],[MainFn]]*Lookups!$B$90</f>
        <v>126693.0714</v>
      </c>
      <c r="AW429" s="30">
        <f>Inventory[[#This Row],[UpprFn]]*Lookups!$B$91</f>
        <v>0</v>
      </c>
      <c r="AX429" s="30">
        <f>Inventory[[#This Row],[Bsmt Area]]*Lookups!$B$95</f>
        <v>0</v>
      </c>
      <c r="AY429" s="30">
        <f>Inventory[[#This Row],[AttGar]]*Lookups!$B$93</f>
        <v>28735.039234</v>
      </c>
      <c r="AZ429" s="30">
        <f>ROUND(Inventory[[#This Row],[25Det]],-2)</f>
        <v>0</v>
      </c>
      <c r="BA429" s="30">
        <f>ROUND(SUM(Inventory[[#This Row],[Mdl Qlty]:[Mdl Garage Area]])+Inventory[[#This Row],[Mdl Res Intercept]],-2)</f>
        <v>369800</v>
      </c>
      <c r="BB429" s="30">
        <f>ROUND(Inventory[[#This Row],[Mdl Land Intercept]]+Inventory[[#This Row],[Mdl LnAcres]],-2)</f>
        <v>65900</v>
      </c>
      <c r="BC429" s="30">
        <f>Inventory[[#This Row],[Unadj Res Value]]+Inventory[[#This Row],[Unadj Det Value]]+Inventory[[#This Row],[Unadj Land Value]]</f>
        <v>435700</v>
      </c>
      <c r="BD429" s="30">
        <f>(Inventory[[#This Row],[Unadj Total Value]]-Inventory[[#This Row],[24Final]])/Inventory[[#This Row],[24Final]]</f>
        <v>4.1099163679808842E-2</v>
      </c>
      <c r="BE429" s="30">
        <f>VLOOKUP(Inventory[[#This Row],[Nbhd]],Lookups!$M$3:$P$5,4,FALSE)</f>
        <v>0.99970000000000003</v>
      </c>
      <c r="BF429" s="30">
        <f>VLOOKUP(Inventory[[#This Row],[Qlty]],Lookups!$M$8:$P$22,4,FALSE)</f>
        <v>1.0019</v>
      </c>
      <c r="BG429" s="30">
        <f>VLOOKUP(Inventory[[#This Row],[Cnd]],Lookups!$R$8:$U$17,4,FALSE)</f>
        <v>1.0007999999999999</v>
      </c>
      <c r="BH429" s="30">
        <f>VLOOKUP(Inventory[[#This Row],[LivArea Range]],Lookups!$R$25:$U$43,4,FALSE)</f>
        <v>1.0008999999999999</v>
      </c>
      <c r="BI429" s="30">
        <f>VLOOKUP(Inventory[[#This Row],[Decade]],Lookups!$M$24:$P$40,4,FALSE)</f>
        <v>1.0024</v>
      </c>
      <c r="BJ429" s="30">
        <f>Inventory[[#This Row],[Nbhd Adj]]*0.95</f>
        <v>0.94971499999999998</v>
      </c>
      <c r="BK429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429" s="30">
        <f>ROUND((SUM(Inventory[[#This Row],[Mdl Qlty]:[Mdl Garage Area]])+Inventory[[#This Row],[Mdl Res Intercept]])*Inventory[[#This Row],[Res Adj ]],-2)</f>
        <v>351700</v>
      </c>
      <c r="BM429" s="30">
        <f>ROUND(Inventory[[#This Row],[25Det]]*Inventory[[#This Row],[Det/Nbhd Adj]],-2)</f>
        <v>0</v>
      </c>
      <c r="BN429" s="30">
        <f>Inventory[[#This Row],[Adjusted Res]]+Inventory[[#This Row],[Adj Det ]]</f>
        <v>351700</v>
      </c>
      <c r="BO429" s="30">
        <f>ROUND((Inventory[[#This Row],[Mdl Land Intercept]]+Inventory[[#This Row],[Mdl LnAcres]])*Inventory[[#This Row],[Det/Nbhd Adj]],-2)</f>
        <v>62500</v>
      </c>
      <c r="BP429" s="30">
        <f>Inventory[[#This Row],[Adjusted Impr Total]]+Inventory[[#This Row],[Adjusted Land Total]]</f>
        <v>414200</v>
      </c>
      <c r="BQ429" s="30">
        <f>IFERROR((Inventory[[#This Row],[Adjusted Impr Total]]-Inventory[[#This Row],[24Bldg]])/Inventory[[#This Row],[24Bldg]],0)</f>
        <v>-1.2078651685393259E-2</v>
      </c>
      <c r="BR429" s="43">
        <f>(Inventory[[#This Row],[Adjusted Land Total]]-Inventory[[#This Row],[24Lnd]])/Inventory[[#This Row],[24Lnd]]</f>
        <v>0</v>
      </c>
      <c r="BS429" s="43">
        <f>(Inventory[[#This Row],[Adjusted Total]]-Inventory[[#This Row],[24Final]])/Inventory[[#This Row],[24Final]]</f>
        <v>-1.0274790919952211E-2</v>
      </c>
    </row>
    <row r="430" spans="1:71">
      <c r="A430" s="30">
        <v>2025</v>
      </c>
      <c r="B430" s="31" t="s">
        <v>944</v>
      </c>
      <c r="C430" s="31">
        <f>LN(Inventory[[#This Row],[Acres]])</f>
        <v>-1.6094379124341003</v>
      </c>
      <c r="D430" s="30">
        <v>0.2</v>
      </c>
      <c r="E430" s="30">
        <v>8609</v>
      </c>
      <c r="F430" s="31" t="s">
        <v>505</v>
      </c>
      <c r="G430" s="31" t="s">
        <v>155</v>
      </c>
      <c r="H430" s="31" t="s">
        <v>5</v>
      </c>
      <c r="I430" s="31" t="s">
        <v>506</v>
      </c>
      <c r="J430" s="31" t="s">
        <v>507</v>
      </c>
      <c r="K430" s="31" t="s">
        <v>193</v>
      </c>
      <c r="L430" s="31" t="s">
        <v>19</v>
      </c>
      <c r="M430" s="31" t="s">
        <v>22</v>
      </c>
      <c r="N430" s="31">
        <v>10</v>
      </c>
      <c r="O430" s="31">
        <f>2024-Inventory[[#This Row],[YrBlt]]</f>
        <v>14</v>
      </c>
      <c r="P430" s="31">
        <f>2024-Inventory[[#This Row],[EffYr]]</f>
        <v>14</v>
      </c>
      <c r="Q430" s="30">
        <v>2010</v>
      </c>
      <c r="R430" s="30">
        <v>2010</v>
      </c>
      <c r="S430" s="30">
        <v>1536</v>
      </c>
      <c r="T430" s="32"/>
      <c r="U430" s="32"/>
      <c r="V430" s="32"/>
      <c r="W430" s="32"/>
      <c r="X430" s="32">
        <f>Inventory[[#This Row],[Bsmt Area]]-Inventory[[#This Row],[FnBsmt]]</f>
        <v>0</v>
      </c>
      <c r="Y430" s="32">
        <f>Inventory[[#This Row],[MainFn]]+Inventory[[#This Row],[UpprFn]]+Inventory[[#This Row],[AddFn]]+Inventory[[#This Row],[FnBsmt]]</f>
        <v>1536</v>
      </c>
      <c r="Z430" s="32">
        <v>2000</v>
      </c>
      <c r="AA430" s="31" t="s">
        <v>56</v>
      </c>
      <c r="AB430" s="32"/>
      <c r="AC430" s="30">
        <v>420</v>
      </c>
      <c r="AD430" s="32"/>
      <c r="AE430" s="32"/>
      <c r="AF430" s="32"/>
      <c r="AG430" s="32"/>
      <c r="AH430" s="32"/>
      <c r="AI430" s="30">
        <v>312514</v>
      </c>
      <c r="AJ430" s="30">
        <v>293763</v>
      </c>
      <c r="AK430" s="30">
        <v>0</v>
      </c>
      <c r="AL430" s="30">
        <v>0</v>
      </c>
      <c r="AM430" s="30">
        <v>64000</v>
      </c>
      <c r="AN430" s="30">
        <v>326300</v>
      </c>
      <c r="AO430" s="30">
        <v>390300</v>
      </c>
      <c r="AP430" s="30">
        <f>Lookups!$B$58*0.6</f>
        <v>132535.48800000001</v>
      </c>
      <c r="AQ430" s="30">
        <f>Lookups!$B$58*0.4</f>
        <v>88356.992000000013</v>
      </c>
      <c r="AR430" s="30">
        <f>Lookups!$B$59*Inventory[[#This Row],[LnAcres]]</f>
        <v>-21122.779792355024</v>
      </c>
      <c r="AS430" s="30">
        <f>VLOOKUP(Inventory[[#This Row],[Qlty]],Lookups!$A$66:$E$79,2,FALSE)</f>
        <v>37154.252388000001</v>
      </c>
      <c r="AT430" s="30">
        <f>VLOOKUP(Inventory[[#This Row],[Cnd]],Lookups!$A$80:$E$88,2,FALSE)</f>
        <v>50438.379078999998</v>
      </c>
      <c r="AU430" s="30">
        <f>Inventory[[#This Row],[EffAge]]*Lookups!$B$65</f>
        <v>-1522.3754000000001</v>
      </c>
      <c r="AV430" s="30">
        <f>Inventory[[#This Row],[MainFn]]*Lookups!$B$90</f>
        <v>95862.343680000005</v>
      </c>
      <c r="AW430" s="30">
        <f>Inventory[[#This Row],[UpprFn]]*Lookups!$B$91</f>
        <v>0</v>
      </c>
      <c r="AX430" s="30">
        <f>Inventory[[#This Row],[Bsmt Area]]*Lookups!$B$95</f>
        <v>0</v>
      </c>
      <c r="AY430" s="30">
        <f>Inventory[[#This Row],[AttGar]]*Lookups!$B$93</f>
        <v>14826.43302</v>
      </c>
      <c r="AZ430" s="30">
        <f>ROUND(Inventory[[#This Row],[25Det]],-2)</f>
        <v>0</v>
      </c>
      <c r="BA430" s="30">
        <f>ROUND(SUM(Inventory[[#This Row],[Mdl Qlty]:[Mdl Garage Area]])+Inventory[[#This Row],[Mdl Res Intercept]],-2)</f>
        <v>329300</v>
      </c>
      <c r="BB430" s="30">
        <f>ROUND(Inventory[[#This Row],[Mdl Land Intercept]]+Inventory[[#This Row],[Mdl LnAcres]],-2)</f>
        <v>67200</v>
      </c>
      <c r="BC430" s="30">
        <f>Inventory[[#This Row],[Unadj Res Value]]+Inventory[[#This Row],[Unadj Det Value]]+Inventory[[#This Row],[Unadj Land Value]]</f>
        <v>396500</v>
      </c>
      <c r="BD430" s="30">
        <f>(Inventory[[#This Row],[Unadj Total Value]]-Inventory[[#This Row],[24Final]])/Inventory[[#This Row],[24Final]]</f>
        <v>1.5885216500128106E-2</v>
      </c>
      <c r="BE430" s="30">
        <f>VLOOKUP(Inventory[[#This Row],[Nbhd]],Lookups!$M$3:$P$5,4,FALSE)</f>
        <v>0.99970000000000003</v>
      </c>
      <c r="BF430" s="30">
        <f>VLOOKUP(Inventory[[#This Row],[Qlty]],Lookups!$M$8:$P$22,4,FALSE)</f>
        <v>0.99819999999999998</v>
      </c>
      <c r="BG430" s="30">
        <f>VLOOKUP(Inventory[[#This Row],[Cnd]],Lookups!$R$8:$U$17,4,FALSE)</f>
        <v>1.0007999999999999</v>
      </c>
      <c r="BH430" s="30">
        <f>VLOOKUP(Inventory[[#This Row],[LivArea Range]],Lookups!$R$25:$U$43,4,FALSE)</f>
        <v>1.0007999999999999</v>
      </c>
      <c r="BI430" s="30">
        <f>VLOOKUP(Inventory[[#This Row],[Decade]],Lookups!$M$24:$P$40,4,FALSE)</f>
        <v>1.0024</v>
      </c>
      <c r="BJ430" s="30">
        <f>Inventory[[#This Row],[Nbhd Adj]]*0.95</f>
        <v>0.94971499999999998</v>
      </c>
      <c r="BK430" s="30">
        <f>AVERAGE(Inventory[[#This Row],[Nbhd Adj]],Inventory[[#This Row],[Quality Adj]],Inventory[[#This Row],[Condition Adj]],Inventory[[#This Row],[Living Area Adj]],Inventory[[#This Row],[Decade Adj]])*0.95</f>
        <v>0.95036100000000001</v>
      </c>
      <c r="BL430" s="30">
        <f>ROUND((SUM(Inventory[[#This Row],[Mdl Qlty]:[Mdl Garage Area]])+Inventory[[#This Row],[Mdl Res Intercept]])*Inventory[[#This Row],[Res Adj ]],-2)</f>
        <v>312900</v>
      </c>
      <c r="BM430" s="30">
        <f>ROUND(Inventory[[#This Row],[25Det]]*Inventory[[#This Row],[Det/Nbhd Adj]],-2)</f>
        <v>0</v>
      </c>
      <c r="BN430" s="30">
        <f>Inventory[[#This Row],[Adjusted Res]]+Inventory[[#This Row],[Adj Det ]]</f>
        <v>312900</v>
      </c>
      <c r="BO430" s="30">
        <f>ROUND((Inventory[[#This Row],[Mdl Land Intercept]]+Inventory[[#This Row],[Mdl LnAcres]])*Inventory[[#This Row],[Det/Nbhd Adj]],-2)</f>
        <v>63900</v>
      </c>
      <c r="BP430" s="30">
        <f>Inventory[[#This Row],[Adjusted Impr Total]]+Inventory[[#This Row],[Adjusted Land Total]]</f>
        <v>376800</v>
      </c>
      <c r="BQ430" s="30">
        <f>IFERROR((Inventory[[#This Row],[Adjusted Impr Total]]-Inventory[[#This Row],[24Bldg]])/Inventory[[#This Row],[24Bldg]],0)</f>
        <v>-4.1066503217897642E-2</v>
      </c>
      <c r="BR430" s="43">
        <f>(Inventory[[#This Row],[Adjusted Land Total]]-Inventory[[#This Row],[24Lnd]])/Inventory[[#This Row],[24Lnd]]</f>
        <v>-1.5625000000000001E-3</v>
      </c>
      <c r="BS430" s="43">
        <f>(Inventory[[#This Row],[Adjusted Total]]-Inventory[[#This Row],[24Final]])/Inventory[[#This Row],[24Final]]</f>
        <v>-3.4588777863182166E-2</v>
      </c>
    </row>
    <row r="431" spans="1:71">
      <c r="A431" s="30">
        <v>2025</v>
      </c>
      <c r="B431" s="31" t="s">
        <v>945</v>
      </c>
      <c r="C431" s="31">
        <f>LN(Inventory[[#This Row],[Acres]])</f>
        <v>-1.6094379124341003</v>
      </c>
      <c r="D431" s="30">
        <v>0.2</v>
      </c>
      <c r="E431" s="30">
        <v>8589</v>
      </c>
      <c r="F431" s="31" t="s">
        <v>505</v>
      </c>
      <c r="G431" s="31" t="s">
        <v>155</v>
      </c>
      <c r="H431" s="31" t="s">
        <v>5</v>
      </c>
      <c r="I431" s="31" t="s">
        <v>506</v>
      </c>
      <c r="J431" s="31" t="s">
        <v>507</v>
      </c>
      <c r="K431" s="31" t="s">
        <v>193</v>
      </c>
      <c r="L431" s="31" t="s">
        <v>19</v>
      </c>
      <c r="M431" s="31" t="s">
        <v>20</v>
      </c>
      <c r="N431" s="31">
        <v>10</v>
      </c>
      <c r="O431" s="31">
        <f>2024-Inventory[[#This Row],[YrBlt]]</f>
        <v>14</v>
      </c>
      <c r="P431" s="31">
        <f>2024-Inventory[[#This Row],[EffYr]]</f>
        <v>14</v>
      </c>
      <c r="Q431" s="30">
        <v>2010</v>
      </c>
      <c r="R431" s="30">
        <v>2010</v>
      </c>
      <c r="S431" s="30">
        <v>1694</v>
      </c>
      <c r="T431" s="32"/>
      <c r="U431" s="32"/>
      <c r="V431" s="32"/>
      <c r="W431" s="32"/>
      <c r="X431" s="32">
        <f>Inventory[[#This Row],[Bsmt Area]]-Inventory[[#This Row],[FnBsmt]]</f>
        <v>0</v>
      </c>
      <c r="Y431" s="32">
        <f>Inventory[[#This Row],[MainFn]]+Inventory[[#This Row],[UpprFn]]+Inventory[[#This Row],[AddFn]]+Inventory[[#This Row],[FnBsmt]]</f>
        <v>1694</v>
      </c>
      <c r="Z431" s="32">
        <v>2000</v>
      </c>
      <c r="AA431" s="31" t="s">
        <v>56</v>
      </c>
      <c r="AB431" s="32"/>
      <c r="AC431" s="30">
        <v>462</v>
      </c>
      <c r="AD431" s="32"/>
      <c r="AE431" s="32"/>
      <c r="AF431" s="32"/>
      <c r="AG431" s="32"/>
      <c r="AH431" s="32"/>
      <c r="AI431" s="30">
        <v>328323</v>
      </c>
      <c r="AJ431" s="30">
        <v>305340</v>
      </c>
      <c r="AK431" s="30">
        <v>0</v>
      </c>
      <c r="AL431" s="30">
        <v>0</v>
      </c>
      <c r="AM431" s="30">
        <v>64000</v>
      </c>
      <c r="AN431" s="30">
        <v>314700</v>
      </c>
      <c r="AO431" s="30">
        <v>378700</v>
      </c>
      <c r="AP431" s="30">
        <f>Lookups!$B$58*0.6</f>
        <v>132535.48800000001</v>
      </c>
      <c r="AQ431" s="30">
        <f>Lookups!$B$58*0.4</f>
        <v>88356.992000000013</v>
      </c>
      <c r="AR431" s="30">
        <f>Lookups!$B$59*Inventory[[#This Row],[LnAcres]]</f>
        <v>-21122.779792355024</v>
      </c>
      <c r="AS431" s="30">
        <f>VLOOKUP(Inventory[[#This Row],[Qlty]],Lookups!$A$66:$E$79,2,FALSE)</f>
        <v>37154.252388000001</v>
      </c>
      <c r="AT431" s="30">
        <f>VLOOKUP(Inventory[[#This Row],[Cnd]],Lookups!$A$80:$E$88,2,FALSE)</f>
        <v>30300.329274</v>
      </c>
      <c r="AU431" s="30">
        <f>Inventory[[#This Row],[EffAge]]*Lookups!$B$65</f>
        <v>-1522.3754000000001</v>
      </c>
      <c r="AV431" s="30">
        <f>Inventory[[#This Row],[MainFn]]*Lookups!$B$90</f>
        <v>105723.18372</v>
      </c>
      <c r="AW431" s="30">
        <f>Inventory[[#This Row],[UpprFn]]*Lookups!$B$91</f>
        <v>0</v>
      </c>
      <c r="AX431" s="30">
        <f>Inventory[[#This Row],[Bsmt Area]]*Lookups!$B$95</f>
        <v>0</v>
      </c>
      <c r="AY431" s="30">
        <f>Inventory[[#This Row],[AttGar]]*Lookups!$B$93</f>
        <v>16309.076322000001</v>
      </c>
      <c r="AZ431" s="30">
        <f>ROUND(Inventory[[#This Row],[25Det]],-2)</f>
        <v>0</v>
      </c>
      <c r="BA431" s="30">
        <f>ROUND(SUM(Inventory[[#This Row],[Mdl Qlty]:[Mdl Garage Area]])+Inventory[[#This Row],[Mdl Res Intercept]],-2)</f>
        <v>320500</v>
      </c>
      <c r="BB431" s="30">
        <f>ROUND(Inventory[[#This Row],[Mdl Land Intercept]]+Inventory[[#This Row],[Mdl LnAcres]],-2)</f>
        <v>67200</v>
      </c>
      <c r="BC431" s="30">
        <f>Inventory[[#This Row],[Unadj Res Value]]+Inventory[[#This Row],[Unadj Det Value]]+Inventory[[#This Row],[Unadj Land Value]]</f>
        <v>387700</v>
      </c>
      <c r="BD431" s="30">
        <f>(Inventory[[#This Row],[Unadj Total Value]]-Inventory[[#This Row],[24Final]])/Inventory[[#This Row],[24Final]]</f>
        <v>2.3765513599155005E-2</v>
      </c>
      <c r="BE431" s="30">
        <f>VLOOKUP(Inventory[[#This Row],[Nbhd]],Lookups!$M$3:$P$5,4,FALSE)</f>
        <v>0.99970000000000003</v>
      </c>
      <c r="BF431" s="30">
        <f>VLOOKUP(Inventory[[#This Row],[Qlty]],Lookups!$M$8:$P$22,4,FALSE)</f>
        <v>0.99819999999999998</v>
      </c>
      <c r="BG431" s="30">
        <f>VLOOKUP(Inventory[[#This Row],[Cnd]],Lookups!$R$8:$U$17,4,FALSE)</f>
        <v>0.997</v>
      </c>
      <c r="BH431" s="30">
        <f>VLOOKUP(Inventory[[#This Row],[LivArea Range]],Lookups!$R$25:$U$43,4,FALSE)</f>
        <v>1.0007999999999999</v>
      </c>
      <c r="BI431" s="30">
        <f>VLOOKUP(Inventory[[#This Row],[Decade]],Lookups!$M$24:$P$40,4,FALSE)</f>
        <v>1.0024</v>
      </c>
      <c r="BJ431" s="30">
        <f>Inventory[[#This Row],[Nbhd Adj]]*0.95</f>
        <v>0.94971499999999998</v>
      </c>
      <c r="BK431" s="30">
        <f>AVERAGE(Inventory[[#This Row],[Nbhd Adj]],Inventory[[#This Row],[Quality Adj]],Inventory[[#This Row],[Condition Adj]],Inventory[[#This Row],[Living Area Adj]],Inventory[[#This Row],[Decade Adj]])*0.95</f>
        <v>0.9496389999999999</v>
      </c>
      <c r="BL431" s="30">
        <f>ROUND((SUM(Inventory[[#This Row],[Mdl Qlty]:[Mdl Garage Area]])+Inventory[[#This Row],[Mdl Res Intercept]])*Inventory[[#This Row],[Res Adj ]],-2)</f>
        <v>304400</v>
      </c>
      <c r="BM431" s="30">
        <f>ROUND(Inventory[[#This Row],[25Det]]*Inventory[[#This Row],[Det/Nbhd Adj]],-2)</f>
        <v>0</v>
      </c>
      <c r="BN431" s="30">
        <f>Inventory[[#This Row],[Adjusted Res]]+Inventory[[#This Row],[Adj Det ]]</f>
        <v>304400</v>
      </c>
      <c r="BO431" s="30">
        <f>ROUND((Inventory[[#This Row],[Mdl Land Intercept]]+Inventory[[#This Row],[Mdl LnAcres]])*Inventory[[#This Row],[Det/Nbhd Adj]],-2)</f>
        <v>63900</v>
      </c>
      <c r="BP431" s="30">
        <f>Inventory[[#This Row],[Adjusted Impr Total]]+Inventory[[#This Row],[Adjusted Land Total]]</f>
        <v>368300</v>
      </c>
      <c r="BQ431" s="30">
        <f>IFERROR((Inventory[[#This Row],[Adjusted Impr Total]]-Inventory[[#This Row],[24Bldg]])/Inventory[[#This Row],[24Bldg]],0)</f>
        <v>-3.2729583730537019E-2</v>
      </c>
      <c r="BR431" s="43">
        <f>(Inventory[[#This Row],[Adjusted Land Total]]-Inventory[[#This Row],[24Lnd]])/Inventory[[#This Row],[24Lnd]]</f>
        <v>-1.5625000000000001E-3</v>
      </c>
      <c r="BS431" s="43">
        <f>(Inventory[[#This Row],[Adjusted Total]]-Inventory[[#This Row],[24Final]])/Inventory[[#This Row],[24Final]]</f>
        <v>-2.7462371270134671E-2</v>
      </c>
    </row>
    <row r="432" spans="1:71">
      <c r="A432" s="30">
        <v>2025</v>
      </c>
      <c r="B432" s="31" t="s">
        <v>946</v>
      </c>
      <c r="C432" s="31">
        <f>LN(Inventory[[#This Row],[Acres]])</f>
        <v>-1.6094379124341003</v>
      </c>
      <c r="D432" s="30">
        <v>0.2</v>
      </c>
      <c r="E432" s="30">
        <v>8703</v>
      </c>
      <c r="F432" s="31" t="s">
        <v>505</v>
      </c>
      <c r="G432" s="31" t="s">
        <v>155</v>
      </c>
      <c r="H432" s="31" t="s">
        <v>5</v>
      </c>
      <c r="I432" s="31" t="s">
        <v>506</v>
      </c>
      <c r="J432" s="31" t="s">
        <v>507</v>
      </c>
      <c r="K432" s="31" t="s">
        <v>330</v>
      </c>
      <c r="L432" s="31" t="s">
        <v>19</v>
      </c>
      <c r="M432" s="31" t="s">
        <v>22</v>
      </c>
      <c r="N432" s="31">
        <v>10</v>
      </c>
      <c r="O432" s="31">
        <f>2024-Inventory[[#This Row],[YrBlt]]</f>
        <v>14</v>
      </c>
      <c r="P432" s="31">
        <f>2024-Inventory[[#This Row],[EffYr]]</f>
        <v>14</v>
      </c>
      <c r="Q432" s="30">
        <v>2010</v>
      </c>
      <c r="R432" s="30">
        <v>2010</v>
      </c>
      <c r="S432" s="30">
        <v>1364</v>
      </c>
      <c r="T432" s="32"/>
      <c r="U432" s="32"/>
      <c r="V432" s="32"/>
      <c r="W432" s="32"/>
      <c r="X432" s="32">
        <f>Inventory[[#This Row],[Bsmt Area]]-Inventory[[#This Row],[FnBsmt]]</f>
        <v>0</v>
      </c>
      <c r="Y432" s="32">
        <f>Inventory[[#This Row],[MainFn]]+Inventory[[#This Row],[UpprFn]]+Inventory[[#This Row],[AddFn]]+Inventory[[#This Row],[FnBsmt]]</f>
        <v>1364</v>
      </c>
      <c r="Z432" s="32">
        <v>1500</v>
      </c>
      <c r="AA432" s="31" t="s">
        <v>56</v>
      </c>
      <c r="AB432" s="32"/>
      <c r="AC432" s="30">
        <v>428</v>
      </c>
      <c r="AD432" s="32"/>
      <c r="AE432" s="32"/>
      <c r="AF432" s="32"/>
      <c r="AG432" s="32"/>
      <c r="AH432" s="32"/>
      <c r="AI432" s="30">
        <v>278459</v>
      </c>
      <c r="AJ432" s="30">
        <v>261751</v>
      </c>
      <c r="AK432" s="30">
        <v>0</v>
      </c>
      <c r="AL432" s="30">
        <v>0</v>
      </c>
      <c r="AM432" s="30">
        <v>64000</v>
      </c>
      <c r="AN432" s="30">
        <v>310900</v>
      </c>
      <c r="AO432" s="30">
        <v>374900</v>
      </c>
      <c r="AP432" s="30">
        <f>Lookups!$B$58*0.6</f>
        <v>132535.48800000001</v>
      </c>
      <c r="AQ432" s="30">
        <f>Lookups!$B$58*0.4</f>
        <v>88356.992000000013</v>
      </c>
      <c r="AR432" s="30">
        <f>Lookups!$B$59*Inventory[[#This Row],[LnAcres]]</f>
        <v>-21122.779792355024</v>
      </c>
      <c r="AS432" s="30">
        <f>VLOOKUP(Inventory[[#This Row],[Qlty]],Lookups!$A$66:$E$79,2,FALSE)</f>
        <v>37154.252388000001</v>
      </c>
      <c r="AT432" s="30">
        <f>VLOOKUP(Inventory[[#This Row],[Cnd]],Lookups!$A$80:$E$88,2,FALSE)</f>
        <v>50438.379078999998</v>
      </c>
      <c r="AU432" s="30">
        <f>Inventory[[#This Row],[EffAge]]*Lookups!$B$65</f>
        <v>-1522.3754000000001</v>
      </c>
      <c r="AV432" s="30">
        <f>Inventory[[#This Row],[MainFn]]*Lookups!$B$90</f>
        <v>85127.758320000008</v>
      </c>
      <c r="AW432" s="30">
        <f>Inventory[[#This Row],[UpprFn]]*Lookups!$B$91</f>
        <v>0</v>
      </c>
      <c r="AX432" s="30">
        <f>Inventory[[#This Row],[Bsmt Area]]*Lookups!$B$95</f>
        <v>0</v>
      </c>
      <c r="AY432" s="30">
        <f>Inventory[[#This Row],[AttGar]]*Lookups!$B$93</f>
        <v>15108.841268</v>
      </c>
      <c r="AZ432" s="30">
        <f>ROUND(Inventory[[#This Row],[25Det]],-2)</f>
        <v>0</v>
      </c>
      <c r="BA432" s="30">
        <f>ROUND(SUM(Inventory[[#This Row],[Mdl Qlty]:[Mdl Garage Area]])+Inventory[[#This Row],[Mdl Res Intercept]],-2)</f>
        <v>318800</v>
      </c>
      <c r="BB432" s="30">
        <f>ROUND(Inventory[[#This Row],[Mdl Land Intercept]]+Inventory[[#This Row],[Mdl LnAcres]],-2)</f>
        <v>67200</v>
      </c>
      <c r="BC432" s="30">
        <f>Inventory[[#This Row],[Unadj Res Value]]+Inventory[[#This Row],[Unadj Det Value]]+Inventory[[#This Row],[Unadj Land Value]]</f>
        <v>386000</v>
      </c>
      <c r="BD432" s="30">
        <f>(Inventory[[#This Row],[Unadj Total Value]]-Inventory[[#This Row],[24Final]])/Inventory[[#This Row],[24Final]]</f>
        <v>2.9607895438783675E-2</v>
      </c>
      <c r="BE432" s="30">
        <f>VLOOKUP(Inventory[[#This Row],[Nbhd]],Lookups!$M$3:$P$5,4,FALSE)</f>
        <v>0.99970000000000003</v>
      </c>
      <c r="BF432" s="30">
        <f>VLOOKUP(Inventory[[#This Row],[Qlty]],Lookups!$M$8:$P$22,4,FALSE)</f>
        <v>0.99819999999999998</v>
      </c>
      <c r="BG432" s="30">
        <f>VLOOKUP(Inventory[[#This Row],[Cnd]],Lookups!$R$8:$U$17,4,FALSE)</f>
        <v>1.0007999999999999</v>
      </c>
      <c r="BH432" s="30">
        <f>VLOOKUP(Inventory[[#This Row],[LivArea Range]],Lookups!$R$25:$U$43,4,FALSE)</f>
        <v>0.99519999999999997</v>
      </c>
      <c r="BI432" s="30">
        <f>VLOOKUP(Inventory[[#This Row],[Decade]],Lookups!$M$24:$P$40,4,FALSE)</f>
        <v>1.0024</v>
      </c>
      <c r="BJ432" s="30">
        <f>Inventory[[#This Row],[Nbhd Adj]]*0.95</f>
        <v>0.94971499999999998</v>
      </c>
      <c r="BK432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432" s="30">
        <f>ROUND((SUM(Inventory[[#This Row],[Mdl Qlty]:[Mdl Garage Area]])+Inventory[[#This Row],[Mdl Res Intercept]])*Inventory[[#This Row],[Res Adj ]],-2)</f>
        <v>302700</v>
      </c>
      <c r="BM432" s="30">
        <f>ROUND(Inventory[[#This Row],[25Det]]*Inventory[[#This Row],[Det/Nbhd Adj]],-2)</f>
        <v>0</v>
      </c>
      <c r="BN432" s="30">
        <f>Inventory[[#This Row],[Adjusted Res]]+Inventory[[#This Row],[Adj Det ]]</f>
        <v>302700</v>
      </c>
      <c r="BO432" s="30">
        <f>ROUND((Inventory[[#This Row],[Mdl Land Intercept]]+Inventory[[#This Row],[Mdl LnAcres]])*Inventory[[#This Row],[Det/Nbhd Adj]],-2)</f>
        <v>63900</v>
      </c>
      <c r="BP432" s="30">
        <f>Inventory[[#This Row],[Adjusted Impr Total]]+Inventory[[#This Row],[Adjusted Land Total]]</f>
        <v>366600</v>
      </c>
      <c r="BQ432" s="30">
        <f>IFERROR((Inventory[[#This Row],[Adjusted Impr Total]]-Inventory[[#This Row],[24Bldg]])/Inventory[[#This Row],[24Bldg]],0)</f>
        <v>-2.6375040205853972E-2</v>
      </c>
      <c r="BR432" s="43">
        <f>(Inventory[[#This Row],[Adjusted Land Total]]-Inventory[[#This Row],[24Lnd]])/Inventory[[#This Row],[24Lnd]]</f>
        <v>-1.5625000000000001E-3</v>
      </c>
      <c r="BS432" s="43">
        <f>(Inventory[[#This Row],[Adjusted Total]]-Inventory[[#This Row],[24Final]])/Inventory[[#This Row],[24Final]]</f>
        <v>-2.2139237129901308E-2</v>
      </c>
    </row>
    <row r="433" spans="1:71">
      <c r="A433" s="30">
        <v>2025</v>
      </c>
      <c r="B433" s="31" t="s">
        <v>947</v>
      </c>
      <c r="C433" s="31">
        <f>LN(Inventory[[#This Row],[Acres]])</f>
        <v>-0.916290731874155</v>
      </c>
      <c r="D433" s="30">
        <v>0.4</v>
      </c>
      <c r="E433" s="30">
        <v>17236</v>
      </c>
      <c r="F433" s="31" t="s">
        <v>505</v>
      </c>
      <c r="G433" s="31" t="s">
        <v>155</v>
      </c>
      <c r="H433" s="31" t="s">
        <v>5</v>
      </c>
      <c r="I433" s="31" t="s">
        <v>506</v>
      </c>
      <c r="J433" s="31" t="s">
        <v>507</v>
      </c>
      <c r="K433" s="31" t="s">
        <v>330</v>
      </c>
      <c r="L433" s="31" t="s">
        <v>23</v>
      </c>
      <c r="M433" s="31" t="s">
        <v>22</v>
      </c>
      <c r="N433" s="31">
        <v>10</v>
      </c>
      <c r="O433" s="31">
        <f>2024-Inventory[[#This Row],[YrBlt]]</f>
        <v>14</v>
      </c>
      <c r="P433" s="31">
        <f>2024-Inventory[[#This Row],[EffYr]]</f>
        <v>14</v>
      </c>
      <c r="Q433" s="30">
        <v>2010</v>
      </c>
      <c r="R433" s="30">
        <v>2010</v>
      </c>
      <c r="S433" s="30">
        <v>2556</v>
      </c>
      <c r="T433" s="32"/>
      <c r="U433" s="32"/>
      <c r="V433" s="32"/>
      <c r="W433" s="32"/>
      <c r="X433" s="32">
        <f>Inventory[[#This Row],[Bsmt Area]]-Inventory[[#This Row],[FnBsmt]]</f>
        <v>0</v>
      </c>
      <c r="Y433" s="32">
        <f>Inventory[[#This Row],[MainFn]]+Inventory[[#This Row],[UpprFn]]+Inventory[[#This Row],[AddFn]]+Inventory[[#This Row],[FnBsmt]]</f>
        <v>2556</v>
      </c>
      <c r="Z433" s="32">
        <v>3000</v>
      </c>
      <c r="AA433" s="31" t="s">
        <v>55</v>
      </c>
      <c r="AB433" s="38">
        <v>1</v>
      </c>
      <c r="AC433" s="30">
        <v>1031</v>
      </c>
      <c r="AD433" s="32"/>
      <c r="AE433" s="32"/>
      <c r="AF433" s="32"/>
      <c r="AG433" s="32"/>
      <c r="AH433" s="32"/>
      <c r="AI433" s="30">
        <v>620988</v>
      </c>
      <c r="AJ433" s="30">
        <v>589939</v>
      </c>
      <c r="AK433" s="30">
        <v>13362</v>
      </c>
      <c r="AL433" s="30">
        <v>0</v>
      </c>
      <c r="AM433" s="30">
        <v>73700</v>
      </c>
      <c r="AN433" s="30">
        <v>433400</v>
      </c>
      <c r="AO433" s="30">
        <v>507100</v>
      </c>
      <c r="AP433" s="30">
        <f>Lookups!$B$58*0.6</f>
        <v>132535.48800000001</v>
      </c>
      <c r="AQ433" s="30">
        <f>Lookups!$B$58*0.4</f>
        <v>88356.992000000013</v>
      </c>
      <c r="AR433" s="30">
        <f>Lookups!$B$59*Inventory[[#This Row],[LnAcres]]</f>
        <v>-12025.693694441341</v>
      </c>
      <c r="AS433" s="30">
        <f>VLOOKUP(Inventory[[#This Row],[Qlty]],Lookups!$A$66:$E$79,2,FALSE)</f>
        <v>39366.494398000003</v>
      </c>
      <c r="AT433" s="30">
        <f>VLOOKUP(Inventory[[#This Row],[Cnd]],Lookups!$A$80:$E$88,2,FALSE)</f>
        <v>50438.379078999998</v>
      </c>
      <c r="AU433" s="30">
        <f>Inventory[[#This Row],[EffAge]]*Lookups!$B$65</f>
        <v>-1522.3754000000001</v>
      </c>
      <c r="AV433" s="30">
        <f>Inventory[[#This Row],[MainFn]]*Lookups!$B$90</f>
        <v>159520.93128000002</v>
      </c>
      <c r="AW433" s="30">
        <f>Inventory[[#This Row],[UpprFn]]*Lookups!$B$91</f>
        <v>0</v>
      </c>
      <c r="AX433" s="30">
        <f>Inventory[[#This Row],[Bsmt Area]]*Lookups!$B$95</f>
        <v>0</v>
      </c>
      <c r="AY433" s="30">
        <f>Inventory[[#This Row],[AttGar]]*Lookups!$B$93</f>
        <v>36395.362960999999</v>
      </c>
      <c r="AZ433" s="30">
        <f>ROUND(Inventory[[#This Row],[25Det]],-2)</f>
        <v>13400</v>
      </c>
      <c r="BA433" s="30">
        <f>ROUND(SUM(Inventory[[#This Row],[Mdl Qlty]:[Mdl Garage Area]])+Inventory[[#This Row],[Mdl Res Intercept]],-2)</f>
        <v>416700</v>
      </c>
      <c r="BB433" s="30">
        <f>ROUND(Inventory[[#This Row],[Mdl Land Intercept]]+Inventory[[#This Row],[Mdl LnAcres]],-2)</f>
        <v>76300</v>
      </c>
      <c r="BC433" s="30">
        <f>Inventory[[#This Row],[Unadj Res Value]]+Inventory[[#This Row],[Unadj Det Value]]+Inventory[[#This Row],[Unadj Land Value]]</f>
        <v>506400</v>
      </c>
      <c r="BD433" s="30">
        <f>(Inventory[[#This Row],[Unadj Total Value]]-Inventory[[#This Row],[24Final]])/Inventory[[#This Row],[24Final]]</f>
        <v>-1.3803983435219877E-3</v>
      </c>
      <c r="BE433" s="30">
        <f>VLOOKUP(Inventory[[#This Row],[Nbhd]],Lookups!$M$3:$P$5,4,FALSE)</f>
        <v>0.99970000000000003</v>
      </c>
      <c r="BF433" s="30">
        <f>VLOOKUP(Inventory[[#This Row],[Qlty]],Lookups!$M$8:$P$22,4,FALSE)</f>
        <v>0.99980000000000002</v>
      </c>
      <c r="BG433" s="30">
        <f>VLOOKUP(Inventory[[#This Row],[Cnd]],Lookups!$R$8:$U$17,4,FALSE)</f>
        <v>1.0007999999999999</v>
      </c>
      <c r="BH433" s="30">
        <f>VLOOKUP(Inventory[[#This Row],[LivArea Range]],Lookups!$R$25:$U$43,4,FALSE)</f>
        <v>1.0099</v>
      </c>
      <c r="BI433" s="30">
        <f>VLOOKUP(Inventory[[#This Row],[Decade]],Lookups!$M$24:$P$40,4,FALSE)</f>
        <v>1.0024</v>
      </c>
      <c r="BJ433" s="30">
        <f>Inventory[[#This Row],[Nbhd Adj]]*0.95</f>
        <v>0.94971499999999998</v>
      </c>
      <c r="BK433" s="30">
        <f>AVERAGE(Inventory[[#This Row],[Nbhd Adj]],Inventory[[#This Row],[Quality Adj]],Inventory[[#This Row],[Condition Adj]],Inventory[[#This Row],[Living Area Adj]],Inventory[[#This Row],[Decade Adj]])*0.95</f>
        <v>0.95239400000000007</v>
      </c>
      <c r="BL433" s="30">
        <f>ROUND((SUM(Inventory[[#This Row],[Mdl Qlty]:[Mdl Garage Area]])+Inventory[[#This Row],[Mdl Res Intercept]])*Inventory[[#This Row],[Res Adj ]],-2)</f>
        <v>396900</v>
      </c>
      <c r="BM433" s="30">
        <f>ROUND(Inventory[[#This Row],[25Det]]*Inventory[[#This Row],[Det/Nbhd Adj]],-2)</f>
        <v>12700</v>
      </c>
      <c r="BN433" s="30">
        <f>Inventory[[#This Row],[Adjusted Res]]+Inventory[[#This Row],[Adj Det ]]</f>
        <v>409600</v>
      </c>
      <c r="BO433" s="30">
        <f>ROUND((Inventory[[#This Row],[Mdl Land Intercept]]+Inventory[[#This Row],[Mdl LnAcres]])*Inventory[[#This Row],[Det/Nbhd Adj]],-2)</f>
        <v>72500</v>
      </c>
      <c r="BP433" s="30">
        <f>Inventory[[#This Row],[Adjusted Impr Total]]+Inventory[[#This Row],[Adjusted Land Total]]</f>
        <v>482100</v>
      </c>
      <c r="BQ433" s="30">
        <f>IFERROR((Inventory[[#This Row],[Adjusted Impr Total]]-Inventory[[#This Row],[24Bldg]])/Inventory[[#This Row],[24Bldg]],0)</f>
        <v>-5.4914628518689432E-2</v>
      </c>
      <c r="BR433" s="43">
        <f>(Inventory[[#This Row],[Adjusted Land Total]]-Inventory[[#This Row],[24Lnd]])/Inventory[[#This Row],[24Lnd]]</f>
        <v>-1.6282225237449117E-2</v>
      </c>
      <c r="BS433" s="43">
        <f>(Inventory[[#This Row],[Adjusted Total]]-Inventory[[#This Row],[24Final]])/Inventory[[#This Row],[24Final]]</f>
        <v>-4.9299940840070992E-2</v>
      </c>
    </row>
    <row r="434" spans="1:71">
      <c r="A434" s="30">
        <v>2025</v>
      </c>
      <c r="B434" s="31" t="s">
        <v>948</v>
      </c>
      <c r="C434" s="31">
        <f>LN(Inventory[[#This Row],[Acres]])</f>
        <v>0.72270598280148979</v>
      </c>
      <c r="D434" s="30">
        <v>2.06</v>
      </c>
      <c r="E434" s="30">
        <v>89856</v>
      </c>
      <c r="F434" s="31" t="s">
        <v>505</v>
      </c>
      <c r="G434" s="31" t="s">
        <v>155</v>
      </c>
      <c r="H434" s="31" t="s">
        <v>5</v>
      </c>
      <c r="I434" s="31" t="s">
        <v>506</v>
      </c>
      <c r="J434" s="31" t="s">
        <v>507</v>
      </c>
      <c r="K434" s="31" t="s">
        <v>330</v>
      </c>
      <c r="L434" s="31" t="s">
        <v>21</v>
      </c>
      <c r="M434" s="31" t="s">
        <v>22</v>
      </c>
      <c r="N434" s="31">
        <v>10</v>
      </c>
      <c r="O434" s="31">
        <f>2024-Inventory[[#This Row],[YrBlt]]</f>
        <v>14</v>
      </c>
      <c r="P434" s="31">
        <f>2024-Inventory[[#This Row],[EffYr]]</f>
        <v>14</v>
      </c>
      <c r="Q434" s="30">
        <v>2010</v>
      </c>
      <c r="R434" s="30">
        <v>2010</v>
      </c>
      <c r="S434" s="30">
        <v>2251</v>
      </c>
      <c r="T434" s="32"/>
      <c r="U434" s="32"/>
      <c r="V434" s="32"/>
      <c r="W434" s="32"/>
      <c r="X434" s="32">
        <f>Inventory[[#This Row],[Bsmt Area]]-Inventory[[#This Row],[FnBsmt]]</f>
        <v>0</v>
      </c>
      <c r="Y434" s="32">
        <f>Inventory[[#This Row],[MainFn]]+Inventory[[#This Row],[UpprFn]]+Inventory[[#This Row],[AddFn]]+Inventory[[#This Row],[FnBsmt]]</f>
        <v>2251</v>
      </c>
      <c r="Z434" s="32">
        <v>2500</v>
      </c>
      <c r="AA434" s="31" t="s">
        <v>56</v>
      </c>
      <c r="AB434" s="30">
        <v>1</v>
      </c>
      <c r="AC434" s="30">
        <v>704</v>
      </c>
      <c r="AD434" s="32"/>
      <c r="AE434" s="32"/>
      <c r="AF434" s="32"/>
      <c r="AG434" s="32"/>
      <c r="AH434" s="32"/>
      <c r="AI434" s="30">
        <v>496695</v>
      </c>
      <c r="AJ434" s="30">
        <v>466893</v>
      </c>
      <c r="AK434" s="30">
        <v>4759</v>
      </c>
      <c r="AL434" s="30">
        <v>0</v>
      </c>
      <c r="AM434" s="30">
        <v>96600</v>
      </c>
      <c r="AN434" s="30">
        <v>372800</v>
      </c>
      <c r="AO434" s="30">
        <v>469400</v>
      </c>
      <c r="AP434" s="30">
        <f>Lookups!$B$58*0.6</f>
        <v>132535.48800000001</v>
      </c>
      <c r="AQ434" s="30">
        <f>Lookups!$B$58*0.4</f>
        <v>88356.992000000013</v>
      </c>
      <c r="AR434" s="30">
        <f>Lookups!$B$59*Inventory[[#This Row],[LnAcres]]</f>
        <v>9485.0253069072314</v>
      </c>
      <c r="AS434" s="30">
        <f>VLOOKUP(Inventory[[#This Row],[Qlty]],Lookups!$A$66:$E$79,2,FALSE)</f>
        <v>32917.849192000001</v>
      </c>
      <c r="AT434" s="30">
        <f>VLOOKUP(Inventory[[#This Row],[Cnd]],Lookups!$A$80:$E$88,2,FALSE)</f>
        <v>50438.379078999998</v>
      </c>
      <c r="AU434" s="30">
        <f>Inventory[[#This Row],[EffAge]]*Lookups!$B$65</f>
        <v>-1522.3754000000001</v>
      </c>
      <c r="AV434" s="30">
        <f>Inventory[[#This Row],[MainFn]]*Lookups!$B$90</f>
        <v>140485.76538</v>
      </c>
      <c r="AW434" s="30">
        <f>Inventory[[#This Row],[UpprFn]]*Lookups!$B$91</f>
        <v>0</v>
      </c>
      <c r="AX434" s="30">
        <f>Inventory[[#This Row],[Bsmt Area]]*Lookups!$B$95</f>
        <v>0</v>
      </c>
      <c r="AY434" s="30">
        <f>Inventory[[#This Row],[AttGar]]*Lookups!$B$93</f>
        <v>24851.925824000002</v>
      </c>
      <c r="AZ434" s="30">
        <f>ROUND(Inventory[[#This Row],[25Det]],-2)</f>
        <v>4800</v>
      </c>
      <c r="BA434" s="30">
        <f>ROUND(SUM(Inventory[[#This Row],[Mdl Qlty]:[Mdl Garage Area]])+Inventory[[#This Row],[Mdl Res Intercept]],-2)</f>
        <v>379700</v>
      </c>
      <c r="BB434" s="30">
        <f>ROUND(Inventory[[#This Row],[Mdl Land Intercept]]+Inventory[[#This Row],[Mdl LnAcres]],-2)</f>
        <v>97800</v>
      </c>
      <c r="BC434" s="30">
        <f>Inventory[[#This Row],[Unadj Res Value]]+Inventory[[#This Row],[Unadj Det Value]]+Inventory[[#This Row],[Unadj Land Value]]</f>
        <v>482300</v>
      </c>
      <c r="BD434" s="30">
        <f>(Inventory[[#This Row],[Unadj Total Value]]-Inventory[[#This Row],[24Final]])/Inventory[[#This Row],[24Final]]</f>
        <v>2.748189177673626E-2</v>
      </c>
      <c r="BE434" s="30">
        <f>VLOOKUP(Inventory[[#This Row],[Nbhd]],Lookups!$M$3:$P$5,4,FALSE)</f>
        <v>0.99970000000000003</v>
      </c>
      <c r="BF434" s="30">
        <f>VLOOKUP(Inventory[[#This Row],[Qlty]],Lookups!$M$8:$P$22,4,FALSE)</f>
        <v>1.0019</v>
      </c>
      <c r="BG434" s="30">
        <f>VLOOKUP(Inventory[[#This Row],[Cnd]],Lookups!$R$8:$U$17,4,FALSE)</f>
        <v>1.0007999999999999</v>
      </c>
      <c r="BH434" s="30">
        <f>VLOOKUP(Inventory[[#This Row],[LivArea Range]],Lookups!$R$25:$U$43,4,FALSE)</f>
        <v>1.0008999999999999</v>
      </c>
      <c r="BI434" s="30">
        <f>VLOOKUP(Inventory[[#This Row],[Decade]],Lookups!$M$24:$P$40,4,FALSE)</f>
        <v>1.0024</v>
      </c>
      <c r="BJ434" s="30">
        <f>Inventory[[#This Row],[Nbhd Adj]]*0.95</f>
        <v>0.94971499999999998</v>
      </c>
      <c r="BK434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434" s="30">
        <f>ROUND((SUM(Inventory[[#This Row],[Mdl Qlty]:[Mdl Garage Area]])+Inventory[[#This Row],[Mdl Res Intercept]])*Inventory[[#This Row],[Res Adj ]],-2)</f>
        <v>361100</v>
      </c>
      <c r="BM434" s="30">
        <f>ROUND(Inventory[[#This Row],[25Det]]*Inventory[[#This Row],[Det/Nbhd Adj]],-2)</f>
        <v>4500</v>
      </c>
      <c r="BN434" s="30">
        <f>Inventory[[#This Row],[Adjusted Res]]+Inventory[[#This Row],[Adj Det ]]</f>
        <v>365600</v>
      </c>
      <c r="BO434" s="30">
        <f>ROUND((Inventory[[#This Row],[Mdl Land Intercept]]+Inventory[[#This Row],[Mdl LnAcres]])*Inventory[[#This Row],[Det/Nbhd Adj]],-2)</f>
        <v>92900</v>
      </c>
      <c r="BP434" s="30">
        <f>Inventory[[#This Row],[Adjusted Impr Total]]+Inventory[[#This Row],[Adjusted Land Total]]</f>
        <v>458500</v>
      </c>
      <c r="BQ434" s="30">
        <f>IFERROR((Inventory[[#This Row],[Adjusted Impr Total]]-Inventory[[#This Row],[24Bldg]])/Inventory[[#This Row],[24Bldg]],0)</f>
        <v>-1.9313304721030045E-2</v>
      </c>
      <c r="BR434" s="43">
        <f>(Inventory[[#This Row],[Adjusted Land Total]]-Inventory[[#This Row],[24Lnd]])/Inventory[[#This Row],[24Lnd]]</f>
        <v>-3.8302277432712216E-2</v>
      </c>
      <c r="BS434" s="43">
        <f>(Inventory[[#This Row],[Adjusted Total]]-Inventory[[#This Row],[24Final]])/Inventory[[#This Row],[24Final]]</f>
        <v>-2.3221133361738391E-2</v>
      </c>
    </row>
    <row r="435" spans="1:71">
      <c r="A435" s="30">
        <v>2025</v>
      </c>
      <c r="B435" s="31" t="s">
        <v>949</v>
      </c>
      <c r="C435" s="31">
        <f>LN(Inventory[[#This Row],[Acres]])</f>
        <v>1.6582280766035324</v>
      </c>
      <c r="D435" s="30">
        <v>5.25</v>
      </c>
      <c r="E435" s="37"/>
      <c r="F435" s="31" t="s">
        <v>505</v>
      </c>
      <c r="G435" s="31" t="s">
        <v>155</v>
      </c>
      <c r="H435" s="31" t="s">
        <v>5</v>
      </c>
      <c r="I435" s="31" t="s">
        <v>506</v>
      </c>
      <c r="J435" s="31" t="s">
        <v>507</v>
      </c>
      <c r="K435" s="31" t="s">
        <v>330</v>
      </c>
      <c r="L435" s="31" t="s">
        <v>21</v>
      </c>
      <c r="M435" s="31" t="s">
        <v>22</v>
      </c>
      <c r="N435" s="31">
        <v>10</v>
      </c>
      <c r="O435" s="31">
        <f>2024-Inventory[[#This Row],[YrBlt]]</f>
        <v>14</v>
      </c>
      <c r="P435" s="31">
        <f>2024-Inventory[[#This Row],[EffYr]]</f>
        <v>14</v>
      </c>
      <c r="Q435" s="30">
        <v>2010</v>
      </c>
      <c r="R435" s="30">
        <v>2010</v>
      </c>
      <c r="S435" s="30">
        <v>2108</v>
      </c>
      <c r="T435" s="37"/>
      <c r="U435" s="32"/>
      <c r="V435" s="32"/>
      <c r="W435" s="32"/>
      <c r="X435" s="32">
        <f>Inventory[[#This Row],[Bsmt Area]]-Inventory[[#This Row],[FnBsmt]]</f>
        <v>0</v>
      </c>
      <c r="Y435" s="32">
        <f>Inventory[[#This Row],[MainFn]]+Inventory[[#This Row],[UpprFn]]+Inventory[[#This Row],[AddFn]]+Inventory[[#This Row],[FnBsmt]]</f>
        <v>2108</v>
      </c>
      <c r="Z435" s="32">
        <v>2500</v>
      </c>
      <c r="AA435" s="31" t="s">
        <v>56</v>
      </c>
      <c r="AB435" s="38">
        <v>1</v>
      </c>
      <c r="AC435" s="30">
        <v>576</v>
      </c>
      <c r="AD435" s="32"/>
      <c r="AE435" s="32"/>
      <c r="AF435" s="32"/>
      <c r="AG435" s="32"/>
      <c r="AH435" s="32"/>
      <c r="AI435" s="30">
        <v>487990</v>
      </c>
      <c r="AJ435" s="30">
        <v>458711</v>
      </c>
      <c r="AK435" s="30">
        <v>48061</v>
      </c>
      <c r="AL435" s="30">
        <v>0</v>
      </c>
      <c r="AM435" s="30">
        <v>109700</v>
      </c>
      <c r="AN435" s="30">
        <v>413500</v>
      </c>
      <c r="AO435" s="30">
        <v>523200</v>
      </c>
      <c r="AP435" s="30">
        <f>Lookups!$B$58*0.6</f>
        <v>132535.48800000001</v>
      </c>
      <c r="AQ435" s="30">
        <f>Lookups!$B$58*0.4</f>
        <v>88356.992000000013</v>
      </c>
      <c r="AR435" s="30">
        <f>Lookups!$B$59*Inventory[[#This Row],[LnAcres]]</f>
        <v>21763.117568557351</v>
      </c>
      <c r="AS435" s="30">
        <f>VLOOKUP(Inventory[[#This Row],[Qlty]],Lookups!$A$66:$E$79,2,FALSE)</f>
        <v>32917.849192000001</v>
      </c>
      <c r="AT435" s="30">
        <f>VLOOKUP(Inventory[[#This Row],[Cnd]],Lookups!$A$80:$E$88,2,FALSE)</f>
        <v>50438.379078999998</v>
      </c>
      <c r="AU435" s="30">
        <f>Inventory[[#This Row],[EffAge]]*Lookups!$B$65</f>
        <v>-1522.3754000000001</v>
      </c>
      <c r="AV435" s="30">
        <f>Inventory[[#This Row],[MainFn]]*Lookups!$B$90</f>
        <v>131561.08104000002</v>
      </c>
      <c r="AW435" s="30">
        <f>Inventory[[#This Row],[UpprFn]]*Lookups!$B$91</f>
        <v>0</v>
      </c>
      <c r="AX435" s="30">
        <f>Inventory[[#This Row],[Bsmt Area]]*Lookups!$B$95</f>
        <v>0</v>
      </c>
      <c r="AY435" s="30">
        <f>Inventory[[#This Row],[AttGar]]*Lookups!$B$93</f>
        <v>20333.393856000002</v>
      </c>
      <c r="AZ435" s="30">
        <f>ROUND(Inventory[[#This Row],[25Det]],-2)</f>
        <v>48100</v>
      </c>
      <c r="BA435" s="30">
        <f>ROUND(SUM(Inventory[[#This Row],[Mdl Qlty]:[Mdl Garage Area]])+Inventory[[#This Row],[Mdl Res Intercept]],-2)</f>
        <v>366300</v>
      </c>
      <c r="BB435" s="30">
        <f>ROUND(Inventory[[#This Row],[Mdl Land Intercept]]+Inventory[[#This Row],[Mdl LnAcres]],-2)</f>
        <v>110100</v>
      </c>
      <c r="BC435" s="30">
        <f>Inventory[[#This Row],[Unadj Res Value]]+Inventory[[#This Row],[Unadj Det Value]]+Inventory[[#This Row],[Unadj Land Value]]</f>
        <v>524500</v>
      </c>
      <c r="BD435" s="30">
        <f>(Inventory[[#This Row],[Unadj Total Value]]-Inventory[[#This Row],[24Final]])/Inventory[[#This Row],[24Final]]</f>
        <v>2.4847094801223242E-3</v>
      </c>
      <c r="BE435" s="30">
        <f>VLOOKUP(Inventory[[#This Row],[Nbhd]],Lookups!$M$3:$P$5,4,FALSE)</f>
        <v>0.99970000000000003</v>
      </c>
      <c r="BF435" s="30">
        <f>VLOOKUP(Inventory[[#This Row],[Qlty]],Lookups!$M$8:$P$22,4,FALSE)</f>
        <v>1.0019</v>
      </c>
      <c r="BG435" s="30">
        <f>VLOOKUP(Inventory[[#This Row],[Cnd]],Lookups!$R$8:$U$17,4,FALSE)</f>
        <v>1.0007999999999999</v>
      </c>
      <c r="BH435" s="30">
        <f>VLOOKUP(Inventory[[#This Row],[LivArea Range]],Lookups!$R$25:$U$43,4,FALSE)</f>
        <v>1.0008999999999999</v>
      </c>
      <c r="BI435" s="30">
        <f>VLOOKUP(Inventory[[#This Row],[Decade]],Lookups!$M$24:$P$40,4,FALSE)</f>
        <v>1.0024</v>
      </c>
      <c r="BJ435" s="30">
        <f>Inventory[[#This Row],[Nbhd Adj]]*0.95</f>
        <v>0.94971499999999998</v>
      </c>
      <c r="BK435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435" s="30">
        <f>ROUND((SUM(Inventory[[#This Row],[Mdl Qlty]:[Mdl Garage Area]])+Inventory[[#This Row],[Mdl Res Intercept]])*Inventory[[#This Row],[Res Adj ]],-2)</f>
        <v>348300</v>
      </c>
      <c r="BM435" s="30">
        <f>ROUND(Inventory[[#This Row],[25Det]]*Inventory[[#This Row],[Det/Nbhd Adj]],-2)</f>
        <v>45600</v>
      </c>
      <c r="BN435" s="30">
        <f>Inventory[[#This Row],[Adjusted Res]]+Inventory[[#This Row],[Adj Det ]]</f>
        <v>393900</v>
      </c>
      <c r="BO435" s="30">
        <f>ROUND((Inventory[[#This Row],[Mdl Land Intercept]]+Inventory[[#This Row],[Mdl LnAcres]])*Inventory[[#This Row],[Det/Nbhd Adj]],-2)</f>
        <v>104600</v>
      </c>
      <c r="BP435" s="30">
        <f>Inventory[[#This Row],[Adjusted Impr Total]]+Inventory[[#This Row],[Adjusted Land Total]]</f>
        <v>498500</v>
      </c>
      <c r="BQ435" s="30">
        <f>IFERROR((Inventory[[#This Row],[Adjusted Impr Total]]-Inventory[[#This Row],[24Bldg]])/Inventory[[#This Row],[24Bldg]],0)</f>
        <v>-4.7400241837968558E-2</v>
      </c>
      <c r="BR435" s="43">
        <f>(Inventory[[#This Row],[Adjusted Land Total]]-Inventory[[#This Row],[24Lnd]])/Inventory[[#This Row],[24Lnd]]</f>
        <v>-4.6490428441203283E-2</v>
      </c>
      <c r="BS435" s="43">
        <f>(Inventory[[#This Row],[Adjusted Total]]-Inventory[[#This Row],[24Final]])/Inventory[[#This Row],[24Final]]</f>
        <v>-4.7209480122324156E-2</v>
      </c>
    </row>
    <row r="436" spans="1:71">
      <c r="A436" s="30">
        <v>2025</v>
      </c>
      <c r="B436" s="31" t="s">
        <v>950</v>
      </c>
      <c r="C436" s="31">
        <f>LN(Inventory[[#This Row],[Acres]])</f>
        <v>-1.8971199848858813</v>
      </c>
      <c r="D436" s="30">
        <v>0.15</v>
      </c>
      <c r="E436" s="30">
        <v>6580</v>
      </c>
      <c r="F436" s="31" t="s">
        <v>505</v>
      </c>
      <c r="G436" s="31" t="s">
        <v>155</v>
      </c>
      <c r="H436" s="31" t="s">
        <v>5</v>
      </c>
      <c r="I436" s="31" t="s">
        <v>506</v>
      </c>
      <c r="J436" s="31" t="s">
        <v>507</v>
      </c>
      <c r="K436" s="31" t="s">
        <v>330</v>
      </c>
      <c r="L436" s="31" t="s">
        <v>19</v>
      </c>
      <c r="M436" s="31" t="s">
        <v>20</v>
      </c>
      <c r="N436" s="31">
        <v>10</v>
      </c>
      <c r="O436" s="31">
        <f>2024-Inventory[[#This Row],[YrBlt]]</f>
        <v>15</v>
      </c>
      <c r="P436" s="31">
        <f>2024-Inventory[[#This Row],[EffYr]]</f>
        <v>15</v>
      </c>
      <c r="Q436" s="30">
        <v>2009</v>
      </c>
      <c r="R436" s="30">
        <v>2009</v>
      </c>
      <c r="S436" s="30">
        <v>1560</v>
      </c>
      <c r="T436" s="32"/>
      <c r="U436" s="32"/>
      <c r="V436" s="32"/>
      <c r="W436" s="32"/>
      <c r="X436" s="32">
        <f>Inventory[[#This Row],[Bsmt Area]]-Inventory[[#This Row],[FnBsmt]]</f>
        <v>0</v>
      </c>
      <c r="Y436" s="32">
        <f>Inventory[[#This Row],[MainFn]]+Inventory[[#This Row],[UpprFn]]+Inventory[[#This Row],[AddFn]]+Inventory[[#This Row],[FnBsmt]]</f>
        <v>1560</v>
      </c>
      <c r="Z436" s="32">
        <v>2000</v>
      </c>
      <c r="AA436" s="31" t="s">
        <v>57</v>
      </c>
      <c r="AB436" s="32"/>
      <c r="AC436" s="30">
        <v>400</v>
      </c>
      <c r="AD436" s="32"/>
      <c r="AE436" s="32"/>
      <c r="AF436" s="32"/>
      <c r="AG436" s="32"/>
      <c r="AH436" s="32"/>
      <c r="AI436" s="30">
        <v>310108</v>
      </c>
      <c r="AJ436" s="30">
        <v>288400</v>
      </c>
      <c r="AK436" s="30">
        <v>0</v>
      </c>
      <c r="AL436" s="30">
        <v>0</v>
      </c>
      <c r="AM436" s="30">
        <v>59900</v>
      </c>
      <c r="AN436" s="30">
        <v>312900</v>
      </c>
      <c r="AO436" s="30">
        <v>372800</v>
      </c>
      <c r="AP436" s="30">
        <f>Lookups!$B$58*0.6</f>
        <v>132535.48800000001</v>
      </c>
      <c r="AQ436" s="30">
        <f>Lookups!$B$58*0.4</f>
        <v>88356.992000000013</v>
      </c>
      <c r="AR436" s="30">
        <f>Lookups!$B$59*Inventory[[#This Row],[LnAcres]]</f>
        <v>-24898.411657157456</v>
      </c>
      <c r="AS436" s="30">
        <f>VLOOKUP(Inventory[[#This Row],[Qlty]],Lookups!$A$66:$E$79,2,FALSE)</f>
        <v>37154.252388000001</v>
      </c>
      <c r="AT436" s="30">
        <f>VLOOKUP(Inventory[[#This Row],[Cnd]],Lookups!$A$80:$E$88,2,FALSE)</f>
        <v>30300.329274</v>
      </c>
      <c r="AU436" s="30">
        <f>Inventory[[#This Row],[EffAge]]*Lookups!$B$65</f>
        <v>-1631.1165000000001</v>
      </c>
      <c r="AV436" s="30">
        <f>Inventory[[#This Row],[MainFn]]*Lookups!$B$90</f>
        <v>97360.192800000004</v>
      </c>
      <c r="AW436" s="30">
        <f>Inventory[[#This Row],[UpprFn]]*Lookups!$B$91</f>
        <v>0</v>
      </c>
      <c r="AX436" s="30">
        <f>Inventory[[#This Row],[Bsmt Area]]*Lookups!$B$95</f>
        <v>0</v>
      </c>
      <c r="AY436" s="30">
        <f>Inventory[[#This Row],[AttGar]]*Lookups!$B$93</f>
        <v>14120.412400000001</v>
      </c>
      <c r="AZ436" s="30">
        <f>ROUND(Inventory[[#This Row],[25Det]],-2)</f>
        <v>0</v>
      </c>
      <c r="BA436" s="30">
        <f>ROUND(SUM(Inventory[[#This Row],[Mdl Qlty]:[Mdl Garage Area]])+Inventory[[#This Row],[Mdl Res Intercept]],-2)</f>
        <v>309800</v>
      </c>
      <c r="BB436" s="30">
        <f>ROUND(Inventory[[#This Row],[Mdl Land Intercept]]+Inventory[[#This Row],[Mdl LnAcres]],-2)</f>
        <v>63500</v>
      </c>
      <c r="BC436" s="30">
        <f>Inventory[[#This Row],[Unadj Res Value]]+Inventory[[#This Row],[Unadj Det Value]]+Inventory[[#This Row],[Unadj Land Value]]</f>
        <v>373300</v>
      </c>
      <c r="BD436" s="30">
        <f>(Inventory[[#This Row],[Unadj Total Value]]-Inventory[[#This Row],[24Final]])/Inventory[[#This Row],[24Final]]</f>
        <v>1.3412017167381974E-3</v>
      </c>
      <c r="BE436" s="30">
        <f>VLOOKUP(Inventory[[#This Row],[Nbhd]],Lookups!$M$3:$P$5,4,FALSE)</f>
        <v>0.99970000000000003</v>
      </c>
      <c r="BF436" s="30">
        <f>VLOOKUP(Inventory[[#This Row],[Qlty]],Lookups!$M$8:$P$22,4,FALSE)</f>
        <v>0.99819999999999998</v>
      </c>
      <c r="BG436" s="30">
        <f>VLOOKUP(Inventory[[#This Row],[Cnd]],Lookups!$R$8:$U$17,4,FALSE)</f>
        <v>0.997</v>
      </c>
      <c r="BH436" s="30">
        <f>VLOOKUP(Inventory[[#This Row],[LivArea Range]],Lookups!$R$25:$U$43,4,FALSE)</f>
        <v>1.0007999999999999</v>
      </c>
      <c r="BI436" s="30">
        <f>VLOOKUP(Inventory[[#This Row],[Decade]],Lookups!$M$24:$P$40,4,FALSE)</f>
        <v>1.0024</v>
      </c>
      <c r="BJ436" s="30">
        <f>Inventory[[#This Row],[Nbhd Adj]]*0.95</f>
        <v>0.94971499999999998</v>
      </c>
      <c r="BK436" s="30">
        <f>AVERAGE(Inventory[[#This Row],[Nbhd Adj]],Inventory[[#This Row],[Quality Adj]],Inventory[[#This Row],[Condition Adj]],Inventory[[#This Row],[Living Area Adj]],Inventory[[#This Row],[Decade Adj]])*0.95</f>
        <v>0.9496389999999999</v>
      </c>
      <c r="BL436" s="30">
        <f>ROUND((SUM(Inventory[[#This Row],[Mdl Qlty]:[Mdl Garage Area]])+Inventory[[#This Row],[Mdl Res Intercept]])*Inventory[[#This Row],[Res Adj ]],-2)</f>
        <v>294200</v>
      </c>
      <c r="BM436" s="30">
        <f>ROUND(Inventory[[#This Row],[25Det]]*Inventory[[#This Row],[Det/Nbhd Adj]],-2)</f>
        <v>0</v>
      </c>
      <c r="BN436" s="30">
        <f>Inventory[[#This Row],[Adjusted Res]]+Inventory[[#This Row],[Adj Det ]]</f>
        <v>294200</v>
      </c>
      <c r="BO436" s="30">
        <f>ROUND((Inventory[[#This Row],[Mdl Land Intercept]]+Inventory[[#This Row],[Mdl LnAcres]])*Inventory[[#This Row],[Det/Nbhd Adj]],-2)</f>
        <v>60300</v>
      </c>
      <c r="BP436" s="30">
        <f>Inventory[[#This Row],[Adjusted Impr Total]]+Inventory[[#This Row],[Adjusted Land Total]]</f>
        <v>354500</v>
      </c>
      <c r="BQ436" s="30">
        <f>IFERROR((Inventory[[#This Row],[Adjusted Impr Total]]-Inventory[[#This Row],[24Bldg]])/Inventory[[#This Row],[24Bldg]],0)</f>
        <v>-5.9763502716522851E-2</v>
      </c>
      <c r="BR436" s="43">
        <f>(Inventory[[#This Row],[Adjusted Land Total]]-Inventory[[#This Row],[24Lnd]])/Inventory[[#This Row],[24Lnd]]</f>
        <v>6.6777963272120202E-3</v>
      </c>
      <c r="BS436" s="43">
        <f>(Inventory[[#This Row],[Adjusted Total]]-Inventory[[#This Row],[24Final]])/Inventory[[#This Row],[24Final]]</f>
        <v>-4.9087982832618025E-2</v>
      </c>
    </row>
    <row r="437" spans="1:71">
      <c r="A437" s="30">
        <v>2025</v>
      </c>
      <c r="B437" s="31" t="s">
        <v>951</v>
      </c>
      <c r="C437" s="31">
        <f>LN(Inventory[[#This Row],[Acres]])</f>
        <v>-1.8971199848858813</v>
      </c>
      <c r="D437" s="30">
        <v>0.15</v>
      </c>
      <c r="E437" s="30">
        <v>6475</v>
      </c>
      <c r="F437" s="31" t="s">
        <v>505</v>
      </c>
      <c r="G437" s="31" t="s">
        <v>155</v>
      </c>
      <c r="H437" s="31" t="s">
        <v>5</v>
      </c>
      <c r="I437" s="31" t="s">
        <v>506</v>
      </c>
      <c r="J437" s="31" t="s">
        <v>507</v>
      </c>
      <c r="K437" s="31" t="s">
        <v>193</v>
      </c>
      <c r="L437" s="31" t="s">
        <v>19</v>
      </c>
      <c r="M437" s="31" t="s">
        <v>20</v>
      </c>
      <c r="N437" s="31">
        <v>10</v>
      </c>
      <c r="O437" s="31">
        <f>2024-Inventory[[#This Row],[YrBlt]]</f>
        <v>15</v>
      </c>
      <c r="P437" s="31">
        <f>2024-Inventory[[#This Row],[EffYr]]</f>
        <v>15</v>
      </c>
      <c r="Q437" s="30">
        <v>2009</v>
      </c>
      <c r="R437" s="30">
        <v>2009</v>
      </c>
      <c r="S437" s="30">
        <v>1420</v>
      </c>
      <c r="T437" s="32"/>
      <c r="U437" s="32"/>
      <c r="V437" s="32"/>
      <c r="W437" s="32"/>
      <c r="X437" s="32">
        <f>Inventory[[#This Row],[Bsmt Area]]-Inventory[[#This Row],[FnBsmt]]</f>
        <v>0</v>
      </c>
      <c r="Y437" s="32">
        <f>Inventory[[#This Row],[MainFn]]+Inventory[[#This Row],[UpprFn]]+Inventory[[#This Row],[AddFn]]+Inventory[[#This Row],[FnBsmt]]</f>
        <v>1420</v>
      </c>
      <c r="Z437" s="32">
        <v>1500</v>
      </c>
      <c r="AA437" s="31" t="s">
        <v>56</v>
      </c>
      <c r="AB437" s="32"/>
      <c r="AC437" s="30">
        <v>400</v>
      </c>
      <c r="AD437" s="32"/>
      <c r="AE437" s="32"/>
      <c r="AF437" s="32"/>
      <c r="AG437" s="32"/>
      <c r="AH437" s="38">
        <v>100</v>
      </c>
      <c r="AI437" s="30">
        <v>280243</v>
      </c>
      <c r="AJ437" s="30">
        <v>260626</v>
      </c>
      <c r="AK437" s="30">
        <v>0</v>
      </c>
      <c r="AL437" s="30">
        <v>0</v>
      </c>
      <c r="AM437" s="30">
        <v>59900</v>
      </c>
      <c r="AN437" s="30">
        <v>293700</v>
      </c>
      <c r="AO437" s="30">
        <v>353600</v>
      </c>
      <c r="AP437" s="30">
        <f>Lookups!$B$58*0.6</f>
        <v>132535.48800000001</v>
      </c>
      <c r="AQ437" s="30">
        <f>Lookups!$B$58*0.4</f>
        <v>88356.992000000013</v>
      </c>
      <c r="AR437" s="30">
        <f>Lookups!$B$59*Inventory[[#This Row],[LnAcres]]</f>
        <v>-24898.411657157456</v>
      </c>
      <c r="AS437" s="30">
        <f>VLOOKUP(Inventory[[#This Row],[Qlty]],Lookups!$A$66:$E$79,2,FALSE)</f>
        <v>37154.252388000001</v>
      </c>
      <c r="AT437" s="30">
        <f>VLOOKUP(Inventory[[#This Row],[Cnd]],Lookups!$A$80:$E$88,2,FALSE)</f>
        <v>30300.329274</v>
      </c>
      <c r="AU437" s="30">
        <f>Inventory[[#This Row],[EffAge]]*Lookups!$B$65</f>
        <v>-1631.1165000000001</v>
      </c>
      <c r="AV437" s="30">
        <f>Inventory[[#This Row],[MainFn]]*Lookups!$B$90</f>
        <v>88622.739600000001</v>
      </c>
      <c r="AW437" s="30">
        <f>Inventory[[#This Row],[UpprFn]]*Lookups!$B$91</f>
        <v>0</v>
      </c>
      <c r="AX437" s="30">
        <f>Inventory[[#This Row],[Bsmt Area]]*Lookups!$B$95</f>
        <v>0</v>
      </c>
      <c r="AY437" s="30">
        <f>Inventory[[#This Row],[AttGar]]*Lookups!$B$93</f>
        <v>14120.412400000001</v>
      </c>
      <c r="AZ437" s="30">
        <f>ROUND(Inventory[[#This Row],[25Det]],-2)</f>
        <v>0</v>
      </c>
      <c r="BA437" s="30">
        <f>ROUND(SUM(Inventory[[#This Row],[Mdl Qlty]:[Mdl Garage Area]])+Inventory[[#This Row],[Mdl Res Intercept]],-2)</f>
        <v>301100</v>
      </c>
      <c r="BB437" s="30">
        <f>ROUND(Inventory[[#This Row],[Mdl Land Intercept]]+Inventory[[#This Row],[Mdl LnAcres]],-2)</f>
        <v>63500</v>
      </c>
      <c r="BC437" s="30">
        <f>Inventory[[#This Row],[Unadj Res Value]]+Inventory[[#This Row],[Unadj Det Value]]+Inventory[[#This Row],[Unadj Land Value]]</f>
        <v>364600</v>
      </c>
      <c r="BD437" s="30">
        <f>(Inventory[[#This Row],[Unadj Total Value]]-Inventory[[#This Row],[24Final]])/Inventory[[#This Row],[24Final]]</f>
        <v>3.1108597285067874E-2</v>
      </c>
      <c r="BE437" s="30">
        <f>VLOOKUP(Inventory[[#This Row],[Nbhd]],Lookups!$M$3:$P$5,4,FALSE)</f>
        <v>0.99970000000000003</v>
      </c>
      <c r="BF437" s="30">
        <f>VLOOKUP(Inventory[[#This Row],[Qlty]],Lookups!$M$8:$P$22,4,FALSE)</f>
        <v>0.99819999999999998</v>
      </c>
      <c r="BG437" s="30">
        <f>VLOOKUP(Inventory[[#This Row],[Cnd]],Lookups!$R$8:$U$17,4,FALSE)</f>
        <v>0.997</v>
      </c>
      <c r="BH437" s="30">
        <f>VLOOKUP(Inventory[[#This Row],[LivArea Range]],Lookups!$R$25:$U$43,4,FALSE)</f>
        <v>0.99519999999999997</v>
      </c>
      <c r="BI437" s="30">
        <f>VLOOKUP(Inventory[[#This Row],[Decade]],Lookups!$M$24:$P$40,4,FALSE)</f>
        <v>1.0024</v>
      </c>
      <c r="BJ437" s="30">
        <f>Inventory[[#This Row],[Nbhd Adj]]*0.95</f>
        <v>0.94971499999999998</v>
      </c>
      <c r="BK437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437" s="30">
        <f>ROUND((SUM(Inventory[[#This Row],[Mdl Qlty]:[Mdl Garage Area]])+Inventory[[#This Row],[Mdl Res Intercept]])*Inventory[[#This Row],[Res Adj ]],-2)</f>
        <v>285600</v>
      </c>
      <c r="BM437" s="30">
        <f>ROUND(Inventory[[#This Row],[25Det]]*Inventory[[#This Row],[Det/Nbhd Adj]],-2)</f>
        <v>0</v>
      </c>
      <c r="BN437" s="30">
        <f>Inventory[[#This Row],[Adjusted Res]]+Inventory[[#This Row],[Adj Det ]]</f>
        <v>285600</v>
      </c>
      <c r="BO437" s="30">
        <f>ROUND((Inventory[[#This Row],[Mdl Land Intercept]]+Inventory[[#This Row],[Mdl LnAcres]])*Inventory[[#This Row],[Det/Nbhd Adj]],-2)</f>
        <v>60300</v>
      </c>
      <c r="BP437" s="30">
        <f>Inventory[[#This Row],[Adjusted Impr Total]]+Inventory[[#This Row],[Adjusted Land Total]]</f>
        <v>345900</v>
      </c>
      <c r="BQ437" s="30">
        <f>IFERROR((Inventory[[#This Row],[Adjusted Impr Total]]-Inventory[[#This Row],[24Bldg]])/Inventory[[#This Row],[24Bldg]],0)</f>
        <v>-2.7579162410623085E-2</v>
      </c>
      <c r="BR437" s="43">
        <f>(Inventory[[#This Row],[Adjusted Land Total]]-Inventory[[#This Row],[24Lnd]])/Inventory[[#This Row],[24Lnd]]</f>
        <v>6.6777963272120202E-3</v>
      </c>
      <c r="BS437" s="43">
        <f>(Inventory[[#This Row],[Adjusted Total]]-Inventory[[#This Row],[24Final]])/Inventory[[#This Row],[24Final]]</f>
        <v>-2.177601809954751E-2</v>
      </c>
    </row>
    <row r="438" spans="1:71">
      <c r="A438" s="30">
        <v>2025</v>
      </c>
      <c r="B438" s="31" t="s">
        <v>952</v>
      </c>
      <c r="C438" s="31">
        <f>LN(Inventory[[#This Row],[Acres]])</f>
        <v>-1.8971199848858813</v>
      </c>
      <c r="D438" s="30">
        <v>0.15</v>
      </c>
      <c r="E438" s="30">
        <v>6545</v>
      </c>
      <c r="F438" s="31" t="s">
        <v>505</v>
      </c>
      <c r="G438" s="31" t="s">
        <v>155</v>
      </c>
      <c r="H438" s="31" t="s">
        <v>5</v>
      </c>
      <c r="I438" s="31" t="s">
        <v>506</v>
      </c>
      <c r="J438" s="31" t="s">
        <v>507</v>
      </c>
      <c r="K438" s="31" t="s">
        <v>193</v>
      </c>
      <c r="L438" s="31" t="s">
        <v>21</v>
      </c>
      <c r="M438" s="31" t="s">
        <v>22</v>
      </c>
      <c r="N438" s="31">
        <v>10</v>
      </c>
      <c r="O438" s="31">
        <f>2024-Inventory[[#This Row],[YrBlt]]</f>
        <v>15</v>
      </c>
      <c r="P438" s="31">
        <f>2024-Inventory[[#This Row],[EffYr]]</f>
        <v>15</v>
      </c>
      <c r="Q438" s="30">
        <v>2009</v>
      </c>
      <c r="R438" s="30">
        <v>2009</v>
      </c>
      <c r="S438" s="30">
        <v>1737</v>
      </c>
      <c r="T438" s="32"/>
      <c r="U438" s="32"/>
      <c r="V438" s="32"/>
      <c r="W438" s="32"/>
      <c r="X438" s="32">
        <f>Inventory[[#This Row],[Bsmt Area]]-Inventory[[#This Row],[FnBsmt]]</f>
        <v>0</v>
      </c>
      <c r="Y438" s="32">
        <f>Inventory[[#This Row],[MainFn]]+Inventory[[#This Row],[UpprFn]]+Inventory[[#This Row],[AddFn]]+Inventory[[#This Row],[FnBsmt]]</f>
        <v>1737</v>
      </c>
      <c r="Z438" s="32">
        <v>2000</v>
      </c>
      <c r="AA438" s="31" t="s">
        <v>56</v>
      </c>
      <c r="AB438" s="32"/>
      <c r="AC438" s="30">
        <v>435</v>
      </c>
      <c r="AD438" s="32"/>
      <c r="AE438" s="32"/>
      <c r="AF438" s="32"/>
      <c r="AG438" s="32"/>
      <c r="AH438" s="32"/>
      <c r="AI438" s="30">
        <v>388091</v>
      </c>
      <c r="AJ438" s="30">
        <v>364806</v>
      </c>
      <c r="AK438" s="30">
        <v>0</v>
      </c>
      <c r="AL438" s="30">
        <v>0</v>
      </c>
      <c r="AM438" s="30">
        <v>59900</v>
      </c>
      <c r="AN438" s="30">
        <v>324900</v>
      </c>
      <c r="AO438" s="30">
        <v>384800</v>
      </c>
      <c r="AP438" s="30">
        <f>Lookups!$B$58*0.6</f>
        <v>132535.48800000001</v>
      </c>
      <c r="AQ438" s="30">
        <f>Lookups!$B$58*0.4</f>
        <v>88356.992000000013</v>
      </c>
      <c r="AR438" s="30">
        <f>Lookups!$B$59*Inventory[[#This Row],[LnAcres]]</f>
        <v>-24898.411657157456</v>
      </c>
      <c r="AS438" s="30">
        <f>VLOOKUP(Inventory[[#This Row],[Qlty]],Lookups!$A$66:$E$79,2,FALSE)</f>
        <v>32917.849192000001</v>
      </c>
      <c r="AT438" s="30">
        <f>VLOOKUP(Inventory[[#This Row],[Cnd]],Lookups!$A$80:$E$88,2,FALSE)</f>
        <v>50438.379078999998</v>
      </c>
      <c r="AU438" s="30">
        <f>Inventory[[#This Row],[EffAge]]*Lookups!$B$65</f>
        <v>-1631.1165000000001</v>
      </c>
      <c r="AV438" s="30">
        <f>Inventory[[#This Row],[MainFn]]*Lookups!$B$90</f>
        <v>108406.83006000001</v>
      </c>
      <c r="AW438" s="30">
        <f>Inventory[[#This Row],[UpprFn]]*Lookups!$B$91</f>
        <v>0</v>
      </c>
      <c r="AX438" s="30">
        <f>Inventory[[#This Row],[Bsmt Area]]*Lookups!$B$95</f>
        <v>0</v>
      </c>
      <c r="AY438" s="30">
        <f>Inventory[[#This Row],[AttGar]]*Lookups!$B$93</f>
        <v>15355.948485000001</v>
      </c>
      <c r="AZ438" s="30">
        <f>ROUND(Inventory[[#This Row],[25Det]],-2)</f>
        <v>0</v>
      </c>
      <c r="BA438" s="30">
        <f>ROUND(SUM(Inventory[[#This Row],[Mdl Qlty]:[Mdl Garage Area]])+Inventory[[#This Row],[Mdl Res Intercept]],-2)</f>
        <v>338000</v>
      </c>
      <c r="BB438" s="30">
        <f>ROUND(Inventory[[#This Row],[Mdl Land Intercept]]+Inventory[[#This Row],[Mdl LnAcres]],-2)</f>
        <v>63500</v>
      </c>
      <c r="BC438" s="30">
        <f>Inventory[[#This Row],[Unadj Res Value]]+Inventory[[#This Row],[Unadj Det Value]]+Inventory[[#This Row],[Unadj Land Value]]</f>
        <v>401500</v>
      </c>
      <c r="BD438" s="30">
        <f>(Inventory[[#This Row],[Unadj Total Value]]-Inventory[[#This Row],[24Final]])/Inventory[[#This Row],[24Final]]</f>
        <v>4.3399168399168402E-2</v>
      </c>
      <c r="BE438" s="30">
        <f>VLOOKUP(Inventory[[#This Row],[Nbhd]],Lookups!$M$3:$P$5,4,FALSE)</f>
        <v>0.99970000000000003</v>
      </c>
      <c r="BF438" s="30">
        <f>VLOOKUP(Inventory[[#This Row],[Qlty]],Lookups!$M$8:$P$22,4,FALSE)</f>
        <v>1.0019</v>
      </c>
      <c r="BG438" s="30">
        <f>VLOOKUP(Inventory[[#This Row],[Cnd]],Lookups!$R$8:$U$17,4,FALSE)</f>
        <v>1.0007999999999999</v>
      </c>
      <c r="BH438" s="30">
        <f>VLOOKUP(Inventory[[#This Row],[LivArea Range]],Lookups!$R$25:$U$43,4,FALSE)</f>
        <v>1.0007999999999999</v>
      </c>
      <c r="BI438" s="30">
        <f>VLOOKUP(Inventory[[#This Row],[Decade]],Lookups!$M$24:$P$40,4,FALSE)</f>
        <v>1.0024</v>
      </c>
      <c r="BJ438" s="30">
        <f>Inventory[[#This Row],[Nbhd Adj]]*0.95</f>
        <v>0.94971499999999998</v>
      </c>
      <c r="BK438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438" s="30">
        <f>ROUND((SUM(Inventory[[#This Row],[Mdl Qlty]:[Mdl Garage Area]])+Inventory[[#This Row],[Mdl Res Intercept]])*Inventory[[#This Row],[Res Adj ]],-2)</f>
        <v>321500</v>
      </c>
      <c r="BM438" s="30">
        <f>ROUND(Inventory[[#This Row],[25Det]]*Inventory[[#This Row],[Det/Nbhd Adj]],-2)</f>
        <v>0</v>
      </c>
      <c r="BN438" s="30">
        <f>Inventory[[#This Row],[Adjusted Res]]+Inventory[[#This Row],[Adj Det ]]</f>
        <v>321500</v>
      </c>
      <c r="BO438" s="30">
        <f>ROUND((Inventory[[#This Row],[Mdl Land Intercept]]+Inventory[[#This Row],[Mdl LnAcres]])*Inventory[[#This Row],[Det/Nbhd Adj]],-2)</f>
        <v>60300</v>
      </c>
      <c r="BP438" s="30">
        <f>Inventory[[#This Row],[Adjusted Impr Total]]+Inventory[[#This Row],[Adjusted Land Total]]</f>
        <v>381800</v>
      </c>
      <c r="BQ438" s="30">
        <f>IFERROR((Inventory[[#This Row],[Adjusted Impr Total]]-Inventory[[#This Row],[24Bldg]])/Inventory[[#This Row],[24Bldg]],0)</f>
        <v>-1.0464758387196061E-2</v>
      </c>
      <c r="BR438" s="43">
        <f>(Inventory[[#This Row],[Adjusted Land Total]]-Inventory[[#This Row],[24Lnd]])/Inventory[[#This Row],[24Lnd]]</f>
        <v>6.6777963272120202E-3</v>
      </c>
      <c r="BS438" s="43">
        <f>(Inventory[[#This Row],[Adjusted Total]]-Inventory[[#This Row],[24Final]])/Inventory[[#This Row],[24Final]]</f>
        <v>-7.7962577962577967E-3</v>
      </c>
    </row>
    <row r="439" spans="1:71">
      <c r="A439" s="30">
        <v>2025</v>
      </c>
      <c r="B439" s="31" t="s">
        <v>953</v>
      </c>
      <c r="C439" s="31">
        <f>LN(Inventory[[#This Row],[Acres]])</f>
        <v>-1.8325814637483102</v>
      </c>
      <c r="D439" s="30">
        <v>0.16</v>
      </c>
      <c r="E439" s="30">
        <v>7147</v>
      </c>
      <c r="F439" s="31" t="s">
        <v>505</v>
      </c>
      <c r="G439" s="31" t="s">
        <v>155</v>
      </c>
      <c r="H439" s="31" t="s">
        <v>5</v>
      </c>
      <c r="I439" s="31" t="s">
        <v>506</v>
      </c>
      <c r="J439" s="31" t="s">
        <v>507</v>
      </c>
      <c r="K439" s="31" t="s">
        <v>193</v>
      </c>
      <c r="L439" s="31" t="s">
        <v>19</v>
      </c>
      <c r="M439" s="31" t="s">
        <v>20</v>
      </c>
      <c r="N439" s="31">
        <v>10</v>
      </c>
      <c r="O439" s="31">
        <f>2024-Inventory[[#This Row],[YrBlt]]</f>
        <v>15</v>
      </c>
      <c r="P439" s="31">
        <f>2024-Inventory[[#This Row],[EffYr]]</f>
        <v>15</v>
      </c>
      <c r="Q439" s="30">
        <v>2009</v>
      </c>
      <c r="R439" s="30">
        <v>2009</v>
      </c>
      <c r="S439" s="30">
        <v>1540</v>
      </c>
      <c r="T439" s="32"/>
      <c r="U439" s="32"/>
      <c r="V439" s="32"/>
      <c r="W439" s="32"/>
      <c r="X439" s="32">
        <f>Inventory[[#This Row],[Bsmt Area]]-Inventory[[#This Row],[FnBsmt]]</f>
        <v>0</v>
      </c>
      <c r="Y439" s="32">
        <f>Inventory[[#This Row],[MainFn]]+Inventory[[#This Row],[UpprFn]]+Inventory[[#This Row],[AddFn]]+Inventory[[#This Row],[FnBsmt]]</f>
        <v>1540</v>
      </c>
      <c r="Z439" s="32">
        <v>2000</v>
      </c>
      <c r="AA439" s="31" t="s">
        <v>57</v>
      </c>
      <c r="AB439" s="32"/>
      <c r="AC439" s="30">
        <v>420</v>
      </c>
      <c r="AD439" s="32"/>
      <c r="AE439" s="32"/>
      <c r="AF439" s="32"/>
      <c r="AG439" s="32"/>
      <c r="AH439" s="32"/>
      <c r="AI439" s="30">
        <v>303238</v>
      </c>
      <c r="AJ439" s="30">
        <v>282011</v>
      </c>
      <c r="AK439" s="30">
        <v>0</v>
      </c>
      <c r="AL439" s="30">
        <v>0</v>
      </c>
      <c r="AM439" s="30">
        <v>60800</v>
      </c>
      <c r="AN439" s="30">
        <v>309700</v>
      </c>
      <c r="AO439" s="30">
        <v>370500</v>
      </c>
      <c r="AP439" s="30">
        <f>Lookups!$B$58*0.6</f>
        <v>132535.48800000001</v>
      </c>
      <c r="AQ439" s="30">
        <f>Lookups!$B$58*0.4</f>
        <v>88356.992000000013</v>
      </c>
      <c r="AR439" s="30">
        <f>Lookups!$B$59*Inventory[[#This Row],[LnAcres]]</f>
        <v>-24051.387388882686</v>
      </c>
      <c r="AS439" s="30">
        <f>VLOOKUP(Inventory[[#This Row],[Qlty]],Lookups!$A$66:$E$79,2,FALSE)</f>
        <v>37154.252388000001</v>
      </c>
      <c r="AT439" s="30">
        <f>VLOOKUP(Inventory[[#This Row],[Cnd]],Lookups!$A$80:$E$88,2,FALSE)</f>
        <v>30300.329274</v>
      </c>
      <c r="AU439" s="30">
        <f>Inventory[[#This Row],[EffAge]]*Lookups!$B$65</f>
        <v>-1631.1165000000001</v>
      </c>
      <c r="AV439" s="30">
        <f>Inventory[[#This Row],[MainFn]]*Lookups!$B$90</f>
        <v>96111.98520000001</v>
      </c>
      <c r="AW439" s="30">
        <f>Inventory[[#This Row],[UpprFn]]*Lookups!$B$91</f>
        <v>0</v>
      </c>
      <c r="AX439" s="30">
        <f>Inventory[[#This Row],[Bsmt Area]]*Lookups!$B$95</f>
        <v>0</v>
      </c>
      <c r="AY439" s="30">
        <f>Inventory[[#This Row],[AttGar]]*Lookups!$B$93</f>
        <v>14826.43302</v>
      </c>
      <c r="AZ439" s="30">
        <f>ROUND(Inventory[[#This Row],[25Det]],-2)</f>
        <v>0</v>
      </c>
      <c r="BA439" s="30">
        <f>ROUND(SUM(Inventory[[#This Row],[Mdl Qlty]:[Mdl Garage Area]])+Inventory[[#This Row],[Mdl Res Intercept]],-2)</f>
        <v>309300</v>
      </c>
      <c r="BB439" s="30">
        <f>ROUND(Inventory[[#This Row],[Mdl Land Intercept]]+Inventory[[#This Row],[Mdl LnAcres]],-2)</f>
        <v>64300</v>
      </c>
      <c r="BC439" s="30">
        <f>Inventory[[#This Row],[Unadj Res Value]]+Inventory[[#This Row],[Unadj Det Value]]+Inventory[[#This Row],[Unadj Land Value]]</f>
        <v>373600</v>
      </c>
      <c r="BD439" s="30">
        <f>(Inventory[[#This Row],[Unadj Total Value]]-Inventory[[#This Row],[24Final]])/Inventory[[#This Row],[24Final]]</f>
        <v>8.3670715249662617E-3</v>
      </c>
      <c r="BE439" s="30">
        <f>VLOOKUP(Inventory[[#This Row],[Nbhd]],Lookups!$M$3:$P$5,4,FALSE)</f>
        <v>0.99970000000000003</v>
      </c>
      <c r="BF439" s="30">
        <f>VLOOKUP(Inventory[[#This Row],[Qlty]],Lookups!$M$8:$P$22,4,FALSE)</f>
        <v>0.99819999999999998</v>
      </c>
      <c r="BG439" s="30">
        <f>VLOOKUP(Inventory[[#This Row],[Cnd]],Lookups!$R$8:$U$17,4,FALSE)</f>
        <v>0.997</v>
      </c>
      <c r="BH439" s="30">
        <f>VLOOKUP(Inventory[[#This Row],[LivArea Range]],Lookups!$R$25:$U$43,4,FALSE)</f>
        <v>1.0007999999999999</v>
      </c>
      <c r="BI439" s="30">
        <f>VLOOKUP(Inventory[[#This Row],[Decade]],Lookups!$M$24:$P$40,4,FALSE)</f>
        <v>1.0024</v>
      </c>
      <c r="BJ439" s="30">
        <f>Inventory[[#This Row],[Nbhd Adj]]*0.95</f>
        <v>0.94971499999999998</v>
      </c>
      <c r="BK439" s="30">
        <f>AVERAGE(Inventory[[#This Row],[Nbhd Adj]],Inventory[[#This Row],[Quality Adj]],Inventory[[#This Row],[Condition Adj]],Inventory[[#This Row],[Living Area Adj]],Inventory[[#This Row],[Decade Adj]])*0.95</f>
        <v>0.9496389999999999</v>
      </c>
      <c r="BL439" s="30">
        <f>ROUND((SUM(Inventory[[#This Row],[Mdl Qlty]:[Mdl Garage Area]])+Inventory[[#This Row],[Mdl Res Intercept]])*Inventory[[#This Row],[Res Adj ]],-2)</f>
        <v>293700</v>
      </c>
      <c r="BM439" s="30">
        <f>ROUND(Inventory[[#This Row],[25Det]]*Inventory[[#This Row],[Det/Nbhd Adj]],-2)</f>
        <v>0</v>
      </c>
      <c r="BN439" s="30">
        <f>Inventory[[#This Row],[Adjusted Res]]+Inventory[[#This Row],[Adj Det ]]</f>
        <v>293700</v>
      </c>
      <c r="BO439" s="30">
        <f>ROUND((Inventory[[#This Row],[Mdl Land Intercept]]+Inventory[[#This Row],[Mdl LnAcres]])*Inventory[[#This Row],[Det/Nbhd Adj]],-2)</f>
        <v>61100</v>
      </c>
      <c r="BP439" s="30">
        <f>Inventory[[#This Row],[Adjusted Impr Total]]+Inventory[[#This Row],[Adjusted Land Total]]</f>
        <v>354800</v>
      </c>
      <c r="BQ439" s="30">
        <f>IFERROR((Inventory[[#This Row],[Adjusted Impr Total]]-Inventory[[#This Row],[24Bldg]])/Inventory[[#This Row],[24Bldg]],0)</f>
        <v>-5.1662899580238938E-2</v>
      </c>
      <c r="BR439" s="43">
        <f>(Inventory[[#This Row],[Adjusted Land Total]]-Inventory[[#This Row],[24Lnd]])/Inventory[[#This Row],[24Lnd]]</f>
        <v>4.9342105263157892E-3</v>
      </c>
      <c r="BS439" s="43">
        <f>(Inventory[[#This Row],[Adjusted Total]]-Inventory[[#This Row],[24Final]])/Inventory[[#This Row],[24Final]]</f>
        <v>-4.2375168690958163E-2</v>
      </c>
    </row>
    <row r="440" spans="1:71">
      <c r="A440" s="30">
        <v>2025</v>
      </c>
      <c r="B440" s="31" t="s">
        <v>954</v>
      </c>
      <c r="C440" s="31">
        <f>LN(Inventory[[#This Row],[Acres]])</f>
        <v>-1.8325814637483102</v>
      </c>
      <c r="D440" s="30">
        <v>0.16</v>
      </c>
      <c r="E440" s="30">
        <v>7100</v>
      </c>
      <c r="F440" s="31" t="s">
        <v>505</v>
      </c>
      <c r="G440" s="31" t="s">
        <v>155</v>
      </c>
      <c r="H440" s="31" t="s">
        <v>5</v>
      </c>
      <c r="I440" s="31" t="s">
        <v>506</v>
      </c>
      <c r="J440" s="31" t="s">
        <v>507</v>
      </c>
      <c r="K440" s="31" t="s">
        <v>193</v>
      </c>
      <c r="L440" s="31" t="s">
        <v>19</v>
      </c>
      <c r="M440" s="31" t="s">
        <v>20</v>
      </c>
      <c r="N440" s="31">
        <v>10</v>
      </c>
      <c r="O440" s="31">
        <f>2024-Inventory[[#This Row],[YrBlt]]</f>
        <v>15</v>
      </c>
      <c r="P440" s="31">
        <f>2024-Inventory[[#This Row],[EffYr]]</f>
        <v>15</v>
      </c>
      <c r="Q440" s="30">
        <v>2009</v>
      </c>
      <c r="R440" s="30">
        <v>2009</v>
      </c>
      <c r="S440" s="30">
        <v>1380</v>
      </c>
      <c r="T440" s="37"/>
      <c r="U440" s="32"/>
      <c r="V440" s="32"/>
      <c r="W440" s="32"/>
      <c r="X440" s="32">
        <f>Inventory[[#This Row],[Bsmt Area]]-Inventory[[#This Row],[FnBsmt]]</f>
        <v>0</v>
      </c>
      <c r="Y440" s="32">
        <f>Inventory[[#This Row],[MainFn]]+Inventory[[#This Row],[UpprFn]]+Inventory[[#This Row],[AddFn]]+Inventory[[#This Row],[FnBsmt]]</f>
        <v>1380</v>
      </c>
      <c r="Z440" s="32">
        <v>1500</v>
      </c>
      <c r="AA440" s="31" t="s">
        <v>57</v>
      </c>
      <c r="AB440" s="38">
        <v>1</v>
      </c>
      <c r="AC440" s="30">
        <v>440</v>
      </c>
      <c r="AD440" s="32"/>
      <c r="AE440" s="32"/>
      <c r="AF440" s="32"/>
      <c r="AG440" s="32"/>
      <c r="AH440" s="32"/>
      <c r="AI440" s="30">
        <v>279586</v>
      </c>
      <c r="AJ440" s="30">
        <v>260015</v>
      </c>
      <c r="AK440" s="30">
        <v>0</v>
      </c>
      <c r="AL440" s="30">
        <v>0</v>
      </c>
      <c r="AM440" s="30">
        <v>60800</v>
      </c>
      <c r="AN440" s="30">
        <v>293500</v>
      </c>
      <c r="AO440" s="30">
        <v>354300</v>
      </c>
      <c r="AP440" s="30">
        <f>Lookups!$B$58*0.6</f>
        <v>132535.48800000001</v>
      </c>
      <c r="AQ440" s="30">
        <f>Lookups!$B$58*0.4</f>
        <v>88356.992000000013</v>
      </c>
      <c r="AR440" s="30">
        <f>Lookups!$B$59*Inventory[[#This Row],[LnAcres]]</f>
        <v>-24051.387388882686</v>
      </c>
      <c r="AS440" s="30">
        <f>VLOOKUP(Inventory[[#This Row],[Qlty]],Lookups!$A$66:$E$79,2,FALSE)</f>
        <v>37154.252388000001</v>
      </c>
      <c r="AT440" s="30">
        <f>VLOOKUP(Inventory[[#This Row],[Cnd]],Lookups!$A$80:$E$88,2,FALSE)</f>
        <v>30300.329274</v>
      </c>
      <c r="AU440" s="30">
        <f>Inventory[[#This Row],[EffAge]]*Lookups!$B$65</f>
        <v>-1631.1165000000001</v>
      </c>
      <c r="AV440" s="30">
        <f>Inventory[[#This Row],[MainFn]]*Lookups!$B$90</f>
        <v>86126.324399999998</v>
      </c>
      <c r="AW440" s="30">
        <f>Inventory[[#This Row],[UpprFn]]*Lookups!$B$91</f>
        <v>0</v>
      </c>
      <c r="AX440" s="30">
        <f>Inventory[[#This Row],[Bsmt Area]]*Lookups!$B$95</f>
        <v>0</v>
      </c>
      <c r="AY440" s="30">
        <f>Inventory[[#This Row],[AttGar]]*Lookups!$B$93</f>
        <v>15532.453640000002</v>
      </c>
      <c r="AZ440" s="30">
        <f>ROUND(Inventory[[#This Row],[25Det]],-2)</f>
        <v>0</v>
      </c>
      <c r="BA440" s="30">
        <f>ROUND(SUM(Inventory[[#This Row],[Mdl Qlty]:[Mdl Garage Area]])+Inventory[[#This Row],[Mdl Res Intercept]],-2)</f>
        <v>300000</v>
      </c>
      <c r="BB440" s="30">
        <f>ROUND(Inventory[[#This Row],[Mdl Land Intercept]]+Inventory[[#This Row],[Mdl LnAcres]],-2)</f>
        <v>64300</v>
      </c>
      <c r="BC440" s="30">
        <f>Inventory[[#This Row],[Unadj Res Value]]+Inventory[[#This Row],[Unadj Det Value]]+Inventory[[#This Row],[Unadj Land Value]]</f>
        <v>364300</v>
      </c>
      <c r="BD440" s="30">
        <f>(Inventory[[#This Row],[Unadj Total Value]]-Inventory[[#This Row],[24Final]])/Inventory[[#This Row],[24Final]]</f>
        <v>2.8224668360146768E-2</v>
      </c>
      <c r="BE440" s="30">
        <f>VLOOKUP(Inventory[[#This Row],[Nbhd]],Lookups!$M$3:$P$5,4,FALSE)</f>
        <v>0.99970000000000003</v>
      </c>
      <c r="BF440" s="30">
        <f>VLOOKUP(Inventory[[#This Row],[Qlty]],Lookups!$M$8:$P$22,4,FALSE)</f>
        <v>0.99819999999999998</v>
      </c>
      <c r="BG440" s="30">
        <f>VLOOKUP(Inventory[[#This Row],[Cnd]],Lookups!$R$8:$U$17,4,FALSE)</f>
        <v>0.997</v>
      </c>
      <c r="BH440" s="30">
        <f>VLOOKUP(Inventory[[#This Row],[LivArea Range]],Lookups!$R$25:$U$43,4,FALSE)</f>
        <v>0.99519999999999997</v>
      </c>
      <c r="BI440" s="30">
        <f>VLOOKUP(Inventory[[#This Row],[Decade]],Lookups!$M$24:$P$40,4,FALSE)</f>
        <v>1.0024</v>
      </c>
      <c r="BJ440" s="30">
        <f>Inventory[[#This Row],[Nbhd Adj]]*0.95</f>
        <v>0.94971499999999998</v>
      </c>
      <c r="BK440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440" s="30">
        <f>ROUND((SUM(Inventory[[#This Row],[Mdl Qlty]:[Mdl Garage Area]])+Inventory[[#This Row],[Mdl Res Intercept]])*Inventory[[#This Row],[Res Adj ]],-2)</f>
        <v>284600</v>
      </c>
      <c r="BM440" s="30">
        <f>ROUND(Inventory[[#This Row],[25Det]]*Inventory[[#This Row],[Det/Nbhd Adj]],-2)</f>
        <v>0</v>
      </c>
      <c r="BN440" s="30">
        <f>Inventory[[#This Row],[Adjusted Res]]+Inventory[[#This Row],[Adj Det ]]</f>
        <v>284600</v>
      </c>
      <c r="BO440" s="30">
        <f>ROUND((Inventory[[#This Row],[Mdl Land Intercept]]+Inventory[[#This Row],[Mdl LnAcres]])*Inventory[[#This Row],[Det/Nbhd Adj]],-2)</f>
        <v>61100</v>
      </c>
      <c r="BP440" s="30">
        <f>Inventory[[#This Row],[Adjusted Impr Total]]+Inventory[[#This Row],[Adjusted Land Total]]</f>
        <v>345700</v>
      </c>
      <c r="BQ440" s="30">
        <f>IFERROR((Inventory[[#This Row],[Adjusted Impr Total]]-Inventory[[#This Row],[24Bldg]])/Inventory[[#This Row],[24Bldg]],0)</f>
        <v>-3.0323679727427597E-2</v>
      </c>
      <c r="BR440" s="43">
        <f>(Inventory[[#This Row],[Adjusted Land Total]]-Inventory[[#This Row],[24Lnd]])/Inventory[[#This Row],[24Lnd]]</f>
        <v>4.9342105263157892E-3</v>
      </c>
      <c r="BS440" s="43">
        <f>(Inventory[[#This Row],[Adjusted Total]]-Inventory[[#This Row],[24Final]])/Inventory[[#This Row],[24Final]]</f>
        <v>-2.427321478972622E-2</v>
      </c>
    </row>
    <row r="441" spans="1:71">
      <c r="A441" s="30">
        <v>2025</v>
      </c>
      <c r="B441" s="31" t="s">
        <v>955</v>
      </c>
      <c r="C441" s="31">
        <f>LN(Inventory[[#This Row],[Acres]])</f>
        <v>-1.8325814637483102</v>
      </c>
      <c r="D441" s="30">
        <v>0.16</v>
      </c>
      <c r="E441" s="30">
        <v>7100</v>
      </c>
      <c r="F441" s="31" t="s">
        <v>505</v>
      </c>
      <c r="G441" s="31" t="s">
        <v>155</v>
      </c>
      <c r="H441" s="31" t="s">
        <v>5</v>
      </c>
      <c r="I441" s="31" t="s">
        <v>506</v>
      </c>
      <c r="J441" s="31" t="s">
        <v>507</v>
      </c>
      <c r="K441" s="31" t="s">
        <v>157</v>
      </c>
      <c r="L441" s="31" t="s">
        <v>21</v>
      </c>
      <c r="M441" s="31" t="s">
        <v>20</v>
      </c>
      <c r="N441" s="31">
        <v>10</v>
      </c>
      <c r="O441" s="31">
        <f>2024-Inventory[[#This Row],[YrBlt]]</f>
        <v>15</v>
      </c>
      <c r="P441" s="31">
        <f>2024-Inventory[[#This Row],[EffYr]]</f>
        <v>15</v>
      </c>
      <c r="Q441" s="30">
        <v>2009</v>
      </c>
      <c r="R441" s="30">
        <v>2009</v>
      </c>
      <c r="S441" s="30">
        <v>1116</v>
      </c>
      <c r="T441" s="38">
        <v>1116</v>
      </c>
      <c r="U441" s="32"/>
      <c r="V441" s="32"/>
      <c r="W441" s="32"/>
      <c r="X441" s="32">
        <f>Inventory[[#This Row],[Bsmt Area]]-Inventory[[#This Row],[FnBsmt]]</f>
        <v>0</v>
      </c>
      <c r="Y441" s="32">
        <f>Inventory[[#This Row],[MainFn]]+Inventory[[#This Row],[UpprFn]]+Inventory[[#This Row],[AddFn]]+Inventory[[#This Row],[FnBsmt]]</f>
        <v>2232</v>
      </c>
      <c r="Z441" s="32">
        <v>2500</v>
      </c>
      <c r="AA441" s="31" t="s">
        <v>57</v>
      </c>
      <c r="AB441" s="32"/>
      <c r="AC441" s="30">
        <v>440</v>
      </c>
      <c r="AD441" s="32"/>
      <c r="AE441" s="32"/>
      <c r="AF441" s="32"/>
      <c r="AG441" s="32"/>
      <c r="AH441" s="32"/>
      <c r="AI441" s="30">
        <v>441922</v>
      </c>
      <c r="AJ441" s="30">
        <v>410987</v>
      </c>
      <c r="AK441" s="30">
        <v>0</v>
      </c>
      <c r="AL441" s="30">
        <v>0</v>
      </c>
      <c r="AM441" s="30">
        <v>60800</v>
      </c>
      <c r="AN441" s="30">
        <v>338100</v>
      </c>
      <c r="AO441" s="30">
        <v>398900</v>
      </c>
      <c r="AP441" s="30">
        <f>Lookups!$B$58*0.6</f>
        <v>132535.48800000001</v>
      </c>
      <c r="AQ441" s="30">
        <f>Lookups!$B$58*0.4</f>
        <v>88356.992000000013</v>
      </c>
      <c r="AR441" s="30">
        <f>Lookups!$B$59*Inventory[[#This Row],[LnAcres]]</f>
        <v>-24051.387388882686</v>
      </c>
      <c r="AS441" s="30">
        <f>VLOOKUP(Inventory[[#This Row],[Qlty]],Lookups!$A$66:$E$79,2,FALSE)</f>
        <v>32917.849192000001</v>
      </c>
      <c r="AT441" s="30">
        <f>VLOOKUP(Inventory[[#This Row],[Cnd]],Lookups!$A$80:$E$88,2,FALSE)</f>
        <v>30300.329274</v>
      </c>
      <c r="AU441" s="30">
        <f>Inventory[[#This Row],[EffAge]]*Lookups!$B$65</f>
        <v>-1631.1165000000001</v>
      </c>
      <c r="AV441" s="30">
        <f>Inventory[[#This Row],[MainFn]]*Lookups!$B$90</f>
        <v>69649.984080000009</v>
      </c>
      <c r="AW441" s="30">
        <f>Inventory[[#This Row],[UpprFn]]*Lookups!$B$91</f>
        <v>66491.707427999994</v>
      </c>
      <c r="AX441" s="30">
        <f>Inventory[[#This Row],[Bsmt Area]]*Lookups!$B$95</f>
        <v>0</v>
      </c>
      <c r="AY441" s="30">
        <f>Inventory[[#This Row],[AttGar]]*Lookups!$B$93</f>
        <v>15532.453640000002</v>
      </c>
      <c r="AZ441" s="30">
        <f>ROUND(Inventory[[#This Row],[25Det]],-2)</f>
        <v>0</v>
      </c>
      <c r="BA441" s="30">
        <f>ROUND(SUM(Inventory[[#This Row],[Mdl Qlty]:[Mdl Garage Area]])+Inventory[[#This Row],[Mdl Res Intercept]],-2)</f>
        <v>345800</v>
      </c>
      <c r="BB441" s="30">
        <f>ROUND(Inventory[[#This Row],[Mdl Land Intercept]]+Inventory[[#This Row],[Mdl LnAcres]],-2)</f>
        <v>64300</v>
      </c>
      <c r="BC441" s="30">
        <f>Inventory[[#This Row],[Unadj Res Value]]+Inventory[[#This Row],[Unadj Det Value]]+Inventory[[#This Row],[Unadj Land Value]]</f>
        <v>410100</v>
      </c>
      <c r="BD441" s="30">
        <f>(Inventory[[#This Row],[Unadj Total Value]]-Inventory[[#This Row],[24Final]])/Inventory[[#This Row],[24Final]]</f>
        <v>2.8077212333918276E-2</v>
      </c>
      <c r="BE441" s="30">
        <f>VLOOKUP(Inventory[[#This Row],[Nbhd]],Lookups!$M$3:$P$5,4,FALSE)</f>
        <v>0.99970000000000003</v>
      </c>
      <c r="BF441" s="30">
        <f>VLOOKUP(Inventory[[#This Row],[Qlty]],Lookups!$M$8:$P$22,4,FALSE)</f>
        <v>1.0019</v>
      </c>
      <c r="BG441" s="30">
        <f>VLOOKUP(Inventory[[#This Row],[Cnd]],Lookups!$R$8:$U$17,4,FALSE)</f>
        <v>0.997</v>
      </c>
      <c r="BH441" s="30">
        <f>VLOOKUP(Inventory[[#This Row],[LivArea Range]],Lookups!$R$25:$U$43,4,FALSE)</f>
        <v>1.0008999999999999</v>
      </c>
      <c r="BI441" s="30">
        <f>VLOOKUP(Inventory[[#This Row],[Decade]],Lookups!$M$24:$P$40,4,FALSE)</f>
        <v>1.0024</v>
      </c>
      <c r="BJ441" s="30">
        <f>Inventory[[#This Row],[Nbhd Adj]]*0.95</f>
        <v>0.94971499999999998</v>
      </c>
      <c r="BK441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441" s="30">
        <f>ROUND((SUM(Inventory[[#This Row],[Mdl Qlty]:[Mdl Garage Area]])+Inventory[[#This Row],[Mdl Res Intercept]])*Inventory[[#This Row],[Res Adj ]],-2)</f>
        <v>328600</v>
      </c>
      <c r="BM441" s="30">
        <f>ROUND(Inventory[[#This Row],[25Det]]*Inventory[[#This Row],[Det/Nbhd Adj]],-2)</f>
        <v>0</v>
      </c>
      <c r="BN441" s="30">
        <f>Inventory[[#This Row],[Adjusted Res]]+Inventory[[#This Row],[Adj Det ]]</f>
        <v>328600</v>
      </c>
      <c r="BO441" s="30">
        <f>ROUND((Inventory[[#This Row],[Mdl Land Intercept]]+Inventory[[#This Row],[Mdl LnAcres]])*Inventory[[#This Row],[Det/Nbhd Adj]],-2)</f>
        <v>61100</v>
      </c>
      <c r="BP441" s="30">
        <f>Inventory[[#This Row],[Adjusted Impr Total]]+Inventory[[#This Row],[Adjusted Land Total]]</f>
        <v>389700</v>
      </c>
      <c r="BQ441" s="30">
        <f>IFERROR((Inventory[[#This Row],[Adjusted Impr Total]]-Inventory[[#This Row],[24Bldg]])/Inventory[[#This Row],[24Bldg]],0)</f>
        <v>-2.8098195800059154E-2</v>
      </c>
      <c r="BR441" s="43">
        <f>(Inventory[[#This Row],[Adjusted Land Total]]-Inventory[[#This Row],[24Lnd]])/Inventory[[#This Row],[24Lnd]]</f>
        <v>4.9342105263157892E-3</v>
      </c>
      <c r="BS441" s="43">
        <f>(Inventory[[#This Row],[Adjusted Total]]-Inventory[[#This Row],[24Final]])/Inventory[[#This Row],[24Final]]</f>
        <v>-2.3063424417147156E-2</v>
      </c>
    </row>
    <row r="442" spans="1:71">
      <c r="A442" s="30">
        <v>2025</v>
      </c>
      <c r="B442" s="31" t="s">
        <v>956</v>
      </c>
      <c r="C442" s="31">
        <f>LN(Inventory[[#This Row],[Acres]])</f>
        <v>-1.8325814637483102</v>
      </c>
      <c r="D442" s="30">
        <v>0.16</v>
      </c>
      <c r="E442" s="30">
        <v>7157</v>
      </c>
      <c r="F442" s="31" t="s">
        <v>505</v>
      </c>
      <c r="G442" s="31" t="s">
        <v>155</v>
      </c>
      <c r="H442" s="31" t="s">
        <v>5</v>
      </c>
      <c r="I442" s="31" t="s">
        <v>506</v>
      </c>
      <c r="J442" s="31" t="s">
        <v>507</v>
      </c>
      <c r="K442" s="31" t="s">
        <v>157</v>
      </c>
      <c r="L442" s="31" t="s">
        <v>21</v>
      </c>
      <c r="M442" s="31" t="s">
        <v>20</v>
      </c>
      <c r="N442" s="31">
        <v>10</v>
      </c>
      <c r="O442" s="31">
        <f>2024-Inventory[[#This Row],[YrBlt]]</f>
        <v>15</v>
      </c>
      <c r="P442" s="31">
        <f>2024-Inventory[[#This Row],[EffYr]]</f>
        <v>15</v>
      </c>
      <c r="Q442" s="30">
        <v>2009</v>
      </c>
      <c r="R442" s="30">
        <v>2009</v>
      </c>
      <c r="S442" s="30">
        <v>1116</v>
      </c>
      <c r="T442" s="38">
        <v>1116</v>
      </c>
      <c r="U442" s="32"/>
      <c r="V442" s="32"/>
      <c r="W442" s="32"/>
      <c r="X442" s="32">
        <f>Inventory[[#This Row],[Bsmt Area]]-Inventory[[#This Row],[FnBsmt]]</f>
        <v>0</v>
      </c>
      <c r="Y442" s="32">
        <f>Inventory[[#This Row],[MainFn]]+Inventory[[#This Row],[UpprFn]]+Inventory[[#This Row],[AddFn]]+Inventory[[#This Row],[FnBsmt]]</f>
        <v>2232</v>
      </c>
      <c r="Z442" s="32">
        <v>2500</v>
      </c>
      <c r="AA442" s="31" t="s">
        <v>57</v>
      </c>
      <c r="AB442" s="30">
        <v>1</v>
      </c>
      <c r="AC442" s="30">
        <v>440</v>
      </c>
      <c r="AD442" s="32"/>
      <c r="AE442" s="32"/>
      <c r="AF442" s="32"/>
      <c r="AG442" s="32"/>
      <c r="AH442" s="32"/>
      <c r="AI442" s="30">
        <v>448953</v>
      </c>
      <c r="AJ442" s="30">
        <v>417526</v>
      </c>
      <c r="AK442" s="30">
        <v>0</v>
      </c>
      <c r="AL442" s="30">
        <v>0</v>
      </c>
      <c r="AM442" s="30">
        <v>60800</v>
      </c>
      <c r="AN442" s="30">
        <v>338100</v>
      </c>
      <c r="AO442" s="30">
        <v>398900</v>
      </c>
      <c r="AP442" s="30">
        <f>Lookups!$B$58*0.6</f>
        <v>132535.48800000001</v>
      </c>
      <c r="AQ442" s="30">
        <f>Lookups!$B$58*0.4</f>
        <v>88356.992000000013</v>
      </c>
      <c r="AR442" s="30">
        <f>Lookups!$B$59*Inventory[[#This Row],[LnAcres]]</f>
        <v>-24051.387388882686</v>
      </c>
      <c r="AS442" s="30">
        <f>VLOOKUP(Inventory[[#This Row],[Qlty]],Lookups!$A$66:$E$79,2,FALSE)</f>
        <v>32917.849192000001</v>
      </c>
      <c r="AT442" s="30">
        <f>VLOOKUP(Inventory[[#This Row],[Cnd]],Lookups!$A$80:$E$88,2,FALSE)</f>
        <v>30300.329274</v>
      </c>
      <c r="AU442" s="30">
        <f>Inventory[[#This Row],[EffAge]]*Lookups!$B$65</f>
        <v>-1631.1165000000001</v>
      </c>
      <c r="AV442" s="30">
        <f>Inventory[[#This Row],[MainFn]]*Lookups!$B$90</f>
        <v>69649.984080000009</v>
      </c>
      <c r="AW442" s="30">
        <f>Inventory[[#This Row],[UpprFn]]*Lookups!$B$91</f>
        <v>66491.707427999994</v>
      </c>
      <c r="AX442" s="30">
        <f>Inventory[[#This Row],[Bsmt Area]]*Lookups!$B$95</f>
        <v>0</v>
      </c>
      <c r="AY442" s="30">
        <f>Inventory[[#This Row],[AttGar]]*Lookups!$B$93</f>
        <v>15532.453640000002</v>
      </c>
      <c r="AZ442" s="30">
        <f>ROUND(Inventory[[#This Row],[25Det]],-2)</f>
        <v>0</v>
      </c>
      <c r="BA442" s="30">
        <f>ROUND(SUM(Inventory[[#This Row],[Mdl Qlty]:[Mdl Garage Area]])+Inventory[[#This Row],[Mdl Res Intercept]],-2)</f>
        <v>345800</v>
      </c>
      <c r="BB442" s="30">
        <f>ROUND(Inventory[[#This Row],[Mdl Land Intercept]]+Inventory[[#This Row],[Mdl LnAcres]],-2)</f>
        <v>64300</v>
      </c>
      <c r="BC442" s="30">
        <f>Inventory[[#This Row],[Unadj Res Value]]+Inventory[[#This Row],[Unadj Det Value]]+Inventory[[#This Row],[Unadj Land Value]]</f>
        <v>410100</v>
      </c>
      <c r="BD442" s="30">
        <f>(Inventory[[#This Row],[Unadj Total Value]]-Inventory[[#This Row],[24Final]])/Inventory[[#This Row],[24Final]]</f>
        <v>2.8077212333918276E-2</v>
      </c>
      <c r="BE442" s="30">
        <f>VLOOKUP(Inventory[[#This Row],[Nbhd]],Lookups!$M$3:$P$5,4,FALSE)</f>
        <v>0.99970000000000003</v>
      </c>
      <c r="BF442" s="30">
        <f>VLOOKUP(Inventory[[#This Row],[Qlty]],Lookups!$M$8:$P$22,4,FALSE)</f>
        <v>1.0019</v>
      </c>
      <c r="BG442" s="30">
        <f>VLOOKUP(Inventory[[#This Row],[Cnd]],Lookups!$R$8:$U$17,4,FALSE)</f>
        <v>0.997</v>
      </c>
      <c r="BH442" s="30">
        <f>VLOOKUP(Inventory[[#This Row],[LivArea Range]],Lookups!$R$25:$U$43,4,FALSE)</f>
        <v>1.0008999999999999</v>
      </c>
      <c r="BI442" s="30">
        <f>VLOOKUP(Inventory[[#This Row],[Decade]],Lookups!$M$24:$P$40,4,FALSE)</f>
        <v>1.0024</v>
      </c>
      <c r="BJ442" s="30">
        <f>Inventory[[#This Row],[Nbhd Adj]]*0.95</f>
        <v>0.94971499999999998</v>
      </c>
      <c r="BK442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442" s="30">
        <f>ROUND((SUM(Inventory[[#This Row],[Mdl Qlty]:[Mdl Garage Area]])+Inventory[[#This Row],[Mdl Res Intercept]])*Inventory[[#This Row],[Res Adj ]],-2)</f>
        <v>328600</v>
      </c>
      <c r="BM442" s="30">
        <f>ROUND(Inventory[[#This Row],[25Det]]*Inventory[[#This Row],[Det/Nbhd Adj]],-2)</f>
        <v>0</v>
      </c>
      <c r="BN442" s="30">
        <f>Inventory[[#This Row],[Adjusted Res]]+Inventory[[#This Row],[Adj Det ]]</f>
        <v>328600</v>
      </c>
      <c r="BO442" s="30">
        <f>ROUND((Inventory[[#This Row],[Mdl Land Intercept]]+Inventory[[#This Row],[Mdl LnAcres]])*Inventory[[#This Row],[Det/Nbhd Adj]],-2)</f>
        <v>61100</v>
      </c>
      <c r="BP442" s="30">
        <f>Inventory[[#This Row],[Adjusted Impr Total]]+Inventory[[#This Row],[Adjusted Land Total]]</f>
        <v>389700</v>
      </c>
      <c r="BQ442" s="30">
        <f>IFERROR((Inventory[[#This Row],[Adjusted Impr Total]]-Inventory[[#This Row],[24Bldg]])/Inventory[[#This Row],[24Bldg]],0)</f>
        <v>-2.8098195800059154E-2</v>
      </c>
      <c r="BR442" s="43">
        <f>(Inventory[[#This Row],[Adjusted Land Total]]-Inventory[[#This Row],[24Lnd]])/Inventory[[#This Row],[24Lnd]]</f>
        <v>4.9342105263157892E-3</v>
      </c>
      <c r="BS442" s="43">
        <f>(Inventory[[#This Row],[Adjusted Total]]-Inventory[[#This Row],[24Final]])/Inventory[[#This Row],[24Final]]</f>
        <v>-2.3063424417147156E-2</v>
      </c>
    </row>
    <row r="443" spans="1:71">
      <c r="A443" s="30">
        <v>2025</v>
      </c>
      <c r="B443" s="31" t="s">
        <v>957</v>
      </c>
      <c r="C443" s="31">
        <f>LN(Inventory[[#This Row],[Acres]])</f>
        <v>-1.8325814637483102</v>
      </c>
      <c r="D443" s="30">
        <v>0.16</v>
      </c>
      <c r="E443" s="30">
        <v>7181</v>
      </c>
      <c r="F443" s="31" t="s">
        <v>505</v>
      </c>
      <c r="G443" s="31" t="s">
        <v>155</v>
      </c>
      <c r="H443" s="31" t="s">
        <v>5</v>
      </c>
      <c r="I443" s="31" t="s">
        <v>506</v>
      </c>
      <c r="J443" s="31" t="s">
        <v>507</v>
      </c>
      <c r="K443" s="31" t="s">
        <v>157</v>
      </c>
      <c r="L443" s="31" t="s">
        <v>21</v>
      </c>
      <c r="M443" s="31" t="s">
        <v>22</v>
      </c>
      <c r="N443" s="31">
        <v>10</v>
      </c>
      <c r="O443" s="31">
        <f>2024-Inventory[[#This Row],[YrBlt]]</f>
        <v>15</v>
      </c>
      <c r="P443" s="31">
        <f>2024-Inventory[[#This Row],[EffYr]]</f>
        <v>15</v>
      </c>
      <c r="Q443" s="30">
        <v>2009</v>
      </c>
      <c r="R443" s="30">
        <v>2009</v>
      </c>
      <c r="S443" s="30">
        <v>1389</v>
      </c>
      <c r="T443" s="30">
        <v>1322</v>
      </c>
      <c r="U443" s="32"/>
      <c r="V443" s="32"/>
      <c r="W443" s="32"/>
      <c r="X443" s="32">
        <f>Inventory[[#This Row],[Bsmt Area]]-Inventory[[#This Row],[FnBsmt]]</f>
        <v>0</v>
      </c>
      <c r="Y443" s="32">
        <f>Inventory[[#This Row],[MainFn]]+Inventory[[#This Row],[UpprFn]]+Inventory[[#This Row],[AddFn]]+Inventory[[#This Row],[FnBsmt]]</f>
        <v>2711</v>
      </c>
      <c r="Z443" s="32">
        <v>3000</v>
      </c>
      <c r="AA443" s="31" t="s">
        <v>56</v>
      </c>
      <c r="AB443" s="32"/>
      <c r="AC443" s="37"/>
      <c r="AD443" s="38">
        <v>728</v>
      </c>
      <c r="AE443" s="32"/>
      <c r="AF443" s="32"/>
      <c r="AG443" s="32"/>
      <c r="AH443" s="32"/>
      <c r="AI443" s="30">
        <v>516338</v>
      </c>
      <c r="AJ443" s="30">
        <v>485358</v>
      </c>
      <c r="AK443" s="30">
        <v>0</v>
      </c>
      <c r="AL443" s="30">
        <v>0</v>
      </c>
      <c r="AM443" s="30">
        <v>60800</v>
      </c>
      <c r="AN443" s="30">
        <v>390400</v>
      </c>
      <c r="AO443" s="30">
        <v>451200</v>
      </c>
      <c r="AP443" s="30">
        <f>Lookups!$B$58*0.6</f>
        <v>132535.48800000001</v>
      </c>
      <c r="AQ443" s="30">
        <f>Lookups!$B$58*0.4</f>
        <v>88356.992000000013</v>
      </c>
      <c r="AR443" s="30">
        <f>Lookups!$B$59*Inventory[[#This Row],[LnAcres]]</f>
        <v>-24051.387388882686</v>
      </c>
      <c r="AS443" s="30">
        <f>VLOOKUP(Inventory[[#This Row],[Qlty]],Lookups!$A$66:$E$79,2,FALSE)</f>
        <v>32917.849192000001</v>
      </c>
      <c r="AT443" s="30">
        <f>VLOOKUP(Inventory[[#This Row],[Cnd]],Lookups!$A$80:$E$88,2,FALSE)</f>
        <v>50438.379078999998</v>
      </c>
      <c r="AU443" s="30">
        <f>Inventory[[#This Row],[EffAge]]*Lookups!$B$65</f>
        <v>-1631.1165000000001</v>
      </c>
      <c r="AV443" s="30">
        <f>Inventory[[#This Row],[MainFn]]*Lookups!$B$90</f>
        <v>86688.017820000008</v>
      </c>
      <c r="AW443" s="30">
        <f>Inventory[[#This Row],[UpprFn]]*Lookups!$B$91</f>
        <v>78765.266325999997</v>
      </c>
      <c r="AX443" s="30">
        <f>Inventory[[#This Row],[Bsmt Area]]*Lookups!$B$95</f>
        <v>0</v>
      </c>
      <c r="AY443" s="30">
        <f>Inventory[[#This Row],[AttGar]]*Lookups!$B$93</f>
        <v>0</v>
      </c>
      <c r="AZ443" s="30">
        <f>ROUND(Inventory[[#This Row],[25Det]],-2)</f>
        <v>0</v>
      </c>
      <c r="BA443" s="30">
        <f>ROUND(SUM(Inventory[[#This Row],[Mdl Qlty]:[Mdl Garage Area]])+Inventory[[#This Row],[Mdl Res Intercept]],-2)</f>
        <v>379700</v>
      </c>
      <c r="BB443" s="30">
        <f>ROUND(Inventory[[#This Row],[Mdl Land Intercept]]+Inventory[[#This Row],[Mdl LnAcres]],-2)</f>
        <v>64300</v>
      </c>
      <c r="BC443" s="30">
        <f>Inventory[[#This Row],[Unadj Res Value]]+Inventory[[#This Row],[Unadj Det Value]]+Inventory[[#This Row],[Unadj Land Value]]</f>
        <v>444000</v>
      </c>
      <c r="BD443" s="30">
        <f>(Inventory[[#This Row],[Unadj Total Value]]-Inventory[[#This Row],[24Final]])/Inventory[[#This Row],[24Final]]</f>
        <v>-1.5957446808510637E-2</v>
      </c>
      <c r="BE443" s="30">
        <f>VLOOKUP(Inventory[[#This Row],[Nbhd]],Lookups!$M$3:$P$5,4,FALSE)</f>
        <v>0.99970000000000003</v>
      </c>
      <c r="BF443" s="30">
        <f>VLOOKUP(Inventory[[#This Row],[Qlty]],Lookups!$M$8:$P$22,4,FALSE)</f>
        <v>1.0019</v>
      </c>
      <c r="BG443" s="30">
        <f>VLOOKUP(Inventory[[#This Row],[Cnd]],Lookups!$R$8:$U$17,4,FALSE)</f>
        <v>1.0007999999999999</v>
      </c>
      <c r="BH443" s="30">
        <f>VLOOKUP(Inventory[[#This Row],[LivArea Range]],Lookups!$R$25:$U$43,4,FALSE)</f>
        <v>1.0099</v>
      </c>
      <c r="BI443" s="30">
        <f>VLOOKUP(Inventory[[#This Row],[Decade]],Lookups!$M$24:$P$40,4,FALSE)</f>
        <v>1.0024</v>
      </c>
      <c r="BJ443" s="30">
        <f>Inventory[[#This Row],[Nbhd Adj]]*0.95</f>
        <v>0.94971499999999998</v>
      </c>
      <c r="BK443" s="30">
        <f>AVERAGE(Inventory[[#This Row],[Nbhd Adj]],Inventory[[#This Row],[Quality Adj]],Inventory[[#This Row],[Condition Adj]],Inventory[[#This Row],[Living Area Adj]],Inventory[[#This Row],[Decade Adj]])*0.95</f>
        <v>0.95279299999999989</v>
      </c>
      <c r="BL443" s="30">
        <f>ROUND((SUM(Inventory[[#This Row],[Mdl Qlty]:[Mdl Garage Area]])+Inventory[[#This Row],[Mdl Res Intercept]])*Inventory[[#This Row],[Res Adj ]],-2)</f>
        <v>361800</v>
      </c>
      <c r="BM443" s="30">
        <f>ROUND(Inventory[[#This Row],[25Det]]*Inventory[[#This Row],[Det/Nbhd Adj]],-2)</f>
        <v>0</v>
      </c>
      <c r="BN443" s="30">
        <f>Inventory[[#This Row],[Adjusted Res]]+Inventory[[#This Row],[Adj Det ]]</f>
        <v>361800</v>
      </c>
      <c r="BO443" s="30">
        <f>ROUND((Inventory[[#This Row],[Mdl Land Intercept]]+Inventory[[#This Row],[Mdl LnAcres]])*Inventory[[#This Row],[Det/Nbhd Adj]],-2)</f>
        <v>61100</v>
      </c>
      <c r="BP443" s="30">
        <f>Inventory[[#This Row],[Adjusted Impr Total]]+Inventory[[#This Row],[Adjusted Land Total]]</f>
        <v>422900</v>
      </c>
      <c r="BQ443" s="30">
        <f>IFERROR((Inventory[[#This Row],[Adjusted Impr Total]]-Inventory[[#This Row],[24Bldg]])/Inventory[[#This Row],[24Bldg]],0)</f>
        <v>-7.325819672131148E-2</v>
      </c>
      <c r="BR443" s="43">
        <f>(Inventory[[#This Row],[Adjusted Land Total]]-Inventory[[#This Row],[24Lnd]])/Inventory[[#This Row],[24Lnd]]</f>
        <v>4.9342105263157892E-3</v>
      </c>
      <c r="BS443" s="43">
        <f>(Inventory[[#This Row],[Adjusted Total]]-Inventory[[#This Row],[24Final]])/Inventory[[#This Row],[24Final]]</f>
        <v>-6.2721631205673756E-2</v>
      </c>
    </row>
    <row r="444" spans="1:71">
      <c r="A444" s="30">
        <v>2025</v>
      </c>
      <c r="B444" s="31" t="s">
        <v>958</v>
      </c>
      <c r="C444" s="31">
        <f>LN(Inventory[[#This Row],[Acres]])</f>
        <v>-1.8325814637483102</v>
      </c>
      <c r="D444" s="30">
        <v>0.16</v>
      </c>
      <c r="E444" s="30">
        <v>7099</v>
      </c>
      <c r="F444" s="31" t="s">
        <v>505</v>
      </c>
      <c r="G444" s="31" t="s">
        <v>155</v>
      </c>
      <c r="H444" s="31" t="s">
        <v>5</v>
      </c>
      <c r="I444" s="31" t="s">
        <v>506</v>
      </c>
      <c r="J444" s="31" t="s">
        <v>507</v>
      </c>
      <c r="K444" s="31" t="s">
        <v>330</v>
      </c>
      <c r="L444" s="31" t="s">
        <v>19</v>
      </c>
      <c r="M444" s="31" t="s">
        <v>20</v>
      </c>
      <c r="N444" s="31">
        <v>10</v>
      </c>
      <c r="O444" s="31">
        <f>2024-Inventory[[#This Row],[YrBlt]]</f>
        <v>15</v>
      </c>
      <c r="P444" s="31">
        <f>2024-Inventory[[#This Row],[EffYr]]</f>
        <v>15</v>
      </c>
      <c r="Q444" s="30">
        <v>2009</v>
      </c>
      <c r="R444" s="30">
        <v>2009</v>
      </c>
      <c r="S444" s="30">
        <v>1540</v>
      </c>
      <c r="T444" s="32"/>
      <c r="U444" s="32"/>
      <c r="V444" s="32"/>
      <c r="W444" s="32"/>
      <c r="X444" s="32">
        <f>Inventory[[#This Row],[Bsmt Area]]-Inventory[[#This Row],[FnBsmt]]</f>
        <v>0</v>
      </c>
      <c r="Y444" s="32">
        <f>Inventory[[#This Row],[MainFn]]+Inventory[[#This Row],[UpprFn]]+Inventory[[#This Row],[AddFn]]+Inventory[[#This Row],[FnBsmt]]</f>
        <v>1540</v>
      </c>
      <c r="Z444" s="32">
        <v>2000</v>
      </c>
      <c r="AA444" s="31" t="s">
        <v>56</v>
      </c>
      <c r="AB444" s="32"/>
      <c r="AC444" s="30">
        <v>420</v>
      </c>
      <c r="AD444" s="32"/>
      <c r="AE444" s="32"/>
      <c r="AF444" s="32"/>
      <c r="AG444" s="32"/>
      <c r="AH444" s="32"/>
      <c r="AI444" s="30">
        <v>305088</v>
      </c>
      <c r="AJ444" s="30">
        <v>283732</v>
      </c>
      <c r="AK444" s="30">
        <v>0</v>
      </c>
      <c r="AL444" s="30">
        <v>0</v>
      </c>
      <c r="AM444" s="30">
        <v>60800</v>
      </c>
      <c r="AN444" s="30">
        <v>312800</v>
      </c>
      <c r="AO444" s="30">
        <v>373600</v>
      </c>
      <c r="AP444" s="30">
        <f>Lookups!$B$58*0.6</f>
        <v>132535.48800000001</v>
      </c>
      <c r="AQ444" s="30">
        <f>Lookups!$B$58*0.4</f>
        <v>88356.992000000013</v>
      </c>
      <c r="AR444" s="30">
        <f>Lookups!$B$59*Inventory[[#This Row],[LnAcres]]</f>
        <v>-24051.387388882686</v>
      </c>
      <c r="AS444" s="30">
        <f>VLOOKUP(Inventory[[#This Row],[Qlty]],Lookups!$A$66:$E$79,2,FALSE)</f>
        <v>37154.252388000001</v>
      </c>
      <c r="AT444" s="30">
        <f>VLOOKUP(Inventory[[#This Row],[Cnd]],Lookups!$A$80:$E$88,2,FALSE)</f>
        <v>30300.329274</v>
      </c>
      <c r="AU444" s="30">
        <f>Inventory[[#This Row],[EffAge]]*Lookups!$B$65</f>
        <v>-1631.1165000000001</v>
      </c>
      <c r="AV444" s="30">
        <f>Inventory[[#This Row],[MainFn]]*Lookups!$B$90</f>
        <v>96111.98520000001</v>
      </c>
      <c r="AW444" s="30">
        <f>Inventory[[#This Row],[UpprFn]]*Lookups!$B$91</f>
        <v>0</v>
      </c>
      <c r="AX444" s="30">
        <f>Inventory[[#This Row],[Bsmt Area]]*Lookups!$B$95</f>
        <v>0</v>
      </c>
      <c r="AY444" s="30">
        <f>Inventory[[#This Row],[AttGar]]*Lookups!$B$93</f>
        <v>14826.43302</v>
      </c>
      <c r="AZ444" s="30">
        <f>ROUND(Inventory[[#This Row],[25Det]],-2)</f>
        <v>0</v>
      </c>
      <c r="BA444" s="30">
        <f>ROUND(SUM(Inventory[[#This Row],[Mdl Qlty]:[Mdl Garage Area]])+Inventory[[#This Row],[Mdl Res Intercept]],-2)</f>
        <v>309300</v>
      </c>
      <c r="BB444" s="30">
        <f>ROUND(Inventory[[#This Row],[Mdl Land Intercept]]+Inventory[[#This Row],[Mdl LnAcres]],-2)</f>
        <v>64300</v>
      </c>
      <c r="BC444" s="30">
        <f>Inventory[[#This Row],[Unadj Res Value]]+Inventory[[#This Row],[Unadj Det Value]]+Inventory[[#This Row],[Unadj Land Value]]</f>
        <v>373600</v>
      </c>
      <c r="BD444" s="30">
        <f>(Inventory[[#This Row],[Unadj Total Value]]-Inventory[[#This Row],[24Final]])/Inventory[[#This Row],[24Final]]</f>
        <v>0</v>
      </c>
      <c r="BE444" s="30">
        <f>VLOOKUP(Inventory[[#This Row],[Nbhd]],Lookups!$M$3:$P$5,4,FALSE)</f>
        <v>0.99970000000000003</v>
      </c>
      <c r="BF444" s="30">
        <f>VLOOKUP(Inventory[[#This Row],[Qlty]],Lookups!$M$8:$P$22,4,FALSE)</f>
        <v>0.99819999999999998</v>
      </c>
      <c r="BG444" s="30">
        <f>VLOOKUP(Inventory[[#This Row],[Cnd]],Lookups!$R$8:$U$17,4,FALSE)</f>
        <v>0.997</v>
      </c>
      <c r="BH444" s="30">
        <f>VLOOKUP(Inventory[[#This Row],[LivArea Range]],Lookups!$R$25:$U$43,4,FALSE)</f>
        <v>1.0007999999999999</v>
      </c>
      <c r="BI444" s="30">
        <f>VLOOKUP(Inventory[[#This Row],[Decade]],Lookups!$M$24:$P$40,4,FALSE)</f>
        <v>1.0024</v>
      </c>
      <c r="BJ444" s="30">
        <f>Inventory[[#This Row],[Nbhd Adj]]*0.95</f>
        <v>0.94971499999999998</v>
      </c>
      <c r="BK444" s="30">
        <f>AVERAGE(Inventory[[#This Row],[Nbhd Adj]],Inventory[[#This Row],[Quality Adj]],Inventory[[#This Row],[Condition Adj]],Inventory[[#This Row],[Living Area Adj]],Inventory[[#This Row],[Decade Adj]])*0.95</f>
        <v>0.9496389999999999</v>
      </c>
      <c r="BL444" s="30">
        <f>ROUND((SUM(Inventory[[#This Row],[Mdl Qlty]:[Mdl Garage Area]])+Inventory[[#This Row],[Mdl Res Intercept]])*Inventory[[#This Row],[Res Adj ]],-2)</f>
        <v>293700</v>
      </c>
      <c r="BM444" s="30">
        <f>ROUND(Inventory[[#This Row],[25Det]]*Inventory[[#This Row],[Det/Nbhd Adj]],-2)</f>
        <v>0</v>
      </c>
      <c r="BN444" s="30">
        <f>Inventory[[#This Row],[Adjusted Res]]+Inventory[[#This Row],[Adj Det ]]</f>
        <v>293700</v>
      </c>
      <c r="BO444" s="30">
        <f>ROUND((Inventory[[#This Row],[Mdl Land Intercept]]+Inventory[[#This Row],[Mdl LnAcres]])*Inventory[[#This Row],[Det/Nbhd Adj]],-2)</f>
        <v>61100</v>
      </c>
      <c r="BP444" s="30">
        <f>Inventory[[#This Row],[Adjusted Impr Total]]+Inventory[[#This Row],[Adjusted Land Total]]</f>
        <v>354800</v>
      </c>
      <c r="BQ444" s="30">
        <f>IFERROR((Inventory[[#This Row],[Adjusted Impr Total]]-Inventory[[#This Row],[24Bldg]])/Inventory[[#This Row],[24Bldg]],0)</f>
        <v>-6.1061381074168801E-2</v>
      </c>
      <c r="BR444" s="43">
        <f>(Inventory[[#This Row],[Adjusted Land Total]]-Inventory[[#This Row],[24Lnd]])/Inventory[[#This Row],[24Lnd]]</f>
        <v>4.9342105263157892E-3</v>
      </c>
      <c r="BS444" s="43">
        <f>(Inventory[[#This Row],[Adjusted Total]]-Inventory[[#This Row],[24Final]])/Inventory[[#This Row],[24Final]]</f>
        <v>-5.0321199143468949E-2</v>
      </c>
    </row>
    <row r="445" spans="1:71">
      <c r="A445" s="30">
        <v>2025</v>
      </c>
      <c r="B445" s="31" t="s">
        <v>959</v>
      </c>
      <c r="C445" s="31">
        <f>LN(Inventory[[#This Row],[Acres]])</f>
        <v>-1.8325814637483102</v>
      </c>
      <c r="D445" s="30">
        <v>0.16</v>
      </c>
      <c r="E445" s="30">
        <v>7100</v>
      </c>
      <c r="F445" s="31" t="s">
        <v>505</v>
      </c>
      <c r="G445" s="31" t="s">
        <v>155</v>
      </c>
      <c r="H445" s="31" t="s">
        <v>5</v>
      </c>
      <c r="I445" s="31" t="s">
        <v>506</v>
      </c>
      <c r="J445" s="31" t="s">
        <v>507</v>
      </c>
      <c r="K445" s="31" t="s">
        <v>193</v>
      </c>
      <c r="L445" s="31" t="s">
        <v>19</v>
      </c>
      <c r="M445" s="31" t="s">
        <v>20</v>
      </c>
      <c r="N445" s="31">
        <v>10</v>
      </c>
      <c r="O445" s="31">
        <f>2024-Inventory[[#This Row],[YrBlt]]</f>
        <v>15</v>
      </c>
      <c r="P445" s="31">
        <f>2024-Inventory[[#This Row],[EffYr]]</f>
        <v>15</v>
      </c>
      <c r="Q445" s="30">
        <v>2009</v>
      </c>
      <c r="R445" s="30">
        <v>2009</v>
      </c>
      <c r="S445" s="30">
        <v>1540</v>
      </c>
      <c r="T445" s="37"/>
      <c r="U445" s="32"/>
      <c r="V445" s="32"/>
      <c r="W445" s="32"/>
      <c r="X445" s="32">
        <f>Inventory[[#This Row],[Bsmt Area]]-Inventory[[#This Row],[FnBsmt]]</f>
        <v>0</v>
      </c>
      <c r="Y445" s="32">
        <f>Inventory[[#This Row],[MainFn]]+Inventory[[#This Row],[UpprFn]]+Inventory[[#This Row],[AddFn]]+Inventory[[#This Row],[FnBsmt]]</f>
        <v>1540</v>
      </c>
      <c r="Z445" s="32">
        <v>2000</v>
      </c>
      <c r="AA445" s="31" t="s">
        <v>56</v>
      </c>
      <c r="AB445" s="32"/>
      <c r="AC445" s="30">
        <v>420</v>
      </c>
      <c r="AD445" s="32"/>
      <c r="AE445" s="32"/>
      <c r="AF445" s="32"/>
      <c r="AG445" s="32"/>
      <c r="AH445" s="32"/>
      <c r="AI445" s="30">
        <v>305088</v>
      </c>
      <c r="AJ445" s="30">
        <v>283732</v>
      </c>
      <c r="AK445" s="30">
        <v>0</v>
      </c>
      <c r="AL445" s="30">
        <v>0</v>
      </c>
      <c r="AM445" s="30">
        <v>60800</v>
      </c>
      <c r="AN445" s="30">
        <v>312800</v>
      </c>
      <c r="AO445" s="30">
        <v>373600</v>
      </c>
      <c r="AP445" s="30">
        <f>Lookups!$B$58*0.6</f>
        <v>132535.48800000001</v>
      </c>
      <c r="AQ445" s="30">
        <f>Lookups!$B$58*0.4</f>
        <v>88356.992000000013</v>
      </c>
      <c r="AR445" s="30">
        <f>Lookups!$B$59*Inventory[[#This Row],[LnAcres]]</f>
        <v>-24051.387388882686</v>
      </c>
      <c r="AS445" s="30">
        <f>VLOOKUP(Inventory[[#This Row],[Qlty]],Lookups!$A$66:$E$79,2,FALSE)</f>
        <v>37154.252388000001</v>
      </c>
      <c r="AT445" s="30">
        <f>VLOOKUP(Inventory[[#This Row],[Cnd]],Lookups!$A$80:$E$88,2,FALSE)</f>
        <v>30300.329274</v>
      </c>
      <c r="AU445" s="30">
        <f>Inventory[[#This Row],[EffAge]]*Lookups!$B$65</f>
        <v>-1631.1165000000001</v>
      </c>
      <c r="AV445" s="30">
        <f>Inventory[[#This Row],[MainFn]]*Lookups!$B$90</f>
        <v>96111.98520000001</v>
      </c>
      <c r="AW445" s="30">
        <f>Inventory[[#This Row],[UpprFn]]*Lookups!$B$91</f>
        <v>0</v>
      </c>
      <c r="AX445" s="30">
        <f>Inventory[[#This Row],[Bsmt Area]]*Lookups!$B$95</f>
        <v>0</v>
      </c>
      <c r="AY445" s="30">
        <f>Inventory[[#This Row],[AttGar]]*Lookups!$B$93</f>
        <v>14826.43302</v>
      </c>
      <c r="AZ445" s="30">
        <f>ROUND(Inventory[[#This Row],[25Det]],-2)</f>
        <v>0</v>
      </c>
      <c r="BA445" s="30">
        <f>ROUND(SUM(Inventory[[#This Row],[Mdl Qlty]:[Mdl Garage Area]])+Inventory[[#This Row],[Mdl Res Intercept]],-2)</f>
        <v>309300</v>
      </c>
      <c r="BB445" s="30">
        <f>ROUND(Inventory[[#This Row],[Mdl Land Intercept]]+Inventory[[#This Row],[Mdl LnAcres]],-2)</f>
        <v>64300</v>
      </c>
      <c r="BC445" s="30">
        <f>Inventory[[#This Row],[Unadj Res Value]]+Inventory[[#This Row],[Unadj Det Value]]+Inventory[[#This Row],[Unadj Land Value]]</f>
        <v>373600</v>
      </c>
      <c r="BD445" s="30">
        <f>(Inventory[[#This Row],[Unadj Total Value]]-Inventory[[#This Row],[24Final]])/Inventory[[#This Row],[24Final]]</f>
        <v>0</v>
      </c>
      <c r="BE445" s="30">
        <f>VLOOKUP(Inventory[[#This Row],[Nbhd]],Lookups!$M$3:$P$5,4,FALSE)</f>
        <v>0.99970000000000003</v>
      </c>
      <c r="BF445" s="30">
        <f>VLOOKUP(Inventory[[#This Row],[Qlty]],Lookups!$M$8:$P$22,4,FALSE)</f>
        <v>0.99819999999999998</v>
      </c>
      <c r="BG445" s="30">
        <f>VLOOKUP(Inventory[[#This Row],[Cnd]],Lookups!$R$8:$U$17,4,FALSE)</f>
        <v>0.997</v>
      </c>
      <c r="BH445" s="30">
        <f>VLOOKUP(Inventory[[#This Row],[LivArea Range]],Lookups!$R$25:$U$43,4,FALSE)</f>
        <v>1.0007999999999999</v>
      </c>
      <c r="BI445" s="30">
        <f>VLOOKUP(Inventory[[#This Row],[Decade]],Lookups!$M$24:$P$40,4,FALSE)</f>
        <v>1.0024</v>
      </c>
      <c r="BJ445" s="30">
        <f>Inventory[[#This Row],[Nbhd Adj]]*0.95</f>
        <v>0.94971499999999998</v>
      </c>
      <c r="BK445" s="30">
        <f>AVERAGE(Inventory[[#This Row],[Nbhd Adj]],Inventory[[#This Row],[Quality Adj]],Inventory[[#This Row],[Condition Adj]],Inventory[[#This Row],[Living Area Adj]],Inventory[[#This Row],[Decade Adj]])*0.95</f>
        <v>0.9496389999999999</v>
      </c>
      <c r="BL445" s="30">
        <f>ROUND((SUM(Inventory[[#This Row],[Mdl Qlty]:[Mdl Garage Area]])+Inventory[[#This Row],[Mdl Res Intercept]])*Inventory[[#This Row],[Res Adj ]],-2)</f>
        <v>293700</v>
      </c>
      <c r="BM445" s="30">
        <f>ROUND(Inventory[[#This Row],[25Det]]*Inventory[[#This Row],[Det/Nbhd Adj]],-2)</f>
        <v>0</v>
      </c>
      <c r="BN445" s="30">
        <f>Inventory[[#This Row],[Adjusted Res]]+Inventory[[#This Row],[Adj Det ]]</f>
        <v>293700</v>
      </c>
      <c r="BO445" s="30">
        <f>ROUND((Inventory[[#This Row],[Mdl Land Intercept]]+Inventory[[#This Row],[Mdl LnAcres]])*Inventory[[#This Row],[Det/Nbhd Adj]],-2)</f>
        <v>61100</v>
      </c>
      <c r="BP445" s="30">
        <f>Inventory[[#This Row],[Adjusted Impr Total]]+Inventory[[#This Row],[Adjusted Land Total]]</f>
        <v>354800</v>
      </c>
      <c r="BQ445" s="30">
        <f>IFERROR((Inventory[[#This Row],[Adjusted Impr Total]]-Inventory[[#This Row],[24Bldg]])/Inventory[[#This Row],[24Bldg]],0)</f>
        <v>-6.1061381074168801E-2</v>
      </c>
      <c r="BR445" s="43">
        <f>(Inventory[[#This Row],[Adjusted Land Total]]-Inventory[[#This Row],[24Lnd]])/Inventory[[#This Row],[24Lnd]]</f>
        <v>4.9342105263157892E-3</v>
      </c>
      <c r="BS445" s="43">
        <f>(Inventory[[#This Row],[Adjusted Total]]-Inventory[[#This Row],[24Final]])/Inventory[[#This Row],[24Final]]</f>
        <v>-5.0321199143468949E-2</v>
      </c>
    </row>
    <row r="446" spans="1:71">
      <c r="A446" s="30">
        <v>2025</v>
      </c>
      <c r="B446" s="31" t="s">
        <v>960</v>
      </c>
      <c r="C446" s="31">
        <f>LN(Inventory[[#This Row],[Acres]])</f>
        <v>-1.8325814637483102</v>
      </c>
      <c r="D446" s="30">
        <v>0.16</v>
      </c>
      <c r="E446" s="30">
        <v>7100</v>
      </c>
      <c r="F446" s="31" t="s">
        <v>505</v>
      </c>
      <c r="G446" s="31" t="s">
        <v>155</v>
      </c>
      <c r="H446" s="31" t="s">
        <v>5</v>
      </c>
      <c r="I446" s="31" t="s">
        <v>506</v>
      </c>
      <c r="J446" s="31" t="s">
        <v>507</v>
      </c>
      <c r="K446" s="31" t="s">
        <v>193</v>
      </c>
      <c r="L446" s="31" t="s">
        <v>19</v>
      </c>
      <c r="M446" s="31" t="s">
        <v>20</v>
      </c>
      <c r="N446" s="31">
        <v>10</v>
      </c>
      <c r="O446" s="31">
        <f>2024-Inventory[[#This Row],[YrBlt]]</f>
        <v>15</v>
      </c>
      <c r="P446" s="31">
        <f>2024-Inventory[[#This Row],[EffYr]]</f>
        <v>15</v>
      </c>
      <c r="Q446" s="30">
        <v>2009</v>
      </c>
      <c r="R446" s="30">
        <v>2009</v>
      </c>
      <c r="S446" s="30">
        <v>1132</v>
      </c>
      <c r="T446" s="37"/>
      <c r="U446" s="32"/>
      <c r="V446" s="32"/>
      <c r="W446" s="32"/>
      <c r="X446" s="32">
        <f>Inventory[[#This Row],[Bsmt Area]]-Inventory[[#This Row],[FnBsmt]]</f>
        <v>0</v>
      </c>
      <c r="Y446" s="32">
        <f>Inventory[[#This Row],[MainFn]]+Inventory[[#This Row],[UpprFn]]+Inventory[[#This Row],[AddFn]]+Inventory[[#This Row],[FnBsmt]]</f>
        <v>1132</v>
      </c>
      <c r="Z446" s="32">
        <v>1500</v>
      </c>
      <c r="AA446" s="31" t="s">
        <v>56</v>
      </c>
      <c r="AB446" s="37"/>
      <c r="AC446" s="30">
        <v>444</v>
      </c>
      <c r="AD446" s="37"/>
      <c r="AE446" s="32"/>
      <c r="AF446" s="32"/>
      <c r="AG446" s="32"/>
      <c r="AH446" s="32"/>
      <c r="AI446" s="30">
        <v>241364</v>
      </c>
      <c r="AJ446" s="30">
        <v>224469</v>
      </c>
      <c r="AK446" s="30">
        <v>0</v>
      </c>
      <c r="AL446" s="30">
        <v>0</v>
      </c>
      <c r="AM446" s="30">
        <v>60800</v>
      </c>
      <c r="AN446" s="30">
        <v>283700</v>
      </c>
      <c r="AO446" s="30">
        <v>344500</v>
      </c>
      <c r="AP446" s="30">
        <f>Lookups!$B$58*0.6</f>
        <v>132535.48800000001</v>
      </c>
      <c r="AQ446" s="30">
        <f>Lookups!$B$58*0.4</f>
        <v>88356.992000000013</v>
      </c>
      <c r="AR446" s="30">
        <f>Lookups!$B$59*Inventory[[#This Row],[LnAcres]]</f>
        <v>-24051.387388882686</v>
      </c>
      <c r="AS446" s="30">
        <f>VLOOKUP(Inventory[[#This Row],[Qlty]],Lookups!$A$66:$E$79,2,FALSE)</f>
        <v>37154.252388000001</v>
      </c>
      <c r="AT446" s="30">
        <f>VLOOKUP(Inventory[[#This Row],[Cnd]],Lookups!$A$80:$E$88,2,FALSE)</f>
        <v>30300.329274</v>
      </c>
      <c r="AU446" s="30">
        <f>Inventory[[#This Row],[EffAge]]*Lookups!$B$65</f>
        <v>-1631.1165000000001</v>
      </c>
      <c r="AV446" s="30">
        <f>Inventory[[#This Row],[MainFn]]*Lookups!$B$90</f>
        <v>70648.550159999999</v>
      </c>
      <c r="AW446" s="30">
        <f>Inventory[[#This Row],[UpprFn]]*Lookups!$B$91</f>
        <v>0</v>
      </c>
      <c r="AX446" s="30">
        <f>Inventory[[#This Row],[Bsmt Area]]*Lookups!$B$95</f>
        <v>0</v>
      </c>
      <c r="AY446" s="30">
        <f>Inventory[[#This Row],[AttGar]]*Lookups!$B$93</f>
        <v>15673.657764000001</v>
      </c>
      <c r="AZ446" s="30">
        <f>ROUND(Inventory[[#This Row],[25Det]],-2)</f>
        <v>0</v>
      </c>
      <c r="BA446" s="30">
        <f>ROUND(SUM(Inventory[[#This Row],[Mdl Qlty]:[Mdl Garage Area]])+Inventory[[#This Row],[Mdl Res Intercept]],-2)</f>
        <v>284700</v>
      </c>
      <c r="BB446" s="30">
        <f>ROUND(Inventory[[#This Row],[Mdl Land Intercept]]+Inventory[[#This Row],[Mdl LnAcres]],-2)</f>
        <v>64300</v>
      </c>
      <c r="BC446" s="30">
        <f>Inventory[[#This Row],[Unadj Res Value]]+Inventory[[#This Row],[Unadj Det Value]]+Inventory[[#This Row],[Unadj Land Value]]</f>
        <v>349000</v>
      </c>
      <c r="BD446" s="30">
        <f>(Inventory[[#This Row],[Unadj Total Value]]-Inventory[[#This Row],[24Final]])/Inventory[[#This Row],[24Final]]</f>
        <v>1.3062409288824383E-2</v>
      </c>
      <c r="BE446" s="30">
        <f>VLOOKUP(Inventory[[#This Row],[Nbhd]],Lookups!$M$3:$P$5,4,FALSE)</f>
        <v>0.99970000000000003</v>
      </c>
      <c r="BF446" s="30">
        <f>VLOOKUP(Inventory[[#This Row],[Qlty]],Lookups!$M$8:$P$22,4,FALSE)</f>
        <v>0.99819999999999998</v>
      </c>
      <c r="BG446" s="30">
        <f>VLOOKUP(Inventory[[#This Row],[Cnd]],Lookups!$R$8:$U$17,4,FALSE)</f>
        <v>0.997</v>
      </c>
      <c r="BH446" s="30">
        <f>VLOOKUP(Inventory[[#This Row],[LivArea Range]],Lookups!$R$25:$U$43,4,FALSE)</f>
        <v>0.99519999999999997</v>
      </c>
      <c r="BI446" s="30">
        <f>VLOOKUP(Inventory[[#This Row],[Decade]],Lookups!$M$24:$P$40,4,FALSE)</f>
        <v>1.0024</v>
      </c>
      <c r="BJ446" s="30">
        <f>Inventory[[#This Row],[Nbhd Adj]]*0.95</f>
        <v>0.94971499999999998</v>
      </c>
      <c r="BK446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446" s="30">
        <f>ROUND((SUM(Inventory[[#This Row],[Mdl Qlty]:[Mdl Garage Area]])+Inventory[[#This Row],[Mdl Res Intercept]])*Inventory[[#This Row],[Res Adj ]],-2)</f>
        <v>270000</v>
      </c>
      <c r="BM446" s="30">
        <f>ROUND(Inventory[[#This Row],[25Det]]*Inventory[[#This Row],[Det/Nbhd Adj]],-2)</f>
        <v>0</v>
      </c>
      <c r="BN446" s="30">
        <f>Inventory[[#This Row],[Adjusted Res]]+Inventory[[#This Row],[Adj Det ]]</f>
        <v>270000</v>
      </c>
      <c r="BO446" s="30">
        <f>ROUND((Inventory[[#This Row],[Mdl Land Intercept]]+Inventory[[#This Row],[Mdl LnAcres]])*Inventory[[#This Row],[Det/Nbhd Adj]],-2)</f>
        <v>61100</v>
      </c>
      <c r="BP446" s="30">
        <f>Inventory[[#This Row],[Adjusted Impr Total]]+Inventory[[#This Row],[Adjusted Land Total]]</f>
        <v>331100</v>
      </c>
      <c r="BQ446" s="30">
        <f>IFERROR((Inventory[[#This Row],[Adjusted Impr Total]]-Inventory[[#This Row],[24Bldg]])/Inventory[[#This Row],[24Bldg]],0)</f>
        <v>-4.8290447655974622E-2</v>
      </c>
      <c r="BR446" s="43">
        <f>(Inventory[[#This Row],[Adjusted Land Total]]-Inventory[[#This Row],[24Lnd]])/Inventory[[#This Row],[24Lnd]]</f>
        <v>4.9342105263157892E-3</v>
      </c>
      <c r="BS446" s="43">
        <f>(Inventory[[#This Row],[Adjusted Total]]-Inventory[[#This Row],[24Final]])/Inventory[[#This Row],[24Final]]</f>
        <v>-3.8896952104499276E-2</v>
      </c>
    </row>
    <row r="447" spans="1:71">
      <c r="A447" s="30">
        <v>2025</v>
      </c>
      <c r="B447" s="31" t="s">
        <v>961</v>
      </c>
      <c r="C447" s="31">
        <f>LN(Inventory[[#This Row],[Acres]])</f>
        <v>-1.8325814637483102</v>
      </c>
      <c r="D447" s="30">
        <v>0.16</v>
      </c>
      <c r="E447" s="30">
        <v>7100</v>
      </c>
      <c r="F447" s="31" t="s">
        <v>505</v>
      </c>
      <c r="G447" s="31" t="s">
        <v>155</v>
      </c>
      <c r="H447" s="31" t="s">
        <v>5</v>
      </c>
      <c r="I447" s="31" t="s">
        <v>506</v>
      </c>
      <c r="J447" s="31" t="s">
        <v>507</v>
      </c>
      <c r="K447" s="31" t="s">
        <v>157</v>
      </c>
      <c r="L447" s="31" t="s">
        <v>19</v>
      </c>
      <c r="M447" s="31" t="s">
        <v>20</v>
      </c>
      <c r="N447" s="31">
        <v>10</v>
      </c>
      <c r="O447" s="31">
        <f>2024-Inventory[[#This Row],[YrBlt]]</f>
        <v>15</v>
      </c>
      <c r="P447" s="31">
        <f>2024-Inventory[[#This Row],[EffYr]]</f>
        <v>15</v>
      </c>
      <c r="Q447" s="30">
        <v>2009</v>
      </c>
      <c r="R447" s="30">
        <v>2009</v>
      </c>
      <c r="S447" s="30">
        <v>1132</v>
      </c>
      <c r="T447" s="37"/>
      <c r="U447" s="32"/>
      <c r="V447" s="32"/>
      <c r="W447" s="32"/>
      <c r="X447" s="32">
        <f>Inventory[[#This Row],[Bsmt Area]]-Inventory[[#This Row],[FnBsmt]]</f>
        <v>0</v>
      </c>
      <c r="Y447" s="32">
        <f>Inventory[[#This Row],[MainFn]]+Inventory[[#This Row],[UpprFn]]+Inventory[[#This Row],[AddFn]]+Inventory[[#This Row],[FnBsmt]]</f>
        <v>1132</v>
      </c>
      <c r="Z447" s="32">
        <v>1500</v>
      </c>
      <c r="AA447" s="31" t="s">
        <v>56</v>
      </c>
      <c r="AB447" s="32"/>
      <c r="AC447" s="30">
        <v>444</v>
      </c>
      <c r="AD447" s="37"/>
      <c r="AE447" s="32"/>
      <c r="AF447" s="32"/>
      <c r="AG447" s="32"/>
      <c r="AH447" s="32"/>
      <c r="AI447" s="30">
        <v>239323</v>
      </c>
      <c r="AJ447" s="30">
        <v>222570</v>
      </c>
      <c r="AK447" s="30">
        <v>0</v>
      </c>
      <c r="AL447" s="30">
        <v>0</v>
      </c>
      <c r="AM447" s="30">
        <v>60800</v>
      </c>
      <c r="AN447" s="30">
        <v>283700</v>
      </c>
      <c r="AO447" s="30">
        <v>344500</v>
      </c>
      <c r="AP447" s="30">
        <f>Lookups!$B$58*0.6</f>
        <v>132535.48800000001</v>
      </c>
      <c r="AQ447" s="30">
        <f>Lookups!$B$58*0.4</f>
        <v>88356.992000000013</v>
      </c>
      <c r="AR447" s="30">
        <f>Lookups!$B$59*Inventory[[#This Row],[LnAcres]]</f>
        <v>-24051.387388882686</v>
      </c>
      <c r="AS447" s="30">
        <f>VLOOKUP(Inventory[[#This Row],[Qlty]],Lookups!$A$66:$E$79,2,FALSE)</f>
        <v>37154.252388000001</v>
      </c>
      <c r="AT447" s="30">
        <f>VLOOKUP(Inventory[[#This Row],[Cnd]],Lookups!$A$80:$E$88,2,FALSE)</f>
        <v>30300.329274</v>
      </c>
      <c r="AU447" s="30">
        <f>Inventory[[#This Row],[EffAge]]*Lookups!$B$65</f>
        <v>-1631.1165000000001</v>
      </c>
      <c r="AV447" s="30">
        <f>Inventory[[#This Row],[MainFn]]*Lookups!$B$90</f>
        <v>70648.550159999999</v>
      </c>
      <c r="AW447" s="30">
        <f>Inventory[[#This Row],[UpprFn]]*Lookups!$B$91</f>
        <v>0</v>
      </c>
      <c r="AX447" s="30">
        <f>Inventory[[#This Row],[Bsmt Area]]*Lookups!$B$95</f>
        <v>0</v>
      </c>
      <c r="AY447" s="30">
        <f>Inventory[[#This Row],[AttGar]]*Lookups!$B$93</f>
        <v>15673.657764000001</v>
      </c>
      <c r="AZ447" s="30">
        <f>ROUND(Inventory[[#This Row],[25Det]],-2)</f>
        <v>0</v>
      </c>
      <c r="BA447" s="30">
        <f>ROUND(SUM(Inventory[[#This Row],[Mdl Qlty]:[Mdl Garage Area]])+Inventory[[#This Row],[Mdl Res Intercept]],-2)</f>
        <v>284700</v>
      </c>
      <c r="BB447" s="30">
        <f>ROUND(Inventory[[#This Row],[Mdl Land Intercept]]+Inventory[[#This Row],[Mdl LnAcres]],-2)</f>
        <v>64300</v>
      </c>
      <c r="BC447" s="30">
        <f>Inventory[[#This Row],[Unadj Res Value]]+Inventory[[#This Row],[Unadj Det Value]]+Inventory[[#This Row],[Unadj Land Value]]</f>
        <v>349000</v>
      </c>
      <c r="BD447" s="30">
        <f>(Inventory[[#This Row],[Unadj Total Value]]-Inventory[[#This Row],[24Final]])/Inventory[[#This Row],[24Final]]</f>
        <v>1.3062409288824383E-2</v>
      </c>
      <c r="BE447" s="30">
        <f>VLOOKUP(Inventory[[#This Row],[Nbhd]],Lookups!$M$3:$P$5,4,FALSE)</f>
        <v>0.99970000000000003</v>
      </c>
      <c r="BF447" s="30">
        <f>VLOOKUP(Inventory[[#This Row],[Qlty]],Lookups!$M$8:$P$22,4,FALSE)</f>
        <v>0.99819999999999998</v>
      </c>
      <c r="BG447" s="30">
        <f>VLOOKUP(Inventory[[#This Row],[Cnd]],Lookups!$R$8:$U$17,4,FALSE)</f>
        <v>0.997</v>
      </c>
      <c r="BH447" s="30">
        <f>VLOOKUP(Inventory[[#This Row],[LivArea Range]],Lookups!$R$25:$U$43,4,FALSE)</f>
        <v>0.99519999999999997</v>
      </c>
      <c r="BI447" s="30">
        <f>VLOOKUP(Inventory[[#This Row],[Decade]],Lookups!$M$24:$P$40,4,FALSE)</f>
        <v>1.0024</v>
      </c>
      <c r="BJ447" s="30">
        <f>Inventory[[#This Row],[Nbhd Adj]]*0.95</f>
        <v>0.94971499999999998</v>
      </c>
      <c r="BK447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447" s="30">
        <f>ROUND((SUM(Inventory[[#This Row],[Mdl Qlty]:[Mdl Garage Area]])+Inventory[[#This Row],[Mdl Res Intercept]])*Inventory[[#This Row],[Res Adj ]],-2)</f>
        <v>270000</v>
      </c>
      <c r="BM447" s="30">
        <f>ROUND(Inventory[[#This Row],[25Det]]*Inventory[[#This Row],[Det/Nbhd Adj]],-2)</f>
        <v>0</v>
      </c>
      <c r="BN447" s="30">
        <f>Inventory[[#This Row],[Adjusted Res]]+Inventory[[#This Row],[Adj Det ]]</f>
        <v>270000</v>
      </c>
      <c r="BO447" s="30">
        <f>ROUND((Inventory[[#This Row],[Mdl Land Intercept]]+Inventory[[#This Row],[Mdl LnAcres]])*Inventory[[#This Row],[Det/Nbhd Adj]],-2)</f>
        <v>61100</v>
      </c>
      <c r="BP447" s="30">
        <f>Inventory[[#This Row],[Adjusted Impr Total]]+Inventory[[#This Row],[Adjusted Land Total]]</f>
        <v>331100</v>
      </c>
      <c r="BQ447" s="30">
        <f>IFERROR((Inventory[[#This Row],[Adjusted Impr Total]]-Inventory[[#This Row],[24Bldg]])/Inventory[[#This Row],[24Bldg]],0)</f>
        <v>-4.8290447655974622E-2</v>
      </c>
      <c r="BR447" s="43">
        <f>(Inventory[[#This Row],[Adjusted Land Total]]-Inventory[[#This Row],[24Lnd]])/Inventory[[#This Row],[24Lnd]]</f>
        <v>4.9342105263157892E-3</v>
      </c>
      <c r="BS447" s="43">
        <f>(Inventory[[#This Row],[Adjusted Total]]-Inventory[[#This Row],[24Final]])/Inventory[[#This Row],[24Final]]</f>
        <v>-3.8896952104499276E-2</v>
      </c>
    </row>
    <row r="448" spans="1:71">
      <c r="A448" s="30">
        <v>2025</v>
      </c>
      <c r="B448" s="31" t="s">
        <v>962</v>
      </c>
      <c r="C448" s="31">
        <f>LN(Inventory[[#This Row],[Acres]])</f>
        <v>-1.8325814637483102</v>
      </c>
      <c r="D448" s="30">
        <v>0.16</v>
      </c>
      <c r="E448" s="30">
        <v>7022</v>
      </c>
      <c r="F448" s="31" t="s">
        <v>505</v>
      </c>
      <c r="G448" s="31" t="s">
        <v>155</v>
      </c>
      <c r="H448" s="31" t="s">
        <v>5</v>
      </c>
      <c r="I448" s="31" t="s">
        <v>506</v>
      </c>
      <c r="J448" s="31" t="s">
        <v>507</v>
      </c>
      <c r="K448" s="31" t="s">
        <v>193</v>
      </c>
      <c r="L448" s="31" t="s">
        <v>19</v>
      </c>
      <c r="M448" s="31" t="s">
        <v>20</v>
      </c>
      <c r="N448" s="31">
        <v>10</v>
      </c>
      <c r="O448" s="31">
        <f>2024-Inventory[[#This Row],[YrBlt]]</f>
        <v>15</v>
      </c>
      <c r="P448" s="31">
        <f>2024-Inventory[[#This Row],[EffYr]]</f>
        <v>15</v>
      </c>
      <c r="Q448" s="30">
        <v>2009</v>
      </c>
      <c r="R448" s="30">
        <v>2009</v>
      </c>
      <c r="S448" s="30">
        <v>1133</v>
      </c>
      <c r="T448" s="37"/>
      <c r="U448" s="32"/>
      <c r="V448" s="32"/>
      <c r="W448" s="32"/>
      <c r="X448" s="32">
        <f>Inventory[[#This Row],[Bsmt Area]]-Inventory[[#This Row],[FnBsmt]]</f>
        <v>0</v>
      </c>
      <c r="Y448" s="32">
        <f>Inventory[[#This Row],[MainFn]]+Inventory[[#This Row],[UpprFn]]+Inventory[[#This Row],[AddFn]]+Inventory[[#This Row],[FnBsmt]]</f>
        <v>1133</v>
      </c>
      <c r="Z448" s="32">
        <v>1500</v>
      </c>
      <c r="AA448" s="31" t="s">
        <v>56</v>
      </c>
      <c r="AB448" s="30">
        <v>1</v>
      </c>
      <c r="AC448" s="30">
        <v>425</v>
      </c>
      <c r="AD448" s="32"/>
      <c r="AE448" s="32"/>
      <c r="AF448" s="32"/>
      <c r="AG448" s="32"/>
      <c r="AH448" s="32"/>
      <c r="AI448" s="30">
        <v>242379</v>
      </c>
      <c r="AJ448" s="30">
        <v>225412</v>
      </c>
      <c r="AK448" s="30">
        <v>0</v>
      </c>
      <c r="AL448" s="30">
        <v>0</v>
      </c>
      <c r="AM448" s="30">
        <v>60800</v>
      </c>
      <c r="AN448" s="30">
        <v>282900</v>
      </c>
      <c r="AO448" s="30">
        <v>343700</v>
      </c>
      <c r="AP448" s="30">
        <f>Lookups!$B$58*0.6</f>
        <v>132535.48800000001</v>
      </c>
      <c r="AQ448" s="30">
        <f>Lookups!$B$58*0.4</f>
        <v>88356.992000000013</v>
      </c>
      <c r="AR448" s="30">
        <f>Lookups!$B$59*Inventory[[#This Row],[LnAcres]]</f>
        <v>-24051.387388882686</v>
      </c>
      <c r="AS448" s="30">
        <f>VLOOKUP(Inventory[[#This Row],[Qlty]],Lookups!$A$66:$E$79,2,FALSE)</f>
        <v>37154.252388000001</v>
      </c>
      <c r="AT448" s="30">
        <f>VLOOKUP(Inventory[[#This Row],[Cnd]],Lookups!$A$80:$E$88,2,FALSE)</f>
        <v>30300.329274</v>
      </c>
      <c r="AU448" s="30">
        <f>Inventory[[#This Row],[EffAge]]*Lookups!$B$65</f>
        <v>-1631.1165000000001</v>
      </c>
      <c r="AV448" s="30">
        <f>Inventory[[#This Row],[MainFn]]*Lookups!$B$90</f>
        <v>70710.96054</v>
      </c>
      <c r="AW448" s="30">
        <f>Inventory[[#This Row],[UpprFn]]*Lookups!$B$91</f>
        <v>0</v>
      </c>
      <c r="AX448" s="30">
        <f>Inventory[[#This Row],[Bsmt Area]]*Lookups!$B$95</f>
        <v>0</v>
      </c>
      <c r="AY448" s="30">
        <f>Inventory[[#This Row],[AttGar]]*Lookups!$B$93</f>
        <v>15002.938175000001</v>
      </c>
      <c r="AZ448" s="30">
        <f>ROUND(Inventory[[#This Row],[25Det]],-2)</f>
        <v>0</v>
      </c>
      <c r="BA448" s="30">
        <f>ROUND(SUM(Inventory[[#This Row],[Mdl Qlty]:[Mdl Garage Area]])+Inventory[[#This Row],[Mdl Res Intercept]],-2)</f>
        <v>284100</v>
      </c>
      <c r="BB448" s="30">
        <f>ROUND(Inventory[[#This Row],[Mdl Land Intercept]]+Inventory[[#This Row],[Mdl LnAcres]],-2)</f>
        <v>64300</v>
      </c>
      <c r="BC448" s="30">
        <f>Inventory[[#This Row],[Unadj Res Value]]+Inventory[[#This Row],[Unadj Det Value]]+Inventory[[#This Row],[Unadj Land Value]]</f>
        <v>348400</v>
      </c>
      <c r="BD448" s="30">
        <f>(Inventory[[#This Row],[Unadj Total Value]]-Inventory[[#This Row],[24Final]])/Inventory[[#This Row],[24Final]]</f>
        <v>1.3674716322374164E-2</v>
      </c>
      <c r="BE448" s="30">
        <f>VLOOKUP(Inventory[[#This Row],[Nbhd]],Lookups!$M$3:$P$5,4,FALSE)</f>
        <v>0.99970000000000003</v>
      </c>
      <c r="BF448" s="30">
        <f>VLOOKUP(Inventory[[#This Row],[Qlty]],Lookups!$M$8:$P$22,4,FALSE)</f>
        <v>0.99819999999999998</v>
      </c>
      <c r="BG448" s="30">
        <f>VLOOKUP(Inventory[[#This Row],[Cnd]],Lookups!$R$8:$U$17,4,FALSE)</f>
        <v>0.997</v>
      </c>
      <c r="BH448" s="30">
        <f>VLOOKUP(Inventory[[#This Row],[LivArea Range]],Lookups!$R$25:$U$43,4,FALSE)</f>
        <v>0.99519999999999997</v>
      </c>
      <c r="BI448" s="30">
        <f>VLOOKUP(Inventory[[#This Row],[Decade]],Lookups!$M$24:$P$40,4,FALSE)</f>
        <v>1.0024</v>
      </c>
      <c r="BJ448" s="30">
        <f>Inventory[[#This Row],[Nbhd Adj]]*0.95</f>
        <v>0.94971499999999998</v>
      </c>
      <c r="BK448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448" s="30">
        <f>ROUND((SUM(Inventory[[#This Row],[Mdl Qlty]:[Mdl Garage Area]])+Inventory[[#This Row],[Mdl Res Intercept]])*Inventory[[#This Row],[Res Adj ]],-2)</f>
        <v>269500</v>
      </c>
      <c r="BM448" s="30">
        <f>ROUND(Inventory[[#This Row],[25Det]]*Inventory[[#This Row],[Det/Nbhd Adj]],-2)</f>
        <v>0</v>
      </c>
      <c r="BN448" s="30">
        <f>Inventory[[#This Row],[Adjusted Res]]+Inventory[[#This Row],[Adj Det ]]</f>
        <v>269500</v>
      </c>
      <c r="BO448" s="30">
        <f>ROUND((Inventory[[#This Row],[Mdl Land Intercept]]+Inventory[[#This Row],[Mdl LnAcres]])*Inventory[[#This Row],[Det/Nbhd Adj]],-2)</f>
        <v>61100</v>
      </c>
      <c r="BP448" s="30">
        <f>Inventory[[#This Row],[Adjusted Impr Total]]+Inventory[[#This Row],[Adjusted Land Total]]</f>
        <v>330600</v>
      </c>
      <c r="BQ448" s="30">
        <f>IFERROR((Inventory[[#This Row],[Adjusted Impr Total]]-Inventory[[#This Row],[24Bldg]])/Inventory[[#This Row],[24Bldg]],0)</f>
        <v>-4.7366560622127962E-2</v>
      </c>
      <c r="BR448" s="43">
        <f>(Inventory[[#This Row],[Adjusted Land Total]]-Inventory[[#This Row],[24Lnd]])/Inventory[[#This Row],[24Lnd]]</f>
        <v>4.9342105263157892E-3</v>
      </c>
      <c r="BS448" s="43">
        <f>(Inventory[[#This Row],[Adjusted Total]]-Inventory[[#This Row],[24Final]])/Inventory[[#This Row],[24Final]]</f>
        <v>-3.8114634855979053E-2</v>
      </c>
    </row>
    <row r="449" spans="1:71">
      <c r="A449" s="30">
        <v>2025</v>
      </c>
      <c r="B449" s="31" t="s">
        <v>963</v>
      </c>
      <c r="C449" s="31">
        <f>LN(Inventory[[#This Row],[Acres]])</f>
        <v>-1.8325814637483102</v>
      </c>
      <c r="D449" s="30">
        <v>0.16</v>
      </c>
      <c r="E449" s="30">
        <v>7100</v>
      </c>
      <c r="F449" s="31" t="s">
        <v>505</v>
      </c>
      <c r="G449" s="31" t="s">
        <v>155</v>
      </c>
      <c r="H449" s="31" t="s">
        <v>5</v>
      </c>
      <c r="I449" s="31" t="s">
        <v>506</v>
      </c>
      <c r="J449" s="31" t="s">
        <v>507</v>
      </c>
      <c r="K449" s="31" t="s">
        <v>193</v>
      </c>
      <c r="L449" s="31" t="s">
        <v>19</v>
      </c>
      <c r="M449" s="31" t="s">
        <v>20</v>
      </c>
      <c r="N449" s="31">
        <v>10</v>
      </c>
      <c r="O449" s="31">
        <f>2024-Inventory[[#This Row],[YrBlt]]</f>
        <v>15</v>
      </c>
      <c r="P449" s="31">
        <f>2024-Inventory[[#This Row],[EffYr]]</f>
        <v>15</v>
      </c>
      <c r="Q449" s="30">
        <v>2009</v>
      </c>
      <c r="R449" s="30">
        <v>2009</v>
      </c>
      <c r="S449" s="30">
        <v>1152</v>
      </c>
      <c r="T449" s="32"/>
      <c r="U449" s="32"/>
      <c r="V449" s="32"/>
      <c r="W449" s="32"/>
      <c r="X449" s="32">
        <f>Inventory[[#This Row],[Bsmt Area]]-Inventory[[#This Row],[FnBsmt]]</f>
        <v>0</v>
      </c>
      <c r="Y449" s="32">
        <f>Inventory[[#This Row],[MainFn]]+Inventory[[#This Row],[UpprFn]]+Inventory[[#This Row],[AddFn]]+Inventory[[#This Row],[FnBsmt]]</f>
        <v>1152</v>
      </c>
      <c r="Z449" s="32">
        <v>1500</v>
      </c>
      <c r="AA449" s="31" t="s">
        <v>56</v>
      </c>
      <c r="AB449" s="32"/>
      <c r="AC449" s="30">
        <v>440</v>
      </c>
      <c r="AD449" s="32"/>
      <c r="AE449" s="32"/>
      <c r="AF449" s="32"/>
      <c r="AG449" s="32"/>
      <c r="AH449" s="32"/>
      <c r="AI449" s="30">
        <v>242038</v>
      </c>
      <c r="AJ449" s="30">
        <v>225095</v>
      </c>
      <c r="AK449" s="30">
        <v>0</v>
      </c>
      <c r="AL449" s="30">
        <v>0</v>
      </c>
      <c r="AM449" s="30">
        <v>60800</v>
      </c>
      <c r="AN449" s="30">
        <v>284500</v>
      </c>
      <c r="AO449" s="30">
        <v>345300</v>
      </c>
      <c r="AP449" s="30">
        <f>Lookups!$B$58*0.6</f>
        <v>132535.48800000001</v>
      </c>
      <c r="AQ449" s="30">
        <f>Lookups!$B$58*0.4</f>
        <v>88356.992000000013</v>
      </c>
      <c r="AR449" s="30">
        <f>Lookups!$B$59*Inventory[[#This Row],[LnAcres]]</f>
        <v>-24051.387388882686</v>
      </c>
      <c r="AS449" s="30">
        <f>VLOOKUP(Inventory[[#This Row],[Qlty]],Lookups!$A$66:$E$79,2,FALSE)</f>
        <v>37154.252388000001</v>
      </c>
      <c r="AT449" s="30">
        <f>VLOOKUP(Inventory[[#This Row],[Cnd]],Lookups!$A$80:$E$88,2,FALSE)</f>
        <v>30300.329274</v>
      </c>
      <c r="AU449" s="30">
        <f>Inventory[[#This Row],[EffAge]]*Lookups!$B$65</f>
        <v>-1631.1165000000001</v>
      </c>
      <c r="AV449" s="30">
        <f>Inventory[[#This Row],[MainFn]]*Lookups!$B$90</f>
        <v>71896.757760000008</v>
      </c>
      <c r="AW449" s="30">
        <f>Inventory[[#This Row],[UpprFn]]*Lookups!$B$91</f>
        <v>0</v>
      </c>
      <c r="AX449" s="30">
        <f>Inventory[[#This Row],[Bsmt Area]]*Lookups!$B$95</f>
        <v>0</v>
      </c>
      <c r="AY449" s="30">
        <f>Inventory[[#This Row],[AttGar]]*Lookups!$B$93</f>
        <v>15532.453640000002</v>
      </c>
      <c r="AZ449" s="30">
        <f>ROUND(Inventory[[#This Row],[25Det]],-2)</f>
        <v>0</v>
      </c>
      <c r="BA449" s="30">
        <f>ROUND(SUM(Inventory[[#This Row],[Mdl Qlty]:[Mdl Garage Area]])+Inventory[[#This Row],[Mdl Res Intercept]],-2)</f>
        <v>285800</v>
      </c>
      <c r="BB449" s="30">
        <f>ROUND(Inventory[[#This Row],[Mdl Land Intercept]]+Inventory[[#This Row],[Mdl LnAcres]],-2)</f>
        <v>64300</v>
      </c>
      <c r="BC449" s="30">
        <f>Inventory[[#This Row],[Unadj Res Value]]+Inventory[[#This Row],[Unadj Det Value]]+Inventory[[#This Row],[Unadj Land Value]]</f>
        <v>350100</v>
      </c>
      <c r="BD449" s="30">
        <f>(Inventory[[#This Row],[Unadj Total Value]]-Inventory[[#This Row],[24Final]])/Inventory[[#This Row],[24Final]]</f>
        <v>1.3900955690703735E-2</v>
      </c>
      <c r="BE449" s="30">
        <f>VLOOKUP(Inventory[[#This Row],[Nbhd]],Lookups!$M$3:$P$5,4,FALSE)</f>
        <v>0.99970000000000003</v>
      </c>
      <c r="BF449" s="30">
        <f>VLOOKUP(Inventory[[#This Row],[Qlty]],Lookups!$M$8:$P$22,4,FALSE)</f>
        <v>0.99819999999999998</v>
      </c>
      <c r="BG449" s="30">
        <f>VLOOKUP(Inventory[[#This Row],[Cnd]],Lookups!$R$8:$U$17,4,FALSE)</f>
        <v>0.997</v>
      </c>
      <c r="BH449" s="30">
        <f>VLOOKUP(Inventory[[#This Row],[LivArea Range]],Lookups!$R$25:$U$43,4,FALSE)</f>
        <v>0.99519999999999997</v>
      </c>
      <c r="BI449" s="30">
        <f>VLOOKUP(Inventory[[#This Row],[Decade]],Lookups!$M$24:$P$40,4,FALSE)</f>
        <v>1.0024</v>
      </c>
      <c r="BJ449" s="30">
        <f>Inventory[[#This Row],[Nbhd Adj]]*0.95</f>
        <v>0.94971499999999998</v>
      </c>
      <c r="BK449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449" s="30">
        <f>ROUND((SUM(Inventory[[#This Row],[Mdl Qlty]:[Mdl Garage Area]])+Inventory[[#This Row],[Mdl Res Intercept]])*Inventory[[#This Row],[Res Adj ]],-2)</f>
        <v>271100</v>
      </c>
      <c r="BM449" s="30">
        <f>ROUND(Inventory[[#This Row],[25Det]]*Inventory[[#This Row],[Det/Nbhd Adj]],-2)</f>
        <v>0</v>
      </c>
      <c r="BN449" s="30">
        <f>Inventory[[#This Row],[Adjusted Res]]+Inventory[[#This Row],[Adj Det ]]</f>
        <v>271100</v>
      </c>
      <c r="BO449" s="30">
        <f>ROUND((Inventory[[#This Row],[Mdl Land Intercept]]+Inventory[[#This Row],[Mdl LnAcres]])*Inventory[[#This Row],[Det/Nbhd Adj]],-2)</f>
        <v>61100</v>
      </c>
      <c r="BP449" s="30">
        <f>Inventory[[#This Row],[Adjusted Impr Total]]+Inventory[[#This Row],[Adjusted Land Total]]</f>
        <v>332200</v>
      </c>
      <c r="BQ449" s="30">
        <f>IFERROR((Inventory[[#This Row],[Adjusted Impr Total]]-Inventory[[#This Row],[24Bldg]])/Inventory[[#This Row],[24Bldg]],0)</f>
        <v>-4.7100175746924426E-2</v>
      </c>
      <c r="BR449" s="43">
        <f>(Inventory[[#This Row],[Adjusted Land Total]]-Inventory[[#This Row],[24Lnd]])/Inventory[[#This Row],[24Lnd]]</f>
        <v>4.9342105263157892E-3</v>
      </c>
      <c r="BS449" s="43">
        <f>(Inventory[[#This Row],[Adjusted Total]]-Inventory[[#This Row],[24Final]])/Inventory[[#This Row],[24Final]]</f>
        <v>-3.7938024905878949E-2</v>
      </c>
    </row>
    <row r="450" spans="1:71">
      <c r="A450" s="30">
        <v>2025</v>
      </c>
      <c r="B450" s="31" t="s">
        <v>964</v>
      </c>
      <c r="C450" s="31">
        <f>LN(Inventory[[#This Row],[Acres]])</f>
        <v>-1.8325814637483102</v>
      </c>
      <c r="D450" s="30">
        <v>0.16</v>
      </c>
      <c r="E450" s="30">
        <v>7100</v>
      </c>
      <c r="F450" s="31" t="s">
        <v>505</v>
      </c>
      <c r="G450" s="31" t="s">
        <v>155</v>
      </c>
      <c r="H450" s="31" t="s">
        <v>5</v>
      </c>
      <c r="I450" s="31" t="s">
        <v>506</v>
      </c>
      <c r="J450" s="31" t="s">
        <v>507</v>
      </c>
      <c r="K450" s="31" t="s">
        <v>330</v>
      </c>
      <c r="L450" s="31" t="s">
        <v>19</v>
      </c>
      <c r="M450" s="31" t="s">
        <v>22</v>
      </c>
      <c r="N450" s="31">
        <v>10</v>
      </c>
      <c r="O450" s="31">
        <f>2024-Inventory[[#This Row],[YrBlt]]</f>
        <v>15</v>
      </c>
      <c r="P450" s="31">
        <f>2024-Inventory[[#This Row],[EffYr]]</f>
        <v>15</v>
      </c>
      <c r="Q450" s="30">
        <v>2009</v>
      </c>
      <c r="R450" s="30">
        <v>2009</v>
      </c>
      <c r="S450" s="30">
        <v>1540</v>
      </c>
      <c r="T450" s="32"/>
      <c r="U450" s="32"/>
      <c r="V450" s="32"/>
      <c r="W450" s="32"/>
      <c r="X450" s="32">
        <f>Inventory[[#This Row],[Bsmt Area]]-Inventory[[#This Row],[FnBsmt]]</f>
        <v>0</v>
      </c>
      <c r="Y450" s="32">
        <f>Inventory[[#This Row],[MainFn]]+Inventory[[#This Row],[UpprFn]]+Inventory[[#This Row],[AddFn]]+Inventory[[#This Row],[FnBsmt]]</f>
        <v>1540</v>
      </c>
      <c r="Z450" s="32">
        <v>2000</v>
      </c>
      <c r="AA450" s="31" t="s">
        <v>56</v>
      </c>
      <c r="AB450" s="38">
        <v>1</v>
      </c>
      <c r="AC450" s="30">
        <v>420</v>
      </c>
      <c r="AD450" s="32"/>
      <c r="AE450" s="32"/>
      <c r="AF450" s="32"/>
      <c r="AG450" s="32"/>
      <c r="AH450" s="32"/>
      <c r="AI450" s="30">
        <v>311762</v>
      </c>
      <c r="AJ450" s="30">
        <v>293056</v>
      </c>
      <c r="AK450" s="30">
        <v>0</v>
      </c>
      <c r="AL450" s="30">
        <v>0</v>
      </c>
      <c r="AM450" s="30">
        <v>60800</v>
      </c>
      <c r="AN450" s="30">
        <v>328400</v>
      </c>
      <c r="AO450" s="30">
        <v>389200</v>
      </c>
      <c r="AP450" s="30">
        <f>Lookups!$B$58*0.6</f>
        <v>132535.48800000001</v>
      </c>
      <c r="AQ450" s="30">
        <f>Lookups!$B$58*0.4</f>
        <v>88356.992000000013</v>
      </c>
      <c r="AR450" s="30">
        <f>Lookups!$B$59*Inventory[[#This Row],[LnAcres]]</f>
        <v>-24051.387388882686</v>
      </c>
      <c r="AS450" s="30">
        <f>VLOOKUP(Inventory[[#This Row],[Qlty]],Lookups!$A$66:$E$79,2,FALSE)</f>
        <v>37154.252388000001</v>
      </c>
      <c r="AT450" s="30">
        <f>VLOOKUP(Inventory[[#This Row],[Cnd]],Lookups!$A$80:$E$88,2,FALSE)</f>
        <v>50438.379078999998</v>
      </c>
      <c r="AU450" s="30">
        <f>Inventory[[#This Row],[EffAge]]*Lookups!$B$65</f>
        <v>-1631.1165000000001</v>
      </c>
      <c r="AV450" s="30">
        <f>Inventory[[#This Row],[MainFn]]*Lookups!$B$90</f>
        <v>96111.98520000001</v>
      </c>
      <c r="AW450" s="30">
        <f>Inventory[[#This Row],[UpprFn]]*Lookups!$B$91</f>
        <v>0</v>
      </c>
      <c r="AX450" s="30">
        <f>Inventory[[#This Row],[Bsmt Area]]*Lookups!$B$95</f>
        <v>0</v>
      </c>
      <c r="AY450" s="30">
        <f>Inventory[[#This Row],[AttGar]]*Lookups!$B$93</f>
        <v>14826.43302</v>
      </c>
      <c r="AZ450" s="30">
        <f>ROUND(Inventory[[#This Row],[25Det]],-2)</f>
        <v>0</v>
      </c>
      <c r="BA450" s="30">
        <f>ROUND(SUM(Inventory[[#This Row],[Mdl Qlty]:[Mdl Garage Area]])+Inventory[[#This Row],[Mdl Res Intercept]],-2)</f>
        <v>329400</v>
      </c>
      <c r="BB450" s="30">
        <f>ROUND(Inventory[[#This Row],[Mdl Land Intercept]]+Inventory[[#This Row],[Mdl LnAcres]],-2)</f>
        <v>64300</v>
      </c>
      <c r="BC450" s="30">
        <f>Inventory[[#This Row],[Unadj Res Value]]+Inventory[[#This Row],[Unadj Det Value]]+Inventory[[#This Row],[Unadj Land Value]]</f>
        <v>393700</v>
      </c>
      <c r="BD450" s="30">
        <f>(Inventory[[#This Row],[Unadj Total Value]]-Inventory[[#This Row],[24Final]])/Inventory[[#This Row],[24Final]]</f>
        <v>1.1562178828365879E-2</v>
      </c>
      <c r="BE450" s="30">
        <f>VLOOKUP(Inventory[[#This Row],[Nbhd]],Lookups!$M$3:$P$5,4,FALSE)</f>
        <v>0.99970000000000003</v>
      </c>
      <c r="BF450" s="30">
        <f>VLOOKUP(Inventory[[#This Row],[Qlty]],Lookups!$M$8:$P$22,4,FALSE)</f>
        <v>0.99819999999999998</v>
      </c>
      <c r="BG450" s="30">
        <f>VLOOKUP(Inventory[[#This Row],[Cnd]],Lookups!$R$8:$U$17,4,FALSE)</f>
        <v>1.0007999999999999</v>
      </c>
      <c r="BH450" s="30">
        <f>VLOOKUP(Inventory[[#This Row],[LivArea Range]],Lookups!$R$25:$U$43,4,FALSE)</f>
        <v>1.0007999999999999</v>
      </c>
      <c r="BI450" s="30">
        <f>VLOOKUP(Inventory[[#This Row],[Decade]],Lookups!$M$24:$P$40,4,FALSE)</f>
        <v>1.0024</v>
      </c>
      <c r="BJ450" s="30">
        <f>Inventory[[#This Row],[Nbhd Adj]]*0.95</f>
        <v>0.94971499999999998</v>
      </c>
      <c r="BK450" s="30">
        <f>AVERAGE(Inventory[[#This Row],[Nbhd Adj]],Inventory[[#This Row],[Quality Adj]],Inventory[[#This Row],[Condition Adj]],Inventory[[#This Row],[Living Area Adj]],Inventory[[#This Row],[Decade Adj]])*0.95</f>
        <v>0.95036100000000001</v>
      </c>
      <c r="BL450" s="30">
        <f>ROUND((SUM(Inventory[[#This Row],[Mdl Qlty]:[Mdl Garage Area]])+Inventory[[#This Row],[Mdl Res Intercept]])*Inventory[[#This Row],[Res Adj ]],-2)</f>
        <v>313100</v>
      </c>
      <c r="BM450" s="30">
        <f>ROUND(Inventory[[#This Row],[25Det]]*Inventory[[#This Row],[Det/Nbhd Adj]],-2)</f>
        <v>0</v>
      </c>
      <c r="BN450" s="30">
        <f>Inventory[[#This Row],[Adjusted Res]]+Inventory[[#This Row],[Adj Det ]]</f>
        <v>313100</v>
      </c>
      <c r="BO450" s="30">
        <f>ROUND((Inventory[[#This Row],[Mdl Land Intercept]]+Inventory[[#This Row],[Mdl LnAcres]])*Inventory[[#This Row],[Det/Nbhd Adj]],-2)</f>
        <v>61100</v>
      </c>
      <c r="BP450" s="30">
        <f>Inventory[[#This Row],[Adjusted Impr Total]]+Inventory[[#This Row],[Adjusted Land Total]]</f>
        <v>374200</v>
      </c>
      <c r="BQ450" s="30">
        <f>IFERROR((Inventory[[#This Row],[Adjusted Impr Total]]-Inventory[[#This Row],[24Bldg]])/Inventory[[#This Row],[24Bldg]],0)</f>
        <v>-4.658952496954933E-2</v>
      </c>
      <c r="BR450" s="43">
        <f>(Inventory[[#This Row],[Adjusted Land Total]]-Inventory[[#This Row],[24Lnd]])/Inventory[[#This Row],[24Lnd]]</f>
        <v>4.9342105263157892E-3</v>
      </c>
      <c r="BS450" s="43">
        <f>(Inventory[[#This Row],[Adjusted Total]]-Inventory[[#This Row],[24Final]])/Inventory[[#This Row],[24Final]]</f>
        <v>-3.8540596094552931E-2</v>
      </c>
    </row>
    <row r="451" spans="1:71">
      <c r="A451" s="30">
        <v>2025</v>
      </c>
      <c r="B451" s="31" t="s">
        <v>965</v>
      </c>
      <c r="C451" s="31">
        <f>LN(Inventory[[#This Row],[Acres]])</f>
        <v>-1.8325814637483102</v>
      </c>
      <c r="D451" s="30">
        <v>0.16</v>
      </c>
      <c r="E451" s="30">
        <v>6889</v>
      </c>
      <c r="F451" s="31" t="s">
        <v>505</v>
      </c>
      <c r="G451" s="31" t="s">
        <v>155</v>
      </c>
      <c r="H451" s="31" t="s">
        <v>5</v>
      </c>
      <c r="I451" s="31" t="s">
        <v>506</v>
      </c>
      <c r="J451" s="31" t="s">
        <v>507</v>
      </c>
      <c r="K451" s="31" t="s">
        <v>193</v>
      </c>
      <c r="L451" s="31" t="s">
        <v>19</v>
      </c>
      <c r="M451" s="31" t="s">
        <v>22</v>
      </c>
      <c r="N451" s="31">
        <v>10</v>
      </c>
      <c r="O451" s="31">
        <f>2024-Inventory[[#This Row],[YrBlt]]</f>
        <v>15</v>
      </c>
      <c r="P451" s="31">
        <f>2024-Inventory[[#This Row],[EffYr]]</f>
        <v>15</v>
      </c>
      <c r="Q451" s="30">
        <v>2009</v>
      </c>
      <c r="R451" s="30">
        <v>2009</v>
      </c>
      <c r="S451" s="30">
        <v>1556</v>
      </c>
      <c r="T451" s="32"/>
      <c r="U451" s="32"/>
      <c r="V451" s="32"/>
      <c r="W451" s="32"/>
      <c r="X451" s="32">
        <f>Inventory[[#This Row],[Bsmt Area]]-Inventory[[#This Row],[FnBsmt]]</f>
        <v>0</v>
      </c>
      <c r="Y451" s="32">
        <f>Inventory[[#This Row],[MainFn]]+Inventory[[#This Row],[UpprFn]]+Inventory[[#This Row],[AddFn]]+Inventory[[#This Row],[FnBsmt]]</f>
        <v>1556</v>
      </c>
      <c r="Z451" s="32">
        <v>2000</v>
      </c>
      <c r="AA451" s="31" t="s">
        <v>56</v>
      </c>
      <c r="AB451" s="30">
        <v>1</v>
      </c>
      <c r="AC451" s="30">
        <v>420</v>
      </c>
      <c r="AD451" s="32"/>
      <c r="AE451" s="32"/>
      <c r="AF451" s="32"/>
      <c r="AG451" s="32"/>
      <c r="AH451" s="32"/>
      <c r="AI451" s="30">
        <v>310370</v>
      </c>
      <c r="AJ451" s="30">
        <v>291748</v>
      </c>
      <c r="AK451" s="30">
        <v>0</v>
      </c>
      <c r="AL451" s="30">
        <v>0</v>
      </c>
      <c r="AM451" s="30">
        <v>60800</v>
      </c>
      <c r="AN451" s="30">
        <v>327900</v>
      </c>
      <c r="AO451" s="30">
        <v>388700</v>
      </c>
      <c r="AP451" s="30">
        <f>Lookups!$B$58*0.6</f>
        <v>132535.48800000001</v>
      </c>
      <c r="AQ451" s="30">
        <f>Lookups!$B$58*0.4</f>
        <v>88356.992000000013</v>
      </c>
      <c r="AR451" s="30">
        <f>Lookups!$B$59*Inventory[[#This Row],[LnAcres]]</f>
        <v>-24051.387388882686</v>
      </c>
      <c r="AS451" s="30">
        <f>VLOOKUP(Inventory[[#This Row],[Qlty]],Lookups!$A$66:$E$79,2,FALSE)</f>
        <v>37154.252388000001</v>
      </c>
      <c r="AT451" s="30">
        <f>VLOOKUP(Inventory[[#This Row],[Cnd]],Lookups!$A$80:$E$88,2,FALSE)</f>
        <v>50438.379078999998</v>
      </c>
      <c r="AU451" s="30">
        <f>Inventory[[#This Row],[EffAge]]*Lookups!$B$65</f>
        <v>-1631.1165000000001</v>
      </c>
      <c r="AV451" s="30">
        <f>Inventory[[#This Row],[MainFn]]*Lookups!$B$90</f>
        <v>97110.55128</v>
      </c>
      <c r="AW451" s="30">
        <f>Inventory[[#This Row],[UpprFn]]*Lookups!$B$91</f>
        <v>0</v>
      </c>
      <c r="AX451" s="30">
        <f>Inventory[[#This Row],[Bsmt Area]]*Lookups!$B$95</f>
        <v>0</v>
      </c>
      <c r="AY451" s="30">
        <f>Inventory[[#This Row],[AttGar]]*Lookups!$B$93</f>
        <v>14826.43302</v>
      </c>
      <c r="AZ451" s="30">
        <f>ROUND(Inventory[[#This Row],[25Det]],-2)</f>
        <v>0</v>
      </c>
      <c r="BA451" s="30">
        <f>ROUND(SUM(Inventory[[#This Row],[Mdl Qlty]:[Mdl Garage Area]])+Inventory[[#This Row],[Mdl Res Intercept]],-2)</f>
        <v>330400</v>
      </c>
      <c r="BB451" s="30">
        <f>ROUND(Inventory[[#This Row],[Mdl Land Intercept]]+Inventory[[#This Row],[Mdl LnAcres]],-2)</f>
        <v>64300</v>
      </c>
      <c r="BC451" s="30">
        <f>Inventory[[#This Row],[Unadj Res Value]]+Inventory[[#This Row],[Unadj Det Value]]+Inventory[[#This Row],[Unadj Land Value]]</f>
        <v>394700</v>
      </c>
      <c r="BD451" s="30">
        <f>(Inventory[[#This Row],[Unadj Total Value]]-Inventory[[#This Row],[24Final]])/Inventory[[#This Row],[24Final]]</f>
        <v>1.5436068947774634E-2</v>
      </c>
      <c r="BE451" s="30">
        <f>VLOOKUP(Inventory[[#This Row],[Nbhd]],Lookups!$M$3:$P$5,4,FALSE)</f>
        <v>0.99970000000000003</v>
      </c>
      <c r="BF451" s="30">
        <f>VLOOKUP(Inventory[[#This Row],[Qlty]],Lookups!$M$8:$P$22,4,FALSE)</f>
        <v>0.99819999999999998</v>
      </c>
      <c r="BG451" s="30">
        <f>VLOOKUP(Inventory[[#This Row],[Cnd]],Lookups!$R$8:$U$17,4,FALSE)</f>
        <v>1.0007999999999999</v>
      </c>
      <c r="BH451" s="30">
        <f>VLOOKUP(Inventory[[#This Row],[LivArea Range]],Lookups!$R$25:$U$43,4,FALSE)</f>
        <v>1.0007999999999999</v>
      </c>
      <c r="BI451" s="30">
        <f>VLOOKUP(Inventory[[#This Row],[Decade]],Lookups!$M$24:$P$40,4,FALSE)</f>
        <v>1.0024</v>
      </c>
      <c r="BJ451" s="30">
        <f>Inventory[[#This Row],[Nbhd Adj]]*0.95</f>
        <v>0.94971499999999998</v>
      </c>
      <c r="BK451" s="30">
        <f>AVERAGE(Inventory[[#This Row],[Nbhd Adj]],Inventory[[#This Row],[Quality Adj]],Inventory[[#This Row],[Condition Adj]],Inventory[[#This Row],[Living Area Adj]],Inventory[[#This Row],[Decade Adj]])*0.95</f>
        <v>0.95036100000000001</v>
      </c>
      <c r="BL451" s="30">
        <f>ROUND((SUM(Inventory[[#This Row],[Mdl Qlty]:[Mdl Garage Area]])+Inventory[[#This Row],[Mdl Res Intercept]])*Inventory[[#This Row],[Res Adj ]],-2)</f>
        <v>314000</v>
      </c>
      <c r="BM451" s="30">
        <f>ROUND(Inventory[[#This Row],[25Det]]*Inventory[[#This Row],[Det/Nbhd Adj]],-2)</f>
        <v>0</v>
      </c>
      <c r="BN451" s="30">
        <f>Inventory[[#This Row],[Adjusted Res]]+Inventory[[#This Row],[Adj Det ]]</f>
        <v>314000</v>
      </c>
      <c r="BO451" s="30">
        <f>ROUND((Inventory[[#This Row],[Mdl Land Intercept]]+Inventory[[#This Row],[Mdl LnAcres]])*Inventory[[#This Row],[Det/Nbhd Adj]],-2)</f>
        <v>61100</v>
      </c>
      <c r="BP451" s="30">
        <f>Inventory[[#This Row],[Adjusted Impr Total]]+Inventory[[#This Row],[Adjusted Land Total]]</f>
        <v>375100</v>
      </c>
      <c r="BQ451" s="30">
        <f>IFERROR((Inventory[[#This Row],[Adjusted Impr Total]]-Inventory[[#This Row],[24Bldg]])/Inventory[[#This Row],[24Bldg]],0)</f>
        <v>-4.2390972857578528E-2</v>
      </c>
      <c r="BR451" s="43">
        <f>(Inventory[[#This Row],[Adjusted Land Total]]-Inventory[[#This Row],[24Lnd]])/Inventory[[#This Row],[24Lnd]]</f>
        <v>4.9342105263157892E-3</v>
      </c>
      <c r="BS451" s="43">
        <f>(Inventory[[#This Row],[Adjusted Total]]-Inventory[[#This Row],[24Final]])/Inventory[[#This Row],[24Final]]</f>
        <v>-3.4988422948289168E-2</v>
      </c>
    </row>
    <row r="452" spans="1:71">
      <c r="A452" s="30">
        <v>2025</v>
      </c>
      <c r="B452" s="31" t="s">
        <v>966</v>
      </c>
      <c r="C452" s="31">
        <f>LN(Inventory[[#This Row],[Acres]])</f>
        <v>-1.8325814637483102</v>
      </c>
      <c r="D452" s="30">
        <v>0.16</v>
      </c>
      <c r="E452" s="30">
        <v>7063</v>
      </c>
      <c r="F452" s="31" t="s">
        <v>505</v>
      </c>
      <c r="G452" s="31" t="s">
        <v>155</v>
      </c>
      <c r="H452" s="31" t="s">
        <v>5</v>
      </c>
      <c r="I452" s="31" t="s">
        <v>506</v>
      </c>
      <c r="J452" s="31" t="s">
        <v>507</v>
      </c>
      <c r="K452" s="31" t="s">
        <v>193</v>
      </c>
      <c r="L452" s="31" t="s">
        <v>19</v>
      </c>
      <c r="M452" s="31" t="s">
        <v>22</v>
      </c>
      <c r="N452" s="31">
        <v>10</v>
      </c>
      <c r="O452" s="31">
        <f>2024-Inventory[[#This Row],[YrBlt]]</f>
        <v>15</v>
      </c>
      <c r="P452" s="31">
        <f>2024-Inventory[[#This Row],[EffYr]]</f>
        <v>15</v>
      </c>
      <c r="Q452" s="30">
        <v>2009</v>
      </c>
      <c r="R452" s="30">
        <v>2009</v>
      </c>
      <c r="S452" s="30">
        <v>1540</v>
      </c>
      <c r="T452" s="37"/>
      <c r="U452" s="32"/>
      <c r="V452" s="32"/>
      <c r="W452" s="32"/>
      <c r="X452" s="32">
        <f>Inventory[[#This Row],[Bsmt Area]]-Inventory[[#This Row],[FnBsmt]]</f>
        <v>0</v>
      </c>
      <c r="Y452" s="32">
        <f>Inventory[[#This Row],[MainFn]]+Inventory[[#This Row],[UpprFn]]+Inventory[[#This Row],[AddFn]]+Inventory[[#This Row],[FnBsmt]]</f>
        <v>1540</v>
      </c>
      <c r="Z452" s="32">
        <v>2000</v>
      </c>
      <c r="AA452" s="31" t="s">
        <v>56</v>
      </c>
      <c r="AB452" s="30">
        <v>1</v>
      </c>
      <c r="AC452" s="38">
        <v>610</v>
      </c>
      <c r="AD452" s="37"/>
      <c r="AE452" s="32"/>
      <c r="AF452" s="32"/>
      <c r="AG452" s="32"/>
      <c r="AH452" s="32"/>
      <c r="AI452" s="30">
        <v>315982</v>
      </c>
      <c r="AJ452" s="30">
        <v>297023</v>
      </c>
      <c r="AK452" s="30">
        <v>0</v>
      </c>
      <c r="AL452" s="30">
        <v>0</v>
      </c>
      <c r="AM452" s="30">
        <v>60800</v>
      </c>
      <c r="AN452" s="30">
        <v>332000</v>
      </c>
      <c r="AO452" s="30">
        <v>392800</v>
      </c>
      <c r="AP452" s="30">
        <f>Lookups!$B$58*0.6</f>
        <v>132535.48800000001</v>
      </c>
      <c r="AQ452" s="30">
        <f>Lookups!$B$58*0.4</f>
        <v>88356.992000000013</v>
      </c>
      <c r="AR452" s="30">
        <f>Lookups!$B$59*Inventory[[#This Row],[LnAcres]]</f>
        <v>-24051.387388882686</v>
      </c>
      <c r="AS452" s="30">
        <f>VLOOKUP(Inventory[[#This Row],[Qlty]],Lookups!$A$66:$E$79,2,FALSE)</f>
        <v>37154.252388000001</v>
      </c>
      <c r="AT452" s="30">
        <f>VLOOKUP(Inventory[[#This Row],[Cnd]],Lookups!$A$80:$E$88,2,FALSE)</f>
        <v>50438.379078999998</v>
      </c>
      <c r="AU452" s="30">
        <f>Inventory[[#This Row],[EffAge]]*Lookups!$B$65</f>
        <v>-1631.1165000000001</v>
      </c>
      <c r="AV452" s="30">
        <f>Inventory[[#This Row],[MainFn]]*Lookups!$B$90</f>
        <v>96111.98520000001</v>
      </c>
      <c r="AW452" s="30">
        <f>Inventory[[#This Row],[UpprFn]]*Lookups!$B$91</f>
        <v>0</v>
      </c>
      <c r="AX452" s="30">
        <f>Inventory[[#This Row],[Bsmt Area]]*Lookups!$B$95</f>
        <v>0</v>
      </c>
      <c r="AY452" s="30">
        <f>Inventory[[#This Row],[AttGar]]*Lookups!$B$93</f>
        <v>21533.628909999999</v>
      </c>
      <c r="AZ452" s="30">
        <f>ROUND(Inventory[[#This Row],[25Det]],-2)</f>
        <v>0</v>
      </c>
      <c r="BA452" s="30">
        <f>ROUND(SUM(Inventory[[#This Row],[Mdl Qlty]:[Mdl Garage Area]])+Inventory[[#This Row],[Mdl Res Intercept]],-2)</f>
        <v>336100</v>
      </c>
      <c r="BB452" s="30">
        <f>ROUND(Inventory[[#This Row],[Mdl Land Intercept]]+Inventory[[#This Row],[Mdl LnAcres]],-2)</f>
        <v>64300</v>
      </c>
      <c r="BC452" s="30">
        <f>Inventory[[#This Row],[Unadj Res Value]]+Inventory[[#This Row],[Unadj Det Value]]+Inventory[[#This Row],[Unadj Land Value]]</f>
        <v>400400</v>
      </c>
      <c r="BD452" s="30">
        <f>(Inventory[[#This Row],[Unadj Total Value]]-Inventory[[#This Row],[24Final]])/Inventory[[#This Row],[24Final]]</f>
        <v>1.9348268839103868E-2</v>
      </c>
      <c r="BE452" s="30">
        <f>VLOOKUP(Inventory[[#This Row],[Nbhd]],Lookups!$M$3:$P$5,4,FALSE)</f>
        <v>0.99970000000000003</v>
      </c>
      <c r="BF452" s="30">
        <f>VLOOKUP(Inventory[[#This Row],[Qlty]],Lookups!$M$8:$P$22,4,FALSE)</f>
        <v>0.99819999999999998</v>
      </c>
      <c r="BG452" s="30">
        <f>VLOOKUP(Inventory[[#This Row],[Cnd]],Lookups!$R$8:$U$17,4,FALSE)</f>
        <v>1.0007999999999999</v>
      </c>
      <c r="BH452" s="30">
        <f>VLOOKUP(Inventory[[#This Row],[LivArea Range]],Lookups!$R$25:$U$43,4,FALSE)</f>
        <v>1.0007999999999999</v>
      </c>
      <c r="BI452" s="30">
        <f>VLOOKUP(Inventory[[#This Row],[Decade]],Lookups!$M$24:$P$40,4,FALSE)</f>
        <v>1.0024</v>
      </c>
      <c r="BJ452" s="30">
        <f>Inventory[[#This Row],[Nbhd Adj]]*0.95</f>
        <v>0.94971499999999998</v>
      </c>
      <c r="BK452" s="30">
        <f>AVERAGE(Inventory[[#This Row],[Nbhd Adj]],Inventory[[#This Row],[Quality Adj]],Inventory[[#This Row],[Condition Adj]],Inventory[[#This Row],[Living Area Adj]],Inventory[[#This Row],[Decade Adj]])*0.95</f>
        <v>0.95036100000000001</v>
      </c>
      <c r="BL452" s="30">
        <f>ROUND((SUM(Inventory[[#This Row],[Mdl Qlty]:[Mdl Garage Area]])+Inventory[[#This Row],[Mdl Res Intercept]])*Inventory[[#This Row],[Res Adj ]],-2)</f>
        <v>319500</v>
      </c>
      <c r="BM452" s="30">
        <f>ROUND(Inventory[[#This Row],[25Det]]*Inventory[[#This Row],[Det/Nbhd Adj]],-2)</f>
        <v>0</v>
      </c>
      <c r="BN452" s="30">
        <f>Inventory[[#This Row],[Adjusted Res]]+Inventory[[#This Row],[Adj Det ]]</f>
        <v>319500</v>
      </c>
      <c r="BO452" s="30">
        <f>ROUND((Inventory[[#This Row],[Mdl Land Intercept]]+Inventory[[#This Row],[Mdl LnAcres]])*Inventory[[#This Row],[Det/Nbhd Adj]],-2)</f>
        <v>61100</v>
      </c>
      <c r="BP452" s="30">
        <f>Inventory[[#This Row],[Adjusted Impr Total]]+Inventory[[#This Row],[Adjusted Land Total]]</f>
        <v>380600</v>
      </c>
      <c r="BQ452" s="30">
        <f>IFERROR((Inventory[[#This Row],[Adjusted Impr Total]]-Inventory[[#This Row],[24Bldg]])/Inventory[[#This Row],[24Bldg]],0)</f>
        <v>-3.7650602409638557E-2</v>
      </c>
      <c r="BR452" s="43">
        <f>(Inventory[[#This Row],[Adjusted Land Total]]-Inventory[[#This Row],[24Lnd]])/Inventory[[#This Row],[24Lnd]]</f>
        <v>4.9342105263157892E-3</v>
      </c>
      <c r="BS452" s="43">
        <f>(Inventory[[#This Row],[Adjusted Total]]-Inventory[[#This Row],[24Final]])/Inventory[[#This Row],[24Final]]</f>
        <v>-3.1059063136456212E-2</v>
      </c>
    </row>
    <row r="453" spans="1:71">
      <c r="A453" s="30">
        <v>2025</v>
      </c>
      <c r="B453" s="31" t="s">
        <v>967</v>
      </c>
      <c r="C453" s="31">
        <f>LN(Inventory[[#This Row],[Acres]])</f>
        <v>-1.8325814637483102</v>
      </c>
      <c r="D453" s="30">
        <v>0.16</v>
      </c>
      <c r="E453" s="30">
        <v>7181</v>
      </c>
      <c r="F453" s="31" t="s">
        <v>505</v>
      </c>
      <c r="G453" s="31" t="s">
        <v>155</v>
      </c>
      <c r="H453" s="31" t="s">
        <v>5</v>
      </c>
      <c r="I453" s="31" t="s">
        <v>506</v>
      </c>
      <c r="J453" s="31" t="s">
        <v>507</v>
      </c>
      <c r="K453" s="31" t="s">
        <v>193</v>
      </c>
      <c r="L453" s="31" t="s">
        <v>19</v>
      </c>
      <c r="M453" s="31" t="s">
        <v>22</v>
      </c>
      <c r="N453" s="31">
        <v>10</v>
      </c>
      <c r="O453" s="31">
        <f>2024-Inventory[[#This Row],[YrBlt]]</f>
        <v>15</v>
      </c>
      <c r="P453" s="31">
        <f>2024-Inventory[[#This Row],[EffYr]]</f>
        <v>15</v>
      </c>
      <c r="Q453" s="30">
        <v>2009</v>
      </c>
      <c r="R453" s="30">
        <v>2009</v>
      </c>
      <c r="S453" s="30">
        <v>1133</v>
      </c>
      <c r="T453" s="37"/>
      <c r="U453" s="32"/>
      <c r="V453" s="32"/>
      <c r="W453" s="32"/>
      <c r="X453" s="32">
        <f>Inventory[[#This Row],[Bsmt Area]]-Inventory[[#This Row],[FnBsmt]]</f>
        <v>0</v>
      </c>
      <c r="Y453" s="32">
        <f>Inventory[[#This Row],[MainFn]]+Inventory[[#This Row],[UpprFn]]+Inventory[[#This Row],[AddFn]]+Inventory[[#This Row],[FnBsmt]]</f>
        <v>1133</v>
      </c>
      <c r="Z453" s="32">
        <v>1500</v>
      </c>
      <c r="AA453" s="31" t="s">
        <v>56</v>
      </c>
      <c r="AB453" s="37"/>
      <c r="AC453" s="30">
        <v>432</v>
      </c>
      <c r="AD453" s="37"/>
      <c r="AE453" s="32"/>
      <c r="AF453" s="32"/>
      <c r="AG453" s="32"/>
      <c r="AH453" s="32"/>
      <c r="AI453" s="30">
        <v>239135</v>
      </c>
      <c r="AJ453" s="30">
        <v>224787</v>
      </c>
      <c r="AK453" s="30">
        <v>0</v>
      </c>
      <c r="AL453" s="30">
        <v>0</v>
      </c>
      <c r="AM453" s="30">
        <v>60800</v>
      </c>
      <c r="AN453" s="30">
        <v>299300</v>
      </c>
      <c r="AO453" s="30">
        <v>360100</v>
      </c>
      <c r="AP453" s="30">
        <f>Lookups!$B$58*0.6</f>
        <v>132535.48800000001</v>
      </c>
      <c r="AQ453" s="30">
        <f>Lookups!$B$58*0.4</f>
        <v>88356.992000000013</v>
      </c>
      <c r="AR453" s="30">
        <f>Lookups!$B$59*Inventory[[#This Row],[LnAcres]]</f>
        <v>-24051.387388882686</v>
      </c>
      <c r="AS453" s="30">
        <f>VLOOKUP(Inventory[[#This Row],[Qlty]],Lookups!$A$66:$E$79,2,FALSE)</f>
        <v>37154.252388000001</v>
      </c>
      <c r="AT453" s="30">
        <f>VLOOKUP(Inventory[[#This Row],[Cnd]],Lookups!$A$80:$E$88,2,FALSE)</f>
        <v>50438.379078999998</v>
      </c>
      <c r="AU453" s="30">
        <f>Inventory[[#This Row],[EffAge]]*Lookups!$B$65</f>
        <v>-1631.1165000000001</v>
      </c>
      <c r="AV453" s="30">
        <f>Inventory[[#This Row],[MainFn]]*Lookups!$B$90</f>
        <v>70710.96054</v>
      </c>
      <c r="AW453" s="30">
        <f>Inventory[[#This Row],[UpprFn]]*Lookups!$B$91</f>
        <v>0</v>
      </c>
      <c r="AX453" s="30">
        <f>Inventory[[#This Row],[Bsmt Area]]*Lookups!$B$95</f>
        <v>0</v>
      </c>
      <c r="AY453" s="30">
        <f>Inventory[[#This Row],[AttGar]]*Lookups!$B$93</f>
        <v>15250.045392</v>
      </c>
      <c r="AZ453" s="30">
        <f>ROUND(Inventory[[#This Row],[25Det]],-2)</f>
        <v>0</v>
      </c>
      <c r="BA453" s="30">
        <f>ROUND(SUM(Inventory[[#This Row],[Mdl Qlty]:[Mdl Garage Area]])+Inventory[[#This Row],[Mdl Res Intercept]],-2)</f>
        <v>304500</v>
      </c>
      <c r="BB453" s="30">
        <f>ROUND(Inventory[[#This Row],[Mdl Land Intercept]]+Inventory[[#This Row],[Mdl LnAcres]],-2)</f>
        <v>64300</v>
      </c>
      <c r="BC453" s="30">
        <f>Inventory[[#This Row],[Unadj Res Value]]+Inventory[[#This Row],[Unadj Det Value]]+Inventory[[#This Row],[Unadj Land Value]]</f>
        <v>368800</v>
      </c>
      <c r="BD453" s="30">
        <f>(Inventory[[#This Row],[Unadj Total Value]]-Inventory[[#This Row],[24Final]])/Inventory[[#This Row],[24Final]]</f>
        <v>2.4159955567897805E-2</v>
      </c>
      <c r="BE453" s="30">
        <f>VLOOKUP(Inventory[[#This Row],[Nbhd]],Lookups!$M$3:$P$5,4,FALSE)</f>
        <v>0.99970000000000003</v>
      </c>
      <c r="BF453" s="30">
        <f>VLOOKUP(Inventory[[#This Row],[Qlty]],Lookups!$M$8:$P$22,4,FALSE)</f>
        <v>0.99819999999999998</v>
      </c>
      <c r="BG453" s="30">
        <f>VLOOKUP(Inventory[[#This Row],[Cnd]],Lookups!$R$8:$U$17,4,FALSE)</f>
        <v>1.0007999999999999</v>
      </c>
      <c r="BH453" s="30">
        <f>VLOOKUP(Inventory[[#This Row],[LivArea Range]],Lookups!$R$25:$U$43,4,FALSE)</f>
        <v>0.99519999999999997</v>
      </c>
      <c r="BI453" s="30">
        <f>VLOOKUP(Inventory[[#This Row],[Decade]],Lookups!$M$24:$P$40,4,FALSE)</f>
        <v>1.0024</v>
      </c>
      <c r="BJ453" s="30">
        <f>Inventory[[#This Row],[Nbhd Adj]]*0.95</f>
        <v>0.94971499999999998</v>
      </c>
      <c r="BK453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453" s="30">
        <f>ROUND((SUM(Inventory[[#This Row],[Mdl Qlty]:[Mdl Garage Area]])+Inventory[[#This Row],[Mdl Res Intercept]])*Inventory[[#This Row],[Res Adj ]],-2)</f>
        <v>289000</v>
      </c>
      <c r="BM453" s="30">
        <f>ROUND(Inventory[[#This Row],[25Det]]*Inventory[[#This Row],[Det/Nbhd Adj]],-2)</f>
        <v>0</v>
      </c>
      <c r="BN453" s="30">
        <f>Inventory[[#This Row],[Adjusted Res]]+Inventory[[#This Row],[Adj Det ]]</f>
        <v>289000</v>
      </c>
      <c r="BO453" s="30">
        <f>ROUND((Inventory[[#This Row],[Mdl Land Intercept]]+Inventory[[#This Row],[Mdl LnAcres]])*Inventory[[#This Row],[Det/Nbhd Adj]],-2)</f>
        <v>61100</v>
      </c>
      <c r="BP453" s="30">
        <f>Inventory[[#This Row],[Adjusted Impr Total]]+Inventory[[#This Row],[Adjusted Land Total]]</f>
        <v>350100</v>
      </c>
      <c r="BQ453" s="30">
        <f>IFERROR((Inventory[[#This Row],[Adjusted Impr Total]]-Inventory[[#This Row],[24Bldg]])/Inventory[[#This Row],[24Bldg]],0)</f>
        <v>-3.441363180755095E-2</v>
      </c>
      <c r="BR453" s="43">
        <f>(Inventory[[#This Row],[Adjusted Land Total]]-Inventory[[#This Row],[24Lnd]])/Inventory[[#This Row],[24Lnd]]</f>
        <v>4.9342105263157892E-3</v>
      </c>
      <c r="BS453" s="43">
        <f>(Inventory[[#This Row],[Adjusted Total]]-Inventory[[#This Row],[24Final]])/Inventory[[#This Row],[24Final]]</f>
        <v>-2.7770063871146902E-2</v>
      </c>
    </row>
    <row r="454" spans="1:71">
      <c r="A454" s="30">
        <v>2025</v>
      </c>
      <c r="B454" s="31" t="s">
        <v>968</v>
      </c>
      <c r="C454" s="31">
        <f>LN(Inventory[[#This Row],[Acres]])</f>
        <v>-1.8325814637483102</v>
      </c>
      <c r="D454" s="30">
        <v>0.16</v>
      </c>
      <c r="E454" s="30">
        <v>7070</v>
      </c>
      <c r="F454" s="31" t="s">
        <v>505</v>
      </c>
      <c r="G454" s="31" t="s">
        <v>155</v>
      </c>
      <c r="H454" s="31" t="s">
        <v>5</v>
      </c>
      <c r="I454" s="31" t="s">
        <v>506</v>
      </c>
      <c r="J454" s="31" t="s">
        <v>507</v>
      </c>
      <c r="K454" s="31" t="s">
        <v>330</v>
      </c>
      <c r="L454" s="31" t="s">
        <v>19</v>
      </c>
      <c r="M454" s="31" t="s">
        <v>22</v>
      </c>
      <c r="N454" s="31">
        <v>10</v>
      </c>
      <c r="O454" s="31">
        <f>2024-Inventory[[#This Row],[YrBlt]]</f>
        <v>15</v>
      </c>
      <c r="P454" s="31">
        <f>2024-Inventory[[#This Row],[EffYr]]</f>
        <v>15</v>
      </c>
      <c r="Q454" s="30">
        <v>2009</v>
      </c>
      <c r="R454" s="30">
        <v>2009</v>
      </c>
      <c r="S454" s="30">
        <v>1176</v>
      </c>
      <c r="T454" s="32"/>
      <c r="U454" s="32"/>
      <c r="V454" s="32"/>
      <c r="W454" s="32"/>
      <c r="X454" s="32">
        <f>Inventory[[#This Row],[Bsmt Area]]-Inventory[[#This Row],[FnBsmt]]</f>
        <v>0</v>
      </c>
      <c r="Y454" s="32">
        <f>Inventory[[#This Row],[MainFn]]+Inventory[[#This Row],[UpprFn]]+Inventory[[#This Row],[AddFn]]+Inventory[[#This Row],[FnBsmt]]</f>
        <v>1176</v>
      </c>
      <c r="Z454" s="32">
        <v>1500</v>
      </c>
      <c r="AA454" s="31" t="s">
        <v>56</v>
      </c>
      <c r="AB454" s="32"/>
      <c r="AC454" s="30">
        <v>400</v>
      </c>
      <c r="AD454" s="32"/>
      <c r="AE454" s="32"/>
      <c r="AF454" s="32"/>
      <c r="AG454" s="32"/>
      <c r="AH454" s="32"/>
      <c r="AI454" s="30">
        <v>243937</v>
      </c>
      <c r="AJ454" s="30">
        <v>229301</v>
      </c>
      <c r="AK454" s="30">
        <v>0</v>
      </c>
      <c r="AL454" s="30">
        <v>0</v>
      </c>
      <c r="AM454" s="30">
        <v>60800</v>
      </c>
      <c r="AN454" s="30">
        <v>299600</v>
      </c>
      <c r="AO454" s="30">
        <v>360400</v>
      </c>
      <c r="AP454" s="30">
        <f>Lookups!$B$58*0.6</f>
        <v>132535.48800000001</v>
      </c>
      <c r="AQ454" s="30">
        <f>Lookups!$B$58*0.4</f>
        <v>88356.992000000013</v>
      </c>
      <c r="AR454" s="30">
        <f>Lookups!$B$59*Inventory[[#This Row],[LnAcres]]</f>
        <v>-24051.387388882686</v>
      </c>
      <c r="AS454" s="30">
        <f>VLOOKUP(Inventory[[#This Row],[Qlty]],Lookups!$A$66:$E$79,2,FALSE)</f>
        <v>37154.252388000001</v>
      </c>
      <c r="AT454" s="30">
        <f>VLOOKUP(Inventory[[#This Row],[Cnd]],Lookups!$A$80:$E$88,2,FALSE)</f>
        <v>50438.379078999998</v>
      </c>
      <c r="AU454" s="30">
        <f>Inventory[[#This Row],[EffAge]]*Lookups!$B$65</f>
        <v>-1631.1165000000001</v>
      </c>
      <c r="AV454" s="30">
        <f>Inventory[[#This Row],[MainFn]]*Lookups!$B$90</f>
        <v>73394.606880000007</v>
      </c>
      <c r="AW454" s="30">
        <f>Inventory[[#This Row],[UpprFn]]*Lookups!$B$91</f>
        <v>0</v>
      </c>
      <c r="AX454" s="30">
        <f>Inventory[[#This Row],[Bsmt Area]]*Lookups!$B$95</f>
        <v>0</v>
      </c>
      <c r="AY454" s="30">
        <f>Inventory[[#This Row],[AttGar]]*Lookups!$B$93</f>
        <v>14120.412400000001</v>
      </c>
      <c r="AZ454" s="30">
        <f>ROUND(Inventory[[#This Row],[25Det]],-2)</f>
        <v>0</v>
      </c>
      <c r="BA454" s="30">
        <f>ROUND(SUM(Inventory[[#This Row],[Mdl Qlty]:[Mdl Garage Area]])+Inventory[[#This Row],[Mdl Res Intercept]],-2)</f>
        <v>306000</v>
      </c>
      <c r="BB454" s="30">
        <f>ROUND(Inventory[[#This Row],[Mdl Land Intercept]]+Inventory[[#This Row],[Mdl LnAcres]],-2)</f>
        <v>64300</v>
      </c>
      <c r="BC454" s="30">
        <f>Inventory[[#This Row],[Unadj Res Value]]+Inventory[[#This Row],[Unadj Det Value]]+Inventory[[#This Row],[Unadj Land Value]]</f>
        <v>370300</v>
      </c>
      <c r="BD454" s="30">
        <f>(Inventory[[#This Row],[Unadj Total Value]]-Inventory[[#This Row],[24Final]])/Inventory[[#This Row],[24Final]]</f>
        <v>2.746947835738069E-2</v>
      </c>
      <c r="BE454" s="30">
        <f>VLOOKUP(Inventory[[#This Row],[Nbhd]],Lookups!$M$3:$P$5,4,FALSE)</f>
        <v>0.99970000000000003</v>
      </c>
      <c r="BF454" s="30">
        <f>VLOOKUP(Inventory[[#This Row],[Qlty]],Lookups!$M$8:$P$22,4,FALSE)</f>
        <v>0.99819999999999998</v>
      </c>
      <c r="BG454" s="30">
        <f>VLOOKUP(Inventory[[#This Row],[Cnd]],Lookups!$R$8:$U$17,4,FALSE)</f>
        <v>1.0007999999999999</v>
      </c>
      <c r="BH454" s="30">
        <f>VLOOKUP(Inventory[[#This Row],[LivArea Range]],Lookups!$R$25:$U$43,4,FALSE)</f>
        <v>0.99519999999999997</v>
      </c>
      <c r="BI454" s="30">
        <f>VLOOKUP(Inventory[[#This Row],[Decade]],Lookups!$M$24:$P$40,4,FALSE)</f>
        <v>1.0024</v>
      </c>
      <c r="BJ454" s="30">
        <f>Inventory[[#This Row],[Nbhd Adj]]*0.95</f>
        <v>0.94971499999999998</v>
      </c>
      <c r="BK454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454" s="30">
        <f>ROUND((SUM(Inventory[[#This Row],[Mdl Qlty]:[Mdl Garage Area]])+Inventory[[#This Row],[Mdl Res Intercept]])*Inventory[[#This Row],[Res Adj ]],-2)</f>
        <v>290500</v>
      </c>
      <c r="BM454" s="30">
        <f>ROUND(Inventory[[#This Row],[25Det]]*Inventory[[#This Row],[Det/Nbhd Adj]],-2)</f>
        <v>0</v>
      </c>
      <c r="BN454" s="30">
        <f>Inventory[[#This Row],[Adjusted Res]]+Inventory[[#This Row],[Adj Det ]]</f>
        <v>290500</v>
      </c>
      <c r="BO454" s="30">
        <f>ROUND((Inventory[[#This Row],[Mdl Land Intercept]]+Inventory[[#This Row],[Mdl LnAcres]])*Inventory[[#This Row],[Det/Nbhd Adj]],-2)</f>
        <v>61100</v>
      </c>
      <c r="BP454" s="30">
        <f>Inventory[[#This Row],[Adjusted Impr Total]]+Inventory[[#This Row],[Adjusted Land Total]]</f>
        <v>351600</v>
      </c>
      <c r="BQ454" s="30">
        <f>IFERROR((Inventory[[#This Row],[Adjusted Impr Total]]-Inventory[[#This Row],[24Bldg]])/Inventory[[#This Row],[24Bldg]],0)</f>
        <v>-3.0373831775700934E-2</v>
      </c>
      <c r="BR454" s="43">
        <f>(Inventory[[#This Row],[Adjusted Land Total]]-Inventory[[#This Row],[24Lnd]])/Inventory[[#This Row],[24Lnd]]</f>
        <v>4.9342105263157892E-3</v>
      </c>
      <c r="BS454" s="43">
        <f>(Inventory[[#This Row],[Adjusted Total]]-Inventory[[#This Row],[24Final]])/Inventory[[#This Row],[24Final]]</f>
        <v>-2.4417314095449501E-2</v>
      </c>
    </row>
    <row r="455" spans="1:71">
      <c r="A455" s="30">
        <v>2025</v>
      </c>
      <c r="B455" s="31" t="s">
        <v>969</v>
      </c>
      <c r="C455" s="31">
        <f>LN(Inventory[[#This Row],[Acres]])</f>
        <v>-1.8325814637483102</v>
      </c>
      <c r="D455" s="30">
        <v>0.16</v>
      </c>
      <c r="E455" s="30">
        <v>7181</v>
      </c>
      <c r="F455" s="31" t="s">
        <v>505</v>
      </c>
      <c r="G455" s="31" t="s">
        <v>155</v>
      </c>
      <c r="H455" s="31" t="s">
        <v>5</v>
      </c>
      <c r="I455" s="31" t="s">
        <v>506</v>
      </c>
      <c r="J455" s="31" t="s">
        <v>507</v>
      </c>
      <c r="K455" s="31" t="s">
        <v>193</v>
      </c>
      <c r="L455" s="31" t="s">
        <v>19</v>
      </c>
      <c r="M455" s="31" t="s">
        <v>22</v>
      </c>
      <c r="N455" s="31">
        <v>10</v>
      </c>
      <c r="O455" s="31">
        <f>2024-Inventory[[#This Row],[YrBlt]]</f>
        <v>15</v>
      </c>
      <c r="P455" s="31">
        <f>2024-Inventory[[#This Row],[EffYr]]</f>
        <v>15</v>
      </c>
      <c r="Q455" s="30">
        <v>2009</v>
      </c>
      <c r="R455" s="30">
        <v>2009</v>
      </c>
      <c r="S455" s="30">
        <v>1176</v>
      </c>
      <c r="T455" s="32"/>
      <c r="U455" s="32"/>
      <c r="V455" s="32"/>
      <c r="W455" s="32"/>
      <c r="X455" s="32">
        <f>Inventory[[#This Row],[Bsmt Area]]-Inventory[[#This Row],[FnBsmt]]</f>
        <v>0</v>
      </c>
      <c r="Y455" s="32">
        <f>Inventory[[#This Row],[MainFn]]+Inventory[[#This Row],[UpprFn]]+Inventory[[#This Row],[AddFn]]+Inventory[[#This Row],[FnBsmt]]</f>
        <v>1176</v>
      </c>
      <c r="Z455" s="32">
        <v>1500</v>
      </c>
      <c r="AA455" s="31" t="s">
        <v>56</v>
      </c>
      <c r="AB455" s="32"/>
      <c r="AC455" s="30">
        <v>400</v>
      </c>
      <c r="AD455" s="32"/>
      <c r="AE455" s="32"/>
      <c r="AF455" s="32"/>
      <c r="AG455" s="32"/>
      <c r="AH455" s="32"/>
      <c r="AI455" s="30">
        <v>254148</v>
      </c>
      <c r="AJ455" s="30">
        <v>238899</v>
      </c>
      <c r="AK455" s="30">
        <v>0</v>
      </c>
      <c r="AL455" s="30">
        <v>0</v>
      </c>
      <c r="AM455" s="30">
        <v>60800</v>
      </c>
      <c r="AN455" s="30">
        <v>299600</v>
      </c>
      <c r="AO455" s="30">
        <v>360400</v>
      </c>
      <c r="AP455" s="30">
        <f>Lookups!$B$58*0.6</f>
        <v>132535.48800000001</v>
      </c>
      <c r="AQ455" s="30">
        <f>Lookups!$B$58*0.4</f>
        <v>88356.992000000013</v>
      </c>
      <c r="AR455" s="30">
        <f>Lookups!$B$59*Inventory[[#This Row],[LnAcres]]</f>
        <v>-24051.387388882686</v>
      </c>
      <c r="AS455" s="30">
        <f>VLOOKUP(Inventory[[#This Row],[Qlty]],Lookups!$A$66:$E$79,2,FALSE)</f>
        <v>37154.252388000001</v>
      </c>
      <c r="AT455" s="30">
        <f>VLOOKUP(Inventory[[#This Row],[Cnd]],Lookups!$A$80:$E$88,2,FALSE)</f>
        <v>50438.379078999998</v>
      </c>
      <c r="AU455" s="30">
        <f>Inventory[[#This Row],[EffAge]]*Lookups!$B$65</f>
        <v>-1631.1165000000001</v>
      </c>
      <c r="AV455" s="30">
        <f>Inventory[[#This Row],[MainFn]]*Lookups!$B$90</f>
        <v>73394.606880000007</v>
      </c>
      <c r="AW455" s="30">
        <f>Inventory[[#This Row],[UpprFn]]*Lookups!$B$91</f>
        <v>0</v>
      </c>
      <c r="AX455" s="30">
        <f>Inventory[[#This Row],[Bsmt Area]]*Lookups!$B$95</f>
        <v>0</v>
      </c>
      <c r="AY455" s="30">
        <f>Inventory[[#This Row],[AttGar]]*Lookups!$B$93</f>
        <v>14120.412400000001</v>
      </c>
      <c r="AZ455" s="30">
        <f>ROUND(Inventory[[#This Row],[25Det]],-2)</f>
        <v>0</v>
      </c>
      <c r="BA455" s="30">
        <f>ROUND(SUM(Inventory[[#This Row],[Mdl Qlty]:[Mdl Garage Area]])+Inventory[[#This Row],[Mdl Res Intercept]],-2)</f>
        <v>306000</v>
      </c>
      <c r="BB455" s="30">
        <f>ROUND(Inventory[[#This Row],[Mdl Land Intercept]]+Inventory[[#This Row],[Mdl LnAcres]],-2)</f>
        <v>64300</v>
      </c>
      <c r="BC455" s="30">
        <f>Inventory[[#This Row],[Unadj Res Value]]+Inventory[[#This Row],[Unadj Det Value]]+Inventory[[#This Row],[Unadj Land Value]]</f>
        <v>370300</v>
      </c>
      <c r="BD455" s="30">
        <f>(Inventory[[#This Row],[Unadj Total Value]]-Inventory[[#This Row],[24Final]])/Inventory[[#This Row],[24Final]]</f>
        <v>2.746947835738069E-2</v>
      </c>
      <c r="BE455" s="30">
        <f>VLOOKUP(Inventory[[#This Row],[Nbhd]],Lookups!$M$3:$P$5,4,FALSE)</f>
        <v>0.99970000000000003</v>
      </c>
      <c r="BF455" s="30">
        <f>VLOOKUP(Inventory[[#This Row],[Qlty]],Lookups!$M$8:$P$22,4,FALSE)</f>
        <v>0.99819999999999998</v>
      </c>
      <c r="BG455" s="30">
        <f>VLOOKUP(Inventory[[#This Row],[Cnd]],Lookups!$R$8:$U$17,4,FALSE)</f>
        <v>1.0007999999999999</v>
      </c>
      <c r="BH455" s="30">
        <f>VLOOKUP(Inventory[[#This Row],[LivArea Range]],Lookups!$R$25:$U$43,4,FALSE)</f>
        <v>0.99519999999999997</v>
      </c>
      <c r="BI455" s="30">
        <f>VLOOKUP(Inventory[[#This Row],[Decade]],Lookups!$M$24:$P$40,4,FALSE)</f>
        <v>1.0024</v>
      </c>
      <c r="BJ455" s="30">
        <f>Inventory[[#This Row],[Nbhd Adj]]*0.95</f>
        <v>0.94971499999999998</v>
      </c>
      <c r="BK455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455" s="30">
        <f>ROUND((SUM(Inventory[[#This Row],[Mdl Qlty]:[Mdl Garage Area]])+Inventory[[#This Row],[Mdl Res Intercept]])*Inventory[[#This Row],[Res Adj ]],-2)</f>
        <v>290500</v>
      </c>
      <c r="BM455" s="30">
        <f>ROUND(Inventory[[#This Row],[25Det]]*Inventory[[#This Row],[Det/Nbhd Adj]],-2)</f>
        <v>0</v>
      </c>
      <c r="BN455" s="30">
        <f>Inventory[[#This Row],[Adjusted Res]]+Inventory[[#This Row],[Adj Det ]]</f>
        <v>290500</v>
      </c>
      <c r="BO455" s="30">
        <f>ROUND((Inventory[[#This Row],[Mdl Land Intercept]]+Inventory[[#This Row],[Mdl LnAcres]])*Inventory[[#This Row],[Det/Nbhd Adj]],-2)</f>
        <v>61100</v>
      </c>
      <c r="BP455" s="30">
        <f>Inventory[[#This Row],[Adjusted Impr Total]]+Inventory[[#This Row],[Adjusted Land Total]]</f>
        <v>351600</v>
      </c>
      <c r="BQ455" s="30">
        <f>IFERROR((Inventory[[#This Row],[Adjusted Impr Total]]-Inventory[[#This Row],[24Bldg]])/Inventory[[#This Row],[24Bldg]],0)</f>
        <v>-3.0373831775700934E-2</v>
      </c>
      <c r="BR455" s="43">
        <f>(Inventory[[#This Row],[Adjusted Land Total]]-Inventory[[#This Row],[24Lnd]])/Inventory[[#This Row],[24Lnd]]</f>
        <v>4.9342105263157892E-3</v>
      </c>
      <c r="BS455" s="43">
        <f>(Inventory[[#This Row],[Adjusted Total]]-Inventory[[#This Row],[24Final]])/Inventory[[#This Row],[24Final]]</f>
        <v>-2.4417314095449501E-2</v>
      </c>
    </row>
    <row r="456" spans="1:71">
      <c r="A456" s="30">
        <v>2025</v>
      </c>
      <c r="B456" s="31" t="s">
        <v>970</v>
      </c>
      <c r="C456" s="31">
        <f>LN(Inventory[[#This Row],[Acres]])</f>
        <v>-1.8325814637483102</v>
      </c>
      <c r="D456" s="30">
        <v>0.16</v>
      </c>
      <c r="E456" s="30">
        <v>7001</v>
      </c>
      <c r="F456" s="31" t="s">
        <v>505</v>
      </c>
      <c r="G456" s="31" t="s">
        <v>155</v>
      </c>
      <c r="H456" s="31" t="s">
        <v>5</v>
      </c>
      <c r="I456" s="31" t="s">
        <v>506</v>
      </c>
      <c r="J456" s="31" t="s">
        <v>507</v>
      </c>
      <c r="K456" s="31" t="s">
        <v>193</v>
      </c>
      <c r="L456" s="31" t="s">
        <v>19</v>
      </c>
      <c r="M456" s="31" t="s">
        <v>20</v>
      </c>
      <c r="N456" s="31">
        <v>10</v>
      </c>
      <c r="O456" s="31">
        <f>2024-Inventory[[#This Row],[YrBlt]]</f>
        <v>15</v>
      </c>
      <c r="P456" s="31">
        <f>2024-Inventory[[#This Row],[EffYr]]</f>
        <v>15</v>
      </c>
      <c r="Q456" s="30">
        <v>2009</v>
      </c>
      <c r="R456" s="30">
        <v>2009</v>
      </c>
      <c r="S456" s="30">
        <v>1420</v>
      </c>
      <c r="T456" s="32"/>
      <c r="U456" s="32"/>
      <c r="V456" s="32"/>
      <c r="W456" s="32"/>
      <c r="X456" s="32">
        <f>Inventory[[#This Row],[Bsmt Area]]-Inventory[[#This Row],[FnBsmt]]</f>
        <v>0</v>
      </c>
      <c r="Y456" s="32">
        <f>Inventory[[#This Row],[MainFn]]+Inventory[[#This Row],[UpprFn]]+Inventory[[#This Row],[AddFn]]+Inventory[[#This Row],[FnBsmt]]</f>
        <v>1420</v>
      </c>
      <c r="Z456" s="32">
        <v>1500</v>
      </c>
      <c r="AA456" s="31" t="s">
        <v>56</v>
      </c>
      <c r="AB456" s="38">
        <v>1</v>
      </c>
      <c r="AC456" s="30">
        <v>400</v>
      </c>
      <c r="AD456" s="32"/>
      <c r="AE456" s="32"/>
      <c r="AF456" s="32"/>
      <c r="AG456" s="32"/>
      <c r="AH456" s="32"/>
      <c r="AI456" s="30">
        <v>287431</v>
      </c>
      <c r="AJ456" s="30">
        <v>267311</v>
      </c>
      <c r="AK456" s="30">
        <v>0</v>
      </c>
      <c r="AL456" s="30">
        <v>0</v>
      </c>
      <c r="AM456" s="30">
        <v>60800</v>
      </c>
      <c r="AN456" s="30">
        <v>293700</v>
      </c>
      <c r="AO456" s="30">
        <v>354500</v>
      </c>
      <c r="AP456" s="30">
        <f>Lookups!$B$58*0.6</f>
        <v>132535.48800000001</v>
      </c>
      <c r="AQ456" s="30">
        <f>Lookups!$B$58*0.4</f>
        <v>88356.992000000013</v>
      </c>
      <c r="AR456" s="30">
        <f>Lookups!$B$59*Inventory[[#This Row],[LnAcres]]</f>
        <v>-24051.387388882686</v>
      </c>
      <c r="AS456" s="30">
        <f>VLOOKUP(Inventory[[#This Row],[Qlty]],Lookups!$A$66:$E$79,2,FALSE)</f>
        <v>37154.252388000001</v>
      </c>
      <c r="AT456" s="30">
        <f>VLOOKUP(Inventory[[#This Row],[Cnd]],Lookups!$A$80:$E$88,2,FALSE)</f>
        <v>30300.329274</v>
      </c>
      <c r="AU456" s="30">
        <f>Inventory[[#This Row],[EffAge]]*Lookups!$B$65</f>
        <v>-1631.1165000000001</v>
      </c>
      <c r="AV456" s="30">
        <f>Inventory[[#This Row],[MainFn]]*Lookups!$B$90</f>
        <v>88622.739600000001</v>
      </c>
      <c r="AW456" s="30">
        <f>Inventory[[#This Row],[UpprFn]]*Lookups!$B$91</f>
        <v>0</v>
      </c>
      <c r="AX456" s="30">
        <f>Inventory[[#This Row],[Bsmt Area]]*Lookups!$B$95</f>
        <v>0</v>
      </c>
      <c r="AY456" s="30">
        <f>Inventory[[#This Row],[AttGar]]*Lookups!$B$93</f>
        <v>14120.412400000001</v>
      </c>
      <c r="AZ456" s="30">
        <f>ROUND(Inventory[[#This Row],[25Det]],-2)</f>
        <v>0</v>
      </c>
      <c r="BA456" s="30">
        <f>ROUND(SUM(Inventory[[#This Row],[Mdl Qlty]:[Mdl Garage Area]])+Inventory[[#This Row],[Mdl Res Intercept]],-2)</f>
        <v>301100</v>
      </c>
      <c r="BB456" s="30">
        <f>ROUND(Inventory[[#This Row],[Mdl Land Intercept]]+Inventory[[#This Row],[Mdl LnAcres]],-2)</f>
        <v>64300</v>
      </c>
      <c r="BC456" s="30">
        <f>Inventory[[#This Row],[Unadj Res Value]]+Inventory[[#This Row],[Unadj Det Value]]+Inventory[[#This Row],[Unadj Land Value]]</f>
        <v>365400</v>
      </c>
      <c r="BD456" s="30">
        <f>(Inventory[[#This Row],[Unadj Total Value]]-Inventory[[#This Row],[24Final]])/Inventory[[#This Row],[24Final]]</f>
        <v>3.07475317348378E-2</v>
      </c>
      <c r="BE456" s="30">
        <f>VLOOKUP(Inventory[[#This Row],[Nbhd]],Lookups!$M$3:$P$5,4,FALSE)</f>
        <v>0.99970000000000003</v>
      </c>
      <c r="BF456" s="30">
        <f>VLOOKUP(Inventory[[#This Row],[Qlty]],Lookups!$M$8:$P$22,4,FALSE)</f>
        <v>0.99819999999999998</v>
      </c>
      <c r="BG456" s="30">
        <f>VLOOKUP(Inventory[[#This Row],[Cnd]],Lookups!$R$8:$U$17,4,FALSE)</f>
        <v>0.997</v>
      </c>
      <c r="BH456" s="30">
        <f>VLOOKUP(Inventory[[#This Row],[LivArea Range]],Lookups!$R$25:$U$43,4,FALSE)</f>
        <v>0.99519999999999997</v>
      </c>
      <c r="BI456" s="30">
        <f>VLOOKUP(Inventory[[#This Row],[Decade]],Lookups!$M$24:$P$40,4,FALSE)</f>
        <v>1.0024</v>
      </c>
      <c r="BJ456" s="30">
        <f>Inventory[[#This Row],[Nbhd Adj]]*0.95</f>
        <v>0.94971499999999998</v>
      </c>
      <c r="BK456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456" s="30">
        <f>ROUND((SUM(Inventory[[#This Row],[Mdl Qlty]:[Mdl Garage Area]])+Inventory[[#This Row],[Mdl Res Intercept]])*Inventory[[#This Row],[Res Adj ]],-2)</f>
        <v>285600</v>
      </c>
      <c r="BM456" s="30">
        <f>ROUND(Inventory[[#This Row],[25Det]]*Inventory[[#This Row],[Det/Nbhd Adj]],-2)</f>
        <v>0</v>
      </c>
      <c r="BN456" s="30">
        <f>Inventory[[#This Row],[Adjusted Res]]+Inventory[[#This Row],[Adj Det ]]</f>
        <v>285600</v>
      </c>
      <c r="BO456" s="30">
        <f>ROUND((Inventory[[#This Row],[Mdl Land Intercept]]+Inventory[[#This Row],[Mdl LnAcres]])*Inventory[[#This Row],[Det/Nbhd Adj]],-2)</f>
        <v>61100</v>
      </c>
      <c r="BP456" s="30">
        <f>Inventory[[#This Row],[Adjusted Impr Total]]+Inventory[[#This Row],[Adjusted Land Total]]</f>
        <v>346700</v>
      </c>
      <c r="BQ456" s="30">
        <f>IFERROR((Inventory[[#This Row],[Adjusted Impr Total]]-Inventory[[#This Row],[24Bldg]])/Inventory[[#This Row],[24Bldg]],0)</f>
        <v>-2.7579162410623085E-2</v>
      </c>
      <c r="BR456" s="43">
        <f>(Inventory[[#This Row],[Adjusted Land Total]]-Inventory[[#This Row],[24Lnd]])/Inventory[[#This Row],[24Lnd]]</f>
        <v>4.9342105263157892E-3</v>
      </c>
      <c r="BS456" s="43">
        <f>(Inventory[[#This Row],[Adjusted Total]]-Inventory[[#This Row],[24Final]])/Inventory[[#This Row],[24Final]]</f>
        <v>-2.2002820874471085E-2</v>
      </c>
    </row>
    <row r="457" spans="1:71">
      <c r="A457" s="30">
        <v>2025</v>
      </c>
      <c r="B457" s="31" t="s">
        <v>971</v>
      </c>
      <c r="C457" s="31">
        <f>LN(Inventory[[#This Row],[Acres]])</f>
        <v>-1.8325814637483102</v>
      </c>
      <c r="D457" s="30">
        <v>0.16</v>
      </c>
      <c r="E457" s="30">
        <v>7100</v>
      </c>
      <c r="F457" s="31" t="s">
        <v>505</v>
      </c>
      <c r="G457" s="31" t="s">
        <v>155</v>
      </c>
      <c r="H457" s="31" t="s">
        <v>5</v>
      </c>
      <c r="I457" s="31" t="s">
        <v>506</v>
      </c>
      <c r="J457" s="31" t="s">
        <v>507</v>
      </c>
      <c r="K457" s="31" t="s">
        <v>157</v>
      </c>
      <c r="L457" s="31" t="s">
        <v>21</v>
      </c>
      <c r="M457" s="31" t="s">
        <v>20</v>
      </c>
      <c r="N457" s="31">
        <v>10</v>
      </c>
      <c r="O457" s="31">
        <f>2024-Inventory[[#This Row],[YrBlt]]</f>
        <v>15</v>
      </c>
      <c r="P457" s="31">
        <f>2024-Inventory[[#This Row],[EffYr]]</f>
        <v>15</v>
      </c>
      <c r="Q457" s="30">
        <v>2009</v>
      </c>
      <c r="R457" s="30">
        <v>2009</v>
      </c>
      <c r="S457" s="30">
        <v>1116</v>
      </c>
      <c r="T457" s="30">
        <v>1116</v>
      </c>
      <c r="U457" s="32"/>
      <c r="V457" s="32"/>
      <c r="W457" s="32"/>
      <c r="X457" s="32">
        <f>Inventory[[#This Row],[Bsmt Area]]-Inventory[[#This Row],[FnBsmt]]</f>
        <v>0</v>
      </c>
      <c r="Y457" s="32">
        <f>Inventory[[#This Row],[MainFn]]+Inventory[[#This Row],[UpprFn]]+Inventory[[#This Row],[AddFn]]+Inventory[[#This Row],[FnBsmt]]</f>
        <v>2232</v>
      </c>
      <c r="Z457" s="32">
        <v>2500</v>
      </c>
      <c r="AA457" s="31" t="s">
        <v>56</v>
      </c>
      <c r="AB457" s="32"/>
      <c r="AC457" s="30">
        <v>440</v>
      </c>
      <c r="AD457" s="32"/>
      <c r="AE457" s="32"/>
      <c r="AF457" s="32"/>
      <c r="AG457" s="32"/>
      <c r="AH457" s="32"/>
      <c r="AI457" s="30">
        <v>435656</v>
      </c>
      <c r="AJ457" s="30">
        <v>405160</v>
      </c>
      <c r="AK457" s="30">
        <v>0</v>
      </c>
      <c r="AL457" s="30">
        <v>0</v>
      </c>
      <c r="AM457" s="30">
        <v>60800</v>
      </c>
      <c r="AN457" s="30">
        <v>338100</v>
      </c>
      <c r="AO457" s="30">
        <v>398900</v>
      </c>
      <c r="AP457" s="30">
        <f>Lookups!$B$58*0.6</f>
        <v>132535.48800000001</v>
      </c>
      <c r="AQ457" s="30">
        <f>Lookups!$B$58*0.4</f>
        <v>88356.992000000013</v>
      </c>
      <c r="AR457" s="30">
        <f>Lookups!$B$59*Inventory[[#This Row],[LnAcres]]</f>
        <v>-24051.387388882686</v>
      </c>
      <c r="AS457" s="30">
        <f>VLOOKUP(Inventory[[#This Row],[Qlty]],Lookups!$A$66:$E$79,2,FALSE)</f>
        <v>32917.849192000001</v>
      </c>
      <c r="AT457" s="30">
        <f>VLOOKUP(Inventory[[#This Row],[Cnd]],Lookups!$A$80:$E$88,2,FALSE)</f>
        <v>30300.329274</v>
      </c>
      <c r="AU457" s="30">
        <f>Inventory[[#This Row],[EffAge]]*Lookups!$B$65</f>
        <v>-1631.1165000000001</v>
      </c>
      <c r="AV457" s="30">
        <f>Inventory[[#This Row],[MainFn]]*Lookups!$B$90</f>
        <v>69649.984080000009</v>
      </c>
      <c r="AW457" s="30">
        <f>Inventory[[#This Row],[UpprFn]]*Lookups!$B$91</f>
        <v>66491.707427999994</v>
      </c>
      <c r="AX457" s="30">
        <f>Inventory[[#This Row],[Bsmt Area]]*Lookups!$B$95</f>
        <v>0</v>
      </c>
      <c r="AY457" s="30">
        <f>Inventory[[#This Row],[AttGar]]*Lookups!$B$93</f>
        <v>15532.453640000002</v>
      </c>
      <c r="AZ457" s="30">
        <f>ROUND(Inventory[[#This Row],[25Det]],-2)</f>
        <v>0</v>
      </c>
      <c r="BA457" s="30">
        <f>ROUND(SUM(Inventory[[#This Row],[Mdl Qlty]:[Mdl Garage Area]])+Inventory[[#This Row],[Mdl Res Intercept]],-2)</f>
        <v>345800</v>
      </c>
      <c r="BB457" s="30">
        <f>ROUND(Inventory[[#This Row],[Mdl Land Intercept]]+Inventory[[#This Row],[Mdl LnAcres]],-2)</f>
        <v>64300</v>
      </c>
      <c r="BC457" s="30">
        <f>Inventory[[#This Row],[Unadj Res Value]]+Inventory[[#This Row],[Unadj Det Value]]+Inventory[[#This Row],[Unadj Land Value]]</f>
        <v>410100</v>
      </c>
      <c r="BD457" s="30">
        <f>(Inventory[[#This Row],[Unadj Total Value]]-Inventory[[#This Row],[24Final]])/Inventory[[#This Row],[24Final]]</f>
        <v>2.8077212333918276E-2</v>
      </c>
      <c r="BE457" s="30">
        <f>VLOOKUP(Inventory[[#This Row],[Nbhd]],Lookups!$M$3:$P$5,4,FALSE)</f>
        <v>0.99970000000000003</v>
      </c>
      <c r="BF457" s="30">
        <f>VLOOKUP(Inventory[[#This Row],[Qlty]],Lookups!$M$8:$P$22,4,FALSE)</f>
        <v>1.0019</v>
      </c>
      <c r="BG457" s="30">
        <f>VLOOKUP(Inventory[[#This Row],[Cnd]],Lookups!$R$8:$U$17,4,FALSE)</f>
        <v>0.997</v>
      </c>
      <c r="BH457" s="30">
        <f>VLOOKUP(Inventory[[#This Row],[LivArea Range]],Lookups!$R$25:$U$43,4,FALSE)</f>
        <v>1.0008999999999999</v>
      </c>
      <c r="BI457" s="30">
        <f>VLOOKUP(Inventory[[#This Row],[Decade]],Lookups!$M$24:$P$40,4,FALSE)</f>
        <v>1.0024</v>
      </c>
      <c r="BJ457" s="30">
        <f>Inventory[[#This Row],[Nbhd Adj]]*0.95</f>
        <v>0.94971499999999998</v>
      </c>
      <c r="BK457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457" s="30">
        <f>ROUND((SUM(Inventory[[#This Row],[Mdl Qlty]:[Mdl Garage Area]])+Inventory[[#This Row],[Mdl Res Intercept]])*Inventory[[#This Row],[Res Adj ]],-2)</f>
        <v>328600</v>
      </c>
      <c r="BM457" s="30">
        <f>ROUND(Inventory[[#This Row],[25Det]]*Inventory[[#This Row],[Det/Nbhd Adj]],-2)</f>
        <v>0</v>
      </c>
      <c r="BN457" s="30">
        <f>Inventory[[#This Row],[Adjusted Res]]+Inventory[[#This Row],[Adj Det ]]</f>
        <v>328600</v>
      </c>
      <c r="BO457" s="30">
        <f>ROUND((Inventory[[#This Row],[Mdl Land Intercept]]+Inventory[[#This Row],[Mdl LnAcres]])*Inventory[[#This Row],[Det/Nbhd Adj]],-2)</f>
        <v>61100</v>
      </c>
      <c r="BP457" s="30">
        <f>Inventory[[#This Row],[Adjusted Impr Total]]+Inventory[[#This Row],[Adjusted Land Total]]</f>
        <v>389700</v>
      </c>
      <c r="BQ457" s="30">
        <f>IFERROR((Inventory[[#This Row],[Adjusted Impr Total]]-Inventory[[#This Row],[24Bldg]])/Inventory[[#This Row],[24Bldg]],0)</f>
        <v>-2.8098195800059154E-2</v>
      </c>
      <c r="BR457" s="43">
        <f>(Inventory[[#This Row],[Adjusted Land Total]]-Inventory[[#This Row],[24Lnd]])/Inventory[[#This Row],[24Lnd]]</f>
        <v>4.9342105263157892E-3</v>
      </c>
      <c r="BS457" s="43">
        <f>(Inventory[[#This Row],[Adjusted Total]]-Inventory[[#This Row],[24Final]])/Inventory[[#This Row],[24Final]]</f>
        <v>-2.3063424417147156E-2</v>
      </c>
    </row>
    <row r="458" spans="1:71">
      <c r="A458" s="30">
        <v>2025</v>
      </c>
      <c r="B458" s="31" t="s">
        <v>972</v>
      </c>
      <c r="C458" s="31">
        <f>LN(Inventory[[#This Row],[Acres]])</f>
        <v>-1.8325814637483102</v>
      </c>
      <c r="D458" s="30">
        <v>0.16</v>
      </c>
      <c r="E458" s="30">
        <v>7100</v>
      </c>
      <c r="F458" s="31" t="s">
        <v>505</v>
      </c>
      <c r="G458" s="31" t="s">
        <v>155</v>
      </c>
      <c r="H458" s="31" t="s">
        <v>5</v>
      </c>
      <c r="I458" s="31" t="s">
        <v>506</v>
      </c>
      <c r="J458" s="31" t="s">
        <v>507</v>
      </c>
      <c r="K458" s="31" t="s">
        <v>157</v>
      </c>
      <c r="L458" s="31" t="s">
        <v>21</v>
      </c>
      <c r="M458" s="31" t="s">
        <v>20</v>
      </c>
      <c r="N458" s="31">
        <v>10</v>
      </c>
      <c r="O458" s="31">
        <f>2024-Inventory[[#This Row],[YrBlt]]</f>
        <v>15</v>
      </c>
      <c r="P458" s="31">
        <f>2024-Inventory[[#This Row],[EffYr]]</f>
        <v>15</v>
      </c>
      <c r="Q458" s="30">
        <v>2009</v>
      </c>
      <c r="R458" s="30">
        <v>2009</v>
      </c>
      <c r="S458" s="30">
        <v>1116</v>
      </c>
      <c r="T458" s="38">
        <v>1116</v>
      </c>
      <c r="U458" s="32"/>
      <c r="V458" s="32"/>
      <c r="W458" s="32"/>
      <c r="X458" s="32">
        <f>Inventory[[#This Row],[Bsmt Area]]-Inventory[[#This Row],[FnBsmt]]</f>
        <v>0</v>
      </c>
      <c r="Y458" s="32">
        <f>Inventory[[#This Row],[MainFn]]+Inventory[[#This Row],[UpprFn]]+Inventory[[#This Row],[AddFn]]+Inventory[[#This Row],[FnBsmt]]</f>
        <v>2232</v>
      </c>
      <c r="Z458" s="32">
        <v>2500</v>
      </c>
      <c r="AA458" s="31" t="s">
        <v>56</v>
      </c>
      <c r="AB458" s="38">
        <v>1</v>
      </c>
      <c r="AC458" s="30">
        <v>440</v>
      </c>
      <c r="AD458" s="32"/>
      <c r="AE458" s="32"/>
      <c r="AF458" s="32"/>
      <c r="AG458" s="32"/>
      <c r="AH458" s="32"/>
      <c r="AI458" s="30">
        <v>441611</v>
      </c>
      <c r="AJ458" s="30">
        <v>410698</v>
      </c>
      <c r="AK458" s="30">
        <v>0</v>
      </c>
      <c r="AL458" s="30">
        <v>0</v>
      </c>
      <c r="AM458" s="30">
        <v>60800</v>
      </c>
      <c r="AN458" s="30">
        <v>338100</v>
      </c>
      <c r="AO458" s="30">
        <v>398900</v>
      </c>
      <c r="AP458" s="30">
        <f>Lookups!$B$58*0.6</f>
        <v>132535.48800000001</v>
      </c>
      <c r="AQ458" s="30">
        <f>Lookups!$B$58*0.4</f>
        <v>88356.992000000013</v>
      </c>
      <c r="AR458" s="30">
        <f>Lookups!$B$59*Inventory[[#This Row],[LnAcres]]</f>
        <v>-24051.387388882686</v>
      </c>
      <c r="AS458" s="30">
        <f>VLOOKUP(Inventory[[#This Row],[Qlty]],Lookups!$A$66:$E$79,2,FALSE)</f>
        <v>32917.849192000001</v>
      </c>
      <c r="AT458" s="30">
        <f>VLOOKUP(Inventory[[#This Row],[Cnd]],Lookups!$A$80:$E$88,2,FALSE)</f>
        <v>30300.329274</v>
      </c>
      <c r="AU458" s="30">
        <f>Inventory[[#This Row],[EffAge]]*Lookups!$B$65</f>
        <v>-1631.1165000000001</v>
      </c>
      <c r="AV458" s="30">
        <f>Inventory[[#This Row],[MainFn]]*Lookups!$B$90</f>
        <v>69649.984080000009</v>
      </c>
      <c r="AW458" s="30">
        <f>Inventory[[#This Row],[UpprFn]]*Lookups!$B$91</f>
        <v>66491.707427999994</v>
      </c>
      <c r="AX458" s="30">
        <f>Inventory[[#This Row],[Bsmt Area]]*Lookups!$B$95</f>
        <v>0</v>
      </c>
      <c r="AY458" s="30">
        <f>Inventory[[#This Row],[AttGar]]*Lookups!$B$93</f>
        <v>15532.453640000002</v>
      </c>
      <c r="AZ458" s="30">
        <f>ROUND(Inventory[[#This Row],[25Det]],-2)</f>
        <v>0</v>
      </c>
      <c r="BA458" s="30">
        <f>ROUND(SUM(Inventory[[#This Row],[Mdl Qlty]:[Mdl Garage Area]])+Inventory[[#This Row],[Mdl Res Intercept]],-2)</f>
        <v>345800</v>
      </c>
      <c r="BB458" s="30">
        <f>ROUND(Inventory[[#This Row],[Mdl Land Intercept]]+Inventory[[#This Row],[Mdl LnAcres]],-2)</f>
        <v>64300</v>
      </c>
      <c r="BC458" s="30">
        <f>Inventory[[#This Row],[Unadj Res Value]]+Inventory[[#This Row],[Unadj Det Value]]+Inventory[[#This Row],[Unadj Land Value]]</f>
        <v>410100</v>
      </c>
      <c r="BD458" s="30">
        <f>(Inventory[[#This Row],[Unadj Total Value]]-Inventory[[#This Row],[24Final]])/Inventory[[#This Row],[24Final]]</f>
        <v>2.8077212333918276E-2</v>
      </c>
      <c r="BE458" s="30">
        <f>VLOOKUP(Inventory[[#This Row],[Nbhd]],Lookups!$M$3:$P$5,4,FALSE)</f>
        <v>0.99970000000000003</v>
      </c>
      <c r="BF458" s="30">
        <f>VLOOKUP(Inventory[[#This Row],[Qlty]],Lookups!$M$8:$P$22,4,FALSE)</f>
        <v>1.0019</v>
      </c>
      <c r="BG458" s="30">
        <f>VLOOKUP(Inventory[[#This Row],[Cnd]],Lookups!$R$8:$U$17,4,FALSE)</f>
        <v>0.997</v>
      </c>
      <c r="BH458" s="30">
        <f>VLOOKUP(Inventory[[#This Row],[LivArea Range]],Lookups!$R$25:$U$43,4,FALSE)</f>
        <v>1.0008999999999999</v>
      </c>
      <c r="BI458" s="30">
        <f>VLOOKUP(Inventory[[#This Row],[Decade]],Lookups!$M$24:$P$40,4,FALSE)</f>
        <v>1.0024</v>
      </c>
      <c r="BJ458" s="30">
        <f>Inventory[[#This Row],[Nbhd Adj]]*0.95</f>
        <v>0.94971499999999998</v>
      </c>
      <c r="BK458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458" s="30">
        <f>ROUND((SUM(Inventory[[#This Row],[Mdl Qlty]:[Mdl Garage Area]])+Inventory[[#This Row],[Mdl Res Intercept]])*Inventory[[#This Row],[Res Adj ]],-2)</f>
        <v>328600</v>
      </c>
      <c r="BM458" s="30">
        <f>ROUND(Inventory[[#This Row],[25Det]]*Inventory[[#This Row],[Det/Nbhd Adj]],-2)</f>
        <v>0</v>
      </c>
      <c r="BN458" s="30">
        <f>Inventory[[#This Row],[Adjusted Res]]+Inventory[[#This Row],[Adj Det ]]</f>
        <v>328600</v>
      </c>
      <c r="BO458" s="30">
        <f>ROUND((Inventory[[#This Row],[Mdl Land Intercept]]+Inventory[[#This Row],[Mdl LnAcres]])*Inventory[[#This Row],[Det/Nbhd Adj]],-2)</f>
        <v>61100</v>
      </c>
      <c r="BP458" s="30">
        <f>Inventory[[#This Row],[Adjusted Impr Total]]+Inventory[[#This Row],[Adjusted Land Total]]</f>
        <v>389700</v>
      </c>
      <c r="BQ458" s="30">
        <f>IFERROR((Inventory[[#This Row],[Adjusted Impr Total]]-Inventory[[#This Row],[24Bldg]])/Inventory[[#This Row],[24Bldg]],0)</f>
        <v>-2.8098195800059154E-2</v>
      </c>
      <c r="BR458" s="43">
        <f>(Inventory[[#This Row],[Adjusted Land Total]]-Inventory[[#This Row],[24Lnd]])/Inventory[[#This Row],[24Lnd]]</f>
        <v>4.9342105263157892E-3</v>
      </c>
      <c r="BS458" s="43">
        <f>(Inventory[[#This Row],[Adjusted Total]]-Inventory[[#This Row],[24Final]])/Inventory[[#This Row],[24Final]]</f>
        <v>-2.3063424417147156E-2</v>
      </c>
    </row>
    <row r="459" spans="1:71">
      <c r="A459" s="30">
        <v>2025</v>
      </c>
      <c r="B459" s="31" t="s">
        <v>973</v>
      </c>
      <c r="C459" s="31">
        <f>LN(Inventory[[#This Row],[Acres]])</f>
        <v>-1.8325814637483102</v>
      </c>
      <c r="D459" s="30">
        <v>0.16</v>
      </c>
      <c r="E459" s="30">
        <v>7100</v>
      </c>
      <c r="F459" s="31" t="s">
        <v>505</v>
      </c>
      <c r="G459" s="31" t="s">
        <v>155</v>
      </c>
      <c r="H459" s="31" t="s">
        <v>5</v>
      </c>
      <c r="I459" s="31" t="s">
        <v>506</v>
      </c>
      <c r="J459" s="31" t="s">
        <v>507</v>
      </c>
      <c r="K459" s="31" t="s">
        <v>330</v>
      </c>
      <c r="L459" s="31" t="s">
        <v>21</v>
      </c>
      <c r="M459" s="31" t="s">
        <v>20</v>
      </c>
      <c r="N459" s="31">
        <v>10</v>
      </c>
      <c r="O459" s="31">
        <f>2024-Inventory[[#This Row],[YrBlt]]</f>
        <v>15</v>
      </c>
      <c r="P459" s="31">
        <f>2024-Inventory[[#This Row],[EffYr]]</f>
        <v>15</v>
      </c>
      <c r="Q459" s="30">
        <v>2009</v>
      </c>
      <c r="R459" s="30">
        <v>2009</v>
      </c>
      <c r="S459" s="30">
        <v>1737</v>
      </c>
      <c r="T459" s="32"/>
      <c r="U459" s="32"/>
      <c r="V459" s="32"/>
      <c r="W459" s="32"/>
      <c r="X459" s="32">
        <f>Inventory[[#This Row],[Bsmt Area]]-Inventory[[#This Row],[FnBsmt]]</f>
        <v>0</v>
      </c>
      <c r="Y459" s="32">
        <f>Inventory[[#This Row],[MainFn]]+Inventory[[#This Row],[UpprFn]]+Inventory[[#This Row],[AddFn]]+Inventory[[#This Row],[FnBsmt]]</f>
        <v>1737</v>
      </c>
      <c r="Z459" s="32">
        <v>2000</v>
      </c>
      <c r="AA459" s="31" t="s">
        <v>56</v>
      </c>
      <c r="AB459" s="38">
        <v>1</v>
      </c>
      <c r="AC459" s="30">
        <v>435</v>
      </c>
      <c r="AD459" s="32"/>
      <c r="AE459" s="32"/>
      <c r="AF459" s="32"/>
      <c r="AG459" s="32"/>
      <c r="AH459" s="32"/>
      <c r="AI459" s="30">
        <v>381816</v>
      </c>
      <c r="AJ459" s="30">
        <v>355089</v>
      </c>
      <c r="AK459" s="30">
        <v>0</v>
      </c>
      <c r="AL459" s="30">
        <v>0</v>
      </c>
      <c r="AM459" s="30">
        <v>60800</v>
      </c>
      <c r="AN459" s="30">
        <v>309200</v>
      </c>
      <c r="AO459" s="30">
        <v>370000</v>
      </c>
      <c r="AP459" s="30">
        <f>Lookups!$B$58*0.6</f>
        <v>132535.48800000001</v>
      </c>
      <c r="AQ459" s="30">
        <f>Lookups!$B$58*0.4</f>
        <v>88356.992000000013</v>
      </c>
      <c r="AR459" s="30">
        <f>Lookups!$B$59*Inventory[[#This Row],[LnAcres]]</f>
        <v>-24051.387388882686</v>
      </c>
      <c r="AS459" s="30">
        <f>VLOOKUP(Inventory[[#This Row],[Qlty]],Lookups!$A$66:$E$79,2,FALSE)</f>
        <v>32917.849192000001</v>
      </c>
      <c r="AT459" s="30">
        <f>VLOOKUP(Inventory[[#This Row],[Cnd]],Lookups!$A$80:$E$88,2,FALSE)</f>
        <v>30300.329274</v>
      </c>
      <c r="AU459" s="30">
        <f>Inventory[[#This Row],[EffAge]]*Lookups!$B$65</f>
        <v>-1631.1165000000001</v>
      </c>
      <c r="AV459" s="30">
        <f>Inventory[[#This Row],[MainFn]]*Lookups!$B$90</f>
        <v>108406.83006000001</v>
      </c>
      <c r="AW459" s="30">
        <f>Inventory[[#This Row],[UpprFn]]*Lookups!$B$91</f>
        <v>0</v>
      </c>
      <c r="AX459" s="30">
        <f>Inventory[[#This Row],[Bsmt Area]]*Lookups!$B$95</f>
        <v>0</v>
      </c>
      <c r="AY459" s="30">
        <f>Inventory[[#This Row],[AttGar]]*Lookups!$B$93</f>
        <v>15355.948485000001</v>
      </c>
      <c r="AZ459" s="30">
        <f>ROUND(Inventory[[#This Row],[25Det]],-2)</f>
        <v>0</v>
      </c>
      <c r="BA459" s="30">
        <f>ROUND(SUM(Inventory[[#This Row],[Mdl Qlty]:[Mdl Garage Area]])+Inventory[[#This Row],[Mdl Res Intercept]],-2)</f>
        <v>317900</v>
      </c>
      <c r="BB459" s="30">
        <f>ROUND(Inventory[[#This Row],[Mdl Land Intercept]]+Inventory[[#This Row],[Mdl LnAcres]],-2)</f>
        <v>64300</v>
      </c>
      <c r="BC459" s="30">
        <f>Inventory[[#This Row],[Unadj Res Value]]+Inventory[[#This Row],[Unadj Det Value]]+Inventory[[#This Row],[Unadj Land Value]]</f>
        <v>382200</v>
      </c>
      <c r="BD459" s="30">
        <f>(Inventory[[#This Row],[Unadj Total Value]]-Inventory[[#This Row],[24Final]])/Inventory[[#This Row],[24Final]]</f>
        <v>3.2972972972972976E-2</v>
      </c>
      <c r="BE459" s="30">
        <f>VLOOKUP(Inventory[[#This Row],[Nbhd]],Lookups!$M$3:$P$5,4,FALSE)</f>
        <v>0.99970000000000003</v>
      </c>
      <c r="BF459" s="30">
        <f>VLOOKUP(Inventory[[#This Row],[Qlty]],Lookups!$M$8:$P$22,4,FALSE)</f>
        <v>1.0019</v>
      </c>
      <c r="BG459" s="30">
        <f>VLOOKUP(Inventory[[#This Row],[Cnd]],Lookups!$R$8:$U$17,4,FALSE)</f>
        <v>0.997</v>
      </c>
      <c r="BH459" s="30">
        <f>VLOOKUP(Inventory[[#This Row],[LivArea Range]],Lookups!$R$25:$U$43,4,FALSE)</f>
        <v>1.0007999999999999</v>
      </c>
      <c r="BI459" s="30">
        <f>VLOOKUP(Inventory[[#This Row],[Decade]],Lookups!$M$24:$P$40,4,FALSE)</f>
        <v>1.0024</v>
      </c>
      <c r="BJ459" s="30">
        <f>Inventory[[#This Row],[Nbhd Adj]]*0.95</f>
        <v>0.94971499999999998</v>
      </c>
      <c r="BK459" s="30">
        <f>AVERAGE(Inventory[[#This Row],[Nbhd Adj]],Inventory[[#This Row],[Quality Adj]],Inventory[[#This Row],[Condition Adj]],Inventory[[#This Row],[Living Area Adj]],Inventory[[#This Row],[Decade Adj]])*0.95</f>
        <v>0.95034199999999991</v>
      </c>
      <c r="BL459" s="30">
        <f>ROUND((SUM(Inventory[[#This Row],[Mdl Qlty]:[Mdl Garage Area]])+Inventory[[#This Row],[Mdl Res Intercept]])*Inventory[[#This Row],[Res Adj ]],-2)</f>
        <v>302100</v>
      </c>
      <c r="BM459" s="30">
        <f>ROUND(Inventory[[#This Row],[25Det]]*Inventory[[#This Row],[Det/Nbhd Adj]],-2)</f>
        <v>0</v>
      </c>
      <c r="BN459" s="30">
        <f>Inventory[[#This Row],[Adjusted Res]]+Inventory[[#This Row],[Adj Det ]]</f>
        <v>302100</v>
      </c>
      <c r="BO459" s="30">
        <f>ROUND((Inventory[[#This Row],[Mdl Land Intercept]]+Inventory[[#This Row],[Mdl LnAcres]])*Inventory[[#This Row],[Det/Nbhd Adj]],-2)</f>
        <v>61100</v>
      </c>
      <c r="BP459" s="30">
        <f>Inventory[[#This Row],[Adjusted Impr Total]]+Inventory[[#This Row],[Adjusted Land Total]]</f>
        <v>363200</v>
      </c>
      <c r="BQ459" s="30">
        <f>IFERROR((Inventory[[#This Row],[Adjusted Impr Total]]-Inventory[[#This Row],[24Bldg]])/Inventory[[#This Row],[24Bldg]],0)</f>
        <v>-2.2962483829236741E-2</v>
      </c>
      <c r="BR459" s="43">
        <f>(Inventory[[#This Row],[Adjusted Land Total]]-Inventory[[#This Row],[24Lnd]])/Inventory[[#This Row],[24Lnd]]</f>
        <v>4.9342105263157892E-3</v>
      </c>
      <c r="BS459" s="43">
        <f>(Inventory[[#This Row],[Adjusted Total]]-Inventory[[#This Row],[24Final]])/Inventory[[#This Row],[24Final]]</f>
        <v>-1.8378378378378378E-2</v>
      </c>
    </row>
    <row r="460" spans="1:71">
      <c r="A460" s="30">
        <v>2025</v>
      </c>
      <c r="B460" s="31" t="s">
        <v>974</v>
      </c>
      <c r="C460" s="31">
        <f>LN(Inventory[[#This Row],[Acres]])</f>
        <v>-1.8325814637483102</v>
      </c>
      <c r="D460" s="30">
        <v>0.16</v>
      </c>
      <c r="E460" s="30">
        <v>7100</v>
      </c>
      <c r="F460" s="31" t="s">
        <v>505</v>
      </c>
      <c r="G460" s="31" t="s">
        <v>155</v>
      </c>
      <c r="H460" s="31" t="s">
        <v>5</v>
      </c>
      <c r="I460" s="31" t="s">
        <v>506</v>
      </c>
      <c r="J460" s="31" t="s">
        <v>507</v>
      </c>
      <c r="K460" s="31" t="s">
        <v>157</v>
      </c>
      <c r="L460" s="31" t="s">
        <v>19</v>
      </c>
      <c r="M460" s="31" t="s">
        <v>22</v>
      </c>
      <c r="N460" s="31">
        <v>10</v>
      </c>
      <c r="O460" s="31">
        <f>2024-Inventory[[#This Row],[YrBlt]]</f>
        <v>15</v>
      </c>
      <c r="P460" s="31">
        <f>2024-Inventory[[#This Row],[EffYr]]</f>
        <v>15</v>
      </c>
      <c r="Q460" s="30">
        <v>2009</v>
      </c>
      <c r="R460" s="30">
        <v>2009</v>
      </c>
      <c r="S460" s="30">
        <v>1737</v>
      </c>
      <c r="T460" s="32"/>
      <c r="U460" s="32"/>
      <c r="V460" s="32"/>
      <c r="W460" s="32"/>
      <c r="X460" s="32">
        <f>Inventory[[#This Row],[Bsmt Area]]-Inventory[[#This Row],[FnBsmt]]</f>
        <v>0</v>
      </c>
      <c r="Y460" s="32">
        <f>Inventory[[#This Row],[MainFn]]+Inventory[[#This Row],[UpprFn]]+Inventory[[#This Row],[AddFn]]+Inventory[[#This Row],[FnBsmt]]</f>
        <v>1737</v>
      </c>
      <c r="Z460" s="32">
        <v>2000</v>
      </c>
      <c r="AA460" s="31" t="s">
        <v>56</v>
      </c>
      <c r="AB460" s="32"/>
      <c r="AC460" s="30">
        <v>435</v>
      </c>
      <c r="AD460" s="32"/>
      <c r="AE460" s="32"/>
      <c r="AF460" s="32"/>
      <c r="AG460" s="32"/>
      <c r="AH460" s="32"/>
      <c r="AI460" s="30">
        <v>332450</v>
      </c>
      <c r="AJ460" s="30">
        <v>312503</v>
      </c>
      <c r="AK460" s="30">
        <v>0</v>
      </c>
      <c r="AL460" s="30">
        <v>0</v>
      </c>
      <c r="AM460" s="30">
        <v>60800</v>
      </c>
      <c r="AN460" s="30">
        <v>329100</v>
      </c>
      <c r="AO460" s="30">
        <v>389900</v>
      </c>
      <c r="AP460" s="30">
        <f>Lookups!$B$58*0.6</f>
        <v>132535.48800000001</v>
      </c>
      <c r="AQ460" s="30">
        <f>Lookups!$B$58*0.4</f>
        <v>88356.992000000013</v>
      </c>
      <c r="AR460" s="30">
        <f>Lookups!$B$59*Inventory[[#This Row],[LnAcres]]</f>
        <v>-24051.387388882686</v>
      </c>
      <c r="AS460" s="30">
        <f>VLOOKUP(Inventory[[#This Row],[Qlty]],Lookups!$A$66:$E$79,2,FALSE)</f>
        <v>37154.252388000001</v>
      </c>
      <c r="AT460" s="30">
        <f>VLOOKUP(Inventory[[#This Row],[Cnd]],Lookups!$A$80:$E$88,2,FALSE)</f>
        <v>50438.379078999998</v>
      </c>
      <c r="AU460" s="30">
        <f>Inventory[[#This Row],[EffAge]]*Lookups!$B$65</f>
        <v>-1631.1165000000001</v>
      </c>
      <c r="AV460" s="30">
        <f>Inventory[[#This Row],[MainFn]]*Lookups!$B$90</f>
        <v>108406.83006000001</v>
      </c>
      <c r="AW460" s="30">
        <f>Inventory[[#This Row],[UpprFn]]*Lookups!$B$91</f>
        <v>0</v>
      </c>
      <c r="AX460" s="30">
        <f>Inventory[[#This Row],[Bsmt Area]]*Lookups!$B$95</f>
        <v>0</v>
      </c>
      <c r="AY460" s="30">
        <f>Inventory[[#This Row],[AttGar]]*Lookups!$B$93</f>
        <v>15355.948485000001</v>
      </c>
      <c r="AZ460" s="30">
        <f>ROUND(Inventory[[#This Row],[25Det]],-2)</f>
        <v>0</v>
      </c>
      <c r="BA460" s="30">
        <f>ROUND(SUM(Inventory[[#This Row],[Mdl Qlty]:[Mdl Garage Area]])+Inventory[[#This Row],[Mdl Res Intercept]],-2)</f>
        <v>342300</v>
      </c>
      <c r="BB460" s="30">
        <f>ROUND(Inventory[[#This Row],[Mdl Land Intercept]]+Inventory[[#This Row],[Mdl LnAcres]],-2)</f>
        <v>64300</v>
      </c>
      <c r="BC460" s="30">
        <f>Inventory[[#This Row],[Unadj Res Value]]+Inventory[[#This Row],[Unadj Det Value]]+Inventory[[#This Row],[Unadj Land Value]]</f>
        <v>406600</v>
      </c>
      <c r="BD460" s="30">
        <f>(Inventory[[#This Row],[Unadj Total Value]]-Inventory[[#This Row],[24Final]])/Inventory[[#This Row],[24Final]]</f>
        <v>4.2831495255193641E-2</v>
      </c>
      <c r="BE460" s="30">
        <f>VLOOKUP(Inventory[[#This Row],[Nbhd]],Lookups!$M$3:$P$5,4,FALSE)</f>
        <v>0.99970000000000003</v>
      </c>
      <c r="BF460" s="30">
        <f>VLOOKUP(Inventory[[#This Row],[Qlty]],Lookups!$M$8:$P$22,4,FALSE)</f>
        <v>0.99819999999999998</v>
      </c>
      <c r="BG460" s="30">
        <f>VLOOKUP(Inventory[[#This Row],[Cnd]],Lookups!$R$8:$U$17,4,FALSE)</f>
        <v>1.0007999999999999</v>
      </c>
      <c r="BH460" s="30">
        <f>VLOOKUP(Inventory[[#This Row],[LivArea Range]],Lookups!$R$25:$U$43,4,FALSE)</f>
        <v>1.0007999999999999</v>
      </c>
      <c r="BI460" s="30">
        <f>VLOOKUP(Inventory[[#This Row],[Decade]],Lookups!$M$24:$P$40,4,FALSE)</f>
        <v>1.0024</v>
      </c>
      <c r="BJ460" s="30">
        <f>Inventory[[#This Row],[Nbhd Adj]]*0.95</f>
        <v>0.94971499999999998</v>
      </c>
      <c r="BK460" s="30">
        <f>AVERAGE(Inventory[[#This Row],[Nbhd Adj]],Inventory[[#This Row],[Quality Adj]],Inventory[[#This Row],[Condition Adj]],Inventory[[#This Row],[Living Area Adj]],Inventory[[#This Row],[Decade Adj]])*0.95</f>
        <v>0.95036100000000001</v>
      </c>
      <c r="BL460" s="30">
        <f>ROUND((SUM(Inventory[[#This Row],[Mdl Qlty]:[Mdl Garage Area]])+Inventory[[#This Row],[Mdl Res Intercept]])*Inventory[[#This Row],[Res Adj ]],-2)</f>
        <v>325300</v>
      </c>
      <c r="BM460" s="30">
        <f>ROUND(Inventory[[#This Row],[25Det]]*Inventory[[#This Row],[Det/Nbhd Adj]],-2)</f>
        <v>0</v>
      </c>
      <c r="BN460" s="30">
        <f>Inventory[[#This Row],[Adjusted Res]]+Inventory[[#This Row],[Adj Det ]]</f>
        <v>325300</v>
      </c>
      <c r="BO460" s="30">
        <f>ROUND((Inventory[[#This Row],[Mdl Land Intercept]]+Inventory[[#This Row],[Mdl LnAcres]])*Inventory[[#This Row],[Det/Nbhd Adj]],-2)</f>
        <v>61100</v>
      </c>
      <c r="BP460" s="30">
        <f>Inventory[[#This Row],[Adjusted Impr Total]]+Inventory[[#This Row],[Adjusted Land Total]]</f>
        <v>386400</v>
      </c>
      <c r="BQ460" s="30">
        <f>IFERROR((Inventory[[#This Row],[Adjusted Impr Total]]-Inventory[[#This Row],[24Bldg]])/Inventory[[#This Row],[24Bldg]],0)</f>
        <v>-1.1546642357945914E-2</v>
      </c>
      <c r="BR460" s="43">
        <f>(Inventory[[#This Row],[Adjusted Land Total]]-Inventory[[#This Row],[24Lnd]])/Inventory[[#This Row],[24Lnd]]</f>
        <v>4.9342105263157892E-3</v>
      </c>
      <c r="BS460" s="43">
        <f>(Inventory[[#This Row],[Adjusted Total]]-Inventory[[#This Row],[24Final]])/Inventory[[#This Row],[24Final]]</f>
        <v>-8.9766606822262122E-3</v>
      </c>
    </row>
    <row r="461" spans="1:71">
      <c r="A461" s="30">
        <v>2025</v>
      </c>
      <c r="B461" s="31" t="s">
        <v>975</v>
      </c>
      <c r="C461" s="31">
        <f>LN(Inventory[[#This Row],[Acres]])</f>
        <v>-1.8325814637483102</v>
      </c>
      <c r="D461" s="30">
        <v>0.16</v>
      </c>
      <c r="E461" s="30">
        <v>7181</v>
      </c>
      <c r="F461" s="31" t="s">
        <v>505</v>
      </c>
      <c r="G461" s="31" t="s">
        <v>155</v>
      </c>
      <c r="H461" s="31" t="s">
        <v>5</v>
      </c>
      <c r="I461" s="31" t="s">
        <v>506</v>
      </c>
      <c r="J461" s="31" t="s">
        <v>507</v>
      </c>
      <c r="K461" s="31" t="s">
        <v>193</v>
      </c>
      <c r="L461" s="31" t="s">
        <v>21</v>
      </c>
      <c r="M461" s="31" t="s">
        <v>22</v>
      </c>
      <c r="N461" s="31">
        <v>10</v>
      </c>
      <c r="O461" s="31">
        <f>2024-Inventory[[#This Row],[YrBlt]]</f>
        <v>15</v>
      </c>
      <c r="P461" s="31">
        <f>2024-Inventory[[#This Row],[EffYr]]</f>
        <v>15</v>
      </c>
      <c r="Q461" s="30">
        <v>2009</v>
      </c>
      <c r="R461" s="30">
        <v>2009</v>
      </c>
      <c r="S461" s="30">
        <v>2136</v>
      </c>
      <c r="T461" s="32"/>
      <c r="U461" s="32"/>
      <c r="V461" s="32"/>
      <c r="W461" s="32"/>
      <c r="X461" s="32">
        <f>Inventory[[#This Row],[Bsmt Area]]-Inventory[[#This Row],[FnBsmt]]</f>
        <v>0</v>
      </c>
      <c r="Y461" s="32">
        <f>Inventory[[#This Row],[MainFn]]+Inventory[[#This Row],[UpprFn]]+Inventory[[#This Row],[AddFn]]+Inventory[[#This Row],[FnBsmt]]</f>
        <v>2136</v>
      </c>
      <c r="Z461" s="32">
        <v>2500</v>
      </c>
      <c r="AA461" s="31" t="s">
        <v>56</v>
      </c>
      <c r="AB461" s="32"/>
      <c r="AC461" s="30">
        <v>724</v>
      </c>
      <c r="AD461" s="32"/>
      <c r="AE461" s="32"/>
      <c r="AF461" s="32"/>
      <c r="AG461" s="32"/>
      <c r="AH461" s="32"/>
      <c r="AI461" s="30">
        <v>460004</v>
      </c>
      <c r="AJ461" s="30">
        <v>432404</v>
      </c>
      <c r="AK461" s="30">
        <v>0</v>
      </c>
      <c r="AL461" s="30">
        <v>0</v>
      </c>
      <c r="AM461" s="30">
        <v>60800</v>
      </c>
      <c r="AN461" s="30">
        <v>358600</v>
      </c>
      <c r="AO461" s="30">
        <v>419400</v>
      </c>
      <c r="AP461" s="30">
        <f>Lookups!$B$58*0.6</f>
        <v>132535.48800000001</v>
      </c>
      <c r="AQ461" s="30">
        <f>Lookups!$B$58*0.4</f>
        <v>88356.992000000013</v>
      </c>
      <c r="AR461" s="30">
        <f>Lookups!$B$59*Inventory[[#This Row],[LnAcres]]</f>
        <v>-24051.387388882686</v>
      </c>
      <c r="AS461" s="30">
        <f>VLOOKUP(Inventory[[#This Row],[Qlty]],Lookups!$A$66:$E$79,2,FALSE)</f>
        <v>32917.849192000001</v>
      </c>
      <c r="AT461" s="30">
        <f>VLOOKUP(Inventory[[#This Row],[Cnd]],Lookups!$A$80:$E$88,2,FALSE)</f>
        <v>50438.379078999998</v>
      </c>
      <c r="AU461" s="30">
        <f>Inventory[[#This Row],[EffAge]]*Lookups!$B$65</f>
        <v>-1631.1165000000001</v>
      </c>
      <c r="AV461" s="30">
        <f>Inventory[[#This Row],[MainFn]]*Lookups!$B$90</f>
        <v>133308.57167999999</v>
      </c>
      <c r="AW461" s="30">
        <f>Inventory[[#This Row],[UpprFn]]*Lookups!$B$91</f>
        <v>0</v>
      </c>
      <c r="AX461" s="30">
        <f>Inventory[[#This Row],[Bsmt Area]]*Lookups!$B$95</f>
        <v>0</v>
      </c>
      <c r="AY461" s="30">
        <f>Inventory[[#This Row],[AttGar]]*Lookups!$B$93</f>
        <v>25557.946444000001</v>
      </c>
      <c r="AZ461" s="30">
        <f>ROUND(Inventory[[#This Row],[25Det]],-2)</f>
        <v>0</v>
      </c>
      <c r="BA461" s="30">
        <f>ROUND(SUM(Inventory[[#This Row],[Mdl Qlty]:[Mdl Garage Area]])+Inventory[[#This Row],[Mdl Res Intercept]],-2)</f>
        <v>373100</v>
      </c>
      <c r="BB461" s="30">
        <f>ROUND(Inventory[[#This Row],[Mdl Land Intercept]]+Inventory[[#This Row],[Mdl LnAcres]],-2)</f>
        <v>64300</v>
      </c>
      <c r="BC461" s="30">
        <f>Inventory[[#This Row],[Unadj Res Value]]+Inventory[[#This Row],[Unadj Det Value]]+Inventory[[#This Row],[Unadj Land Value]]</f>
        <v>437400</v>
      </c>
      <c r="BD461" s="30">
        <f>(Inventory[[#This Row],[Unadj Total Value]]-Inventory[[#This Row],[24Final]])/Inventory[[#This Row],[24Final]]</f>
        <v>4.2918454935622317E-2</v>
      </c>
      <c r="BE461" s="30">
        <f>VLOOKUP(Inventory[[#This Row],[Nbhd]],Lookups!$M$3:$P$5,4,FALSE)</f>
        <v>0.99970000000000003</v>
      </c>
      <c r="BF461" s="30">
        <f>VLOOKUP(Inventory[[#This Row],[Qlty]],Lookups!$M$8:$P$22,4,FALSE)</f>
        <v>1.0019</v>
      </c>
      <c r="BG461" s="30">
        <f>VLOOKUP(Inventory[[#This Row],[Cnd]],Lookups!$R$8:$U$17,4,FALSE)</f>
        <v>1.0007999999999999</v>
      </c>
      <c r="BH461" s="30">
        <f>VLOOKUP(Inventory[[#This Row],[LivArea Range]],Lookups!$R$25:$U$43,4,FALSE)</f>
        <v>1.0008999999999999</v>
      </c>
      <c r="BI461" s="30">
        <f>VLOOKUP(Inventory[[#This Row],[Decade]],Lookups!$M$24:$P$40,4,FALSE)</f>
        <v>1.0024</v>
      </c>
      <c r="BJ461" s="30">
        <f>Inventory[[#This Row],[Nbhd Adj]]*0.95</f>
        <v>0.94971499999999998</v>
      </c>
      <c r="BK461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461" s="30">
        <f>ROUND((SUM(Inventory[[#This Row],[Mdl Qlty]:[Mdl Garage Area]])+Inventory[[#This Row],[Mdl Res Intercept]])*Inventory[[#This Row],[Res Adj ]],-2)</f>
        <v>354900</v>
      </c>
      <c r="BM461" s="30">
        <f>ROUND(Inventory[[#This Row],[25Det]]*Inventory[[#This Row],[Det/Nbhd Adj]],-2)</f>
        <v>0</v>
      </c>
      <c r="BN461" s="30">
        <f>Inventory[[#This Row],[Adjusted Res]]+Inventory[[#This Row],[Adj Det ]]</f>
        <v>354900</v>
      </c>
      <c r="BO461" s="30">
        <f>ROUND((Inventory[[#This Row],[Mdl Land Intercept]]+Inventory[[#This Row],[Mdl LnAcres]])*Inventory[[#This Row],[Det/Nbhd Adj]],-2)</f>
        <v>61100</v>
      </c>
      <c r="BP461" s="30">
        <f>Inventory[[#This Row],[Adjusted Impr Total]]+Inventory[[#This Row],[Adjusted Land Total]]</f>
        <v>416000</v>
      </c>
      <c r="BQ461" s="30">
        <f>IFERROR((Inventory[[#This Row],[Adjusted Impr Total]]-Inventory[[#This Row],[24Bldg]])/Inventory[[#This Row],[24Bldg]],0)</f>
        <v>-1.0317902955939765E-2</v>
      </c>
      <c r="BR461" s="43">
        <f>(Inventory[[#This Row],[Adjusted Land Total]]-Inventory[[#This Row],[24Lnd]])/Inventory[[#This Row],[24Lnd]]</f>
        <v>4.9342105263157892E-3</v>
      </c>
      <c r="BS461" s="43">
        <f>(Inventory[[#This Row],[Adjusted Total]]-Inventory[[#This Row],[24Final]])/Inventory[[#This Row],[24Final]]</f>
        <v>-8.1068192656175483E-3</v>
      </c>
    </row>
    <row r="462" spans="1:71">
      <c r="A462" s="30">
        <v>2025</v>
      </c>
      <c r="B462" s="31" t="s">
        <v>976</v>
      </c>
      <c r="C462" s="31">
        <f>LN(Inventory[[#This Row],[Acres]])</f>
        <v>-1.7719568419318752</v>
      </c>
      <c r="D462" s="30">
        <v>0.17</v>
      </c>
      <c r="E462" s="30">
        <v>7622</v>
      </c>
      <c r="F462" s="31" t="s">
        <v>505</v>
      </c>
      <c r="G462" s="31" t="s">
        <v>155</v>
      </c>
      <c r="H462" s="31" t="s">
        <v>5</v>
      </c>
      <c r="I462" s="31" t="s">
        <v>506</v>
      </c>
      <c r="J462" s="31" t="s">
        <v>507</v>
      </c>
      <c r="K462" s="31" t="s">
        <v>157</v>
      </c>
      <c r="L462" s="31" t="s">
        <v>21</v>
      </c>
      <c r="M462" s="31" t="s">
        <v>22</v>
      </c>
      <c r="N462" s="31">
        <v>10</v>
      </c>
      <c r="O462" s="31">
        <f>2024-Inventory[[#This Row],[YrBlt]]</f>
        <v>15</v>
      </c>
      <c r="P462" s="31">
        <f>2024-Inventory[[#This Row],[EffYr]]</f>
        <v>15</v>
      </c>
      <c r="Q462" s="30">
        <v>2009</v>
      </c>
      <c r="R462" s="30">
        <v>2009</v>
      </c>
      <c r="S462" s="30">
        <v>1116</v>
      </c>
      <c r="T462" s="30">
        <v>1116</v>
      </c>
      <c r="U462" s="32"/>
      <c r="V462" s="32"/>
      <c r="W462" s="32"/>
      <c r="X462" s="32">
        <f>Inventory[[#This Row],[Bsmt Area]]-Inventory[[#This Row],[FnBsmt]]</f>
        <v>0</v>
      </c>
      <c r="Y462" s="32">
        <f>Inventory[[#This Row],[MainFn]]+Inventory[[#This Row],[UpprFn]]+Inventory[[#This Row],[AddFn]]+Inventory[[#This Row],[FnBsmt]]</f>
        <v>2232</v>
      </c>
      <c r="Z462" s="32">
        <v>2500</v>
      </c>
      <c r="AA462" s="31" t="s">
        <v>57</v>
      </c>
      <c r="AB462" s="30">
        <v>1</v>
      </c>
      <c r="AC462" s="38">
        <v>440</v>
      </c>
      <c r="AD462" s="37"/>
      <c r="AE462" s="32"/>
      <c r="AF462" s="32"/>
      <c r="AG462" s="32"/>
      <c r="AH462" s="32"/>
      <c r="AI462" s="30">
        <v>476133</v>
      </c>
      <c r="AJ462" s="30">
        <v>447565</v>
      </c>
      <c r="AK462" s="30">
        <v>0</v>
      </c>
      <c r="AL462" s="30">
        <v>0</v>
      </c>
      <c r="AM462" s="30">
        <v>61700</v>
      </c>
      <c r="AN462" s="30">
        <v>376600</v>
      </c>
      <c r="AO462" s="30">
        <v>438300</v>
      </c>
      <c r="AP462" s="30">
        <f>Lookups!$B$58*0.6</f>
        <v>132535.48800000001</v>
      </c>
      <c r="AQ462" s="30">
        <f>Lookups!$B$58*0.4</f>
        <v>88356.992000000013</v>
      </c>
      <c r="AR462" s="30">
        <f>Lookups!$B$59*Inventory[[#This Row],[LnAcres]]</f>
        <v>-23255.730391660189</v>
      </c>
      <c r="AS462" s="30">
        <f>VLOOKUP(Inventory[[#This Row],[Qlty]],Lookups!$A$66:$E$79,2,FALSE)</f>
        <v>32917.849192000001</v>
      </c>
      <c r="AT462" s="30">
        <f>VLOOKUP(Inventory[[#This Row],[Cnd]],Lookups!$A$80:$E$88,2,FALSE)</f>
        <v>50438.379078999998</v>
      </c>
      <c r="AU462" s="30">
        <f>Inventory[[#This Row],[EffAge]]*Lookups!$B$65</f>
        <v>-1631.1165000000001</v>
      </c>
      <c r="AV462" s="30">
        <f>Inventory[[#This Row],[MainFn]]*Lookups!$B$90</f>
        <v>69649.984080000009</v>
      </c>
      <c r="AW462" s="30">
        <f>Inventory[[#This Row],[UpprFn]]*Lookups!$B$91</f>
        <v>66491.707427999994</v>
      </c>
      <c r="AX462" s="30">
        <f>Inventory[[#This Row],[Bsmt Area]]*Lookups!$B$95</f>
        <v>0</v>
      </c>
      <c r="AY462" s="30">
        <f>Inventory[[#This Row],[AttGar]]*Lookups!$B$93</f>
        <v>15532.453640000002</v>
      </c>
      <c r="AZ462" s="30">
        <f>ROUND(Inventory[[#This Row],[25Det]],-2)</f>
        <v>0</v>
      </c>
      <c r="BA462" s="30">
        <f>ROUND(SUM(Inventory[[#This Row],[Mdl Qlty]:[Mdl Garage Area]])+Inventory[[#This Row],[Mdl Res Intercept]],-2)</f>
        <v>365900</v>
      </c>
      <c r="BB462" s="30">
        <f>ROUND(Inventory[[#This Row],[Mdl Land Intercept]]+Inventory[[#This Row],[Mdl LnAcres]],-2)</f>
        <v>65100</v>
      </c>
      <c r="BC462" s="30">
        <f>Inventory[[#This Row],[Unadj Res Value]]+Inventory[[#This Row],[Unadj Det Value]]+Inventory[[#This Row],[Unadj Land Value]]</f>
        <v>431000</v>
      </c>
      <c r="BD462" s="30">
        <f>(Inventory[[#This Row],[Unadj Total Value]]-Inventory[[#This Row],[24Final]])/Inventory[[#This Row],[24Final]]</f>
        <v>-1.6655258955053615E-2</v>
      </c>
      <c r="BE462" s="30">
        <f>VLOOKUP(Inventory[[#This Row],[Nbhd]],Lookups!$M$3:$P$5,4,FALSE)</f>
        <v>0.99970000000000003</v>
      </c>
      <c r="BF462" s="30">
        <f>VLOOKUP(Inventory[[#This Row],[Qlty]],Lookups!$M$8:$P$22,4,FALSE)</f>
        <v>1.0019</v>
      </c>
      <c r="BG462" s="30">
        <f>VLOOKUP(Inventory[[#This Row],[Cnd]],Lookups!$R$8:$U$17,4,FALSE)</f>
        <v>1.0007999999999999</v>
      </c>
      <c r="BH462" s="30">
        <f>VLOOKUP(Inventory[[#This Row],[LivArea Range]],Lookups!$R$25:$U$43,4,FALSE)</f>
        <v>1.0008999999999999</v>
      </c>
      <c r="BI462" s="30">
        <f>VLOOKUP(Inventory[[#This Row],[Decade]],Lookups!$M$24:$P$40,4,FALSE)</f>
        <v>1.0024</v>
      </c>
      <c r="BJ462" s="30">
        <f>Inventory[[#This Row],[Nbhd Adj]]*0.95</f>
        <v>0.94971499999999998</v>
      </c>
      <c r="BK462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462" s="30">
        <f>ROUND((SUM(Inventory[[#This Row],[Mdl Qlty]:[Mdl Garage Area]])+Inventory[[#This Row],[Mdl Res Intercept]])*Inventory[[#This Row],[Res Adj ]],-2)</f>
        <v>348000</v>
      </c>
      <c r="BM462" s="30">
        <f>ROUND(Inventory[[#This Row],[25Det]]*Inventory[[#This Row],[Det/Nbhd Adj]],-2)</f>
        <v>0</v>
      </c>
      <c r="BN462" s="30">
        <f>Inventory[[#This Row],[Adjusted Res]]+Inventory[[#This Row],[Adj Det ]]</f>
        <v>348000</v>
      </c>
      <c r="BO462" s="30">
        <f>ROUND((Inventory[[#This Row],[Mdl Land Intercept]]+Inventory[[#This Row],[Mdl LnAcres]])*Inventory[[#This Row],[Det/Nbhd Adj]],-2)</f>
        <v>61800</v>
      </c>
      <c r="BP462" s="30">
        <f>Inventory[[#This Row],[Adjusted Impr Total]]+Inventory[[#This Row],[Adjusted Land Total]]</f>
        <v>409800</v>
      </c>
      <c r="BQ462" s="30">
        <f>IFERROR((Inventory[[#This Row],[Adjusted Impr Total]]-Inventory[[#This Row],[24Bldg]])/Inventory[[#This Row],[24Bldg]],0)</f>
        <v>-7.5942644715878915E-2</v>
      </c>
      <c r="BR462" s="43">
        <f>(Inventory[[#This Row],[Adjusted Land Total]]-Inventory[[#This Row],[24Lnd]])/Inventory[[#This Row],[24Lnd]]</f>
        <v>1.6207455429497568E-3</v>
      </c>
      <c r="BS462" s="43">
        <f>(Inventory[[#This Row],[Adjusted Total]]-Inventory[[#This Row],[24Final]])/Inventory[[#This Row],[24Final]]</f>
        <v>-6.5023956194387403E-2</v>
      </c>
    </row>
    <row r="463" spans="1:71">
      <c r="A463" s="30">
        <v>2025</v>
      </c>
      <c r="B463" s="31" t="s">
        <v>977</v>
      </c>
      <c r="C463" s="31">
        <f>LN(Inventory[[#This Row],[Acres]])</f>
        <v>-1.7719568419318752</v>
      </c>
      <c r="D463" s="30">
        <v>0.17</v>
      </c>
      <c r="E463" s="30">
        <v>7191</v>
      </c>
      <c r="F463" s="31" t="s">
        <v>505</v>
      </c>
      <c r="G463" s="31" t="s">
        <v>155</v>
      </c>
      <c r="H463" s="31" t="s">
        <v>5</v>
      </c>
      <c r="I463" s="31" t="s">
        <v>506</v>
      </c>
      <c r="J463" s="31" t="s">
        <v>507</v>
      </c>
      <c r="K463" s="31" t="s">
        <v>193</v>
      </c>
      <c r="L463" s="31" t="s">
        <v>21</v>
      </c>
      <c r="M463" s="31" t="s">
        <v>22</v>
      </c>
      <c r="N463" s="31">
        <v>10</v>
      </c>
      <c r="O463" s="31">
        <f>2024-Inventory[[#This Row],[YrBlt]]</f>
        <v>15</v>
      </c>
      <c r="P463" s="31">
        <f>2024-Inventory[[#This Row],[EffYr]]</f>
        <v>15</v>
      </c>
      <c r="Q463" s="30">
        <v>2009</v>
      </c>
      <c r="R463" s="30">
        <v>2009</v>
      </c>
      <c r="S463" s="30">
        <v>1737</v>
      </c>
      <c r="T463" s="32"/>
      <c r="U463" s="32"/>
      <c r="V463" s="32"/>
      <c r="W463" s="32"/>
      <c r="X463" s="32">
        <f>Inventory[[#This Row],[Bsmt Area]]-Inventory[[#This Row],[FnBsmt]]</f>
        <v>0</v>
      </c>
      <c r="Y463" s="32">
        <f>Inventory[[#This Row],[MainFn]]+Inventory[[#This Row],[UpprFn]]+Inventory[[#This Row],[AddFn]]+Inventory[[#This Row],[FnBsmt]]</f>
        <v>1737</v>
      </c>
      <c r="Z463" s="32">
        <v>2000</v>
      </c>
      <c r="AA463" s="31" t="s">
        <v>57</v>
      </c>
      <c r="AB463" s="38">
        <v>1</v>
      </c>
      <c r="AC463" s="30">
        <v>435</v>
      </c>
      <c r="AD463" s="32"/>
      <c r="AE463" s="32"/>
      <c r="AF463" s="32"/>
      <c r="AG463" s="32"/>
      <c r="AH463" s="32"/>
      <c r="AI463" s="30">
        <v>388905</v>
      </c>
      <c r="AJ463" s="30">
        <v>365571</v>
      </c>
      <c r="AK463" s="30">
        <v>0</v>
      </c>
      <c r="AL463" s="30">
        <v>0</v>
      </c>
      <c r="AM463" s="30">
        <v>61700</v>
      </c>
      <c r="AN463" s="30">
        <v>324800</v>
      </c>
      <c r="AO463" s="30">
        <v>386500</v>
      </c>
      <c r="AP463" s="30">
        <f>Lookups!$B$58*0.6</f>
        <v>132535.48800000001</v>
      </c>
      <c r="AQ463" s="30">
        <f>Lookups!$B$58*0.4</f>
        <v>88356.992000000013</v>
      </c>
      <c r="AR463" s="30">
        <f>Lookups!$B$59*Inventory[[#This Row],[LnAcres]]</f>
        <v>-23255.730391660189</v>
      </c>
      <c r="AS463" s="30">
        <f>VLOOKUP(Inventory[[#This Row],[Qlty]],Lookups!$A$66:$E$79,2,FALSE)</f>
        <v>32917.849192000001</v>
      </c>
      <c r="AT463" s="30">
        <f>VLOOKUP(Inventory[[#This Row],[Cnd]],Lookups!$A$80:$E$88,2,FALSE)</f>
        <v>50438.379078999998</v>
      </c>
      <c r="AU463" s="30">
        <f>Inventory[[#This Row],[EffAge]]*Lookups!$B$65</f>
        <v>-1631.1165000000001</v>
      </c>
      <c r="AV463" s="30">
        <f>Inventory[[#This Row],[MainFn]]*Lookups!$B$90</f>
        <v>108406.83006000001</v>
      </c>
      <c r="AW463" s="30">
        <f>Inventory[[#This Row],[UpprFn]]*Lookups!$B$91</f>
        <v>0</v>
      </c>
      <c r="AX463" s="30">
        <f>Inventory[[#This Row],[Bsmt Area]]*Lookups!$B$95</f>
        <v>0</v>
      </c>
      <c r="AY463" s="30">
        <f>Inventory[[#This Row],[AttGar]]*Lookups!$B$93</f>
        <v>15355.948485000001</v>
      </c>
      <c r="AZ463" s="30">
        <f>ROUND(Inventory[[#This Row],[25Det]],-2)</f>
        <v>0</v>
      </c>
      <c r="BA463" s="30">
        <f>ROUND(SUM(Inventory[[#This Row],[Mdl Qlty]:[Mdl Garage Area]])+Inventory[[#This Row],[Mdl Res Intercept]],-2)</f>
        <v>338000</v>
      </c>
      <c r="BB463" s="30">
        <f>ROUND(Inventory[[#This Row],[Mdl Land Intercept]]+Inventory[[#This Row],[Mdl LnAcres]],-2)</f>
        <v>65100</v>
      </c>
      <c r="BC463" s="30">
        <f>Inventory[[#This Row],[Unadj Res Value]]+Inventory[[#This Row],[Unadj Det Value]]+Inventory[[#This Row],[Unadj Land Value]]</f>
        <v>403100</v>
      </c>
      <c r="BD463" s="30">
        <f>(Inventory[[#This Row],[Unadj Total Value]]-Inventory[[#This Row],[24Final]])/Inventory[[#This Row],[24Final]]</f>
        <v>4.2949547218628717E-2</v>
      </c>
      <c r="BE463" s="30">
        <f>VLOOKUP(Inventory[[#This Row],[Nbhd]],Lookups!$M$3:$P$5,4,FALSE)</f>
        <v>0.99970000000000003</v>
      </c>
      <c r="BF463" s="30">
        <f>VLOOKUP(Inventory[[#This Row],[Qlty]],Lookups!$M$8:$P$22,4,FALSE)</f>
        <v>1.0019</v>
      </c>
      <c r="BG463" s="30">
        <f>VLOOKUP(Inventory[[#This Row],[Cnd]],Lookups!$R$8:$U$17,4,FALSE)</f>
        <v>1.0007999999999999</v>
      </c>
      <c r="BH463" s="30">
        <f>VLOOKUP(Inventory[[#This Row],[LivArea Range]],Lookups!$R$25:$U$43,4,FALSE)</f>
        <v>1.0007999999999999</v>
      </c>
      <c r="BI463" s="30">
        <f>VLOOKUP(Inventory[[#This Row],[Decade]],Lookups!$M$24:$P$40,4,FALSE)</f>
        <v>1.0024</v>
      </c>
      <c r="BJ463" s="30">
        <f>Inventory[[#This Row],[Nbhd Adj]]*0.95</f>
        <v>0.94971499999999998</v>
      </c>
      <c r="BK463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463" s="30">
        <f>ROUND((SUM(Inventory[[#This Row],[Mdl Qlty]:[Mdl Garage Area]])+Inventory[[#This Row],[Mdl Res Intercept]])*Inventory[[#This Row],[Res Adj ]],-2)</f>
        <v>321500</v>
      </c>
      <c r="BM463" s="30">
        <f>ROUND(Inventory[[#This Row],[25Det]]*Inventory[[#This Row],[Det/Nbhd Adj]],-2)</f>
        <v>0</v>
      </c>
      <c r="BN463" s="30">
        <f>Inventory[[#This Row],[Adjusted Res]]+Inventory[[#This Row],[Adj Det ]]</f>
        <v>321500</v>
      </c>
      <c r="BO463" s="30">
        <f>ROUND((Inventory[[#This Row],[Mdl Land Intercept]]+Inventory[[#This Row],[Mdl LnAcres]])*Inventory[[#This Row],[Det/Nbhd Adj]],-2)</f>
        <v>61800</v>
      </c>
      <c r="BP463" s="30">
        <f>Inventory[[#This Row],[Adjusted Impr Total]]+Inventory[[#This Row],[Adjusted Land Total]]</f>
        <v>383300</v>
      </c>
      <c r="BQ463" s="30">
        <f>IFERROR((Inventory[[#This Row],[Adjusted Impr Total]]-Inventory[[#This Row],[24Bldg]])/Inventory[[#This Row],[24Bldg]],0)</f>
        <v>-1.0160098522167487E-2</v>
      </c>
      <c r="BR463" s="43">
        <f>(Inventory[[#This Row],[Adjusted Land Total]]-Inventory[[#This Row],[24Lnd]])/Inventory[[#This Row],[24Lnd]]</f>
        <v>1.6207455429497568E-3</v>
      </c>
      <c r="BS463" s="43">
        <f>(Inventory[[#This Row],[Adjusted Total]]-Inventory[[#This Row],[24Final]])/Inventory[[#This Row],[24Final]]</f>
        <v>-8.2794307891332474E-3</v>
      </c>
    </row>
    <row r="464" spans="1:71">
      <c r="A464" s="30">
        <v>2025</v>
      </c>
      <c r="B464" s="31" t="s">
        <v>978</v>
      </c>
      <c r="C464" s="31">
        <f>LN(Inventory[[#This Row],[Acres]])</f>
        <v>-1.7719568419318752</v>
      </c>
      <c r="D464" s="30">
        <v>0.17</v>
      </c>
      <c r="E464" s="30">
        <v>7606</v>
      </c>
      <c r="F464" s="31" t="s">
        <v>505</v>
      </c>
      <c r="G464" s="31" t="s">
        <v>155</v>
      </c>
      <c r="H464" s="31" t="s">
        <v>5</v>
      </c>
      <c r="I464" s="31" t="s">
        <v>506</v>
      </c>
      <c r="J464" s="31" t="s">
        <v>507</v>
      </c>
      <c r="K464" s="31" t="s">
        <v>157</v>
      </c>
      <c r="L464" s="31" t="s">
        <v>21</v>
      </c>
      <c r="M464" s="31" t="s">
        <v>20</v>
      </c>
      <c r="N464" s="31">
        <v>10</v>
      </c>
      <c r="O464" s="31">
        <f>2024-Inventory[[#This Row],[YrBlt]]</f>
        <v>15</v>
      </c>
      <c r="P464" s="31">
        <f>2024-Inventory[[#This Row],[EffYr]]</f>
        <v>15</v>
      </c>
      <c r="Q464" s="30">
        <v>2009</v>
      </c>
      <c r="R464" s="30">
        <v>2009</v>
      </c>
      <c r="S464" s="30">
        <v>1116</v>
      </c>
      <c r="T464" s="30">
        <v>1116</v>
      </c>
      <c r="U464" s="32"/>
      <c r="V464" s="32"/>
      <c r="W464" s="32"/>
      <c r="X464" s="32">
        <f>Inventory[[#This Row],[Bsmt Area]]-Inventory[[#This Row],[FnBsmt]]</f>
        <v>0</v>
      </c>
      <c r="Y464" s="32">
        <f>Inventory[[#This Row],[MainFn]]+Inventory[[#This Row],[UpprFn]]+Inventory[[#This Row],[AddFn]]+Inventory[[#This Row],[FnBsmt]]</f>
        <v>2232</v>
      </c>
      <c r="Z464" s="32">
        <v>2500</v>
      </c>
      <c r="AA464" s="31" t="s">
        <v>56</v>
      </c>
      <c r="AB464" s="37"/>
      <c r="AC464" s="30">
        <v>440</v>
      </c>
      <c r="AD464" s="32"/>
      <c r="AE464" s="32"/>
      <c r="AF464" s="32"/>
      <c r="AG464" s="32"/>
      <c r="AH464" s="32"/>
      <c r="AI464" s="30">
        <v>465392</v>
      </c>
      <c r="AJ464" s="30">
        <v>432815</v>
      </c>
      <c r="AK464" s="30">
        <v>0</v>
      </c>
      <c r="AL464" s="30">
        <v>0</v>
      </c>
      <c r="AM464" s="30">
        <v>61700</v>
      </c>
      <c r="AN464" s="30">
        <v>379000</v>
      </c>
      <c r="AO464" s="30">
        <v>440700</v>
      </c>
      <c r="AP464" s="30">
        <f>Lookups!$B$58*0.6</f>
        <v>132535.48800000001</v>
      </c>
      <c r="AQ464" s="30">
        <f>Lookups!$B$58*0.4</f>
        <v>88356.992000000013</v>
      </c>
      <c r="AR464" s="30">
        <f>Lookups!$B$59*Inventory[[#This Row],[LnAcres]]</f>
        <v>-23255.730391660189</v>
      </c>
      <c r="AS464" s="30">
        <f>VLOOKUP(Inventory[[#This Row],[Qlty]],Lookups!$A$66:$E$79,2,FALSE)</f>
        <v>32917.849192000001</v>
      </c>
      <c r="AT464" s="30">
        <f>VLOOKUP(Inventory[[#This Row],[Cnd]],Lookups!$A$80:$E$88,2,FALSE)</f>
        <v>30300.329274</v>
      </c>
      <c r="AU464" s="30">
        <f>Inventory[[#This Row],[EffAge]]*Lookups!$B$65</f>
        <v>-1631.1165000000001</v>
      </c>
      <c r="AV464" s="30">
        <f>Inventory[[#This Row],[MainFn]]*Lookups!$B$90</f>
        <v>69649.984080000009</v>
      </c>
      <c r="AW464" s="30">
        <f>Inventory[[#This Row],[UpprFn]]*Lookups!$B$91</f>
        <v>66491.707427999994</v>
      </c>
      <c r="AX464" s="30">
        <f>Inventory[[#This Row],[Bsmt Area]]*Lookups!$B$95</f>
        <v>0</v>
      </c>
      <c r="AY464" s="30">
        <f>Inventory[[#This Row],[AttGar]]*Lookups!$B$93</f>
        <v>15532.453640000002</v>
      </c>
      <c r="AZ464" s="30">
        <f>ROUND(Inventory[[#This Row],[25Det]],-2)</f>
        <v>0</v>
      </c>
      <c r="BA464" s="30">
        <f>ROUND(SUM(Inventory[[#This Row],[Mdl Qlty]:[Mdl Garage Area]])+Inventory[[#This Row],[Mdl Res Intercept]],-2)</f>
        <v>345800</v>
      </c>
      <c r="BB464" s="30">
        <f>ROUND(Inventory[[#This Row],[Mdl Land Intercept]]+Inventory[[#This Row],[Mdl LnAcres]],-2)</f>
        <v>65100</v>
      </c>
      <c r="BC464" s="30">
        <f>Inventory[[#This Row],[Unadj Res Value]]+Inventory[[#This Row],[Unadj Det Value]]+Inventory[[#This Row],[Unadj Land Value]]</f>
        <v>410900</v>
      </c>
      <c r="BD464" s="30">
        <f>(Inventory[[#This Row],[Unadj Total Value]]-Inventory[[#This Row],[24Final]])/Inventory[[#This Row],[24Final]]</f>
        <v>-6.7619695938280003E-2</v>
      </c>
      <c r="BE464" s="30">
        <f>VLOOKUP(Inventory[[#This Row],[Nbhd]],Lookups!$M$3:$P$5,4,FALSE)</f>
        <v>0.99970000000000003</v>
      </c>
      <c r="BF464" s="30">
        <f>VLOOKUP(Inventory[[#This Row],[Qlty]],Lookups!$M$8:$P$22,4,FALSE)</f>
        <v>1.0019</v>
      </c>
      <c r="BG464" s="30">
        <f>VLOOKUP(Inventory[[#This Row],[Cnd]],Lookups!$R$8:$U$17,4,FALSE)</f>
        <v>0.997</v>
      </c>
      <c r="BH464" s="30">
        <f>VLOOKUP(Inventory[[#This Row],[LivArea Range]],Lookups!$R$25:$U$43,4,FALSE)</f>
        <v>1.0008999999999999</v>
      </c>
      <c r="BI464" s="30">
        <f>VLOOKUP(Inventory[[#This Row],[Decade]],Lookups!$M$24:$P$40,4,FALSE)</f>
        <v>1.0024</v>
      </c>
      <c r="BJ464" s="30">
        <f>Inventory[[#This Row],[Nbhd Adj]]*0.95</f>
        <v>0.94971499999999998</v>
      </c>
      <c r="BK464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464" s="30">
        <f>ROUND((SUM(Inventory[[#This Row],[Mdl Qlty]:[Mdl Garage Area]])+Inventory[[#This Row],[Mdl Res Intercept]])*Inventory[[#This Row],[Res Adj ]],-2)</f>
        <v>328600</v>
      </c>
      <c r="BM464" s="30">
        <f>ROUND(Inventory[[#This Row],[25Det]]*Inventory[[#This Row],[Det/Nbhd Adj]],-2)</f>
        <v>0</v>
      </c>
      <c r="BN464" s="30">
        <f>Inventory[[#This Row],[Adjusted Res]]+Inventory[[#This Row],[Adj Det ]]</f>
        <v>328600</v>
      </c>
      <c r="BO464" s="30">
        <f>ROUND((Inventory[[#This Row],[Mdl Land Intercept]]+Inventory[[#This Row],[Mdl LnAcres]])*Inventory[[#This Row],[Det/Nbhd Adj]],-2)</f>
        <v>61800</v>
      </c>
      <c r="BP464" s="30">
        <f>Inventory[[#This Row],[Adjusted Impr Total]]+Inventory[[#This Row],[Adjusted Land Total]]</f>
        <v>390400</v>
      </c>
      <c r="BQ464" s="30">
        <f>IFERROR((Inventory[[#This Row],[Adjusted Impr Total]]-Inventory[[#This Row],[24Bldg]])/Inventory[[#This Row],[24Bldg]],0)</f>
        <v>-0.13298153034300791</v>
      </c>
      <c r="BR464" s="43">
        <f>(Inventory[[#This Row],[Adjusted Land Total]]-Inventory[[#This Row],[24Lnd]])/Inventory[[#This Row],[24Lnd]]</f>
        <v>1.6207455429497568E-3</v>
      </c>
      <c r="BS464" s="43">
        <f>(Inventory[[#This Row],[Adjusted Total]]-Inventory[[#This Row],[24Final]])/Inventory[[#This Row],[24Final]]</f>
        <v>-0.11413660086226458</v>
      </c>
    </row>
    <row r="465" spans="1:71">
      <c r="A465" s="30">
        <v>2025</v>
      </c>
      <c r="B465" s="31" t="s">
        <v>979</v>
      </c>
      <c r="C465" s="31">
        <f>LN(Inventory[[#This Row],[Acres]])</f>
        <v>-1.7719568419318752</v>
      </c>
      <c r="D465" s="30">
        <v>0.17</v>
      </c>
      <c r="E465" s="30">
        <v>7365</v>
      </c>
      <c r="F465" s="31" t="s">
        <v>505</v>
      </c>
      <c r="G465" s="31" t="s">
        <v>155</v>
      </c>
      <c r="H465" s="31" t="s">
        <v>5</v>
      </c>
      <c r="I465" s="31" t="s">
        <v>506</v>
      </c>
      <c r="J465" s="31" t="s">
        <v>507</v>
      </c>
      <c r="K465" s="31" t="s">
        <v>157</v>
      </c>
      <c r="L465" s="31" t="s">
        <v>21</v>
      </c>
      <c r="M465" s="31" t="s">
        <v>20</v>
      </c>
      <c r="N465" s="31">
        <v>10</v>
      </c>
      <c r="O465" s="31">
        <f>2024-Inventory[[#This Row],[YrBlt]]</f>
        <v>15</v>
      </c>
      <c r="P465" s="31">
        <f>2024-Inventory[[#This Row],[EffYr]]</f>
        <v>15</v>
      </c>
      <c r="Q465" s="30">
        <v>2009</v>
      </c>
      <c r="R465" s="30">
        <v>2009</v>
      </c>
      <c r="S465" s="30">
        <v>1158</v>
      </c>
      <c r="T465" s="30">
        <v>1322</v>
      </c>
      <c r="U465" s="32"/>
      <c r="V465" s="32"/>
      <c r="W465" s="32"/>
      <c r="X465" s="32">
        <f>Inventory[[#This Row],[Bsmt Area]]-Inventory[[#This Row],[FnBsmt]]</f>
        <v>0</v>
      </c>
      <c r="Y465" s="32">
        <f>Inventory[[#This Row],[MainFn]]+Inventory[[#This Row],[UpprFn]]+Inventory[[#This Row],[AddFn]]+Inventory[[#This Row],[FnBsmt]]</f>
        <v>2480</v>
      </c>
      <c r="Z465" s="32">
        <v>2500</v>
      </c>
      <c r="AA465" s="31" t="s">
        <v>56</v>
      </c>
      <c r="AB465" s="38">
        <v>1</v>
      </c>
      <c r="AC465" s="37"/>
      <c r="AD465" s="38">
        <v>502</v>
      </c>
      <c r="AE465" s="32"/>
      <c r="AF465" s="32"/>
      <c r="AG465" s="32"/>
      <c r="AH465" s="32"/>
      <c r="AI465" s="30">
        <v>482351</v>
      </c>
      <c r="AJ465" s="30">
        <v>448586</v>
      </c>
      <c r="AK465" s="30">
        <v>0</v>
      </c>
      <c r="AL465" s="30">
        <v>0</v>
      </c>
      <c r="AM465" s="30">
        <v>61700</v>
      </c>
      <c r="AN465" s="30">
        <v>354800</v>
      </c>
      <c r="AO465" s="30">
        <v>416500</v>
      </c>
      <c r="AP465" s="30">
        <f>Lookups!$B$58*0.6</f>
        <v>132535.48800000001</v>
      </c>
      <c r="AQ465" s="30">
        <f>Lookups!$B$58*0.4</f>
        <v>88356.992000000013</v>
      </c>
      <c r="AR465" s="30">
        <f>Lookups!$B$59*Inventory[[#This Row],[LnAcres]]</f>
        <v>-23255.730391660189</v>
      </c>
      <c r="AS465" s="30">
        <f>VLOOKUP(Inventory[[#This Row],[Qlty]],Lookups!$A$66:$E$79,2,FALSE)</f>
        <v>32917.849192000001</v>
      </c>
      <c r="AT465" s="30">
        <f>VLOOKUP(Inventory[[#This Row],[Cnd]],Lookups!$A$80:$E$88,2,FALSE)</f>
        <v>30300.329274</v>
      </c>
      <c r="AU465" s="30">
        <f>Inventory[[#This Row],[EffAge]]*Lookups!$B$65</f>
        <v>-1631.1165000000001</v>
      </c>
      <c r="AV465" s="30">
        <f>Inventory[[#This Row],[MainFn]]*Lookups!$B$90</f>
        <v>72271.22004</v>
      </c>
      <c r="AW465" s="30">
        <f>Inventory[[#This Row],[UpprFn]]*Lookups!$B$91</f>
        <v>78765.266325999997</v>
      </c>
      <c r="AX465" s="30">
        <f>Inventory[[#This Row],[Bsmt Area]]*Lookups!$B$95</f>
        <v>0</v>
      </c>
      <c r="AY465" s="30">
        <f>Inventory[[#This Row],[AttGar]]*Lookups!$B$93</f>
        <v>0</v>
      </c>
      <c r="AZ465" s="30">
        <f>ROUND(Inventory[[#This Row],[25Det]],-2)</f>
        <v>0</v>
      </c>
      <c r="BA465" s="30">
        <f>ROUND(SUM(Inventory[[#This Row],[Mdl Qlty]:[Mdl Garage Area]])+Inventory[[#This Row],[Mdl Res Intercept]],-2)</f>
        <v>345200</v>
      </c>
      <c r="BB465" s="30">
        <f>ROUND(Inventory[[#This Row],[Mdl Land Intercept]]+Inventory[[#This Row],[Mdl LnAcres]],-2)</f>
        <v>65100</v>
      </c>
      <c r="BC465" s="30">
        <f>Inventory[[#This Row],[Unadj Res Value]]+Inventory[[#This Row],[Unadj Det Value]]+Inventory[[#This Row],[Unadj Land Value]]</f>
        <v>410300</v>
      </c>
      <c r="BD465" s="30">
        <f>(Inventory[[#This Row],[Unadj Total Value]]-Inventory[[#This Row],[24Final]])/Inventory[[#This Row],[24Final]]</f>
        <v>-1.48859543817527E-2</v>
      </c>
      <c r="BE465" s="30">
        <f>VLOOKUP(Inventory[[#This Row],[Nbhd]],Lookups!$M$3:$P$5,4,FALSE)</f>
        <v>0.99970000000000003</v>
      </c>
      <c r="BF465" s="30">
        <f>VLOOKUP(Inventory[[#This Row],[Qlty]],Lookups!$M$8:$P$22,4,FALSE)</f>
        <v>1.0019</v>
      </c>
      <c r="BG465" s="30">
        <f>VLOOKUP(Inventory[[#This Row],[Cnd]],Lookups!$R$8:$U$17,4,FALSE)</f>
        <v>0.997</v>
      </c>
      <c r="BH465" s="30">
        <f>VLOOKUP(Inventory[[#This Row],[LivArea Range]],Lookups!$R$25:$U$43,4,FALSE)</f>
        <v>1.0008999999999999</v>
      </c>
      <c r="BI465" s="30">
        <f>VLOOKUP(Inventory[[#This Row],[Decade]],Lookups!$M$24:$P$40,4,FALSE)</f>
        <v>1.0024</v>
      </c>
      <c r="BJ465" s="30">
        <f>Inventory[[#This Row],[Nbhd Adj]]*0.95</f>
        <v>0.94971499999999998</v>
      </c>
      <c r="BK465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465" s="30">
        <f>ROUND((SUM(Inventory[[#This Row],[Mdl Qlty]:[Mdl Garage Area]])+Inventory[[#This Row],[Mdl Res Intercept]])*Inventory[[#This Row],[Res Adj ]],-2)</f>
        <v>328000</v>
      </c>
      <c r="BM465" s="30">
        <f>ROUND(Inventory[[#This Row],[25Det]]*Inventory[[#This Row],[Det/Nbhd Adj]],-2)</f>
        <v>0</v>
      </c>
      <c r="BN465" s="30">
        <f>Inventory[[#This Row],[Adjusted Res]]+Inventory[[#This Row],[Adj Det ]]</f>
        <v>328000</v>
      </c>
      <c r="BO465" s="30">
        <f>ROUND((Inventory[[#This Row],[Mdl Land Intercept]]+Inventory[[#This Row],[Mdl LnAcres]])*Inventory[[#This Row],[Det/Nbhd Adj]],-2)</f>
        <v>61800</v>
      </c>
      <c r="BP465" s="30">
        <f>Inventory[[#This Row],[Adjusted Impr Total]]+Inventory[[#This Row],[Adjusted Land Total]]</f>
        <v>389800</v>
      </c>
      <c r="BQ465" s="30">
        <f>IFERROR((Inventory[[#This Row],[Adjusted Impr Total]]-Inventory[[#This Row],[24Bldg]])/Inventory[[#This Row],[24Bldg]],0)</f>
        <v>-7.5535512965050733E-2</v>
      </c>
      <c r="BR465" s="43">
        <f>(Inventory[[#This Row],[Adjusted Land Total]]-Inventory[[#This Row],[24Lnd]])/Inventory[[#This Row],[24Lnd]]</f>
        <v>1.6207455429497568E-3</v>
      </c>
      <c r="BS465" s="43">
        <f>(Inventory[[#This Row],[Adjusted Total]]-Inventory[[#This Row],[24Final]])/Inventory[[#This Row],[24Final]]</f>
        <v>-6.4105642256902767E-2</v>
      </c>
    </row>
    <row r="466" spans="1:71">
      <c r="A466" s="30">
        <v>2025</v>
      </c>
      <c r="B466" s="31" t="s">
        <v>980</v>
      </c>
      <c r="C466" s="31">
        <f>LN(Inventory[[#This Row],[Acres]])</f>
        <v>-1.7719568419318752</v>
      </c>
      <c r="D466" s="30">
        <v>0.17</v>
      </c>
      <c r="E466" s="30">
        <v>7276</v>
      </c>
      <c r="F466" s="31" t="s">
        <v>505</v>
      </c>
      <c r="G466" s="31" t="s">
        <v>155</v>
      </c>
      <c r="H466" s="31" t="s">
        <v>5</v>
      </c>
      <c r="I466" s="31" t="s">
        <v>506</v>
      </c>
      <c r="J466" s="31" t="s">
        <v>507</v>
      </c>
      <c r="K466" s="31" t="s">
        <v>157</v>
      </c>
      <c r="L466" s="31" t="s">
        <v>21</v>
      </c>
      <c r="M466" s="31" t="s">
        <v>22</v>
      </c>
      <c r="N466" s="31">
        <v>10</v>
      </c>
      <c r="O466" s="31">
        <f>2024-Inventory[[#This Row],[YrBlt]]</f>
        <v>15</v>
      </c>
      <c r="P466" s="31">
        <f>2024-Inventory[[#This Row],[EffYr]]</f>
        <v>15</v>
      </c>
      <c r="Q466" s="30">
        <v>2009</v>
      </c>
      <c r="R466" s="30">
        <v>2009</v>
      </c>
      <c r="S466" s="30">
        <v>1158</v>
      </c>
      <c r="T466" s="38">
        <v>1332</v>
      </c>
      <c r="U466" s="32"/>
      <c r="V466" s="32"/>
      <c r="W466" s="32"/>
      <c r="X466" s="32">
        <f>Inventory[[#This Row],[Bsmt Area]]-Inventory[[#This Row],[FnBsmt]]</f>
        <v>0</v>
      </c>
      <c r="Y466" s="32">
        <f>Inventory[[#This Row],[MainFn]]+Inventory[[#This Row],[UpprFn]]+Inventory[[#This Row],[AddFn]]+Inventory[[#This Row],[FnBsmt]]</f>
        <v>2490</v>
      </c>
      <c r="Z466" s="32">
        <v>2500</v>
      </c>
      <c r="AA466" s="31" t="s">
        <v>56</v>
      </c>
      <c r="AB466" s="38">
        <v>1</v>
      </c>
      <c r="AC466" s="37"/>
      <c r="AD466" s="38">
        <v>502</v>
      </c>
      <c r="AE466" s="32"/>
      <c r="AF466" s="32"/>
      <c r="AG466" s="32"/>
      <c r="AH466" s="32"/>
      <c r="AI466" s="30">
        <v>485009</v>
      </c>
      <c r="AJ466" s="30">
        <v>455908</v>
      </c>
      <c r="AK466" s="30">
        <v>0</v>
      </c>
      <c r="AL466" s="30">
        <v>0</v>
      </c>
      <c r="AM466" s="30">
        <v>61700</v>
      </c>
      <c r="AN466" s="30">
        <v>370900</v>
      </c>
      <c r="AO466" s="30">
        <v>432600</v>
      </c>
      <c r="AP466" s="30">
        <f>Lookups!$B$58*0.6</f>
        <v>132535.48800000001</v>
      </c>
      <c r="AQ466" s="30">
        <f>Lookups!$B$58*0.4</f>
        <v>88356.992000000013</v>
      </c>
      <c r="AR466" s="30">
        <f>Lookups!$B$59*Inventory[[#This Row],[LnAcres]]</f>
        <v>-23255.730391660189</v>
      </c>
      <c r="AS466" s="30">
        <f>VLOOKUP(Inventory[[#This Row],[Qlty]],Lookups!$A$66:$E$79,2,FALSE)</f>
        <v>32917.849192000001</v>
      </c>
      <c r="AT466" s="30">
        <f>VLOOKUP(Inventory[[#This Row],[Cnd]],Lookups!$A$80:$E$88,2,FALSE)</f>
        <v>50438.379078999998</v>
      </c>
      <c r="AU466" s="30">
        <f>Inventory[[#This Row],[EffAge]]*Lookups!$B$65</f>
        <v>-1631.1165000000001</v>
      </c>
      <c r="AV466" s="30">
        <f>Inventory[[#This Row],[MainFn]]*Lookups!$B$90</f>
        <v>72271.22004</v>
      </c>
      <c r="AW466" s="30">
        <f>Inventory[[#This Row],[UpprFn]]*Lookups!$B$91</f>
        <v>79361.070156000002</v>
      </c>
      <c r="AX466" s="30">
        <f>Inventory[[#This Row],[Bsmt Area]]*Lookups!$B$95</f>
        <v>0</v>
      </c>
      <c r="AY466" s="30">
        <f>Inventory[[#This Row],[AttGar]]*Lookups!$B$93</f>
        <v>0</v>
      </c>
      <c r="AZ466" s="30">
        <f>ROUND(Inventory[[#This Row],[25Det]],-2)</f>
        <v>0</v>
      </c>
      <c r="BA466" s="30">
        <f>ROUND(SUM(Inventory[[#This Row],[Mdl Qlty]:[Mdl Garage Area]])+Inventory[[#This Row],[Mdl Res Intercept]],-2)</f>
        <v>365900</v>
      </c>
      <c r="BB466" s="30">
        <f>ROUND(Inventory[[#This Row],[Mdl Land Intercept]]+Inventory[[#This Row],[Mdl LnAcres]],-2)</f>
        <v>65100</v>
      </c>
      <c r="BC466" s="30">
        <f>Inventory[[#This Row],[Unadj Res Value]]+Inventory[[#This Row],[Unadj Det Value]]+Inventory[[#This Row],[Unadj Land Value]]</f>
        <v>431000</v>
      </c>
      <c r="BD466" s="30">
        <f>(Inventory[[#This Row],[Unadj Total Value]]-Inventory[[#This Row],[24Final]])/Inventory[[#This Row],[24Final]]</f>
        <v>-3.6985668053629217E-3</v>
      </c>
      <c r="BE466" s="30">
        <f>VLOOKUP(Inventory[[#This Row],[Nbhd]],Lookups!$M$3:$P$5,4,FALSE)</f>
        <v>0.99970000000000003</v>
      </c>
      <c r="BF466" s="30">
        <f>VLOOKUP(Inventory[[#This Row],[Qlty]],Lookups!$M$8:$P$22,4,FALSE)</f>
        <v>1.0019</v>
      </c>
      <c r="BG466" s="30">
        <f>VLOOKUP(Inventory[[#This Row],[Cnd]],Lookups!$R$8:$U$17,4,FALSE)</f>
        <v>1.0007999999999999</v>
      </c>
      <c r="BH466" s="30">
        <f>VLOOKUP(Inventory[[#This Row],[LivArea Range]],Lookups!$R$25:$U$43,4,FALSE)</f>
        <v>1.0008999999999999</v>
      </c>
      <c r="BI466" s="30">
        <f>VLOOKUP(Inventory[[#This Row],[Decade]],Lookups!$M$24:$P$40,4,FALSE)</f>
        <v>1.0024</v>
      </c>
      <c r="BJ466" s="30">
        <f>Inventory[[#This Row],[Nbhd Adj]]*0.95</f>
        <v>0.94971499999999998</v>
      </c>
      <c r="BK466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466" s="30">
        <f>ROUND((SUM(Inventory[[#This Row],[Mdl Qlty]:[Mdl Garage Area]])+Inventory[[#This Row],[Mdl Res Intercept]])*Inventory[[#This Row],[Res Adj ]],-2)</f>
        <v>348000</v>
      </c>
      <c r="BM466" s="30">
        <f>ROUND(Inventory[[#This Row],[25Det]]*Inventory[[#This Row],[Det/Nbhd Adj]],-2)</f>
        <v>0</v>
      </c>
      <c r="BN466" s="30">
        <f>Inventory[[#This Row],[Adjusted Res]]+Inventory[[#This Row],[Adj Det ]]</f>
        <v>348000</v>
      </c>
      <c r="BO466" s="30">
        <f>ROUND((Inventory[[#This Row],[Mdl Land Intercept]]+Inventory[[#This Row],[Mdl LnAcres]])*Inventory[[#This Row],[Det/Nbhd Adj]],-2)</f>
        <v>61800</v>
      </c>
      <c r="BP466" s="30">
        <f>Inventory[[#This Row],[Adjusted Impr Total]]+Inventory[[#This Row],[Adjusted Land Total]]</f>
        <v>409800</v>
      </c>
      <c r="BQ466" s="30">
        <f>IFERROR((Inventory[[#This Row],[Adjusted Impr Total]]-Inventory[[#This Row],[24Bldg]])/Inventory[[#This Row],[24Bldg]],0)</f>
        <v>-6.1741709355621462E-2</v>
      </c>
      <c r="BR466" s="43">
        <f>(Inventory[[#This Row],[Adjusted Land Total]]-Inventory[[#This Row],[24Lnd]])/Inventory[[#This Row],[24Lnd]]</f>
        <v>1.6207455429497568E-3</v>
      </c>
      <c r="BS466" s="43">
        <f>(Inventory[[#This Row],[Adjusted Total]]-Inventory[[#This Row],[24Final]])/Inventory[[#This Row],[24Final]]</f>
        <v>-5.2704576976421634E-2</v>
      </c>
    </row>
    <row r="467" spans="1:71">
      <c r="A467" s="30">
        <v>2025</v>
      </c>
      <c r="B467" s="31" t="s">
        <v>981</v>
      </c>
      <c r="C467" s="31">
        <f>LN(Inventory[[#This Row],[Acres]])</f>
        <v>-1.7719568419318752</v>
      </c>
      <c r="D467" s="30">
        <v>0.17</v>
      </c>
      <c r="E467" s="30">
        <v>7574</v>
      </c>
      <c r="F467" s="31" t="s">
        <v>505</v>
      </c>
      <c r="G467" s="31" t="s">
        <v>155</v>
      </c>
      <c r="H467" s="31" t="s">
        <v>5</v>
      </c>
      <c r="I467" s="31" t="s">
        <v>506</v>
      </c>
      <c r="J467" s="31" t="s">
        <v>507</v>
      </c>
      <c r="K467" s="31" t="s">
        <v>193</v>
      </c>
      <c r="L467" s="31" t="s">
        <v>19</v>
      </c>
      <c r="M467" s="31" t="s">
        <v>20</v>
      </c>
      <c r="N467" s="31">
        <v>10</v>
      </c>
      <c r="O467" s="31">
        <f>2024-Inventory[[#This Row],[YrBlt]]</f>
        <v>15</v>
      </c>
      <c r="P467" s="31">
        <f>2024-Inventory[[#This Row],[EffYr]]</f>
        <v>15</v>
      </c>
      <c r="Q467" s="30">
        <v>2009</v>
      </c>
      <c r="R467" s="30">
        <v>2009</v>
      </c>
      <c r="S467" s="30">
        <v>1540</v>
      </c>
      <c r="T467" s="37"/>
      <c r="U467" s="32"/>
      <c r="V467" s="32"/>
      <c r="W467" s="32"/>
      <c r="X467" s="32">
        <f>Inventory[[#This Row],[Bsmt Area]]-Inventory[[#This Row],[FnBsmt]]</f>
        <v>0</v>
      </c>
      <c r="Y467" s="32">
        <f>Inventory[[#This Row],[MainFn]]+Inventory[[#This Row],[UpprFn]]+Inventory[[#This Row],[AddFn]]+Inventory[[#This Row],[FnBsmt]]</f>
        <v>1540</v>
      </c>
      <c r="Z467" s="32">
        <v>2000</v>
      </c>
      <c r="AA467" s="31" t="s">
        <v>56</v>
      </c>
      <c r="AB467" s="37"/>
      <c r="AC467" s="38">
        <v>420</v>
      </c>
      <c r="AD467" s="37"/>
      <c r="AE467" s="32"/>
      <c r="AF467" s="32"/>
      <c r="AG467" s="32"/>
      <c r="AH467" s="32"/>
      <c r="AI467" s="30">
        <v>306223</v>
      </c>
      <c r="AJ467" s="30">
        <v>284787</v>
      </c>
      <c r="AK467" s="30">
        <v>0</v>
      </c>
      <c r="AL467" s="30">
        <v>0</v>
      </c>
      <c r="AM467" s="30">
        <v>61700</v>
      </c>
      <c r="AN467" s="30">
        <v>309700</v>
      </c>
      <c r="AO467" s="30">
        <v>371400</v>
      </c>
      <c r="AP467" s="30">
        <f>Lookups!$B$58*0.6</f>
        <v>132535.48800000001</v>
      </c>
      <c r="AQ467" s="30">
        <f>Lookups!$B$58*0.4</f>
        <v>88356.992000000013</v>
      </c>
      <c r="AR467" s="30">
        <f>Lookups!$B$59*Inventory[[#This Row],[LnAcres]]</f>
        <v>-23255.730391660189</v>
      </c>
      <c r="AS467" s="30">
        <f>VLOOKUP(Inventory[[#This Row],[Qlty]],Lookups!$A$66:$E$79,2,FALSE)</f>
        <v>37154.252388000001</v>
      </c>
      <c r="AT467" s="30">
        <f>VLOOKUP(Inventory[[#This Row],[Cnd]],Lookups!$A$80:$E$88,2,FALSE)</f>
        <v>30300.329274</v>
      </c>
      <c r="AU467" s="30">
        <f>Inventory[[#This Row],[EffAge]]*Lookups!$B$65</f>
        <v>-1631.1165000000001</v>
      </c>
      <c r="AV467" s="30">
        <f>Inventory[[#This Row],[MainFn]]*Lookups!$B$90</f>
        <v>96111.98520000001</v>
      </c>
      <c r="AW467" s="30">
        <f>Inventory[[#This Row],[UpprFn]]*Lookups!$B$91</f>
        <v>0</v>
      </c>
      <c r="AX467" s="30">
        <f>Inventory[[#This Row],[Bsmt Area]]*Lookups!$B$95</f>
        <v>0</v>
      </c>
      <c r="AY467" s="30">
        <f>Inventory[[#This Row],[AttGar]]*Lookups!$B$93</f>
        <v>14826.43302</v>
      </c>
      <c r="AZ467" s="30">
        <f>ROUND(Inventory[[#This Row],[25Det]],-2)</f>
        <v>0</v>
      </c>
      <c r="BA467" s="30">
        <f>ROUND(SUM(Inventory[[#This Row],[Mdl Qlty]:[Mdl Garage Area]])+Inventory[[#This Row],[Mdl Res Intercept]],-2)</f>
        <v>309300</v>
      </c>
      <c r="BB467" s="30">
        <f>ROUND(Inventory[[#This Row],[Mdl Land Intercept]]+Inventory[[#This Row],[Mdl LnAcres]],-2)</f>
        <v>65100</v>
      </c>
      <c r="BC467" s="30">
        <f>Inventory[[#This Row],[Unadj Res Value]]+Inventory[[#This Row],[Unadj Det Value]]+Inventory[[#This Row],[Unadj Land Value]]</f>
        <v>374400</v>
      </c>
      <c r="BD467" s="30">
        <f>(Inventory[[#This Row],[Unadj Total Value]]-Inventory[[#This Row],[24Final]])/Inventory[[#This Row],[24Final]]</f>
        <v>8.0775444264943458E-3</v>
      </c>
      <c r="BE467" s="30">
        <f>VLOOKUP(Inventory[[#This Row],[Nbhd]],Lookups!$M$3:$P$5,4,FALSE)</f>
        <v>0.99970000000000003</v>
      </c>
      <c r="BF467" s="30">
        <f>VLOOKUP(Inventory[[#This Row],[Qlty]],Lookups!$M$8:$P$22,4,FALSE)</f>
        <v>0.99819999999999998</v>
      </c>
      <c r="BG467" s="30">
        <f>VLOOKUP(Inventory[[#This Row],[Cnd]],Lookups!$R$8:$U$17,4,FALSE)</f>
        <v>0.997</v>
      </c>
      <c r="BH467" s="30">
        <f>VLOOKUP(Inventory[[#This Row],[LivArea Range]],Lookups!$R$25:$U$43,4,FALSE)</f>
        <v>1.0007999999999999</v>
      </c>
      <c r="BI467" s="30">
        <f>VLOOKUP(Inventory[[#This Row],[Decade]],Lookups!$M$24:$P$40,4,FALSE)</f>
        <v>1.0024</v>
      </c>
      <c r="BJ467" s="30">
        <f>Inventory[[#This Row],[Nbhd Adj]]*0.95</f>
        <v>0.94971499999999998</v>
      </c>
      <c r="BK467" s="30">
        <f>AVERAGE(Inventory[[#This Row],[Nbhd Adj]],Inventory[[#This Row],[Quality Adj]],Inventory[[#This Row],[Condition Adj]],Inventory[[#This Row],[Living Area Adj]],Inventory[[#This Row],[Decade Adj]])*0.95</f>
        <v>0.9496389999999999</v>
      </c>
      <c r="BL467" s="30">
        <f>ROUND((SUM(Inventory[[#This Row],[Mdl Qlty]:[Mdl Garage Area]])+Inventory[[#This Row],[Mdl Res Intercept]])*Inventory[[#This Row],[Res Adj ]],-2)</f>
        <v>293700</v>
      </c>
      <c r="BM467" s="30">
        <f>ROUND(Inventory[[#This Row],[25Det]]*Inventory[[#This Row],[Det/Nbhd Adj]],-2)</f>
        <v>0</v>
      </c>
      <c r="BN467" s="30">
        <f>Inventory[[#This Row],[Adjusted Res]]+Inventory[[#This Row],[Adj Det ]]</f>
        <v>293700</v>
      </c>
      <c r="BO467" s="30">
        <f>ROUND((Inventory[[#This Row],[Mdl Land Intercept]]+Inventory[[#This Row],[Mdl LnAcres]])*Inventory[[#This Row],[Det/Nbhd Adj]],-2)</f>
        <v>61800</v>
      </c>
      <c r="BP467" s="30">
        <f>Inventory[[#This Row],[Adjusted Impr Total]]+Inventory[[#This Row],[Adjusted Land Total]]</f>
        <v>355500</v>
      </c>
      <c r="BQ467" s="30">
        <f>IFERROR((Inventory[[#This Row],[Adjusted Impr Total]]-Inventory[[#This Row],[24Bldg]])/Inventory[[#This Row],[24Bldg]],0)</f>
        <v>-5.1662899580238938E-2</v>
      </c>
      <c r="BR467" s="43">
        <f>(Inventory[[#This Row],[Adjusted Land Total]]-Inventory[[#This Row],[24Lnd]])/Inventory[[#This Row],[24Lnd]]</f>
        <v>1.6207455429497568E-3</v>
      </c>
      <c r="BS467" s="43">
        <f>(Inventory[[#This Row],[Adjusted Total]]-Inventory[[#This Row],[24Final]])/Inventory[[#This Row],[24Final]]</f>
        <v>-4.2810985460420031E-2</v>
      </c>
    </row>
    <row r="468" spans="1:71">
      <c r="A468" s="30">
        <v>2025</v>
      </c>
      <c r="B468" s="31" t="s">
        <v>982</v>
      </c>
      <c r="C468" s="31">
        <f>LN(Inventory[[#This Row],[Acres]])</f>
        <v>-1.7719568419318752</v>
      </c>
      <c r="D468" s="30">
        <v>0.17</v>
      </c>
      <c r="E468" s="30">
        <v>7347</v>
      </c>
      <c r="F468" s="31" t="s">
        <v>505</v>
      </c>
      <c r="G468" s="31" t="s">
        <v>155</v>
      </c>
      <c r="H468" s="31" t="s">
        <v>5</v>
      </c>
      <c r="I468" s="31" t="s">
        <v>506</v>
      </c>
      <c r="J468" s="31" t="s">
        <v>507</v>
      </c>
      <c r="K468" s="31" t="s">
        <v>330</v>
      </c>
      <c r="L468" s="31" t="s">
        <v>19</v>
      </c>
      <c r="M468" s="31" t="s">
        <v>20</v>
      </c>
      <c r="N468" s="31">
        <v>10</v>
      </c>
      <c r="O468" s="31">
        <f>2024-Inventory[[#This Row],[YrBlt]]</f>
        <v>15</v>
      </c>
      <c r="P468" s="31">
        <f>2024-Inventory[[#This Row],[EffYr]]</f>
        <v>15</v>
      </c>
      <c r="Q468" s="30">
        <v>2009</v>
      </c>
      <c r="R468" s="30">
        <v>2009</v>
      </c>
      <c r="S468" s="30">
        <v>1132</v>
      </c>
      <c r="T468" s="37"/>
      <c r="U468" s="32"/>
      <c r="V468" s="32"/>
      <c r="W468" s="32"/>
      <c r="X468" s="32">
        <f>Inventory[[#This Row],[Bsmt Area]]-Inventory[[#This Row],[FnBsmt]]</f>
        <v>0</v>
      </c>
      <c r="Y468" s="32">
        <f>Inventory[[#This Row],[MainFn]]+Inventory[[#This Row],[UpprFn]]+Inventory[[#This Row],[AddFn]]+Inventory[[#This Row],[FnBsmt]]</f>
        <v>1132</v>
      </c>
      <c r="Z468" s="32">
        <v>1500</v>
      </c>
      <c r="AA468" s="31" t="s">
        <v>56</v>
      </c>
      <c r="AB468" s="30">
        <v>1</v>
      </c>
      <c r="AC468" s="30">
        <v>444</v>
      </c>
      <c r="AD468" s="37"/>
      <c r="AE468" s="32"/>
      <c r="AF468" s="32"/>
      <c r="AG468" s="32"/>
      <c r="AH468" s="32"/>
      <c r="AI468" s="30">
        <v>243012</v>
      </c>
      <c r="AJ468" s="30">
        <v>226001</v>
      </c>
      <c r="AK468" s="30">
        <v>0</v>
      </c>
      <c r="AL468" s="30">
        <v>0</v>
      </c>
      <c r="AM468" s="30">
        <v>61700</v>
      </c>
      <c r="AN468" s="30">
        <v>283700</v>
      </c>
      <c r="AO468" s="30">
        <v>345400</v>
      </c>
      <c r="AP468" s="30">
        <f>Lookups!$B$58*0.6</f>
        <v>132535.48800000001</v>
      </c>
      <c r="AQ468" s="30">
        <f>Lookups!$B$58*0.4</f>
        <v>88356.992000000013</v>
      </c>
      <c r="AR468" s="30">
        <f>Lookups!$B$59*Inventory[[#This Row],[LnAcres]]</f>
        <v>-23255.730391660189</v>
      </c>
      <c r="AS468" s="30">
        <f>VLOOKUP(Inventory[[#This Row],[Qlty]],Lookups!$A$66:$E$79,2,FALSE)</f>
        <v>37154.252388000001</v>
      </c>
      <c r="AT468" s="30">
        <f>VLOOKUP(Inventory[[#This Row],[Cnd]],Lookups!$A$80:$E$88,2,FALSE)</f>
        <v>30300.329274</v>
      </c>
      <c r="AU468" s="30">
        <f>Inventory[[#This Row],[EffAge]]*Lookups!$B$65</f>
        <v>-1631.1165000000001</v>
      </c>
      <c r="AV468" s="30">
        <f>Inventory[[#This Row],[MainFn]]*Lookups!$B$90</f>
        <v>70648.550159999999</v>
      </c>
      <c r="AW468" s="30">
        <f>Inventory[[#This Row],[UpprFn]]*Lookups!$B$91</f>
        <v>0</v>
      </c>
      <c r="AX468" s="30">
        <f>Inventory[[#This Row],[Bsmt Area]]*Lookups!$B$95</f>
        <v>0</v>
      </c>
      <c r="AY468" s="30">
        <f>Inventory[[#This Row],[AttGar]]*Lookups!$B$93</f>
        <v>15673.657764000001</v>
      </c>
      <c r="AZ468" s="30">
        <f>ROUND(Inventory[[#This Row],[25Det]],-2)</f>
        <v>0</v>
      </c>
      <c r="BA468" s="30">
        <f>ROUND(SUM(Inventory[[#This Row],[Mdl Qlty]:[Mdl Garage Area]])+Inventory[[#This Row],[Mdl Res Intercept]],-2)</f>
        <v>284700</v>
      </c>
      <c r="BB468" s="30">
        <f>ROUND(Inventory[[#This Row],[Mdl Land Intercept]]+Inventory[[#This Row],[Mdl LnAcres]],-2)</f>
        <v>65100</v>
      </c>
      <c r="BC468" s="30">
        <f>Inventory[[#This Row],[Unadj Res Value]]+Inventory[[#This Row],[Unadj Det Value]]+Inventory[[#This Row],[Unadj Land Value]]</f>
        <v>349800</v>
      </c>
      <c r="BD468" s="30">
        <f>(Inventory[[#This Row],[Unadj Total Value]]-Inventory[[#This Row],[24Final]])/Inventory[[#This Row],[24Final]]</f>
        <v>1.2738853503184714E-2</v>
      </c>
      <c r="BE468" s="30">
        <f>VLOOKUP(Inventory[[#This Row],[Nbhd]],Lookups!$M$3:$P$5,4,FALSE)</f>
        <v>0.99970000000000003</v>
      </c>
      <c r="BF468" s="30">
        <f>VLOOKUP(Inventory[[#This Row],[Qlty]],Lookups!$M$8:$P$22,4,FALSE)</f>
        <v>0.99819999999999998</v>
      </c>
      <c r="BG468" s="30">
        <f>VLOOKUP(Inventory[[#This Row],[Cnd]],Lookups!$R$8:$U$17,4,FALSE)</f>
        <v>0.997</v>
      </c>
      <c r="BH468" s="30">
        <f>VLOOKUP(Inventory[[#This Row],[LivArea Range]],Lookups!$R$25:$U$43,4,FALSE)</f>
        <v>0.99519999999999997</v>
      </c>
      <c r="BI468" s="30">
        <f>VLOOKUP(Inventory[[#This Row],[Decade]],Lookups!$M$24:$P$40,4,FALSE)</f>
        <v>1.0024</v>
      </c>
      <c r="BJ468" s="30">
        <f>Inventory[[#This Row],[Nbhd Adj]]*0.95</f>
        <v>0.94971499999999998</v>
      </c>
      <c r="BK468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468" s="30">
        <f>ROUND((SUM(Inventory[[#This Row],[Mdl Qlty]:[Mdl Garage Area]])+Inventory[[#This Row],[Mdl Res Intercept]])*Inventory[[#This Row],[Res Adj ]],-2)</f>
        <v>270000</v>
      </c>
      <c r="BM468" s="30">
        <f>ROUND(Inventory[[#This Row],[25Det]]*Inventory[[#This Row],[Det/Nbhd Adj]],-2)</f>
        <v>0</v>
      </c>
      <c r="BN468" s="30">
        <f>Inventory[[#This Row],[Adjusted Res]]+Inventory[[#This Row],[Adj Det ]]</f>
        <v>270000</v>
      </c>
      <c r="BO468" s="30">
        <f>ROUND((Inventory[[#This Row],[Mdl Land Intercept]]+Inventory[[#This Row],[Mdl LnAcres]])*Inventory[[#This Row],[Det/Nbhd Adj]],-2)</f>
        <v>61800</v>
      </c>
      <c r="BP468" s="30">
        <f>Inventory[[#This Row],[Adjusted Impr Total]]+Inventory[[#This Row],[Adjusted Land Total]]</f>
        <v>331800</v>
      </c>
      <c r="BQ468" s="30">
        <f>IFERROR((Inventory[[#This Row],[Adjusted Impr Total]]-Inventory[[#This Row],[24Bldg]])/Inventory[[#This Row],[24Bldg]],0)</f>
        <v>-4.8290447655974622E-2</v>
      </c>
      <c r="BR468" s="43">
        <f>(Inventory[[#This Row],[Adjusted Land Total]]-Inventory[[#This Row],[24Lnd]])/Inventory[[#This Row],[24Lnd]]</f>
        <v>1.6207455429497568E-3</v>
      </c>
      <c r="BS468" s="43">
        <f>(Inventory[[#This Row],[Adjusted Total]]-Inventory[[#This Row],[24Final]])/Inventory[[#This Row],[24Final]]</f>
        <v>-3.937463810075275E-2</v>
      </c>
    </row>
    <row r="469" spans="1:71">
      <c r="A469" s="30">
        <v>2025</v>
      </c>
      <c r="B469" s="31" t="s">
        <v>983</v>
      </c>
      <c r="C469" s="31">
        <f>LN(Inventory[[#This Row],[Acres]])</f>
        <v>-1.7147984280919266</v>
      </c>
      <c r="D469" s="30">
        <v>0.18</v>
      </c>
      <c r="E469" s="30">
        <v>7630</v>
      </c>
      <c r="F469" s="31" t="s">
        <v>505</v>
      </c>
      <c r="G469" s="31" t="s">
        <v>155</v>
      </c>
      <c r="H469" s="31" t="s">
        <v>5</v>
      </c>
      <c r="I469" s="31" t="s">
        <v>506</v>
      </c>
      <c r="J469" s="31" t="s">
        <v>507</v>
      </c>
      <c r="K469" s="31" t="s">
        <v>157</v>
      </c>
      <c r="L469" s="31" t="s">
        <v>19</v>
      </c>
      <c r="M469" s="31" t="s">
        <v>20</v>
      </c>
      <c r="N469" s="31">
        <v>10</v>
      </c>
      <c r="O469" s="31">
        <f>2024-Inventory[[#This Row],[YrBlt]]</f>
        <v>15</v>
      </c>
      <c r="P469" s="31">
        <f>2024-Inventory[[#This Row],[EffYr]]</f>
        <v>15</v>
      </c>
      <c r="Q469" s="30">
        <v>2009</v>
      </c>
      <c r="R469" s="30">
        <v>2009</v>
      </c>
      <c r="S469" s="30">
        <v>1540</v>
      </c>
      <c r="T469" s="32"/>
      <c r="U469" s="32"/>
      <c r="V469" s="32"/>
      <c r="W469" s="32"/>
      <c r="X469" s="32">
        <f>Inventory[[#This Row],[Bsmt Area]]-Inventory[[#This Row],[FnBsmt]]</f>
        <v>0</v>
      </c>
      <c r="Y469" s="32">
        <f>Inventory[[#This Row],[MainFn]]+Inventory[[#This Row],[UpprFn]]+Inventory[[#This Row],[AddFn]]+Inventory[[#This Row],[FnBsmt]]</f>
        <v>1540</v>
      </c>
      <c r="Z469" s="32">
        <v>2000</v>
      </c>
      <c r="AA469" s="31" t="s">
        <v>57</v>
      </c>
      <c r="AB469" s="32"/>
      <c r="AC469" s="30">
        <v>420</v>
      </c>
      <c r="AD469" s="32"/>
      <c r="AE469" s="32"/>
      <c r="AF469" s="32"/>
      <c r="AG469" s="32"/>
      <c r="AH469" s="38">
        <v>100</v>
      </c>
      <c r="AI469" s="30">
        <v>308073</v>
      </c>
      <c r="AJ469" s="30">
        <v>286508</v>
      </c>
      <c r="AK469" s="30">
        <v>0</v>
      </c>
      <c r="AL469" s="30">
        <v>0</v>
      </c>
      <c r="AM469" s="30">
        <v>62500</v>
      </c>
      <c r="AN469" s="30">
        <v>312800</v>
      </c>
      <c r="AO469" s="30">
        <v>375300</v>
      </c>
      <c r="AP469" s="30">
        <f>Lookups!$B$58*0.6</f>
        <v>132535.48800000001</v>
      </c>
      <c r="AQ469" s="30">
        <f>Lookups!$B$58*0.4</f>
        <v>88356.992000000013</v>
      </c>
      <c r="AR469" s="30">
        <f>Lookups!$B$59*Inventory[[#This Row],[LnAcres]]</f>
        <v>-22505.565020573864</v>
      </c>
      <c r="AS469" s="30">
        <f>VLOOKUP(Inventory[[#This Row],[Qlty]],Lookups!$A$66:$E$79,2,FALSE)</f>
        <v>37154.252388000001</v>
      </c>
      <c r="AT469" s="30">
        <f>VLOOKUP(Inventory[[#This Row],[Cnd]],Lookups!$A$80:$E$88,2,FALSE)</f>
        <v>30300.329274</v>
      </c>
      <c r="AU469" s="30">
        <f>Inventory[[#This Row],[EffAge]]*Lookups!$B$65</f>
        <v>-1631.1165000000001</v>
      </c>
      <c r="AV469" s="30">
        <f>Inventory[[#This Row],[MainFn]]*Lookups!$B$90</f>
        <v>96111.98520000001</v>
      </c>
      <c r="AW469" s="30">
        <f>Inventory[[#This Row],[UpprFn]]*Lookups!$B$91</f>
        <v>0</v>
      </c>
      <c r="AX469" s="30">
        <f>Inventory[[#This Row],[Bsmt Area]]*Lookups!$B$95</f>
        <v>0</v>
      </c>
      <c r="AY469" s="30">
        <f>Inventory[[#This Row],[AttGar]]*Lookups!$B$93</f>
        <v>14826.43302</v>
      </c>
      <c r="AZ469" s="30">
        <f>ROUND(Inventory[[#This Row],[25Det]],-2)</f>
        <v>0</v>
      </c>
      <c r="BA469" s="30">
        <f>ROUND(SUM(Inventory[[#This Row],[Mdl Qlty]:[Mdl Garage Area]])+Inventory[[#This Row],[Mdl Res Intercept]],-2)</f>
        <v>309300</v>
      </c>
      <c r="BB469" s="30">
        <f>ROUND(Inventory[[#This Row],[Mdl Land Intercept]]+Inventory[[#This Row],[Mdl LnAcres]],-2)</f>
        <v>65900</v>
      </c>
      <c r="BC469" s="30">
        <f>Inventory[[#This Row],[Unadj Res Value]]+Inventory[[#This Row],[Unadj Det Value]]+Inventory[[#This Row],[Unadj Land Value]]</f>
        <v>375200</v>
      </c>
      <c r="BD469" s="30">
        <f>(Inventory[[#This Row],[Unadj Total Value]]-Inventory[[#This Row],[24Final]])/Inventory[[#This Row],[24Final]]</f>
        <v>-2.664535038635758E-4</v>
      </c>
      <c r="BE469" s="30">
        <f>VLOOKUP(Inventory[[#This Row],[Nbhd]],Lookups!$M$3:$P$5,4,FALSE)</f>
        <v>0.99970000000000003</v>
      </c>
      <c r="BF469" s="30">
        <f>VLOOKUP(Inventory[[#This Row],[Qlty]],Lookups!$M$8:$P$22,4,FALSE)</f>
        <v>0.99819999999999998</v>
      </c>
      <c r="BG469" s="30">
        <f>VLOOKUP(Inventory[[#This Row],[Cnd]],Lookups!$R$8:$U$17,4,FALSE)</f>
        <v>0.997</v>
      </c>
      <c r="BH469" s="30">
        <f>VLOOKUP(Inventory[[#This Row],[LivArea Range]],Lookups!$R$25:$U$43,4,FALSE)</f>
        <v>1.0007999999999999</v>
      </c>
      <c r="BI469" s="30">
        <f>VLOOKUP(Inventory[[#This Row],[Decade]],Lookups!$M$24:$P$40,4,FALSE)</f>
        <v>1.0024</v>
      </c>
      <c r="BJ469" s="30">
        <f>Inventory[[#This Row],[Nbhd Adj]]*0.95</f>
        <v>0.94971499999999998</v>
      </c>
      <c r="BK469" s="30">
        <f>AVERAGE(Inventory[[#This Row],[Nbhd Adj]],Inventory[[#This Row],[Quality Adj]],Inventory[[#This Row],[Condition Adj]],Inventory[[#This Row],[Living Area Adj]],Inventory[[#This Row],[Decade Adj]])*0.95</f>
        <v>0.9496389999999999</v>
      </c>
      <c r="BL469" s="30">
        <f>ROUND((SUM(Inventory[[#This Row],[Mdl Qlty]:[Mdl Garage Area]])+Inventory[[#This Row],[Mdl Res Intercept]])*Inventory[[#This Row],[Res Adj ]],-2)</f>
        <v>293700</v>
      </c>
      <c r="BM469" s="30">
        <f>ROUND(Inventory[[#This Row],[25Det]]*Inventory[[#This Row],[Det/Nbhd Adj]],-2)</f>
        <v>0</v>
      </c>
      <c r="BN469" s="30">
        <f>Inventory[[#This Row],[Adjusted Res]]+Inventory[[#This Row],[Adj Det ]]</f>
        <v>293700</v>
      </c>
      <c r="BO469" s="30">
        <f>ROUND((Inventory[[#This Row],[Mdl Land Intercept]]+Inventory[[#This Row],[Mdl LnAcres]])*Inventory[[#This Row],[Det/Nbhd Adj]],-2)</f>
        <v>62500</v>
      </c>
      <c r="BP469" s="30">
        <f>Inventory[[#This Row],[Adjusted Impr Total]]+Inventory[[#This Row],[Adjusted Land Total]]</f>
        <v>356200</v>
      </c>
      <c r="BQ469" s="30">
        <f>IFERROR((Inventory[[#This Row],[Adjusted Impr Total]]-Inventory[[#This Row],[24Bldg]])/Inventory[[#This Row],[24Bldg]],0)</f>
        <v>-6.1061381074168801E-2</v>
      </c>
      <c r="BR469" s="43">
        <f>(Inventory[[#This Row],[Adjusted Land Total]]-Inventory[[#This Row],[24Lnd]])/Inventory[[#This Row],[24Lnd]]</f>
        <v>0</v>
      </c>
      <c r="BS469" s="43">
        <f>(Inventory[[#This Row],[Adjusted Total]]-Inventory[[#This Row],[24Final]])/Inventory[[#This Row],[24Final]]</f>
        <v>-5.0892619237942978E-2</v>
      </c>
    </row>
    <row r="470" spans="1:71">
      <c r="A470" s="30">
        <v>2025</v>
      </c>
      <c r="B470" s="31" t="s">
        <v>984</v>
      </c>
      <c r="C470" s="31">
        <f>LN(Inventory[[#This Row],[Acres]])</f>
        <v>-1.7147984280919266</v>
      </c>
      <c r="D470" s="30">
        <v>0.18</v>
      </c>
      <c r="E470" s="30">
        <v>7809</v>
      </c>
      <c r="F470" s="31" t="s">
        <v>505</v>
      </c>
      <c r="G470" s="31" t="s">
        <v>155</v>
      </c>
      <c r="H470" s="31" t="s">
        <v>5</v>
      </c>
      <c r="I470" s="31" t="s">
        <v>506</v>
      </c>
      <c r="J470" s="31" t="s">
        <v>507</v>
      </c>
      <c r="K470" s="31" t="s">
        <v>157</v>
      </c>
      <c r="L470" s="31" t="s">
        <v>21</v>
      </c>
      <c r="M470" s="31" t="s">
        <v>20</v>
      </c>
      <c r="N470" s="31">
        <v>10</v>
      </c>
      <c r="O470" s="31">
        <f>2024-Inventory[[#This Row],[YrBlt]]</f>
        <v>15</v>
      </c>
      <c r="P470" s="31">
        <f>2024-Inventory[[#This Row],[EffYr]]</f>
        <v>15</v>
      </c>
      <c r="Q470" s="30">
        <v>2009</v>
      </c>
      <c r="R470" s="30">
        <v>2009</v>
      </c>
      <c r="S470" s="30">
        <v>1726</v>
      </c>
      <c r="T470" s="32"/>
      <c r="U470" s="32"/>
      <c r="V470" s="32"/>
      <c r="W470" s="32"/>
      <c r="X470" s="32">
        <f>Inventory[[#This Row],[Bsmt Area]]-Inventory[[#This Row],[FnBsmt]]</f>
        <v>0</v>
      </c>
      <c r="Y470" s="32">
        <f>Inventory[[#This Row],[MainFn]]+Inventory[[#This Row],[UpprFn]]+Inventory[[#This Row],[AddFn]]+Inventory[[#This Row],[FnBsmt]]</f>
        <v>1726</v>
      </c>
      <c r="Z470" s="32">
        <v>2000</v>
      </c>
      <c r="AA470" s="31" t="s">
        <v>57</v>
      </c>
      <c r="AB470" s="38">
        <v>1</v>
      </c>
      <c r="AC470" s="30">
        <v>442</v>
      </c>
      <c r="AD470" s="32"/>
      <c r="AE470" s="32"/>
      <c r="AF470" s="32"/>
      <c r="AG470" s="32"/>
      <c r="AH470" s="32"/>
      <c r="AI470" s="30">
        <v>384558</v>
      </c>
      <c r="AJ470" s="30">
        <v>357639</v>
      </c>
      <c r="AK470" s="30">
        <v>0</v>
      </c>
      <c r="AL470" s="30">
        <v>0</v>
      </c>
      <c r="AM470" s="30">
        <v>62500</v>
      </c>
      <c r="AN470" s="30">
        <v>309300</v>
      </c>
      <c r="AO470" s="30">
        <v>371800</v>
      </c>
      <c r="AP470" s="30">
        <f>Lookups!$B$58*0.6</f>
        <v>132535.48800000001</v>
      </c>
      <c r="AQ470" s="30">
        <f>Lookups!$B$58*0.4</f>
        <v>88356.992000000013</v>
      </c>
      <c r="AR470" s="30">
        <f>Lookups!$B$59*Inventory[[#This Row],[LnAcres]]</f>
        <v>-22505.565020573864</v>
      </c>
      <c r="AS470" s="30">
        <f>VLOOKUP(Inventory[[#This Row],[Qlty]],Lookups!$A$66:$E$79,2,FALSE)</f>
        <v>32917.849192000001</v>
      </c>
      <c r="AT470" s="30">
        <f>VLOOKUP(Inventory[[#This Row],[Cnd]],Lookups!$A$80:$E$88,2,FALSE)</f>
        <v>30300.329274</v>
      </c>
      <c r="AU470" s="30">
        <f>Inventory[[#This Row],[EffAge]]*Lookups!$B$65</f>
        <v>-1631.1165000000001</v>
      </c>
      <c r="AV470" s="30">
        <f>Inventory[[#This Row],[MainFn]]*Lookups!$B$90</f>
        <v>107720.31588000001</v>
      </c>
      <c r="AW470" s="30">
        <f>Inventory[[#This Row],[UpprFn]]*Lookups!$B$91</f>
        <v>0</v>
      </c>
      <c r="AX470" s="30">
        <f>Inventory[[#This Row],[Bsmt Area]]*Lookups!$B$95</f>
        <v>0</v>
      </c>
      <c r="AY470" s="30">
        <f>Inventory[[#This Row],[AttGar]]*Lookups!$B$93</f>
        <v>15603.055702000001</v>
      </c>
      <c r="AZ470" s="30">
        <f>ROUND(Inventory[[#This Row],[25Det]],-2)</f>
        <v>0</v>
      </c>
      <c r="BA470" s="30">
        <f>ROUND(SUM(Inventory[[#This Row],[Mdl Qlty]:[Mdl Garage Area]])+Inventory[[#This Row],[Mdl Res Intercept]],-2)</f>
        <v>317400</v>
      </c>
      <c r="BB470" s="30">
        <f>ROUND(Inventory[[#This Row],[Mdl Land Intercept]]+Inventory[[#This Row],[Mdl LnAcres]],-2)</f>
        <v>65900</v>
      </c>
      <c r="BC470" s="30">
        <f>Inventory[[#This Row],[Unadj Res Value]]+Inventory[[#This Row],[Unadj Det Value]]+Inventory[[#This Row],[Unadj Land Value]]</f>
        <v>383300</v>
      </c>
      <c r="BD470" s="30">
        <f>(Inventory[[#This Row],[Unadj Total Value]]-Inventory[[#This Row],[24Final]])/Inventory[[#This Row],[24Final]]</f>
        <v>3.0930607853684778E-2</v>
      </c>
      <c r="BE470" s="30">
        <f>VLOOKUP(Inventory[[#This Row],[Nbhd]],Lookups!$M$3:$P$5,4,FALSE)</f>
        <v>0.99970000000000003</v>
      </c>
      <c r="BF470" s="30">
        <f>VLOOKUP(Inventory[[#This Row],[Qlty]],Lookups!$M$8:$P$22,4,FALSE)</f>
        <v>1.0019</v>
      </c>
      <c r="BG470" s="30">
        <f>VLOOKUP(Inventory[[#This Row],[Cnd]],Lookups!$R$8:$U$17,4,FALSE)</f>
        <v>0.997</v>
      </c>
      <c r="BH470" s="30">
        <f>VLOOKUP(Inventory[[#This Row],[LivArea Range]],Lookups!$R$25:$U$43,4,FALSE)</f>
        <v>1.0007999999999999</v>
      </c>
      <c r="BI470" s="30">
        <f>VLOOKUP(Inventory[[#This Row],[Decade]],Lookups!$M$24:$P$40,4,FALSE)</f>
        <v>1.0024</v>
      </c>
      <c r="BJ470" s="30">
        <f>Inventory[[#This Row],[Nbhd Adj]]*0.95</f>
        <v>0.94971499999999998</v>
      </c>
      <c r="BK470" s="30">
        <f>AVERAGE(Inventory[[#This Row],[Nbhd Adj]],Inventory[[#This Row],[Quality Adj]],Inventory[[#This Row],[Condition Adj]],Inventory[[#This Row],[Living Area Adj]],Inventory[[#This Row],[Decade Adj]])*0.95</f>
        <v>0.95034199999999991</v>
      </c>
      <c r="BL470" s="30">
        <f>ROUND((SUM(Inventory[[#This Row],[Mdl Qlty]:[Mdl Garage Area]])+Inventory[[#This Row],[Mdl Res Intercept]])*Inventory[[#This Row],[Res Adj ]],-2)</f>
        <v>301700</v>
      </c>
      <c r="BM470" s="30">
        <f>ROUND(Inventory[[#This Row],[25Det]]*Inventory[[#This Row],[Det/Nbhd Adj]],-2)</f>
        <v>0</v>
      </c>
      <c r="BN470" s="30">
        <f>Inventory[[#This Row],[Adjusted Res]]+Inventory[[#This Row],[Adj Det ]]</f>
        <v>301700</v>
      </c>
      <c r="BO470" s="30">
        <f>ROUND((Inventory[[#This Row],[Mdl Land Intercept]]+Inventory[[#This Row],[Mdl LnAcres]])*Inventory[[#This Row],[Det/Nbhd Adj]],-2)</f>
        <v>62500</v>
      </c>
      <c r="BP470" s="30">
        <f>Inventory[[#This Row],[Adjusted Impr Total]]+Inventory[[#This Row],[Adjusted Land Total]]</f>
        <v>364200</v>
      </c>
      <c r="BQ470" s="30">
        <f>IFERROR((Inventory[[#This Row],[Adjusted Impr Total]]-Inventory[[#This Row],[24Bldg]])/Inventory[[#This Row],[24Bldg]],0)</f>
        <v>-2.4571613320400906E-2</v>
      </c>
      <c r="BR470" s="43">
        <f>(Inventory[[#This Row],[Adjusted Land Total]]-Inventory[[#This Row],[24Lnd]])/Inventory[[#This Row],[24Lnd]]</f>
        <v>0</v>
      </c>
      <c r="BS470" s="43">
        <f>(Inventory[[#This Row],[Adjusted Total]]-Inventory[[#This Row],[24Final]])/Inventory[[#This Row],[24Final]]</f>
        <v>-2.0441097364174286E-2</v>
      </c>
    </row>
    <row r="471" spans="1:71">
      <c r="A471" s="30">
        <v>2025</v>
      </c>
      <c r="B471" s="31" t="s">
        <v>985</v>
      </c>
      <c r="C471" s="31">
        <f>LN(Inventory[[#This Row],[Acres]])</f>
        <v>-1.7147984280919266</v>
      </c>
      <c r="D471" s="30">
        <v>0.18</v>
      </c>
      <c r="E471" s="30">
        <v>7809</v>
      </c>
      <c r="F471" s="31" t="s">
        <v>505</v>
      </c>
      <c r="G471" s="31" t="s">
        <v>155</v>
      </c>
      <c r="H471" s="31" t="s">
        <v>5</v>
      </c>
      <c r="I471" s="31" t="s">
        <v>506</v>
      </c>
      <c r="J471" s="31" t="s">
        <v>507</v>
      </c>
      <c r="K471" s="31" t="s">
        <v>157</v>
      </c>
      <c r="L471" s="31" t="s">
        <v>19</v>
      </c>
      <c r="M471" s="31" t="s">
        <v>22</v>
      </c>
      <c r="N471" s="31">
        <v>10</v>
      </c>
      <c r="O471" s="31">
        <f>2024-Inventory[[#This Row],[YrBlt]]</f>
        <v>15</v>
      </c>
      <c r="P471" s="31">
        <f>2024-Inventory[[#This Row],[EffYr]]</f>
        <v>15</v>
      </c>
      <c r="Q471" s="30">
        <v>2009</v>
      </c>
      <c r="R471" s="30">
        <v>2009</v>
      </c>
      <c r="S471" s="30">
        <v>1132</v>
      </c>
      <c r="T471" s="32"/>
      <c r="U471" s="32"/>
      <c r="V471" s="32"/>
      <c r="W471" s="32"/>
      <c r="X471" s="32">
        <f>Inventory[[#This Row],[Bsmt Area]]-Inventory[[#This Row],[FnBsmt]]</f>
        <v>0</v>
      </c>
      <c r="Y471" s="32">
        <f>Inventory[[#This Row],[MainFn]]+Inventory[[#This Row],[UpprFn]]+Inventory[[#This Row],[AddFn]]+Inventory[[#This Row],[FnBsmt]]</f>
        <v>1132</v>
      </c>
      <c r="Z471" s="32">
        <v>1500</v>
      </c>
      <c r="AA471" s="31" t="s">
        <v>56</v>
      </c>
      <c r="AB471" s="32"/>
      <c r="AC471" s="30">
        <v>444</v>
      </c>
      <c r="AD471" s="32"/>
      <c r="AE471" s="32"/>
      <c r="AF471" s="32"/>
      <c r="AG471" s="32"/>
      <c r="AH471" s="32"/>
      <c r="AI471" s="30">
        <v>239323</v>
      </c>
      <c r="AJ471" s="30">
        <v>224964</v>
      </c>
      <c r="AK471" s="30">
        <v>0</v>
      </c>
      <c r="AL471" s="30">
        <v>0</v>
      </c>
      <c r="AM471" s="30">
        <v>62500</v>
      </c>
      <c r="AN471" s="30">
        <v>299300</v>
      </c>
      <c r="AO471" s="30">
        <v>361800</v>
      </c>
      <c r="AP471" s="30">
        <f>Lookups!$B$58*0.6</f>
        <v>132535.48800000001</v>
      </c>
      <c r="AQ471" s="30">
        <f>Lookups!$B$58*0.4</f>
        <v>88356.992000000013</v>
      </c>
      <c r="AR471" s="30">
        <f>Lookups!$B$59*Inventory[[#This Row],[LnAcres]]</f>
        <v>-22505.565020573864</v>
      </c>
      <c r="AS471" s="30">
        <f>VLOOKUP(Inventory[[#This Row],[Qlty]],Lookups!$A$66:$E$79,2,FALSE)</f>
        <v>37154.252388000001</v>
      </c>
      <c r="AT471" s="30">
        <f>VLOOKUP(Inventory[[#This Row],[Cnd]],Lookups!$A$80:$E$88,2,FALSE)</f>
        <v>50438.379078999998</v>
      </c>
      <c r="AU471" s="30">
        <f>Inventory[[#This Row],[EffAge]]*Lookups!$B$65</f>
        <v>-1631.1165000000001</v>
      </c>
      <c r="AV471" s="30">
        <f>Inventory[[#This Row],[MainFn]]*Lookups!$B$90</f>
        <v>70648.550159999999</v>
      </c>
      <c r="AW471" s="30">
        <f>Inventory[[#This Row],[UpprFn]]*Lookups!$B$91</f>
        <v>0</v>
      </c>
      <c r="AX471" s="30">
        <f>Inventory[[#This Row],[Bsmt Area]]*Lookups!$B$95</f>
        <v>0</v>
      </c>
      <c r="AY471" s="30">
        <f>Inventory[[#This Row],[AttGar]]*Lookups!$B$93</f>
        <v>15673.657764000001</v>
      </c>
      <c r="AZ471" s="30">
        <f>ROUND(Inventory[[#This Row],[25Det]],-2)</f>
        <v>0</v>
      </c>
      <c r="BA471" s="30">
        <f>ROUND(SUM(Inventory[[#This Row],[Mdl Qlty]:[Mdl Garage Area]])+Inventory[[#This Row],[Mdl Res Intercept]],-2)</f>
        <v>304800</v>
      </c>
      <c r="BB471" s="30">
        <f>ROUND(Inventory[[#This Row],[Mdl Land Intercept]]+Inventory[[#This Row],[Mdl LnAcres]],-2)</f>
        <v>65900</v>
      </c>
      <c r="BC471" s="30">
        <f>Inventory[[#This Row],[Unadj Res Value]]+Inventory[[#This Row],[Unadj Det Value]]+Inventory[[#This Row],[Unadj Land Value]]</f>
        <v>370700</v>
      </c>
      <c r="BD471" s="30">
        <f>(Inventory[[#This Row],[Unadj Total Value]]-Inventory[[#This Row],[24Final]])/Inventory[[#This Row],[24Final]]</f>
        <v>2.4599226091763404E-2</v>
      </c>
      <c r="BE471" s="30">
        <f>VLOOKUP(Inventory[[#This Row],[Nbhd]],Lookups!$M$3:$P$5,4,FALSE)</f>
        <v>0.99970000000000003</v>
      </c>
      <c r="BF471" s="30">
        <f>VLOOKUP(Inventory[[#This Row],[Qlty]],Lookups!$M$8:$P$22,4,FALSE)</f>
        <v>0.99819999999999998</v>
      </c>
      <c r="BG471" s="30">
        <f>VLOOKUP(Inventory[[#This Row],[Cnd]],Lookups!$R$8:$U$17,4,FALSE)</f>
        <v>1.0007999999999999</v>
      </c>
      <c r="BH471" s="30">
        <f>VLOOKUP(Inventory[[#This Row],[LivArea Range]],Lookups!$R$25:$U$43,4,FALSE)</f>
        <v>0.99519999999999997</v>
      </c>
      <c r="BI471" s="30">
        <f>VLOOKUP(Inventory[[#This Row],[Decade]],Lookups!$M$24:$P$40,4,FALSE)</f>
        <v>1.0024</v>
      </c>
      <c r="BJ471" s="30">
        <f>Inventory[[#This Row],[Nbhd Adj]]*0.95</f>
        <v>0.94971499999999998</v>
      </c>
      <c r="BK471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471" s="30">
        <f>ROUND((SUM(Inventory[[#This Row],[Mdl Qlty]:[Mdl Garage Area]])+Inventory[[#This Row],[Mdl Res Intercept]])*Inventory[[#This Row],[Res Adj ]],-2)</f>
        <v>289400</v>
      </c>
      <c r="BM471" s="30">
        <f>ROUND(Inventory[[#This Row],[25Det]]*Inventory[[#This Row],[Det/Nbhd Adj]],-2)</f>
        <v>0</v>
      </c>
      <c r="BN471" s="30">
        <f>Inventory[[#This Row],[Adjusted Res]]+Inventory[[#This Row],[Adj Det ]]</f>
        <v>289400</v>
      </c>
      <c r="BO471" s="30">
        <f>ROUND((Inventory[[#This Row],[Mdl Land Intercept]]+Inventory[[#This Row],[Mdl LnAcres]])*Inventory[[#This Row],[Det/Nbhd Adj]],-2)</f>
        <v>62500</v>
      </c>
      <c r="BP471" s="30">
        <f>Inventory[[#This Row],[Adjusted Impr Total]]+Inventory[[#This Row],[Adjusted Land Total]]</f>
        <v>351900</v>
      </c>
      <c r="BQ471" s="30">
        <f>IFERROR((Inventory[[#This Row],[Adjusted Impr Total]]-Inventory[[#This Row],[24Bldg]])/Inventory[[#This Row],[24Bldg]],0)</f>
        <v>-3.3077180086869364E-2</v>
      </c>
      <c r="BR471" s="43">
        <f>(Inventory[[#This Row],[Adjusted Land Total]]-Inventory[[#This Row],[24Lnd]])/Inventory[[#This Row],[24Lnd]]</f>
        <v>0</v>
      </c>
      <c r="BS471" s="43">
        <f>(Inventory[[#This Row],[Adjusted Total]]-Inventory[[#This Row],[24Final]])/Inventory[[#This Row],[24Final]]</f>
        <v>-2.736318407960199E-2</v>
      </c>
    </row>
    <row r="472" spans="1:71">
      <c r="A472" s="30">
        <v>2025</v>
      </c>
      <c r="B472" s="31" t="s">
        <v>986</v>
      </c>
      <c r="C472" s="31">
        <f>LN(Inventory[[#This Row],[Acres]])</f>
        <v>-1.7147984280919266</v>
      </c>
      <c r="D472" s="30">
        <v>0.18</v>
      </c>
      <c r="E472" s="30">
        <v>7809</v>
      </c>
      <c r="F472" s="31" t="s">
        <v>505</v>
      </c>
      <c r="G472" s="31" t="s">
        <v>155</v>
      </c>
      <c r="H472" s="31" t="s">
        <v>5</v>
      </c>
      <c r="I472" s="31" t="s">
        <v>506</v>
      </c>
      <c r="J472" s="31" t="s">
        <v>507</v>
      </c>
      <c r="K472" s="31" t="s">
        <v>157</v>
      </c>
      <c r="L472" s="31" t="s">
        <v>19</v>
      </c>
      <c r="M472" s="31" t="s">
        <v>22</v>
      </c>
      <c r="N472" s="31">
        <v>10</v>
      </c>
      <c r="O472" s="31">
        <f>2024-Inventory[[#This Row],[YrBlt]]</f>
        <v>15</v>
      </c>
      <c r="P472" s="31">
        <f>2024-Inventory[[#This Row],[EffYr]]</f>
        <v>15</v>
      </c>
      <c r="Q472" s="30">
        <v>2009</v>
      </c>
      <c r="R472" s="30">
        <v>2009</v>
      </c>
      <c r="S472" s="30">
        <v>1132</v>
      </c>
      <c r="T472" s="32"/>
      <c r="U472" s="32"/>
      <c r="V472" s="32"/>
      <c r="W472" s="32"/>
      <c r="X472" s="32">
        <f>Inventory[[#This Row],[Bsmt Area]]-Inventory[[#This Row],[FnBsmt]]</f>
        <v>0</v>
      </c>
      <c r="Y472" s="32">
        <f>Inventory[[#This Row],[MainFn]]+Inventory[[#This Row],[UpprFn]]+Inventory[[#This Row],[AddFn]]+Inventory[[#This Row],[FnBsmt]]</f>
        <v>1132</v>
      </c>
      <c r="Z472" s="32">
        <v>1500</v>
      </c>
      <c r="AA472" s="31" t="s">
        <v>56</v>
      </c>
      <c r="AB472" s="32"/>
      <c r="AC472" s="30">
        <v>444</v>
      </c>
      <c r="AD472" s="32"/>
      <c r="AE472" s="32"/>
      <c r="AF472" s="32"/>
      <c r="AG472" s="32"/>
      <c r="AH472" s="32"/>
      <c r="AI472" s="30">
        <v>239323</v>
      </c>
      <c r="AJ472" s="30">
        <v>224964</v>
      </c>
      <c r="AK472" s="30">
        <v>0</v>
      </c>
      <c r="AL472" s="30">
        <v>0</v>
      </c>
      <c r="AM472" s="30">
        <v>62500</v>
      </c>
      <c r="AN472" s="30">
        <v>299300</v>
      </c>
      <c r="AO472" s="30">
        <v>361800</v>
      </c>
      <c r="AP472" s="30">
        <f>Lookups!$B$58*0.6</f>
        <v>132535.48800000001</v>
      </c>
      <c r="AQ472" s="30">
        <f>Lookups!$B$58*0.4</f>
        <v>88356.992000000013</v>
      </c>
      <c r="AR472" s="30">
        <f>Lookups!$B$59*Inventory[[#This Row],[LnAcres]]</f>
        <v>-22505.565020573864</v>
      </c>
      <c r="AS472" s="30">
        <f>VLOOKUP(Inventory[[#This Row],[Qlty]],Lookups!$A$66:$E$79,2,FALSE)</f>
        <v>37154.252388000001</v>
      </c>
      <c r="AT472" s="30">
        <f>VLOOKUP(Inventory[[#This Row],[Cnd]],Lookups!$A$80:$E$88,2,FALSE)</f>
        <v>50438.379078999998</v>
      </c>
      <c r="AU472" s="30">
        <f>Inventory[[#This Row],[EffAge]]*Lookups!$B$65</f>
        <v>-1631.1165000000001</v>
      </c>
      <c r="AV472" s="30">
        <f>Inventory[[#This Row],[MainFn]]*Lookups!$B$90</f>
        <v>70648.550159999999</v>
      </c>
      <c r="AW472" s="30">
        <f>Inventory[[#This Row],[UpprFn]]*Lookups!$B$91</f>
        <v>0</v>
      </c>
      <c r="AX472" s="30">
        <f>Inventory[[#This Row],[Bsmt Area]]*Lookups!$B$95</f>
        <v>0</v>
      </c>
      <c r="AY472" s="30">
        <f>Inventory[[#This Row],[AttGar]]*Lookups!$B$93</f>
        <v>15673.657764000001</v>
      </c>
      <c r="AZ472" s="30">
        <f>ROUND(Inventory[[#This Row],[25Det]],-2)</f>
        <v>0</v>
      </c>
      <c r="BA472" s="30">
        <f>ROUND(SUM(Inventory[[#This Row],[Mdl Qlty]:[Mdl Garage Area]])+Inventory[[#This Row],[Mdl Res Intercept]],-2)</f>
        <v>304800</v>
      </c>
      <c r="BB472" s="30">
        <f>ROUND(Inventory[[#This Row],[Mdl Land Intercept]]+Inventory[[#This Row],[Mdl LnAcres]],-2)</f>
        <v>65900</v>
      </c>
      <c r="BC472" s="30">
        <f>Inventory[[#This Row],[Unadj Res Value]]+Inventory[[#This Row],[Unadj Det Value]]+Inventory[[#This Row],[Unadj Land Value]]</f>
        <v>370700</v>
      </c>
      <c r="BD472" s="30">
        <f>(Inventory[[#This Row],[Unadj Total Value]]-Inventory[[#This Row],[24Final]])/Inventory[[#This Row],[24Final]]</f>
        <v>2.4599226091763404E-2</v>
      </c>
      <c r="BE472" s="30">
        <f>VLOOKUP(Inventory[[#This Row],[Nbhd]],Lookups!$M$3:$P$5,4,FALSE)</f>
        <v>0.99970000000000003</v>
      </c>
      <c r="BF472" s="30">
        <f>VLOOKUP(Inventory[[#This Row],[Qlty]],Lookups!$M$8:$P$22,4,FALSE)</f>
        <v>0.99819999999999998</v>
      </c>
      <c r="BG472" s="30">
        <f>VLOOKUP(Inventory[[#This Row],[Cnd]],Lookups!$R$8:$U$17,4,FALSE)</f>
        <v>1.0007999999999999</v>
      </c>
      <c r="BH472" s="30">
        <f>VLOOKUP(Inventory[[#This Row],[LivArea Range]],Lookups!$R$25:$U$43,4,FALSE)</f>
        <v>0.99519999999999997</v>
      </c>
      <c r="BI472" s="30">
        <f>VLOOKUP(Inventory[[#This Row],[Decade]],Lookups!$M$24:$P$40,4,FALSE)</f>
        <v>1.0024</v>
      </c>
      <c r="BJ472" s="30">
        <f>Inventory[[#This Row],[Nbhd Adj]]*0.95</f>
        <v>0.94971499999999998</v>
      </c>
      <c r="BK472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472" s="30">
        <f>ROUND((SUM(Inventory[[#This Row],[Mdl Qlty]:[Mdl Garage Area]])+Inventory[[#This Row],[Mdl Res Intercept]])*Inventory[[#This Row],[Res Adj ]],-2)</f>
        <v>289400</v>
      </c>
      <c r="BM472" s="30">
        <f>ROUND(Inventory[[#This Row],[25Det]]*Inventory[[#This Row],[Det/Nbhd Adj]],-2)</f>
        <v>0</v>
      </c>
      <c r="BN472" s="30">
        <f>Inventory[[#This Row],[Adjusted Res]]+Inventory[[#This Row],[Adj Det ]]</f>
        <v>289400</v>
      </c>
      <c r="BO472" s="30">
        <f>ROUND((Inventory[[#This Row],[Mdl Land Intercept]]+Inventory[[#This Row],[Mdl LnAcres]])*Inventory[[#This Row],[Det/Nbhd Adj]],-2)</f>
        <v>62500</v>
      </c>
      <c r="BP472" s="30">
        <f>Inventory[[#This Row],[Adjusted Impr Total]]+Inventory[[#This Row],[Adjusted Land Total]]</f>
        <v>351900</v>
      </c>
      <c r="BQ472" s="30">
        <f>IFERROR((Inventory[[#This Row],[Adjusted Impr Total]]-Inventory[[#This Row],[24Bldg]])/Inventory[[#This Row],[24Bldg]],0)</f>
        <v>-3.3077180086869364E-2</v>
      </c>
      <c r="BR472" s="43">
        <f>(Inventory[[#This Row],[Adjusted Land Total]]-Inventory[[#This Row],[24Lnd]])/Inventory[[#This Row],[24Lnd]]</f>
        <v>0</v>
      </c>
      <c r="BS472" s="43">
        <f>(Inventory[[#This Row],[Adjusted Total]]-Inventory[[#This Row],[24Final]])/Inventory[[#This Row],[24Final]]</f>
        <v>-2.736318407960199E-2</v>
      </c>
    </row>
    <row r="473" spans="1:71">
      <c r="A473" s="30">
        <v>2025</v>
      </c>
      <c r="B473" s="31" t="s">
        <v>987</v>
      </c>
      <c r="C473" s="31">
        <f>LN(Inventory[[#This Row],[Acres]])</f>
        <v>-1.5141277326297755</v>
      </c>
      <c r="D473" s="30">
        <v>0.22</v>
      </c>
      <c r="E473" s="30">
        <v>9729</v>
      </c>
      <c r="F473" s="31" t="s">
        <v>505</v>
      </c>
      <c r="G473" s="31" t="s">
        <v>155</v>
      </c>
      <c r="H473" s="31" t="s">
        <v>5</v>
      </c>
      <c r="I473" s="31" t="s">
        <v>506</v>
      </c>
      <c r="J473" s="31" t="s">
        <v>507</v>
      </c>
      <c r="K473" s="31" t="s">
        <v>157</v>
      </c>
      <c r="L473" s="31" t="s">
        <v>21</v>
      </c>
      <c r="M473" s="31" t="s">
        <v>22</v>
      </c>
      <c r="N473" s="31">
        <v>10</v>
      </c>
      <c r="O473" s="31">
        <f>2024-Inventory[[#This Row],[YrBlt]]</f>
        <v>15</v>
      </c>
      <c r="P473" s="31">
        <f>2024-Inventory[[#This Row],[EffYr]]</f>
        <v>15</v>
      </c>
      <c r="Q473" s="30">
        <v>2009</v>
      </c>
      <c r="R473" s="30">
        <v>2009</v>
      </c>
      <c r="S473" s="30">
        <v>1116</v>
      </c>
      <c r="T473" s="38">
        <v>1116</v>
      </c>
      <c r="U473" s="32"/>
      <c r="V473" s="32"/>
      <c r="W473" s="32"/>
      <c r="X473" s="32">
        <f>Inventory[[#This Row],[Bsmt Area]]-Inventory[[#This Row],[FnBsmt]]</f>
        <v>0</v>
      </c>
      <c r="Y473" s="32">
        <f>Inventory[[#This Row],[MainFn]]+Inventory[[#This Row],[UpprFn]]+Inventory[[#This Row],[AddFn]]+Inventory[[#This Row],[FnBsmt]]</f>
        <v>2232</v>
      </c>
      <c r="Z473" s="32">
        <v>2500</v>
      </c>
      <c r="AA473" s="31" t="s">
        <v>57</v>
      </c>
      <c r="AB473" s="32"/>
      <c r="AC473" s="30">
        <v>716</v>
      </c>
      <c r="AD473" s="32"/>
      <c r="AE473" s="32"/>
      <c r="AF473" s="32"/>
      <c r="AG473" s="32"/>
      <c r="AH473" s="32"/>
      <c r="AI473" s="30">
        <v>453102</v>
      </c>
      <c r="AJ473" s="30">
        <v>425916</v>
      </c>
      <c r="AK473" s="30">
        <v>0</v>
      </c>
      <c r="AL473" s="30">
        <v>0</v>
      </c>
      <c r="AM473" s="30">
        <v>65300</v>
      </c>
      <c r="AN473" s="30">
        <v>366900</v>
      </c>
      <c r="AO473" s="30">
        <v>432200</v>
      </c>
      <c r="AP473" s="30">
        <f>Lookups!$B$58*0.6</f>
        <v>132535.48800000001</v>
      </c>
      <c r="AQ473" s="30">
        <f>Lookups!$B$58*0.4</f>
        <v>88356.992000000013</v>
      </c>
      <c r="AR473" s="30">
        <f>Lookups!$B$59*Inventory[[#This Row],[LnAcres]]</f>
        <v>-19871.898398035348</v>
      </c>
      <c r="AS473" s="30">
        <f>VLOOKUP(Inventory[[#This Row],[Qlty]],Lookups!$A$66:$E$79,2,FALSE)</f>
        <v>32917.849192000001</v>
      </c>
      <c r="AT473" s="30">
        <f>VLOOKUP(Inventory[[#This Row],[Cnd]],Lookups!$A$80:$E$88,2,FALSE)</f>
        <v>50438.379078999998</v>
      </c>
      <c r="AU473" s="30">
        <f>Inventory[[#This Row],[EffAge]]*Lookups!$B$65</f>
        <v>-1631.1165000000001</v>
      </c>
      <c r="AV473" s="30">
        <f>Inventory[[#This Row],[MainFn]]*Lookups!$B$90</f>
        <v>69649.984080000009</v>
      </c>
      <c r="AW473" s="30">
        <f>Inventory[[#This Row],[UpprFn]]*Lookups!$B$91</f>
        <v>66491.707427999994</v>
      </c>
      <c r="AX473" s="30">
        <f>Inventory[[#This Row],[Bsmt Area]]*Lookups!$B$95</f>
        <v>0</v>
      </c>
      <c r="AY473" s="30">
        <f>Inventory[[#This Row],[AttGar]]*Lookups!$B$93</f>
        <v>25275.538196000001</v>
      </c>
      <c r="AZ473" s="30">
        <f>ROUND(Inventory[[#This Row],[25Det]],-2)</f>
        <v>0</v>
      </c>
      <c r="BA473" s="30">
        <f>ROUND(SUM(Inventory[[#This Row],[Mdl Qlty]:[Mdl Garage Area]])+Inventory[[#This Row],[Mdl Res Intercept]],-2)</f>
        <v>375700</v>
      </c>
      <c r="BB473" s="30">
        <f>ROUND(Inventory[[#This Row],[Mdl Land Intercept]]+Inventory[[#This Row],[Mdl LnAcres]],-2)</f>
        <v>68500</v>
      </c>
      <c r="BC473" s="30">
        <f>Inventory[[#This Row],[Unadj Res Value]]+Inventory[[#This Row],[Unadj Det Value]]+Inventory[[#This Row],[Unadj Land Value]]</f>
        <v>444200</v>
      </c>
      <c r="BD473" s="30">
        <f>(Inventory[[#This Row],[Unadj Total Value]]-Inventory[[#This Row],[24Final]])/Inventory[[#This Row],[24Final]]</f>
        <v>2.7764923646459973E-2</v>
      </c>
      <c r="BE473" s="30">
        <f>VLOOKUP(Inventory[[#This Row],[Nbhd]],Lookups!$M$3:$P$5,4,FALSE)</f>
        <v>0.99970000000000003</v>
      </c>
      <c r="BF473" s="30">
        <f>VLOOKUP(Inventory[[#This Row],[Qlty]],Lookups!$M$8:$P$22,4,FALSE)</f>
        <v>1.0019</v>
      </c>
      <c r="BG473" s="30">
        <f>VLOOKUP(Inventory[[#This Row],[Cnd]],Lookups!$R$8:$U$17,4,FALSE)</f>
        <v>1.0007999999999999</v>
      </c>
      <c r="BH473" s="30">
        <f>VLOOKUP(Inventory[[#This Row],[LivArea Range]],Lookups!$R$25:$U$43,4,FALSE)</f>
        <v>1.0008999999999999</v>
      </c>
      <c r="BI473" s="30">
        <f>VLOOKUP(Inventory[[#This Row],[Decade]],Lookups!$M$24:$P$40,4,FALSE)</f>
        <v>1.0024</v>
      </c>
      <c r="BJ473" s="30">
        <f>Inventory[[#This Row],[Nbhd Adj]]*0.95</f>
        <v>0.94971499999999998</v>
      </c>
      <c r="BK473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473" s="30">
        <f>ROUND((SUM(Inventory[[#This Row],[Mdl Qlty]:[Mdl Garage Area]])+Inventory[[#This Row],[Mdl Res Intercept]])*Inventory[[#This Row],[Res Adj ]],-2)</f>
        <v>357300</v>
      </c>
      <c r="BM473" s="30">
        <f>ROUND(Inventory[[#This Row],[25Det]]*Inventory[[#This Row],[Det/Nbhd Adj]],-2)</f>
        <v>0</v>
      </c>
      <c r="BN473" s="30">
        <f>Inventory[[#This Row],[Adjusted Res]]+Inventory[[#This Row],[Adj Det ]]</f>
        <v>357300</v>
      </c>
      <c r="BO473" s="30">
        <f>ROUND((Inventory[[#This Row],[Mdl Land Intercept]]+Inventory[[#This Row],[Mdl LnAcres]])*Inventory[[#This Row],[Det/Nbhd Adj]],-2)</f>
        <v>65000</v>
      </c>
      <c r="BP473" s="30">
        <f>Inventory[[#This Row],[Adjusted Impr Total]]+Inventory[[#This Row],[Adjusted Land Total]]</f>
        <v>422300</v>
      </c>
      <c r="BQ473" s="30">
        <f>IFERROR((Inventory[[#This Row],[Adjusted Impr Total]]-Inventory[[#This Row],[24Bldg]])/Inventory[[#This Row],[24Bldg]],0)</f>
        <v>-2.616516762060507E-2</v>
      </c>
      <c r="BR473" s="43">
        <f>(Inventory[[#This Row],[Adjusted Land Total]]-Inventory[[#This Row],[24Lnd]])/Inventory[[#This Row],[24Lnd]]</f>
        <v>-4.5941807044410417E-3</v>
      </c>
      <c r="BS473" s="43">
        <f>(Inventory[[#This Row],[Adjusted Total]]-Inventory[[#This Row],[24Final]])/Inventory[[#This Row],[24Final]]</f>
        <v>-2.2906062008329477E-2</v>
      </c>
    </row>
    <row r="474" spans="1:71">
      <c r="A474" s="30">
        <v>2025</v>
      </c>
      <c r="B474" s="31" t="s">
        <v>988</v>
      </c>
      <c r="C474" s="31">
        <f>LN(Inventory[[#This Row],[Acres]])</f>
        <v>-0.82098055206983023</v>
      </c>
      <c r="D474" s="30">
        <v>0.44</v>
      </c>
      <c r="E474" s="30">
        <v>19089</v>
      </c>
      <c r="F474" s="31" t="s">
        <v>505</v>
      </c>
      <c r="G474" s="31" t="s">
        <v>155</v>
      </c>
      <c r="H474" s="31" t="s">
        <v>5</v>
      </c>
      <c r="I474" s="31" t="s">
        <v>506</v>
      </c>
      <c r="J474" s="31" t="s">
        <v>507</v>
      </c>
      <c r="K474" s="31" t="s">
        <v>330</v>
      </c>
      <c r="L474" s="31" t="s">
        <v>17</v>
      </c>
      <c r="M474" s="31" t="s">
        <v>22</v>
      </c>
      <c r="N474" s="31">
        <v>10</v>
      </c>
      <c r="O474" s="31">
        <f>2024-Inventory[[#This Row],[YrBlt]]</f>
        <v>15</v>
      </c>
      <c r="P474" s="31">
        <f>2024-Inventory[[#This Row],[EffYr]]</f>
        <v>15</v>
      </c>
      <c r="Q474" s="30">
        <v>2009</v>
      </c>
      <c r="R474" s="30">
        <v>2009</v>
      </c>
      <c r="S474" s="30">
        <v>1310</v>
      </c>
      <c r="T474" s="32"/>
      <c r="U474" s="32"/>
      <c r="V474" s="32"/>
      <c r="W474" s="32"/>
      <c r="X474" s="32">
        <f>Inventory[[#This Row],[Bsmt Area]]-Inventory[[#This Row],[FnBsmt]]</f>
        <v>0</v>
      </c>
      <c r="Y474" s="32">
        <f>Inventory[[#This Row],[MainFn]]+Inventory[[#This Row],[UpprFn]]+Inventory[[#This Row],[AddFn]]+Inventory[[#This Row],[FnBsmt]]</f>
        <v>1310</v>
      </c>
      <c r="Z474" s="32">
        <v>1500</v>
      </c>
      <c r="AA474" s="31" t="s">
        <v>56</v>
      </c>
      <c r="AB474" s="32"/>
      <c r="AC474" s="30">
        <v>484</v>
      </c>
      <c r="AD474" s="32"/>
      <c r="AE474" s="32"/>
      <c r="AF474" s="32"/>
      <c r="AG474" s="32"/>
      <c r="AH474" s="32"/>
      <c r="AI474" s="30">
        <v>223657</v>
      </c>
      <c r="AJ474" s="30">
        <v>210238</v>
      </c>
      <c r="AK474" s="30">
        <v>0</v>
      </c>
      <c r="AL474" s="30">
        <v>0</v>
      </c>
      <c r="AM474" s="30">
        <v>75000</v>
      </c>
      <c r="AN474" s="30">
        <v>288800</v>
      </c>
      <c r="AO474" s="30">
        <v>363800</v>
      </c>
      <c r="AP474" s="30">
        <f>Lookups!$B$58*0.6</f>
        <v>132535.48800000001</v>
      </c>
      <c r="AQ474" s="30">
        <f>Lookups!$B$58*0.4</f>
        <v>88356.992000000013</v>
      </c>
      <c r="AR474" s="30">
        <f>Lookups!$B$59*Inventory[[#This Row],[LnAcres]]</f>
        <v>-10774.812300121666</v>
      </c>
      <c r="AS474" s="30">
        <f>VLOOKUP(Inventory[[#This Row],[Qlty]],Lookups!$A$66:$E$79,2,FALSE)</f>
        <v>24371.765965999999</v>
      </c>
      <c r="AT474" s="30">
        <f>VLOOKUP(Inventory[[#This Row],[Cnd]],Lookups!$A$80:$E$88,2,FALSE)</f>
        <v>50438.379078999998</v>
      </c>
      <c r="AU474" s="30">
        <f>Inventory[[#This Row],[EffAge]]*Lookups!$B$65</f>
        <v>-1631.1165000000001</v>
      </c>
      <c r="AV474" s="30">
        <f>Inventory[[#This Row],[MainFn]]*Lookups!$B$90</f>
        <v>81757.597800000003</v>
      </c>
      <c r="AW474" s="30">
        <f>Inventory[[#This Row],[UpprFn]]*Lookups!$B$91</f>
        <v>0</v>
      </c>
      <c r="AX474" s="30">
        <f>Inventory[[#This Row],[Bsmt Area]]*Lookups!$B$95</f>
        <v>0</v>
      </c>
      <c r="AY474" s="30">
        <f>Inventory[[#This Row],[AttGar]]*Lookups!$B$93</f>
        <v>17085.699004000002</v>
      </c>
      <c r="AZ474" s="30">
        <f>ROUND(Inventory[[#This Row],[25Det]],-2)</f>
        <v>0</v>
      </c>
      <c r="BA474" s="30">
        <f>ROUND(SUM(Inventory[[#This Row],[Mdl Qlty]:[Mdl Garage Area]])+Inventory[[#This Row],[Mdl Res Intercept]],-2)</f>
        <v>304600</v>
      </c>
      <c r="BB474" s="30">
        <f>ROUND(Inventory[[#This Row],[Mdl Land Intercept]]+Inventory[[#This Row],[Mdl LnAcres]],-2)</f>
        <v>77600</v>
      </c>
      <c r="BC474" s="30">
        <f>Inventory[[#This Row],[Unadj Res Value]]+Inventory[[#This Row],[Unadj Det Value]]+Inventory[[#This Row],[Unadj Land Value]]</f>
        <v>382200</v>
      </c>
      <c r="BD474" s="30">
        <f>(Inventory[[#This Row],[Unadj Total Value]]-Inventory[[#This Row],[24Final]])/Inventory[[#This Row],[24Final]]</f>
        <v>5.0577240241891148E-2</v>
      </c>
      <c r="BE474" s="30">
        <f>VLOOKUP(Inventory[[#This Row],[Nbhd]],Lookups!$M$3:$P$5,4,FALSE)</f>
        <v>0.99970000000000003</v>
      </c>
      <c r="BF474" s="30">
        <f>VLOOKUP(Inventory[[#This Row],[Qlty]],Lookups!$M$8:$P$22,4,FALSE)</f>
        <v>0.99199999999999999</v>
      </c>
      <c r="BG474" s="30">
        <f>VLOOKUP(Inventory[[#This Row],[Cnd]],Lookups!$R$8:$U$17,4,FALSE)</f>
        <v>1.0007999999999999</v>
      </c>
      <c r="BH474" s="30">
        <f>VLOOKUP(Inventory[[#This Row],[LivArea Range]],Lookups!$R$25:$U$43,4,FALSE)</f>
        <v>0.99519999999999997</v>
      </c>
      <c r="BI474" s="30">
        <f>VLOOKUP(Inventory[[#This Row],[Decade]],Lookups!$M$24:$P$40,4,FALSE)</f>
        <v>1.0024</v>
      </c>
      <c r="BJ474" s="30">
        <f>Inventory[[#This Row],[Nbhd Adj]]*0.95</f>
        <v>0.94971499999999998</v>
      </c>
      <c r="BK474" s="30">
        <f>AVERAGE(Inventory[[#This Row],[Nbhd Adj]],Inventory[[#This Row],[Quality Adj]],Inventory[[#This Row],[Condition Adj]],Inventory[[#This Row],[Living Area Adj]],Inventory[[#This Row],[Decade Adj]])*0.95</f>
        <v>0.94811899999999993</v>
      </c>
      <c r="BL474" s="30">
        <f>ROUND((SUM(Inventory[[#This Row],[Mdl Qlty]:[Mdl Garage Area]])+Inventory[[#This Row],[Mdl Res Intercept]])*Inventory[[#This Row],[Res Adj ]],-2)</f>
        <v>288800</v>
      </c>
      <c r="BM474" s="30">
        <f>ROUND(Inventory[[#This Row],[25Det]]*Inventory[[#This Row],[Det/Nbhd Adj]],-2)</f>
        <v>0</v>
      </c>
      <c r="BN474" s="30">
        <f>Inventory[[#This Row],[Adjusted Res]]+Inventory[[#This Row],[Adj Det ]]</f>
        <v>288800</v>
      </c>
      <c r="BO474" s="30">
        <f>ROUND((Inventory[[#This Row],[Mdl Land Intercept]]+Inventory[[#This Row],[Mdl LnAcres]])*Inventory[[#This Row],[Det/Nbhd Adj]],-2)</f>
        <v>73700</v>
      </c>
      <c r="BP474" s="30">
        <f>Inventory[[#This Row],[Adjusted Impr Total]]+Inventory[[#This Row],[Adjusted Land Total]]</f>
        <v>362500</v>
      </c>
      <c r="BQ474" s="30">
        <f>IFERROR((Inventory[[#This Row],[Adjusted Impr Total]]-Inventory[[#This Row],[24Bldg]])/Inventory[[#This Row],[24Bldg]],0)</f>
        <v>0</v>
      </c>
      <c r="BR474" s="43">
        <f>(Inventory[[#This Row],[Adjusted Land Total]]-Inventory[[#This Row],[24Lnd]])/Inventory[[#This Row],[24Lnd]]</f>
        <v>-1.7333333333333333E-2</v>
      </c>
      <c r="BS474" s="43">
        <f>(Inventory[[#This Row],[Adjusted Total]]-Inventory[[#This Row],[24Final]])/Inventory[[#This Row],[24Final]]</f>
        <v>-3.5733919736118747E-3</v>
      </c>
    </row>
    <row r="475" spans="1:71">
      <c r="A475" s="30">
        <v>2025</v>
      </c>
      <c r="B475" s="31" t="s">
        <v>989</v>
      </c>
      <c r="C475" s="31">
        <f>LN(Inventory[[#This Row],[Acres]])</f>
        <v>7.6961041136128394E-2</v>
      </c>
      <c r="D475" s="30">
        <v>1.08</v>
      </c>
      <c r="E475" s="30">
        <v>47167</v>
      </c>
      <c r="F475" s="31" t="s">
        <v>505</v>
      </c>
      <c r="G475" s="31" t="s">
        <v>155</v>
      </c>
      <c r="H475" s="31" t="s">
        <v>5</v>
      </c>
      <c r="I475" s="31" t="s">
        <v>506</v>
      </c>
      <c r="J475" s="31" t="s">
        <v>773</v>
      </c>
      <c r="K475" s="31" t="s">
        <v>193</v>
      </c>
      <c r="L475" s="31" t="s">
        <v>21</v>
      </c>
      <c r="M475" s="31" t="s">
        <v>20</v>
      </c>
      <c r="N475" s="31">
        <v>10</v>
      </c>
      <c r="O475" s="31">
        <f>2024-Inventory[[#This Row],[YrBlt]]</f>
        <v>15</v>
      </c>
      <c r="P475" s="31">
        <f>2024-Inventory[[#This Row],[EffYr]]</f>
        <v>15</v>
      </c>
      <c r="Q475" s="30">
        <v>2009</v>
      </c>
      <c r="R475" s="30">
        <v>2009</v>
      </c>
      <c r="S475" s="30">
        <v>1942</v>
      </c>
      <c r="T475" s="37"/>
      <c r="U475" s="32"/>
      <c r="V475" s="32"/>
      <c r="W475" s="32"/>
      <c r="X475" s="32">
        <f>Inventory[[#This Row],[Bsmt Area]]-Inventory[[#This Row],[FnBsmt]]</f>
        <v>0</v>
      </c>
      <c r="Y475" s="32">
        <f>Inventory[[#This Row],[MainFn]]+Inventory[[#This Row],[UpprFn]]+Inventory[[#This Row],[AddFn]]+Inventory[[#This Row],[FnBsmt]]</f>
        <v>1942</v>
      </c>
      <c r="Z475" s="32">
        <v>2000</v>
      </c>
      <c r="AA475" s="31" t="s">
        <v>57</v>
      </c>
      <c r="AB475" s="30">
        <v>1</v>
      </c>
      <c r="AC475" s="30">
        <v>624</v>
      </c>
      <c r="AD475" s="32"/>
      <c r="AE475" s="32"/>
      <c r="AF475" s="32"/>
      <c r="AG475" s="32"/>
      <c r="AH475" s="32"/>
      <c r="AI475" s="30">
        <v>444995</v>
      </c>
      <c r="AJ475" s="30">
        <v>413845</v>
      </c>
      <c r="AK475" s="30">
        <v>36806</v>
      </c>
      <c r="AL475" s="30">
        <v>0</v>
      </c>
      <c r="AM475" s="30">
        <v>87600</v>
      </c>
      <c r="AN475" s="30">
        <v>352100</v>
      </c>
      <c r="AO475" s="30">
        <v>439700</v>
      </c>
      <c r="AP475" s="30">
        <f>Lookups!$B$58*0.6</f>
        <v>132535.48800000001</v>
      </c>
      <c r="AQ475" s="30">
        <f>Lookups!$B$58*0.4</f>
        <v>88356.992000000013</v>
      </c>
      <c r="AR475" s="30">
        <f>Lookups!$B$59*Inventory[[#This Row],[LnAcres]]</f>
        <v>1010.0614083647538</v>
      </c>
      <c r="AS475" s="30">
        <f>VLOOKUP(Inventory[[#This Row],[Qlty]],Lookups!$A$66:$E$79,2,FALSE)</f>
        <v>32917.849192000001</v>
      </c>
      <c r="AT475" s="30">
        <f>VLOOKUP(Inventory[[#This Row],[Cnd]],Lookups!$A$80:$E$88,2,FALSE)</f>
        <v>30300.329274</v>
      </c>
      <c r="AU475" s="30">
        <f>Inventory[[#This Row],[EffAge]]*Lookups!$B$65</f>
        <v>-1631.1165000000001</v>
      </c>
      <c r="AV475" s="30">
        <f>Inventory[[#This Row],[MainFn]]*Lookups!$B$90</f>
        <v>121200.95796</v>
      </c>
      <c r="AW475" s="30">
        <f>Inventory[[#This Row],[UpprFn]]*Lookups!$B$91</f>
        <v>0</v>
      </c>
      <c r="AX475" s="30">
        <f>Inventory[[#This Row],[Bsmt Area]]*Lookups!$B$95</f>
        <v>0</v>
      </c>
      <c r="AY475" s="30">
        <f>Inventory[[#This Row],[AttGar]]*Lookups!$B$93</f>
        <v>22027.843344000001</v>
      </c>
      <c r="AZ475" s="30">
        <f>ROUND(Inventory[[#This Row],[25Det]],-2)</f>
        <v>36800</v>
      </c>
      <c r="BA475" s="30">
        <f>ROUND(SUM(Inventory[[#This Row],[Mdl Qlty]:[Mdl Garage Area]])+Inventory[[#This Row],[Mdl Res Intercept]],-2)</f>
        <v>337400</v>
      </c>
      <c r="BB475" s="30">
        <f>ROUND(Inventory[[#This Row],[Mdl Land Intercept]]+Inventory[[#This Row],[Mdl LnAcres]],-2)</f>
        <v>89400</v>
      </c>
      <c r="BC475" s="30">
        <f>Inventory[[#This Row],[Unadj Res Value]]+Inventory[[#This Row],[Unadj Det Value]]+Inventory[[#This Row],[Unadj Land Value]]</f>
        <v>463600</v>
      </c>
      <c r="BD475" s="30">
        <f>(Inventory[[#This Row],[Unadj Total Value]]-Inventory[[#This Row],[24Final]])/Inventory[[#This Row],[24Final]]</f>
        <v>5.4355242210598134E-2</v>
      </c>
      <c r="BE475" s="30">
        <f>VLOOKUP(Inventory[[#This Row],[Nbhd]],Lookups!$M$3:$P$5,4,FALSE)</f>
        <v>0.99970000000000003</v>
      </c>
      <c r="BF475" s="30">
        <f>VLOOKUP(Inventory[[#This Row],[Qlty]],Lookups!$M$8:$P$22,4,FALSE)</f>
        <v>1.0019</v>
      </c>
      <c r="BG475" s="30">
        <f>VLOOKUP(Inventory[[#This Row],[Cnd]],Lookups!$R$8:$U$17,4,FALSE)</f>
        <v>0.997</v>
      </c>
      <c r="BH475" s="30">
        <f>VLOOKUP(Inventory[[#This Row],[LivArea Range]],Lookups!$R$25:$U$43,4,FALSE)</f>
        <v>1.0007999999999999</v>
      </c>
      <c r="BI475" s="30">
        <f>VLOOKUP(Inventory[[#This Row],[Decade]],Lookups!$M$24:$P$40,4,FALSE)</f>
        <v>1.0024</v>
      </c>
      <c r="BJ475" s="30">
        <f>Inventory[[#This Row],[Nbhd Adj]]*0.95</f>
        <v>0.94971499999999998</v>
      </c>
      <c r="BK475" s="30">
        <f>AVERAGE(Inventory[[#This Row],[Nbhd Adj]],Inventory[[#This Row],[Quality Adj]],Inventory[[#This Row],[Condition Adj]],Inventory[[#This Row],[Living Area Adj]],Inventory[[#This Row],[Decade Adj]])*0.95</f>
        <v>0.95034199999999991</v>
      </c>
      <c r="BL475" s="30">
        <f>ROUND((SUM(Inventory[[#This Row],[Mdl Qlty]:[Mdl Garage Area]])+Inventory[[#This Row],[Mdl Res Intercept]])*Inventory[[#This Row],[Res Adj ]],-2)</f>
        <v>320600</v>
      </c>
      <c r="BM475" s="30">
        <f>ROUND(Inventory[[#This Row],[25Det]]*Inventory[[#This Row],[Det/Nbhd Adj]],-2)</f>
        <v>35000</v>
      </c>
      <c r="BN475" s="30">
        <f>Inventory[[#This Row],[Adjusted Res]]+Inventory[[#This Row],[Adj Det ]]</f>
        <v>355600</v>
      </c>
      <c r="BO475" s="30">
        <f>ROUND((Inventory[[#This Row],[Mdl Land Intercept]]+Inventory[[#This Row],[Mdl LnAcres]])*Inventory[[#This Row],[Det/Nbhd Adj]],-2)</f>
        <v>84900</v>
      </c>
      <c r="BP475" s="30">
        <f>Inventory[[#This Row],[Adjusted Impr Total]]+Inventory[[#This Row],[Adjusted Land Total]]</f>
        <v>440500</v>
      </c>
      <c r="BQ475" s="30">
        <f>IFERROR((Inventory[[#This Row],[Adjusted Impr Total]]-Inventory[[#This Row],[24Bldg]])/Inventory[[#This Row],[24Bldg]],0)</f>
        <v>9.9403578528827041E-3</v>
      </c>
      <c r="BR475" s="43">
        <f>(Inventory[[#This Row],[Adjusted Land Total]]-Inventory[[#This Row],[24Lnd]])/Inventory[[#This Row],[24Lnd]]</f>
        <v>-3.0821917808219176E-2</v>
      </c>
      <c r="BS475" s="43">
        <f>(Inventory[[#This Row],[Adjusted Total]]-Inventory[[#This Row],[24Final]])/Inventory[[#This Row],[24Final]]</f>
        <v>1.8194223334091425E-3</v>
      </c>
    </row>
    <row r="476" spans="1:71">
      <c r="A476" s="30">
        <v>2025</v>
      </c>
      <c r="B476" s="31" t="s">
        <v>990</v>
      </c>
      <c r="C476" s="31">
        <f>LN(Inventory[[#This Row],[Acres]])</f>
        <v>0.50077528791248915</v>
      </c>
      <c r="D476" s="30">
        <v>1.65</v>
      </c>
      <c r="E476" s="37"/>
      <c r="F476" s="31" t="s">
        <v>505</v>
      </c>
      <c r="G476" s="31" t="s">
        <v>155</v>
      </c>
      <c r="H476" s="31" t="s">
        <v>5</v>
      </c>
      <c r="I476" s="31" t="s">
        <v>506</v>
      </c>
      <c r="J476" s="31" t="s">
        <v>507</v>
      </c>
      <c r="K476" s="31" t="s">
        <v>330</v>
      </c>
      <c r="L476" s="31" t="s">
        <v>21</v>
      </c>
      <c r="M476" s="31" t="s">
        <v>22</v>
      </c>
      <c r="N476" s="31">
        <v>10</v>
      </c>
      <c r="O476" s="31">
        <f>2024-Inventory[[#This Row],[YrBlt]]</f>
        <v>15</v>
      </c>
      <c r="P476" s="31">
        <f>2024-Inventory[[#This Row],[EffYr]]</f>
        <v>15</v>
      </c>
      <c r="Q476" s="30">
        <v>2009</v>
      </c>
      <c r="R476" s="30">
        <v>2009</v>
      </c>
      <c r="S476" s="30">
        <v>2692</v>
      </c>
      <c r="T476" s="37"/>
      <c r="U476" s="32"/>
      <c r="V476" s="32"/>
      <c r="W476" s="32"/>
      <c r="X476" s="32">
        <f>Inventory[[#This Row],[Bsmt Area]]-Inventory[[#This Row],[FnBsmt]]</f>
        <v>0</v>
      </c>
      <c r="Y476" s="32">
        <f>Inventory[[#This Row],[MainFn]]+Inventory[[#This Row],[UpprFn]]+Inventory[[#This Row],[AddFn]]+Inventory[[#This Row],[FnBsmt]]</f>
        <v>2692</v>
      </c>
      <c r="Z476" s="32">
        <v>3000</v>
      </c>
      <c r="AA476" s="31" t="s">
        <v>56</v>
      </c>
      <c r="AB476" s="37"/>
      <c r="AC476" s="38">
        <v>1456</v>
      </c>
      <c r="AD476" s="37"/>
      <c r="AE476" s="32"/>
      <c r="AF476" s="32"/>
      <c r="AG476" s="32"/>
      <c r="AH476" s="32"/>
      <c r="AI476" s="30">
        <v>582875</v>
      </c>
      <c r="AJ476" s="30">
        <v>547903</v>
      </c>
      <c r="AK476" s="30">
        <v>56987</v>
      </c>
      <c r="AL476" s="30">
        <v>0</v>
      </c>
      <c r="AM476" s="30">
        <v>93500</v>
      </c>
      <c r="AN476" s="30">
        <v>454600</v>
      </c>
      <c r="AO476" s="30">
        <v>548100</v>
      </c>
      <c r="AP476" s="30">
        <f>Lookups!$B$58*0.6</f>
        <v>132535.48800000001</v>
      </c>
      <c r="AQ476" s="30">
        <f>Lookups!$B$58*0.4</f>
        <v>88356.992000000013</v>
      </c>
      <c r="AR476" s="30">
        <f>Lookups!$B$59*Inventory[[#This Row],[LnAcres]]</f>
        <v>6572.3356274309272</v>
      </c>
      <c r="AS476" s="30">
        <f>VLOOKUP(Inventory[[#This Row],[Qlty]],Lookups!$A$66:$E$79,2,FALSE)</f>
        <v>32917.849192000001</v>
      </c>
      <c r="AT476" s="30">
        <f>VLOOKUP(Inventory[[#This Row],[Cnd]],Lookups!$A$80:$E$88,2,FALSE)</f>
        <v>50438.379078999998</v>
      </c>
      <c r="AU476" s="30">
        <f>Inventory[[#This Row],[EffAge]]*Lookups!$B$65</f>
        <v>-1631.1165000000001</v>
      </c>
      <c r="AV476" s="30">
        <f>Inventory[[#This Row],[MainFn]]*Lookups!$B$90</f>
        <v>168008.74296</v>
      </c>
      <c r="AW476" s="30">
        <f>Inventory[[#This Row],[UpprFn]]*Lookups!$B$91</f>
        <v>0</v>
      </c>
      <c r="AX476" s="30">
        <f>Inventory[[#This Row],[Bsmt Area]]*Lookups!$B$95</f>
        <v>0</v>
      </c>
      <c r="AY476" s="30">
        <f>Inventory[[#This Row],[AttGar]]*Lookups!$B$93</f>
        <v>51398.301136000002</v>
      </c>
      <c r="AZ476" s="30">
        <f>ROUND(Inventory[[#This Row],[25Det]],-2)</f>
        <v>57000</v>
      </c>
      <c r="BA476" s="30">
        <f>ROUND(SUM(Inventory[[#This Row],[Mdl Qlty]:[Mdl Garage Area]])+Inventory[[#This Row],[Mdl Res Intercept]],-2)</f>
        <v>433700</v>
      </c>
      <c r="BB476" s="30">
        <f>ROUND(Inventory[[#This Row],[Mdl Land Intercept]]+Inventory[[#This Row],[Mdl LnAcres]],-2)</f>
        <v>94900</v>
      </c>
      <c r="BC476" s="30">
        <f>Inventory[[#This Row],[Unadj Res Value]]+Inventory[[#This Row],[Unadj Det Value]]+Inventory[[#This Row],[Unadj Land Value]]</f>
        <v>585600</v>
      </c>
      <c r="BD476" s="30">
        <f>(Inventory[[#This Row],[Unadj Total Value]]-Inventory[[#This Row],[24Final]])/Inventory[[#This Row],[24Final]]</f>
        <v>6.8418171866447733E-2</v>
      </c>
      <c r="BE476" s="30">
        <f>VLOOKUP(Inventory[[#This Row],[Nbhd]],Lookups!$M$3:$P$5,4,FALSE)</f>
        <v>0.99970000000000003</v>
      </c>
      <c r="BF476" s="30">
        <f>VLOOKUP(Inventory[[#This Row],[Qlty]],Lookups!$M$8:$P$22,4,FALSE)</f>
        <v>1.0019</v>
      </c>
      <c r="BG476" s="30">
        <f>VLOOKUP(Inventory[[#This Row],[Cnd]],Lookups!$R$8:$U$17,4,FALSE)</f>
        <v>1.0007999999999999</v>
      </c>
      <c r="BH476" s="30">
        <f>VLOOKUP(Inventory[[#This Row],[LivArea Range]],Lookups!$R$25:$U$43,4,FALSE)</f>
        <v>1.0099</v>
      </c>
      <c r="BI476" s="30">
        <f>VLOOKUP(Inventory[[#This Row],[Decade]],Lookups!$M$24:$P$40,4,FALSE)</f>
        <v>1.0024</v>
      </c>
      <c r="BJ476" s="30">
        <f>Inventory[[#This Row],[Nbhd Adj]]*0.95</f>
        <v>0.94971499999999998</v>
      </c>
      <c r="BK476" s="30">
        <f>AVERAGE(Inventory[[#This Row],[Nbhd Adj]],Inventory[[#This Row],[Quality Adj]],Inventory[[#This Row],[Condition Adj]],Inventory[[#This Row],[Living Area Adj]],Inventory[[#This Row],[Decade Adj]])*0.95</f>
        <v>0.95279299999999989</v>
      </c>
      <c r="BL476" s="30">
        <f>ROUND((SUM(Inventory[[#This Row],[Mdl Qlty]:[Mdl Garage Area]])+Inventory[[#This Row],[Mdl Res Intercept]])*Inventory[[#This Row],[Res Adj ]],-2)</f>
        <v>413200</v>
      </c>
      <c r="BM476" s="30">
        <f>ROUND(Inventory[[#This Row],[25Det]]*Inventory[[#This Row],[Det/Nbhd Adj]],-2)</f>
        <v>54100</v>
      </c>
      <c r="BN476" s="30">
        <f>Inventory[[#This Row],[Adjusted Res]]+Inventory[[#This Row],[Adj Det ]]</f>
        <v>467300</v>
      </c>
      <c r="BO476" s="30">
        <f>ROUND((Inventory[[#This Row],[Mdl Land Intercept]]+Inventory[[#This Row],[Mdl LnAcres]])*Inventory[[#This Row],[Det/Nbhd Adj]],-2)</f>
        <v>90200</v>
      </c>
      <c r="BP476" s="30">
        <f>Inventory[[#This Row],[Adjusted Impr Total]]+Inventory[[#This Row],[Adjusted Land Total]]</f>
        <v>557500</v>
      </c>
      <c r="BQ476" s="30">
        <f>IFERROR((Inventory[[#This Row],[Adjusted Impr Total]]-Inventory[[#This Row],[24Bldg]])/Inventory[[#This Row],[24Bldg]],0)</f>
        <v>2.7936647602287725E-2</v>
      </c>
      <c r="BR476" s="43">
        <f>(Inventory[[#This Row],[Adjusted Land Total]]-Inventory[[#This Row],[24Lnd]])/Inventory[[#This Row],[24Lnd]]</f>
        <v>-3.5294117647058823E-2</v>
      </c>
      <c r="BS476" s="43">
        <f>(Inventory[[#This Row],[Adjusted Total]]-Inventory[[#This Row],[24Final]])/Inventory[[#This Row],[24Final]]</f>
        <v>1.7150155081189562E-2</v>
      </c>
    </row>
    <row r="477" spans="1:71">
      <c r="A477" s="30">
        <v>2025</v>
      </c>
      <c r="B477" s="31" t="s">
        <v>991</v>
      </c>
      <c r="C477" s="31">
        <f>LN(Inventory[[#This Row],[Acres]])</f>
        <v>-1.8325814637483102</v>
      </c>
      <c r="D477" s="30">
        <v>0.16</v>
      </c>
      <c r="E477" s="30">
        <v>7180</v>
      </c>
      <c r="F477" s="31" t="s">
        <v>505</v>
      </c>
      <c r="G477" s="31" t="s">
        <v>155</v>
      </c>
      <c r="H477" s="31" t="s">
        <v>5</v>
      </c>
      <c r="I477" s="31" t="s">
        <v>506</v>
      </c>
      <c r="J477" s="31" t="s">
        <v>507</v>
      </c>
      <c r="K477" s="31" t="s">
        <v>330</v>
      </c>
      <c r="L477" s="31" t="s">
        <v>21</v>
      </c>
      <c r="M477" s="31" t="s">
        <v>22</v>
      </c>
      <c r="N477" s="31">
        <v>10</v>
      </c>
      <c r="O477" s="31">
        <f>2024-Inventory[[#This Row],[YrBlt]]</f>
        <v>16</v>
      </c>
      <c r="P477" s="31">
        <f>2024-Inventory[[#This Row],[EffYr]]</f>
        <v>16</v>
      </c>
      <c r="Q477" s="30">
        <v>2008</v>
      </c>
      <c r="R477" s="30">
        <v>2008</v>
      </c>
      <c r="S477" s="30">
        <v>1389</v>
      </c>
      <c r="T477" s="38">
        <v>1322</v>
      </c>
      <c r="U477" s="32"/>
      <c r="V477" s="32"/>
      <c r="W477" s="32"/>
      <c r="X477" s="32">
        <f>Inventory[[#This Row],[Bsmt Area]]-Inventory[[#This Row],[FnBsmt]]</f>
        <v>0</v>
      </c>
      <c r="Y477" s="32">
        <f>Inventory[[#This Row],[MainFn]]+Inventory[[#This Row],[UpprFn]]+Inventory[[#This Row],[AddFn]]+Inventory[[#This Row],[FnBsmt]]</f>
        <v>2711</v>
      </c>
      <c r="Z477" s="32">
        <v>3000</v>
      </c>
      <c r="AA477" s="31" t="s">
        <v>57</v>
      </c>
      <c r="AB477" s="32"/>
      <c r="AC477" s="37"/>
      <c r="AD477" s="38">
        <v>728</v>
      </c>
      <c r="AE477" s="32"/>
      <c r="AF477" s="32"/>
      <c r="AG477" s="32"/>
      <c r="AH477" s="32"/>
      <c r="AI477" s="30">
        <v>518366</v>
      </c>
      <c r="AJ477" s="30">
        <v>482080</v>
      </c>
      <c r="AK477" s="30">
        <v>0</v>
      </c>
      <c r="AL477" s="30">
        <v>0</v>
      </c>
      <c r="AM477" s="30">
        <v>60800</v>
      </c>
      <c r="AN477" s="30">
        <v>389500</v>
      </c>
      <c r="AO477" s="30">
        <v>450300</v>
      </c>
      <c r="AP477" s="30">
        <f>Lookups!$B$58*0.6</f>
        <v>132535.48800000001</v>
      </c>
      <c r="AQ477" s="30">
        <f>Lookups!$B$58*0.4</f>
        <v>88356.992000000013</v>
      </c>
      <c r="AR477" s="30">
        <f>Lookups!$B$59*Inventory[[#This Row],[LnAcres]]</f>
        <v>-24051.387388882686</v>
      </c>
      <c r="AS477" s="30">
        <f>VLOOKUP(Inventory[[#This Row],[Qlty]],Lookups!$A$66:$E$79,2,FALSE)</f>
        <v>32917.849192000001</v>
      </c>
      <c r="AT477" s="30">
        <f>VLOOKUP(Inventory[[#This Row],[Cnd]],Lookups!$A$80:$E$88,2,FALSE)</f>
        <v>50438.379078999998</v>
      </c>
      <c r="AU477" s="30">
        <f>Inventory[[#This Row],[EffAge]]*Lookups!$B$65</f>
        <v>-1739.8576</v>
      </c>
      <c r="AV477" s="30">
        <f>Inventory[[#This Row],[MainFn]]*Lookups!$B$90</f>
        <v>86688.017820000008</v>
      </c>
      <c r="AW477" s="30">
        <f>Inventory[[#This Row],[UpprFn]]*Lookups!$B$91</f>
        <v>78765.266325999997</v>
      </c>
      <c r="AX477" s="30">
        <f>Inventory[[#This Row],[Bsmt Area]]*Lookups!$B$95</f>
        <v>0</v>
      </c>
      <c r="AY477" s="30">
        <f>Inventory[[#This Row],[AttGar]]*Lookups!$B$93</f>
        <v>0</v>
      </c>
      <c r="AZ477" s="30">
        <f>ROUND(Inventory[[#This Row],[25Det]],-2)</f>
        <v>0</v>
      </c>
      <c r="BA477" s="30">
        <f>ROUND(SUM(Inventory[[#This Row],[Mdl Qlty]:[Mdl Garage Area]])+Inventory[[#This Row],[Mdl Res Intercept]],-2)</f>
        <v>379600</v>
      </c>
      <c r="BB477" s="30">
        <f>ROUND(Inventory[[#This Row],[Mdl Land Intercept]]+Inventory[[#This Row],[Mdl LnAcres]],-2)</f>
        <v>64300</v>
      </c>
      <c r="BC477" s="30">
        <f>Inventory[[#This Row],[Unadj Res Value]]+Inventory[[#This Row],[Unadj Det Value]]+Inventory[[#This Row],[Unadj Land Value]]</f>
        <v>443900</v>
      </c>
      <c r="BD477" s="30">
        <f>(Inventory[[#This Row],[Unadj Total Value]]-Inventory[[#This Row],[24Final]])/Inventory[[#This Row],[24Final]]</f>
        <v>-1.4212747057517211E-2</v>
      </c>
      <c r="BE477" s="30">
        <f>VLOOKUP(Inventory[[#This Row],[Nbhd]],Lookups!$M$3:$P$5,4,FALSE)</f>
        <v>0.99970000000000003</v>
      </c>
      <c r="BF477" s="30">
        <f>VLOOKUP(Inventory[[#This Row],[Qlty]],Lookups!$M$8:$P$22,4,FALSE)</f>
        <v>1.0019</v>
      </c>
      <c r="BG477" s="30">
        <f>VLOOKUP(Inventory[[#This Row],[Cnd]],Lookups!$R$8:$U$17,4,FALSE)</f>
        <v>1.0007999999999999</v>
      </c>
      <c r="BH477" s="30">
        <f>VLOOKUP(Inventory[[#This Row],[LivArea Range]],Lookups!$R$25:$U$43,4,FALSE)</f>
        <v>1.0099</v>
      </c>
      <c r="BI477" s="30">
        <f>VLOOKUP(Inventory[[#This Row],[Decade]],Lookups!$M$24:$P$40,4,FALSE)</f>
        <v>1.0024</v>
      </c>
      <c r="BJ477" s="30">
        <f>Inventory[[#This Row],[Nbhd Adj]]*0.95</f>
        <v>0.94971499999999998</v>
      </c>
      <c r="BK477" s="30">
        <f>AVERAGE(Inventory[[#This Row],[Nbhd Adj]],Inventory[[#This Row],[Quality Adj]],Inventory[[#This Row],[Condition Adj]],Inventory[[#This Row],[Living Area Adj]],Inventory[[#This Row],[Decade Adj]])*0.95</f>
        <v>0.95279299999999989</v>
      </c>
      <c r="BL477" s="30">
        <f>ROUND((SUM(Inventory[[#This Row],[Mdl Qlty]:[Mdl Garage Area]])+Inventory[[#This Row],[Mdl Res Intercept]])*Inventory[[#This Row],[Res Adj ]],-2)</f>
        <v>361700</v>
      </c>
      <c r="BM477" s="30">
        <f>ROUND(Inventory[[#This Row],[25Det]]*Inventory[[#This Row],[Det/Nbhd Adj]],-2)</f>
        <v>0</v>
      </c>
      <c r="BN477" s="30">
        <f>Inventory[[#This Row],[Adjusted Res]]+Inventory[[#This Row],[Adj Det ]]</f>
        <v>361700</v>
      </c>
      <c r="BO477" s="30">
        <f>ROUND((Inventory[[#This Row],[Mdl Land Intercept]]+Inventory[[#This Row],[Mdl LnAcres]])*Inventory[[#This Row],[Det/Nbhd Adj]],-2)</f>
        <v>61100</v>
      </c>
      <c r="BP477" s="30">
        <f>Inventory[[#This Row],[Adjusted Impr Total]]+Inventory[[#This Row],[Adjusted Land Total]]</f>
        <v>422800</v>
      </c>
      <c r="BQ477" s="30">
        <f>IFERROR((Inventory[[#This Row],[Adjusted Impr Total]]-Inventory[[#This Row],[24Bldg]])/Inventory[[#This Row],[24Bldg]],0)</f>
        <v>-7.137355584082157E-2</v>
      </c>
      <c r="BR477" s="43">
        <f>(Inventory[[#This Row],[Adjusted Land Total]]-Inventory[[#This Row],[24Lnd]])/Inventory[[#This Row],[24Lnd]]</f>
        <v>4.9342105263157892E-3</v>
      </c>
      <c r="BS477" s="43">
        <f>(Inventory[[#This Row],[Adjusted Total]]-Inventory[[#This Row],[24Final]])/Inventory[[#This Row],[24Final]]</f>
        <v>-6.1070397512769263E-2</v>
      </c>
    </row>
    <row r="478" spans="1:71">
      <c r="A478" s="30">
        <v>2025</v>
      </c>
      <c r="B478" s="31" t="s">
        <v>992</v>
      </c>
      <c r="C478" s="31">
        <f>LN(Inventory[[#This Row],[Acres]])</f>
        <v>-1.8325814637483102</v>
      </c>
      <c r="D478" s="30">
        <v>0.16</v>
      </c>
      <c r="E478" s="30">
        <v>7052</v>
      </c>
      <c r="F478" s="31" t="s">
        <v>505</v>
      </c>
      <c r="G478" s="31" t="s">
        <v>155</v>
      </c>
      <c r="H478" s="31" t="s">
        <v>5</v>
      </c>
      <c r="I478" s="31" t="s">
        <v>506</v>
      </c>
      <c r="J478" s="31" t="s">
        <v>507</v>
      </c>
      <c r="K478" s="31" t="s">
        <v>193</v>
      </c>
      <c r="L478" s="31" t="s">
        <v>21</v>
      </c>
      <c r="M478" s="31" t="s">
        <v>22</v>
      </c>
      <c r="N478" s="31">
        <v>10</v>
      </c>
      <c r="O478" s="31">
        <f>2024-Inventory[[#This Row],[YrBlt]]</f>
        <v>16</v>
      </c>
      <c r="P478" s="31">
        <f>2024-Inventory[[#This Row],[EffYr]]</f>
        <v>16</v>
      </c>
      <c r="Q478" s="30">
        <v>2008</v>
      </c>
      <c r="R478" s="30">
        <v>2008</v>
      </c>
      <c r="S478" s="30">
        <v>1132</v>
      </c>
      <c r="T478" s="37"/>
      <c r="U478" s="32"/>
      <c r="V478" s="32"/>
      <c r="W478" s="32"/>
      <c r="X478" s="32">
        <f>Inventory[[#This Row],[Bsmt Area]]-Inventory[[#This Row],[FnBsmt]]</f>
        <v>0</v>
      </c>
      <c r="Y478" s="32">
        <f>Inventory[[#This Row],[MainFn]]+Inventory[[#This Row],[UpprFn]]+Inventory[[#This Row],[AddFn]]+Inventory[[#This Row],[FnBsmt]]</f>
        <v>1132</v>
      </c>
      <c r="Z478" s="32">
        <v>1500</v>
      </c>
      <c r="AA478" s="31" t="s">
        <v>57</v>
      </c>
      <c r="AB478" s="37"/>
      <c r="AC478" s="30">
        <v>400</v>
      </c>
      <c r="AD478" s="32"/>
      <c r="AE478" s="32"/>
      <c r="AF478" s="32"/>
      <c r="AG478" s="32"/>
      <c r="AH478" s="32"/>
      <c r="AI478" s="30">
        <v>266308</v>
      </c>
      <c r="AJ478" s="30">
        <v>247666</v>
      </c>
      <c r="AK478" s="30">
        <v>0</v>
      </c>
      <c r="AL478" s="30">
        <v>0</v>
      </c>
      <c r="AM478" s="30">
        <v>60800</v>
      </c>
      <c r="AN478" s="30">
        <v>291000</v>
      </c>
      <c r="AO478" s="30">
        <v>351800</v>
      </c>
      <c r="AP478" s="30">
        <f>Lookups!$B$58*0.6</f>
        <v>132535.48800000001</v>
      </c>
      <c r="AQ478" s="30">
        <f>Lookups!$B$58*0.4</f>
        <v>88356.992000000013</v>
      </c>
      <c r="AR478" s="30">
        <f>Lookups!$B$59*Inventory[[#This Row],[LnAcres]]</f>
        <v>-24051.387388882686</v>
      </c>
      <c r="AS478" s="30">
        <f>VLOOKUP(Inventory[[#This Row],[Qlty]],Lookups!$A$66:$E$79,2,FALSE)</f>
        <v>32917.849192000001</v>
      </c>
      <c r="AT478" s="30">
        <f>VLOOKUP(Inventory[[#This Row],[Cnd]],Lookups!$A$80:$E$88,2,FALSE)</f>
        <v>50438.379078999998</v>
      </c>
      <c r="AU478" s="30">
        <f>Inventory[[#This Row],[EffAge]]*Lookups!$B$65</f>
        <v>-1739.8576</v>
      </c>
      <c r="AV478" s="30">
        <f>Inventory[[#This Row],[MainFn]]*Lookups!$B$90</f>
        <v>70648.550159999999</v>
      </c>
      <c r="AW478" s="30">
        <f>Inventory[[#This Row],[UpprFn]]*Lookups!$B$91</f>
        <v>0</v>
      </c>
      <c r="AX478" s="30">
        <f>Inventory[[#This Row],[Bsmt Area]]*Lookups!$B$95</f>
        <v>0</v>
      </c>
      <c r="AY478" s="30">
        <f>Inventory[[#This Row],[AttGar]]*Lookups!$B$93</f>
        <v>14120.412400000001</v>
      </c>
      <c r="AZ478" s="30">
        <f>ROUND(Inventory[[#This Row],[25Det]],-2)</f>
        <v>0</v>
      </c>
      <c r="BA478" s="30">
        <f>ROUND(SUM(Inventory[[#This Row],[Mdl Qlty]:[Mdl Garage Area]])+Inventory[[#This Row],[Mdl Res Intercept]],-2)</f>
        <v>298900</v>
      </c>
      <c r="BB478" s="30">
        <f>ROUND(Inventory[[#This Row],[Mdl Land Intercept]]+Inventory[[#This Row],[Mdl LnAcres]],-2)</f>
        <v>64300</v>
      </c>
      <c r="BC478" s="30">
        <f>Inventory[[#This Row],[Unadj Res Value]]+Inventory[[#This Row],[Unadj Det Value]]+Inventory[[#This Row],[Unadj Land Value]]</f>
        <v>363200</v>
      </c>
      <c r="BD478" s="30">
        <f>(Inventory[[#This Row],[Unadj Total Value]]-Inventory[[#This Row],[24Final]])/Inventory[[#This Row],[24Final]]</f>
        <v>3.2404775440591248E-2</v>
      </c>
      <c r="BE478" s="30">
        <f>VLOOKUP(Inventory[[#This Row],[Nbhd]],Lookups!$M$3:$P$5,4,FALSE)</f>
        <v>0.99970000000000003</v>
      </c>
      <c r="BF478" s="30">
        <f>VLOOKUP(Inventory[[#This Row],[Qlty]],Lookups!$M$8:$P$22,4,FALSE)</f>
        <v>1.0019</v>
      </c>
      <c r="BG478" s="30">
        <f>VLOOKUP(Inventory[[#This Row],[Cnd]],Lookups!$R$8:$U$17,4,FALSE)</f>
        <v>1.0007999999999999</v>
      </c>
      <c r="BH478" s="30">
        <f>VLOOKUP(Inventory[[#This Row],[LivArea Range]],Lookups!$R$25:$U$43,4,FALSE)</f>
        <v>0.99519999999999997</v>
      </c>
      <c r="BI478" s="30">
        <f>VLOOKUP(Inventory[[#This Row],[Decade]],Lookups!$M$24:$P$40,4,FALSE)</f>
        <v>1.0024</v>
      </c>
      <c r="BJ478" s="30">
        <f>Inventory[[#This Row],[Nbhd Adj]]*0.95</f>
        <v>0.94971499999999998</v>
      </c>
      <c r="BK478" s="30">
        <f>AVERAGE(Inventory[[#This Row],[Nbhd Adj]],Inventory[[#This Row],[Quality Adj]],Inventory[[#This Row],[Condition Adj]],Inventory[[#This Row],[Living Area Adj]],Inventory[[#This Row],[Decade Adj]])*0.95</f>
        <v>0.95</v>
      </c>
      <c r="BL478" s="30">
        <f>ROUND((SUM(Inventory[[#This Row],[Mdl Qlty]:[Mdl Garage Area]])+Inventory[[#This Row],[Mdl Res Intercept]])*Inventory[[#This Row],[Res Adj ]],-2)</f>
        <v>284000</v>
      </c>
      <c r="BM478" s="30">
        <f>ROUND(Inventory[[#This Row],[25Det]]*Inventory[[#This Row],[Det/Nbhd Adj]],-2)</f>
        <v>0</v>
      </c>
      <c r="BN478" s="30">
        <f>Inventory[[#This Row],[Adjusted Res]]+Inventory[[#This Row],[Adj Det ]]</f>
        <v>284000</v>
      </c>
      <c r="BO478" s="30">
        <f>ROUND((Inventory[[#This Row],[Mdl Land Intercept]]+Inventory[[#This Row],[Mdl LnAcres]])*Inventory[[#This Row],[Det/Nbhd Adj]],-2)</f>
        <v>61100</v>
      </c>
      <c r="BP478" s="30">
        <f>Inventory[[#This Row],[Adjusted Impr Total]]+Inventory[[#This Row],[Adjusted Land Total]]</f>
        <v>345100</v>
      </c>
      <c r="BQ478" s="30">
        <f>IFERROR((Inventory[[#This Row],[Adjusted Impr Total]]-Inventory[[#This Row],[24Bldg]])/Inventory[[#This Row],[24Bldg]],0)</f>
        <v>-2.4054982817869417E-2</v>
      </c>
      <c r="BR478" s="43">
        <f>(Inventory[[#This Row],[Adjusted Land Total]]-Inventory[[#This Row],[24Lnd]])/Inventory[[#This Row],[24Lnd]]</f>
        <v>4.9342105263157892E-3</v>
      </c>
      <c r="BS478" s="43">
        <f>(Inventory[[#This Row],[Adjusted Total]]-Inventory[[#This Row],[24Final]])/Inventory[[#This Row],[24Final]]</f>
        <v>-1.9044911881750996E-2</v>
      </c>
    </row>
    <row r="479" spans="1:71">
      <c r="A479" s="30">
        <v>2025</v>
      </c>
      <c r="B479" s="31" t="s">
        <v>993</v>
      </c>
      <c r="C479" s="31">
        <f>LN(Inventory[[#This Row],[Acres]])</f>
        <v>-1.8325814637483102</v>
      </c>
      <c r="D479" s="30">
        <v>0.16</v>
      </c>
      <c r="E479" s="30">
        <v>7005</v>
      </c>
      <c r="F479" s="31" t="s">
        <v>505</v>
      </c>
      <c r="G479" s="31" t="s">
        <v>155</v>
      </c>
      <c r="H479" s="31" t="s">
        <v>5</v>
      </c>
      <c r="I479" s="31" t="s">
        <v>506</v>
      </c>
      <c r="J479" s="31" t="s">
        <v>507</v>
      </c>
      <c r="K479" s="31" t="s">
        <v>193</v>
      </c>
      <c r="L479" s="31" t="s">
        <v>21</v>
      </c>
      <c r="M479" s="31" t="s">
        <v>22</v>
      </c>
      <c r="N479" s="31">
        <v>10</v>
      </c>
      <c r="O479" s="31">
        <f>2024-Inventory[[#This Row],[YrBlt]]</f>
        <v>16</v>
      </c>
      <c r="P479" s="31">
        <f>2024-Inventory[[#This Row],[EffYr]]</f>
        <v>16</v>
      </c>
      <c r="Q479" s="30">
        <v>2008</v>
      </c>
      <c r="R479" s="30">
        <v>2008</v>
      </c>
      <c r="S479" s="30">
        <v>1172</v>
      </c>
      <c r="T479" s="37"/>
      <c r="U479" s="32"/>
      <c r="V479" s="32"/>
      <c r="W479" s="32"/>
      <c r="X479" s="32">
        <f>Inventory[[#This Row],[Bsmt Area]]-Inventory[[#This Row],[FnBsmt]]</f>
        <v>0</v>
      </c>
      <c r="Y479" s="32">
        <f>Inventory[[#This Row],[MainFn]]+Inventory[[#This Row],[UpprFn]]+Inventory[[#This Row],[AddFn]]+Inventory[[#This Row],[FnBsmt]]</f>
        <v>1172</v>
      </c>
      <c r="Z479" s="32">
        <v>1500</v>
      </c>
      <c r="AA479" s="31" t="s">
        <v>57</v>
      </c>
      <c r="AB479" s="30">
        <v>1</v>
      </c>
      <c r="AC479" s="38">
        <v>460</v>
      </c>
      <c r="AD479" s="37"/>
      <c r="AE479" s="32"/>
      <c r="AF479" s="32"/>
      <c r="AG479" s="32"/>
      <c r="AH479" s="32"/>
      <c r="AI479" s="30">
        <v>287856</v>
      </c>
      <c r="AJ479" s="30">
        <v>267706</v>
      </c>
      <c r="AK479" s="30">
        <v>0</v>
      </c>
      <c r="AL479" s="30">
        <v>0</v>
      </c>
      <c r="AM479" s="30">
        <v>60800</v>
      </c>
      <c r="AN479" s="30">
        <v>295500</v>
      </c>
      <c r="AO479" s="30">
        <v>356300</v>
      </c>
      <c r="AP479" s="30">
        <f>Lookups!$B$58*0.6</f>
        <v>132535.48800000001</v>
      </c>
      <c r="AQ479" s="30">
        <f>Lookups!$B$58*0.4</f>
        <v>88356.992000000013</v>
      </c>
      <c r="AR479" s="30">
        <f>Lookups!$B$59*Inventory[[#This Row],[LnAcres]]</f>
        <v>-24051.387388882686</v>
      </c>
      <c r="AS479" s="30">
        <f>VLOOKUP(Inventory[[#This Row],[Qlty]],Lookups!$A$66:$E$79,2,FALSE)</f>
        <v>32917.849192000001</v>
      </c>
      <c r="AT479" s="30">
        <f>VLOOKUP(Inventory[[#This Row],[Cnd]],Lookups!$A$80:$E$88,2,FALSE)</f>
        <v>50438.379078999998</v>
      </c>
      <c r="AU479" s="30">
        <f>Inventory[[#This Row],[EffAge]]*Lookups!$B$65</f>
        <v>-1739.8576</v>
      </c>
      <c r="AV479" s="30">
        <f>Inventory[[#This Row],[MainFn]]*Lookups!$B$90</f>
        <v>73144.965360000002</v>
      </c>
      <c r="AW479" s="30">
        <f>Inventory[[#This Row],[UpprFn]]*Lookups!$B$91</f>
        <v>0</v>
      </c>
      <c r="AX479" s="30">
        <f>Inventory[[#This Row],[Bsmt Area]]*Lookups!$B$95</f>
        <v>0</v>
      </c>
      <c r="AY479" s="30">
        <f>Inventory[[#This Row],[AttGar]]*Lookups!$B$93</f>
        <v>16238.474260000001</v>
      </c>
      <c r="AZ479" s="30">
        <f>ROUND(Inventory[[#This Row],[25Det]],-2)</f>
        <v>0</v>
      </c>
      <c r="BA479" s="30">
        <f>ROUND(SUM(Inventory[[#This Row],[Mdl Qlty]:[Mdl Garage Area]])+Inventory[[#This Row],[Mdl Res Intercept]],-2)</f>
        <v>303500</v>
      </c>
      <c r="BB479" s="30">
        <f>ROUND(Inventory[[#This Row],[Mdl Land Intercept]]+Inventory[[#This Row],[Mdl LnAcres]],-2)</f>
        <v>64300</v>
      </c>
      <c r="BC479" s="30">
        <f>Inventory[[#This Row],[Unadj Res Value]]+Inventory[[#This Row],[Unadj Det Value]]+Inventory[[#This Row],[Unadj Land Value]]</f>
        <v>367800</v>
      </c>
      <c r="BD479" s="30">
        <f>(Inventory[[#This Row],[Unadj Total Value]]-Inventory[[#This Row],[24Final]])/Inventory[[#This Row],[24Final]]</f>
        <v>3.2276171765366263E-2</v>
      </c>
      <c r="BE479" s="30">
        <f>VLOOKUP(Inventory[[#This Row],[Nbhd]],Lookups!$M$3:$P$5,4,FALSE)</f>
        <v>0.99970000000000003</v>
      </c>
      <c r="BF479" s="30">
        <f>VLOOKUP(Inventory[[#This Row],[Qlty]],Lookups!$M$8:$P$22,4,FALSE)</f>
        <v>1.0019</v>
      </c>
      <c r="BG479" s="30">
        <f>VLOOKUP(Inventory[[#This Row],[Cnd]],Lookups!$R$8:$U$17,4,FALSE)</f>
        <v>1.0007999999999999</v>
      </c>
      <c r="BH479" s="30">
        <f>VLOOKUP(Inventory[[#This Row],[LivArea Range]],Lookups!$R$25:$U$43,4,FALSE)</f>
        <v>0.99519999999999997</v>
      </c>
      <c r="BI479" s="30">
        <f>VLOOKUP(Inventory[[#This Row],[Decade]],Lookups!$M$24:$P$40,4,FALSE)</f>
        <v>1.0024</v>
      </c>
      <c r="BJ479" s="30">
        <f>Inventory[[#This Row],[Nbhd Adj]]*0.95</f>
        <v>0.94971499999999998</v>
      </c>
      <c r="BK479" s="30">
        <f>AVERAGE(Inventory[[#This Row],[Nbhd Adj]],Inventory[[#This Row],[Quality Adj]],Inventory[[#This Row],[Condition Adj]],Inventory[[#This Row],[Living Area Adj]],Inventory[[#This Row],[Decade Adj]])*0.95</f>
        <v>0.95</v>
      </c>
      <c r="BL479" s="30">
        <f>ROUND((SUM(Inventory[[#This Row],[Mdl Qlty]:[Mdl Garage Area]])+Inventory[[#This Row],[Mdl Res Intercept]])*Inventory[[#This Row],[Res Adj ]],-2)</f>
        <v>288400</v>
      </c>
      <c r="BM479" s="30">
        <f>ROUND(Inventory[[#This Row],[25Det]]*Inventory[[#This Row],[Det/Nbhd Adj]],-2)</f>
        <v>0</v>
      </c>
      <c r="BN479" s="30">
        <f>Inventory[[#This Row],[Adjusted Res]]+Inventory[[#This Row],[Adj Det ]]</f>
        <v>288400</v>
      </c>
      <c r="BO479" s="30">
        <f>ROUND((Inventory[[#This Row],[Mdl Land Intercept]]+Inventory[[#This Row],[Mdl LnAcres]])*Inventory[[#This Row],[Det/Nbhd Adj]],-2)</f>
        <v>61100</v>
      </c>
      <c r="BP479" s="30">
        <f>Inventory[[#This Row],[Adjusted Impr Total]]+Inventory[[#This Row],[Adjusted Land Total]]</f>
        <v>349500</v>
      </c>
      <c r="BQ479" s="30">
        <f>IFERROR((Inventory[[#This Row],[Adjusted Impr Total]]-Inventory[[#This Row],[24Bldg]])/Inventory[[#This Row],[24Bldg]],0)</f>
        <v>-2.4027072758037227E-2</v>
      </c>
      <c r="BR479" s="43">
        <f>(Inventory[[#This Row],[Adjusted Land Total]]-Inventory[[#This Row],[24Lnd]])/Inventory[[#This Row],[24Lnd]]</f>
        <v>4.9342105263157892E-3</v>
      </c>
      <c r="BS479" s="43">
        <f>(Inventory[[#This Row],[Adjusted Total]]-Inventory[[#This Row],[24Final]])/Inventory[[#This Row],[24Final]]</f>
        <v>-1.9085040696042662E-2</v>
      </c>
    </row>
    <row r="480" spans="1:71">
      <c r="A480" s="30">
        <v>2025</v>
      </c>
      <c r="B480" s="31" t="s">
        <v>994</v>
      </c>
      <c r="C480" s="31">
        <f>LN(Inventory[[#This Row],[Acres]])</f>
        <v>-1.8325814637483102</v>
      </c>
      <c r="D480" s="30">
        <v>0.16</v>
      </c>
      <c r="E480" s="30">
        <v>7077</v>
      </c>
      <c r="F480" s="31" t="s">
        <v>505</v>
      </c>
      <c r="G480" s="31" t="s">
        <v>155</v>
      </c>
      <c r="H480" s="31" t="s">
        <v>5</v>
      </c>
      <c r="I480" s="31" t="s">
        <v>506</v>
      </c>
      <c r="J480" s="31" t="s">
        <v>507</v>
      </c>
      <c r="K480" s="31" t="s">
        <v>193</v>
      </c>
      <c r="L480" s="31" t="s">
        <v>21</v>
      </c>
      <c r="M480" s="31" t="s">
        <v>20</v>
      </c>
      <c r="N480" s="31">
        <v>10</v>
      </c>
      <c r="O480" s="31">
        <f>2024-Inventory[[#This Row],[YrBlt]]</f>
        <v>16</v>
      </c>
      <c r="P480" s="31">
        <f>2024-Inventory[[#This Row],[EffYr]]</f>
        <v>16</v>
      </c>
      <c r="Q480" s="30">
        <v>2008</v>
      </c>
      <c r="R480" s="30">
        <v>2008</v>
      </c>
      <c r="S480" s="30">
        <v>1722</v>
      </c>
      <c r="T480" s="37"/>
      <c r="U480" s="32"/>
      <c r="V480" s="32"/>
      <c r="W480" s="32"/>
      <c r="X480" s="32">
        <f>Inventory[[#This Row],[Bsmt Area]]-Inventory[[#This Row],[FnBsmt]]</f>
        <v>0</v>
      </c>
      <c r="Y480" s="32">
        <f>Inventory[[#This Row],[MainFn]]+Inventory[[#This Row],[UpprFn]]+Inventory[[#This Row],[AddFn]]+Inventory[[#This Row],[FnBsmt]]</f>
        <v>1722</v>
      </c>
      <c r="Z480" s="32">
        <v>2000</v>
      </c>
      <c r="AA480" s="31" t="s">
        <v>57</v>
      </c>
      <c r="AB480" s="37"/>
      <c r="AC480" s="30">
        <v>450</v>
      </c>
      <c r="AD480" s="37"/>
      <c r="AE480" s="32"/>
      <c r="AF480" s="32"/>
      <c r="AG480" s="32"/>
      <c r="AH480" s="32"/>
      <c r="AI480" s="30">
        <v>376951</v>
      </c>
      <c r="AJ480" s="30">
        <v>346795</v>
      </c>
      <c r="AK480" s="30">
        <v>0</v>
      </c>
      <c r="AL480" s="30">
        <v>0</v>
      </c>
      <c r="AM480" s="30">
        <v>60800</v>
      </c>
      <c r="AN480" s="30">
        <v>306500</v>
      </c>
      <c r="AO480" s="30">
        <v>367300</v>
      </c>
      <c r="AP480" s="30">
        <f>Lookups!$B$58*0.6</f>
        <v>132535.48800000001</v>
      </c>
      <c r="AQ480" s="30">
        <f>Lookups!$B$58*0.4</f>
        <v>88356.992000000013</v>
      </c>
      <c r="AR480" s="30">
        <f>Lookups!$B$59*Inventory[[#This Row],[LnAcres]]</f>
        <v>-24051.387388882686</v>
      </c>
      <c r="AS480" s="30">
        <f>VLOOKUP(Inventory[[#This Row],[Qlty]],Lookups!$A$66:$E$79,2,FALSE)</f>
        <v>32917.849192000001</v>
      </c>
      <c r="AT480" s="30">
        <f>VLOOKUP(Inventory[[#This Row],[Cnd]],Lookups!$A$80:$E$88,2,FALSE)</f>
        <v>30300.329274</v>
      </c>
      <c r="AU480" s="30">
        <f>Inventory[[#This Row],[EffAge]]*Lookups!$B$65</f>
        <v>-1739.8576</v>
      </c>
      <c r="AV480" s="30">
        <f>Inventory[[#This Row],[MainFn]]*Lookups!$B$90</f>
        <v>107470.67436</v>
      </c>
      <c r="AW480" s="30">
        <f>Inventory[[#This Row],[UpprFn]]*Lookups!$B$91</f>
        <v>0</v>
      </c>
      <c r="AX480" s="30">
        <f>Inventory[[#This Row],[Bsmt Area]]*Lookups!$B$95</f>
        <v>0</v>
      </c>
      <c r="AY480" s="30">
        <f>Inventory[[#This Row],[AttGar]]*Lookups!$B$93</f>
        <v>15885.463950000001</v>
      </c>
      <c r="AZ480" s="30">
        <f>ROUND(Inventory[[#This Row],[25Det]],-2)</f>
        <v>0</v>
      </c>
      <c r="BA480" s="30">
        <f>ROUND(SUM(Inventory[[#This Row],[Mdl Qlty]:[Mdl Garage Area]])+Inventory[[#This Row],[Mdl Res Intercept]],-2)</f>
        <v>317400</v>
      </c>
      <c r="BB480" s="30">
        <f>ROUND(Inventory[[#This Row],[Mdl Land Intercept]]+Inventory[[#This Row],[Mdl LnAcres]],-2)</f>
        <v>64300</v>
      </c>
      <c r="BC480" s="30">
        <f>Inventory[[#This Row],[Unadj Res Value]]+Inventory[[#This Row],[Unadj Det Value]]+Inventory[[#This Row],[Unadj Land Value]]</f>
        <v>381700</v>
      </c>
      <c r="BD480" s="30">
        <f>(Inventory[[#This Row],[Unadj Total Value]]-Inventory[[#This Row],[24Final]])/Inventory[[#This Row],[24Final]]</f>
        <v>3.9205009528995374E-2</v>
      </c>
      <c r="BE480" s="30">
        <f>VLOOKUP(Inventory[[#This Row],[Nbhd]],Lookups!$M$3:$P$5,4,FALSE)</f>
        <v>0.99970000000000003</v>
      </c>
      <c r="BF480" s="30">
        <f>VLOOKUP(Inventory[[#This Row],[Qlty]],Lookups!$M$8:$P$22,4,FALSE)</f>
        <v>1.0019</v>
      </c>
      <c r="BG480" s="30">
        <f>VLOOKUP(Inventory[[#This Row],[Cnd]],Lookups!$R$8:$U$17,4,FALSE)</f>
        <v>0.997</v>
      </c>
      <c r="BH480" s="30">
        <f>VLOOKUP(Inventory[[#This Row],[LivArea Range]],Lookups!$R$25:$U$43,4,FALSE)</f>
        <v>1.0007999999999999</v>
      </c>
      <c r="BI480" s="30">
        <f>VLOOKUP(Inventory[[#This Row],[Decade]],Lookups!$M$24:$P$40,4,FALSE)</f>
        <v>1.0024</v>
      </c>
      <c r="BJ480" s="30">
        <f>Inventory[[#This Row],[Nbhd Adj]]*0.95</f>
        <v>0.94971499999999998</v>
      </c>
      <c r="BK480" s="30">
        <f>AVERAGE(Inventory[[#This Row],[Nbhd Adj]],Inventory[[#This Row],[Quality Adj]],Inventory[[#This Row],[Condition Adj]],Inventory[[#This Row],[Living Area Adj]],Inventory[[#This Row],[Decade Adj]])*0.95</f>
        <v>0.95034199999999991</v>
      </c>
      <c r="BL480" s="30">
        <f>ROUND((SUM(Inventory[[#This Row],[Mdl Qlty]:[Mdl Garage Area]])+Inventory[[#This Row],[Mdl Res Intercept]])*Inventory[[#This Row],[Res Adj ]],-2)</f>
        <v>301600</v>
      </c>
      <c r="BM480" s="30">
        <f>ROUND(Inventory[[#This Row],[25Det]]*Inventory[[#This Row],[Det/Nbhd Adj]],-2)</f>
        <v>0</v>
      </c>
      <c r="BN480" s="30">
        <f>Inventory[[#This Row],[Adjusted Res]]+Inventory[[#This Row],[Adj Det ]]</f>
        <v>301600</v>
      </c>
      <c r="BO480" s="30">
        <f>ROUND((Inventory[[#This Row],[Mdl Land Intercept]]+Inventory[[#This Row],[Mdl LnAcres]])*Inventory[[#This Row],[Det/Nbhd Adj]],-2)</f>
        <v>61100</v>
      </c>
      <c r="BP480" s="30">
        <f>Inventory[[#This Row],[Adjusted Impr Total]]+Inventory[[#This Row],[Adjusted Land Total]]</f>
        <v>362700</v>
      </c>
      <c r="BQ480" s="30">
        <f>IFERROR((Inventory[[#This Row],[Adjusted Impr Total]]-Inventory[[#This Row],[24Bldg]])/Inventory[[#This Row],[24Bldg]],0)</f>
        <v>-1.5986949429037521E-2</v>
      </c>
      <c r="BR480" s="43">
        <f>(Inventory[[#This Row],[Adjusted Land Total]]-Inventory[[#This Row],[24Lnd]])/Inventory[[#This Row],[24Lnd]]</f>
        <v>4.9342105263157892E-3</v>
      </c>
      <c r="BS480" s="43">
        <f>(Inventory[[#This Row],[Adjusted Total]]-Inventory[[#This Row],[24Final]])/Inventory[[#This Row],[24Final]]</f>
        <v>-1.2523822488429077E-2</v>
      </c>
    </row>
    <row r="481" spans="1:71">
      <c r="A481" s="30">
        <v>2025</v>
      </c>
      <c r="B481" s="31" t="s">
        <v>995</v>
      </c>
      <c r="C481" s="31">
        <f>LN(Inventory[[#This Row],[Acres]])</f>
        <v>-1.8325814637483102</v>
      </c>
      <c r="D481" s="30">
        <v>0.16</v>
      </c>
      <c r="E481" s="30">
        <v>7036</v>
      </c>
      <c r="F481" s="31" t="s">
        <v>505</v>
      </c>
      <c r="G481" s="31" t="s">
        <v>155</v>
      </c>
      <c r="H481" s="31" t="s">
        <v>5</v>
      </c>
      <c r="I481" s="31" t="s">
        <v>506</v>
      </c>
      <c r="J481" s="31" t="s">
        <v>507</v>
      </c>
      <c r="K481" s="31" t="s">
        <v>193</v>
      </c>
      <c r="L481" s="31" t="s">
        <v>21</v>
      </c>
      <c r="M481" s="31" t="s">
        <v>22</v>
      </c>
      <c r="N481" s="31">
        <v>10</v>
      </c>
      <c r="O481" s="31">
        <f>2024-Inventory[[#This Row],[YrBlt]]</f>
        <v>16</v>
      </c>
      <c r="P481" s="31">
        <f>2024-Inventory[[#This Row],[EffYr]]</f>
        <v>16</v>
      </c>
      <c r="Q481" s="30">
        <v>2008</v>
      </c>
      <c r="R481" s="30">
        <v>2008</v>
      </c>
      <c r="S481" s="30">
        <v>2126</v>
      </c>
      <c r="T481" s="37"/>
      <c r="U481" s="32"/>
      <c r="V481" s="32"/>
      <c r="W481" s="32"/>
      <c r="X481" s="32">
        <f>Inventory[[#This Row],[Bsmt Area]]-Inventory[[#This Row],[FnBsmt]]</f>
        <v>0</v>
      </c>
      <c r="Y481" s="32">
        <f>Inventory[[#This Row],[MainFn]]+Inventory[[#This Row],[UpprFn]]+Inventory[[#This Row],[AddFn]]+Inventory[[#This Row],[FnBsmt]]</f>
        <v>2126</v>
      </c>
      <c r="Z481" s="32">
        <v>2500</v>
      </c>
      <c r="AA481" s="31" t="s">
        <v>57</v>
      </c>
      <c r="AB481" s="38">
        <v>1</v>
      </c>
      <c r="AC481" s="30">
        <v>714</v>
      </c>
      <c r="AD481" s="32"/>
      <c r="AE481" s="32"/>
      <c r="AF481" s="32"/>
      <c r="AG481" s="32"/>
      <c r="AH481" s="32"/>
      <c r="AI481" s="30">
        <v>454313</v>
      </c>
      <c r="AJ481" s="30">
        <v>422511</v>
      </c>
      <c r="AK481" s="30">
        <v>0</v>
      </c>
      <c r="AL481" s="30">
        <v>0</v>
      </c>
      <c r="AM481" s="30">
        <v>60800</v>
      </c>
      <c r="AN481" s="30">
        <v>347600</v>
      </c>
      <c r="AO481" s="30">
        <v>408400</v>
      </c>
      <c r="AP481" s="30">
        <f>Lookups!$B$58*0.6</f>
        <v>132535.48800000001</v>
      </c>
      <c r="AQ481" s="30">
        <f>Lookups!$B$58*0.4</f>
        <v>88356.992000000013</v>
      </c>
      <c r="AR481" s="30">
        <f>Lookups!$B$59*Inventory[[#This Row],[LnAcres]]</f>
        <v>-24051.387388882686</v>
      </c>
      <c r="AS481" s="30">
        <f>VLOOKUP(Inventory[[#This Row],[Qlty]],Lookups!$A$66:$E$79,2,FALSE)</f>
        <v>32917.849192000001</v>
      </c>
      <c r="AT481" s="30">
        <f>VLOOKUP(Inventory[[#This Row],[Cnd]],Lookups!$A$80:$E$88,2,FALSE)</f>
        <v>50438.379078999998</v>
      </c>
      <c r="AU481" s="30">
        <f>Inventory[[#This Row],[EffAge]]*Lookups!$B$65</f>
        <v>-1739.8576</v>
      </c>
      <c r="AV481" s="30">
        <f>Inventory[[#This Row],[MainFn]]*Lookups!$B$90</f>
        <v>132684.46788000001</v>
      </c>
      <c r="AW481" s="30">
        <f>Inventory[[#This Row],[UpprFn]]*Lookups!$B$91</f>
        <v>0</v>
      </c>
      <c r="AX481" s="30">
        <f>Inventory[[#This Row],[Bsmt Area]]*Lookups!$B$95</f>
        <v>0</v>
      </c>
      <c r="AY481" s="30">
        <f>Inventory[[#This Row],[AttGar]]*Lookups!$B$93</f>
        <v>25204.936134</v>
      </c>
      <c r="AZ481" s="30">
        <f>ROUND(Inventory[[#This Row],[25Det]],-2)</f>
        <v>0</v>
      </c>
      <c r="BA481" s="30">
        <f>ROUND(SUM(Inventory[[#This Row],[Mdl Qlty]:[Mdl Garage Area]])+Inventory[[#This Row],[Mdl Res Intercept]],-2)</f>
        <v>372000</v>
      </c>
      <c r="BB481" s="30">
        <f>ROUND(Inventory[[#This Row],[Mdl Land Intercept]]+Inventory[[#This Row],[Mdl LnAcres]],-2)</f>
        <v>64300</v>
      </c>
      <c r="BC481" s="30">
        <f>Inventory[[#This Row],[Unadj Res Value]]+Inventory[[#This Row],[Unadj Det Value]]+Inventory[[#This Row],[Unadj Land Value]]</f>
        <v>436300</v>
      </c>
      <c r="BD481" s="30">
        <f>(Inventory[[#This Row],[Unadj Total Value]]-Inventory[[#This Row],[24Final]])/Inventory[[#This Row],[24Final]]</f>
        <v>6.8315377081292844E-2</v>
      </c>
      <c r="BE481" s="30">
        <f>VLOOKUP(Inventory[[#This Row],[Nbhd]],Lookups!$M$3:$P$5,4,FALSE)</f>
        <v>0.99970000000000003</v>
      </c>
      <c r="BF481" s="30">
        <f>VLOOKUP(Inventory[[#This Row],[Qlty]],Lookups!$M$8:$P$22,4,FALSE)</f>
        <v>1.0019</v>
      </c>
      <c r="BG481" s="30">
        <f>VLOOKUP(Inventory[[#This Row],[Cnd]],Lookups!$R$8:$U$17,4,FALSE)</f>
        <v>1.0007999999999999</v>
      </c>
      <c r="BH481" s="30">
        <f>VLOOKUP(Inventory[[#This Row],[LivArea Range]],Lookups!$R$25:$U$43,4,FALSE)</f>
        <v>1.0008999999999999</v>
      </c>
      <c r="BI481" s="30">
        <f>VLOOKUP(Inventory[[#This Row],[Decade]],Lookups!$M$24:$P$40,4,FALSE)</f>
        <v>1.0024</v>
      </c>
      <c r="BJ481" s="30">
        <f>Inventory[[#This Row],[Nbhd Adj]]*0.95</f>
        <v>0.94971499999999998</v>
      </c>
      <c r="BK481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481" s="30">
        <f>ROUND((SUM(Inventory[[#This Row],[Mdl Qlty]:[Mdl Garage Area]])+Inventory[[#This Row],[Mdl Res Intercept]])*Inventory[[#This Row],[Res Adj ]],-2)</f>
        <v>353800</v>
      </c>
      <c r="BM481" s="30">
        <f>ROUND(Inventory[[#This Row],[25Det]]*Inventory[[#This Row],[Det/Nbhd Adj]],-2)</f>
        <v>0</v>
      </c>
      <c r="BN481" s="30">
        <f>Inventory[[#This Row],[Adjusted Res]]+Inventory[[#This Row],[Adj Det ]]</f>
        <v>353800</v>
      </c>
      <c r="BO481" s="30">
        <f>ROUND((Inventory[[#This Row],[Mdl Land Intercept]]+Inventory[[#This Row],[Mdl LnAcres]])*Inventory[[#This Row],[Det/Nbhd Adj]],-2)</f>
        <v>61100</v>
      </c>
      <c r="BP481" s="30">
        <f>Inventory[[#This Row],[Adjusted Impr Total]]+Inventory[[#This Row],[Adjusted Land Total]]</f>
        <v>414900</v>
      </c>
      <c r="BQ481" s="30">
        <f>IFERROR((Inventory[[#This Row],[Adjusted Impr Total]]-Inventory[[#This Row],[24Bldg]])/Inventory[[#This Row],[24Bldg]],0)</f>
        <v>1.7836593785960874E-2</v>
      </c>
      <c r="BR481" s="43">
        <f>(Inventory[[#This Row],[Adjusted Land Total]]-Inventory[[#This Row],[24Lnd]])/Inventory[[#This Row],[24Lnd]]</f>
        <v>4.9342105263157892E-3</v>
      </c>
      <c r="BS481" s="43">
        <f>(Inventory[[#This Row],[Adjusted Total]]-Inventory[[#This Row],[24Final]])/Inventory[[#This Row],[24Final]]</f>
        <v>1.5915768854064642E-2</v>
      </c>
    </row>
    <row r="482" spans="1:71">
      <c r="A482" s="30">
        <v>2025</v>
      </c>
      <c r="B482" s="31" t="s">
        <v>996</v>
      </c>
      <c r="C482" s="31">
        <f>LN(Inventory[[#This Row],[Acres]])</f>
        <v>-1.8325814637483102</v>
      </c>
      <c r="D482" s="30">
        <v>0.16</v>
      </c>
      <c r="E482" s="30">
        <v>7077</v>
      </c>
      <c r="F482" s="31" t="s">
        <v>505</v>
      </c>
      <c r="G482" s="31" t="s">
        <v>155</v>
      </c>
      <c r="H482" s="31" t="s">
        <v>5</v>
      </c>
      <c r="I482" s="31" t="s">
        <v>506</v>
      </c>
      <c r="J482" s="31" t="s">
        <v>507</v>
      </c>
      <c r="K482" s="31" t="s">
        <v>157</v>
      </c>
      <c r="L482" s="31" t="s">
        <v>23</v>
      </c>
      <c r="M482" s="31" t="s">
        <v>22</v>
      </c>
      <c r="N482" s="31">
        <v>10</v>
      </c>
      <c r="O482" s="31">
        <f>2024-Inventory[[#This Row],[YrBlt]]</f>
        <v>16</v>
      </c>
      <c r="P482" s="31">
        <f>2024-Inventory[[#This Row],[EffYr]]</f>
        <v>16</v>
      </c>
      <c r="Q482" s="30">
        <v>2008</v>
      </c>
      <c r="R482" s="30">
        <v>2008</v>
      </c>
      <c r="S482" s="30">
        <v>1348</v>
      </c>
      <c r="T482" s="38">
        <v>1274</v>
      </c>
      <c r="U482" s="32"/>
      <c r="V482" s="32"/>
      <c r="W482" s="32"/>
      <c r="X482" s="32">
        <f>Inventory[[#This Row],[Bsmt Area]]-Inventory[[#This Row],[FnBsmt]]</f>
        <v>0</v>
      </c>
      <c r="Y482" s="32">
        <f>Inventory[[#This Row],[MainFn]]+Inventory[[#This Row],[UpprFn]]+Inventory[[#This Row],[AddFn]]+Inventory[[#This Row],[FnBsmt]]</f>
        <v>2622</v>
      </c>
      <c r="Z482" s="32">
        <v>3000</v>
      </c>
      <c r="AA482" s="31" t="s">
        <v>56</v>
      </c>
      <c r="AB482" s="37"/>
      <c r="AC482" s="30">
        <v>240</v>
      </c>
      <c r="AD482" s="38">
        <v>528</v>
      </c>
      <c r="AE482" s="32"/>
      <c r="AF482" s="32"/>
      <c r="AG482" s="32"/>
      <c r="AH482" s="32"/>
      <c r="AI482" s="30">
        <v>610059</v>
      </c>
      <c r="AJ482" s="30">
        <v>579556</v>
      </c>
      <c r="AK482" s="30">
        <v>0</v>
      </c>
      <c r="AL482" s="30">
        <v>0</v>
      </c>
      <c r="AM482" s="30">
        <v>60800</v>
      </c>
      <c r="AN482" s="30">
        <v>455800</v>
      </c>
      <c r="AO482" s="30">
        <v>516600</v>
      </c>
      <c r="AP482" s="30">
        <f>Lookups!$B$58*0.6</f>
        <v>132535.48800000001</v>
      </c>
      <c r="AQ482" s="30">
        <f>Lookups!$B$58*0.4</f>
        <v>88356.992000000013</v>
      </c>
      <c r="AR482" s="30">
        <f>Lookups!$B$59*Inventory[[#This Row],[LnAcres]]</f>
        <v>-24051.387388882686</v>
      </c>
      <c r="AS482" s="30">
        <f>VLOOKUP(Inventory[[#This Row],[Qlty]],Lookups!$A$66:$E$79,2,FALSE)</f>
        <v>39366.494398000003</v>
      </c>
      <c r="AT482" s="30">
        <f>VLOOKUP(Inventory[[#This Row],[Cnd]],Lookups!$A$80:$E$88,2,FALSE)</f>
        <v>50438.379078999998</v>
      </c>
      <c r="AU482" s="30">
        <f>Inventory[[#This Row],[EffAge]]*Lookups!$B$65</f>
        <v>-1739.8576</v>
      </c>
      <c r="AV482" s="30">
        <f>Inventory[[#This Row],[MainFn]]*Lookups!$B$90</f>
        <v>84129.192240000004</v>
      </c>
      <c r="AW482" s="30">
        <f>Inventory[[#This Row],[UpprFn]]*Lookups!$B$91</f>
        <v>75905.407941999991</v>
      </c>
      <c r="AX482" s="30">
        <f>Inventory[[#This Row],[Bsmt Area]]*Lookups!$B$95</f>
        <v>0</v>
      </c>
      <c r="AY482" s="30">
        <f>Inventory[[#This Row],[AttGar]]*Lookups!$B$93</f>
        <v>8472.247440000001</v>
      </c>
      <c r="AZ482" s="30">
        <f>ROUND(Inventory[[#This Row],[25Det]],-2)</f>
        <v>0</v>
      </c>
      <c r="BA482" s="30">
        <f>ROUND(SUM(Inventory[[#This Row],[Mdl Qlty]:[Mdl Garage Area]])+Inventory[[#This Row],[Mdl Res Intercept]],-2)</f>
        <v>389100</v>
      </c>
      <c r="BB482" s="30">
        <f>ROUND(Inventory[[#This Row],[Mdl Land Intercept]]+Inventory[[#This Row],[Mdl LnAcres]],-2)</f>
        <v>64300</v>
      </c>
      <c r="BC482" s="30">
        <f>Inventory[[#This Row],[Unadj Res Value]]+Inventory[[#This Row],[Unadj Det Value]]+Inventory[[#This Row],[Unadj Land Value]]</f>
        <v>453400</v>
      </c>
      <c r="BD482" s="30">
        <f>(Inventory[[#This Row],[Unadj Total Value]]-Inventory[[#This Row],[24Final]])/Inventory[[#This Row],[24Final]]</f>
        <v>-0.12233836624080527</v>
      </c>
      <c r="BE482" s="30">
        <f>VLOOKUP(Inventory[[#This Row],[Nbhd]],Lookups!$M$3:$P$5,4,FALSE)</f>
        <v>0.99970000000000003</v>
      </c>
      <c r="BF482" s="30">
        <f>VLOOKUP(Inventory[[#This Row],[Qlty]],Lookups!$M$8:$P$22,4,FALSE)</f>
        <v>0.99980000000000002</v>
      </c>
      <c r="BG482" s="30">
        <f>VLOOKUP(Inventory[[#This Row],[Cnd]],Lookups!$R$8:$U$17,4,FALSE)</f>
        <v>1.0007999999999999</v>
      </c>
      <c r="BH482" s="30">
        <f>VLOOKUP(Inventory[[#This Row],[LivArea Range]],Lookups!$R$25:$U$43,4,FALSE)</f>
        <v>1.0099</v>
      </c>
      <c r="BI482" s="30">
        <f>VLOOKUP(Inventory[[#This Row],[Decade]],Lookups!$M$24:$P$40,4,FALSE)</f>
        <v>1.0024</v>
      </c>
      <c r="BJ482" s="30">
        <f>Inventory[[#This Row],[Nbhd Adj]]*0.95</f>
        <v>0.94971499999999998</v>
      </c>
      <c r="BK482" s="30">
        <f>AVERAGE(Inventory[[#This Row],[Nbhd Adj]],Inventory[[#This Row],[Quality Adj]],Inventory[[#This Row],[Condition Adj]],Inventory[[#This Row],[Living Area Adj]],Inventory[[#This Row],[Decade Adj]])*0.95</f>
        <v>0.95239400000000007</v>
      </c>
      <c r="BL482" s="30">
        <f>ROUND((SUM(Inventory[[#This Row],[Mdl Qlty]:[Mdl Garage Area]])+Inventory[[#This Row],[Mdl Res Intercept]])*Inventory[[#This Row],[Res Adj ]],-2)</f>
        <v>370600</v>
      </c>
      <c r="BM482" s="30">
        <f>ROUND(Inventory[[#This Row],[25Det]]*Inventory[[#This Row],[Det/Nbhd Adj]],-2)</f>
        <v>0</v>
      </c>
      <c r="BN482" s="30">
        <f>Inventory[[#This Row],[Adjusted Res]]+Inventory[[#This Row],[Adj Det ]]</f>
        <v>370600</v>
      </c>
      <c r="BO482" s="30">
        <f>ROUND((Inventory[[#This Row],[Mdl Land Intercept]]+Inventory[[#This Row],[Mdl LnAcres]])*Inventory[[#This Row],[Det/Nbhd Adj]],-2)</f>
        <v>61100</v>
      </c>
      <c r="BP482" s="30">
        <f>Inventory[[#This Row],[Adjusted Impr Total]]+Inventory[[#This Row],[Adjusted Land Total]]</f>
        <v>431700</v>
      </c>
      <c r="BQ482" s="30">
        <f>IFERROR((Inventory[[#This Row],[Adjusted Impr Total]]-Inventory[[#This Row],[24Bldg]])/Inventory[[#This Row],[24Bldg]],0)</f>
        <v>-0.18692408951294429</v>
      </c>
      <c r="BR482" s="43">
        <f>(Inventory[[#This Row],[Adjusted Land Total]]-Inventory[[#This Row],[24Lnd]])/Inventory[[#This Row],[24Lnd]]</f>
        <v>4.9342105263157892E-3</v>
      </c>
      <c r="BS482" s="43">
        <f>(Inventory[[#This Row],[Adjusted Total]]-Inventory[[#This Row],[24Final]])/Inventory[[#This Row],[24Final]]</f>
        <v>-0.16434378629500582</v>
      </c>
    </row>
    <row r="483" spans="1:71">
      <c r="A483" s="30">
        <v>2025</v>
      </c>
      <c r="B483" s="31" t="s">
        <v>997</v>
      </c>
      <c r="C483" s="31">
        <f>LN(Inventory[[#This Row],[Acres]])</f>
        <v>-1.8325814637483102</v>
      </c>
      <c r="D483" s="30">
        <v>0.16</v>
      </c>
      <c r="E483" s="30">
        <v>7077</v>
      </c>
      <c r="F483" s="31" t="s">
        <v>505</v>
      </c>
      <c r="G483" s="31" t="s">
        <v>155</v>
      </c>
      <c r="H483" s="31" t="s">
        <v>5</v>
      </c>
      <c r="I483" s="31" t="s">
        <v>506</v>
      </c>
      <c r="J483" s="31" t="s">
        <v>507</v>
      </c>
      <c r="K483" s="31" t="s">
        <v>157</v>
      </c>
      <c r="L483" s="31" t="s">
        <v>21</v>
      </c>
      <c r="M483" s="31" t="s">
        <v>22</v>
      </c>
      <c r="N483" s="31">
        <v>10</v>
      </c>
      <c r="O483" s="31">
        <f>2024-Inventory[[#This Row],[YrBlt]]</f>
        <v>16</v>
      </c>
      <c r="P483" s="31">
        <f>2024-Inventory[[#This Row],[EffYr]]</f>
        <v>16</v>
      </c>
      <c r="Q483" s="30">
        <v>2008</v>
      </c>
      <c r="R483" s="30">
        <v>2008</v>
      </c>
      <c r="S483" s="30">
        <v>1348</v>
      </c>
      <c r="T483" s="30">
        <v>1274</v>
      </c>
      <c r="U483" s="32"/>
      <c r="V483" s="32"/>
      <c r="W483" s="32"/>
      <c r="X483" s="32">
        <f>Inventory[[#This Row],[Bsmt Area]]-Inventory[[#This Row],[FnBsmt]]</f>
        <v>0</v>
      </c>
      <c r="Y483" s="32">
        <f>Inventory[[#This Row],[MainFn]]+Inventory[[#This Row],[UpprFn]]+Inventory[[#This Row],[AddFn]]+Inventory[[#This Row],[FnBsmt]]</f>
        <v>2622</v>
      </c>
      <c r="Z483" s="32">
        <v>3000</v>
      </c>
      <c r="AA483" s="31" t="s">
        <v>56</v>
      </c>
      <c r="AB483" s="37"/>
      <c r="AC483" s="38">
        <v>240</v>
      </c>
      <c r="AD483" s="30">
        <v>528</v>
      </c>
      <c r="AE483" s="32"/>
      <c r="AF483" s="32"/>
      <c r="AG483" s="32"/>
      <c r="AH483" s="32"/>
      <c r="AI483" s="30">
        <v>554698</v>
      </c>
      <c r="AJ483" s="30">
        <v>515869</v>
      </c>
      <c r="AK483" s="30">
        <v>0</v>
      </c>
      <c r="AL483" s="30">
        <v>0</v>
      </c>
      <c r="AM483" s="30">
        <v>60800</v>
      </c>
      <c r="AN483" s="30">
        <v>440800</v>
      </c>
      <c r="AO483" s="30">
        <v>501600</v>
      </c>
      <c r="AP483" s="30">
        <f>Lookups!$B$58*0.6</f>
        <v>132535.48800000001</v>
      </c>
      <c r="AQ483" s="30">
        <f>Lookups!$B$58*0.4</f>
        <v>88356.992000000013</v>
      </c>
      <c r="AR483" s="30">
        <f>Lookups!$B$59*Inventory[[#This Row],[LnAcres]]</f>
        <v>-24051.387388882686</v>
      </c>
      <c r="AS483" s="30">
        <f>VLOOKUP(Inventory[[#This Row],[Qlty]],Lookups!$A$66:$E$79,2,FALSE)</f>
        <v>32917.849192000001</v>
      </c>
      <c r="AT483" s="30">
        <f>VLOOKUP(Inventory[[#This Row],[Cnd]],Lookups!$A$80:$E$88,2,FALSE)</f>
        <v>50438.379078999998</v>
      </c>
      <c r="AU483" s="30">
        <f>Inventory[[#This Row],[EffAge]]*Lookups!$B$65</f>
        <v>-1739.8576</v>
      </c>
      <c r="AV483" s="30">
        <f>Inventory[[#This Row],[MainFn]]*Lookups!$B$90</f>
        <v>84129.192240000004</v>
      </c>
      <c r="AW483" s="30">
        <f>Inventory[[#This Row],[UpprFn]]*Lookups!$B$91</f>
        <v>75905.407941999991</v>
      </c>
      <c r="AX483" s="30">
        <f>Inventory[[#This Row],[Bsmt Area]]*Lookups!$B$95</f>
        <v>0</v>
      </c>
      <c r="AY483" s="30">
        <f>Inventory[[#This Row],[AttGar]]*Lookups!$B$93</f>
        <v>8472.247440000001</v>
      </c>
      <c r="AZ483" s="30">
        <f>ROUND(Inventory[[#This Row],[25Det]],-2)</f>
        <v>0</v>
      </c>
      <c r="BA483" s="30">
        <f>ROUND(SUM(Inventory[[#This Row],[Mdl Qlty]:[Mdl Garage Area]])+Inventory[[#This Row],[Mdl Res Intercept]],-2)</f>
        <v>382700</v>
      </c>
      <c r="BB483" s="30">
        <f>ROUND(Inventory[[#This Row],[Mdl Land Intercept]]+Inventory[[#This Row],[Mdl LnAcres]],-2)</f>
        <v>64300</v>
      </c>
      <c r="BC483" s="30">
        <f>Inventory[[#This Row],[Unadj Res Value]]+Inventory[[#This Row],[Unadj Det Value]]+Inventory[[#This Row],[Unadj Land Value]]</f>
        <v>447000</v>
      </c>
      <c r="BD483" s="30">
        <f>(Inventory[[#This Row],[Unadj Total Value]]-Inventory[[#This Row],[24Final]])/Inventory[[#This Row],[24Final]]</f>
        <v>-0.10885167464114832</v>
      </c>
      <c r="BE483" s="30">
        <f>VLOOKUP(Inventory[[#This Row],[Nbhd]],Lookups!$M$3:$P$5,4,FALSE)</f>
        <v>0.99970000000000003</v>
      </c>
      <c r="BF483" s="30">
        <f>VLOOKUP(Inventory[[#This Row],[Qlty]],Lookups!$M$8:$P$22,4,FALSE)</f>
        <v>1.0019</v>
      </c>
      <c r="BG483" s="30">
        <f>VLOOKUP(Inventory[[#This Row],[Cnd]],Lookups!$R$8:$U$17,4,FALSE)</f>
        <v>1.0007999999999999</v>
      </c>
      <c r="BH483" s="30">
        <f>VLOOKUP(Inventory[[#This Row],[LivArea Range]],Lookups!$R$25:$U$43,4,FALSE)</f>
        <v>1.0099</v>
      </c>
      <c r="BI483" s="30">
        <f>VLOOKUP(Inventory[[#This Row],[Decade]],Lookups!$M$24:$P$40,4,FALSE)</f>
        <v>1.0024</v>
      </c>
      <c r="BJ483" s="30">
        <f>Inventory[[#This Row],[Nbhd Adj]]*0.95</f>
        <v>0.94971499999999998</v>
      </c>
      <c r="BK483" s="30">
        <f>AVERAGE(Inventory[[#This Row],[Nbhd Adj]],Inventory[[#This Row],[Quality Adj]],Inventory[[#This Row],[Condition Adj]],Inventory[[#This Row],[Living Area Adj]],Inventory[[#This Row],[Decade Adj]])*0.95</f>
        <v>0.95279299999999989</v>
      </c>
      <c r="BL483" s="30">
        <f>ROUND((SUM(Inventory[[#This Row],[Mdl Qlty]:[Mdl Garage Area]])+Inventory[[#This Row],[Mdl Res Intercept]])*Inventory[[#This Row],[Res Adj ]],-2)</f>
        <v>364600</v>
      </c>
      <c r="BM483" s="30">
        <f>ROUND(Inventory[[#This Row],[25Det]]*Inventory[[#This Row],[Det/Nbhd Adj]],-2)</f>
        <v>0</v>
      </c>
      <c r="BN483" s="30">
        <f>Inventory[[#This Row],[Adjusted Res]]+Inventory[[#This Row],[Adj Det ]]</f>
        <v>364600</v>
      </c>
      <c r="BO483" s="30">
        <f>ROUND((Inventory[[#This Row],[Mdl Land Intercept]]+Inventory[[#This Row],[Mdl LnAcres]])*Inventory[[#This Row],[Det/Nbhd Adj]],-2)</f>
        <v>61100</v>
      </c>
      <c r="BP483" s="30">
        <f>Inventory[[#This Row],[Adjusted Impr Total]]+Inventory[[#This Row],[Adjusted Land Total]]</f>
        <v>425700</v>
      </c>
      <c r="BQ483" s="30">
        <f>IFERROR((Inventory[[#This Row],[Adjusted Impr Total]]-Inventory[[#This Row],[24Bldg]])/Inventory[[#This Row],[24Bldg]],0)</f>
        <v>-0.17286751361161526</v>
      </c>
      <c r="BR483" s="43">
        <f>(Inventory[[#This Row],[Adjusted Land Total]]-Inventory[[#This Row],[24Lnd]])/Inventory[[#This Row],[24Lnd]]</f>
        <v>4.9342105263157892E-3</v>
      </c>
      <c r="BS483" s="43">
        <f>(Inventory[[#This Row],[Adjusted Total]]-Inventory[[#This Row],[24Final]])/Inventory[[#This Row],[24Final]]</f>
        <v>-0.15131578947368421</v>
      </c>
    </row>
    <row r="484" spans="1:71">
      <c r="A484" s="30">
        <v>2025</v>
      </c>
      <c r="B484" s="31" t="s">
        <v>998</v>
      </c>
      <c r="C484" s="31">
        <f>LN(Inventory[[#This Row],[Acres]])</f>
        <v>-1.8325814637483102</v>
      </c>
      <c r="D484" s="30">
        <v>0.16</v>
      </c>
      <c r="E484" s="30">
        <v>7020</v>
      </c>
      <c r="F484" s="31" t="s">
        <v>505</v>
      </c>
      <c r="G484" s="31" t="s">
        <v>155</v>
      </c>
      <c r="H484" s="31" t="s">
        <v>5</v>
      </c>
      <c r="I484" s="31" t="s">
        <v>506</v>
      </c>
      <c r="J484" s="31" t="s">
        <v>507</v>
      </c>
      <c r="K484" s="31" t="s">
        <v>193</v>
      </c>
      <c r="L484" s="31" t="s">
        <v>19</v>
      </c>
      <c r="M484" s="31" t="s">
        <v>20</v>
      </c>
      <c r="N484" s="31">
        <v>10</v>
      </c>
      <c r="O484" s="31">
        <f>2024-Inventory[[#This Row],[YrBlt]]</f>
        <v>16</v>
      </c>
      <c r="P484" s="31">
        <f>2024-Inventory[[#This Row],[EffYr]]</f>
        <v>16</v>
      </c>
      <c r="Q484" s="30">
        <v>2008</v>
      </c>
      <c r="R484" s="30">
        <v>2008</v>
      </c>
      <c r="S484" s="30">
        <v>1560</v>
      </c>
      <c r="T484" s="37"/>
      <c r="U484" s="32"/>
      <c r="V484" s="32"/>
      <c r="W484" s="32"/>
      <c r="X484" s="32">
        <f>Inventory[[#This Row],[Bsmt Area]]-Inventory[[#This Row],[FnBsmt]]</f>
        <v>0</v>
      </c>
      <c r="Y484" s="32">
        <f>Inventory[[#This Row],[MainFn]]+Inventory[[#This Row],[UpprFn]]+Inventory[[#This Row],[AddFn]]+Inventory[[#This Row],[FnBsmt]]</f>
        <v>1560</v>
      </c>
      <c r="Z484" s="32">
        <v>2000</v>
      </c>
      <c r="AA484" s="31" t="s">
        <v>56</v>
      </c>
      <c r="AB484" s="32"/>
      <c r="AC484" s="30">
        <v>400</v>
      </c>
      <c r="AD484" s="32"/>
      <c r="AE484" s="32"/>
      <c r="AF484" s="32"/>
      <c r="AG484" s="32"/>
      <c r="AH484" s="32"/>
      <c r="AI484" s="30">
        <v>323260</v>
      </c>
      <c r="AJ484" s="30">
        <v>297399</v>
      </c>
      <c r="AK484" s="30">
        <v>0</v>
      </c>
      <c r="AL484" s="30">
        <v>0</v>
      </c>
      <c r="AM484" s="30">
        <v>60800</v>
      </c>
      <c r="AN484" s="30">
        <v>336300</v>
      </c>
      <c r="AO484" s="30">
        <v>397100</v>
      </c>
      <c r="AP484" s="30">
        <f>Lookups!$B$58*0.6</f>
        <v>132535.48800000001</v>
      </c>
      <c r="AQ484" s="30">
        <f>Lookups!$B$58*0.4</f>
        <v>88356.992000000013</v>
      </c>
      <c r="AR484" s="30">
        <f>Lookups!$B$59*Inventory[[#This Row],[LnAcres]]</f>
        <v>-24051.387388882686</v>
      </c>
      <c r="AS484" s="30">
        <f>VLOOKUP(Inventory[[#This Row],[Qlty]],Lookups!$A$66:$E$79,2,FALSE)</f>
        <v>37154.252388000001</v>
      </c>
      <c r="AT484" s="30">
        <f>VLOOKUP(Inventory[[#This Row],[Cnd]],Lookups!$A$80:$E$88,2,FALSE)</f>
        <v>30300.329274</v>
      </c>
      <c r="AU484" s="30">
        <f>Inventory[[#This Row],[EffAge]]*Lookups!$B$65</f>
        <v>-1739.8576</v>
      </c>
      <c r="AV484" s="30">
        <f>Inventory[[#This Row],[MainFn]]*Lookups!$B$90</f>
        <v>97360.192800000004</v>
      </c>
      <c r="AW484" s="30">
        <f>Inventory[[#This Row],[UpprFn]]*Lookups!$B$91</f>
        <v>0</v>
      </c>
      <c r="AX484" s="30">
        <f>Inventory[[#This Row],[Bsmt Area]]*Lookups!$B$95</f>
        <v>0</v>
      </c>
      <c r="AY484" s="30">
        <f>Inventory[[#This Row],[AttGar]]*Lookups!$B$93</f>
        <v>14120.412400000001</v>
      </c>
      <c r="AZ484" s="30">
        <f>ROUND(Inventory[[#This Row],[25Det]],-2)</f>
        <v>0</v>
      </c>
      <c r="BA484" s="30">
        <f>ROUND(SUM(Inventory[[#This Row],[Mdl Qlty]:[Mdl Garage Area]])+Inventory[[#This Row],[Mdl Res Intercept]],-2)</f>
        <v>309700</v>
      </c>
      <c r="BB484" s="30">
        <f>ROUND(Inventory[[#This Row],[Mdl Land Intercept]]+Inventory[[#This Row],[Mdl LnAcres]],-2)</f>
        <v>64300</v>
      </c>
      <c r="BC484" s="30">
        <f>Inventory[[#This Row],[Unadj Res Value]]+Inventory[[#This Row],[Unadj Det Value]]+Inventory[[#This Row],[Unadj Land Value]]</f>
        <v>374000</v>
      </c>
      <c r="BD484" s="30">
        <f>(Inventory[[#This Row],[Unadj Total Value]]-Inventory[[#This Row],[24Final]])/Inventory[[#This Row],[24Final]]</f>
        <v>-5.817174515235457E-2</v>
      </c>
      <c r="BE484" s="30">
        <f>VLOOKUP(Inventory[[#This Row],[Nbhd]],Lookups!$M$3:$P$5,4,FALSE)</f>
        <v>0.99970000000000003</v>
      </c>
      <c r="BF484" s="30">
        <f>VLOOKUP(Inventory[[#This Row],[Qlty]],Lookups!$M$8:$P$22,4,FALSE)</f>
        <v>0.99819999999999998</v>
      </c>
      <c r="BG484" s="30">
        <f>VLOOKUP(Inventory[[#This Row],[Cnd]],Lookups!$R$8:$U$17,4,FALSE)</f>
        <v>0.997</v>
      </c>
      <c r="BH484" s="30">
        <f>VLOOKUP(Inventory[[#This Row],[LivArea Range]],Lookups!$R$25:$U$43,4,FALSE)</f>
        <v>1.0007999999999999</v>
      </c>
      <c r="BI484" s="30">
        <f>VLOOKUP(Inventory[[#This Row],[Decade]],Lookups!$M$24:$P$40,4,FALSE)</f>
        <v>1.0024</v>
      </c>
      <c r="BJ484" s="30">
        <f>Inventory[[#This Row],[Nbhd Adj]]*0.95</f>
        <v>0.94971499999999998</v>
      </c>
      <c r="BK484" s="30">
        <f>AVERAGE(Inventory[[#This Row],[Nbhd Adj]],Inventory[[#This Row],[Quality Adj]],Inventory[[#This Row],[Condition Adj]],Inventory[[#This Row],[Living Area Adj]],Inventory[[#This Row],[Decade Adj]])*0.95</f>
        <v>0.9496389999999999</v>
      </c>
      <c r="BL484" s="30">
        <f>ROUND((SUM(Inventory[[#This Row],[Mdl Qlty]:[Mdl Garage Area]])+Inventory[[#This Row],[Mdl Res Intercept]])*Inventory[[#This Row],[Res Adj ]],-2)</f>
        <v>294100</v>
      </c>
      <c r="BM484" s="30">
        <f>ROUND(Inventory[[#This Row],[25Det]]*Inventory[[#This Row],[Det/Nbhd Adj]],-2)</f>
        <v>0</v>
      </c>
      <c r="BN484" s="30">
        <f>Inventory[[#This Row],[Adjusted Res]]+Inventory[[#This Row],[Adj Det ]]</f>
        <v>294100</v>
      </c>
      <c r="BO484" s="30">
        <f>ROUND((Inventory[[#This Row],[Mdl Land Intercept]]+Inventory[[#This Row],[Mdl LnAcres]])*Inventory[[#This Row],[Det/Nbhd Adj]],-2)</f>
        <v>61100</v>
      </c>
      <c r="BP484" s="30">
        <f>Inventory[[#This Row],[Adjusted Impr Total]]+Inventory[[#This Row],[Adjusted Land Total]]</f>
        <v>355200</v>
      </c>
      <c r="BQ484" s="30">
        <f>IFERROR((Inventory[[#This Row],[Adjusted Impr Total]]-Inventory[[#This Row],[24Bldg]])/Inventory[[#This Row],[24Bldg]],0)</f>
        <v>-0.12548319952423431</v>
      </c>
      <c r="BR484" s="43">
        <f>(Inventory[[#This Row],[Adjusted Land Total]]-Inventory[[#This Row],[24Lnd]])/Inventory[[#This Row],[24Lnd]]</f>
        <v>4.9342105263157892E-3</v>
      </c>
      <c r="BS484" s="43">
        <f>(Inventory[[#This Row],[Adjusted Total]]-Inventory[[#This Row],[24Final]])/Inventory[[#This Row],[24Final]]</f>
        <v>-0.10551498363132712</v>
      </c>
    </row>
    <row r="485" spans="1:71">
      <c r="A485" s="30">
        <v>2025</v>
      </c>
      <c r="B485" s="31" t="s">
        <v>999</v>
      </c>
      <c r="C485" s="31">
        <f>LN(Inventory[[#This Row],[Acres]])</f>
        <v>-1.8325814637483102</v>
      </c>
      <c r="D485" s="30">
        <v>0.16</v>
      </c>
      <c r="E485" s="30">
        <v>7077</v>
      </c>
      <c r="F485" s="31" t="s">
        <v>505</v>
      </c>
      <c r="G485" s="31" t="s">
        <v>155</v>
      </c>
      <c r="H485" s="31" t="s">
        <v>5</v>
      </c>
      <c r="I485" s="31" t="s">
        <v>506</v>
      </c>
      <c r="J485" s="31" t="s">
        <v>507</v>
      </c>
      <c r="K485" s="31" t="s">
        <v>193</v>
      </c>
      <c r="L485" s="31" t="s">
        <v>19</v>
      </c>
      <c r="M485" s="31" t="s">
        <v>20</v>
      </c>
      <c r="N485" s="31">
        <v>10</v>
      </c>
      <c r="O485" s="31">
        <f>2024-Inventory[[#This Row],[YrBlt]]</f>
        <v>16</v>
      </c>
      <c r="P485" s="31">
        <f>2024-Inventory[[#This Row],[EffYr]]</f>
        <v>16</v>
      </c>
      <c r="Q485" s="30">
        <v>2008</v>
      </c>
      <c r="R485" s="30">
        <v>2008</v>
      </c>
      <c r="S485" s="30">
        <v>1092</v>
      </c>
      <c r="T485" s="32"/>
      <c r="U485" s="32"/>
      <c r="V485" s="32"/>
      <c r="W485" s="32"/>
      <c r="X485" s="32">
        <f>Inventory[[#This Row],[Bsmt Area]]-Inventory[[#This Row],[FnBsmt]]</f>
        <v>0</v>
      </c>
      <c r="Y485" s="32">
        <f>Inventory[[#This Row],[MainFn]]+Inventory[[#This Row],[UpprFn]]+Inventory[[#This Row],[AddFn]]+Inventory[[#This Row],[FnBsmt]]</f>
        <v>1092</v>
      </c>
      <c r="Z485" s="32">
        <v>1500</v>
      </c>
      <c r="AA485" s="31" t="s">
        <v>56</v>
      </c>
      <c r="AB485" s="32"/>
      <c r="AC485" s="30">
        <v>440</v>
      </c>
      <c r="AD485" s="32"/>
      <c r="AE485" s="32"/>
      <c r="AF485" s="32"/>
      <c r="AG485" s="32"/>
      <c r="AH485" s="32"/>
      <c r="AI485" s="30">
        <v>237777</v>
      </c>
      <c r="AJ485" s="30">
        <v>218755</v>
      </c>
      <c r="AK485" s="30">
        <v>0</v>
      </c>
      <c r="AL485" s="30">
        <v>0</v>
      </c>
      <c r="AM485" s="30">
        <v>60800</v>
      </c>
      <c r="AN485" s="30">
        <v>290500</v>
      </c>
      <c r="AO485" s="30">
        <v>351300</v>
      </c>
      <c r="AP485" s="30">
        <f>Lookups!$B$58*0.6</f>
        <v>132535.48800000001</v>
      </c>
      <c r="AQ485" s="30">
        <f>Lookups!$B$58*0.4</f>
        <v>88356.992000000013</v>
      </c>
      <c r="AR485" s="30">
        <f>Lookups!$B$59*Inventory[[#This Row],[LnAcres]]</f>
        <v>-24051.387388882686</v>
      </c>
      <c r="AS485" s="30">
        <f>VLOOKUP(Inventory[[#This Row],[Qlty]],Lookups!$A$66:$E$79,2,FALSE)</f>
        <v>37154.252388000001</v>
      </c>
      <c r="AT485" s="30">
        <f>VLOOKUP(Inventory[[#This Row],[Cnd]],Lookups!$A$80:$E$88,2,FALSE)</f>
        <v>30300.329274</v>
      </c>
      <c r="AU485" s="30">
        <f>Inventory[[#This Row],[EffAge]]*Lookups!$B$65</f>
        <v>-1739.8576</v>
      </c>
      <c r="AV485" s="30">
        <f>Inventory[[#This Row],[MainFn]]*Lookups!$B$90</f>
        <v>68152.13496000001</v>
      </c>
      <c r="AW485" s="30">
        <f>Inventory[[#This Row],[UpprFn]]*Lookups!$B$91</f>
        <v>0</v>
      </c>
      <c r="AX485" s="30">
        <f>Inventory[[#This Row],[Bsmt Area]]*Lookups!$B$95</f>
        <v>0</v>
      </c>
      <c r="AY485" s="30">
        <f>Inventory[[#This Row],[AttGar]]*Lookups!$B$93</f>
        <v>15532.453640000002</v>
      </c>
      <c r="AZ485" s="30">
        <f>ROUND(Inventory[[#This Row],[25Det]],-2)</f>
        <v>0</v>
      </c>
      <c r="BA485" s="30">
        <f>ROUND(SUM(Inventory[[#This Row],[Mdl Qlty]:[Mdl Garage Area]])+Inventory[[#This Row],[Mdl Res Intercept]],-2)</f>
        <v>281900</v>
      </c>
      <c r="BB485" s="30">
        <f>ROUND(Inventory[[#This Row],[Mdl Land Intercept]]+Inventory[[#This Row],[Mdl LnAcres]],-2)</f>
        <v>64300</v>
      </c>
      <c r="BC485" s="30">
        <f>Inventory[[#This Row],[Unadj Res Value]]+Inventory[[#This Row],[Unadj Det Value]]+Inventory[[#This Row],[Unadj Land Value]]</f>
        <v>346200</v>
      </c>
      <c r="BD485" s="30">
        <f>(Inventory[[#This Row],[Unadj Total Value]]-Inventory[[#This Row],[24Final]])/Inventory[[#This Row],[24Final]]</f>
        <v>-1.4517506404782237E-2</v>
      </c>
      <c r="BE485" s="30">
        <f>VLOOKUP(Inventory[[#This Row],[Nbhd]],Lookups!$M$3:$P$5,4,FALSE)</f>
        <v>0.99970000000000003</v>
      </c>
      <c r="BF485" s="30">
        <f>VLOOKUP(Inventory[[#This Row],[Qlty]],Lookups!$M$8:$P$22,4,FALSE)</f>
        <v>0.99819999999999998</v>
      </c>
      <c r="BG485" s="30">
        <f>VLOOKUP(Inventory[[#This Row],[Cnd]],Lookups!$R$8:$U$17,4,FALSE)</f>
        <v>0.997</v>
      </c>
      <c r="BH485" s="30">
        <f>VLOOKUP(Inventory[[#This Row],[LivArea Range]],Lookups!$R$25:$U$43,4,FALSE)</f>
        <v>0.99519999999999997</v>
      </c>
      <c r="BI485" s="30">
        <f>VLOOKUP(Inventory[[#This Row],[Decade]],Lookups!$M$24:$P$40,4,FALSE)</f>
        <v>1.0024</v>
      </c>
      <c r="BJ485" s="30">
        <f>Inventory[[#This Row],[Nbhd Adj]]*0.95</f>
        <v>0.94971499999999998</v>
      </c>
      <c r="BK485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485" s="30">
        <f>ROUND((SUM(Inventory[[#This Row],[Mdl Qlty]:[Mdl Garage Area]])+Inventory[[#This Row],[Mdl Res Intercept]])*Inventory[[#This Row],[Res Adj ]],-2)</f>
        <v>267400</v>
      </c>
      <c r="BM485" s="30">
        <f>ROUND(Inventory[[#This Row],[25Det]]*Inventory[[#This Row],[Det/Nbhd Adj]],-2)</f>
        <v>0</v>
      </c>
      <c r="BN485" s="30">
        <f>Inventory[[#This Row],[Adjusted Res]]+Inventory[[#This Row],[Adj Det ]]</f>
        <v>267400</v>
      </c>
      <c r="BO485" s="30">
        <f>ROUND((Inventory[[#This Row],[Mdl Land Intercept]]+Inventory[[#This Row],[Mdl LnAcres]])*Inventory[[#This Row],[Det/Nbhd Adj]],-2)</f>
        <v>61100</v>
      </c>
      <c r="BP485" s="30">
        <f>Inventory[[#This Row],[Adjusted Impr Total]]+Inventory[[#This Row],[Adjusted Land Total]]</f>
        <v>328500</v>
      </c>
      <c r="BQ485" s="30">
        <f>IFERROR((Inventory[[#This Row],[Adjusted Impr Total]]-Inventory[[#This Row],[24Bldg]])/Inventory[[#This Row],[24Bldg]],0)</f>
        <v>-7.9518072289156624E-2</v>
      </c>
      <c r="BR485" s="43">
        <f>(Inventory[[#This Row],[Adjusted Land Total]]-Inventory[[#This Row],[24Lnd]])/Inventory[[#This Row],[24Lnd]]</f>
        <v>4.9342105263157892E-3</v>
      </c>
      <c r="BS485" s="43">
        <f>(Inventory[[#This Row],[Adjusted Total]]-Inventory[[#This Row],[24Final]])/Inventory[[#This Row],[24Final]]</f>
        <v>-6.4901793339026473E-2</v>
      </c>
    </row>
    <row r="486" spans="1:71">
      <c r="A486" s="30">
        <v>2025</v>
      </c>
      <c r="B486" s="31" t="s">
        <v>1000</v>
      </c>
      <c r="C486" s="31">
        <f>LN(Inventory[[#This Row],[Acres]])</f>
        <v>-1.8325814637483102</v>
      </c>
      <c r="D486" s="30">
        <v>0.16</v>
      </c>
      <c r="E486" s="30">
        <v>7033</v>
      </c>
      <c r="F486" s="31" t="s">
        <v>505</v>
      </c>
      <c r="G486" s="31" t="s">
        <v>155</v>
      </c>
      <c r="H486" s="31" t="s">
        <v>5</v>
      </c>
      <c r="I486" s="31" t="s">
        <v>506</v>
      </c>
      <c r="J486" s="31" t="s">
        <v>507</v>
      </c>
      <c r="K486" s="31" t="s">
        <v>157</v>
      </c>
      <c r="L486" s="31" t="s">
        <v>21</v>
      </c>
      <c r="M486" s="31" t="s">
        <v>22</v>
      </c>
      <c r="N486" s="31">
        <v>10</v>
      </c>
      <c r="O486" s="31">
        <f>2024-Inventory[[#This Row],[YrBlt]]</f>
        <v>16</v>
      </c>
      <c r="P486" s="31">
        <f>2024-Inventory[[#This Row],[EffYr]]</f>
        <v>16</v>
      </c>
      <c r="Q486" s="30">
        <v>2008</v>
      </c>
      <c r="R486" s="30">
        <v>2008</v>
      </c>
      <c r="S486" s="30">
        <v>1132</v>
      </c>
      <c r="T486" s="38">
        <v>1252</v>
      </c>
      <c r="U486" s="32"/>
      <c r="V486" s="32"/>
      <c r="W486" s="32"/>
      <c r="X486" s="32">
        <f>Inventory[[#This Row],[Bsmt Area]]-Inventory[[#This Row],[FnBsmt]]</f>
        <v>0</v>
      </c>
      <c r="Y486" s="32">
        <f>Inventory[[#This Row],[MainFn]]+Inventory[[#This Row],[UpprFn]]+Inventory[[#This Row],[AddFn]]+Inventory[[#This Row],[FnBsmt]]</f>
        <v>2384</v>
      </c>
      <c r="Z486" s="32">
        <v>2500</v>
      </c>
      <c r="AA486" s="31" t="s">
        <v>56</v>
      </c>
      <c r="AB486" s="38">
        <v>1</v>
      </c>
      <c r="AC486" s="37"/>
      <c r="AD486" s="38">
        <v>528</v>
      </c>
      <c r="AE486" s="32"/>
      <c r="AF486" s="32"/>
      <c r="AG486" s="32"/>
      <c r="AH486" s="32"/>
      <c r="AI486" s="30">
        <v>468709</v>
      </c>
      <c r="AJ486" s="30">
        <v>435899</v>
      </c>
      <c r="AK486" s="30">
        <v>0</v>
      </c>
      <c r="AL486" s="30">
        <v>0</v>
      </c>
      <c r="AM486" s="30">
        <v>60800</v>
      </c>
      <c r="AN486" s="30">
        <v>364700</v>
      </c>
      <c r="AO486" s="30">
        <v>425500</v>
      </c>
      <c r="AP486" s="30">
        <f>Lookups!$B$58*0.6</f>
        <v>132535.48800000001</v>
      </c>
      <c r="AQ486" s="30">
        <f>Lookups!$B$58*0.4</f>
        <v>88356.992000000013</v>
      </c>
      <c r="AR486" s="30">
        <f>Lookups!$B$59*Inventory[[#This Row],[LnAcres]]</f>
        <v>-24051.387388882686</v>
      </c>
      <c r="AS486" s="30">
        <f>VLOOKUP(Inventory[[#This Row],[Qlty]],Lookups!$A$66:$E$79,2,FALSE)</f>
        <v>32917.849192000001</v>
      </c>
      <c r="AT486" s="30">
        <f>VLOOKUP(Inventory[[#This Row],[Cnd]],Lookups!$A$80:$E$88,2,FALSE)</f>
        <v>50438.379078999998</v>
      </c>
      <c r="AU486" s="30">
        <f>Inventory[[#This Row],[EffAge]]*Lookups!$B$65</f>
        <v>-1739.8576</v>
      </c>
      <c r="AV486" s="30">
        <f>Inventory[[#This Row],[MainFn]]*Lookups!$B$90</f>
        <v>70648.550159999999</v>
      </c>
      <c r="AW486" s="30">
        <f>Inventory[[#This Row],[UpprFn]]*Lookups!$B$91</f>
        <v>74594.639515999996</v>
      </c>
      <c r="AX486" s="30">
        <f>Inventory[[#This Row],[Bsmt Area]]*Lookups!$B$95</f>
        <v>0</v>
      </c>
      <c r="AY486" s="30">
        <f>Inventory[[#This Row],[AttGar]]*Lookups!$B$93</f>
        <v>0</v>
      </c>
      <c r="AZ486" s="30">
        <f>ROUND(Inventory[[#This Row],[25Det]],-2)</f>
        <v>0</v>
      </c>
      <c r="BA486" s="30">
        <f>ROUND(SUM(Inventory[[#This Row],[Mdl Qlty]:[Mdl Garage Area]])+Inventory[[#This Row],[Mdl Res Intercept]],-2)</f>
        <v>359400</v>
      </c>
      <c r="BB486" s="30">
        <f>ROUND(Inventory[[#This Row],[Mdl Land Intercept]]+Inventory[[#This Row],[Mdl LnAcres]],-2)</f>
        <v>64300</v>
      </c>
      <c r="BC486" s="30">
        <f>Inventory[[#This Row],[Unadj Res Value]]+Inventory[[#This Row],[Unadj Det Value]]+Inventory[[#This Row],[Unadj Land Value]]</f>
        <v>423700</v>
      </c>
      <c r="BD486" s="30">
        <f>(Inventory[[#This Row],[Unadj Total Value]]-Inventory[[#This Row],[24Final]])/Inventory[[#This Row],[24Final]]</f>
        <v>-4.2303172737955348E-3</v>
      </c>
      <c r="BE486" s="30">
        <f>VLOOKUP(Inventory[[#This Row],[Nbhd]],Lookups!$M$3:$P$5,4,FALSE)</f>
        <v>0.99970000000000003</v>
      </c>
      <c r="BF486" s="30">
        <f>VLOOKUP(Inventory[[#This Row],[Qlty]],Lookups!$M$8:$P$22,4,FALSE)</f>
        <v>1.0019</v>
      </c>
      <c r="BG486" s="30">
        <f>VLOOKUP(Inventory[[#This Row],[Cnd]],Lookups!$R$8:$U$17,4,FALSE)</f>
        <v>1.0007999999999999</v>
      </c>
      <c r="BH486" s="30">
        <f>VLOOKUP(Inventory[[#This Row],[LivArea Range]],Lookups!$R$25:$U$43,4,FALSE)</f>
        <v>1.0008999999999999</v>
      </c>
      <c r="BI486" s="30">
        <f>VLOOKUP(Inventory[[#This Row],[Decade]],Lookups!$M$24:$P$40,4,FALSE)</f>
        <v>1.0024</v>
      </c>
      <c r="BJ486" s="30">
        <f>Inventory[[#This Row],[Nbhd Adj]]*0.95</f>
        <v>0.94971499999999998</v>
      </c>
      <c r="BK486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486" s="30">
        <f>ROUND((SUM(Inventory[[#This Row],[Mdl Qlty]:[Mdl Garage Area]])+Inventory[[#This Row],[Mdl Res Intercept]])*Inventory[[#This Row],[Res Adj ]],-2)</f>
        <v>341800</v>
      </c>
      <c r="BM486" s="30">
        <f>ROUND(Inventory[[#This Row],[25Det]]*Inventory[[#This Row],[Det/Nbhd Adj]],-2)</f>
        <v>0</v>
      </c>
      <c r="BN486" s="30">
        <f>Inventory[[#This Row],[Adjusted Res]]+Inventory[[#This Row],[Adj Det ]]</f>
        <v>341800</v>
      </c>
      <c r="BO486" s="30">
        <f>ROUND((Inventory[[#This Row],[Mdl Land Intercept]]+Inventory[[#This Row],[Mdl LnAcres]])*Inventory[[#This Row],[Det/Nbhd Adj]],-2)</f>
        <v>61100</v>
      </c>
      <c r="BP486" s="30">
        <f>Inventory[[#This Row],[Adjusted Impr Total]]+Inventory[[#This Row],[Adjusted Land Total]]</f>
        <v>402900</v>
      </c>
      <c r="BQ486" s="30">
        <f>IFERROR((Inventory[[#This Row],[Adjusted Impr Total]]-Inventory[[#This Row],[24Bldg]])/Inventory[[#This Row],[24Bldg]],0)</f>
        <v>-6.279133534411846E-2</v>
      </c>
      <c r="BR486" s="43">
        <f>(Inventory[[#This Row],[Adjusted Land Total]]-Inventory[[#This Row],[24Lnd]])/Inventory[[#This Row],[24Lnd]]</f>
        <v>4.9342105263157892E-3</v>
      </c>
      <c r="BS486" s="43">
        <f>(Inventory[[#This Row],[Adjusted Total]]-Inventory[[#This Row],[24Final]])/Inventory[[#This Row],[24Final]]</f>
        <v>-5.3113983548766154E-2</v>
      </c>
    </row>
    <row r="487" spans="1:71">
      <c r="A487" s="30">
        <v>2025</v>
      </c>
      <c r="B487" s="31" t="s">
        <v>1001</v>
      </c>
      <c r="C487" s="31">
        <f>LN(Inventory[[#This Row],[Acres]])</f>
        <v>-1.8325814637483102</v>
      </c>
      <c r="D487" s="30">
        <v>0.16</v>
      </c>
      <c r="E487" s="30">
        <v>7063</v>
      </c>
      <c r="F487" s="31" t="s">
        <v>505</v>
      </c>
      <c r="G487" s="31" t="s">
        <v>155</v>
      </c>
      <c r="H487" s="31" t="s">
        <v>5</v>
      </c>
      <c r="I487" s="31" t="s">
        <v>506</v>
      </c>
      <c r="J487" s="31" t="s">
        <v>507</v>
      </c>
      <c r="K487" s="31" t="s">
        <v>157</v>
      </c>
      <c r="L487" s="31" t="s">
        <v>19</v>
      </c>
      <c r="M487" s="31" t="s">
        <v>20</v>
      </c>
      <c r="N487" s="31">
        <v>10</v>
      </c>
      <c r="O487" s="31">
        <f>2024-Inventory[[#This Row],[YrBlt]]</f>
        <v>16</v>
      </c>
      <c r="P487" s="31">
        <f>2024-Inventory[[#This Row],[EffYr]]</f>
        <v>16</v>
      </c>
      <c r="Q487" s="30">
        <v>2008</v>
      </c>
      <c r="R487" s="30">
        <v>2008</v>
      </c>
      <c r="S487" s="30">
        <v>1040</v>
      </c>
      <c r="T487" s="38">
        <v>1040</v>
      </c>
      <c r="U487" s="32"/>
      <c r="V487" s="32"/>
      <c r="W487" s="32"/>
      <c r="X487" s="32">
        <f>Inventory[[#This Row],[Bsmt Area]]-Inventory[[#This Row],[FnBsmt]]</f>
        <v>0</v>
      </c>
      <c r="Y487" s="32">
        <f>Inventory[[#This Row],[MainFn]]+Inventory[[#This Row],[UpprFn]]+Inventory[[#This Row],[AddFn]]+Inventory[[#This Row],[FnBsmt]]</f>
        <v>2080</v>
      </c>
      <c r="Z487" s="32">
        <v>2500</v>
      </c>
      <c r="AA487" s="31" t="s">
        <v>56</v>
      </c>
      <c r="AB487" s="37"/>
      <c r="AC487" s="30">
        <v>420</v>
      </c>
      <c r="AD487" s="32"/>
      <c r="AE487" s="32"/>
      <c r="AF487" s="32"/>
      <c r="AG487" s="32"/>
      <c r="AH487" s="32"/>
      <c r="AI487" s="30">
        <v>376462</v>
      </c>
      <c r="AJ487" s="30">
        <v>346345</v>
      </c>
      <c r="AK487" s="30">
        <v>0</v>
      </c>
      <c r="AL487" s="30">
        <v>0</v>
      </c>
      <c r="AM487" s="30">
        <v>60800</v>
      </c>
      <c r="AN487" s="30">
        <v>337300</v>
      </c>
      <c r="AO487" s="30">
        <v>398100</v>
      </c>
      <c r="AP487" s="30">
        <f>Lookups!$B$58*0.6</f>
        <v>132535.48800000001</v>
      </c>
      <c r="AQ487" s="30">
        <f>Lookups!$B$58*0.4</f>
        <v>88356.992000000013</v>
      </c>
      <c r="AR487" s="30">
        <f>Lookups!$B$59*Inventory[[#This Row],[LnAcres]]</f>
        <v>-24051.387388882686</v>
      </c>
      <c r="AS487" s="30">
        <f>VLOOKUP(Inventory[[#This Row],[Qlty]],Lookups!$A$66:$E$79,2,FALSE)</f>
        <v>37154.252388000001</v>
      </c>
      <c r="AT487" s="30">
        <f>VLOOKUP(Inventory[[#This Row],[Cnd]],Lookups!$A$80:$E$88,2,FALSE)</f>
        <v>30300.329274</v>
      </c>
      <c r="AU487" s="30">
        <f>Inventory[[#This Row],[EffAge]]*Lookups!$B$65</f>
        <v>-1739.8576</v>
      </c>
      <c r="AV487" s="30">
        <f>Inventory[[#This Row],[MainFn]]*Lookups!$B$90</f>
        <v>64906.7952</v>
      </c>
      <c r="AW487" s="30">
        <f>Inventory[[#This Row],[UpprFn]]*Lookups!$B$91</f>
        <v>61963.598319999997</v>
      </c>
      <c r="AX487" s="30">
        <f>Inventory[[#This Row],[Bsmt Area]]*Lookups!$B$95</f>
        <v>0</v>
      </c>
      <c r="AY487" s="30">
        <f>Inventory[[#This Row],[AttGar]]*Lookups!$B$93</f>
        <v>14826.43302</v>
      </c>
      <c r="AZ487" s="30">
        <f>ROUND(Inventory[[#This Row],[25Det]],-2)</f>
        <v>0</v>
      </c>
      <c r="BA487" s="30">
        <f>ROUND(SUM(Inventory[[#This Row],[Mdl Qlty]:[Mdl Garage Area]])+Inventory[[#This Row],[Mdl Res Intercept]],-2)</f>
        <v>339900</v>
      </c>
      <c r="BB487" s="30">
        <f>ROUND(Inventory[[#This Row],[Mdl Land Intercept]]+Inventory[[#This Row],[Mdl LnAcres]],-2)</f>
        <v>64300</v>
      </c>
      <c r="BC487" s="30">
        <f>Inventory[[#This Row],[Unadj Res Value]]+Inventory[[#This Row],[Unadj Det Value]]+Inventory[[#This Row],[Unadj Land Value]]</f>
        <v>404200</v>
      </c>
      <c r="BD487" s="30">
        <f>(Inventory[[#This Row],[Unadj Total Value]]-Inventory[[#This Row],[24Final]])/Inventory[[#This Row],[24Final]]</f>
        <v>1.5322783220296407E-2</v>
      </c>
      <c r="BE487" s="30">
        <f>VLOOKUP(Inventory[[#This Row],[Nbhd]],Lookups!$M$3:$P$5,4,FALSE)</f>
        <v>0.99970000000000003</v>
      </c>
      <c r="BF487" s="30">
        <f>VLOOKUP(Inventory[[#This Row],[Qlty]],Lookups!$M$8:$P$22,4,FALSE)</f>
        <v>0.99819999999999998</v>
      </c>
      <c r="BG487" s="30">
        <f>VLOOKUP(Inventory[[#This Row],[Cnd]],Lookups!$R$8:$U$17,4,FALSE)</f>
        <v>0.997</v>
      </c>
      <c r="BH487" s="30">
        <f>VLOOKUP(Inventory[[#This Row],[LivArea Range]],Lookups!$R$25:$U$43,4,FALSE)</f>
        <v>1.0008999999999999</v>
      </c>
      <c r="BI487" s="30">
        <f>VLOOKUP(Inventory[[#This Row],[Decade]],Lookups!$M$24:$P$40,4,FALSE)</f>
        <v>1.0024</v>
      </c>
      <c r="BJ487" s="30">
        <f>Inventory[[#This Row],[Nbhd Adj]]*0.95</f>
        <v>0.94971499999999998</v>
      </c>
      <c r="BK487" s="30">
        <f>AVERAGE(Inventory[[#This Row],[Nbhd Adj]],Inventory[[#This Row],[Quality Adj]],Inventory[[#This Row],[Condition Adj]],Inventory[[#This Row],[Living Area Adj]],Inventory[[#This Row],[Decade Adj]])*0.95</f>
        <v>0.94965799999999989</v>
      </c>
      <c r="BL487" s="30">
        <f>ROUND((SUM(Inventory[[#This Row],[Mdl Qlty]:[Mdl Garage Area]])+Inventory[[#This Row],[Mdl Res Intercept]])*Inventory[[#This Row],[Res Adj ]],-2)</f>
        <v>322800</v>
      </c>
      <c r="BM487" s="30">
        <f>ROUND(Inventory[[#This Row],[25Det]]*Inventory[[#This Row],[Det/Nbhd Adj]],-2)</f>
        <v>0</v>
      </c>
      <c r="BN487" s="30">
        <f>Inventory[[#This Row],[Adjusted Res]]+Inventory[[#This Row],[Adj Det ]]</f>
        <v>322800</v>
      </c>
      <c r="BO487" s="30">
        <f>ROUND((Inventory[[#This Row],[Mdl Land Intercept]]+Inventory[[#This Row],[Mdl LnAcres]])*Inventory[[#This Row],[Det/Nbhd Adj]],-2)</f>
        <v>61100</v>
      </c>
      <c r="BP487" s="30">
        <f>Inventory[[#This Row],[Adjusted Impr Total]]+Inventory[[#This Row],[Adjusted Land Total]]</f>
        <v>383900</v>
      </c>
      <c r="BQ487" s="30">
        <f>IFERROR((Inventory[[#This Row],[Adjusted Impr Total]]-Inventory[[#This Row],[24Bldg]])/Inventory[[#This Row],[24Bldg]],0)</f>
        <v>-4.2988437592647498E-2</v>
      </c>
      <c r="BR487" s="43">
        <f>(Inventory[[#This Row],[Adjusted Land Total]]-Inventory[[#This Row],[24Lnd]])/Inventory[[#This Row],[24Lnd]]</f>
        <v>4.9342105263157892E-3</v>
      </c>
      <c r="BS487" s="43">
        <f>(Inventory[[#This Row],[Adjusted Total]]-Inventory[[#This Row],[24Final]])/Inventory[[#This Row],[24Final]]</f>
        <v>-3.5669429791509673E-2</v>
      </c>
    </row>
    <row r="488" spans="1:71">
      <c r="A488" s="30">
        <v>2025</v>
      </c>
      <c r="B488" s="31" t="s">
        <v>1002</v>
      </c>
      <c r="C488" s="31">
        <f>LN(Inventory[[#This Row],[Acres]])</f>
        <v>-1.8325814637483102</v>
      </c>
      <c r="D488" s="30">
        <v>0.16</v>
      </c>
      <c r="E488" s="30">
        <v>7073</v>
      </c>
      <c r="F488" s="31" t="s">
        <v>505</v>
      </c>
      <c r="G488" s="31" t="s">
        <v>155</v>
      </c>
      <c r="H488" s="31" t="s">
        <v>5</v>
      </c>
      <c r="I488" s="31" t="s">
        <v>506</v>
      </c>
      <c r="J488" s="31" t="s">
        <v>507</v>
      </c>
      <c r="K488" s="31" t="s">
        <v>193</v>
      </c>
      <c r="L488" s="31" t="s">
        <v>19</v>
      </c>
      <c r="M488" s="31" t="s">
        <v>20</v>
      </c>
      <c r="N488" s="31">
        <v>10</v>
      </c>
      <c r="O488" s="31">
        <f>2024-Inventory[[#This Row],[YrBlt]]</f>
        <v>16</v>
      </c>
      <c r="P488" s="31">
        <f>2024-Inventory[[#This Row],[EffYr]]</f>
        <v>16</v>
      </c>
      <c r="Q488" s="30">
        <v>2008</v>
      </c>
      <c r="R488" s="30">
        <v>2008</v>
      </c>
      <c r="S488" s="30">
        <v>1116</v>
      </c>
      <c r="T488" s="37"/>
      <c r="U488" s="32"/>
      <c r="V488" s="32"/>
      <c r="W488" s="32"/>
      <c r="X488" s="32">
        <f>Inventory[[#This Row],[Bsmt Area]]-Inventory[[#This Row],[FnBsmt]]</f>
        <v>0</v>
      </c>
      <c r="Y488" s="32">
        <f>Inventory[[#This Row],[MainFn]]+Inventory[[#This Row],[UpprFn]]+Inventory[[#This Row],[AddFn]]+Inventory[[#This Row],[FnBsmt]]</f>
        <v>1116</v>
      </c>
      <c r="Z488" s="32">
        <v>1500</v>
      </c>
      <c r="AA488" s="31" t="s">
        <v>56</v>
      </c>
      <c r="AB488" s="32"/>
      <c r="AC488" s="38">
        <v>400</v>
      </c>
      <c r="AD488" s="37"/>
      <c r="AE488" s="32"/>
      <c r="AF488" s="32"/>
      <c r="AG488" s="32"/>
      <c r="AH488" s="32"/>
      <c r="AI488" s="30">
        <v>233230</v>
      </c>
      <c r="AJ488" s="30">
        <v>214572</v>
      </c>
      <c r="AK488" s="30">
        <v>0</v>
      </c>
      <c r="AL488" s="30">
        <v>0</v>
      </c>
      <c r="AM488" s="30">
        <v>60800</v>
      </c>
      <c r="AN488" s="30">
        <v>277600</v>
      </c>
      <c r="AO488" s="30">
        <v>338400</v>
      </c>
      <c r="AP488" s="30">
        <f>Lookups!$B$58*0.6</f>
        <v>132535.48800000001</v>
      </c>
      <c r="AQ488" s="30">
        <f>Lookups!$B$58*0.4</f>
        <v>88356.992000000013</v>
      </c>
      <c r="AR488" s="30">
        <f>Lookups!$B$59*Inventory[[#This Row],[LnAcres]]</f>
        <v>-24051.387388882686</v>
      </c>
      <c r="AS488" s="30">
        <f>VLOOKUP(Inventory[[#This Row],[Qlty]],Lookups!$A$66:$E$79,2,FALSE)</f>
        <v>37154.252388000001</v>
      </c>
      <c r="AT488" s="30">
        <f>VLOOKUP(Inventory[[#This Row],[Cnd]],Lookups!$A$80:$E$88,2,FALSE)</f>
        <v>30300.329274</v>
      </c>
      <c r="AU488" s="30">
        <f>Inventory[[#This Row],[EffAge]]*Lookups!$B$65</f>
        <v>-1739.8576</v>
      </c>
      <c r="AV488" s="30">
        <f>Inventory[[#This Row],[MainFn]]*Lookups!$B$90</f>
        <v>69649.984080000009</v>
      </c>
      <c r="AW488" s="30">
        <f>Inventory[[#This Row],[UpprFn]]*Lookups!$B$91</f>
        <v>0</v>
      </c>
      <c r="AX488" s="30">
        <f>Inventory[[#This Row],[Bsmt Area]]*Lookups!$B$95</f>
        <v>0</v>
      </c>
      <c r="AY488" s="30">
        <f>Inventory[[#This Row],[AttGar]]*Lookups!$B$93</f>
        <v>14120.412400000001</v>
      </c>
      <c r="AZ488" s="30">
        <f>ROUND(Inventory[[#This Row],[25Det]],-2)</f>
        <v>0</v>
      </c>
      <c r="BA488" s="30">
        <f>ROUND(SUM(Inventory[[#This Row],[Mdl Qlty]:[Mdl Garage Area]])+Inventory[[#This Row],[Mdl Res Intercept]],-2)</f>
        <v>282000</v>
      </c>
      <c r="BB488" s="30">
        <f>ROUND(Inventory[[#This Row],[Mdl Land Intercept]]+Inventory[[#This Row],[Mdl LnAcres]],-2)</f>
        <v>64300</v>
      </c>
      <c r="BC488" s="30">
        <f>Inventory[[#This Row],[Unadj Res Value]]+Inventory[[#This Row],[Unadj Det Value]]+Inventory[[#This Row],[Unadj Land Value]]</f>
        <v>346300</v>
      </c>
      <c r="BD488" s="30">
        <f>(Inventory[[#This Row],[Unadj Total Value]]-Inventory[[#This Row],[24Final]])/Inventory[[#This Row],[24Final]]</f>
        <v>2.3345153664302599E-2</v>
      </c>
      <c r="BE488" s="30">
        <f>VLOOKUP(Inventory[[#This Row],[Nbhd]],Lookups!$M$3:$P$5,4,FALSE)</f>
        <v>0.99970000000000003</v>
      </c>
      <c r="BF488" s="30">
        <f>VLOOKUP(Inventory[[#This Row],[Qlty]],Lookups!$M$8:$P$22,4,FALSE)</f>
        <v>0.99819999999999998</v>
      </c>
      <c r="BG488" s="30">
        <f>VLOOKUP(Inventory[[#This Row],[Cnd]],Lookups!$R$8:$U$17,4,FALSE)</f>
        <v>0.997</v>
      </c>
      <c r="BH488" s="30">
        <f>VLOOKUP(Inventory[[#This Row],[LivArea Range]],Lookups!$R$25:$U$43,4,FALSE)</f>
        <v>0.99519999999999997</v>
      </c>
      <c r="BI488" s="30">
        <f>VLOOKUP(Inventory[[#This Row],[Decade]],Lookups!$M$24:$P$40,4,FALSE)</f>
        <v>1.0024</v>
      </c>
      <c r="BJ488" s="30">
        <f>Inventory[[#This Row],[Nbhd Adj]]*0.95</f>
        <v>0.94971499999999998</v>
      </c>
      <c r="BK488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488" s="30">
        <f>ROUND((SUM(Inventory[[#This Row],[Mdl Qlty]:[Mdl Garage Area]])+Inventory[[#This Row],[Mdl Res Intercept]])*Inventory[[#This Row],[Res Adj ]],-2)</f>
        <v>267500</v>
      </c>
      <c r="BM488" s="30">
        <f>ROUND(Inventory[[#This Row],[25Det]]*Inventory[[#This Row],[Det/Nbhd Adj]],-2)</f>
        <v>0</v>
      </c>
      <c r="BN488" s="30">
        <f>Inventory[[#This Row],[Adjusted Res]]+Inventory[[#This Row],[Adj Det ]]</f>
        <v>267500</v>
      </c>
      <c r="BO488" s="30">
        <f>ROUND((Inventory[[#This Row],[Mdl Land Intercept]]+Inventory[[#This Row],[Mdl LnAcres]])*Inventory[[#This Row],[Det/Nbhd Adj]],-2)</f>
        <v>61100</v>
      </c>
      <c r="BP488" s="30">
        <f>Inventory[[#This Row],[Adjusted Impr Total]]+Inventory[[#This Row],[Adjusted Land Total]]</f>
        <v>328600</v>
      </c>
      <c r="BQ488" s="30">
        <f>IFERROR((Inventory[[#This Row],[Adjusted Impr Total]]-Inventory[[#This Row],[24Bldg]])/Inventory[[#This Row],[24Bldg]],0)</f>
        <v>-3.638328530259366E-2</v>
      </c>
      <c r="BR488" s="43">
        <f>(Inventory[[#This Row],[Adjusted Land Total]]-Inventory[[#This Row],[24Lnd]])/Inventory[[#This Row],[24Lnd]]</f>
        <v>4.9342105263157892E-3</v>
      </c>
      <c r="BS488" s="43">
        <f>(Inventory[[#This Row],[Adjusted Total]]-Inventory[[#This Row],[24Final]])/Inventory[[#This Row],[24Final]]</f>
        <v>-2.8959810874704492E-2</v>
      </c>
    </row>
    <row r="489" spans="1:71">
      <c r="A489" s="30">
        <v>2025</v>
      </c>
      <c r="B489" s="31" t="s">
        <v>1003</v>
      </c>
      <c r="C489" s="31">
        <f>LN(Inventory[[#This Row],[Acres]])</f>
        <v>-1.8325814637483102</v>
      </c>
      <c r="D489" s="30">
        <v>0.16</v>
      </c>
      <c r="E489" s="30">
        <v>7077</v>
      </c>
      <c r="F489" s="31" t="s">
        <v>505</v>
      </c>
      <c r="G489" s="31" t="s">
        <v>155</v>
      </c>
      <c r="H489" s="31" t="s">
        <v>5</v>
      </c>
      <c r="I489" s="31" t="s">
        <v>506</v>
      </c>
      <c r="J489" s="31" t="s">
        <v>507</v>
      </c>
      <c r="K489" s="31" t="s">
        <v>193</v>
      </c>
      <c r="L489" s="31" t="s">
        <v>19</v>
      </c>
      <c r="M489" s="31" t="s">
        <v>22</v>
      </c>
      <c r="N489" s="31">
        <v>10</v>
      </c>
      <c r="O489" s="31">
        <f>2024-Inventory[[#This Row],[YrBlt]]</f>
        <v>16</v>
      </c>
      <c r="P489" s="31">
        <f>2024-Inventory[[#This Row],[EffYr]]</f>
        <v>16</v>
      </c>
      <c r="Q489" s="30">
        <v>2008</v>
      </c>
      <c r="R489" s="30">
        <v>2008</v>
      </c>
      <c r="S489" s="30">
        <v>1092</v>
      </c>
      <c r="T489" s="37"/>
      <c r="U489" s="32"/>
      <c r="V489" s="32"/>
      <c r="W489" s="32"/>
      <c r="X489" s="32">
        <f>Inventory[[#This Row],[Bsmt Area]]-Inventory[[#This Row],[FnBsmt]]</f>
        <v>0</v>
      </c>
      <c r="Y489" s="32">
        <f>Inventory[[#This Row],[MainFn]]+Inventory[[#This Row],[UpprFn]]+Inventory[[#This Row],[AddFn]]+Inventory[[#This Row],[FnBsmt]]</f>
        <v>1092</v>
      </c>
      <c r="Z489" s="32">
        <v>1500</v>
      </c>
      <c r="AA489" s="31" t="s">
        <v>56</v>
      </c>
      <c r="AB489" s="37"/>
      <c r="AC489" s="30">
        <v>680</v>
      </c>
      <c r="AD489" s="32"/>
      <c r="AE489" s="32"/>
      <c r="AF489" s="32"/>
      <c r="AG489" s="32"/>
      <c r="AH489" s="32"/>
      <c r="AI489" s="30">
        <v>242656</v>
      </c>
      <c r="AJ489" s="30">
        <v>225670</v>
      </c>
      <c r="AK489" s="30">
        <v>0</v>
      </c>
      <c r="AL489" s="30">
        <v>0</v>
      </c>
      <c r="AM489" s="30">
        <v>60800</v>
      </c>
      <c r="AN489" s="30">
        <v>305400</v>
      </c>
      <c r="AO489" s="30">
        <v>366200</v>
      </c>
      <c r="AP489" s="30">
        <f>Lookups!$B$58*0.6</f>
        <v>132535.48800000001</v>
      </c>
      <c r="AQ489" s="30">
        <f>Lookups!$B$58*0.4</f>
        <v>88356.992000000013</v>
      </c>
      <c r="AR489" s="30">
        <f>Lookups!$B$59*Inventory[[#This Row],[LnAcres]]</f>
        <v>-24051.387388882686</v>
      </c>
      <c r="AS489" s="30">
        <f>VLOOKUP(Inventory[[#This Row],[Qlty]],Lookups!$A$66:$E$79,2,FALSE)</f>
        <v>37154.252388000001</v>
      </c>
      <c r="AT489" s="30">
        <f>VLOOKUP(Inventory[[#This Row],[Cnd]],Lookups!$A$80:$E$88,2,FALSE)</f>
        <v>50438.379078999998</v>
      </c>
      <c r="AU489" s="30">
        <f>Inventory[[#This Row],[EffAge]]*Lookups!$B$65</f>
        <v>-1739.8576</v>
      </c>
      <c r="AV489" s="30">
        <f>Inventory[[#This Row],[MainFn]]*Lookups!$B$90</f>
        <v>68152.13496000001</v>
      </c>
      <c r="AW489" s="30">
        <f>Inventory[[#This Row],[UpprFn]]*Lookups!$B$91</f>
        <v>0</v>
      </c>
      <c r="AX489" s="30">
        <f>Inventory[[#This Row],[Bsmt Area]]*Lookups!$B$95</f>
        <v>0</v>
      </c>
      <c r="AY489" s="30">
        <f>Inventory[[#This Row],[AttGar]]*Lookups!$B$93</f>
        <v>24004.701080000003</v>
      </c>
      <c r="AZ489" s="30">
        <f>ROUND(Inventory[[#This Row],[25Det]],-2)</f>
        <v>0</v>
      </c>
      <c r="BA489" s="30">
        <f>ROUND(SUM(Inventory[[#This Row],[Mdl Qlty]:[Mdl Garage Area]])+Inventory[[#This Row],[Mdl Res Intercept]],-2)</f>
        <v>310500</v>
      </c>
      <c r="BB489" s="30">
        <f>ROUND(Inventory[[#This Row],[Mdl Land Intercept]]+Inventory[[#This Row],[Mdl LnAcres]],-2)</f>
        <v>64300</v>
      </c>
      <c r="BC489" s="30">
        <f>Inventory[[#This Row],[Unadj Res Value]]+Inventory[[#This Row],[Unadj Det Value]]+Inventory[[#This Row],[Unadj Land Value]]</f>
        <v>374800</v>
      </c>
      <c r="BD489" s="30">
        <f>(Inventory[[#This Row],[Unadj Total Value]]-Inventory[[#This Row],[24Final]])/Inventory[[#This Row],[24Final]]</f>
        <v>2.3484434735117424E-2</v>
      </c>
      <c r="BE489" s="30">
        <f>VLOOKUP(Inventory[[#This Row],[Nbhd]],Lookups!$M$3:$P$5,4,FALSE)</f>
        <v>0.99970000000000003</v>
      </c>
      <c r="BF489" s="30">
        <f>VLOOKUP(Inventory[[#This Row],[Qlty]],Lookups!$M$8:$P$22,4,FALSE)</f>
        <v>0.99819999999999998</v>
      </c>
      <c r="BG489" s="30">
        <f>VLOOKUP(Inventory[[#This Row],[Cnd]],Lookups!$R$8:$U$17,4,FALSE)</f>
        <v>1.0007999999999999</v>
      </c>
      <c r="BH489" s="30">
        <f>VLOOKUP(Inventory[[#This Row],[LivArea Range]],Lookups!$R$25:$U$43,4,FALSE)</f>
        <v>0.99519999999999997</v>
      </c>
      <c r="BI489" s="30">
        <f>VLOOKUP(Inventory[[#This Row],[Decade]],Lookups!$M$24:$P$40,4,FALSE)</f>
        <v>1.0024</v>
      </c>
      <c r="BJ489" s="30">
        <f>Inventory[[#This Row],[Nbhd Adj]]*0.95</f>
        <v>0.94971499999999998</v>
      </c>
      <c r="BK489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489" s="30">
        <f>ROUND((SUM(Inventory[[#This Row],[Mdl Qlty]:[Mdl Garage Area]])+Inventory[[#This Row],[Mdl Res Intercept]])*Inventory[[#This Row],[Res Adj ]],-2)</f>
        <v>294800</v>
      </c>
      <c r="BM489" s="30">
        <f>ROUND(Inventory[[#This Row],[25Det]]*Inventory[[#This Row],[Det/Nbhd Adj]],-2)</f>
        <v>0</v>
      </c>
      <c r="BN489" s="30">
        <f>Inventory[[#This Row],[Adjusted Res]]+Inventory[[#This Row],[Adj Det ]]</f>
        <v>294800</v>
      </c>
      <c r="BO489" s="30">
        <f>ROUND((Inventory[[#This Row],[Mdl Land Intercept]]+Inventory[[#This Row],[Mdl LnAcres]])*Inventory[[#This Row],[Det/Nbhd Adj]],-2)</f>
        <v>61100</v>
      </c>
      <c r="BP489" s="30">
        <f>Inventory[[#This Row],[Adjusted Impr Total]]+Inventory[[#This Row],[Adjusted Land Total]]</f>
        <v>355900</v>
      </c>
      <c r="BQ489" s="30">
        <f>IFERROR((Inventory[[#This Row],[Adjusted Impr Total]]-Inventory[[#This Row],[24Bldg]])/Inventory[[#This Row],[24Bldg]],0)</f>
        <v>-3.4708578912901113E-2</v>
      </c>
      <c r="BR489" s="43">
        <f>(Inventory[[#This Row],[Adjusted Land Total]]-Inventory[[#This Row],[24Lnd]])/Inventory[[#This Row],[24Lnd]]</f>
        <v>4.9342105263157892E-3</v>
      </c>
      <c r="BS489" s="43">
        <f>(Inventory[[#This Row],[Adjusted Total]]-Inventory[[#This Row],[24Final]])/Inventory[[#This Row],[24Final]]</f>
        <v>-2.8126706717640632E-2</v>
      </c>
    </row>
    <row r="490" spans="1:71">
      <c r="A490" s="30">
        <v>2025</v>
      </c>
      <c r="B490" s="31" t="s">
        <v>1004</v>
      </c>
      <c r="C490" s="31">
        <f>LN(Inventory[[#This Row],[Acres]])</f>
        <v>-1.8325814637483102</v>
      </c>
      <c r="D490" s="30">
        <v>0.16</v>
      </c>
      <c r="E490" s="30">
        <v>7033</v>
      </c>
      <c r="F490" s="31" t="s">
        <v>505</v>
      </c>
      <c r="G490" s="31" t="s">
        <v>155</v>
      </c>
      <c r="H490" s="31" t="s">
        <v>5</v>
      </c>
      <c r="I490" s="31" t="s">
        <v>506</v>
      </c>
      <c r="J490" s="31" t="s">
        <v>507</v>
      </c>
      <c r="K490" s="31" t="s">
        <v>193</v>
      </c>
      <c r="L490" s="31" t="s">
        <v>19</v>
      </c>
      <c r="M490" s="31" t="s">
        <v>20</v>
      </c>
      <c r="N490" s="31">
        <v>10</v>
      </c>
      <c r="O490" s="31">
        <f>2024-Inventory[[#This Row],[YrBlt]]</f>
        <v>16</v>
      </c>
      <c r="P490" s="31">
        <f>2024-Inventory[[#This Row],[EffYr]]</f>
        <v>16</v>
      </c>
      <c r="Q490" s="30">
        <v>2008</v>
      </c>
      <c r="R490" s="30">
        <v>2008</v>
      </c>
      <c r="S490" s="30">
        <v>1368</v>
      </c>
      <c r="T490" s="32"/>
      <c r="U490" s="32"/>
      <c r="V490" s="32"/>
      <c r="W490" s="32"/>
      <c r="X490" s="32">
        <f>Inventory[[#This Row],[Bsmt Area]]-Inventory[[#This Row],[FnBsmt]]</f>
        <v>0</v>
      </c>
      <c r="Y490" s="32">
        <f>Inventory[[#This Row],[MainFn]]+Inventory[[#This Row],[UpprFn]]+Inventory[[#This Row],[AddFn]]+Inventory[[#This Row],[FnBsmt]]</f>
        <v>1368</v>
      </c>
      <c r="Z490" s="32">
        <v>1500</v>
      </c>
      <c r="AA490" s="31" t="s">
        <v>56</v>
      </c>
      <c r="AB490" s="38">
        <v>1</v>
      </c>
      <c r="AC490" s="30">
        <v>440</v>
      </c>
      <c r="AD490" s="32"/>
      <c r="AE490" s="32"/>
      <c r="AF490" s="32"/>
      <c r="AG490" s="32"/>
      <c r="AH490" s="32"/>
      <c r="AI490" s="30">
        <v>281186</v>
      </c>
      <c r="AJ490" s="30">
        <v>258691</v>
      </c>
      <c r="AK490" s="30">
        <v>0</v>
      </c>
      <c r="AL490" s="30">
        <v>0</v>
      </c>
      <c r="AM490" s="30">
        <v>60800</v>
      </c>
      <c r="AN490" s="30">
        <v>291600</v>
      </c>
      <c r="AO490" s="30">
        <v>352400</v>
      </c>
      <c r="AP490" s="30">
        <f>Lookups!$B$58*0.6</f>
        <v>132535.48800000001</v>
      </c>
      <c r="AQ490" s="30">
        <f>Lookups!$B$58*0.4</f>
        <v>88356.992000000013</v>
      </c>
      <c r="AR490" s="30">
        <f>Lookups!$B$59*Inventory[[#This Row],[LnAcres]]</f>
        <v>-24051.387388882686</v>
      </c>
      <c r="AS490" s="30">
        <f>VLOOKUP(Inventory[[#This Row],[Qlty]],Lookups!$A$66:$E$79,2,FALSE)</f>
        <v>37154.252388000001</v>
      </c>
      <c r="AT490" s="30">
        <f>VLOOKUP(Inventory[[#This Row],[Cnd]],Lookups!$A$80:$E$88,2,FALSE)</f>
        <v>30300.329274</v>
      </c>
      <c r="AU490" s="30">
        <f>Inventory[[#This Row],[EffAge]]*Lookups!$B$65</f>
        <v>-1739.8576</v>
      </c>
      <c r="AV490" s="30">
        <f>Inventory[[#This Row],[MainFn]]*Lookups!$B$90</f>
        <v>85377.399839999998</v>
      </c>
      <c r="AW490" s="30">
        <f>Inventory[[#This Row],[UpprFn]]*Lookups!$B$91</f>
        <v>0</v>
      </c>
      <c r="AX490" s="30">
        <f>Inventory[[#This Row],[Bsmt Area]]*Lookups!$B$95</f>
        <v>0</v>
      </c>
      <c r="AY490" s="30">
        <f>Inventory[[#This Row],[AttGar]]*Lookups!$B$93</f>
        <v>15532.453640000002</v>
      </c>
      <c r="AZ490" s="30">
        <f>ROUND(Inventory[[#This Row],[25Det]],-2)</f>
        <v>0</v>
      </c>
      <c r="BA490" s="30">
        <f>ROUND(SUM(Inventory[[#This Row],[Mdl Qlty]:[Mdl Garage Area]])+Inventory[[#This Row],[Mdl Res Intercept]],-2)</f>
        <v>299200</v>
      </c>
      <c r="BB490" s="30">
        <f>ROUND(Inventory[[#This Row],[Mdl Land Intercept]]+Inventory[[#This Row],[Mdl LnAcres]],-2)</f>
        <v>64300</v>
      </c>
      <c r="BC490" s="30">
        <f>Inventory[[#This Row],[Unadj Res Value]]+Inventory[[#This Row],[Unadj Det Value]]+Inventory[[#This Row],[Unadj Land Value]]</f>
        <v>363500</v>
      </c>
      <c r="BD490" s="30">
        <f>(Inventory[[#This Row],[Unadj Total Value]]-Inventory[[#This Row],[24Final]])/Inventory[[#This Row],[24Final]]</f>
        <v>3.1498297389330306E-2</v>
      </c>
      <c r="BE490" s="30">
        <f>VLOOKUP(Inventory[[#This Row],[Nbhd]],Lookups!$M$3:$P$5,4,FALSE)</f>
        <v>0.99970000000000003</v>
      </c>
      <c r="BF490" s="30">
        <f>VLOOKUP(Inventory[[#This Row],[Qlty]],Lookups!$M$8:$P$22,4,FALSE)</f>
        <v>0.99819999999999998</v>
      </c>
      <c r="BG490" s="30">
        <f>VLOOKUP(Inventory[[#This Row],[Cnd]],Lookups!$R$8:$U$17,4,FALSE)</f>
        <v>0.997</v>
      </c>
      <c r="BH490" s="30">
        <f>VLOOKUP(Inventory[[#This Row],[LivArea Range]],Lookups!$R$25:$U$43,4,FALSE)</f>
        <v>0.99519999999999997</v>
      </c>
      <c r="BI490" s="30">
        <f>VLOOKUP(Inventory[[#This Row],[Decade]],Lookups!$M$24:$P$40,4,FALSE)</f>
        <v>1.0024</v>
      </c>
      <c r="BJ490" s="30">
        <f>Inventory[[#This Row],[Nbhd Adj]]*0.95</f>
        <v>0.94971499999999998</v>
      </c>
      <c r="BK490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490" s="30">
        <f>ROUND((SUM(Inventory[[#This Row],[Mdl Qlty]:[Mdl Garage Area]])+Inventory[[#This Row],[Mdl Res Intercept]])*Inventory[[#This Row],[Res Adj ]],-2)</f>
        <v>283800</v>
      </c>
      <c r="BM490" s="30">
        <f>ROUND(Inventory[[#This Row],[25Det]]*Inventory[[#This Row],[Det/Nbhd Adj]],-2)</f>
        <v>0</v>
      </c>
      <c r="BN490" s="30">
        <f>Inventory[[#This Row],[Adjusted Res]]+Inventory[[#This Row],[Adj Det ]]</f>
        <v>283800</v>
      </c>
      <c r="BO490" s="30">
        <f>ROUND((Inventory[[#This Row],[Mdl Land Intercept]]+Inventory[[#This Row],[Mdl LnAcres]])*Inventory[[#This Row],[Det/Nbhd Adj]],-2)</f>
        <v>61100</v>
      </c>
      <c r="BP490" s="30">
        <f>Inventory[[#This Row],[Adjusted Impr Total]]+Inventory[[#This Row],[Adjusted Land Total]]</f>
        <v>344900</v>
      </c>
      <c r="BQ490" s="30">
        <f>IFERROR((Inventory[[#This Row],[Adjusted Impr Total]]-Inventory[[#This Row],[24Bldg]])/Inventory[[#This Row],[24Bldg]],0)</f>
        <v>-2.6748971193415638E-2</v>
      </c>
      <c r="BR490" s="43">
        <f>(Inventory[[#This Row],[Adjusted Land Total]]-Inventory[[#This Row],[24Lnd]])/Inventory[[#This Row],[24Lnd]]</f>
        <v>4.9342105263157892E-3</v>
      </c>
      <c r="BS490" s="43">
        <f>(Inventory[[#This Row],[Adjusted Total]]-Inventory[[#This Row],[24Final]])/Inventory[[#This Row],[24Final]]</f>
        <v>-2.1282633371169125E-2</v>
      </c>
    </row>
    <row r="491" spans="1:71">
      <c r="A491" s="30">
        <v>2025</v>
      </c>
      <c r="B491" s="31" t="s">
        <v>1005</v>
      </c>
      <c r="C491" s="31">
        <f>LN(Inventory[[#This Row],[Acres]])</f>
        <v>-1.8325814637483102</v>
      </c>
      <c r="D491" s="30">
        <v>0.16</v>
      </c>
      <c r="E491" s="30">
        <v>7017</v>
      </c>
      <c r="F491" s="31" t="s">
        <v>505</v>
      </c>
      <c r="G491" s="31" t="s">
        <v>155</v>
      </c>
      <c r="H491" s="31" t="s">
        <v>5</v>
      </c>
      <c r="I491" s="31" t="s">
        <v>506</v>
      </c>
      <c r="J491" s="31" t="s">
        <v>507</v>
      </c>
      <c r="K491" s="31" t="s">
        <v>193</v>
      </c>
      <c r="L491" s="31" t="s">
        <v>19</v>
      </c>
      <c r="M491" s="31" t="s">
        <v>22</v>
      </c>
      <c r="N491" s="31">
        <v>10</v>
      </c>
      <c r="O491" s="31">
        <f>2024-Inventory[[#This Row],[YrBlt]]</f>
        <v>16</v>
      </c>
      <c r="P491" s="31">
        <f>2024-Inventory[[#This Row],[EffYr]]</f>
        <v>16</v>
      </c>
      <c r="Q491" s="30">
        <v>2008</v>
      </c>
      <c r="R491" s="30">
        <v>2008</v>
      </c>
      <c r="S491" s="30">
        <v>1132</v>
      </c>
      <c r="T491" s="37"/>
      <c r="U491" s="32"/>
      <c r="V491" s="32"/>
      <c r="W491" s="32"/>
      <c r="X491" s="32">
        <f>Inventory[[#This Row],[Bsmt Area]]-Inventory[[#This Row],[FnBsmt]]</f>
        <v>0</v>
      </c>
      <c r="Y491" s="32">
        <f>Inventory[[#This Row],[MainFn]]+Inventory[[#This Row],[UpprFn]]+Inventory[[#This Row],[AddFn]]+Inventory[[#This Row],[FnBsmt]]</f>
        <v>1132</v>
      </c>
      <c r="Z491" s="32">
        <v>1500</v>
      </c>
      <c r="AA491" s="31" t="s">
        <v>56</v>
      </c>
      <c r="AB491" s="37"/>
      <c r="AC491" s="38">
        <v>400</v>
      </c>
      <c r="AD491" s="37"/>
      <c r="AE491" s="32"/>
      <c r="AF491" s="32"/>
      <c r="AG491" s="32"/>
      <c r="AH491" s="32"/>
      <c r="AI491" s="30">
        <v>236613</v>
      </c>
      <c r="AJ491" s="30">
        <v>220050</v>
      </c>
      <c r="AK491" s="30">
        <v>0</v>
      </c>
      <c r="AL491" s="30">
        <v>0</v>
      </c>
      <c r="AM491" s="30">
        <v>60800</v>
      </c>
      <c r="AN491" s="30">
        <v>295300</v>
      </c>
      <c r="AO491" s="30">
        <v>356100</v>
      </c>
      <c r="AP491" s="30">
        <f>Lookups!$B$58*0.6</f>
        <v>132535.48800000001</v>
      </c>
      <c r="AQ491" s="30">
        <f>Lookups!$B$58*0.4</f>
        <v>88356.992000000013</v>
      </c>
      <c r="AR491" s="30">
        <f>Lookups!$B$59*Inventory[[#This Row],[LnAcres]]</f>
        <v>-24051.387388882686</v>
      </c>
      <c r="AS491" s="30">
        <f>VLOOKUP(Inventory[[#This Row],[Qlty]],Lookups!$A$66:$E$79,2,FALSE)</f>
        <v>37154.252388000001</v>
      </c>
      <c r="AT491" s="30">
        <f>VLOOKUP(Inventory[[#This Row],[Cnd]],Lookups!$A$80:$E$88,2,FALSE)</f>
        <v>50438.379078999998</v>
      </c>
      <c r="AU491" s="30">
        <f>Inventory[[#This Row],[EffAge]]*Lookups!$B$65</f>
        <v>-1739.8576</v>
      </c>
      <c r="AV491" s="30">
        <f>Inventory[[#This Row],[MainFn]]*Lookups!$B$90</f>
        <v>70648.550159999999</v>
      </c>
      <c r="AW491" s="30">
        <f>Inventory[[#This Row],[UpprFn]]*Lookups!$B$91</f>
        <v>0</v>
      </c>
      <c r="AX491" s="30">
        <f>Inventory[[#This Row],[Bsmt Area]]*Lookups!$B$95</f>
        <v>0</v>
      </c>
      <c r="AY491" s="30">
        <f>Inventory[[#This Row],[AttGar]]*Lookups!$B$93</f>
        <v>14120.412400000001</v>
      </c>
      <c r="AZ491" s="30">
        <f>ROUND(Inventory[[#This Row],[25Det]],-2)</f>
        <v>0</v>
      </c>
      <c r="BA491" s="30">
        <f>ROUND(SUM(Inventory[[#This Row],[Mdl Qlty]:[Mdl Garage Area]])+Inventory[[#This Row],[Mdl Res Intercept]],-2)</f>
        <v>303200</v>
      </c>
      <c r="BB491" s="30">
        <f>ROUND(Inventory[[#This Row],[Mdl Land Intercept]]+Inventory[[#This Row],[Mdl LnAcres]],-2)</f>
        <v>64300</v>
      </c>
      <c r="BC491" s="30">
        <f>Inventory[[#This Row],[Unadj Res Value]]+Inventory[[#This Row],[Unadj Det Value]]+Inventory[[#This Row],[Unadj Land Value]]</f>
        <v>367500</v>
      </c>
      <c r="BD491" s="30">
        <f>(Inventory[[#This Row],[Unadj Total Value]]-Inventory[[#This Row],[24Final]])/Inventory[[#This Row],[24Final]]</f>
        <v>3.201347935973041E-2</v>
      </c>
      <c r="BE491" s="30">
        <f>VLOOKUP(Inventory[[#This Row],[Nbhd]],Lookups!$M$3:$P$5,4,FALSE)</f>
        <v>0.99970000000000003</v>
      </c>
      <c r="BF491" s="30">
        <f>VLOOKUP(Inventory[[#This Row],[Qlty]],Lookups!$M$8:$P$22,4,FALSE)</f>
        <v>0.99819999999999998</v>
      </c>
      <c r="BG491" s="30">
        <f>VLOOKUP(Inventory[[#This Row],[Cnd]],Lookups!$R$8:$U$17,4,FALSE)</f>
        <v>1.0007999999999999</v>
      </c>
      <c r="BH491" s="30">
        <f>VLOOKUP(Inventory[[#This Row],[LivArea Range]],Lookups!$R$25:$U$43,4,FALSE)</f>
        <v>0.99519999999999997</v>
      </c>
      <c r="BI491" s="30">
        <f>VLOOKUP(Inventory[[#This Row],[Decade]],Lookups!$M$24:$P$40,4,FALSE)</f>
        <v>1.0024</v>
      </c>
      <c r="BJ491" s="30">
        <f>Inventory[[#This Row],[Nbhd Adj]]*0.95</f>
        <v>0.94971499999999998</v>
      </c>
      <c r="BK491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491" s="30">
        <f>ROUND((SUM(Inventory[[#This Row],[Mdl Qlty]:[Mdl Garage Area]])+Inventory[[#This Row],[Mdl Res Intercept]])*Inventory[[#This Row],[Res Adj ]],-2)</f>
        <v>287800</v>
      </c>
      <c r="BM491" s="30">
        <f>ROUND(Inventory[[#This Row],[25Det]]*Inventory[[#This Row],[Det/Nbhd Adj]],-2)</f>
        <v>0</v>
      </c>
      <c r="BN491" s="30">
        <f>Inventory[[#This Row],[Adjusted Res]]+Inventory[[#This Row],[Adj Det ]]</f>
        <v>287800</v>
      </c>
      <c r="BO491" s="30">
        <f>ROUND((Inventory[[#This Row],[Mdl Land Intercept]]+Inventory[[#This Row],[Mdl LnAcres]])*Inventory[[#This Row],[Det/Nbhd Adj]],-2)</f>
        <v>61100</v>
      </c>
      <c r="BP491" s="30">
        <f>Inventory[[#This Row],[Adjusted Impr Total]]+Inventory[[#This Row],[Adjusted Land Total]]</f>
        <v>348900</v>
      </c>
      <c r="BQ491" s="30">
        <f>IFERROR((Inventory[[#This Row],[Adjusted Impr Total]]-Inventory[[#This Row],[24Bldg]])/Inventory[[#This Row],[24Bldg]],0)</f>
        <v>-2.5397900440230273E-2</v>
      </c>
      <c r="BR491" s="43">
        <f>(Inventory[[#This Row],[Adjusted Land Total]]-Inventory[[#This Row],[24Lnd]])/Inventory[[#This Row],[24Lnd]]</f>
        <v>4.9342105263157892E-3</v>
      </c>
      <c r="BS491" s="43">
        <f>(Inventory[[#This Row],[Adjusted Total]]-Inventory[[#This Row],[24Final]])/Inventory[[#This Row],[24Final]]</f>
        <v>-2.0219039595619208E-2</v>
      </c>
    </row>
    <row r="492" spans="1:71">
      <c r="A492" s="30">
        <v>2025</v>
      </c>
      <c r="B492" s="31" t="s">
        <v>1006</v>
      </c>
      <c r="C492" s="31">
        <f>LN(Inventory[[#This Row],[Acres]])</f>
        <v>-1.8325814637483102</v>
      </c>
      <c r="D492" s="30">
        <v>0.16</v>
      </c>
      <c r="E492" s="30">
        <v>7053</v>
      </c>
      <c r="F492" s="31" t="s">
        <v>505</v>
      </c>
      <c r="G492" s="31" t="s">
        <v>155</v>
      </c>
      <c r="H492" s="31" t="s">
        <v>5</v>
      </c>
      <c r="I492" s="31" t="s">
        <v>506</v>
      </c>
      <c r="J492" s="31" t="s">
        <v>507</v>
      </c>
      <c r="K492" s="31" t="s">
        <v>193</v>
      </c>
      <c r="L492" s="31" t="s">
        <v>21</v>
      </c>
      <c r="M492" s="31" t="s">
        <v>20</v>
      </c>
      <c r="N492" s="31">
        <v>10</v>
      </c>
      <c r="O492" s="31">
        <f>2024-Inventory[[#This Row],[YrBlt]]</f>
        <v>16</v>
      </c>
      <c r="P492" s="31">
        <f>2024-Inventory[[#This Row],[EffYr]]</f>
        <v>16</v>
      </c>
      <c r="Q492" s="30">
        <v>2008</v>
      </c>
      <c r="R492" s="30">
        <v>2008</v>
      </c>
      <c r="S492" s="30">
        <v>1380</v>
      </c>
      <c r="T492" s="37"/>
      <c r="U492" s="32"/>
      <c r="V492" s="32"/>
      <c r="W492" s="32"/>
      <c r="X492" s="32">
        <f>Inventory[[#This Row],[Bsmt Area]]-Inventory[[#This Row],[FnBsmt]]</f>
        <v>0</v>
      </c>
      <c r="Y492" s="32">
        <f>Inventory[[#This Row],[MainFn]]+Inventory[[#This Row],[UpprFn]]+Inventory[[#This Row],[AddFn]]+Inventory[[#This Row],[FnBsmt]]</f>
        <v>1380</v>
      </c>
      <c r="Z492" s="32">
        <v>1500</v>
      </c>
      <c r="AA492" s="31" t="s">
        <v>56</v>
      </c>
      <c r="AB492" s="32"/>
      <c r="AC492" s="30">
        <v>428</v>
      </c>
      <c r="AD492" s="32"/>
      <c r="AE492" s="32"/>
      <c r="AF492" s="32"/>
      <c r="AG492" s="32"/>
      <c r="AH492" s="32"/>
      <c r="AI492" s="30">
        <v>319191</v>
      </c>
      <c r="AJ492" s="30">
        <v>293656</v>
      </c>
      <c r="AK492" s="30">
        <v>0</v>
      </c>
      <c r="AL492" s="30">
        <v>0</v>
      </c>
      <c r="AM492" s="30">
        <v>60800</v>
      </c>
      <c r="AN492" s="30">
        <v>287300</v>
      </c>
      <c r="AO492" s="30">
        <v>348100</v>
      </c>
      <c r="AP492" s="30">
        <f>Lookups!$B$58*0.6</f>
        <v>132535.48800000001</v>
      </c>
      <c r="AQ492" s="30">
        <f>Lookups!$B$58*0.4</f>
        <v>88356.992000000013</v>
      </c>
      <c r="AR492" s="30">
        <f>Lookups!$B$59*Inventory[[#This Row],[LnAcres]]</f>
        <v>-24051.387388882686</v>
      </c>
      <c r="AS492" s="30">
        <f>VLOOKUP(Inventory[[#This Row],[Qlty]],Lookups!$A$66:$E$79,2,FALSE)</f>
        <v>32917.849192000001</v>
      </c>
      <c r="AT492" s="30">
        <f>VLOOKUP(Inventory[[#This Row],[Cnd]],Lookups!$A$80:$E$88,2,FALSE)</f>
        <v>30300.329274</v>
      </c>
      <c r="AU492" s="30">
        <f>Inventory[[#This Row],[EffAge]]*Lookups!$B$65</f>
        <v>-1739.8576</v>
      </c>
      <c r="AV492" s="30">
        <f>Inventory[[#This Row],[MainFn]]*Lookups!$B$90</f>
        <v>86126.324399999998</v>
      </c>
      <c r="AW492" s="30">
        <f>Inventory[[#This Row],[UpprFn]]*Lookups!$B$91</f>
        <v>0</v>
      </c>
      <c r="AX492" s="30">
        <f>Inventory[[#This Row],[Bsmt Area]]*Lookups!$B$95</f>
        <v>0</v>
      </c>
      <c r="AY492" s="30">
        <f>Inventory[[#This Row],[AttGar]]*Lookups!$B$93</f>
        <v>15108.841268</v>
      </c>
      <c r="AZ492" s="30">
        <f>ROUND(Inventory[[#This Row],[25Det]],-2)</f>
        <v>0</v>
      </c>
      <c r="BA492" s="30">
        <f>ROUND(SUM(Inventory[[#This Row],[Mdl Qlty]:[Mdl Garage Area]])+Inventory[[#This Row],[Mdl Res Intercept]],-2)</f>
        <v>295200</v>
      </c>
      <c r="BB492" s="30">
        <f>ROUND(Inventory[[#This Row],[Mdl Land Intercept]]+Inventory[[#This Row],[Mdl LnAcres]],-2)</f>
        <v>64300</v>
      </c>
      <c r="BC492" s="30">
        <f>Inventory[[#This Row],[Unadj Res Value]]+Inventory[[#This Row],[Unadj Det Value]]+Inventory[[#This Row],[Unadj Land Value]]</f>
        <v>359500</v>
      </c>
      <c r="BD492" s="30">
        <f>(Inventory[[#This Row],[Unadj Total Value]]-Inventory[[#This Row],[24Final]])/Inventory[[#This Row],[24Final]]</f>
        <v>3.2749209997127264E-2</v>
      </c>
      <c r="BE492" s="30">
        <f>VLOOKUP(Inventory[[#This Row],[Nbhd]],Lookups!$M$3:$P$5,4,FALSE)</f>
        <v>0.99970000000000003</v>
      </c>
      <c r="BF492" s="30">
        <f>VLOOKUP(Inventory[[#This Row],[Qlty]],Lookups!$M$8:$P$22,4,FALSE)</f>
        <v>1.0019</v>
      </c>
      <c r="BG492" s="30">
        <f>VLOOKUP(Inventory[[#This Row],[Cnd]],Lookups!$R$8:$U$17,4,FALSE)</f>
        <v>0.997</v>
      </c>
      <c r="BH492" s="30">
        <f>VLOOKUP(Inventory[[#This Row],[LivArea Range]],Lookups!$R$25:$U$43,4,FALSE)</f>
        <v>0.99519999999999997</v>
      </c>
      <c r="BI492" s="30">
        <f>VLOOKUP(Inventory[[#This Row],[Decade]],Lookups!$M$24:$P$40,4,FALSE)</f>
        <v>1.0024</v>
      </c>
      <c r="BJ492" s="30">
        <f>Inventory[[#This Row],[Nbhd Adj]]*0.95</f>
        <v>0.94971499999999998</v>
      </c>
      <c r="BK492" s="30">
        <f>AVERAGE(Inventory[[#This Row],[Nbhd Adj]],Inventory[[#This Row],[Quality Adj]],Inventory[[#This Row],[Condition Adj]],Inventory[[#This Row],[Living Area Adj]],Inventory[[#This Row],[Decade Adj]])*0.95</f>
        <v>0.94927799999999996</v>
      </c>
      <c r="BL492" s="30">
        <f>ROUND((SUM(Inventory[[#This Row],[Mdl Qlty]:[Mdl Garage Area]])+Inventory[[#This Row],[Mdl Res Intercept]])*Inventory[[#This Row],[Res Adj ]],-2)</f>
        <v>280300</v>
      </c>
      <c r="BM492" s="30">
        <f>ROUND(Inventory[[#This Row],[25Det]]*Inventory[[#This Row],[Det/Nbhd Adj]],-2)</f>
        <v>0</v>
      </c>
      <c r="BN492" s="30">
        <f>Inventory[[#This Row],[Adjusted Res]]+Inventory[[#This Row],[Adj Det ]]</f>
        <v>280300</v>
      </c>
      <c r="BO492" s="30">
        <f>ROUND((Inventory[[#This Row],[Mdl Land Intercept]]+Inventory[[#This Row],[Mdl LnAcres]])*Inventory[[#This Row],[Det/Nbhd Adj]],-2)</f>
        <v>61100</v>
      </c>
      <c r="BP492" s="30">
        <f>Inventory[[#This Row],[Adjusted Impr Total]]+Inventory[[#This Row],[Adjusted Land Total]]</f>
        <v>341400</v>
      </c>
      <c r="BQ492" s="30">
        <f>IFERROR((Inventory[[#This Row],[Adjusted Impr Total]]-Inventory[[#This Row],[24Bldg]])/Inventory[[#This Row],[24Bldg]],0)</f>
        <v>-2.4364775495997214E-2</v>
      </c>
      <c r="BR492" s="43">
        <f>(Inventory[[#This Row],[Adjusted Land Total]]-Inventory[[#This Row],[24Lnd]])/Inventory[[#This Row],[24Lnd]]</f>
        <v>4.9342105263157892E-3</v>
      </c>
      <c r="BS492" s="43">
        <f>(Inventory[[#This Row],[Adjusted Total]]-Inventory[[#This Row],[24Final]])/Inventory[[#This Row],[24Final]]</f>
        <v>-1.9247342717609882E-2</v>
      </c>
    </row>
    <row r="493" spans="1:71">
      <c r="A493" s="30">
        <v>2025</v>
      </c>
      <c r="B493" s="31" t="s">
        <v>1007</v>
      </c>
      <c r="C493" s="31">
        <f>LN(Inventory[[#This Row],[Acres]])</f>
        <v>-1.8325814637483102</v>
      </c>
      <c r="D493" s="30">
        <v>0.16</v>
      </c>
      <c r="E493" s="30">
        <v>7077</v>
      </c>
      <c r="F493" s="31" t="s">
        <v>505</v>
      </c>
      <c r="G493" s="31" t="s">
        <v>155</v>
      </c>
      <c r="H493" s="31" t="s">
        <v>5</v>
      </c>
      <c r="I493" s="31" t="s">
        <v>506</v>
      </c>
      <c r="J493" s="31" t="s">
        <v>507</v>
      </c>
      <c r="K493" s="31" t="s">
        <v>193</v>
      </c>
      <c r="L493" s="31" t="s">
        <v>19</v>
      </c>
      <c r="M493" s="31" t="s">
        <v>20</v>
      </c>
      <c r="N493" s="31">
        <v>10</v>
      </c>
      <c r="O493" s="31">
        <f>2024-Inventory[[#This Row],[YrBlt]]</f>
        <v>16</v>
      </c>
      <c r="P493" s="31">
        <f>2024-Inventory[[#This Row],[EffYr]]</f>
        <v>16</v>
      </c>
      <c r="Q493" s="30">
        <v>2008</v>
      </c>
      <c r="R493" s="30">
        <v>2008</v>
      </c>
      <c r="S493" s="30">
        <v>1436</v>
      </c>
      <c r="T493" s="32"/>
      <c r="U493" s="32"/>
      <c r="V493" s="32"/>
      <c r="W493" s="32"/>
      <c r="X493" s="32">
        <f>Inventory[[#This Row],[Bsmt Area]]-Inventory[[#This Row],[FnBsmt]]</f>
        <v>0</v>
      </c>
      <c r="Y493" s="32">
        <f>Inventory[[#This Row],[MainFn]]+Inventory[[#This Row],[UpprFn]]+Inventory[[#This Row],[AddFn]]+Inventory[[#This Row],[FnBsmt]]</f>
        <v>1436</v>
      </c>
      <c r="Z493" s="32">
        <v>1500</v>
      </c>
      <c r="AA493" s="31" t="s">
        <v>56</v>
      </c>
      <c r="AB493" s="32"/>
      <c r="AC493" s="30">
        <v>400</v>
      </c>
      <c r="AD493" s="32"/>
      <c r="AE493" s="32"/>
      <c r="AF493" s="32"/>
      <c r="AG493" s="32"/>
      <c r="AH493" s="32"/>
      <c r="AI493" s="30">
        <v>281452</v>
      </c>
      <c r="AJ493" s="30">
        <v>258936</v>
      </c>
      <c r="AK493" s="30">
        <v>0</v>
      </c>
      <c r="AL493" s="30">
        <v>0</v>
      </c>
      <c r="AM493" s="30">
        <v>60800</v>
      </c>
      <c r="AN493" s="30">
        <v>292100</v>
      </c>
      <c r="AO493" s="30">
        <v>352900</v>
      </c>
      <c r="AP493" s="30">
        <f>Lookups!$B$58*0.6</f>
        <v>132535.48800000001</v>
      </c>
      <c r="AQ493" s="30">
        <f>Lookups!$B$58*0.4</f>
        <v>88356.992000000013</v>
      </c>
      <c r="AR493" s="30">
        <f>Lookups!$B$59*Inventory[[#This Row],[LnAcres]]</f>
        <v>-24051.387388882686</v>
      </c>
      <c r="AS493" s="30">
        <f>VLOOKUP(Inventory[[#This Row],[Qlty]],Lookups!$A$66:$E$79,2,FALSE)</f>
        <v>37154.252388000001</v>
      </c>
      <c r="AT493" s="30">
        <f>VLOOKUP(Inventory[[#This Row],[Cnd]],Lookups!$A$80:$E$88,2,FALSE)</f>
        <v>30300.329274</v>
      </c>
      <c r="AU493" s="30">
        <f>Inventory[[#This Row],[EffAge]]*Lookups!$B$65</f>
        <v>-1739.8576</v>
      </c>
      <c r="AV493" s="30">
        <f>Inventory[[#This Row],[MainFn]]*Lookups!$B$90</f>
        <v>89621.305680000005</v>
      </c>
      <c r="AW493" s="30">
        <f>Inventory[[#This Row],[UpprFn]]*Lookups!$B$91</f>
        <v>0</v>
      </c>
      <c r="AX493" s="30">
        <f>Inventory[[#This Row],[Bsmt Area]]*Lookups!$B$95</f>
        <v>0</v>
      </c>
      <c r="AY493" s="30">
        <f>Inventory[[#This Row],[AttGar]]*Lookups!$B$93</f>
        <v>14120.412400000001</v>
      </c>
      <c r="AZ493" s="30">
        <f>ROUND(Inventory[[#This Row],[25Det]],-2)</f>
        <v>0</v>
      </c>
      <c r="BA493" s="30">
        <f>ROUND(SUM(Inventory[[#This Row],[Mdl Qlty]:[Mdl Garage Area]])+Inventory[[#This Row],[Mdl Res Intercept]],-2)</f>
        <v>302000</v>
      </c>
      <c r="BB493" s="30">
        <f>ROUND(Inventory[[#This Row],[Mdl Land Intercept]]+Inventory[[#This Row],[Mdl LnAcres]],-2)</f>
        <v>64300</v>
      </c>
      <c r="BC493" s="30">
        <f>Inventory[[#This Row],[Unadj Res Value]]+Inventory[[#This Row],[Unadj Det Value]]+Inventory[[#This Row],[Unadj Land Value]]</f>
        <v>366300</v>
      </c>
      <c r="BD493" s="30">
        <f>(Inventory[[#This Row],[Unadj Total Value]]-Inventory[[#This Row],[24Final]])/Inventory[[#This Row],[24Final]]</f>
        <v>3.7971096627939925E-2</v>
      </c>
      <c r="BE493" s="30">
        <f>VLOOKUP(Inventory[[#This Row],[Nbhd]],Lookups!$M$3:$P$5,4,FALSE)</f>
        <v>0.99970000000000003</v>
      </c>
      <c r="BF493" s="30">
        <f>VLOOKUP(Inventory[[#This Row],[Qlty]],Lookups!$M$8:$P$22,4,FALSE)</f>
        <v>0.99819999999999998</v>
      </c>
      <c r="BG493" s="30">
        <f>VLOOKUP(Inventory[[#This Row],[Cnd]],Lookups!$R$8:$U$17,4,FALSE)</f>
        <v>0.997</v>
      </c>
      <c r="BH493" s="30">
        <f>VLOOKUP(Inventory[[#This Row],[LivArea Range]],Lookups!$R$25:$U$43,4,FALSE)</f>
        <v>0.99519999999999997</v>
      </c>
      <c r="BI493" s="30">
        <f>VLOOKUP(Inventory[[#This Row],[Decade]],Lookups!$M$24:$P$40,4,FALSE)</f>
        <v>1.0024</v>
      </c>
      <c r="BJ493" s="30">
        <f>Inventory[[#This Row],[Nbhd Adj]]*0.95</f>
        <v>0.94971499999999998</v>
      </c>
      <c r="BK493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493" s="30">
        <f>ROUND((SUM(Inventory[[#This Row],[Mdl Qlty]:[Mdl Garage Area]])+Inventory[[#This Row],[Mdl Res Intercept]])*Inventory[[#This Row],[Res Adj ]],-2)</f>
        <v>286500</v>
      </c>
      <c r="BM493" s="30">
        <f>ROUND(Inventory[[#This Row],[25Det]]*Inventory[[#This Row],[Det/Nbhd Adj]],-2)</f>
        <v>0</v>
      </c>
      <c r="BN493" s="30">
        <f>Inventory[[#This Row],[Adjusted Res]]+Inventory[[#This Row],[Adj Det ]]</f>
        <v>286500</v>
      </c>
      <c r="BO493" s="30">
        <f>ROUND((Inventory[[#This Row],[Mdl Land Intercept]]+Inventory[[#This Row],[Mdl LnAcres]])*Inventory[[#This Row],[Det/Nbhd Adj]],-2)</f>
        <v>61100</v>
      </c>
      <c r="BP493" s="30">
        <f>Inventory[[#This Row],[Adjusted Impr Total]]+Inventory[[#This Row],[Adjusted Land Total]]</f>
        <v>347600</v>
      </c>
      <c r="BQ493" s="30">
        <f>IFERROR((Inventory[[#This Row],[Adjusted Impr Total]]-Inventory[[#This Row],[24Bldg]])/Inventory[[#This Row],[24Bldg]],0)</f>
        <v>-1.9171516603902775E-2</v>
      </c>
      <c r="BR493" s="43">
        <f>(Inventory[[#This Row],[Adjusted Land Total]]-Inventory[[#This Row],[24Lnd]])/Inventory[[#This Row],[24Lnd]]</f>
        <v>4.9342105263157892E-3</v>
      </c>
      <c r="BS493" s="43">
        <f>(Inventory[[#This Row],[Adjusted Total]]-Inventory[[#This Row],[24Final]])/Inventory[[#This Row],[24Final]]</f>
        <v>-1.5018418815528478E-2</v>
      </c>
    </row>
    <row r="494" spans="1:71">
      <c r="A494" s="30">
        <v>2025</v>
      </c>
      <c r="B494" s="31" t="s">
        <v>1008</v>
      </c>
      <c r="C494" s="31">
        <f>LN(Inventory[[#This Row],[Acres]])</f>
        <v>-1.8325814637483102</v>
      </c>
      <c r="D494" s="30">
        <v>0.16</v>
      </c>
      <c r="E494" s="30">
        <v>7100</v>
      </c>
      <c r="F494" s="31" t="s">
        <v>505</v>
      </c>
      <c r="G494" s="31" t="s">
        <v>155</v>
      </c>
      <c r="H494" s="31" t="s">
        <v>5</v>
      </c>
      <c r="I494" s="31" t="s">
        <v>506</v>
      </c>
      <c r="J494" s="31" t="s">
        <v>507</v>
      </c>
      <c r="K494" s="31" t="s">
        <v>193</v>
      </c>
      <c r="L494" s="31" t="s">
        <v>21</v>
      </c>
      <c r="M494" s="31" t="s">
        <v>20</v>
      </c>
      <c r="N494" s="31">
        <v>10</v>
      </c>
      <c r="O494" s="31">
        <f>2024-Inventory[[#This Row],[YrBlt]]</f>
        <v>16</v>
      </c>
      <c r="P494" s="31">
        <f>2024-Inventory[[#This Row],[EffYr]]</f>
        <v>16</v>
      </c>
      <c r="Q494" s="30">
        <v>2008</v>
      </c>
      <c r="R494" s="30">
        <v>2008</v>
      </c>
      <c r="S494" s="30">
        <v>1728</v>
      </c>
      <c r="T494" s="32"/>
      <c r="U494" s="32"/>
      <c r="V494" s="32"/>
      <c r="W494" s="32"/>
      <c r="X494" s="32">
        <f>Inventory[[#This Row],[Bsmt Area]]-Inventory[[#This Row],[FnBsmt]]</f>
        <v>0</v>
      </c>
      <c r="Y494" s="32">
        <f>Inventory[[#This Row],[MainFn]]+Inventory[[#This Row],[UpprFn]]+Inventory[[#This Row],[AddFn]]+Inventory[[#This Row],[FnBsmt]]</f>
        <v>1728</v>
      </c>
      <c r="Z494" s="32">
        <v>2000</v>
      </c>
      <c r="AA494" s="31" t="s">
        <v>56</v>
      </c>
      <c r="AB494" s="32"/>
      <c r="AC494" s="30">
        <v>444</v>
      </c>
      <c r="AD494" s="32"/>
      <c r="AE494" s="32"/>
      <c r="AF494" s="32"/>
      <c r="AG494" s="32"/>
      <c r="AH494" s="32"/>
      <c r="AI494" s="30">
        <v>387178</v>
      </c>
      <c r="AJ494" s="30">
        <v>356204</v>
      </c>
      <c r="AK494" s="30">
        <v>0</v>
      </c>
      <c r="AL494" s="30">
        <v>0</v>
      </c>
      <c r="AM494" s="30">
        <v>60800</v>
      </c>
      <c r="AN494" s="30">
        <v>308200</v>
      </c>
      <c r="AO494" s="30">
        <v>369000</v>
      </c>
      <c r="AP494" s="30">
        <f>Lookups!$B$58*0.6</f>
        <v>132535.48800000001</v>
      </c>
      <c r="AQ494" s="30">
        <f>Lookups!$B$58*0.4</f>
        <v>88356.992000000013</v>
      </c>
      <c r="AR494" s="30">
        <f>Lookups!$B$59*Inventory[[#This Row],[LnAcres]]</f>
        <v>-24051.387388882686</v>
      </c>
      <c r="AS494" s="30">
        <f>VLOOKUP(Inventory[[#This Row],[Qlty]],Lookups!$A$66:$E$79,2,FALSE)</f>
        <v>32917.849192000001</v>
      </c>
      <c r="AT494" s="30">
        <f>VLOOKUP(Inventory[[#This Row],[Cnd]],Lookups!$A$80:$E$88,2,FALSE)</f>
        <v>30300.329274</v>
      </c>
      <c r="AU494" s="30">
        <f>Inventory[[#This Row],[EffAge]]*Lookups!$B$65</f>
        <v>-1739.8576</v>
      </c>
      <c r="AV494" s="30">
        <f>Inventory[[#This Row],[MainFn]]*Lookups!$B$90</f>
        <v>107845.13664000001</v>
      </c>
      <c r="AW494" s="30">
        <f>Inventory[[#This Row],[UpprFn]]*Lookups!$B$91</f>
        <v>0</v>
      </c>
      <c r="AX494" s="30">
        <f>Inventory[[#This Row],[Bsmt Area]]*Lookups!$B$95</f>
        <v>0</v>
      </c>
      <c r="AY494" s="30">
        <f>Inventory[[#This Row],[AttGar]]*Lookups!$B$93</f>
        <v>15673.657764000001</v>
      </c>
      <c r="AZ494" s="30">
        <f>ROUND(Inventory[[#This Row],[25Det]],-2)</f>
        <v>0</v>
      </c>
      <c r="BA494" s="30">
        <f>ROUND(SUM(Inventory[[#This Row],[Mdl Qlty]:[Mdl Garage Area]])+Inventory[[#This Row],[Mdl Res Intercept]],-2)</f>
        <v>317500</v>
      </c>
      <c r="BB494" s="30">
        <f>ROUND(Inventory[[#This Row],[Mdl Land Intercept]]+Inventory[[#This Row],[Mdl LnAcres]],-2)</f>
        <v>64300</v>
      </c>
      <c r="BC494" s="30">
        <f>Inventory[[#This Row],[Unadj Res Value]]+Inventory[[#This Row],[Unadj Det Value]]+Inventory[[#This Row],[Unadj Land Value]]</f>
        <v>381800</v>
      </c>
      <c r="BD494" s="30">
        <f>(Inventory[[#This Row],[Unadj Total Value]]-Inventory[[#This Row],[24Final]])/Inventory[[#This Row],[24Final]]</f>
        <v>3.4688346883468835E-2</v>
      </c>
      <c r="BE494" s="30">
        <f>VLOOKUP(Inventory[[#This Row],[Nbhd]],Lookups!$M$3:$P$5,4,FALSE)</f>
        <v>0.99970000000000003</v>
      </c>
      <c r="BF494" s="30">
        <f>VLOOKUP(Inventory[[#This Row],[Qlty]],Lookups!$M$8:$P$22,4,FALSE)</f>
        <v>1.0019</v>
      </c>
      <c r="BG494" s="30">
        <f>VLOOKUP(Inventory[[#This Row],[Cnd]],Lookups!$R$8:$U$17,4,FALSE)</f>
        <v>0.997</v>
      </c>
      <c r="BH494" s="30">
        <f>VLOOKUP(Inventory[[#This Row],[LivArea Range]],Lookups!$R$25:$U$43,4,FALSE)</f>
        <v>1.0007999999999999</v>
      </c>
      <c r="BI494" s="30">
        <f>VLOOKUP(Inventory[[#This Row],[Decade]],Lookups!$M$24:$P$40,4,FALSE)</f>
        <v>1.0024</v>
      </c>
      <c r="BJ494" s="30">
        <f>Inventory[[#This Row],[Nbhd Adj]]*0.95</f>
        <v>0.94971499999999998</v>
      </c>
      <c r="BK494" s="30">
        <f>AVERAGE(Inventory[[#This Row],[Nbhd Adj]],Inventory[[#This Row],[Quality Adj]],Inventory[[#This Row],[Condition Adj]],Inventory[[#This Row],[Living Area Adj]],Inventory[[#This Row],[Decade Adj]])*0.95</f>
        <v>0.95034199999999991</v>
      </c>
      <c r="BL494" s="30">
        <f>ROUND((SUM(Inventory[[#This Row],[Mdl Qlty]:[Mdl Garage Area]])+Inventory[[#This Row],[Mdl Res Intercept]])*Inventory[[#This Row],[Res Adj ]],-2)</f>
        <v>301800</v>
      </c>
      <c r="BM494" s="30">
        <f>ROUND(Inventory[[#This Row],[25Det]]*Inventory[[#This Row],[Det/Nbhd Adj]],-2)</f>
        <v>0</v>
      </c>
      <c r="BN494" s="30">
        <f>Inventory[[#This Row],[Adjusted Res]]+Inventory[[#This Row],[Adj Det ]]</f>
        <v>301800</v>
      </c>
      <c r="BO494" s="30">
        <f>ROUND((Inventory[[#This Row],[Mdl Land Intercept]]+Inventory[[#This Row],[Mdl LnAcres]])*Inventory[[#This Row],[Det/Nbhd Adj]],-2)</f>
        <v>61100</v>
      </c>
      <c r="BP494" s="30">
        <f>Inventory[[#This Row],[Adjusted Impr Total]]+Inventory[[#This Row],[Adjusted Land Total]]</f>
        <v>362900</v>
      </c>
      <c r="BQ494" s="30">
        <f>IFERROR((Inventory[[#This Row],[Adjusted Impr Total]]-Inventory[[#This Row],[24Bldg]])/Inventory[[#This Row],[24Bldg]],0)</f>
        <v>-2.0765736534717714E-2</v>
      </c>
      <c r="BR494" s="43">
        <f>(Inventory[[#This Row],[Adjusted Land Total]]-Inventory[[#This Row],[24Lnd]])/Inventory[[#This Row],[24Lnd]]</f>
        <v>4.9342105263157892E-3</v>
      </c>
      <c r="BS494" s="43">
        <f>(Inventory[[#This Row],[Adjusted Total]]-Inventory[[#This Row],[24Final]])/Inventory[[#This Row],[24Final]]</f>
        <v>-1.6531165311653117E-2</v>
      </c>
    </row>
    <row r="495" spans="1:71">
      <c r="A495" s="30">
        <v>2025</v>
      </c>
      <c r="B495" s="31" t="s">
        <v>1009</v>
      </c>
      <c r="C495" s="31">
        <f>LN(Inventory[[#This Row],[Acres]])</f>
        <v>-1.8325814637483102</v>
      </c>
      <c r="D495" s="30">
        <v>0.16</v>
      </c>
      <c r="E495" s="30">
        <v>7095</v>
      </c>
      <c r="F495" s="31" t="s">
        <v>505</v>
      </c>
      <c r="G495" s="31" t="s">
        <v>155</v>
      </c>
      <c r="H495" s="31" t="s">
        <v>5</v>
      </c>
      <c r="I495" s="31" t="s">
        <v>506</v>
      </c>
      <c r="J495" s="31" t="s">
        <v>507</v>
      </c>
      <c r="K495" s="31" t="s">
        <v>330</v>
      </c>
      <c r="L495" s="31" t="s">
        <v>21</v>
      </c>
      <c r="M495" s="31" t="s">
        <v>22</v>
      </c>
      <c r="N495" s="31">
        <v>10</v>
      </c>
      <c r="O495" s="31">
        <f>2024-Inventory[[#This Row],[YrBlt]]</f>
        <v>16</v>
      </c>
      <c r="P495" s="31">
        <f>2024-Inventory[[#This Row],[EffYr]]</f>
        <v>16</v>
      </c>
      <c r="Q495" s="30">
        <v>2008</v>
      </c>
      <c r="R495" s="30">
        <v>2008</v>
      </c>
      <c r="S495" s="30">
        <v>1116</v>
      </c>
      <c r="T495" s="38">
        <v>1116</v>
      </c>
      <c r="U495" s="32"/>
      <c r="V495" s="32"/>
      <c r="W495" s="32"/>
      <c r="X495" s="32">
        <f>Inventory[[#This Row],[Bsmt Area]]-Inventory[[#This Row],[FnBsmt]]</f>
        <v>0</v>
      </c>
      <c r="Y495" s="32">
        <f>Inventory[[#This Row],[MainFn]]+Inventory[[#This Row],[UpprFn]]+Inventory[[#This Row],[AddFn]]+Inventory[[#This Row],[FnBsmt]]</f>
        <v>2232</v>
      </c>
      <c r="Z495" s="32">
        <v>2500</v>
      </c>
      <c r="AA495" s="31" t="s">
        <v>56</v>
      </c>
      <c r="AB495" s="32"/>
      <c r="AC495" s="30">
        <v>716</v>
      </c>
      <c r="AD495" s="32"/>
      <c r="AE495" s="32"/>
      <c r="AF495" s="32"/>
      <c r="AG495" s="32"/>
      <c r="AH495" s="32"/>
      <c r="AI495" s="30">
        <v>453102</v>
      </c>
      <c r="AJ495" s="30">
        <v>421385</v>
      </c>
      <c r="AK495" s="30">
        <v>0</v>
      </c>
      <c r="AL495" s="30">
        <v>0</v>
      </c>
      <c r="AM495" s="30">
        <v>60800</v>
      </c>
      <c r="AN495" s="30">
        <v>366000</v>
      </c>
      <c r="AO495" s="30">
        <v>426800</v>
      </c>
      <c r="AP495" s="30">
        <f>Lookups!$B$58*0.6</f>
        <v>132535.48800000001</v>
      </c>
      <c r="AQ495" s="30">
        <f>Lookups!$B$58*0.4</f>
        <v>88356.992000000013</v>
      </c>
      <c r="AR495" s="30">
        <f>Lookups!$B$59*Inventory[[#This Row],[LnAcres]]</f>
        <v>-24051.387388882686</v>
      </c>
      <c r="AS495" s="30">
        <f>VLOOKUP(Inventory[[#This Row],[Qlty]],Lookups!$A$66:$E$79,2,FALSE)</f>
        <v>32917.849192000001</v>
      </c>
      <c r="AT495" s="30">
        <f>VLOOKUP(Inventory[[#This Row],[Cnd]],Lookups!$A$80:$E$88,2,FALSE)</f>
        <v>50438.379078999998</v>
      </c>
      <c r="AU495" s="30">
        <f>Inventory[[#This Row],[EffAge]]*Lookups!$B$65</f>
        <v>-1739.8576</v>
      </c>
      <c r="AV495" s="30">
        <f>Inventory[[#This Row],[MainFn]]*Lookups!$B$90</f>
        <v>69649.984080000009</v>
      </c>
      <c r="AW495" s="30">
        <f>Inventory[[#This Row],[UpprFn]]*Lookups!$B$91</f>
        <v>66491.707427999994</v>
      </c>
      <c r="AX495" s="30">
        <f>Inventory[[#This Row],[Bsmt Area]]*Lookups!$B$95</f>
        <v>0</v>
      </c>
      <c r="AY495" s="30">
        <f>Inventory[[#This Row],[AttGar]]*Lookups!$B$93</f>
        <v>25275.538196000001</v>
      </c>
      <c r="AZ495" s="30">
        <f>ROUND(Inventory[[#This Row],[25Det]],-2)</f>
        <v>0</v>
      </c>
      <c r="BA495" s="30">
        <f>ROUND(SUM(Inventory[[#This Row],[Mdl Qlty]:[Mdl Garage Area]])+Inventory[[#This Row],[Mdl Res Intercept]],-2)</f>
        <v>375600</v>
      </c>
      <c r="BB495" s="30">
        <f>ROUND(Inventory[[#This Row],[Mdl Land Intercept]]+Inventory[[#This Row],[Mdl LnAcres]],-2)</f>
        <v>64300</v>
      </c>
      <c r="BC495" s="30">
        <f>Inventory[[#This Row],[Unadj Res Value]]+Inventory[[#This Row],[Unadj Det Value]]+Inventory[[#This Row],[Unadj Land Value]]</f>
        <v>439900</v>
      </c>
      <c r="BD495" s="30">
        <f>(Inventory[[#This Row],[Unadj Total Value]]-Inventory[[#This Row],[24Final]])/Inventory[[#This Row],[24Final]]</f>
        <v>3.069353327085286E-2</v>
      </c>
      <c r="BE495" s="30">
        <f>VLOOKUP(Inventory[[#This Row],[Nbhd]],Lookups!$M$3:$P$5,4,FALSE)</f>
        <v>0.99970000000000003</v>
      </c>
      <c r="BF495" s="30">
        <f>VLOOKUP(Inventory[[#This Row],[Qlty]],Lookups!$M$8:$P$22,4,FALSE)</f>
        <v>1.0019</v>
      </c>
      <c r="BG495" s="30">
        <f>VLOOKUP(Inventory[[#This Row],[Cnd]],Lookups!$R$8:$U$17,4,FALSE)</f>
        <v>1.0007999999999999</v>
      </c>
      <c r="BH495" s="30">
        <f>VLOOKUP(Inventory[[#This Row],[LivArea Range]],Lookups!$R$25:$U$43,4,FALSE)</f>
        <v>1.0008999999999999</v>
      </c>
      <c r="BI495" s="30">
        <f>VLOOKUP(Inventory[[#This Row],[Decade]],Lookups!$M$24:$P$40,4,FALSE)</f>
        <v>1.0024</v>
      </c>
      <c r="BJ495" s="30">
        <f>Inventory[[#This Row],[Nbhd Adj]]*0.95</f>
        <v>0.94971499999999998</v>
      </c>
      <c r="BK495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495" s="30">
        <f>ROUND((SUM(Inventory[[#This Row],[Mdl Qlty]:[Mdl Garage Area]])+Inventory[[#This Row],[Mdl Res Intercept]])*Inventory[[#This Row],[Res Adj ]],-2)</f>
        <v>357200</v>
      </c>
      <c r="BM495" s="30">
        <f>ROUND(Inventory[[#This Row],[25Det]]*Inventory[[#This Row],[Det/Nbhd Adj]],-2)</f>
        <v>0</v>
      </c>
      <c r="BN495" s="30">
        <f>Inventory[[#This Row],[Adjusted Res]]+Inventory[[#This Row],[Adj Det ]]</f>
        <v>357200</v>
      </c>
      <c r="BO495" s="30">
        <f>ROUND((Inventory[[#This Row],[Mdl Land Intercept]]+Inventory[[#This Row],[Mdl LnAcres]])*Inventory[[#This Row],[Det/Nbhd Adj]],-2)</f>
        <v>61100</v>
      </c>
      <c r="BP495" s="30">
        <f>Inventory[[#This Row],[Adjusted Impr Total]]+Inventory[[#This Row],[Adjusted Land Total]]</f>
        <v>418300</v>
      </c>
      <c r="BQ495" s="30">
        <f>IFERROR((Inventory[[#This Row],[Adjusted Impr Total]]-Inventory[[#This Row],[24Bldg]])/Inventory[[#This Row],[24Bldg]],0)</f>
        <v>-2.4043715846994537E-2</v>
      </c>
      <c r="BR495" s="43">
        <f>(Inventory[[#This Row],[Adjusted Land Total]]-Inventory[[#This Row],[24Lnd]])/Inventory[[#This Row],[24Lnd]]</f>
        <v>4.9342105263157892E-3</v>
      </c>
      <c r="BS495" s="43">
        <f>(Inventory[[#This Row],[Adjusted Total]]-Inventory[[#This Row],[24Final]])/Inventory[[#This Row],[24Final]]</f>
        <v>-1.9915651358950327E-2</v>
      </c>
    </row>
    <row r="496" spans="1:71">
      <c r="A496" s="30">
        <v>2025</v>
      </c>
      <c r="B496" s="31" t="s">
        <v>1010</v>
      </c>
      <c r="C496" s="31">
        <f>LN(Inventory[[#This Row],[Acres]])</f>
        <v>-1.8325814637483102</v>
      </c>
      <c r="D496" s="30">
        <v>0.16</v>
      </c>
      <c r="E496" s="30">
        <v>7052</v>
      </c>
      <c r="F496" s="31" t="s">
        <v>505</v>
      </c>
      <c r="G496" s="31" t="s">
        <v>155</v>
      </c>
      <c r="H496" s="31" t="s">
        <v>5</v>
      </c>
      <c r="I496" s="31" t="s">
        <v>506</v>
      </c>
      <c r="J496" s="31" t="s">
        <v>507</v>
      </c>
      <c r="K496" s="31" t="s">
        <v>193</v>
      </c>
      <c r="L496" s="31" t="s">
        <v>19</v>
      </c>
      <c r="M496" s="31" t="s">
        <v>22</v>
      </c>
      <c r="N496" s="31">
        <v>10</v>
      </c>
      <c r="O496" s="31">
        <f>2024-Inventory[[#This Row],[YrBlt]]</f>
        <v>16</v>
      </c>
      <c r="P496" s="31">
        <f>2024-Inventory[[#This Row],[EffYr]]</f>
        <v>16</v>
      </c>
      <c r="Q496" s="30">
        <v>2008</v>
      </c>
      <c r="R496" s="30">
        <v>2008</v>
      </c>
      <c r="S496" s="30">
        <v>1364</v>
      </c>
      <c r="T496" s="37"/>
      <c r="U496" s="32"/>
      <c r="V496" s="32"/>
      <c r="W496" s="32"/>
      <c r="X496" s="32">
        <f>Inventory[[#This Row],[Bsmt Area]]-Inventory[[#This Row],[FnBsmt]]</f>
        <v>0</v>
      </c>
      <c r="Y496" s="32">
        <f>Inventory[[#This Row],[MainFn]]+Inventory[[#This Row],[UpprFn]]+Inventory[[#This Row],[AddFn]]+Inventory[[#This Row],[FnBsmt]]</f>
        <v>1364</v>
      </c>
      <c r="Z496" s="32">
        <v>1500</v>
      </c>
      <c r="AA496" s="31" t="s">
        <v>56</v>
      </c>
      <c r="AB496" s="37"/>
      <c r="AC496" s="30">
        <v>428</v>
      </c>
      <c r="AD496" s="32"/>
      <c r="AE496" s="32"/>
      <c r="AF496" s="32"/>
      <c r="AG496" s="32"/>
      <c r="AH496" s="32"/>
      <c r="AI496" s="30">
        <v>276107</v>
      </c>
      <c r="AJ496" s="30">
        <v>256780</v>
      </c>
      <c r="AK496" s="30">
        <v>0</v>
      </c>
      <c r="AL496" s="30">
        <v>0</v>
      </c>
      <c r="AM496" s="30">
        <v>60800</v>
      </c>
      <c r="AN496" s="30">
        <v>307700</v>
      </c>
      <c r="AO496" s="30">
        <v>368500</v>
      </c>
      <c r="AP496" s="30">
        <f>Lookups!$B$58*0.6</f>
        <v>132535.48800000001</v>
      </c>
      <c r="AQ496" s="30">
        <f>Lookups!$B$58*0.4</f>
        <v>88356.992000000013</v>
      </c>
      <c r="AR496" s="30">
        <f>Lookups!$B$59*Inventory[[#This Row],[LnAcres]]</f>
        <v>-24051.387388882686</v>
      </c>
      <c r="AS496" s="30">
        <f>VLOOKUP(Inventory[[#This Row],[Qlty]],Lookups!$A$66:$E$79,2,FALSE)</f>
        <v>37154.252388000001</v>
      </c>
      <c r="AT496" s="30">
        <f>VLOOKUP(Inventory[[#This Row],[Cnd]],Lookups!$A$80:$E$88,2,FALSE)</f>
        <v>50438.379078999998</v>
      </c>
      <c r="AU496" s="30">
        <f>Inventory[[#This Row],[EffAge]]*Lookups!$B$65</f>
        <v>-1739.8576</v>
      </c>
      <c r="AV496" s="30">
        <f>Inventory[[#This Row],[MainFn]]*Lookups!$B$90</f>
        <v>85127.758320000008</v>
      </c>
      <c r="AW496" s="30">
        <f>Inventory[[#This Row],[UpprFn]]*Lookups!$B$91</f>
        <v>0</v>
      </c>
      <c r="AX496" s="30">
        <f>Inventory[[#This Row],[Bsmt Area]]*Lookups!$B$95</f>
        <v>0</v>
      </c>
      <c r="AY496" s="30">
        <f>Inventory[[#This Row],[AttGar]]*Lookups!$B$93</f>
        <v>15108.841268</v>
      </c>
      <c r="AZ496" s="30">
        <f>ROUND(Inventory[[#This Row],[25Det]],-2)</f>
        <v>0</v>
      </c>
      <c r="BA496" s="30">
        <f>ROUND(SUM(Inventory[[#This Row],[Mdl Qlty]:[Mdl Garage Area]])+Inventory[[#This Row],[Mdl Res Intercept]],-2)</f>
        <v>318600</v>
      </c>
      <c r="BB496" s="30">
        <f>ROUND(Inventory[[#This Row],[Mdl Land Intercept]]+Inventory[[#This Row],[Mdl LnAcres]],-2)</f>
        <v>64300</v>
      </c>
      <c r="BC496" s="30">
        <f>Inventory[[#This Row],[Unadj Res Value]]+Inventory[[#This Row],[Unadj Det Value]]+Inventory[[#This Row],[Unadj Land Value]]</f>
        <v>382900</v>
      </c>
      <c r="BD496" s="30">
        <f>(Inventory[[#This Row],[Unadj Total Value]]-Inventory[[#This Row],[24Final]])/Inventory[[#This Row],[24Final]]</f>
        <v>3.9077340569877883E-2</v>
      </c>
      <c r="BE496" s="30">
        <f>VLOOKUP(Inventory[[#This Row],[Nbhd]],Lookups!$M$3:$P$5,4,FALSE)</f>
        <v>0.99970000000000003</v>
      </c>
      <c r="BF496" s="30">
        <f>VLOOKUP(Inventory[[#This Row],[Qlty]],Lookups!$M$8:$P$22,4,FALSE)</f>
        <v>0.99819999999999998</v>
      </c>
      <c r="BG496" s="30">
        <f>VLOOKUP(Inventory[[#This Row],[Cnd]],Lookups!$R$8:$U$17,4,FALSE)</f>
        <v>1.0007999999999999</v>
      </c>
      <c r="BH496" s="30">
        <f>VLOOKUP(Inventory[[#This Row],[LivArea Range]],Lookups!$R$25:$U$43,4,FALSE)</f>
        <v>0.99519999999999997</v>
      </c>
      <c r="BI496" s="30">
        <f>VLOOKUP(Inventory[[#This Row],[Decade]],Lookups!$M$24:$P$40,4,FALSE)</f>
        <v>1.0024</v>
      </c>
      <c r="BJ496" s="30">
        <f>Inventory[[#This Row],[Nbhd Adj]]*0.95</f>
        <v>0.94971499999999998</v>
      </c>
      <c r="BK496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496" s="30">
        <f>ROUND((SUM(Inventory[[#This Row],[Mdl Qlty]:[Mdl Garage Area]])+Inventory[[#This Row],[Mdl Res Intercept]])*Inventory[[#This Row],[Res Adj ]],-2)</f>
        <v>302500</v>
      </c>
      <c r="BM496" s="30">
        <f>ROUND(Inventory[[#This Row],[25Det]]*Inventory[[#This Row],[Det/Nbhd Adj]],-2)</f>
        <v>0</v>
      </c>
      <c r="BN496" s="30">
        <f>Inventory[[#This Row],[Adjusted Res]]+Inventory[[#This Row],[Adj Det ]]</f>
        <v>302500</v>
      </c>
      <c r="BO496" s="30">
        <f>ROUND((Inventory[[#This Row],[Mdl Land Intercept]]+Inventory[[#This Row],[Mdl LnAcres]])*Inventory[[#This Row],[Det/Nbhd Adj]],-2)</f>
        <v>61100</v>
      </c>
      <c r="BP496" s="30">
        <f>Inventory[[#This Row],[Adjusted Impr Total]]+Inventory[[#This Row],[Adjusted Land Total]]</f>
        <v>363600</v>
      </c>
      <c r="BQ496" s="30">
        <f>IFERROR((Inventory[[#This Row],[Adjusted Impr Total]]-Inventory[[#This Row],[24Bldg]])/Inventory[[#This Row],[24Bldg]],0)</f>
        <v>-1.6899577510562237E-2</v>
      </c>
      <c r="BR496" s="43">
        <f>(Inventory[[#This Row],[Adjusted Land Total]]-Inventory[[#This Row],[24Lnd]])/Inventory[[#This Row],[24Lnd]]</f>
        <v>4.9342105263157892E-3</v>
      </c>
      <c r="BS496" s="43">
        <f>(Inventory[[#This Row],[Adjusted Total]]-Inventory[[#This Row],[24Final]])/Inventory[[#This Row],[24Final]]</f>
        <v>-1.3297150610583446E-2</v>
      </c>
    </row>
    <row r="497" spans="1:71">
      <c r="A497" s="30">
        <v>2025</v>
      </c>
      <c r="B497" s="31" t="s">
        <v>1011</v>
      </c>
      <c r="C497" s="31">
        <f>LN(Inventory[[#This Row],[Acres]])</f>
        <v>-1.8325814637483102</v>
      </c>
      <c r="D497" s="30">
        <v>0.16</v>
      </c>
      <c r="E497" s="30">
        <v>7078</v>
      </c>
      <c r="F497" s="31" t="s">
        <v>505</v>
      </c>
      <c r="G497" s="31" t="s">
        <v>155</v>
      </c>
      <c r="H497" s="31" t="s">
        <v>5</v>
      </c>
      <c r="I497" s="31" t="s">
        <v>506</v>
      </c>
      <c r="J497" s="31" t="s">
        <v>507</v>
      </c>
      <c r="K497" s="31" t="s">
        <v>473</v>
      </c>
      <c r="L497" s="31" t="s">
        <v>19</v>
      </c>
      <c r="M497" s="31" t="s">
        <v>22</v>
      </c>
      <c r="N497" s="31">
        <v>10</v>
      </c>
      <c r="O497" s="31">
        <f>2024-Inventory[[#This Row],[YrBlt]]</f>
        <v>16</v>
      </c>
      <c r="P497" s="31">
        <f>2024-Inventory[[#This Row],[EffYr]]</f>
        <v>16</v>
      </c>
      <c r="Q497" s="30">
        <v>2008</v>
      </c>
      <c r="R497" s="30">
        <v>2008</v>
      </c>
      <c r="S497" s="30">
        <v>1628</v>
      </c>
      <c r="T497" s="32"/>
      <c r="U497" s="32"/>
      <c r="V497" s="32"/>
      <c r="W497" s="32"/>
      <c r="X497" s="32">
        <f>Inventory[[#This Row],[Bsmt Area]]-Inventory[[#This Row],[FnBsmt]]</f>
        <v>0</v>
      </c>
      <c r="Y497" s="32">
        <f>Inventory[[#This Row],[MainFn]]+Inventory[[#This Row],[UpprFn]]+Inventory[[#This Row],[AddFn]]+Inventory[[#This Row],[FnBsmt]]</f>
        <v>1628</v>
      </c>
      <c r="Z497" s="32">
        <v>2000</v>
      </c>
      <c r="AA497" s="31" t="s">
        <v>56</v>
      </c>
      <c r="AB497" s="38">
        <v>1</v>
      </c>
      <c r="AC497" s="30">
        <v>528</v>
      </c>
      <c r="AD497" s="32"/>
      <c r="AE497" s="32"/>
      <c r="AF497" s="32"/>
      <c r="AG497" s="32"/>
      <c r="AH497" s="32"/>
      <c r="AI497" s="30">
        <v>332363</v>
      </c>
      <c r="AJ497" s="30">
        <v>309098</v>
      </c>
      <c r="AK497" s="30">
        <v>0</v>
      </c>
      <c r="AL497" s="30">
        <v>0</v>
      </c>
      <c r="AM497" s="30">
        <v>60800</v>
      </c>
      <c r="AN497" s="30">
        <v>328200</v>
      </c>
      <c r="AO497" s="30">
        <v>389000</v>
      </c>
      <c r="AP497" s="30">
        <f>Lookups!$B$58*0.6</f>
        <v>132535.48800000001</v>
      </c>
      <c r="AQ497" s="30">
        <f>Lookups!$B$58*0.4</f>
        <v>88356.992000000013</v>
      </c>
      <c r="AR497" s="30">
        <f>Lookups!$B$59*Inventory[[#This Row],[LnAcres]]</f>
        <v>-24051.387388882686</v>
      </c>
      <c r="AS497" s="30">
        <f>VLOOKUP(Inventory[[#This Row],[Qlty]],Lookups!$A$66:$E$79,2,FALSE)</f>
        <v>37154.252388000001</v>
      </c>
      <c r="AT497" s="30">
        <f>VLOOKUP(Inventory[[#This Row],[Cnd]],Lookups!$A$80:$E$88,2,FALSE)</f>
        <v>50438.379078999998</v>
      </c>
      <c r="AU497" s="30">
        <f>Inventory[[#This Row],[EffAge]]*Lookups!$B$65</f>
        <v>-1739.8576</v>
      </c>
      <c r="AV497" s="30">
        <f>Inventory[[#This Row],[MainFn]]*Lookups!$B$90</f>
        <v>101604.09864000001</v>
      </c>
      <c r="AW497" s="30">
        <f>Inventory[[#This Row],[UpprFn]]*Lookups!$B$91</f>
        <v>0</v>
      </c>
      <c r="AX497" s="30">
        <f>Inventory[[#This Row],[Bsmt Area]]*Lookups!$B$95</f>
        <v>0</v>
      </c>
      <c r="AY497" s="30">
        <f>Inventory[[#This Row],[AttGar]]*Lookups!$B$93</f>
        <v>18638.944368</v>
      </c>
      <c r="AZ497" s="30">
        <f>ROUND(Inventory[[#This Row],[25Det]],-2)</f>
        <v>0</v>
      </c>
      <c r="BA497" s="30">
        <f>ROUND(SUM(Inventory[[#This Row],[Mdl Qlty]:[Mdl Garage Area]])+Inventory[[#This Row],[Mdl Res Intercept]],-2)</f>
        <v>338600</v>
      </c>
      <c r="BB497" s="30">
        <f>ROUND(Inventory[[#This Row],[Mdl Land Intercept]]+Inventory[[#This Row],[Mdl LnAcres]],-2)</f>
        <v>64300</v>
      </c>
      <c r="BC497" s="30">
        <f>Inventory[[#This Row],[Unadj Res Value]]+Inventory[[#This Row],[Unadj Det Value]]+Inventory[[#This Row],[Unadj Land Value]]</f>
        <v>402900</v>
      </c>
      <c r="BD497" s="30">
        <f>(Inventory[[#This Row],[Unadj Total Value]]-Inventory[[#This Row],[24Final]])/Inventory[[#This Row],[24Final]]</f>
        <v>3.5732647814910028E-2</v>
      </c>
      <c r="BE497" s="30">
        <f>VLOOKUP(Inventory[[#This Row],[Nbhd]],Lookups!$M$3:$P$5,4,FALSE)</f>
        <v>0.99970000000000003</v>
      </c>
      <c r="BF497" s="30">
        <f>VLOOKUP(Inventory[[#This Row],[Qlty]],Lookups!$M$8:$P$22,4,FALSE)</f>
        <v>0.99819999999999998</v>
      </c>
      <c r="BG497" s="30">
        <f>VLOOKUP(Inventory[[#This Row],[Cnd]],Lookups!$R$8:$U$17,4,FALSE)</f>
        <v>1.0007999999999999</v>
      </c>
      <c r="BH497" s="30">
        <f>VLOOKUP(Inventory[[#This Row],[LivArea Range]],Lookups!$R$25:$U$43,4,FALSE)</f>
        <v>1.0007999999999999</v>
      </c>
      <c r="BI497" s="30">
        <f>VLOOKUP(Inventory[[#This Row],[Decade]],Lookups!$M$24:$P$40,4,FALSE)</f>
        <v>1.0024</v>
      </c>
      <c r="BJ497" s="30">
        <f>Inventory[[#This Row],[Nbhd Adj]]*0.95</f>
        <v>0.94971499999999998</v>
      </c>
      <c r="BK497" s="30">
        <f>AVERAGE(Inventory[[#This Row],[Nbhd Adj]],Inventory[[#This Row],[Quality Adj]],Inventory[[#This Row],[Condition Adj]],Inventory[[#This Row],[Living Area Adj]],Inventory[[#This Row],[Decade Adj]])*0.95</f>
        <v>0.95036100000000001</v>
      </c>
      <c r="BL497" s="30">
        <f>ROUND((SUM(Inventory[[#This Row],[Mdl Qlty]:[Mdl Garage Area]])+Inventory[[#This Row],[Mdl Res Intercept]])*Inventory[[#This Row],[Res Adj ]],-2)</f>
        <v>321800</v>
      </c>
      <c r="BM497" s="30">
        <f>ROUND(Inventory[[#This Row],[25Det]]*Inventory[[#This Row],[Det/Nbhd Adj]],-2)</f>
        <v>0</v>
      </c>
      <c r="BN497" s="30">
        <f>Inventory[[#This Row],[Adjusted Res]]+Inventory[[#This Row],[Adj Det ]]</f>
        <v>321800</v>
      </c>
      <c r="BO497" s="30">
        <f>ROUND((Inventory[[#This Row],[Mdl Land Intercept]]+Inventory[[#This Row],[Mdl LnAcres]])*Inventory[[#This Row],[Det/Nbhd Adj]],-2)</f>
        <v>61100</v>
      </c>
      <c r="BP497" s="30">
        <f>Inventory[[#This Row],[Adjusted Impr Total]]+Inventory[[#This Row],[Adjusted Land Total]]</f>
        <v>382900</v>
      </c>
      <c r="BQ497" s="30">
        <f>IFERROR((Inventory[[#This Row],[Adjusted Impr Total]]-Inventory[[#This Row],[24Bldg]])/Inventory[[#This Row],[24Bldg]],0)</f>
        <v>-1.9500304692260818E-2</v>
      </c>
      <c r="BR497" s="43">
        <f>(Inventory[[#This Row],[Adjusted Land Total]]-Inventory[[#This Row],[24Lnd]])/Inventory[[#This Row],[24Lnd]]</f>
        <v>4.9342105263157892E-3</v>
      </c>
      <c r="BS497" s="43">
        <f>(Inventory[[#This Row],[Adjusted Total]]-Inventory[[#This Row],[24Final]])/Inventory[[#This Row],[24Final]]</f>
        <v>-1.5681233933161953E-2</v>
      </c>
    </row>
    <row r="498" spans="1:71">
      <c r="A498" s="30">
        <v>2025</v>
      </c>
      <c r="B498" s="31" t="s">
        <v>1012</v>
      </c>
      <c r="C498" s="31">
        <f>LN(Inventory[[#This Row],[Acres]])</f>
        <v>-1.8325814637483102</v>
      </c>
      <c r="D498" s="30">
        <v>0.16</v>
      </c>
      <c r="E498" s="30">
        <v>7015</v>
      </c>
      <c r="F498" s="31" t="s">
        <v>505</v>
      </c>
      <c r="G498" s="31" t="s">
        <v>155</v>
      </c>
      <c r="H498" s="31" t="s">
        <v>5</v>
      </c>
      <c r="I498" s="31" t="s">
        <v>506</v>
      </c>
      <c r="J498" s="31" t="s">
        <v>507</v>
      </c>
      <c r="K498" s="31" t="s">
        <v>330</v>
      </c>
      <c r="L498" s="31" t="s">
        <v>19</v>
      </c>
      <c r="M498" s="31" t="s">
        <v>22</v>
      </c>
      <c r="N498" s="31">
        <v>10</v>
      </c>
      <c r="O498" s="31">
        <f>2024-Inventory[[#This Row],[YrBlt]]</f>
        <v>16</v>
      </c>
      <c r="P498" s="31">
        <f>2024-Inventory[[#This Row],[EffYr]]</f>
        <v>16</v>
      </c>
      <c r="Q498" s="30">
        <v>2008</v>
      </c>
      <c r="R498" s="30">
        <v>2008</v>
      </c>
      <c r="S498" s="30">
        <v>1368</v>
      </c>
      <c r="T498" s="32"/>
      <c r="U498" s="32"/>
      <c r="V498" s="32"/>
      <c r="W498" s="32"/>
      <c r="X498" s="32">
        <f>Inventory[[#This Row],[Bsmt Area]]-Inventory[[#This Row],[FnBsmt]]</f>
        <v>0</v>
      </c>
      <c r="Y498" s="32">
        <f>Inventory[[#This Row],[MainFn]]+Inventory[[#This Row],[UpprFn]]+Inventory[[#This Row],[AddFn]]+Inventory[[#This Row],[FnBsmt]]</f>
        <v>1368</v>
      </c>
      <c r="Z498" s="32">
        <v>1500</v>
      </c>
      <c r="AA498" s="31" t="s">
        <v>56</v>
      </c>
      <c r="AB498" s="32"/>
      <c r="AC498" s="30">
        <v>440</v>
      </c>
      <c r="AD498" s="32"/>
      <c r="AE498" s="32"/>
      <c r="AF498" s="32"/>
      <c r="AG498" s="32"/>
      <c r="AH498" s="32"/>
      <c r="AI498" s="30">
        <v>273716</v>
      </c>
      <c r="AJ498" s="30">
        <v>254556</v>
      </c>
      <c r="AK498" s="30">
        <v>0</v>
      </c>
      <c r="AL498" s="30">
        <v>0</v>
      </c>
      <c r="AM498" s="30">
        <v>60800</v>
      </c>
      <c r="AN498" s="30">
        <v>307200</v>
      </c>
      <c r="AO498" s="30">
        <v>368000</v>
      </c>
      <c r="AP498" s="30">
        <f>Lookups!$B$58*0.6</f>
        <v>132535.48800000001</v>
      </c>
      <c r="AQ498" s="30">
        <f>Lookups!$B$58*0.4</f>
        <v>88356.992000000013</v>
      </c>
      <c r="AR498" s="30">
        <f>Lookups!$B$59*Inventory[[#This Row],[LnAcres]]</f>
        <v>-24051.387388882686</v>
      </c>
      <c r="AS498" s="30">
        <f>VLOOKUP(Inventory[[#This Row],[Qlty]],Lookups!$A$66:$E$79,2,FALSE)</f>
        <v>37154.252388000001</v>
      </c>
      <c r="AT498" s="30">
        <f>VLOOKUP(Inventory[[#This Row],[Cnd]],Lookups!$A$80:$E$88,2,FALSE)</f>
        <v>50438.379078999998</v>
      </c>
      <c r="AU498" s="30">
        <f>Inventory[[#This Row],[EffAge]]*Lookups!$B$65</f>
        <v>-1739.8576</v>
      </c>
      <c r="AV498" s="30">
        <f>Inventory[[#This Row],[MainFn]]*Lookups!$B$90</f>
        <v>85377.399839999998</v>
      </c>
      <c r="AW498" s="30">
        <f>Inventory[[#This Row],[UpprFn]]*Lookups!$B$91</f>
        <v>0</v>
      </c>
      <c r="AX498" s="30">
        <f>Inventory[[#This Row],[Bsmt Area]]*Lookups!$B$95</f>
        <v>0</v>
      </c>
      <c r="AY498" s="30">
        <f>Inventory[[#This Row],[AttGar]]*Lookups!$B$93</f>
        <v>15532.453640000002</v>
      </c>
      <c r="AZ498" s="30">
        <f>ROUND(Inventory[[#This Row],[25Det]],-2)</f>
        <v>0</v>
      </c>
      <c r="BA498" s="30">
        <f>ROUND(SUM(Inventory[[#This Row],[Mdl Qlty]:[Mdl Garage Area]])+Inventory[[#This Row],[Mdl Res Intercept]],-2)</f>
        <v>319300</v>
      </c>
      <c r="BB498" s="30">
        <f>ROUND(Inventory[[#This Row],[Mdl Land Intercept]]+Inventory[[#This Row],[Mdl LnAcres]],-2)</f>
        <v>64300</v>
      </c>
      <c r="BC498" s="30">
        <f>Inventory[[#This Row],[Unadj Res Value]]+Inventory[[#This Row],[Unadj Det Value]]+Inventory[[#This Row],[Unadj Land Value]]</f>
        <v>383600</v>
      </c>
      <c r="BD498" s="30">
        <f>(Inventory[[#This Row],[Unadj Total Value]]-Inventory[[#This Row],[24Final]])/Inventory[[#This Row],[24Final]]</f>
        <v>4.2391304347826085E-2</v>
      </c>
      <c r="BE498" s="30">
        <f>VLOOKUP(Inventory[[#This Row],[Nbhd]],Lookups!$M$3:$P$5,4,FALSE)</f>
        <v>0.99970000000000003</v>
      </c>
      <c r="BF498" s="30">
        <f>VLOOKUP(Inventory[[#This Row],[Qlty]],Lookups!$M$8:$P$22,4,FALSE)</f>
        <v>0.99819999999999998</v>
      </c>
      <c r="BG498" s="30">
        <f>VLOOKUP(Inventory[[#This Row],[Cnd]],Lookups!$R$8:$U$17,4,FALSE)</f>
        <v>1.0007999999999999</v>
      </c>
      <c r="BH498" s="30">
        <f>VLOOKUP(Inventory[[#This Row],[LivArea Range]],Lookups!$R$25:$U$43,4,FALSE)</f>
        <v>0.99519999999999997</v>
      </c>
      <c r="BI498" s="30">
        <f>VLOOKUP(Inventory[[#This Row],[Decade]],Lookups!$M$24:$P$40,4,FALSE)</f>
        <v>1.0024</v>
      </c>
      <c r="BJ498" s="30">
        <f>Inventory[[#This Row],[Nbhd Adj]]*0.95</f>
        <v>0.94971499999999998</v>
      </c>
      <c r="BK498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498" s="30">
        <f>ROUND((SUM(Inventory[[#This Row],[Mdl Qlty]:[Mdl Garage Area]])+Inventory[[#This Row],[Mdl Res Intercept]])*Inventory[[#This Row],[Res Adj ]],-2)</f>
        <v>303100</v>
      </c>
      <c r="BM498" s="30">
        <f>ROUND(Inventory[[#This Row],[25Det]]*Inventory[[#This Row],[Det/Nbhd Adj]],-2)</f>
        <v>0</v>
      </c>
      <c r="BN498" s="30">
        <f>Inventory[[#This Row],[Adjusted Res]]+Inventory[[#This Row],[Adj Det ]]</f>
        <v>303100</v>
      </c>
      <c r="BO498" s="30">
        <f>ROUND((Inventory[[#This Row],[Mdl Land Intercept]]+Inventory[[#This Row],[Mdl LnAcres]])*Inventory[[#This Row],[Det/Nbhd Adj]],-2)</f>
        <v>61100</v>
      </c>
      <c r="BP498" s="30">
        <f>Inventory[[#This Row],[Adjusted Impr Total]]+Inventory[[#This Row],[Adjusted Land Total]]</f>
        <v>364200</v>
      </c>
      <c r="BQ498" s="30">
        <f>IFERROR((Inventory[[#This Row],[Adjusted Impr Total]]-Inventory[[#This Row],[24Bldg]])/Inventory[[#This Row],[24Bldg]],0)</f>
        <v>-1.3346354166666666E-2</v>
      </c>
      <c r="BR498" s="43">
        <f>(Inventory[[#This Row],[Adjusted Land Total]]-Inventory[[#This Row],[24Lnd]])/Inventory[[#This Row],[24Lnd]]</f>
        <v>4.9342105263157892E-3</v>
      </c>
      <c r="BS498" s="43">
        <f>(Inventory[[#This Row],[Adjusted Total]]-Inventory[[#This Row],[24Final]])/Inventory[[#This Row],[24Final]]</f>
        <v>-1.0326086956521738E-2</v>
      </c>
    </row>
    <row r="499" spans="1:71">
      <c r="A499" s="30">
        <v>2025</v>
      </c>
      <c r="B499" s="31" t="s">
        <v>1013</v>
      </c>
      <c r="C499" s="31">
        <f>LN(Inventory[[#This Row],[Acres]])</f>
        <v>-1.8325814637483102</v>
      </c>
      <c r="D499" s="30">
        <v>0.16</v>
      </c>
      <c r="E499" s="30">
        <v>7010</v>
      </c>
      <c r="F499" s="31" t="s">
        <v>505</v>
      </c>
      <c r="G499" s="31" t="s">
        <v>155</v>
      </c>
      <c r="H499" s="31" t="s">
        <v>5</v>
      </c>
      <c r="I499" s="31" t="s">
        <v>506</v>
      </c>
      <c r="J499" s="31" t="s">
        <v>507</v>
      </c>
      <c r="K499" s="31" t="s">
        <v>193</v>
      </c>
      <c r="L499" s="31" t="s">
        <v>19</v>
      </c>
      <c r="M499" s="31" t="s">
        <v>22</v>
      </c>
      <c r="N499" s="31">
        <v>10</v>
      </c>
      <c r="O499" s="31">
        <f>2024-Inventory[[#This Row],[YrBlt]]</f>
        <v>16</v>
      </c>
      <c r="P499" s="31">
        <f>2024-Inventory[[#This Row],[EffYr]]</f>
        <v>16</v>
      </c>
      <c r="Q499" s="30">
        <v>2008</v>
      </c>
      <c r="R499" s="30">
        <v>2008</v>
      </c>
      <c r="S499" s="30">
        <v>1380</v>
      </c>
      <c r="T499" s="32"/>
      <c r="U499" s="32"/>
      <c r="V499" s="32"/>
      <c r="W499" s="32"/>
      <c r="X499" s="32">
        <f>Inventory[[#This Row],[Bsmt Area]]-Inventory[[#This Row],[FnBsmt]]</f>
        <v>0</v>
      </c>
      <c r="Y499" s="32">
        <f>Inventory[[#This Row],[MainFn]]+Inventory[[#This Row],[UpprFn]]+Inventory[[#This Row],[AddFn]]+Inventory[[#This Row],[FnBsmt]]</f>
        <v>1380</v>
      </c>
      <c r="Z499" s="32">
        <v>1500</v>
      </c>
      <c r="AA499" s="31" t="s">
        <v>56</v>
      </c>
      <c r="AB499" s="38">
        <v>1</v>
      </c>
      <c r="AC499" s="30">
        <v>428</v>
      </c>
      <c r="AD499" s="32"/>
      <c r="AE499" s="32"/>
      <c r="AF499" s="32"/>
      <c r="AG499" s="32"/>
      <c r="AH499" s="32"/>
      <c r="AI499" s="30">
        <v>277691</v>
      </c>
      <c r="AJ499" s="30">
        <v>258253</v>
      </c>
      <c r="AK499" s="30">
        <v>0</v>
      </c>
      <c r="AL499" s="30">
        <v>0</v>
      </c>
      <c r="AM499" s="30">
        <v>60800</v>
      </c>
      <c r="AN499" s="30">
        <v>305900</v>
      </c>
      <c r="AO499" s="30">
        <v>366700</v>
      </c>
      <c r="AP499" s="30">
        <f>Lookups!$B$58*0.6</f>
        <v>132535.48800000001</v>
      </c>
      <c r="AQ499" s="30">
        <f>Lookups!$B$58*0.4</f>
        <v>88356.992000000013</v>
      </c>
      <c r="AR499" s="30">
        <f>Lookups!$B$59*Inventory[[#This Row],[LnAcres]]</f>
        <v>-24051.387388882686</v>
      </c>
      <c r="AS499" s="30">
        <f>VLOOKUP(Inventory[[#This Row],[Qlty]],Lookups!$A$66:$E$79,2,FALSE)</f>
        <v>37154.252388000001</v>
      </c>
      <c r="AT499" s="30">
        <f>VLOOKUP(Inventory[[#This Row],[Cnd]],Lookups!$A$80:$E$88,2,FALSE)</f>
        <v>50438.379078999998</v>
      </c>
      <c r="AU499" s="30">
        <f>Inventory[[#This Row],[EffAge]]*Lookups!$B$65</f>
        <v>-1739.8576</v>
      </c>
      <c r="AV499" s="30">
        <f>Inventory[[#This Row],[MainFn]]*Lookups!$B$90</f>
        <v>86126.324399999998</v>
      </c>
      <c r="AW499" s="30">
        <f>Inventory[[#This Row],[UpprFn]]*Lookups!$B$91</f>
        <v>0</v>
      </c>
      <c r="AX499" s="30">
        <f>Inventory[[#This Row],[Bsmt Area]]*Lookups!$B$95</f>
        <v>0</v>
      </c>
      <c r="AY499" s="30">
        <f>Inventory[[#This Row],[AttGar]]*Lookups!$B$93</f>
        <v>15108.841268</v>
      </c>
      <c r="AZ499" s="30">
        <f>ROUND(Inventory[[#This Row],[25Det]],-2)</f>
        <v>0</v>
      </c>
      <c r="BA499" s="30">
        <f>ROUND(SUM(Inventory[[#This Row],[Mdl Qlty]:[Mdl Garage Area]])+Inventory[[#This Row],[Mdl Res Intercept]],-2)</f>
        <v>319600</v>
      </c>
      <c r="BB499" s="30">
        <f>ROUND(Inventory[[#This Row],[Mdl Land Intercept]]+Inventory[[#This Row],[Mdl LnAcres]],-2)</f>
        <v>64300</v>
      </c>
      <c r="BC499" s="30">
        <f>Inventory[[#This Row],[Unadj Res Value]]+Inventory[[#This Row],[Unadj Det Value]]+Inventory[[#This Row],[Unadj Land Value]]</f>
        <v>383900</v>
      </c>
      <c r="BD499" s="30">
        <f>(Inventory[[#This Row],[Unadj Total Value]]-Inventory[[#This Row],[24Final]])/Inventory[[#This Row],[24Final]]</f>
        <v>4.690482683392419E-2</v>
      </c>
      <c r="BE499" s="30">
        <f>VLOOKUP(Inventory[[#This Row],[Nbhd]],Lookups!$M$3:$P$5,4,FALSE)</f>
        <v>0.99970000000000003</v>
      </c>
      <c r="BF499" s="30">
        <f>VLOOKUP(Inventory[[#This Row],[Qlty]],Lookups!$M$8:$P$22,4,FALSE)</f>
        <v>0.99819999999999998</v>
      </c>
      <c r="BG499" s="30">
        <f>VLOOKUP(Inventory[[#This Row],[Cnd]],Lookups!$R$8:$U$17,4,FALSE)</f>
        <v>1.0007999999999999</v>
      </c>
      <c r="BH499" s="30">
        <f>VLOOKUP(Inventory[[#This Row],[LivArea Range]],Lookups!$R$25:$U$43,4,FALSE)</f>
        <v>0.99519999999999997</v>
      </c>
      <c r="BI499" s="30">
        <f>VLOOKUP(Inventory[[#This Row],[Decade]],Lookups!$M$24:$P$40,4,FALSE)</f>
        <v>1.0024</v>
      </c>
      <c r="BJ499" s="30">
        <f>Inventory[[#This Row],[Nbhd Adj]]*0.95</f>
        <v>0.94971499999999998</v>
      </c>
      <c r="BK499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499" s="30">
        <f>ROUND((SUM(Inventory[[#This Row],[Mdl Qlty]:[Mdl Garage Area]])+Inventory[[#This Row],[Mdl Res Intercept]])*Inventory[[#This Row],[Res Adj ]],-2)</f>
        <v>303400</v>
      </c>
      <c r="BM499" s="30">
        <f>ROUND(Inventory[[#This Row],[25Det]]*Inventory[[#This Row],[Det/Nbhd Adj]],-2)</f>
        <v>0</v>
      </c>
      <c r="BN499" s="30">
        <f>Inventory[[#This Row],[Adjusted Res]]+Inventory[[#This Row],[Adj Det ]]</f>
        <v>303400</v>
      </c>
      <c r="BO499" s="30">
        <f>ROUND((Inventory[[#This Row],[Mdl Land Intercept]]+Inventory[[#This Row],[Mdl LnAcres]])*Inventory[[#This Row],[Det/Nbhd Adj]],-2)</f>
        <v>61100</v>
      </c>
      <c r="BP499" s="30">
        <f>Inventory[[#This Row],[Adjusted Impr Total]]+Inventory[[#This Row],[Adjusted Land Total]]</f>
        <v>364500</v>
      </c>
      <c r="BQ499" s="30">
        <f>IFERROR((Inventory[[#This Row],[Adjusted Impr Total]]-Inventory[[#This Row],[24Bldg]])/Inventory[[#This Row],[24Bldg]],0)</f>
        <v>-8.1726054266100037E-3</v>
      </c>
      <c r="BR499" s="43">
        <f>(Inventory[[#This Row],[Adjusted Land Total]]-Inventory[[#This Row],[24Lnd]])/Inventory[[#This Row],[24Lnd]]</f>
        <v>4.9342105263157892E-3</v>
      </c>
      <c r="BS499" s="43">
        <f>(Inventory[[#This Row],[Adjusted Total]]-Inventory[[#This Row],[24Final]])/Inventory[[#This Row],[24Final]]</f>
        <v>-5.9994545950368145E-3</v>
      </c>
    </row>
    <row r="500" spans="1:71">
      <c r="A500" s="30">
        <v>2025</v>
      </c>
      <c r="B500" s="31" t="s">
        <v>1014</v>
      </c>
      <c r="C500" s="31">
        <f>LN(Inventory[[#This Row],[Acres]])</f>
        <v>-1.8325814637483102</v>
      </c>
      <c r="D500" s="30">
        <v>0.16</v>
      </c>
      <c r="E500" s="30">
        <v>7023</v>
      </c>
      <c r="F500" s="31" t="s">
        <v>505</v>
      </c>
      <c r="G500" s="31" t="s">
        <v>155</v>
      </c>
      <c r="H500" s="31" t="s">
        <v>5</v>
      </c>
      <c r="I500" s="31" t="s">
        <v>506</v>
      </c>
      <c r="J500" s="31" t="s">
        <v>507</v>
      </c>
      <c r="K500" s="31" t="s">
        <v>193</v>
      </c>
      <c r="L500" s="31" t="s">
        <v>19</v>
      </c>
      <c r="M500" s="31" t="s">
        <v>22</v>
      </c>
      <c r="N500" s="31">
        <v>10</v>
      </c>
      <c r="O500" s="31">
        <f>2024-Inventory[[#This Row],[YrBlt]]</f>
        <v>16</v>
      </c>
      <c r="P500" s="31">
        <f>2024-Inventory[[#This Row],[EffYr]]</f>
        <v>16</v>
      </c>
      <c r="Q500" s="30">
        <v>2008</v>
      </c>
      <c r="R500" s="30">
        <v>2008</v>
      </c>
      <c r="S500" s="30">
        <v>1436</v>
      </c>
      <c r="T500" s="37"/>
      <c r="U500" s="32"/>
      <c r="V500" s="32"/>
      <c r="W500" s="32"/>
      <c r="X500" s="32">
        <f>Inventory[[#This Row],[Bsmt Area]]-Inventory[[#This Row],[FnBsmt]]</f>
        <v>0</v>
      </c>
      <c r="Y500" s="32">
        <f>Inventory[[#This Row],[MainFn]]+Inventory[[#This Row],[UpprFn]]+Inventory[[#This Row],[AddFn]]+Inventory[[#This Row],[FnBsmt]]</f>
        <v>1436</v>
      </c>
      <c r="Z500" s="32">
        <v>1500</v>
      </c>
      <c r="AA500" s="31" t="s">
        <v>56</v>
      </c>
      <c r="AB500" s="37"/>
      <c r="AC500" s="38">
        <v>400</v>
      </c>
      <c r="AD500" s="37"/>
      <c r="AE500" s="32"/>
      <c r="AF500" s="32"/>
      <c r="AG500" s="32"/>
      <c r="AH500" s="32"/>
      <c r="AI500" s="30">
        <v>283159</v>
      </c>
      <c r="AJ500" s="30">
        <v>263338</v>
      </c>
      <c r="AK500" s="30">
        <v>0</v>
      </c>
      <c r="AL500" s="30">
        <v>0</v>
      </c>
      <c r="AM500" s="30">
        <v>60800</v>
      </c>
      <c r="AN500" s="30">
        <v>307700</v>
      </c>
      <c r="AO500" s="30">
        <v>368500</v>
      </c>
      <c r="AP500" s="30">
        <f>Lookups!$B$58*0.6</f>
        <v>132535.48800000001</v>
      </c>
      <c r="AQ500" s="30">
        <f>Lookups!$B$58*0.4</f>
        <v>88356.992000000013</v>
      </c>
      <c r="AR500" s="30">
        <f>Lookups!$B$59*Inventory[[#This Row],[LnAcres]]</f>
        <v>-24051.387388882686</v>
      </c>
      <c r="AS500" s="30">
        <f>VLOOKUP(Inventory[[#This Row],[Qlty]],Lookups!$A$66:$E$79,2,FALSE)</f>
        <v>37154.252388000001</v>
      </c>
      <c r="AT500" s="30">
        <f>VLOOKUP(Inventory[[#This Row],[Cnd]],Lookups!$A$80:$E$88,2,FALSE)</f>
        <v>50438.379078999998</v>
      </c>
      <c r="AU500" s="30">
        <f>Inventory[[#This Row],[EffAge]]*Lookups!$B$65</f>
        <v>-1739.8576</v>
      </c>
      <c r="AV500" s="30">
        <f>Inventory[[#This Row],[MainFn]]*Lookups!$B$90</f>
        <v>89621.305680000005</v>
      </c>
      <c r="AW500" s="30">
        <f>Inventory[[#This Row],[UpprFn]]*Lookups!$B$91</f>
        <v>0</v>
      </c>
      <c r="AX500" s="30">
        <f>Inventory[[#This Row],[Bsmt Area]]*Lookups!$B$95</f>
        <v>0</v>
      </c>
      <c r="AY500" s="30">
        <f>Inventory[[#This Row],[AttGar]]*Lookups!$B$93</f>
        <v>14120.412400000001</v>
      </c>
      <c r="AZ500" s="30">
        <f>ROUND(Inventory[[#This Row],[25Det]],-2)</f>
        <v>0</v>
      </c>
      <c r="BA500" s="30">
        <f>ROUND(SUM(Inventory[[#This Row],[Mdl Qlty]:[Mdl Garage Area]])+Inventory[[#This Row],[Mdl Res Intercept]],-2)</f>
        <v>322100</v>
      </c>
      <c r="BB500" s="30">
        <f>ROUND(Inventory[[#This Row],[Mdl Land Intercept]]+Inventory[[#This Row],[Mdl LnAcres]],-2)</f>
        <v>64300</v>
      </c>
      <c r="BC500" s="30">
        <f>Inventory[[#This Row],[Unadj Res Value]]+Inventory[[#This Row],[Unadj Det Value]]+Inventory[[#This Row],[Unadj Land Value]]</f>
        <v>386400</v>
      </c>
      <c r="BD500" s="30">
        <f>(Inventory[[#This Row],[Unadj Total Value]]-Inventory[[#This Row],[24Final]])/Inventory[[#This Row],[24Final]]</f>
        <v>4.85753052917232E-2</v>
      </c>
      <c r="BE500" s="30">
        <f>VLOOKUP(Inventory[[#This Row],[Nbhd]],Lookups!$M$3:$P$5,4,FALSE)</f>
        <v>0.99970000000000003</v>
      </c>
      <c r="BF500" s="30">
        <f>VLOOKUP(Inventory[[#This Row],[Qlty]],Lookups!$M$8:$P$22,4,FALSE)</f>
        <v>0.99819999999999998</v>
      </c>
      <c r="BG500" s="30">
        <f>VLOOKUP(Inventory[[#This Row],[Cnd]],Lookups!$R$8:$U$17,4,FALSE)</f>
        <v>1.0007999999999999</v>
      </c>
      <c r="BH500" s="30">
        <f>VLOOKUP(Inventory[[#This Row],[LivArea Range]],Lookups!$R$25:$U$43,4,FALSE)</f>
        <v>0.99519999999999997</v>
      </c>
      <c r="BI500" s="30">
        <f>VLOOKUP(Inventory[[#This Row],[Decade]],Lookups!$M$24:$P$40,4,FALSE)</f>
        <v>1.0024</v>
      </c>
      <c r="BJ500" s="30">
        <f>Inventory[[#This Row],[Nbhd Adj]]*0.95</f>
        <v>0.94971499999999998</v>
      </c>
      <c r="BK500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500" s="30">
        <f>ROUND((SUM(Inventory[[#This Row],[Mdl Qlty]:[Mdl Garage Area]])+Inventory[[#This Row],[Mdl Res Intercept]])*Inventory[[#This Row],[Res Adj ]],-2)</f>
        <v>305800</v>
      </c>
      <c r="BM500" s="30">
        <f>ROUND(Inventory[[#This Row],[25Det]]*Inventory[[#This Row],[Det/Nbhd Adj]],-2)</f>
        <v>0</v>
      </c>
      <c r="BN500" s="30">
        <f>Inventory[[#This Row],[Adjusted Res]]+Inventory[[#This Row],[Adj Det ]]</f>
        <v>305800</v>
      </c>
      <c r="BO500" s="30">
        <f>ROUND((Inventory[[#This Row],[Mdl Land Intercept]]+Inventory[[#This Row],[Mdl LnAcres]])*Inventory[[#This Row],[Det/Nbhd Adj]],-2)</f>
        <v>61100</v>
      </c>
      <c r="BP500" s="30">
        <f>Inventory[[#This Row],[Adjusted Impr Total]]+Inventory[[#This Row],[Adjusted Land Total]]</f>
        <v>366900</v>
      </c>
      <c r="BQ500" s="30">
        <f>IFERROR((Inventory[[#This Row],[Adjusted Impr Total]]-Inventory[[#This Row],[24Bldg]])/Inventory[[#This Row],[24Bldg]],0)</f>
        <v>-6.1748456288592789E-3</v>
      </c>
      <c r="BR500" s="43">
        <f>(Inventory[[#This Row],[Adjusted Land Total]]-Inventory[[#This Row],[24Lnd]])/Inventory[[#This Row],[24Lnd]]</f>
        <v>4.9342105263157892E-3</v>
      </c>
      <c r="BS500" s="43">
        <f>(Inventory[[#This Row],[Adjusted Total]]-Inventory[[#This Row],[24Final]])/Inventory[[#This Row],[24Final]]</f>
        <v>-4.3419267299864318E-3</v>
      </c>
    </row>
    <row r="501" spans="1:71">
      <c r="A501" s="30">
        <v>2025</v>
      </c>
      <c r="B501" s="31" t="s">
        <v>1015</v>
      </c>
      <c r="C501" s="31">
        <f>LN(Inventory[[#This Row],[Acres]])</f>
        <v>-1.8325814637483102</v>
      </c>
      <c r="D501" s="30">
        <v>0.16</v>
      </c>
      <c r="E501" s="30">
        <v>7033</v>
      </c>
      <c r="F501" s="31" t="s">
        <v>505</v>
      </c>
      <c r="G501" s="31" t="s">
        <v>155</v>
      </c>
      <c r="H501" s="31" t="s">
        <v>5</v>
      </c>
      <c r="I501" s="31" t="s">
        <v>506</v>
      </c>
      <c r="J501" s="31" t="s">
        <v>507</v>
      </c>
      <c r="K501" s="31" t="s">
        <v>193</v>
      </c>
      <c r="L501" s="31" t="s">
        <v>19</v>
      </c>
      <c r="M501" s="31" t="s">
        <v>22</v>
      </c>
      <c r="N501" s="31">
        <v>10</v>
      </c>
      <c r="O501" s="31">
        <f>2024-Inventory[[#This Row],[YrBlt]]</f>
        <v>16</v>
      </c>
      <c r="P501" s="31">
        <f>2024-Inventory[[#This Row],[EffYr]]</f>
        <v>16</v>
      </c>
      <c r="Q501" s="30">
        <v>2008</v>
      </c>
      <c r="R501" s="30">
        <v>2008</v>
      </c>
      <c r="S501" s="30">
        <v>1436</v>
      </c>
      <c r="T501" s="37"/>
      <c r="U501" s="32"/>
      <c r="V501" s="32"/>
      <c r="W501" s="32"/>
      <c r="X501" s="32">
        <f>Inventory[[#This Row],[Bsmt Area]]-Inventory[[#This Row],[FnBsmt]]</f>
        <v>0</v>
      </c>
      <c r="Y501" s="32">
        <f>Inventory[[#This Row],[MainFn]]+Inventory[[#This Row],[UpprFn]]+Inventory[[#This Row],[AddFn]]+Inventory[[#This Row],[FnBsmt]]</f>
        <v>1436</v>
      </c>
      <c r="Z501" s="32">
        <v>1500</v>
      </c>
      <c r="AA501" s="31" t="s">
        <v>56</v>
      </c>
      <c r="AB501" s="30">
        <v>1</v>
      </c>
      <c r="AC501" s="30">
        <v>400</v>
      </c>
      <c r="AD501" s="32"/>
      <c r="AE501" s="32"/>
      <c r="AF501" s="32"/>
      <c r="AG501" s="32"/>
      <c r="AH501" s="32"/>
      <c r="AI501" s="30">
        <v>285141</v>
      </c>
      <c r="AJ501" s="30">
        <v>265181</v>
      </c>
      <c r="AK501" s="30">
        <v>0</v>
      </c>
      <c r="AL501" s="30">
        <v>0</v>
      </c>
      <c r="AM501" s="30">
        <v>60800</v>
      </c>
      <c r="AN501" s="30">
        <v>307700</v>
      </c>
      <c r="AO501" s="30">
        <v>368500</v>
      </c>
      <c r="AP501" s="30">
        <f>Lookups!$B$58*0.6</f>
        <v>132535.48800000001</v>
      </c>
      <c r="AQ501" s="30">
        <f>Lookups!$B$58*0.4</f>
        <v>88356.992000000013</v>
      </c>
      <c r="AR501" s="30">
        <f>Lookups!$B$59*Inventory[[#This Row],[LnAcres]]</f>
        <v>-24051.387388882686</v>
      </c>
      <c r="AS501" s="30">
        <f>VLOOKUP(Inventory[[#This Row],[Qlty]],Lookups!$A$66:$E$79,2,FALSE)</f>
        <v>37154.252388000001</v>
      </c>
      <c r="AT501" s="30">
        <f>VLOOKUP(Inventory[[#This Row],[Cnd]],Lookups!$A$80:$E$88,2,FALSE)</f>
        <v>50438.379078999998</v>
      </c>
      <c r="AU501" s="30">
        <f>Inventory[[#This Row],[EffAge]]*Lookups!$B$65</f>
        <v>-1739.8576</v>
      </c>
      <c r="AV501" s="30">
        <f>Inventory[[#This Row],[MainFn]]*Lookups!$B$90</f>
        <v>89621.305680000005</v>
      </c>
      <c r="AW501" s="30">
        <f>Inventory[[#This Row],[UpprFn]]*Lookups!$B$91</f>
        <v>0</v>
      </c>
      <c r="AX501" s="30">
        <f>Inventory[[#This Row],[Bsmt Area]]*Lookups!$B$95</f>
        <v>0</v>
      </c>
      <c r="AY501" s="30">
        <f>Inventory[[#This Row],[AttGar]]*Lookups!$B$93</f>
        <v>14120.412400000001</v>
      </c>
      <c r="AZ501" s="30">
        <f>ROUND(Inventory[[#This Row],[25Det]],-2)</f>
        <v>0</v>
      </c>
      <c r="BA501" s="30">
        <f>ROUND(SUM(Inventory[[#This Row],[Mdl Qlty]:[Mdl Garage Area]])+Inventory[[#This Row],[Mdl Res Intercept]],-2)</f>
        <v>322100</v>
      </c>
      <c r="BB501" s="30">
        <f>ROUND(Inventory[[#This Row],[Mdl Land Intercept]]+Inventory[[#This Row],[Mdl LnAcres]],-2)</f>
        <v>64300</v>
      </c>
      <c r="BC501" s="30">
        <f>Inventory[[#This Row],[Unadj Res Value]]+Inventory[[#This Row],[Unadj Det Value]]+Inventory[[#This Row],[Unadj Land Value]]</f>
        <v>386400</v>
      </c>
      <c r="BD501" s="30">
        <f>(Inventory[[#This Row],[Unadj Total Value]]-Inventory[[#This Row],[24Final]])/Inventory[[#This Row],[24Final]]</f>
        <v>4.85753052917232E-2</v>
      </c>
      <c r="BE501" s="30">
        <f>VLOOKUP(Inventory[[#This Row],[Nbhd]],Lookups!$M$3:$P$5,4,FALSE)</f>
        <v>0.99970000000000003</v>
      </c>
      <c r="BF501" s="30">
        <f>VLOOKUP(Inventory[[#This Row],[Qlty]],Lookups!$M$8:$P$22,4,FALSE)</f>
        <v>0.99819999999999998</v>
      </c>
      <c r="BG501" s="30">
        <f>VLOOKUP(Inventory[[#This Row],[Cnd]],Lookups!$R$8:$U$17,4,FALSE)</f>
        <v>1.0007999999999999</v>
      </c>
      <c r="BH501" s="30">
        <f>VLOOKUP(Inventory[[#This Row],[LivArea Range]],Lookups!$R$25:$U$43,4,FALSE)</f>
        <v>0.99519999999999997</v>
      </c>
      <c r="BI501" s="30">
        <f>VLOOKUP(Inventory[[#This Row],[Decade]],Lookups!$M$24:$P$40,4,FALSE)</f>
        <v>1.0024</v>
      </c>
      <c r="BJ501" s="30">
        <f>Inventory[[#This Row],[Nbhd Adj]]*0.95</f>
        <v>0.94971499999999998</v>
      </c>
      <c r="BK501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501" s="30">
        <f>ROUND((SUM(Inventory[[#This Row],[Mdl Qlty]:[Mdl Garage Area]])+Inventory[[#This Row],[Mdl Res Intercept]])*Inventory[[#This Row],[Res Adj ]],-2)</f>
        <v>305800</v>
      </c>
      <c r="BM501" s="30">
        <f>ROUND(Inventory[[#This Row],[25Det]]*Inventory[[#This Row],[Det/Nbhd Adj]],-2)</f>
        <v>0</v>
      </c>
      <c r="BN501" s="30">
        <f>Inventory[[#This Row],[Adjusted Res]]+Inventory[[#This Row],[Adj Det ]]</f>
        <v>305800</v>
      </c>
      <c r="BO501" s="30">
        <f>ROUND((Inventory[[#This Row],[Mdl Land Intercept]]+Inventory[[#This Row],[Mdl LnAcres]])*Inventory[[#This Row],[Det/Nbhd Adj]],-2)</f>
        <v>61100</v>
      </c>
      <c r="BP501" s="30">
        <f>Inventory[[#This Row],[Adjusted Impr Total]]+Inventory[[#This Row],[Adjusted Land Total]]</f>
        <v>366900</v>
      </c>
      <c r="BQ501" s="30">
        <f>IFERROR((Inventory[[#This Row],[Adjusted Impr Total]]-Inventory[[#This Row],[24Bldg]])/Inventory[[#This Row],[24Bldg]],0)</f>
        <v>-6.1748456288592789E-3</v>
      </c>
      <c r="BR501" s="43">
        <f>(Inventory[[#This Row],[Adjusted Land Total]]-Inventory[[#This Row],[24Lnd]])/Inventory[[#This Row],[24Lnd]]</f>
        <v>4.9342105263157892E-3</v>
      </c>
      <c r="BS501" s="43">
        <f>(Inventory[[#This Row],[Adjusted Total]]-Inventory[[#This Row],[24Final]])/Inventory[[#This Row],[24Final]]</f>
        <v>-4.3419267299864318E-3</v>
      </c>
    </row>
    <row r="502" spans="1:71">
      <c r="A502" s="30">
        <v>2025</v>
      </c>
      <c r="B502" s="31" t="s">
        <v>1016</v>
      </c>
      <c r="C502" s="31">
        <f>LN(Inventory[[#This Row],[Acres]])</f>
        <v>-1.8325814637483102</v>
      </c>
      <c r="D502" s="30">
        <v>0.16</v>
      </c>
      <c r="E502" s="30">
        <v>7077</v>
      </c>
      <c r="F502" s="31" t="s">
        <v>505</v>
      </c>
      <c r="G502" s="31" t="s">
        <v>155</v>
      </c>
      <c r="H502" s="31" t="s">
        <v>5</v>
      </c>
      <c r="I502" s="31" t="s">
        <v>506</v>
      </c>
      <c r="J502" s="31" t="s">
        <v>507</v>
      </c>
      <c r="K502" s="31" t="s">
        <v>193</v>
      </c>
      <c r="L502" s="31" t="s">
        <v>21</v>
      </c>
      <c r="M502" s="31" t="s">
        <v>22</v>
      </c>
      <c r="N502" s="31">
        <v>10</v>
      </c>
      <c r="O502" s="31">
        <f>2024-Inventory[[#This Row],[YrBlt]]</f>
        <v>16</v>
      </c>
      <c r="P502" s="31">
        <f>2024-Inventory[[#This Row],[EffYr]]</f>
        <v>16</v>
      </c>
      <c r="Q502" s="30">
        <v>2008</v>
      </c>
      <c r="R502" s="30">
        <v>2008</v>
      </c>
      <c r="S502" s="30">
        <v>1732</v>
      </c>
      <c r="T502" s="37"/>
      <c r="U502" s="32"/>
      <c r="V502" s="32"/>
      <c r="W502" s="32"/>
      <c r="X502" s="32">
        <f>Inventory[[#This Row],[Bsmt Area]]-Inventory[[#This Row],[FnBsmt]]</f>
        <v>0</v>
      </c>
      <c r="Y502" s="32">
        <f>Inventory[[#This Row],[MainFn]]+Inventory[[#This Row],[UpprFn]]+Inventory[[#This Row],[AddFn]]+Inventory[[#This Row],[FnBsmt]]</f>
        <v>1732</v>
      </c>
      <c r="Z502" s="32">
        <v>2000</v>
      </c>
      <c r="AA502" s="31" t="s">
        <v>56</v>
      </c>
      <c r="AB502" s="37"/>
      <c r="AC502" s="38">
        <v>440</v>
      </c>
      <c r="AD502" s="37"/>
      <c r="AE502" s="32"/>
      <c r="AF502" s="32"/>
      <c r="AG502" s="32"/>
      <c r="AH502" s="32"/>
      <c r="AI502" s="30">
        <v>375524</v>
      </c>
      <c r="AJ502" s="30">
        <v>349237</v>
      </c>
      <c r="AK502" s="30">
        <v>0</v>
      </c>
      <c r="AL502" s="30">
        <v>0</v>
      </c>
      <c r="AM502" s="30">
        <v>60800</v>
      </c>
      <c r="AN502" s="30">
        <v>322200</v>
      </c>
      <c r="AO502" s="30">
        <v>383000</v>
      </c>
      <c r="AP502" s="30">
        <f>Lookups!$B$58*0.6</f>
        <v>132535.48800000001</v>
      </c>
      <c r="AQ502" s="30">
        <f>Lookups!$B$58*0.4</f>
        <v>88356.992000000013</v>
      </c>
      <c r="AR502" s="30">
        <f>Lookups!$B$59*Inventory[[#This Row],[LnAcres]]</f>
        <v>-24051.387388882686</v>
      </c>
      <c r="AS502" s="30">
        <f>VLOOKUP(Inventory[[#This Row],[Qlty]],Lookups!$A$66:$E$79,2,FALSE)</f>
        <v>32917.849192000001</v>
      </c>
      <c r="AT502" s="30">
        <f>VLOOKUP(Inventory[[#This Row],[Cnd]],Lookups!$A$80:$E$88,2,FALSE)</f>
        <v>50438.379078999998</v>
      </c>
      <c r="AU502" s="30">
        <f>Inventory[[#This Row],[EffAge]]*Lookups!$B$65</f>
        <v>-1739.8576</v>
      </c>
      <c r="AV502" s="30">
        <f>Inventory[[#This Row],[MainFn]]*Lookups!$B$90</f>
        <v>108094.77816</v>
      </c>
      <c r="AW502" s="30">
        <f>Inventory[[#This Row],[UpprFn]]*Lookups!$B$91</f>
        <v>0</v>
      </c>
      <c r="AX502" s="30">
        <f>Inventory[[#This Row],[Bsmt Area]]*Lookups!$B$95</f>
        <v>0</v>
      </c>
      <c r="AY502" s="30">
        <f>Inventory[[#This Row],[AttGar]]*Lookups!$B$93</f>
        <v>15532.453640000002</v>
      </c>
      <c r="AZ502" s="30">
        <f>ROUND(Inventory[[#This Row],[25Det]],-2)</f>
        <v>0</v>
      </c>
      <c r="BA502" s="30">
        <f>ROUND(SUM(Inventory[[#This Row],[Mdl Qlty]:[Mdl Garage Area]])+Inventory[[#This Row],[Mdl Res Intercept]],-2)</f>
        <v>337800</v>
      </c>
      <c r="BB502" s="30">
        <f>ROUND(Inventory[[#This Row],[Mdl Land Intercept]]+Inventory[[#This Row],[Mdl LnAcres]],-2)</f>
        <v>64300</v>
      </c>
      <c r="BC502" s="30">
        <f>Inventory[[#This Row],[Unadj Res Value]]+Inventory[[#This Row],[Unadj Det Value]]+Inventory[[#This Row],[Unadj Land Value]]</f>
        <v>402100</v>
      </c>
      <c r="BD502" s="30">
        <f>(Inventory[[#This Row],[Unadj Total Value]]-Inventory[[#This Row],[24Final]])/Inventory[[#This Row],[24Final]]</f>
        <v>4.9869451697127934E-2</v>
      </c>
      <c r="BE502" s="30">
        <f>VLOOKUP(Inventory[[#This Row],[Nbhd]],Lookups!$M$3:$P$5,4,FALSE)</f>
        <v>0.99970000000000003</v>
      </c>
      <c r="BF502" s="30">
        <f>VLOOKUP(Inventory[[#This Row],[Qlty]],Lookups!$M$8:$P$22,4,FALSE)</f>
        <v>1.0019</v>
      </c>
      <c r="BG502" s="30">
        <f>VLOOKUP(Inventory[[#This Row],[Cnd]],Lookups!$R$8:$U$17,4,FALSE)</f>
        <v>1.0007999999999999</v>
      </c>
      <c r="BH502" s="30">
        <f>VLOOKUP(Inventory[[#This Row],[LivArea Range]],Lookups!$R$25:$U$43,4,FALSE)</f>
        <v>1.0007999999999999</v>
      </c>
      <c r="BI502" s="30">
        <f>VLOOKUP(Inventory[[#This Row],[Decade]],Lookups!$M$24:$P$40,4,FALSE)</f>
        <v>1.0024</v>
      </c>
      <c r="BJ502" s="30">
        <f>Inventory[[#This Row],[Nbhd Adj]]*0.95</f>
        <v>0.94971499999999998</v>
      </c>
      <c r="BK502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502" s="30">
        <f>ROUND((SUM(Inventory[[#This Row],[Mdl Qlty]:[Mdl Garage Area]])+Inventory[[#This Row],[Mdl Res Intercept]])*Inventory[[#This Row],[Res Adj ]],-2)</f>
        <v>321200</v>
      </c>
      <c r="BM502" s="30">
        <f>ROUND(Inventory[[#This Row],[25Det]]*Inventory[[#This Row],[Det/Nbhd Adj]],-2)</f>
        <v>0</v>
      </c>
      <c r="BN502" s="30">
        <f>Inventory[[#This Row],[Adjusted Res]]+Inventory[[#This Row],[Adj Det ]]</f>
        <v>321200</v>
      </c>
      <c r="BO502" s="30">
        <f>ROUND((Inventory[[#This Row],[Mdl Land Intercept]]+Inventory[[#This Row],[Mdl LnAcres]])*Inventory[[#This Row],[Det/Nbhd Adj]],-2)</f>
        <v>61100</v>
      </c>
      <c r="BP502" s="30">
        <f>Inventory[[#This Row],[Adjusted Impr Total]]+Inventory[[#This Row],[Adjusted Land Total]]</f>
        <v>382300</v>
      </c>
      <c r="BQ502" s="30">
        <f>IFERROR((Inventory[[#This Row],[Adjusted Impr Total]]-Inventory[[#This Row],[24Bldg]])/Inventory[[#This Row],[24Bldg]],0)</f>
        <v>-3.1036623215394167E-3</v>
      </c>
      <c r="BR502" s="43">
        <f>(Inventory[[#This Row],[Adjusted Land Total]]-Inventory[[#This Row],[24Lnd]])/Inventory[[#This Row],[24Lnd]]</f>
        <v>4.9342105263157892E-3</v>
      </c>
      <c r="BS502" s="43">
        <f>(Inventory[[#This Row],[Adjusted Total]]-Inventory[[#This Row],[24Final]])/Inventory[[#This Row],[24Final]]</f>
        <v>-1.8276762402088772E-3</v>
      </c>
    </row>
    <row r="503" spans="1:71">
      <c r="A503" s="30">
        <v>2025</v>
      </c>
      <c r="B503" s="31" t="s">
        <v>1017</v>
      </c>
      <c r="C503" s="31">
        <f>LN(Inventory[[#This Row],[Acres]])</f>
        <v>-1.8325814637483102</v>
      </c>
      <c r="D503" s="30">
        <v>0.16</v>
      </c>
      <c r="E503" s="30">
        <v>7036</v>
      </c>
      <c r="F503" s="31" t="s">
        <v>505</v>
      </c>
      <c r="G503" s="31" t="s">
        <v>155</v>
      </c>
      <c r="H503" s="31" t="s">
        <v>5</v>
      </c>
      <c r="I503" s="31" t="s">
        <v>506</v>
      </c>
      <c r="J503" s="31" t="s">
        <v>507</v>
      </c>
      <c r="K503" s="31" t="s">
        <v>330</v>
      </c>
      <c r="L503" s="31" t="s">
        <v>21</v>
      </c>
      <c r="M503" s="31" t="s">
        <v>20</v>
      </c>
      <c r="N503" s="31">
        <v>10</v>
      </c>
      <c r="O503" s="31">
        <f>2024-Inventory[[#This Row],[YrBlt]]</f>
        <v>16</v>
      </c>
      <c r="P503" s="31">
        <f>2024-Inventory[[#This Row],[EffYr]]</f>
        <v>16</v>
      </c>
      <c r="Q503" s="30">
        <v>2008</v>
      </c>
      <c r="R503" s="30">
        <v>2008</v>
      </c>
      <c r="S503" s="30">
        <v>2102</v>
      </c>
      <c r="T503" s="32"/>
      <c r="U503" s="32"/>
      <c r="V503" s="32"/>
      <c r="W503" s="32"/>
      <c r="X503" s="32">
        <f>Inventory[[#This Row],[Bsmt Area]]-Inventory[[#This Row],[FnBsmt]]</f>
        <v>0</v>
      </c>
      <c r="Y503" s="32">
        <f>Inventory[[#This Row],[MainFn]]+Inventory[[#This Row],[UpprFn]]+Inventory[[#This Row],[AddFn]]+Inventory[[#This Row],[FnBsmt]]</f>
        <v>2102</v>
      </c>
      <c r="Z503" s="32">
        <v>2500</v>
      </c>
      <c r="AA503" s="31" t="s">
        <v>56</v>
      </c>
      <c r="AB503" s="32"/>
      <c r="AC503" s="30">
        <v>782</v>
      </c>
      <c r="AD503" s="32"/>
      <c r="AE503" s="32"/>
      <c r="AF503" s="32"/>
      <c r="AG503" s="32"/>
      <c r="AH503" s="32"/>
      <c r="AI503" s="30">
        <v>449498</v>
      </c>
      <c r="AJ503" s="30">
        <v>413538</v>
      </c>
      <c r="AK503" s="30">
        <v>0</v>
      </c>
      <c r="AL503" s="30">
        <v>0</v>
      </c>
      <c r="AM503" s="30">
        <v>60800</v>
      </c>
      <c r="AN503" s="30">
        <v>334100</v>
      </c>
      <c r="AO503" s="30">
        <v>394900</v>
      </c>
      <c r="AP503" s="30">
        <f>Lookups!$B$58*0.6</f>
        <v>132535.48800000001</v>
      </c>
      <c r="AQ503" s="30">
        <f>Lookups!$B$58*0.4</f>
        <v>88356.992000000013</v>
      </c>
      <c r="AR503" s="30">
        <f>Lookups!$B$59*Inventory[[#This Row],[LnAcres]]</f>
        <v>-24051.387388882686</v>
      </c>
      <c r="AS503" s="30">
        <f>VLOOKUP(Inventory[[#This Row],[Qlty]],Lookups!$A$66:$E$79,2,FALSE)</f>
        <v>32917.849192000001</v>
      </c>
      <c r="AT503" s="30">
        <f>VLOOKUP(Inventory[[#This Row],[Cnd]],Lookups!$A$80:$E$88,2,FALSE)</f>
        <v>30300.329274</v>
      </c>
      <c r="AU503" s="30">
        <f>Inventory[[#This Row],[EffAge]]*Lookups!$B$65</f>
        <v>-1739.8576</v>
      </c>
      <c r="AV503" s="30">
        <f>Inventory[[#This Row],[MainFn]]*Lookups!$B$90</f>
        <v>131186.61876000001</v>
      </c>
      <c r="AW503" s="30">
        <f>Inventory[[#This Row],[UpprFn]]*Lookups!$B$91</f>
        <v>0</v>
      </c>
      <c r="AX503" s="30">
        <f>Inventory[[#This Row],[Bsmt Area]]*Lookups!$B$95</f>
        <v>0</v>
      </c>
      <c r="AY503" s="30">
        <f>Inventory[[#This Row],[AttGar]]*Lookups!$B$93</f>
        <v>27605.406242000001</v>
      </c>
      <c r="AZ503" s="30">
        <f>ROUND(Inventory[[#This Row],[25Det]],-2)</f>
        <v>0</v>
      </c>
      <c r="BA503" s="30">
        <f>ROUND(SUM(Inventory[[#This Row],[Mdl Qlty]:[Mdl Garage Area]])+Inventory[[#This Row],[Mdl Res Intercept]],-2)</f>
        <v>352800</v>
      </c>
      <c r="BB503" s="30">
        <f>ROUND(Inventory[[#This Row],[Mdl Land Intercept]]+Inventory[[#This Row],[Mdl LnAcres]],-2)</f>
        <v>64300</v>
      </c>
      <c r="BC503" s="30">
        <f>Inventory[[#This Row],[Unadj Res Value]]+Inventory[[#This Row],[Unadj Det Value]]+Inventory[[#This Row],[Unadj Land Value]]</f>
        <v>417100</v>
      </c>
      <c r="BD503" s="30">
        <f>(Inventory[[#This Row],[Unadj Total Value]]-Inventory[[#This Row],[24Final]])/Inventory[[#This Row],[24Final]]</f>
        <v>5.62167637376551E-2</v>
      </c>
      <c r="BE503" s="30">
        <f>VLOOKUP(Inventory[[#This Row],[Nbhd]],Lookups!$M$3:$P$5,4,FALSE)</f>
        <v>0.99970000000000003</v>
      </c>
      <c r="BF503" s="30">
        <f>VLOOKUP(Inventory[[#This Row],[Qlty]],Lookups!$M$8:$P$22,4,FALSE)</f>
        <v>1.0019</v>
      </c>
      <c r="BG503" s="30">
        <f>VLOOKUP(Inventory[[#This Row],[Cnd]],Lookups!$R$8:$U$17,4,FALSE)</f>
        <v>0.997</v>
      </c>
      <c r="BH503" s="30">
        <f>VLOOKUP(Inventory[[#This Row],[LivArea Range]],Lookups!$R$25:$U$43,4,FALSE)</f>
        <v>1.0008999999999999</v>
      </c>
      <c r="BI503" s="30">
        <f>VLOOKUP(Inventory[[#This Row],[Decade]],Lookups!$M$24:$P$40,4,FALSE)</f>
        <v>1.0024</v>
      </c>
      <c r="BJ503" s="30">
        <f>Inventory[[#This Row],[Nbhd Adj]]*0.95</f>
        <v>0.94971499999999998</v>
      </c>
      <c r="BK503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503" s="30">
        <f>ROUND((SUM(Inventory[[#This Row],[Mdl Qlty]:[Mdl Garage Area]])+Inventory[[#This Row],[Mdl Res Intercept]])*Inventory[[#This Row],[Res Adj ]],-2)</f>
        <v>335300</v>
      </c>
      <c r="BM503" s="30">
        <f>ROUND(Inventory[[#This Row],[25Det]]*Inventory[[#This Row],[Det/Nbhd Adj]],-2)</f>
        <v>0</v>
      </c>
      <c r="BN503" s="30">
        <f>Inventory[[#This Row],[Adjusted Res]]+Inventory[[#This Row],[Adj Det ]]</f>
        <v>335300</v>
      </c>
      <c r="BO503" s="30">
        <f>ROUND((Inventory[[#This Row],[Mdl Land Intercept]]+Inventory[[#This Row],[Mdl LnAcres]])*Inventory[[#This Row],[Det/Nbhd Adj]],-2)</f>
        <v>61100</v>
      </c>
      <c r="BP503" s="30">
        <f>Inventory[[#This Row],[Adjusted Impr Total]]+Inventory[[#This Row],[Adjusted Land Total]]</f>
        <v>396400</v>
      </c>
      <c r="BQ503" s="30">
        <f>IFERROR((Inventory[[#This Row],[Adjusted Impr Total]]-Inventory[[#This Row],[24Bldg]])/Inventory[[#This Row],[24Bldg]],0)</f>
        <v>3.5917390002993114E-3</v>
      </c>
      <c r="BR503" s="43">
        <f>(Inventory[[#This Row],[Adjusted Land Total]]-Inventory[[#This Row],[24Lnd]])/Inventory[[#This Row],[24Lnd]]</f>
        <v>4.9342105263157892E-3</v>
      </c>
      <c r="BS503" s="43">
        <f>(Inventory[[#This Row],[Adjusted Total]]-Inventory[[#This Row],[24Final]])/Inventory[[#This Row],[24Final]]</f>
        <v>3.7984299822739933E-3</v>
      </c>
    </row>
    <row r="504" spans="1:71">
      <c r="A504" s="30">
        <v>2025</v>
      </c>
      <c r="B504" s="31" t="s">
        <v>1018</v>
      </c>
      <c r="C504" s="31">
        <f>LN(Inventory[[#This Row],[Acres]])</f>
        <v>-1.8325814637483102</v>
      </c>
      <c r="D504" s="30">
        <v>0.16</v>
      </c>
      <c r="E504" s="30">
        <v>7036</v>
      </c>
      <c r="F504" s="31" t="s">
        <v>505</v>
      </c>
      <c r="G504" s="31" t="s">
        <v>155</v>
      </c>
      <c r="H504" s="31" t="s">
        <v>5</v>
      </c>
      <c r="I504" s="31" t="s">
        <v>506</v>
      </c>
      <c r="J504" s="31" t="s">
        <v>507</v>
      </c>
      <c r="K504" s="31" t="s">
        <v>330</v>
      </c>
      <c r="L504" s="31" t="s">
        <v>21</v>
      </c>
      <c r="M504" s="31" t="s">
        <v>22</v>
      </c>
      <c r="N504" s="31">
        <v>10</v>
      </c>
      <c r="O504" s="31">
        <f>2024-Inventory[[#This Row],[YrBlt]]</f>
        <v>16</v>
      </c>
      <c r="P504" s="31">
        <f>2024-Inventory[[#This Row],[EffYr]]</f>
        <v>16</v>
      </c>
      <c r="Q504" s="30">
        <v>2008</v>
      </c>
      <c r="R504" s="30">
        <v>2008</v>
      </c>
      <c r="S504" s="30">
        <v>2058</v>
      </c>
      <c r="T504" s="37"/>
      <c r="U504" s="32"/>
      <c r="V504" s="32"/>
      <c r="W504" s="32"/>
      <c r="X504" s="32">
        <f>Inventory[[#This Row],[Bsmt Area]]-Inventory[[#This Row],[FnBsmt]]</f>
        <v>0</v>
      </c>
      <c r="Y504" s="32">
        <f>Inventory[[#This Row],[MainFn]]+Inventory[[#This Row],[UpprFn]]+Inventory[[#This Row],[AddFn]]+Inventory[[#This Row],[FnBsmt]]</f>
        <v>2058</v>
      </c>
      <c r="Z504" s="32">
        <v>2500</v>
      </c>
      <c r="AA504" s="31" t="s">
        <v>56</v>
      </c>
      <c r="AB504" s="38">
        <v>1</v>
      </c>
      <c r="AC504" s="38">
        <v>782</v>
      </c>
      <c r="AD504" s="37"/>
      <c r="AE504" s="32"/>
      <c r="AF504" s="32"/>
      <c r="AG504" s="32"/>
      <c r="AH504" s="32"/>
      <c r="AI504" s="30">
        <v>445873</v>
      </c>
      <c r="AJ504" s="30">
        <v>414662</v>
      </c>
      <c r="AK504" s="30">
        <v>0</v>
      </c>
      <c r="AL504" s="30">
        <v>0</v>
      </c>
      <c r="AM504" s="30">
        <v>60800</v>
      </c>
      <c r="AN504" s="30">
        <v>347200</v>
      </c>
      <c r="AO504" s="30">
        <v>408000</v>
      </c>
      <c r="AP504" s="30">
        <f>Lookups!$B$58*0.6</f>
        <v>132535.48800000001</v>
      </c>
      <c r="AQ504" s="30">
        <f>Lookups!$B$58*0.4</f>
        <v>88356.992000000013</v>
      </c>
      <c r="AR504" s="30">
        <f>Lookups!$B$59*Inventory[[#This Row],[LnAcres]]</f>
        <v>-24051.387388882686</v>
      </c>
      <c r="AS504" s="30">
        <f>VLOOKUP(Inventory[[#This Row],[Qlty]],Lookups!$A$66:$E$79,2,FALSE)</f>
        <v>32917.849192000001</v>
      </c>
      <c r="AT504" s="30">
        <f>VLOOKUP(Inventory[[#This Row],[Cnd]],Lookups!$A$80:$E$88,2,FALSE)</f>
        <v>50438.379078999998</v>
      </c>
      <c r="AU504" s="30">
        <f>Inventory[[#This Row],[EffAge]]*Lookups!$B$65</f>
        <v>-1739.8576</v>
      </c>
      <c r="AV504" s="30">
        <f>Inventory[[#This Row],[MainFn]]*Lookups!$B$90</f>
        <v>128440.56204</v>
      </c>
      <c r="AW504" s="30">
        <f>Inventory[[#This Row],[UpprFn]]*Lookups!$B$91</f>
        <v>0</v>
      </c>
      <c r="AX504" s="30">
        <f>Inventory[[#This Row],[Bsmt Area]]*Lookups!$B$95</f>
        <v>0</v>
      </c>
      <c r="AY504" s="30">
        <f>Inventory[[#This Row],[AttGar]]*Lookups!$B$93</f>
        <v>27605.406242000001</v>
      </c>
      <c r="AZ504" s="30">
        <f>ROUND(Inventory[[#This Row],[25Det]],-2)</f>
        <v>0</v>
      </c>
      <c r="BA504" s="30">
        <f>ROUND(SUM(Inventory[[#This Row],[Mdl Qlty]:[Mdl Garage Area]])+Inventory[[#This Row],[Mdl Res Intercept]],-2)</f>
        <v>370200</v>
      </c>
      <c r="BB504" s="30">
        <f>ROUND(Inventory[[#This Row],[Mdl Land Intercept]]+Inventory[[#This Row],[Mdl LnAcres]],-2)</f>
        <v>64300</v>
      </c>
      <c r="BC504" s="30">
        <f>Inventory[[#This Row],[Unadj Res Value]]+Inventory[[#This Row],[Unadj Det Value]]+Inventory[[#This Row],[Unadj Land Value]]</f>
        <v>434500</v>
      </c>
      <c r="BD504" s="30">
        <f>(Inventory[[#This Row],[Unadj Total Value]]-Inventory[[#This Row],[24Final]])/Inventory[[#This Row],[24Final]]</f>
        <v>6.4950980392156868E-2</v>
      </c>
      <c r="BE504" s="30">
        <f>VLOOKUP(Inventory[[#This Row],[Nbhd]],Lookups!$M$3:$P$5,4,FALSE)</f>
        <v>0.99970000000000003</v>
      </c>
      <c r="BF504" s="30">
        <f>VLOOKUP(Inventory[[#This Row],[Qlty]],Lookups!$M$8:$P$22,4,FALSE)</f>
        <v>1.0019</v>
      </c>
      <c r="BG504" s="30">
        <f>VLOOKUP(Inventory[[#This Row],[Cnd]],Lookups!$R$8:$U$17,4,FALSE)</f>
        <v>1.0007999999999999</v>
      </c>
      <c r="BH504" s="30">
        <f>VLOOKUP(Inventory[[#This Row],[LivArea Range]],Lookups!$R$25:$U$43,4,FALSE)</f>
        <v>1.0008999999999999</v>
      </c>
      <c r="BI504" s="30">
        <f>VLOOKUP(Inventory[[#This Row],[Decade]],Lookups!$M$24:$P$40,4,FALSE)</f>
        <v>1.0024</v>
      </c>
      <c r="BJ504" s="30">
        <f>Inventory[[#This Row],[Nbhd Adj]]*0.95</f>
        <v>0.94971499999999998</v>
      </c>
      <c r="BK504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504" s="30">
        <f>ROUND((SUM(Inventory[[#This Row],[Mdl Qlty]:[Mdl Garage Area]])+Inventory[[#This Row],[Mdl Res Intercept]])*Inventory[[#This Row],[Res Adj ]],-2)</f>
        <v>352100</v>
      </c>
      <c r="BM504" s="30">
        <f>ROUND(Inventory[[#This Row],[25Det]]*Inventory[[#This Row],[Det/Nbhd Adj]],-2)</f>
        <v>0</v>
      </c>
      <c r="BN504" s="30">
        <f>Inventory[[#This Row],[Adjusted Res]]+Inventory[[#This Row],[Adj Det ]]</f>
        <v>352100</v>
      </c>
      <c r="BO504" s="30">
        <f>ROUND((Inventory[[#This Row],[Mdl Land Intercept]]+Inventory[[#This Row],[Mdl LnAcres]])*Inventory[[#This Row],[Det/Nbhd Adj]],-2)</f>
        <v>61100</v>
      </c>
      <c r="BP504" s="30">
        <f>Inventory[[#This Row],[Adjusted Impr Total]]+Inventory[[#This Row],[Adjusted Land Total]]</f>
        <v>413200</v>
      </c>
      <c r="BQ504" s="30">
        <f>IFERROR((Inventory[[#This Row],[Adjusted Impr Total]]-Inventory[[#This Row],[24Bldg]])/Inventory[[#This Row],[24Bldg]],0)</f>
        <v>1.4112903225806451E-2</v>
      </c>
      <c r="BR504" s="43">
        <f>(Inventory[[#This Row],[Adjusted Land Total]]-Inventory[[#This Row],[24Lnd]])/Inventory[[#This Row],[24Lnd]]</f>
        <v>4.9342105263157892E-3</v>
      </c>
      <c r="BS504" s="43">
        <f>(Inventory[[#This Row],[Adjusted Total]]-Inventory[[#This Row],[24Final]])/Inventory[[#This Row],[24Final]]</f>
        <v>1.2745098039215686E-2</v>
      </c>
    </row>
    <row r="505" spans="1:71">
      <c r="A505" s="30">
        <v>2025</v>
      </c>
      <c r="B505" s="31" t="s">
        <v>1019</v>
      </c>
      <c r="C505" s="31">
        <f>LN(Inventory[[#This Row],[Acres]])</f>
        <v>-1.8325814637483102</v>
      </c>
      <c r="D505" s="30">
        <v>0.16</v>
      </c>
      <c r="E505" s="30">
        <v>7033</v>
      </c>
      <c r="F505" s="31" t="s">
        <v>505</v>
      </c>
      <c r="G505" s="31" t="s">
        <v>155</v>
      </c>
      <c r="H505" s="31" t="s">
        <v>5</v>
      </c>
      <c r="I505" s="31" t="s">
        <v>506</v>
      </c>
      <c r="J505" s="31" t="s">
        <v>507</v>
      </c>
      <c r="K505" s="31" t="s">
        <v>193</v>
      </c>
      <c r="L505" s="31" t="s">
        <v>21</v>
      </c>
      <c r="M505" s="31" t="s">
        <v>22</v>
      </c>
      <c r="N505" s="31">
        <v>10</v>
      </c>
      <c r="O505" s="31">
        <f>2024-Inventory[[#This Row],[YrBlt]]</f>
        <v>16</v>
      </c>
      <c r="P505" s="31">
        <f>2024-Inventory[[#This Row],[EffYr]]</f>
        <v>16</v>
      </c>
      <c r="Q505" s="30">
        <v>2008</v>
      </c>
      <c r="R505" s="30">
        <v>2008</v>
      </c>
      <c r="S505" s="30">
        <v>2136</v>
      </c>
      <c r="T505" s="32"/>
      <c r="U505" s="32"/>
      <c r="V505" s="32"/>
      <c r="W505" s="32"/>
      <c r="X505" s="32">
        <f>Inventory[[#This Row],[Bsmt Area]]-Inventory[[#This Row],[FnBsmt]]</f>
        <v>0</v>
      </c>
      <c r="Y505" s="32">
        <f>Inventory[[#This Row],[MainFn]]+Inventory[[#This Row],[UpprFn]]+Inventory[[#This Row],[AddFn]]+Inventory[[#This Row],[FnBsmt]]</f>
        <v>2136</v>
      </c>
      <c r="Z505" s="32">
        <v>2500</v>
      </c>
      <c r="AA505" s="31" t="s">
        <v>56</v>
      </c>
      <c r="AB505" s="32"/>
      <c r="AC505" s="30">
        <v>748</v>
      </c>
      <c r="AD505" s="32"/>
      <c r="AE505" s="32"/>
      <c r="AF505" s="32"/>
      <c r="AG505" s="32"/>
      <c r="AH505" s="32"/>
      <c r="AI505" s="30">
        <v>453430</v>
      </c>
      <c r="AJ505" s="30">
        <v>421690</v>
      </c>
      <c r="AK505" s="30">
        <v>0</v>
      </c>
      <c r="AL505" s="30">
        <v>0</v>
      </c>
      <c r="AM505" s="30">
        <v>60800</v>
      </c>
      <c r="AN505" s="30">
        <v>349800</v>
      </c>
      <c r="AO505" s="30">
        <v>410600</v>
      </c>
      <c r="AP505" s="30">
        <f>Lookups!$B$58*0.6</f>
        <v>132535.48800000001</v>
      </c>
      <c r="AQ505" s="30">
        <f>Lookups!$B$58*0.4</f>
        <v>88356.992000000013</v>
      </c>
      <c r="AR505" s="30">
        <f>Lookups!$B$59*Inventory[[#This Row],[LnAcres]]</f>
        <v>-24051.387388882686</v>
      </c>
      <c r="AS505" s="30">
        <f>VLOOKUP(Inventory[[#This Row],[Qlty]],Lookups!$A$66:$E$79,2,FALSE)</f>
        <v>32917.849192000001</v>
      </c>
      <c r="AT505" s="30">
        <f>VLOOKUP(Inventory[[#This Row],[Cnd]],Lookups!$A$80:$E$88,2,FALSE)</f>
        <v>50438.379078999998</v>
      </c>
      <c r="AU505" s="30">
        <f>Inventory[[#This Row],[EffAge]]*Lookups!$B$65</f>
        <v>-1739.8576</v>
      </c>
      <c r="AV505" s="30">
        <f>Inventory[[#This Row],[MainFn]]*Lookups!$B$90</f>
        <v>133308.57167999999</v>
      </c>
      <c r="AW505" s="30">
        <f>Inventory[[#This Row],[UpprFn]]*Lookups!$B$91</f>
        <v>0</v>
      </c>
      <c r="AX505" s="30">
        <f>Inventory[[#This Row],[Bsmt Area]]*Lookups!$B$95</f>
        <v>0</v>
      </c>
      <c r="AY505" s="30">
        <f>Inventory[[#This Row],[AttGar]]*Lookups!$B$93</f>
        <v>26405.171188</v>
      </c>
      <c r="AZ505" s="30">
        <f>ROUND(Inventory[[#This Row],[25Det]],-2)</f>
        <v>0</v>
      </c>
      <c r="BA505" s="30">
        <f>ROUND(SUM(Inventory[[#This Row],[Mdl Qlty]:[Mdl Garage Area]])+Inventory[[#This Row],[Mdl Res Intercept]],-2)</f>
        <v>373900</v>
      </c>
      <c r="BB505" s="30">
        <f>ROUND(Inventory[[#This Row],[Mdl Land Intercept]]+Inventory[[#This Row],[Mdl LnAcres]],-2)</f>
        <v>64300</v>
      </c>
      <c r="BC505" s="30">
        <f>Inventory[[#This Row],[Unadj Res Value]]+Inventory[[#This Row],[Unadj Det Value]]+Inventory[[#This Row],[Unadj Land Value]]</f>
        <v>438200</v>
      </c>
      <c r="BD505" s="30">
        <f>(Inventory[[#This Row],[Unadj Total Value]]-Inventory[[#This Row],[24Final]])/Inventory[[#This Row],[24Final]]</f>
        <v>6.7218704335119339E-2</v>
      </c>
      <c r="BE505" s="30">
        <f>VLOOKUP(Inventory[[#This Row],[Nbhd]],Lookups!$M$3:$P$5,4,FALSE)</f>
        <v>0.99970000000000003</v>
      </c>
      <c r="BF505" s="30">
        <f>VLOOKUP(Inventory[[#This Row],[Qlty]],Lookups!$M$8:$P$22,4,FALSE)</f>
        <v>1.0019</v>
      </c>
      <c r="BG505" s="30">
        <f>VLOOKUP(Inventory[[#This Row],[Cnd]],Lookups!$R$8:$U$17,4,FALSE)</f>
        <v>1.0007999999999999</v>
      </c>
      <c r="BH505" s="30">
        <f>VLOOKUP(Inventory[[#This Row],[LivArea Range]],Lookups!$R$25:$U$43,4,FALSE)</f>
        <v>1.0008999999999999</v>
      </c>
      <c r="BI505" s="30">
        <f>VLOOKUP(Inventory[[#This Row],[Decade]],Lookups!$M$24:$P$40,4,FALSE)</f>
        <v>1.0024</v>
      </c>
      <c r="BJ505" s="30">
        <f>Inventory[[#This Row],[Nbhd Adj]]*0.95</f>
        <v>0.94971499999999998</v>
      </c>
      <c r="BK505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505" s="30">
        <f>ROUND((SUM(Inventory[[#This Row],[Mdl Qlty]:[Mdl Garage Area]])+Inventory[[#This Row],[Mdl Res Intercept]])*Inventory[[#This Row],[Res Adj ]],-2)</f>
        <v>355600</v>
      </c>
      <c r="BM505" s="30">
        <f>ROUND(Inventory[[#This Row],[25Det]]*Inventory[[#This Row],[Det/Nbhd Adj]],-2)</f>
        <v>0</v>
      </c>
      <c r="BN505" s="30">
        <f>Inventory[[#This Row],[Adjusted Res]]+Inventory[[#This Row],[Adj Det ]]</f>
        <v>355600</v>
      </c>
      <c r="BO505" s="30">
        <f>ROUND((Inventory[[#This Row],[Mdl Land Intercept]]+Inventory[[#This Row],[Mdl LnAcres]])*Inventory[[#This Row],[Det/Nbhd Adj]],-2)</f>
        <v>61100</v>
      </c>
      <c r="BP505" s="30">
        <f>Inventory[[#This Row],[Adjusted Impr Total]]+Inventory[[#This Row],[Adjusted Land Total]]</f>
        <v>416700</v>
      </c>
      <c r="BQ505" s="30">
        <f>IFERROR((Inventory[[#This Row],[Adjusted Impr Total]]-Inventory[[#This Row],[24Bldg]])/Inventory[[#This Row],[24Bldg]],0)</f>
        <v>1.6580903373356205E-2</v>
      </c>
      <c r="BR505" s="43">
        <f>(Inventory[[#This Row],[Adjusted Land Total]]-Inventory[[#This Row],[24Lnd]])/Inventory[[#This Row],[24Lnd]]</f>
        <v>4.9342105263157892E-3</v>
      </c>
      <c r="BS505" s="43">
        <f>(Inventory[[#This Row],[Adjusted Total]]-Inventory[[#This Row],[24Final]])/Inventory[[#This Row],[24Final]]</f>
        <v>1.4856307842182172E-2</v>
      </c>
    </row>
    <row r="506" spans="1:71">
      <c r="A506" s="30">
        <v>2025</v>
      </c>
      <c r="B506" s="31" t="s">
        <v>1020</v>
      </c>
      <c r="C506" s="31">
        <f>LN(Inventory[[#This Row],[Acres]])</f>
        <v>-1.7719568419318752</v>
      </c>
      <c r="D506" s="30">
        <v>0.17</v>
      </c>
      <c r="E506" s="30">
        <v>7623</v>
      </c>
      <c r="F506" s="31" t="s">
        <v>505</v>
      </c>
      <c r="G506" s="31" t="s">
        <v>155</v>
      </c>
      <c r="H506" s="31" t="s">
        <v>5</v>
      </c>
      <c r="I506" s="31" t="s">
        <v>506</v>
      </c>
      <c r="J506" s="31" t="s">
        <v>507</v>
      </c>
      <c r="K506" s="31" t="s">
        <v>193</v>
      </c>
      <c r="L506" s="31" t="s">
        <v>21</v>
      </c>
      <c r="M506" s="31" t="s">
        <v>22</v>
      </c>
      <c r="N506" s="31">
        <v>10</v>
      </c>
      <c r="O506" s="31">
        <f>2024-Inventory[[#This Row],[YrBlt]]</f>
        <v>16</v>
      </c>
      <c r="P506" s="31">
        <f>2024-Inventory[[#This Row],[EffYr]]</f>
        <v>16</v>
      </c>
      <c r="Q506" s="30">
        <v>2008</v>
      </c>
      <c r="R506" s="30">
        <v>2008</v>
      </c>
      <c r="S506" s="30">
        <v>1737</v>
      </c>
      <c r="T506" s="32"/>
      <c r="U506" s="32"/>
      <c r="V506" s="32"/>
      <c r="W506" s="32"/>
      <c r="X506" s="32">
        <f>Inventory[[#This Row],[Bsmt Area]]-Inventory[[#This Row],[FnBsmt]]</f>
        <v>0</v>
      </c>
      <c r="Y506" s="32">
        <f>Inventory[[#This Row],[MainFn]]+Inventory[[#This Row],[UpprFn]]+Inventory[[#This Row],[AddFn]]+Inventory[[#This Row],[FnBsmt]]</f>
        <v>1737</v>
      </c>
      <c r="Z506" s="32">
        <v>2000</v>
      </c>
      <c r="AA506" s="31" t="s">
        <v>57</v>
      </c>
      <c r="AB506" s="32"/>
      <c r="AC506" s="30">
        <v>435</v>
      </c>
      <c r="AD506" s="32"/>
      <c r="AE506" s="32"/>
      <c r="AF506" s="32"/>
      <c r="AG506" s="32"/>
      <c r="AH506" s="32"/>
      <c r="AI506" s="30">
        <v>396961</v>
      </c>
      <c r="AJ506" s="30">
        <v>369174</v>
      </c>
      <c r="AK506" s="30">
        <v>0</v>
      </c>
      <c r="AL506" s="30">
        <v>0</v>
      </c>
      <c r="AM506" s="30">
        <v>61700</v>
      </c>
      <c r="AN506" s="30">
        <v>347800</v>
      </c>
      <c r="AO506" s="30">
        <v>409500</v>
      </c>
      <c r="AP506" s="30">
        <f>Lookups!$B$58*0.6</f>
        <v>132535.48800000001</v>
      </c>
      <c r="AQ506" s="30">
        <f>Lookups!$B$58*0.4</f>
        <v>88356.992000000013</v>
      </c>
      <c r="AR506" s="30">
        <f>Lookups!$B$59*Inventory[[#This Row],[LnAcres]]</f>
        <v>-23255.730391660189</v>
      </c>
      <c r="AS506" s="30">
        <f>VLOOKUP(Inventory[[#This Row],[Qlty]],Lookups!$A$66:$E$79,2,FALSE)</f>
        <v>32917.849192000001</v>
      </c>
      <c r="AT506" s="30">
        <f>VLOOKUP(Inventory[[#This Row],[Cnd]],Lookups!$A$80:$E$88,2,FALSE)</f>
        <v>50438.379078999998</v>
      </c>
      <c r="AU506" s="30">
        <f>Inventory[[#This Row],[EffAge]]*Lookups!$B$65</f>
        <v>-1739.8576</v>
      </c>
      <c r="AV506" s="30">
        <f>Inventory[[#This Row],[MainFn]]*Lookups!$B$90</f>
        <v>108406.83006000001</v>
      </c>
      <c r="AW506" s="30">
        <f>Inventory[[#This Row],[UpprFn]]*Lookups!$B$91</f>
        <v>0</v>
      </c>
      <c r="AX506" s="30">
        <f>Inventory[[#This Row],[Bsmt Area]]*Lookups!$B$95</f>
        <v>0</v>
      </c>
      <c r="AY506" s="30">
        <f>Inventory[[#This Row],[AttGar]]*Lookups!$B$93</f>
        <v>15355.948485000001</v>
      </c>
      <c r="AZ506" s="30">
        <f>ROUND(Inventory[[#This Row],[25Det]],-2)</f>
        <v>0</v>
      </c>
      <c r="BA506" s="30">
        <f>ROUND(SUM(Inventory[[#This Row],[Mdl Qlty]:[Mdl Garage Area]])+Inventory[[#This Row],[Mdl Res Intercept]],-2)</f>
        <v>337900</v>
      </c>
      <c r="BB506" s="30">
        <f>ROUND(Inventory[[#This Row],[Mdl Land Intercept]]+Inventory[[#This Row],[Mdl LnAcres]],-2)</f>
        <v>65100</v>
      </c>
      <c r="BC506" s="30">
        <f>Inventory[[#This Row],[Unadj Res Value]]+Inventory[[#This Row],[Unadj Det Value]]+Inventory[[#This Row],[Unadj Land Value]]</f>
        <v>403000</v>
      </c>
      <c r="BD506" s="30">
        <f>(Inventory[[#This Row],[Unadj Total Value]]-Inventory[[#This Row],[24Final]])/Inventory[[#This Row],[24Final]]</f>
        <v>-1.5873015873015872E-2</v>
      </c>
      <c r="BE506" s="30">
        <f>VLOOKUP(Inventory[[#This Row],[Nbhd]],Lookups!$M$3:$P$5,4,FALSE)</f>
        <v>0.99970000000000003</v>
      </c>
      <c r="BF506" s="30">
        <f>VLOOKUP(Inventory[[#This Row],[Qlty]],Lookups!$M$8:$P$22,4,FALSE)</f>
        <v>1.0019</v>
      </c>
      <c r="BG506" s="30">
        <f>VLOOKUP(Inventory[[#This Row],[Cnd]],Lookups!$R$8:$U$17,4,FALSE)</f>
        <v>1.0007999999999999</v>
      </c>
      <c r="BH506" s="30">
        <f>VLOOKUP(Inventory[[#This Row],[LivArea Range]],Lookups!$R$25:$U$43,4,FALSE)</f>
        <v>1.0007999999999999</v>
      </c>
      <c r="BI506" s="30">
        <f>VLOOKUP(Inventory[[#This Row],[Decade]],Lookups!$M$24:$P$40,4,FALSE)</f>
        <v>1.0024</v>
      </c>
      <c r="BJ506" s="30">
        <f>Inventory[[#This Row],[Nbhd Adj]]*0.95</f>
        <v>0.94971499999999998</v>
      </c>
      <c r="BK506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506" s="30">
        <f>ROUND((SUM(Inventory[[#This Row],[Mdl Qlty]:[Mdl Garage Area]])+Inventory[[#This Row],[Mdl Res Intercept]])*Inventory[[#This Row],[Res Adj ]],-2)</f>
        <v>321400</v>
      </c>
      <c r="BM506" s="30">
        <f>ROUND(Inventory[[#This Row],[25Det]]*Inventory[[#This Row],[Det/Nbhd Adj]],-2)</f>
        <v>0</v>
      </c>
      <c r="BN506" s="30">
        <f>Inventory[[#This Row],[Adjusted Res]]+Inventory[[#This Row],[Adj Det ]]</f>
        <v>321400</v>
      </c>
      <c r="BO506" s="30">
        <f>ROUND((Inventory[[#This Row],[Mdl Land Intercept]]+Inventory[[#This Row],[Mdl LnAcres]])*Inventory[[#This Row],[Det/Nbhd Adj]],-2)</f>
        <v>61800</v>
      </c>
      <c r="BP506" s="30">
        <f>Inventory[[#This Row],[Adjusted Impr Total]]+Inventory[[#This Row],[Adjusted Land Total]]</f>
        <v>383200</v>
      </c>
      <c r="BQ506" s="30">
        <f>IFERROR((Inventory[[#This Row],[Adjusted Impr Total]]-Inventory[[#This Row],[24Bldg]])/Inventory[[#This Row],[24Bldg]],0)</f>
        <v>-7.5905692926969526E-2</v>
      </c>
      <c r="BR506" s="43">
        <f>(Inventory[[#This Row],[Adjusted Land Total]]-Inventory[[#This Row],[24Lnd]])/Inventory[[#This Row],[24Lnd]]</f>
        <v>1.6207455429497568E-3</v>
      </c>
      <c r="BS506" s="43">
        <f>(Inventory[[#This Row],[Adjusted Total]]-Inventory[[#This Row],[24Final]])/Inventory[[#This Row],[24Final]]</f>
        <v>-6.4224664224664219E-2</v>
      </c>
    </row>
    <row r="507" spans="1:71">
      <c r="A507" s="30">
        <v>2025</v>
      </c>
      <c r="B507" s="31" t="s">
        <v>1021</v>
      </c>
      <c r="C507" s="31">
        <f>LN(Inventory[[#This Row],[Acres]])</f>
        <v>-1.7719568419318752</v>
      </c>
      <c r="D507" s="30">
        <v>0.17</v>
      </c>
      <c r="E507" s="30">
        <v>7512</v>
      </c>
      <c r="F507" s="31" t="s">
        <v>505</v>
      </c>
      <c r="G507" s="31" t="s">
        <v>155</v>
      </c>
      <c r="H507" s="31" t="s">
        <v>5</v>
      </c>
      <c r="I507" s="31" t="s">
        <v>506</v>
      </c>
      <c r="J507" s="31" t="s">
        <v>507</v>
      </c>
      <c r="K507" s="31" t="s">
        <v>193</v>
      </c>
      <c r="L507" s="31" t="s">
        <v>21</v>
      </c>
      <c r="M507" s="31" t="s">
        <v>22</v>
      </c>
      <c r="N507" s="31">
        <v>10</v>
      </c>
      <c r="O507" s="31">
        <f>2024-Inventory[[#This Row],[YrBlt]]</f>
        <v>16</v>
      </c>
      <c r="P507" s="31">
        <f>2024-Inventory[[#This Row],[EffYr]]</f>
        <v>16</v>
      </c>
      <c r="Q507" s="30">
        <v>2008</v>
      </c>
      <c r="R507" s="30">
        <v>2008</v>
      </c>
      <c r="S507" s="30">
        <v>1737</v>
      </c>
      <c r="T507" s="32"/>
      <c r="U507" s="32"/>
      <c r="V507" s="32"/>
      <c r="W507" s="32"/>
      <c r="X507" s="32">
        <f>Inventory[[#This Row],[Bsmt Area]]-Inventory[[#This Row],[FnBsmt]]</f>
        <v>0</v>
      </c>
      <c r="Y507" s="32">
        <f>Inventory[[#This Row],[MainFn]]+Inventory[[#This Row],[UpprFn]]+Inventory[[#This Row],[AddFn]]+Inventory[[#This Row],[FnBsmt]]</f>
        <v>1737</v>
      </c>
      <c r="Z507" s="32">
        <v>2000</v>
      </c>
      <c r="AA507" s="31" t="s">
        <v>57</v>
      </c>
      <c r="AB507" s="38">
        <v>1</v>
      </c>
      <c r="AC507" s="30">
        <v>435</v>
      </c>
      <c r="AD507" s="32"/>
      <c r="AE507" s="32"/>
      <c r="AF507" s="32"/>
      <c r="AG507" s="32"/>
      <c r="AH507" s="32"/>
      <c r="AI507" s="30">
        <v>387211</v>
      </c>
      <c r="AJ507" s="30">
        <v>360106</v>
      </c>
      <c r="AK507" s="30">
        <v>0</v>
      </c>
      <c r="AL507" s="30">
        <v>0</v>
      </c>
      <c r="AM507" s="30">
        <v>61700</v>
      </c>
      <c r="AN507" s="30">
        <v>323900</v>
      </c>
      <c r="AO507" s="30">
        <v>385600</v>
      </c>
      <c r="AP507" s="30">
        <f>Lookups!$B$58*0.6</f>
        <v>132535.48800000001</v>
      </c>
      <c r="AQ507" s="30">
        <f>Lookups!$B$58*0.4</f>
        <v>88356.992000000013</v>
      </c>
      <c r="AR507" s="30">
        <f>Lookups!$B$59*Inventory[[#This Row],[LnAcres]]</f>
        <v>-23255.730391660189</v>
      </c>
      <c r="AS507" s="30">
        <f>VLOOKUP(Inventory[[#This Row],[Qlty]],Lookups!$A$66:$E$79,2,FALSE)</f>
        <v>32917.849192000001</v>
      </c>
      <c r="AT507" s="30">
        <f>VLOOKUP(Inventory[[#This Row],[Cnd]],Lookups!$A$80:$E$88,2,FALSE)</f>
        <v>50438.379078999998</v>
      </c>
      <c r="AU507" s="30">
        <f>Inventory[[#This Row],[EffAge]]*Lookups!$B$65</f>
        <v>-1739.8576</v>
      </c>
      <c r="AV507" s="30">
        <f>Inventory[[#This Row],[MainFn]]*Lookups!$B$90</f>
        <v>108406.83006000001</v>
      </c>
      <c r="AW507" s="30">
        <f>Inventory[[#This Row],[UpprFn]]*Lookups!$B$91</f>
        <v>0</v>
      </c>
      <c r="AX507" s="30">
        <f>Inventory[[#This Row],[Bsmt Area]]*Lookups!$B$95</f>
        <v>0</v>
      </c>
      <c r="AY507" s="30">
        <f>Inventory[[#This Row],[AttGar]]*Lookups!$B$93</f>
        <v>15355.948485000001</v>
      </c>
      <c r="AZ507" s="30">
        <f>ROUND(Inventory[[#This Row],[25Det]],-2)</f>
        <v>0</v>
      </c>
      <c r="BA507" s="30">
        <f>ROUND(SUM(Inventory[[#This Row],[Mdl Qlty]:[Mdl Garage Area]])+Inventory[[#This Row],[Mdl Res Intercept]],-2)</f>
        <v>337900</v>
      </c>
      <c r="BB507" s="30">
        <f>ROUND(Inventory[[#This Row],[Mdl Land Intercept]]+Inventory[[#This Row],[Mdl LnAcres]],-2)</f>
        <v>65100</v>
      </c>
      <c r="BC507" s="30">
        <f>Inventory[[#This Row],[Unadj Res Value]]+Inventory[[#This Row],[Unadj Det Value]]+Inventory[[#This Row],[Unadj Land Value]]</f>
        <v>403000</v>
      </c>
      <c r="BD507" s="30">
        <f>(Inventory[[#This Row],[Unadj Total Value]]-Inventory[[#This Row],[24Final]])/Inventory[[#This Row],[24Final]]</f>
        <v>4.5124481327800829E-2</v>
      </c>
      <c r="BE507" s="30">
        <f>VLOOKUP(Inventory[[#This Row],[Nbhd]],Lookups!$M$3:$P$5,4,FALSE)</f>
        <v>0.99970000000000003</v>
      </c>
      <c r="BF507" s="30">
        <f>VLOOKUP(Inventory[[#This Row],[Qlty]],Lookups!$M$8:$P$22,4,FALSE)</f>
        <v>1.0019</v>
      </c>
      <c r="BG507" s="30">
        <f>VLOOKUP(Inventory[[#This Row],[Cnd]],Lookups!$R$8:$U$17,4,FALSE)</f>
        <v>1.0007999999999999</v>
      </c>
      <c r="BH507" s="30">
        <f>VLOOKUP(Inventory[[#This Row],[LivArea Range]],Lookups!$R$25:$U$43,4,FALSE)</f>
        <v>1.0007999999999999</v>
      </c>
      <c r="BI507" s="30">
        <f>VLOOKUP(Inventory[[#This Row],[Decade]],Lookups!$M$24:$P$40,4,FALSE)</f>
        <v>1.0024</v>
      </c>
      <c r="BJ507" s="30">
        <f>Inventory[[#This Row],[Nbhd Adj]]*0.95</f>
        <v>0.94971499999999998</v>
      </c>
      <c r="BK507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507" s="30">
        <f>ROUND((SUM(Inventory[[#This Row],[Mdl Qlty]:[Mdl Garage Area]])+Inventory[[#This Row],[Mdl Res Intercept]])*Inventory[[#This Row],[Res Adj ]],-2)</f>
        <v>321400</v>
      </c>
      <c r="BM507" s="30">
        <f>ROUND(Inventory[[#This Row],[25Det]]*Inventory[[#This Row],[Det/Nbhd Adj]],-2)</f>
        <v>0</v>
      </c>
      <c r="BN507" s="30">
        <f>Inventory[[#This Row],[Adjusted Res]]+Inventory[[#This Row],[Adj Det ]]</f>
        <v>321400</v>
      </c>
      <c r="BO507" s="30">
        <f>ROUND((Inventory[[#This Row],[Mdl Land Intercept]]+Inventory[[#This Row],[Mdl LnAcres]])*Inventory[[#This Row],[Det/Nbhd Adj]],-2)</f>
        <v>61800</v>
      </c>
      <c r="BP507" s="30">
        <f>Inventory[[#This Row],[Adjusted Impr Total]]+Inventory[[#This Row],[Adjusted Land Total]]</f>
        <v>383200</v>
      </c>
      <c r="BQ507" s="30">
        <f>IFERROR((Inventory[[#This Row],[Adjusted Impr Total]]-Inventory[[#This Row],[24Bldg]])/Inventory[[#This Row],[24Bldg]],0)</f>
        <v>-7.7184316146958936E-3</v>
      </c>
      <c r="BR507" s="43">
        <f>(Inventory[[#This Row],[Adjusted Land Total]]-Inventory[[#This Row],[24Lnd]])/Inventory[[#This Row],[24Lnd]]</f>
        <v>1.6207455429497568E-3</v>
      </c>
      <c r="BS507" s="43">
        <f>(Inventory[[#This Row],[Adjusted Total]]-Inventory[[#This Row],[24Final]])/Inventory[[#This Row],[24Final]]</f>
        <v>-6.2240663900414933E-3</v>
      </c>
    </row>
    <row r="508" spans="1:71">
      <c r="A508" s="30">
        <v>2025</v>
      </c>
      <c r="B508" s="31" t="s">
        <v>1022</v>
      </c>
      <c r="C508" s="31">
        <f>LN(Inventory[[#This Row],[Acres]])</f>
        <v>-1.7719568419318752</v>
      </c>
      <c r="D508" s="30">
        <v>0.17</v>
      </c>
      <c r="E508" s="30">
        <v>7226</v>
      </c>
      <c r="F508" s="31" t="s">
        <v>505</v>
      </c>
      <c r="G508" s="31" t="s">
        <v>155</v>
      </c>
      <c r="H508" s="31" t="s">
        <v>5</v>
      </c>
      <c r="I508" s="31" t="s">
        <v>506</v>
      </c>
      <c r="J508" s="31" t="s">
        <v>507</v>
      </c>
      <c r="K508" s="31" t="s">
        <v>193</v>
      </c>
      <c r="L508" s="31" t="s">
        <v>21</v>
      </c>
      <c r="M508" s="31" t="s">
        <v>20</v>
      </c>
      <c r="N508" s="31">
        <v>10</v>
      </c>
      <c r="O508" s="31">
        <f>2024-Inventory[[#This Row],[YrBlt]]</f>
        <v>16</v>
      </c>
      <c r="P508" s="31">
        <f>2024-Inventory[[#This Row],[EffYr]]</f>
        <v>16</v>
      </c>
      <c r="Q508" s="30">
        <v>2008</v>
      </c>
      <c r="R508" s="30">
        <v>2008</v>
      </c>
      <c r="S508" s="30">
        <v>1542</v>
      </c>
      <c r="T508" s="37"/>
      <c r="U508" s="32"/>
      <c r="V508" s="32"/>
      <c r="W508" s="32"/>
      <c r="X508" s="32">
        <f>Inventory[[#This Row],[Bsmt Area]]-Inventory[[#This Row],[FnBsmt]]</f>
        <v>0</v>
      </c>
      <c r="Y508" s="32">
        <f>Inventory[[#This Row],[MainFn]]+Inventory[[#This Row],[UpprFn]]+Inventory[[#This Row],[AddFn]]+Inventory[[#This Row],[FnBsmt]]</f>
        <v>1542</v>
      </c>
      <c r="Z508" s="32">
        <v>2000</v>
      </c>
      <c r="AA508" s="31" t="s">
        <v>56</v>
      </c>
      <c r="AB508" s="38">
        <v>1</v>
      </c>
      <c r="AC508" s="38">
        <v>434</v>
      </c>
      <c r="AD508" s="37"/>
      <c r="AE508" s="32"/>
      <c r="AF508" s="32"/>
      <c r="AG508" s="32"/>
      <c r="AH508" s="32"/>
      <c r="AI508" s="30">
        <v>348663</v>
      </c>
      <c r="AJ508" s="30">
        <v>320770</v>
      </c>
      <c r="AK508" s="30">
        <v>0</v>
      </c>
      <c r="AL508" s="30">
        <v>0</v>
      </c>
      <c r="AM508" s="30">
        <v>61700</v>
      </c>
      <c r="AN508" s="30">
        <v>297800</v>
      </c>
      <c r="AO508" s="30">
        <v>359500</v>
      </c>
      <c r="AP508" s="30">
        <f>Lookups!$B$58*0.6</f>
        <v>132535.48800000001</v>
      </c>
      <c r="AQ508" s="30">
        <f>Lookups!$B$58*0.4</f>
        <v>88356.992000000013</v>
      </c>
      <c r="AR508" s="30">
        <f>Lookups!$B$59*Inventory[[#This Row],[LnAcres]]</f>
        <v>-23255.730391660189</v>
      </c>
      <c r="AS508" s="30">
        <f>VLOOKUP(Inventory[[#This Row],[Qlty]],Lookups!$A$66:$E$79,2,FALSE)</f>
        <v>32917.849192000001</v>
      </c>
      <c r="AT508" s="30">
        <f>VLOOKUP(Inventory[[#This Row],[Cnd]],Lookups!$A$80:$E$88,2,FALSE)</f>
        <v>30300.329274</v>
      </c>
      <c r="AU508" s="30">
        <f>Inventory[[#This Row],[EffAge]]*Lookups!$B$65</f>
        <v>-1739.8576</v>
      </c>
      <c r="AV508" s="30">
        <f>Inventory[[#This Row],[MainFn]]*Lookups!$B$90</f>
        <v>96236.805960000012</v>
      </c>
      <c r="AW508" s="30">
        <f>Inventory[[#This Row],[UpprFn]]*Lookups!$B$91</f>
        <v>0</v>
      </c>
      <c r="AX508" s="30">
        <f>Inventory[[#This Row],[Bsmt Area]]*Lookups!$B$95</f>
        <v>0</v>
      </c>
      <c r="AY508" s="30">
        <f>Inventory[[#This Row],[AttGar]]*Lookups!$B$93</f>
        <v>15320.647454</v>
      </c>
      <c r="AZ508" s="30">
        <f>ROUND(Inventory[[#This Row],[25Det]],-2)</f>
        <v>0</v>
      </c>
      <c r="BA508" s="30">
        <f>ROUND(SUM(Inventory[[#This Row],[Mdl Qlty]:[Mdl Garage Area]])+Inventory[[#This Row],[Mdl Res Intercept]],-2)</f>
        <v>305600</v>
      </c>
      <c r="BB508" s="30">
        <f>ROUND(Inventory[[#This Row],[Mdl Land Intercept]]+Inventory[[#This Row],[Mdl LnAcres]],-2)</f>
        <v>65100</v>
      </c>
      <c r="BC508" s="30">
        <f>Inventory[[#This Row],[Unadj Res Value]]+Inventory[[#This Row],[Unadj Det Value]]+Inventory[[#This Row],[Unadj Land Value]]</f>
        <v>370700</v>
      </c>
      <c r="BD508" s="30">
        <f>(Inventory[[#This Row],[Unadj Total Value]]-Inventory[[#This Row],[24Final]])/Inventory[[#This Row],[24Final]]</f>
        <v>3.1154381084840057E-2</v>
      </c>
      <c r="BE508" s="30">
        <f>VLOOKUP(Inventory[[#This Row],[Nbhd]],Lookups!$M$3:$P$5,4,FALSE)</f>
        <v>0.99970000000000003</v>
      </c>
      <c r="BF508" s="30">
        <f>VLOOKUP(Inventory[[#This Row],[Qlty]],Lookups!$M$8:$P$22,4,FALSE)</f>
        <v>1.0019</v>
      </c>
      <c r="BG508" s="30">
        <f>VLOOKUP(Inventory[[#This Row],[Cnd]],Lookups!$R$8:$U$17,4,FALSE)</f>
        <v>0.997</v>
      </c>
      <c r="BH508" s="30">
        <f>VLOOKUP(Inventory[[#This Row],[LivArea Range]],Lookups!$R$25:$U$43,4,FALSE)</f>
        <v>1.0007999999999999</v>
      </c>
      <c r="BI508" s="30">
        <f>VLOOKUP(Inventory[[#This Row],[Decade]],Lookups!$M$24:$P$40,4,FALSE)</f>
        <v>1.0024</v>
      </c>
      <c r="BJ508" s="30">
        <f>Inventory[[#This Row],[Nbhd Adj]]*0.95</f>
        <v>0.94971499999999998</v>
      </c>
      <c r="BK508" s="30">
        <f>AVERAGE(Inventory[[#This Row],[Nbhd Adj]],Inventory[[#This Row],[Quality Adj]],Inventory[[#This Row],[Condition Adj]],Inventory[[#This Row],[Living Area Adj]],Inventory[[#This Row],[Decade Adj]])*0.95</f>
        <v>0.95034199999999991</v>
      </c>
      <c r="BL508" s="30">
        <f>ROUND((SUM(Inventory[[#This Row],[Mdl Qlty]:[Mdl Garage Area]])+Inventory[[#This Row],[Mdl Res Intercept]])*Inventory[[#This Row],[Res Adj ]],-2)</f>
        <v>290400</v>
      </c>
      <c r="BM508" s="30">
        <f>ROUND(Inventory[[#This Row],[25Det]]*Inventory[[#This Row],[Det/Nbhd Adj]],-2)</f>
        <v>0</v>
      </c>
      <c r="BN508" s="30">
        <f>Inventory[[#This Row],[Adjusted Res]]+Inventory[[#This Row],[Adj Det ]]</f>
        <v>290400</v>
      </c>
      <c r="BO508" s="30">
        <f>ROUND((Inventory[[#This Row],[Mdl Land Intercept]]+Inventory[[#This Row],[Mdl LnAcres]])*Inventory[[#This Row],[Det/Nbhd Adj]],-2)</f>
        <v>61800</v>
      </c>
      <c r="BP508" s="30">
        <f>Inventory[[#This Row],[Adjusted Impr Total]]+Inventory[[#This Row],[Adjusted Land Total]]</f>
        <v>352200</v>
      </c>
      <c r="BQ508" s="30">
        <f>IFERROR((Inventory[[#This Row],[Adjusted Impr Total]]-Inventory[[#This Row],[24Bldg]])/Inventory[[#This Row],[24Bldg]],0)</f>
        <v>-2.4848891873740765E-2</v>
      </c>
      <c r="BR508" s="43">
        <f>(Inventory[[#This Row],[Adjusted Land Total]]-Inventory[[#This Row],[24Lnd]])/Inventory[[#This Row],[24Lnd]]</f>
        <v>1.6207455429497568E-3</v>
      </c>
      <c r="BS508" s="43">
        <f>(Inventory[[#This Row],[Adjusted Total]]-Inventory[[#This Row],[24Final]])/Inventory[[#This Row],[24Final]]</f>
        <v>-2.0305980528511822E-2</v>
      </c>
    </row>
    <row r="509" spans="1:71">
      <c r="A509" s="30">
        <v>2025</v>
      </c>
      <c r="B509" s="31" t="s">
        <v>1023</v>
      </c>
      <c r="C509" s="31">
        <f>LN(Inventory[[#This Row],[Acres]])</f>
        <v>-1.7719568419318752</v>
      </c>
      <c r="D509" s="30">
        <v>0.17</v>
      </c>
      <c r="E509" s="30">
        <v>7583</v>
      </c>
      <c r="F509" s="31" t="s">
        <v>505</v>
      </c>
      <c r="G509" s="31" t="s">
        <v>155</v>
      </c>
      <c r="H509" s="31" t="s">
        <v>5</v>
      </c>
      <c r="I509" s="31" t="s">
        <v>506</v>
      </c>
      <c r="J509" s="31" t="s">
        <v>507</v>
      </c>
      <c r="K509" s="31" t="s">
        <v>193</v>
      </c>
      <c r="L509" s="31" t="s">
        <v>21</v>
      </c>
      <c r="M509" s="31" t="s">
        <v>20</v>
      </c>
      <c r="N509" s="31">
        <v>10</v>
      </c>
      <c r="O509" s="31">
        <f>2024-Inventory[[#This Row],[YrBlt]]</f>
        <v>16</v>
      </c>
      <c r="P509" s="31">
        <f>2024-Inventory[[#This Row],[EffYr]]</f>
        <v>16</v>
      </c>
      <c r="Q509" s="30">
        <v>2008</v>
      </c>
      <c r="R509" s="30">
        <v>2008</v>
      </c>
      <c r="S509" s="30">
        <v>1542</v>
      </c>
      <c r="T509" s="37"/>
      <c r="U509" s="32"/>
      <c r="V509" s="32"/>
      <c r="W509" s="32"/>
      <c r="X509" s="32">
        <f>Inventory[[#This Row],[Bsmt Area]]-Inventory[[#This Row],[FnBsmt]]</f>
        <v>0</v>
      </c>
      <c r="Y509" s="32">
        <f>Inventory[[#This Row],[MainFn]]+Inventory[[#This Row],[UpprFn]]+Inventory[[#This Row],[AddFn]]+Inventory[[#This Row],[FnBsmt]]</f>
        <v>1542</v>
      </c>
      <c r="Z509" s="32">
        <v>2000</v>
      </c>
      <c r="AA509" s="31" t="s">
        <v>56</v>
      </c>
      <c r="AB509" s="38">
        <v>1</v>
      </c>
      <c r="AC509" s="30">
        <v>434</v>
      </c>
      <c r="AD509" s="32"/>
      <c r="AE509" s="32"/>
      <c r="AF509" s="32"/>
      <c r="AG509" s="32"/>
      <c r="AH509" s="32"/>
      <c r="AI509" s="30">
        <v>348663</v>
      </c>
      <c r="AJ509" s="30">
        <v>320770</v>
      </c>
      <c r="AK509" s="30">
        <v>0</v>
      </c>
      <c r="AL509" s="30">
        <v>0</v>
      </c>
      <c r="AM509" s="30">
        <v>61700</v>
      </c>
      <c r="AN509" s="30">
        <v>297800</v>
      </c>
      <c r="AO509" s="30">
        <v>359500</v>
      </c>
      <c r="AP509" s="30">
        <f>Lookups!$B$58*0.6</f>
        <v>132535.48800000001</v>
      </c>
      <c r="AQ509" s="30">
        <f>Lookups!$B$58*0.4</f>
        <v>88356.992000000013</v>
      </c>
      <c r="AR509" s="30">
        <f>Lookups!$B$59*Inventory[[#This Row],[LnAcres]]</f>
        <v>-23255.730391660189</v>
      </c>
      <c r="AS509" s="30">
        <f>VLOOKUP(Inventory[[#This Row],[Qlty]],Lookups!$A$66:$E$79,2,FALSE)</f>
        <v>32917.849192000001</v>
      </c>
      <c r="AT509" s="30">
        <f>VLOOKUP(Inventory[[#This Row],[Cnd]],Lookups!$A$80:$E$88,2,FALSE)</f>
        <v>30300.329274</v>
      </c>
      <c r="AU509" s="30">
        <f>Inventory[[#This Row],[EffAge]]*Lookups!$B$65</f>
        <v>-1739.8576</v>
      </c>
      <c r="AV509" s="30">
        <f>Inventory[[#This Row],[MainFn]]*Lookups!$B$90</f>
        <v>96236.805960000012</v>
      </c>
      <c r="AW509" s="30">
        <f>Inventory[[#This Row],[UpprFn]]*Lookups!$B$91</f>
        <v>0</v>
      </c>
      <c r="AX509" s="30">
        <f>Inventory[[#This Row],[Bsmt Area]]*Lookups!$B$95</f>
        <v>0</v>
      </c>
      <c r="AY509" s="30">
        <f>Inventory[[#This Row],[AttGar]]*Lookups!$B$93</f>
        <v>15320.647454</v>
      </c>
      <c r="AZ509" s="30">
        <f>ROUND(Inventory[[#This Row],[25Det]],-2)</f>
        <v>0</v>
      </c>
      <c r="BA509" s="30">
        <f>ROUND(SUM(Inventory[[#This Row],[Mdl Qlty]:[Mdl Garage Area]])+Inventory[[#This Row],[Mdl Res Intercept]],-2)</f>
        <v>305600</v>
      </c>
      <c r="BB509" s="30">
        <f>ROUND(Inventory[[#This Row],[Mdl Land Intercept]]+Inventory[[#This Row],[Mdl LnAcres]],-2)</f>
        <v>65100</v>
      </c>
      <c r="BC509" s="30">
        <f>Inventory[[#This Row],[Unadj Res Value]]+Inventory[[#This Row],[Unadj Det Value]]+Inventory[[#This Row],[Unadj Land Value]]</f>
        <v>370700</v>
      </c>
      <c r="BD509" s="30">
        <f>(Inventory[[#This Row],[Unadj Total Value]]-Inventory[[#This Row],[24Final]])/Inventory[[#This Row],[24Final]]</f>
        <v>3.1154381084840057E-2</v>
      </c>
      <c r="BE509" s="30">
        <f>VLOOKUP(Inventory[[#This Row],[Nbhd]],Lookups!$M$3:$P$5,4,FALSE)</f>
        <v>0.99970000000000003</v>
      </c>
      <c r="BF509" s="30">
        <f>VLOOKUP(Inventory[[#This Row],[Qlty]],Lookups!$M$8:$P$22,4,FALSE)</f>
        <v>1.0019</v>
      </c>
      <c r="BG509" s="30">
        <f>VLOOKUP(Inventory[[#This Row],[Cnd]],Lookups!$R$8:$U$17,4,FALSE)</f>
        <v>0.997</v>
      </c>
      <c r="BH509" s="30">
        <f>VLOOKUP(Inventory[[#This Row],[LivArea Range]],Lookups!$R$25:$U$43,4,FALSE)</f>
        <v>1.0007999999999999</v>
      </c>
      <c r="BI509" s="30">
        <f>VLOOKUP(Inventory[[#This Row],[Decade]],Lookups!$M$24:$P$40,4,FALSE)</f>
        <v>1.0024</v>
      </c>
      <c r="BJ509" s="30">
        <f>Inventory[[#This Row],[Nbhd Adj]]*0.95</f>
        <v>0.94971499999999998</v>
      </c>
      <c r="BK509" s="30">
        <f>AVERAGE(Inventory[[#This Row],[Nbhd Adj]],Inventory[[#This Row],[Quality Adj]],Inventory[[#This Row],[Condition Adj]],Inventory[[#This Row],[Living Area Adj]],Inventory[[#This Row],[Decade Adj]])*0.95</f>
        <v>0.95034199999999991</v>
      </c>
      <c r="BL509" s="30">
        <f>ROUND((SUM(Inventory[[#This Row],[Mdl Qlty]:[Mdl Garage Area]])+Inventory[[#This Row],[Mdl Res Intercept]])*Inventory[[#This Row],[Res Adj ]],-2)</f>
        <v>290400</v>
      </c>
      <c r="BM509" s="30">
        <f>ROUND(Inventory[[#This Row],[25Det]]*Inventory[[#This Row],[Det/Nbhd Adj]],-2)</f>
        <v>0</v>
      </c>
      <c r="BN509" s="30">
        <f>Inventory[[#This Row],[Adjusted Res]]+Inventory[[#This Row],[Adj Det ]]</f>
        <v>290400</v>
      </c>
      <c r="BO509" s="30">
        <f>ROUND((Inventory[[#This Row],[Mdl Land Intercept]]+Inventory[[#This Row],[Mdl LnAcres]])*Inventory[[#This Row],[Det/Nbhd Adj]],-2)</f>
        <v>61800</v>
      </c>
      <c r="BP509" s="30">
        <f>Inventory[[#This Row],[Adjusted Impr Total]]+Inventory[[#This Row],[Adjusted Land Total]]</f>
        <v>352200</v>
      </c>
      <c r="BQ509" s="30">
        <f>IFERROR((Inventory[[#This Row],[Adjusted Impr Total]]-Inventory[[#This Row],[24Bldg]])/Inventory[[#This Row],[24Bldg]],0)</f>
        <v>-2.4848891873740765E-2</v>
      </c>
      <c r="BR509" s="43">
        <f>(Inventory[[#This Row],[Adjusted Land Total]]-Inventory[[#This Row],[24Lnd]])/Inventory[[#This Row],[24Lnd]]</f>
        <v>1.6207455429497568E-3</v>
      </c>
      <c r="BS509" s="43">
        <f>(Inventory[[#This Row],[Adjusted Total]]-Inventory[[#This Row],[24Final]])/Inventory[[#This Row],[24Final]]</f>
        <v>-2.0305980528511822E-2</v>
      </c>
    </row>
    <row r="510" spans="1:71">
      <c r="A510" s="30">
        <v>2025</v>
      </c>
      <c r="B510" s="31" t="s">
        <v>1024</v>
      </c>
      <c r="C510" s="31">
        <f>LN(Inventory[[#This Row],[Acres]])</f>
        <v>-1.7147984280919266</v>
      </c>
      <c r="D510" s="30">
        <v>0.18</v>
      </c>
      <c r="E510" s="30">
        <v>7809</v>
      </c>
      <c r="F510" s="31" t="s">
        <v>505</v>
      </c>
      <c r="G510" s="31" t="s">
        <v>155</v>
      </c>
      <c r="H510" s="31" t="s">
        <v>5</v>
      </c>
      <c r="I510" s="31" t="s">
        <v>506</v>
      </c>
      <c r="J510" s="31" t="s">
        <v>507</v>
      </c>
      <c r="K510" s="31" t="s">
        <v>157</v>
      </c>
      <c r="L510" s="31" t="s">
        <v>19</v>
      </c>
      <c r="M510" s="31" t="s">
        <v>20</v>
      </c>
      <c r="N510" s="31">
        <v>10</v>
      </c>
      <c r="O510" s="31">
        <f>2024-Inventory[[#This Row],[YrBlt]]</f>
        <v>16</v>
      </c>
      <c r="P510" s="31">
        <f>2024-Inventory[[#This Row],[EffYr]]</f>
        <v>16</v>
      </c>
      <c r="Q510" s="30">
        <v>2008</v>
      </c>
      <c r="R510" s="30">
        <v>2008</v>
      </c>
      <c r="S510" s="30">
        <v>1040</v>
      </c>
      <c r="T510" s="38">
        <v>1040</v>
      </c>
      <c r="U510" s="32"/>
      <c r="V510" s="32"/>
      <c r="W510" s="32"/>
      <c r="X510" s="32">
        <f>Inventory[[#This Row],[Bsmt Area]]-Inventory[[#This Row],[FnBsmt]]</f>
        <v>0</v>
      </c>
      <c r="Y510" s="32">
        <f>Inventory[[#This Row],[MainFn]]+Inventory[[#This Row],[UpprFn]]+Inventory[[#This Row],[AddFn]]+Inventory[[#This Row],[FnBsmt]]</f>
        <v>2080</v>
      </c>
      <c r="Z510" s="32">
        <v>2500</v>
      </c>
      <c r="AA510" s="31" t="s">
        <v>56</v>
      </c>
      <c r="AB510" s="38">
        <v>1</v>
      </c>
      <c r="AC510" s="30">
        <v>716</v>
      </c>
      <c r="AD510" s="32"/>
      <c r="AE510" s="32"/>
      <c r="AF510" s="32"/>
      <c r="AG510" s="32"/>
      <c r="AH510" s="32"/>
      <c r="AI510" s="30">
        <v>386281</v>
      </c>
      <c r="AJ510" s="30">
        <v>355379</v>
      </c>
      <c r="AK510" s="30">
        <v>0</v>
      </c>
      <c r="AL510" s="30">
        <v>0</v>
      </c>
      <c r="AM510" s="30">
        <v>62500</v>
      </c>
      <c r="AN510" s="30">
        <v>351300</v>
      </c>
      <c r="AO510" s="30">
        <v>413800</v>
      </c>
      <c r="AP510" s="30">
        <f>Lookups!$B$58*0.6</f>
        <v>132535.48800000001</v>
      </c>
      <c r="AQ510" s="30">
        <f>Lookups!$B$58*0.4</f>
        <v>88356.992000000013</v>
      </c>
      <c r="AR510" s="30">
        <f>Lookups!$B$59*Inventory[[#This Row],[LnAcres]]</f>
        <v>-22505.565020573864</v>
      </c>
      <c r="AS510" s="30">
        <f>VLOOKUP(Inventory[[#This Row],[Qlty]],Lookups!$A$66:$E$79,2,FALSE)</f>
        <v>37154.252388000001</v>
      </c>
      <c r="AT510" s="30">
        <f>VLOOKUP(Inventory[[#This Row],[Cnd]],Lookups!$A$80:$E$88,2,FALSE)</f>
        <v>30300.329274</v>
      </c>
      <c r="AU510" s="30">
        <f>Inventory[[#This Row],[EffAge]]*Lookups!$B$65</f>
        <v>-1739.8576</v>
      </c>
      <c r="AV510" s="30">
        <f>Inventory[[#This Row],[MainFn]]*Lookups!$B$90</f>
        <v>64906.7952</v>
      </c>
      <c r="AW510" s="30">
        <f>Inventory[[#This Row],[UpprFn]]*Lookups!$B$91</f>
        <v>61963.598319999997</v>
      </c>
      <c r="AX510" s="30">
        <f>Inventory[[#This Row],[Bsmt Area]]*Lookups!$B$95</f>
        <v>0</v>
      </c>
      <c r="AY510" s="30">
        <f>Inventory[[#This Row],[AttGar]]*Lookups!$B$93</f>
        <v>25275.538196000001</v>
      </c>
      <c r="AZ510" s="30">
        <f>ROUND(Inventory[[#This Row],[25Det]],-2)</f>
        <v>0</v>
      </c>
      <c r="BA510" s="30">
        <f>ROUND(SUM(Inventory[[#This Row],[Mdl Qlty]:[Mdl Garage Area]])+Inventory[[#This Row],[Mdl Res Intercept]],-2)</f>
        <v>350400</v>
      </c>
      <c r="BB510" s="30">
        <f>ROUND(Inventory[[#This Row],[Mdl Land Intercept]]+Inventory[[#This Row],[Mdl LnAcres]],-2)</f>
        <v>65900</v>
      </c>
      <c r="BC510" s="30">
        <f>Inventory[[#This Row],[Unadj Res Value]]+Inventory[[#This Row],[Unadj Det Value]]+Inventory[[#This Row],[Unadj Land Value]]</f>
        <v>416300</v>
      </c>
      <c r="BD510" s="30">
        <f>(Inventory[[#This Row],[Unadj Total Value]]-Inventory[[#This Row],[24Final]])/Inventory[[#This Row],[24Final]]</f>
        <v>6.0415659739004347E-3</v>
      </c>
      <c r="BE510" s="30">
        <f>VLOOKUP(Inventory[[#This Row],[Nbhd]],Lookups!$M$3:$P$5,4,FALSE)</f>
        <v>0.99970000000000003</v>
      </c>
      <c r="BF510" s="30">
        <f>VLOOKUP(Inventory[[#This Row],[Qlty]],Lookups!$M$8:$P$22,4,FALSE)</f>
        <v>0.99819999999999998</v>
      </c>
      <c r="BG510" s="30">
        <f>VLOOKUP(Inventory[[#This Row],[Cnd]],Lookups!$R$8:$U$17,4,FALSE)</f>
        <v>0.997</v>
      </c>
      <c r="BH510" s="30">
        <f>VLOOKUP(Inventory[[#This Row],[LivArea Range]],Lookups!$R$25:$U$43,4,FALSE)</f>
        <v>1.0008999999999999</v>
      </c>
      <c r="BI510" s="30">
        <f>VLOOKUP(Inventory[[#This Row],[Decade]],Lookups!$M$24:$P$40,4,FALSE)</f>
        <v>1.0024</v>
      </c>
      <c r="BJ510" s="30">
        <f>Inventory[[#This Row],[Nbhd Adj]]*0.95</f>
        <v>0.94971499999999998</v>
      </c>
      <c r="BK510" s="30">
        <f>AVERAGE(Inventory[[#This Row],[Nbhd Adj]],Inventory[[#This Row],[Quality Adj]],Inventory[[#This Row],[Condition Adj]],Inventory[[#This Row],[Living Area Adj]],Inventory[[#This Row],[Decade Adj]])*0.95</f>
        <v>0.94965799999999989</v>
      </c>
      <c r="BL510" s="30">
        <f>ROUND((SUM(Inventory[[#This Row],[Mdl Qlty]:[Mdl Garage Area]])+Inventory[[#This Row],[Mdl Res Intercept]])*Inventory[[#This Row],[Res Adj ]],-2)</f>
        <v>332800</v>
      </c>
      <c r="BM510" s="30">
        <f>ROUND(Inventory[[#This Row],[25Det]]*Inventory[[#This Row],[Det/Nbhd Adj]],-2)</f>
        <v>0</v>
      </c>
      <c r="BN510" s="30">
        <f>Inventory[[#This Row],[Adjusted Res]]+Inventory[[#This Row],[Adj Det ]]</f>
        <v>332800</v>
      </c>
      <c r="BO510" s="30">
        <f>ROUND((Inventory[[#This Row],[Mdl Land Intercept]]+Inventory[[#This Row],[Mdl LnAcres]])*Inventory[[#This Row],[Det/Nbhd Adj]],-2)</f>
        <v>62500</v>
      </c>
      <c r="BP510" s="30">
        <f>Inventory[[#This Row],[Adjusted Impr Total]]+Inventory[[#This Row],[Adjusted Land Total]]</f>
        <v>395300</v>
      </c>
      <c r="BQ510" s="30">
        <f>IFERROR((Inventory[[#This Row],[Adjusted Impr Total]]-Inventory[[#This Row],[24Bldg]])/Inventory[[#This Row],[24Bldg]],0)</f>
        <v>-5.2661542840876742E-2</v>
      </c>
      <c r="BR510" s="43">
        <f>(Inventory[[#This Row],[Adjusted Land Total]]-Inventory[[#This Row],[24Lnd]])/Inventory[[#This Row],[24Lnd]]</f>
        <v>0</v>
      </c>
      <c r="BS510" s="43">
        <f>(Inventory[[#This Row],[Adjusted Total]]-Inventory[[#This Row],[24Final]])/Inventory[[#This Row],[24Final]]</f>
        <v>-4.470758820686322E-2</v>
      </c>
    </row>
    <row r="511" spans="1:71">
      <c r="A511" s="30">
        <v>2025</v>
      </c>
      <c r="B511" s="31" t="s">
        <v>1025</v>
      </c>
      <c r="C511" s="31">
        <f>LN(Inventory[[#This Row],[Acres]])</f>
        <v>-1.7147984280919266</v>
      </c>
      <c r="D511" s="30">
        <v>0.18</v>
      </c>
      <c r="E511" s="30">
        <v>7807</v>
      </c>
      <c r="F511" s="31" t="s">
        <v>505</v>
      </c>
      <c r="G511" s="31" t="s">
        <v>155</v>
      </c>
      <c r="H511" s="31" t="s">
        <v>5</v>
      </c>
      <c r="I511" s="31" t="s">
        <v>506</v>
      </c>
      <c r="J511" s="31" t="s">
        <v>507</v>
      </c>
      <c r="K511" s="31" t="s">
        <v>193</v>
      </c>
      <c r="L511" s="31" t="s">
        <v>19</v>
      </c>
      <c r="M511" s="31" t="s">
        <v>22</v>
      </c>
      <c r="N511" s="31">
        <v>10</v>
      </c>
      <c r="O511" s="31">
        <f>2024-Inventory[[#This Row],[YrBlt]]</f>
        <v>16</v>
      </c>
      <c r="P511" s="31">
        <f>2024-Inventory[[#This Row],[EffYr]]</f>
        <v>16</v>
      </c>
      <c r="Q511" s="30">
        <v>2008</v>
      </c>
      <c r="R511" s="30">
        <v>2008</v>
      </c>
      <c r="S511" s="30">
        <v>1212</v>
      </c>
      <c r="T511" s="32"/>
      <c r="U511" s="32"/>
      <c r="V511" s="32"/>
      <c r="W511" s="32"/>
      <c r="X511" s="32">
        <f>Inventory[[#This Row],[Bsmt Area]]-Inventory[[#This Row],[FnBsmt]]</f>
        <v>0</v>
      </c>
      <c r="Y511" s="32">
        <f>Inventory[[#This Row],[MainFn]]+Inventory[[#This Row],[UpprFn]]+Inventory[[#This Row],[AddFn]]+Inventory[[#This Row],[FnBsmt]]</f>
        <v>1212</v>
      </c>
      <c r="Z511" s="32">
        <v>1500</v>
      </c>
      <c r="AA511" s="31" t="s">
        <v>56</v>
      </c>
      <c r="AB511" s="37"/>
      <c r="AC511" s="30">
        <v>680</v>
      </c>
      <c r="AD511" s="32"/>
      <c r="AE511" s="32"/>
      <c r="AF511" s="32"/>
      <c r="AG511" s="32"/>
      <c r="AH511" s="32"/>
      <c r="AI511" s="30">
        <v>259395</v>
      </c>
      <c r="AJ511" s="30">
        <v>241237</v>
      </c>
      <c r="AK511" s="30">
        <v>0</v>
      </c>
      <c r="AL511" s="30">
        <v>0</v>
      </c>
      <c r="AM511" s="30">
        <v>62500</v>
      </c>
      <c r="AN511" s="30">
        <v>311100</v>
      </c>
      <c r="AO511" s="30">
        <v>373600</v>
      </c>
      <c r="AP511" s="30">
        <f>Lookups!$B$58*0.6</f>
        <v>132535.48800000001</v>
      </c>
      <c r="AQ511" s="30">
        <f>Lookups!$B$58*0.4</f>
        <v>88356.992000000013</v>
      </c>
      <c r="AR511" s="30">
        <f>Lookups!$B$59*Inventory[[#This Row],[LnAcres]]</f>
        <v>-22505.565020573864</v>
      </c>
      <c r="AS511" s="30">
        <f>VLOOKUP(Inventory[[#This Row],[Qlty]],Lookups!$A$66:$E$79,2,FALSE)</f>
        <v>37154.252388000001</v>
      </c>
      <c r="AT511" s="30">
        <f>VLOOKUP(Inventory[[#This Row],[Cnd]],Lookups!$A$80:$E$88,2,FALSE)</f>
        <v>50438.379078999998</v>
      </c>
      <c r="AU511" s="30">
        <f>Inventory[[#This Row],[EffAge]]*Lookups!$B$65</f>
        <v>-1739.8576</v>
      </c>
      <c r="AV511" s="30">
        <f>Inventory[[#This Row],[MainFn]]*Lookups!$B$90</f>
        <v>75641.380560000005</v>
      </c>
      <c r="AW511" s="30">
        <f>Inventory[[#This Row],[UpprFn]]*Lookups!$B$91</f>
        <v>0</v>
      </c>
      <c r="AX511" s="30">
        <f>Inventory[[#This Row],[Bsmt Area]]*Lookups!$B$95</f>
        <v>0</v>
      </c>
      <c r="AY511" s="30">
        <f>Inventory[[#This Row],[AttGar]]*Lookups!$B$93</f>
        <v>24004.701080000003</v>
      </c>
      <c r="AZ511" s="30">
        <f>ROUND(Inventory[[#This Row],[25Det]],-2)</f>
        <v>0</v>
      </c>
      <c r="BA511" s="30">
        <f>ROUND(SUM(Inventory[[#This Row],[Mdl Qlty]:[Mdl Garage Area]])+Inventory[[#This Row],[Mdl Res Intercept]],-2)</f>
        <v>318000</v>
      </c>
      <c r="BB511" s="30">
        <f>ROUND(Inventory[[#This Row],[Mdl Land Intercept]]+Inventory[[#This Row],[Mdl LnAcres]],-2)</f>
        <v>65900</v>
      </c>
      <c r="BC511" s="30">
        <f>Inventory[[#This Row],[Unadj Res Value]]+Inventory[[#This Row],[Unadj Det Value]]+Inventory[[#This Row],[Unadj Land Value]]</f>
        <v>383900</v>
      </c>
      <c r="BD511" s="30">
        <f>(Inventory[[#This Row],[Unadj Total Value]]-Inventory[[#This Row],[24Final]])/Inventory[[#This Row],[24Final]]</f>
        <v>2.7569593147751606E-2</v>
      </c>
      <c r="BE511" s="30">
        <f>VLOOKUP(Inventory[[#This Row],[Nbhd]],Lookups!$M$3:$P$5,4,FALSE)</f>
        <v>0.99970000000000003</v>
      </c>
      <c r="BF511" s="30">
        <f>VLOOKUP(Inventory[[#This Row],[Qlty]],Lookups!$M$8:$P$22,4,FALSE)</f>
        <v>0.99819999999999998</v>
      </c>
      <c r="BG511" s="30">
        <f>VLOOKUP(Inventory[[#This Row],[Cnd]],Lookups!$R$8:$U$17,4,FALSE)</f>
        <v>1.0007999999999999</v>
      </c>
      <c r="BH511" s="30">
        <f>VLOOKUP(Inventory[[#This Row],[LivArea Range]],Lookups!$R$25:$U$43,4,FALSE)</f>
        <v>0.99519999999999997</v>
      </c>
      <c r="BI511" s="30">
        <f>VLOOKUP(Inventory[[#This Row],[Decade]],Lookups!$M$24:$P$40,4,FALSE)</f>
        <v>1.0024</v>
      </c>
      <c r="BJ511" s="30">
        <f>Inventory[[#This Row],[Nbhd Adj]]*0.95</f>
        <v>0.94971499999999998</v>
      </c>
      <c r="BK511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511" s="30">
        <f>ROUND((SUM(Inventory[[#This Row],[Mdl Qlty]:[Mdl Garage Area]])+Inventory[[#This Row],[Mdl Res Intercept]])*Inventory[[#This Row],[Res Adj ]],-2)</f>
        <v>301900</v>
      </c>
      <c r="BM511" s="30">
        <f>ROUND(Inventory[[#This Row],[25Det]]*Inventory[[#This Row],[Det/Nbhd Adj]],-2)</f>
        <v>0</v>
      </c>
      <c r="BN511" s="30">
        <f>Inventory[[#This Row],[Adjusted Res]]+Inventory[[#This Row],[Adj Det ]]</f>
        <v>301900</v>
      </c>
      <c r="BO511" s="30">
        <f>ROUND((Inventory[[#This Row],[Mdl Land Intercept]]+Inventory[[#This Row],[Mdl LnAcres]])*Inventory[[#This Row],[Det/Nbhd Adj]],-2)</f>
        <v>62500</v>
      </c>
      <c r="BP511" s="30">
        <f>Inventory[[#This Row],[Adjusted Impr Total]]+Inventory[[#This Row],[Adjusted Land Total]]</f>
        <v>364400</v>
      </c>
      <c r="BQ511" s="30">
        <f>IFERROR((Inventory[[#This Row],[Adjusted Impr Total]]-Inventory[[#This Row],[24Bldg]])/Inventory[[#This Row],[24Bldg]],0)</f>
        <v>-2.9572484731597556E-2</v>
      </c>
      <c r="BR511" s="43">
        <f>(Inventory[[#This Row],[Adjusted Land Total]]-Inventory[[#This Row],[24Lnd]])/Inventory[[#This Row],[24Lnd]]</f>
        <v>0</v>
      </c>
      <c r="BS511" s="43">
        <f>(Inventory[[#This Row],[Adjusted Total]]-Inventory[[#This Row],[24Final]])/Inventory[[#This Row],[24Final]]</f>
        <v>-2.4625267665952889E-2</v>
      </c>
    </row>
    <row r="512" spans="1:71">
      <c r="A512" s="30">
        <v>2025</v>
      </c>
      <c r="B512" s="31" t="s">
        <v>1026</v>
      </c>
      <c r="C512" s="31">
        <f>LN(Inventory[[#This Row],[Acres]])</f>
        <v>-1.7147984280919266</v>
      </c>
      <c r="D512" s="30">
        <v>0.18</v>
      </c>
      <c r="E512" s="30">
        <v>7809</v>
      </c>
      <c r="F512" s="31" t="s">
        <v>505</v>
      </c>
      <c r="G512" s="31" t="s">
        <v>155</v>
      </c>
      <c r="H512" s="31" t="s">
        <v>5</v>
      </c>
      <c r="I512" s="31" t="s">
        <v>506</v>
      </c>
      <c r="J512" s="31" t="s">
        <v>507</v>
      </c>
      <c r="K512" s="31" t="s">
        <v>193</v>
      </c>
      <c r="L512" s="31" t="s">
        <v>19</v>
      </c>
      <c r="M512" s="31" t="s">
        <v>22</v>
      </c>
      <c r="N512" s="31">
        <v>10</v>
      </c>
      <c r="O512" s="31">
        <f>2024-Inventory[[#This Row],[YrBlt]]</f>
        <v>16</v>
      </c>
      <c r="P512" s="31">
        <f>2024-Inventory[[#This Row],[EffYr]]</f>
        <v>16</v>
      </c>
      <c r="Q512" s="30">
        <v>2008</v>
      </c>
      <c r="R512" s="30">
        <v>2008</v>
      </c>
      <c r="S512" s="30">
        <v>1380</v>
      </c>
      <c r="T512" s="32"/>
      <c r="U512" s="32"/>
      <c r="V512" s="32"/>
      <c r="W512" s="32"/>
      <c r="X512" s="32">
        <f>Inventory[[#This Row],[Bsmt Area]]-Inventory[[#This Row],[FnBsmt]]</f>
        <v>0</v>
      </c>
      <c r="Y512" s="32">
        <f>Inventory[[#This Row],[MainFn]]+Inventory[[#This Row],[UpprFn]]+Inventory[[#This Row],[AddFn]]+Inventory[[#This Row],[FnBsmt]]</f>
        <v>1380</v>
      </c>
      <c r="Z512" s="32">
        <v>1500</v>
      </c>
      <c r="AA512" s="31" t="s">
        <v>56</v>
      </c>
      <c r="AB512" s="32"/>
      <c r="AC512" s="30">
        <v>428</v>
      </c>
      <c r="AD512" s="32"/>
      <c r="AE512" s="32"/>
      <c r="AF512" s="32"/>
      <c r="AG512" s="32"/>
      <c r="AH512" s="32"/>
      <c r="AI512" s="30">
        <v>276046</v>
      </c>
      <c r="AJ512" s="30">
        <v>256723</v>
      </c>
      <c r="AK512" s="30">
        <v>0</v>
      </c>
      <c r="AL512" s="30">
        <v>0</v>
      </c>
      <c r="AM512" s="30">
        <v>62500</v>
      </c>
      <c r="AN512" s="30">
        <v>308700</v>
      </c>
      <c r="AO512" s="30">
        <v>371200</v>
      </c>
      <c r="AP512" s="30">
        <f>Lookups!$B$58*0.6</f>
        <v>132535.48800000001</v>
      </c>
      <c r="AQ512" s="30">
        <f>Lookups!$B$58*0.4</f>
        <v>88356.992000000013</v>
      </c>
      <c r="AR512" s="30">
        <f>Lookups!$B$59*Inventory[[#This Row],[LnAcres]]</f>
        <v>-22505.565020573864</v>
      </c>
      <c r="AS512" s="30">
        <f>VLOOKUP(Inventory[[#This Row],[Qlty]],Lookups!$A$66:$E$79,2,FALSE)</f>
        <v>37154.252388000001</v>
      </c>
      <c r="AT512" s="30">
        <f>VLOOKUP(Inventory[[#This Row],[Cnd]],Lookups!$A$80:$E$88,2,FALSE)</f>
        <v>50438.379078999998</v>
      </c>
      <c r="AU512" s="30">
        <f>Inventory[[#This Row],[EffAge]]*Lookups!$B$65</f>
        <v>-1739.8576</v>
      </c>
      <c r="AV512" s="30">
        <f>Inventory[[#This Row],[MainFn]]*Lookups!$B$90</f>
        <v>86126.324399999998</v>
      </c>
      <c r="AW512" s="30">
        <f>Inventory[[#This Row],[UpprFn]]*Lookups!$B$91</f>
        <v>0</v>
      </c>
      <c r="AX512" s="30">
        <f>Inventory[[#This Row],[Bsmt Area]]*Lookups!$B$95</f>
        <v>0</v>
      </c>
      <c r="AY512" s="30">
        <f>Inventory[[#This Row],[AttGar]]*Lookups!$B$93</f>
        <v>15108.841268</v>
      </c>
      <c r="AZ512" s="30">
        <f>ROUND(Inventory[[#This Row],[25Det]],-2)</f>
        <v>0</v>
      </c>
      <c r="BA512" s="30">
        <f>ROUND(SUM(Inventory[[#This Row],[Mdl Qlty]:[Mdl Garage Area]])+Inventory[[#This Row],[Mdl Res Intercept]],-2)</f>
        <v>319600</v>
      </c>
      <c r="BB512" s="30">
        <f>ROUND(Inventory[[#This Row],[Mdl Land Intercept]]+Inventory[[#This Row],[Mdl LnAcres]],-2)</f>
        <v>65900</v>
      </c>
      <c r="BC512" s="30">
        <f>Inventory[[#This Row],[Unadj Res Value]]+Inventory[[#This Row],[Unadj Det Value]]+Inventory[[#This Row],[Unadj Land Value]]</f>
        <v>385500</v>
      </c>
      <c r="BD512" s="30">
        <f>(Inventory[[#This Row],[Unadj Total Value]]-Inventory[[#This Row],[24Final]])/Inventory[[#This Row],[24Final]]</f>
        <v>3.8523706896551727E-2</v>
      </c>
      <c r="BE512" s="30">
        <f>VLOOKUP(Inventory[[#This Row],[Nbhd]],Lookups!$M$3:$P$5,4,FALSE)</f>
        <v>0.99970000000000003</v>
      </c>
      <c r="BF512" s="30">
        <f>VLOOKUP(Inventory[[#This Row],[Qlty]],Lookups!$M$8:$P$22,4,FALSE)</f>
        <v>0.99819999999999998</v>
      </c>
      <c r="BG512" s="30">
        <f>VLOOKUP(Inventory[[#This Row],[Cnd]],Lookups!$R$8:$U$17,4,FALSE)</f>
        <v>1.0007999999999999</v>
      </c>
      <c r="BH512" s="30">
        <f>VLOOKUP(Inventory[[#This Row],[LivArea Range]],Lookups!$R$25:$U$43,4,FALSE)</f>
        <v>0.99519999999999997</v>
      </c>
      <c r="BI512" s="30">
        <f>VLOOKUP(Inventory[[#This Row],[Decade]],Lookups!$M$24:$P$40,4,FALSE)</f>
        <v>1.0024</v>
      </c>
      <c r="BJ512" s="30">
        <f>Inventory[[#This Row],[Nbhd Adj]]*0.95</f>
        <v>0.94971499999999998</v>
      </c>
      <c r="BK512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512" s="30">
        <f>ROUND((SUM(Inventory[[#This Row],[Mdl Qlty]:[Mdl Garage Area]])+Inventory[[#This Row],[Mdl Res Intercept]])*Inventory[[#This Row],[Res Adj ]],-2)</f>
        <v>303400</v>
      </c>
      <c r="BM512" s="30">
        <f>ROUND(Inventory[[#This Row],[25Det]]*Inventory[[#This Row],[Det/Nbhd Adj]],-2)</f>
        <v>0</v>
      </c>
      <c r="BN512" s="30">
        <f>Inventory[[#This Row],[Adjusted Res]]+Inventory[[#This Row],[Adj Det ]]</f>
        <v>303400</v>
      </c>
      <c r="BO512" s="30">
        <f>ROUND((Inventory[[#This Row],[Mdl Land Intercept]]+Inventory[[#This Row],[Mdl LnAcres]])*Inventory[[#This Row],[Det/Nbhd Adj]],-2)</f>
        <v>62500</v>
      </c>
      <c r="BP512" s="30">
        <f>Inventory[[#This Row],[Adjusted Impr Total]]+Inventory[[#This Row],[Adjusted Land Total]]</f>
        <v>365900</v>
      </c>
      <c r="BQ512" s="30">
        <f>IFERROR((Inventory[[#This Row],[Adjusted Impr Total]]-Inventory[[#This Row],[24Bldg]])/Inventory[[#This Row],[24Bldg]],0)</f>
        <v>-1.7168772270813086E-2</v>
      </c>
      <c r="BR512" s="43">
        <f>(Inventory[[#This Row],[Adjusted Land Total]]-Inventory[[#This Row],[24Lnd]])/Inventory[[#This Row],[24Lnd]]</f>
        <v>0</v>
      </c>
      <c r="BS512" s="43">
        <f>(Inventory[[#This Row],[Adjusted Total]]-Inventory[[#This Row],[24Final]])/Inventory[[#This Row],[24Final]]</f>
        <v>-1.4278017241379311E-2</v>
      </c>
    </row>
    <row r="513" spans="1:71">
      <c r="A513" s="30">
        <v>2025</v>
      </c>
      <c r="B513" s="31" t="s">
        <v>1027</v>
      </c>
      <c r="C513" s="31">
        <f>LN(Inventory[[#This Row],[Acres]])</f>
        <v>-1.3470736479666092</v>
      </c>
      <c r="D513" s="30">
        <v>0.26</v>
      </c>
      <c r="E513" s="30">
        <v>11302</v>
      </c>
      <c r="F513" s="31" t="s">
        <v>505</v>
      </c>
      <c r="G513" s="31" t="s">
        <v>155</v>
      </c>
      <c r="H513" s="31" t="s">
        <v>5</v>
      </c>
      <c r="I513" s="31" t="s">
        <v>506</v>
      </c>
      <c r="J513" s="31" t="s">
        <v>507</v>
      </c>
      <c r="K513" s="31" t="s">
        <v>330</v>
      </c>
      <c r="L513" s="31" t="s">
        <v>21</v>
      </c>
      <c r="M513" s="31" t="s">
        <v>22</v>
      </c>
      <c r="N513" s="31">
        <v>10</v>
      </c>
      <c r="O513" s="31">
        <f>2024-Inventory[[#This Row],[YrBlt]]</f>
        <v>16</v>
      </c>
      <c r="P513" s="31">
        <f>2024-Inventory[[#This Row],[EffYr]]</f>
        <v>16</v>
      </c>
      <c r="Q513" s="30">
        <v>2008</v>
      </c>
      <c r="R513" s="30">
        <v>2008</v>
      </c>
      <c r="S513" s="30">
        <v>1173</v>
      </c>
      <c r="T513" s="38">
        <v>1322</v>
      </c>
      <c r="U513" s="32"/>
      <c r="V513" s="32"/>
      <c r="W513" s="32"/>
      <c r="X513" s="32">
        <f>Inventory[[#This Row],[Bsmt Area]]-Inventory[[#This Row],[FnBsmt]]</f>
        <v>0</v>
      </c>
      <c r="Y513" s="32">
        <f>Inventory[[#This Row],[MainFn]]+Inventory[[#This Row],[UpprFn]]+Inventory[[#This Row],[AddFn]]+Inventory[[#This Row],[FnBsmt]]</f>
        <v>2495</v>
      </c>
      <c r="Z513" s="32">
        <v>2500</v>
      </c>
      <c r="AA513" s="31" t="s">
        <v>56</v>
      </c>
      <c r="AB513" s="32"/>
      <c r="AC513" s="37"/>
      <c r="AD513" s="38">
        <v>488</v>
      </c>
      <c r="AE513" s="32"/>
      <c r="AF513" s="32"/>
      <c r="AG513" s="32"/>
      <c r="AH513" s="32"/>
      <c r="AI513" s="30">
        <v>478406</v>
      </c>
      <c r="AJ513" s="30">
        <v>444918</v>
      </c>
      <c r="AK513" s="30">
        <v>0</v>
      </c>
      <c r="AL513" s="30">
        <v>0</v>
      </c>
      <c r="AM513" s="30">
        <v>67600</v>
      </c>
      <c r="AN513" s="30">
        <v>369600</v>
      </c>
      <c r="AO513" s="30">
        <v>437200</v>
      </c>
      <c r="AP513" s="30">
        <f>Lookups!$B$58*0.6</f>
        <v>132535.48800000001</v>
      </c>
      <c r="AQ513" s="30">
        <f>Lookups!$B$58*0.4</f>
        <v>88356.992000000013</v>
      </c>
      <c r="AR513" s="30">
        <f>Lookups!$B$59*Inventory[[#This Row],[LnAcres]]</f>
        <v>-17679.426966554776</v>
      </c>
      <c r="AS513" s="30">
        <f>VLOOKUP(Inventory[[#This Row],[Qlty]],Lookups!$A$66:$E$79,2,FALSE)</f>
        <v>32917.849192000001</v>
      </c>
      <c r="AT513" s="30">
        <f>VLOOKUP(Inventory[[#This Row],[Cnd]],Lookups!$A$80:$E$88,2,FALSE)</f>
        <v>50438.379078999998</v>
      </c>
      <c r="AU513" s="30">
        <f>Inventory[[#This Row],[EffAge]]*Lookups!$B$65</f>
        <v>-1739.8576</v>
      </c>
      <c r="AV513" s="30">
        <f>Inventory[[#This Row],[MainFn]]*Lookups!$B$90</f>
        <v>73207.375740000003</v>
      </c>
      <c r="AW513" s="30">
        <f>Inventory[[#This Row],[UpprFn]]*Lookups!$B$91</f>
        <v>78765.266325999997</v>
      </c>
      <c r="AX513" s="30">
        <f>Inventory[[#This Row],[Bsmt Area]]*Lookups!$B$95</f>
        <v>0</v>
      </c>
      <c r="AY513" s="30">
        <f>Inventory[[#This Row],[AttGar]]*Lookups!$B$93</f>
        <v>0</v>
      </c>
      <c r="AZ513" s="30">
        <f>ROUND(Inventory[[#This Row],[25Det]],-2)</f>
        <v>0</v>
      </c>
      <c r="BA513" s="30">
        <f>ROUND(SUM(Inventory[[#This Row],[Mdl Qlty]:[Mdl Garage Area]])+Inventory[[#This Row],[Mdl Res Intercept]],-2)</f>
        <v>366100</v>
      </c>
      <c r="BB513" s="30">
        <f>ROUND(Inventory[[#This Row],[Mdl Land Intercept]]+Inventory[[#This Row],[Mdl LnAcres]],-2)</f>
        <v>70700</v>
      </c>
      <c r="BC513" s="30">
        <f>Inventory[[#This Row],[Unadj Res Value]]+Inventory[[#This Row],[Unadj Det Value]]+Inventory[[#This Row],[Unadj Land Value]]</f>
        <v>436800</v>
      </c>
      <c r="BD513" s="30">
        <f>(Inventory[[#This Row],[Unadj Total Value]]-Inventory[[#This Row],[24Final]])/Inventory[[#This Row],[24Final]]</f>
        <v>-9.1491308325709062E-4</v>
      </c>
      <c r="BE513" s="30">
        <f>VLOOKUP(Inventory[[#This Row],[Nbhd]],Lookups!$M$3:$P$5,4,FALSE)</f>
        <v>0.99970000000000003</v>
      </c>
      <c r="BF513" s="30">
        <f>VLOOKUP(Inventory[[#This Row],[Qlty]],Lookups!$M$8:$P$22,4,FALSE)</f>
        <v>1.0019</v>
      </c>
      <c r="BG513" s="30">
        <f>VLOOKUP(Inventory[[#This Row],[Cnd]],Lookups!$R$8:$U$17,4,FALSE)</f>
        <v>1.0007999999999999</v>
      </c>
      <c r="BH513" s="30">
        <f>VLOOKUP(Inventory[[#This Row],[LivArea Range]],Lookups!$R$25:$U$43,4,FALSE)</f>
        <v>1.0008999999999999</v>
      </c>
      <c r="BI513" s="30">
        <f>VLOOKUP(Inventory[[#This Row],[Decade]],Lookups!$M$24:$P$40,4,FALSE)</f>
        <v>1.0024</v>
      </c>
      <c r="BJ513" s="30">
        <f>Inventory[[#This Row],[Nbhd Adj]]*0.95</f>
        <v>0.94971499999999998</v>
      </c>
      <c r="BK513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513" s="30">
        <f>ROUND((SUM(Inventory[[#This Row],[Mdl Qlty]:[Mdl Garage Area]])+Inventory[[#This Row],[Mdl Res Intercept]])*Inventory[[#This Row],[Res Adj ]],-2)</f>
        <v>348200</v>
      </c>
      <c r="BM513" s="30">
        <f>ROUND(Inventory[[#This Row],[25Det]]*Inventory[[#This Row],[Det/Nbhd Adj]],-2)</f>
        <v>0</v>
      </c>
      <c r="BN513" s="30">
        <f>Inventory[[#This Row],[Adjusted Res]]+Inventory[[#This Row],[Adj Det ]]</f>
        <v>348200</v>
      </c>
      <c r="BO513" s="30">
        <f>ROUND((Inventory[[#This Row],[Mdl Land Intercept]]+Inventory[[#This Row],[Mdl LnAcres]])*Inventory[[#This Row],[Det/Nbhd Adj]],-2)</f>
        <v>67100</v>
      </c>
      <c r="BP513" s="30">
        <f>Inventory[[#This Row],[Adjusted Impr Total]]+Inventory[[#This Row],[Adjusted Land Total]]</f>
        <v>415300</v>
      </c>
      <c r="BQ513" s="30">
        <f>IFERROR((Inventory[[#This Row],[Adjusted Impr Total]]-Inventory[[#This Row],[24Bldg]])/Inventory[[#This Row],[24Bldg]],0)</f>
        <v>-5.7900432900432904E-2</v>
      </c>
      <c r="BR513" s="43">
        <f>(Inventory[[#This Row],[Adjusted Land Total]]-Inventory[[#This Row],[24Lnd]])/Inventory[[#This Row],[24Lnd]]</f>
        <v>-7.3964497041420114E-3</v>
      </c>
      <c r="BS513" s="43">
        <f>(Inventory[[#This Row],[Adjusted Total]]-Inventory[[#This Row],[24Final]])/Inventory[[#This Row],[24Final]]</f>
        <v>-5.0091491308325707E-2</v>
      </c>
    </row>
    <row r="514" spans="1:71">
      <c r="A514" s="30">
        <v>2025</v>
      </c>
      <c r="B514" s="31" t="s">
        <v>1028</v>
      </c>
      <c r="C514" s="31">
        <f>LN(Inventory[[#This Row],[Acres]])</f>
        <v>-0.41551544396166579</v>
      </c>
      <c r="D514" s="30">
        <v>0.66</v>
      </c>
      <c r="E514" s="30">
        <v>28891</v>
      </c>
      <c r="F514" s="31" t="s">
        <v>505</v>
      </c>
      <c r="G514" s="31" t="s">
        <v>155</v>
      </c>
      <c r="H514" s="31" t="s">
        <v>5</v>
      </c>
      <c r="I514" s="31" t="s">
        <v>506</v>
      </c>
      <c r="J514" s="31" t="s">
        <v>507</v>
      </c>
      <c r="K514" s="31" t="s">
        <v>473</v>
      </c>
      <c r="L514" s="31" t="s">
        <v>21</v>
      </c>
      <c r="M514" s="31" t="s">
        <v>22</v>
      </c>
      <c r="N514" s="31">
        <v>10</v>
      </c>
      <c r="O514" s="31">
        <f>2024-Inventory[[#This Row],[YrBlt]]</f>
        <v>16</v>
      </c>
      <c r="P514" s="31">
        <f>2024-Inventory[[#This Row],[EffYr]]</f>
        <v>16</v>
      </c>
      <c r="Q514" s="30">
        <v>2008</v>
      </c>
      <c r="R514" s="30">
        <v>2008</v>
      </c>
      <c r="S514" s="30">
        <v>1880</v>
      </c>
      <c r="T514" s="32"/>
      <c r="U514" s="32"/>
      <c r="V514" s="32"/>
      <c r="W514" s="32"/>
      <c r="X514" s="32">
        <f>Inventory[[#This Row],[Bsmt Area]]-Inventory[[#This Row],[FnBsmt]]</f>
        <v>0</v>
      </c>
      <c r="Y514" s="32">
        <f>Inventory[[#This Row],[MainFn]]+Inventory[[#This Row],[UpprFn]]+Inventory[[#This Row],[AddFn]]+Inventory[[#This Row],[FnBsmt]]</f>
        <v>1880</v>
      </c>
      <c r="Z514" s="32">
        <v>2000</v>
      </c>
      <c r="AA514" s="31" t="s">
        <v>56</v>
      </c>
      <c r="AB514" s="32"/>
      <c r="AC514" s="30">
        <v>484</v>
      </c>
      <c r="AD514" s="32"/>
      <c r="AE514" s="32"/>
      <c r="AF514" s="32"/>
      <c r="AG514" s="32"/>
      <c r="AH514" s="32"/>
      <c r="AI514" s="30">
        <v>428550</v>
      </c>
      <c r="AJ514" s="30">
        <v>398552</v>
      </c>
      <c r="AK514" s="30">
        <v>63780</v>
      </c>
      <c r="AL514" s="30">
        <v>0</v>
      </c>
      <c r="AM514" s="30">
        <v>80700</v>
      </c>
      <c r="AN514" s="30">
        <v>424000</v>
      </c>
      <c r="AO514" s="30">
        <v>504700</v>
      </c>
      <c r="AP514" s="30">
        <f>Lookups!$B$58*0.6</f>
        <v>132535.48800000001</v>
      </c>
      <c r="AQ514" s="30">
        <f>Lookups!$B$58*0.4</f>
        <v>88356.992000000013</v>
      </c>
      <c r="AR514" s="30">
        <f>Lookups!$B$59*Inventory[[#This Row],[LnAcres]]</f>
        <v>-5453.3580670104138</v>
      </c>
      <c r="AS514" s="30">
        <f>VLOOKUP(Inventory[[#This Row],[Qlty]],Lookups!$A$66:$E$79,2,FALSE)</f>
        <v>32917.849192000001</v>
      </c>
      <c r="AT514" s="30">
        <f>VLOOKUP(Inventory[[#This Row],[Cnd]],Lookups!$A$80:$E$88,2,FALSE)</f>
        <v>50438.379078999998</v>
      </c>
      <c r="AU514" s="30">
        <f>Inventory[[#This Row],[EffAge]]*Lookups!$B$65</f>
        <v>-1739.8576</v>
      </c>
      <c r="AV514" s="30">
        <f>Inventory[[#This Row],[MainFn]]*Lookups!$B$90</f>
        <v>117331.5144</v>
      </c>
      <c r="AW514" s="30">
        <f>Inventory[[#This Row],[UpprFn]]*Lookups!$B$91</f>
        <v>0</v>
      </c>
      <c r="AX514" s="30">
        <f>Inventory[[#This Row],[Bsmt Area]]*Lookups!$B$95</f>
        <v>0</v>
      </c>
      <c r="AY514" s="30">
        <f>Inventory[[#This Row],[AttGar]]*Lookups!$B$93</f>
        <v>17085.699004000002</v>
      </c>
      <c r="AZ514" s="30">
        <f>ROUND(Inventory[[#This Row],[25Det]],-2)</f>
        <v>63800</v>
      </c>
      <c r="BA514" s="30">
        <f>ROUND(SUM(Inventory[[#This Row],[Mdl Qlty]:[Mdl Garage Area]])+Inventory[[#This Row],[Mdl Res Intercept]],-2)</f>
        <v>348600</v>
      </c>
      <c r="BB514" s="30">
        <f>ROUND(Inventory[[#This Row],[Mdl Land Intercept]]+Inventory[[#This Row],[Mdl LnAcres]],-2)</f>
        <v>82900</v>
      </c>
      <c r="BC514" s="30">
        <f>Inventory[[#This Row],[Unadj Res Value]]+Inventory[[#This Row],[Unadj Det Value]]+Inventory[[#This Row],[Unadj Land Value]]</f>
        <v>495300</v>
      </c>
      <c r="BD514" s="30">
        <f>(Inventory[[#This Row],[Unadj Total Value]]-Inventory[[#This Row],[24Final]])/Inventory[[#This Row],[24Final]]</f>
        <v>-1.8624925698434713E-2</v>
      </c>
      <c r="BE514" s="30">
        <f>VLOOKUP(Inventory[[#This Row],[Nbhd]],Lookups!$M$3:$P$5,4,FALSE)</f>
        <v>0.99970000000000003</v>
      </c>
      <c r="BF514" s="30">
        <f>VLOOKUP(Inventory[[#This Row],[Qlty]],Lookups!$M$8:$P$22,4,FALSE)</f>
        <v>1.0019</v>
      </c>
      <c r="BG514" s="30">
        <f>VLOOKUP(Inventory[[#This Row],[Cnd]],Lookups!$R$8:$U$17,4,FALSE)</f>
        <v>1.0007999999999999</v>
      </c>
      <c r="BH514" s="30">
        <f>VLOOKUP(Inventory[[#This Row],[LivArea Range]],Lookups!$R$25:$U$43,4,FALSE)</f>
        <v>1.0007999999999999</v>
      </c>
      <c r="BI514" s="30">
        <f>VLOOKUP(Inventory[[#This Row],[Decade]],Lookups!$M$24:$P$40,4,FALSE)</f>
        <v>1.0024</v>
      </c>
      <c r="BJ514" s="30">
        <f>Inventory[[#This Row],[Nbhd Adj]]*0.95</f>
        <v>0.94971499999999998</v>
      </c>
      <c r="BK514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514" s="30">
        <f>ROUND((SUM(Inventory[[#This Row],[Mdl Qlty]:[Mdl Garage Area]])+Inventory[[#This Row],[Mdl Res Intercept]])*Inventory[[#This Row],[Res Adj ]],-2)</f>
        <v>331500</v>
      </c>
      <c r="BM514" s="30">
        <f>ROUND(Inventory[[#This Row],[25Det]]*Inventory[[#This Row],[Det/Nbhd Adj]],-2)</f>
        <v>60600</v>
      </c>
      <c r="BN514" s="30">
        <f>Inventory[[#This Row],[Adjusted Res]]+Inventory[[#This Row],[Adj Det ]]</f>
        <v>392100</v>
      </c>
      <c r="BO514" s="30">
        <f>ROUND((Inventory[[#This Row],[Mdl Land Intercept]]+Inventory[[#This Row],[Mdl LnAcres]])*Inventory[[#This Row],[Det/Nbhd Adj]],-2)</f>
        <v>78700</v>
      </c>
      <c r="BP514" s="30">
        <f>Inventory[[#This Row],[Adjusted Impr Total]]+Inventory[[#This Row],[Adjusted Land Total]]</f>
        <v>470800</v>
      </c>
      <c r="BQ514" s="30">
        <f>IFERROR((Inventory[[#This Row],[Adjusted Impr Total]]-Inventory[[#This Row],[24Bldg]])/Inventory[[#This Row],[24Bldg]],0)</f>
        <v>-7.5235849056603771E-2</v>
      </c>
      <c r="BR514" s="43">
        <f>(Inventory[[#This Row],[Adjusted Land Total]]-Inventory[[#This Row],[24Lnd]])/Inventory[[#This Row],[24Lnd]]</f>
        <v>-2.4783147459727387E-2</v>
      </c>
      <c r="BS514" s="43">
        <f>(Inventory[[#This Row],[Adjusted Total]]-Inventory[[#This Row],[24Final]])/Inventory[[#This Row],[24Final]]</f>
        <v>-6.7168615018823069E-2</v>
      </c>
    </row>
    <row r="515" spans="1:71">
      <c r="A515" s="30">
        <v>2025</v>
      </c>
      <c r="B515" s="31" t="s">
        <v>1029</v>
      </c>
      <c r="C515" s="31">
        <f>LN(Inventory[[#This Row],[Acres]])</f>
        <v>0.85441532815606758</v>
      </c>
      <c r="D515" s="30">
        <v>2.35</v>
      </c>
      <c r="E515" s="37"/>
      <c r="F515" s="31" t="s">
        <v>505</v>
      </c>
      <c r="G515" s="31" t="s">
        <v>155</v>
      </c>
      <c r="H515" s="31" t="s">
        <v>5</v>
      </c>
      <c r="I515" s="31" t="s">
        <v>506</v>
      </c>
      <c r="J515" s="31" t="s">
        <v>507</v>
      </c>
      <c r="K515" s="31" t="s">
        <v>193</v>
      </c>
      <c r="L515" s="31" t="s">
        <v>19</v>
      </c>
      <c r="M515" s="31" t="s">
        <v>20</v>
      </c>
      <c r="N515" s="31">
        <v>10</v>
      </c>
      <c r="O515" s="31">
        <f>2024-Inventory[[#This Row],[YrBlt]]</f>
        <v>16</v>
      </c>
      <c r="P515" s="31">
        <f>2024-Inventory[[#This Row],[EffYr]]</f>
        <v>16</v>
      </c>
      <c r="Q515" s="30">
        <v>2008</v>
      </c>
      <c r="R515" s="30">
        <v>2008</v>
      </c>
      <c r="S515" s="30">
        <v>2112</v>
      </c>
      <c r="T515" s="32"/>
      <c r="U515" s="32"/>
      <c r="V515" s="32"/>
      <c r="W515" s="32"/>
      <c r="X515" s="32">
        <f>Inventory[[#This Row],[Bsmt Area]]-Inventory[[#This Row],[FnBsmt]]</f>
        <v>0</v>
      </c>
      <c r="Y515" s="32">
        <f>Inventory[[#This Row],[MainFn]]+Inventory[[#This Row],[UpprFn]]+Inventory[[#This Row],[AddFn]]+Inventory[[#This Row],[FnBsmt]]</f>
        <v>2112</v>
      </c>
      <c r="Z515" s="32">
        <v>2500</v>
      </c>
      <c r="AA515" s="31" t="s">
        <v>56</v>
      </c>
      <c r="AB515" s="37"/>
      <c r="AC515" s="30">
        <v>528</v>
      </c>
      <c r="AD515" s="32"/>
      <c r="AE515" s="32"/>
      <c r="AF515" s="32"/>
      <c r="AG515" s="32"/>
      <c r="AH515" s="32"/>
      <c r="AI515" s="30">
        <v>401094</v>
      </c>
      <c r="AJ515" s="30">
        <v>369006</v>
      </c>
      <c r="AK515" s="30">
        <v>60077</v>
      </c>
      <c r="AL515" s="30">
        <v>0</v>
      </c>
      <c r="AM515" s="30">
        <v>98500</v>
      </c>
      <c r="AN515" s="30">
        <v>386700</v>
      </c>
      <c r="AO515" s="30">
        <v>485200</v>
      </c>
      <c r="AP515" s="30">
        <f>Lookups!$B$58*0.6</f>
        <v>132535.48800000001</v>
      </c>
      <c r="AQ515" s="30">
        <f>Lookups!$B$58*0.4</f>
        <v>88356.992000000013</v>
      </c>
      <c r="AR515" s="30">
        <f>Lookups!$B$59*Inventory[[#This Row],[LnAcres]]</f>
        <v>11213.621034040569</v>
      </c>
      <c r="AS515" s="30">
        <f>VLOOKUP(Inventory[[#This Row],[Qlty]],Lookups!$A$66:$E$79,2,FALSE)</f>
        <v>37154.252388000001</v>
      </c>
      <c r="AT515" s="30">
        <f>VLOOKUP(Inventory[[#This Row],[Cnd]],Lookups!$A$80:$E$88,2,FALSE)</f>
        <v>30300.329274</v>
      </c>
      <c r="AU515" s="30">
        <f>Inventory[[#This Row],[EffAge]]*Lookups!$B$65</f>
        <v>-1739.8576</v>
      </c>
      <c r="AV515" s="30">
        <f>Inventory[[#This Row],[MainFn]]*Lookups!$B$90</f>
        <v>131810.72255999999</v>
      </c>
      <c r="AW515" s="30">
        <f>Inventory[[#This Row],[UpprFn]]*Lookups!$B$91</f>
        <v>0</v>
      </c>
      <c r="AX515" s="30">
        <f>Inventory[[#This Row],[Bsmt Area]]*Lookups!$B$95</f>
        <v>0</v>
      </c>
      <c r="AY515" s="30">
        <f>Inventory[[#This Row],[AttGar]]*Lookups!$B$93</f>
        <v>18638.944368</v>
      </c>
      <c r="AZ515" s="30">
        <f>ROUND(Inventory[[#This Row],[25Det]],-2)</f>
        <v>60100</v>
      </c>
      <c r="BA515" s="30">
        <f>ROUND(SUM(Inventory[[#This Row],[Mdl Qlty]:[Mdl Garage Area]])+Inventory[[#This Row],[Mdl Res Intercept]],-2)</f>
        <v>348700</v>
      </c>
      <c r="BB515" s="30">
        <f>ROUND(Inventory[[#This Row],[Mdl Land Intercept]]+Inventory[[#This Row],[Mdl LnAcres]],-2)</f>
        <v>99600</v>
      </c>
      <c r="BC515" s="30">
        <f>Inventory[[#This Row],[Unadj Res Value]]+Inventory[[#This Row],[Unadj Det Value]]+Inventory[[#This Row],[Unadj Land Value]]</f>
        <v>508400</v>
      </c>
      <c r="BD515" s="30">
        <f>(Inventory[[#This Row],[Unadj Total Value]]-Inventory[[#This Row],[24Final]])/Inventory[[#This Row],[24Final]]</f>
        <v>4.7815333882934873E-2</v>
      </c>
      <c r="BE515" s="30">
        <f>VLOOKUP(Inventory[[#This Row],[Nbhd]],Lookups!$M$3:$P$5,4,FALSE)</f>
        <v>0.99970000000000003</v>
      </c>
      <c r="BF515" s="30">
        <f>VLOOKUP(Inventory[[#This Row],[Qlty]],Lookups!$M$8:$P$22,4,FALSE)</f>
        <v>0.99819999999999998</v>
      </c>
      <c r="BG515" s="30">
        <f>VLOOKUP(Inventory[[#This Row],[Cnd]],Lookups!$R$8:$U$17,4,FALSE)</f>
        <v>0.997</v>
      </c>
      <c r="BH515" s="30">
        <f>VLOOKUP(Inventory[[#This Row],[LivArea Range]],Lookups!$R$25:$U$43,4,FALSE)</f>
        <v>1.0008999999999999</v>
      </c>
      <c r="BI515" s="30">
        <f>VLOOKUP(Inventory[[#This Row],[Decade]],Lookups!$M$24:$P$40,4,FALSE)</f>
        <v>1.0024</v>
      </c>
      <c r="BJ515" s="30">
        <f>Inventory[[#This Row],[Nbhd Adj]]*0.95</f>
        <v>0.94971499999999998</v>
      </c>
      <c r="BK515" s="30">
        <f>AVERAGE(Inventory[[#This Row],[Nbhd Adj]],Inventory[[#This Row],[Quality Adj]],Inventory[[#This Row],[Condition Adj]],Inventory[[#This Row],[Living Area Adj]],Inventory[[#This Row],[Decade Adj]])*0.95</f>
        <v>0.94965799999999989</v>
      </c>
      <c r="BL515" s="30">
        <f>ROUND((SUM(Inventory[[#This Row],[Mdl Qlty]:[Mdl Garage Area]])+Inventory[[#This Row],[Mdl Res Intercept]])*Inventory[[#This Row],[Res Adj ]],-2)</f>
        <v>331100</v>
      </c>
      <c r="BM515" s="30">
        <f>ROUND(Inventory[[#This Row],[25Det]]*Inventory[[#This Row],[Det/Nbhd Adj]],-2)</f>
        <v>57100</v>
      </c>
      <c r="BN515" s="30">
        <f>Inventory[[#This Row],[Adjusted Res]]+Inventory[[#This Row],[Adj Det ]]</f>
        <v>388200</v>
      </c>
      <c r="BO515" s="30">
        <f>ROUND((Inventory[[#This Row],[Mdl Land Intercept]]+Inventory[[#This Row],[Mdl LnAcres]])*Inventory[[#This Row],[Det/Nbhd Adj]],-2)</f>
        <v>94600</v>
      </c>
      <c r="BP515" s="30">
        <f>Inventory[[#This Row],[Adjusted Impr Total]]+Inventory[[#This Row],[Adjusted Land Total]]</f>
        <v>482800</v>
      </c>
      <c r="BQ515" s="30">
        <f>IFERROR((Inventory[[#This Row],[Adjusted Impr Total]]-Inventory[[#This Row],[24Bldg]])/Inventory[[#This Row],[24Bldg]],0)</f>
        <v>3.8789759503491078E-3</v>
      </c>
      <c r="BR515" s="43">
        <f>(Inventory[[#This Row],[Adjusted Land Total]]-Inventory[[#This Row],[24Lnd]])/Inventory[[#This Row],[24Lnd]]</f>
        <v>-3.9593908629441621E-2</v>
      </c>
      <c r="BS515" s="43">
        <f>(Inventory[[#This Row],[Adjusted Total]]-Inventory[[#This Row],[24Final]])/Inventory[[#This Row],[24Final]]</f>
        <v>-4.9464138499587798E-3</v>
      </c>
    </row>
    <row r="516" spans="1:71">
      <c r="A516" s="30">
        <v>2025</v>
      </c>
      <c r="B516" s="31" t="s">
        <v>1030</v>
      </c>
      <c r="C516" s="31">
        <f>LN(Inventory[[#This Row],[Acres]])</f>
        <v>-1.8971199848858813</v>
      </c>
      <c r="D516" s="30">
        <v>0.15</v>
      </c>
      <c r="E516" s="30">
        <v>6697</v>
      </c>
      <c r="F516" s="31" t="s">
        <v>505</v>
      </c>
      <c r="G516" s="31" t="s">
        <v>155</v>
      </c>
      <c r="H516" s="31" t="s">
        <v>5</v>
      </c>
      <c r="I516" s="31" t="s">
        <v>506</v>
      </c>
      <c r="J516" s="31" t="s">
        <v>507</v>
      </c>
      <c r="K516" s="31" t="s">
        <v>157</v>
      </c>
      <c r="L516" s="31" t="s">
        <v>21</v>
      </c>
      <c r="M516" s="31" t="s">
        <v>20</v>
      </c>
      <c r="N516" s="31">
        <v>10</v>
      </c>
      <c r="O516" s="31">
        <f>2024-Inventory[[#This Row],[YrBlt]]</f>
        <v>17</v>
      </c>
      <c r="P516" s="31">
        <f>2024-Inventory[[#This Row],[EffYr]]</f>
        <v>17</v>
      </c>
      <c r="Q516" s="30">
        <v>2007</v>
      </c>
      <c r="R516" s="30">
        <v>2007</v>
      </c>
      <c r="S516" s="30">
        <v>909</v>
      </c>
      <c r="T516" s="38">
        <v>1085</v>
      </c>
      <c r="U516" s="32"/>
      <c r="V516" s="32"/>
      <c r="W516" s="32"/>
      <c r="X516" s="32">
        <f>Inventory[[#This Row],[Bsmt Area]]-Inventory[[#This Row],[FnBsmt]]</f>
        <v>0</v>
      </c>
      <c r="Y516" s="32">
        <f>Inventory[[#This Row],[MainFn]]+Inventory[[#This Row],[UpprFn]]+Inventory[[#This Row],[AddFn]]+Inventory[[#This Row],[FnBsmt]]</f>
        <v>1994</v>
      </c>
      <c r="Z516" s="32">
        <v>2000</v>
      </c>
      <c r="AA516" s="31" t="s">
        <v>56</v>
      </c>
      <c r="AB516" s="38">
        <v>1</v>
      </c>
      <c r="AC516" s="37"/>
      <c r="AD516" s="38">
        <v>420</v>
      </c>
      <c r="AE516" s="32"/>
      <c r="AF516" s="32"/>
      <c r="AG516" s="32"/>
      <c r="AH516" s="32"/>
      <c r="AI516" s="30">
        <v>404166</v>
      </c>
      <c r="AJ516" s="30">
        <v>371833</v>
      </c>
      <c r="AK516" s="30">
        <v>0</v>
      </c>
      <c r="AL516" s="30">
        <v>0</v>
      </c>
      <c r="AM516" s="30">
        <v>59900</v>
      </c>
      <c r="AN516" s="30">
        <v>321600</v>
      </c>
      <c r="AO516" s="30">
        <v>381500</v>
      </c>
      <c r="AP516" s="30">
        <f>Lookups!$B$58*0.6</f>
        <v>132535.48800000001</v>
      </c>
      <c r="AQ516" s="30">
        <f>Lookups!$B$58*0.4</f>
        <v>88356.992000000013</v>
      </c>
      <c r="AR516" s="30">
        <f>Lookups!$B$59*Inventory[[#This Row],[LnAcres]]</f>
        <v>-24898.411657157456</v>
      </c>
      <c r="AS516" s="30">
        <f>VLOOKUP(Inventory[[#This Row],[Qlty]],Lookups!$A$66:$E$79,2,FALSE)</f>
        <v>32917.849192000001</v>
      </c>
      <c r="AT516" s="30">
        <f>VLOOKUP(Inventory[[#This Row],[Cnd]],Lookups!$A$80:$E$88,2,FALSE)</f>
        <v>30300.329274</v>
      </c>
      <c r="AU516" s="30">
        <f>Inventory[[#This Row],[EffAge]]*Lookups!$B$65</f>
        <v>-1848.5987</v>
      </c>
      <c r="AV516" s="30">
        <f>Inventory[[#This Row],[MainFn]]*Lookups!$B$90</f>
        <v>56731.03542</v>
      </c>
      <c r="AW516" s="30">
        <f>Inventory[[#This Row],[UpprFn]]*Lookups!$B$91</f>
        <v>64644.715554999995</v>
      </c>
      <c r="AX516" s="30">
        <f>Inventory[[#This Row],[Bsmt Area]]*Lookups!$B$95</f>
        <v>0</v>
      </c>
      <c r="AY516" s="30">
        <f>Inventory[[#This Row],[AttGar]]*Lookups!$B$93</f>
        <v>0</v>
      </c>
      <c r="AZ516" s="30">
        <f>ROUND(Inventory[[#This Row],[25Det]],-2)</f>
        <v>0</v>
      </c>
      <c r="BA516" s="30">
        <f>ROUND(SUM(Inventory[[#This Row],[Mdl Qlty]:[Mdl Garage Area]])+Inventory[[#This Row],[Mdl Res Intercept]],-2)</f>
        <v>315300</v>
      </c>
      <c r="BB516" s="30">
        <f>ROUND(Inventory[[#This Row],[Mdl Land Intercept]]+Inventory[[#This Row],[Mdl LnAcres]],-2)</f>
        <v>63500</v>
      </c>
      <c r="BC516" s="30">
        <f>Inventory[[#This Row],[Unadj Res Value]]+Inventory[[#This Row],[Unadj Det Value]]+Inventory[[#This Row],[Unadj Land Value]]</f>
        <v>378800</v>
      </c>
      <c r="BD516" s="30">
        <f>(Inventory[[#This Row],[Unadj Total Value]]-Inventory[[#This Row],[24Final]])/Inventory[[#This Row],[24Final]]</f>
        <v>-7.0773263433813894E-3</v>
      </c>
      <c r="BE516" s="30">
        <f>VLOOKUP(Inventory[[#This Row],[Nbhd]],Lookups!$M$3:$P$5,4,FALSE)</f>
        <v>0.99970000000000003</v>
      </c>
      <c r="BF516" s="30">
        <f>VLOOKUP(Inventory[[#This Row],[Qlty]],Lookups!$M$8:$P$22,4,FALSE)</f>
        <v>1.0019</v>
      </c>
      <c r="BG516" s="30">
        <f>VLOOKUP(Inventory[[#This Row],[Cnd]],Lookups!$R$8:$U$17,4,FALSE)</f>
        <v>0.997</v>
      </c>
      <c r="BH516" s="30">
        <f>VLOOKUP(Inventory[[#This Row],[LivArea Range]],Lookups!$R$25:$U$43,4,FALSE)</f>
        <v>1.0007999999999999</v>
      </c>
      <c r="BI516" s="30">
        <f>VLOOKUP(Inventory[[#This Row],[Decade]],Lookups!$M$24:$P$40,4,FALSE)</f>
        <v>1.0024</v>
      </c>
      <c r="BJ516" s="30">
        <f>Inventory[[#This Row],[Nbhd Adj]]*0.95</f>
        <v>0.94971499999999998</v>
      </c>
      <c r="BK516" s="30">
        <f>AVERAGE(Inventory[[#This Row],[Nbhd Adj]],Inventory[[#This Row],[Quality Adj]],Inventory[[#This Row],[Condition Adj]],Inventory[[#This Row],[Living Area Adj]],Inventory[[#This Row],[Decade Adj]])*0.95</f>
        <v>0.95034199999999991</v>
      </c>
      <c r="BL516" s="30">
        <f>ROUND((SUM(Inventory[[#This Row],[Mdl Qlty]:[Mdl Garage Area]])+Inventory[[#This Row],[Mdl Res Intercept]])*Inventory[[#This Row],[Res Adj ]],-2)</f>
        <v>299600</v>
      </c>
      <c r="BM516" s="30">
        <f>ROUND(Inventory[[#This Row],[25Det]]*Inventory[[#This Row],[Det/Nbhd Adj]],-2)</f>
        <v>0</v>
      </c>
      <c r="BN516" s="30">
        <f>Inventory[[#This Row],[Adjusted Res]]+Inventory[[#This Row],[Adj Det ]]</f>
        <v>299600</v>
      </c>
      <c r="BO516" s="30">
        <f>ROUND((Inventory[[#This Row],[Mdl Land Intercept]]+Inventory[[#This Row],[Mdl LnAcres]])*Inventory[[#This Row],[Det/Nbhd Adj]],-2)</f>
        <v>60300</v>
      </c>
      <c r="BP516" s="30">
        <f>Inventory[[#This Row],[Adjusted Impr Total]]+Inventory[[#This Row],[Adjusted Land Total]]</f>
        <v>359900</v>
      </c>
      <c r="BQ516" s="30">
        <f>IFERROR((Inventory[[#This Row],[Adjusted Impr Total]]-Inventory[[#This Row],[24Bldg]])/Inventory[[#This Row],[24Bldg]],0)</f>
        <v>-6.8407960199004969E-2</v>
      </c>
      <c r="BR516" s="43">
        <f>(Inventory[[#This Row],[Adjusted Land Total]]-Inventory[[#This Row],[24Lnd]])/Inventory[[#This Row],[24Lnd]]</f>
        <v>6.6777963272120202E-3</v>
      </c>
      <c r="BS516" s="43">
        <f>(Inventory[[#This Row],[Adjusted Total]]-Inventory[[#This Row],[24Final]])/Inventory[[#This Row],[24Final]]</f>
        <v>-5.6618610747051115E-2</v>
      </c>
    </row>
    <row r="517" spans="1:71">
      <c r="A517" s="30">
        <v>2025</v>
      </c>
      <c r="B517" s="31" t="s">
        <v>1031</v>
      </c>
      <c r="C517" s="31">
        <f>LN(Inventory[[#This Row],[Acres]])</f>
        <v>-1.8325814637483102</v>
      </c>
      <c r="D517" s="30">
        <v>0.16</v>
      </c>
      <c r="E517" s="30">
        <v>7000</v>
      </c>
      <c r="F517" s="31" t="s">
        <v>505</v>
      </c>
      <c r="G517" s="31" t="s">
        <v>155</v>
      </c>
      <c r="H517" s="31" t="s">
        <v>5</v>
      </c>
      <c r="I517" s="31" t="s">
        <v>506</v>
      </c>
      <c r="J517" s="31" t="s">
        <v>507</v>
      </c>
      <c r="K517" s="31" t="s">
        <v>157</v>
      </c>
      <c r="L517" s="31" t="s">
        <v>23</v>
      </c>
      <c r="M517" s="31" t="s">
        <v>22</v>
      </c>
      <c r="N517" s="31">
        <v>10</v>
      </c>
      <c r="O517" s="31">
        <f>2024-Inventory[[#This Row],[YrBlt]]</f>
        <v>17</v>
      </c>
      <c r="P517" s="31">
        <f>2024-Inventory[[#This Row],[EffYr]]</f>
        <v>17</v>
      </c>
      <c r="Q517" s="30">
        <v>2007</v>
      </c>
      <c r="R517" s="30">
        <v>2007</v>
      </c>
      <c r="S517" s="30">
        <v>1158</v>
      </c>
      <c r="T517" s="38">
        <v>1318</v>
      </c>
      <c r="U517" s="32"/>
      <c r="V517" s="32"/>
      <c r="W517" s="32"/>
      <c r="X517" s="32">
        <f>Inventory[[#This Row],[Bsmt Area]]-Inventory[[#This Row],[FnBsmt]]</f>
        <v>0</v>
      </c>
      <c r="Y517" s="32">
        <f>Inventory[[#This Row],[MainFn]]+Inventory[[#This Row],[UpprFn]]+Inventory[[#This Row],[AddFn]]+Inventory[[#This Row],[FnBsmt]]</f>
        <v>2476</v>
      </c>
      <c r="Z517" s="32">
        <v>2500</v>
      </c>
      <c r="AA517" s="31" t="s">
        <v>57</v>
      </c>
      <c r="AB517" s="38">
        <v>1</v>
      </c>
      <c r="AC517" s="30">
        <v>300</v>
      </c>
      <c r="AD517" s="38">
        <v>502</v>
      </c>
      <c r="AE517" s="32"/>
      <c r="AF517" s="32"/>
      <c r="AG517" s="32"/>
      <c r="AH517" s="32"/>
      <c r="AI517" s="30">
        <v>591420</v>
      </c>
      <c r="AJ517" s="30">
        <v>555935</v>
      </c>
      <c r="AK517" s="30">
        <v>0</v>
      </c>
      <c r="AL517" s="30">
        <v>0</v>
      </c>
      <c r="AM517" s="30">
        <v>60800</v>
      </c>
      <c r="AN517" s="30">
        <v>448500</v>
      </c>
      <c r="AO517" s="30">
        <v>509300</v>
      </c>
      <c r="AP517" s="30">
        <f>Lookups!$B$58*0.6</f>
        <v>132535.48800000001</v>
      </c>
      <c r="AQ517" s="30">
        <f>Lookups!$B$58*0.4</f>
        <v>88356.992000000013</v>
      </c>
      <c r="AR517" s="30">
        <f>Lookups!$B$59*Inventory[[#This Row],[LnAcres]]</f>
        <v>-24051.387388882686</v>
      </c>
      <c r="AS517" s="30">
        <f>VLOOKUP(Inventory[[#This Row],[Qlty]],Lookups!$A$66:$E$79,2,FALSE)</f>
        <v>39366.494398000003</v>
      </c>
      <c r="AT517" s="30">
        <f>VLOOKUP(Inventory[[#This Row],[Cnd]],Lookups!$A$80:$E$88,2,FALSE)</f>
        <v>50438.379078999998</v>
      </c>
      <c r="AU517" s="30">
        <f>Inventory[[#This Row],[EffAge]]*Lookups!$B$65</f>
        <v>-1848.5987</v>
      </c>
      <c r="AV517" s="30">
        <f>Inventory[[#This Row],[MainFn]]*Lookups!$B$90</f>
        <v>72271.22004</v>
      </c>
      <c r="AW517" s="30">
        <f>Inventory[[#This Row],[UpprFn]]*Lookups!$B$91</f>
        <v>78526.944793999995</v>
      </c>
      <c r="AX517" s="30">
        <f>Inventory[[#This Row],[Bsmt Area]]*Lookups!$B$95</f>
        <v>0</v>
      </c>
      <c r="AY517" s="30">
        <f>Inventory[[#This Row],[AttGar]]*Lookups!$B$93</f>
        <v>10590.309300000001</v>
      </c>
      <c r="AZ517" s="30">
        <f>ROUND(Inventory[[#This Row],[25Det]],-2)</f>
        <v>0</v>
      </c>
      <c r="BA517" s="30">
        <f>ROUND(SUM(Inventory[[#This Row],[Mdl Qlty]:[Mdl Garage Area]])+Inventory[[#This Row],[Mdl Res Intercept]],-2)</f>
        <v>381900</v>
      </c>
      <c r="BB517" s="30">
        <f>ROUND(Inventory[[#This Row],[Mdl Land Intercept]]+Inventory[[#This Row],[Mdl LnAcres]],-2)</f>
        <v>64300</v>
      </c>
      <c r="BC517" s="30">
        <f>Inventory[[#This Row],[Unadj Res Value]]+Inventory[[#This Row],[Unadj Det Value]]+Inventory[[#This Row],[Unadj Land Value]]</f>
        <v>446200</v>
      </c>
      <c r="BD517" s="30">
        <f>(Inventory[[#This Row],[Unadj Total Value]]-Inventory[[#This Row],[24Final]])/Inventory[[#This Row],[24Final]]</f>
        <v>-0.12389554290202238</v>
      </c>
      <c r="BE517" s="30">
        <f>VLOOKUP(Inventory[[#This Row],[Nbhd]],Lookups!$M$3:$P$5,4,FALSE)</f>
        <v>0.99970000000000003</v>
      </c>
      <c r="BF517" s="30">
        <f>VLOOKUP(Inventory[[#This Row],[Qlty]],Lookups!$M$8:$P$22,4,FALSE)</f>
        <v>0.99980000000000002</v>
      </c>
      <c r="BG517" s="30">
        <f>VLOOKUP(Inventory[[#This Row],[Cnd]],Lookups!$R$8:$U$17,4,FALSE)</f>
        <v>1.0007999999999999</v>
      </c>
      <c r="BH517" s="30">
        <f>VLOOKUP(Inventory[[#This Row],[LivArea Range]],Lookups!$R$25:$U$43,4,FALSE)</f>
        <v>1.0008999999999999</v>
      </c>
      <c r="BI517" s="30">
        <f>VLOOKUP(Inventory[[#This Row],[Decade]],Lookups!$M$24:$P$40,4,FALSE)</f>
        <v>1.0024</v>
      </c>
      <c r="BJ517" s="30">
        <f>Inventory[[#This Row],[Nbhd Adj]]*0.95</f>
        <v>0.94971499999999998</v>
      </c>
      <c r="BK517" s="30">
        <f>AVERAGE(Inventory[[#This Row],[Nbhd Adj]],Inventory[[#This Row],[Quality Adj]],Inventory[[#This Row],[Condition Adj]],Inventory[[#This Row],[Living Area Adj]],Inventory[[#This Row],[Decade Adj]])*0.95</f>
        <v>0.95068399999999975</v>
      </c>
      <c r="BL517" s="30">
        <f>ROUND((SUM(Inventory[[#This Row],[Mdl Qlty]:[Mdl Garage Area]])+Inventory[[#This Row],[Mdl Res Intercept]])*Inventory[[#This Row],[Res Adj ]],-2)</f>
        <v>363000</v>
      </c>
      <c r="BM517" s="30">
        <f>ROUND(Inventory[[#This Row],[25Det]]*Inventory[[#This Row],[Det/Nbhd Adj]],-2)</f>
        <v>0</v>
      </c>
      <c r="BN517" s="30">
        <f>Inventory[[#This Row],[Adjusted Res]]+Inventory[[#This Row],[Adj Det ]]</f>
        <v>363000</v>
      </c>
      <c r="BO517" s="30">
        <f>ROUND((Inventory[[#This Row],[Mdl Land Intercept]]+Inventory[[#This Row],[Mdl LnAcres]])*Inventory[[#This Row],[Det/Nbhd Adj]],-2)</f>
        <v>61100</v>
      </c>
      <c r="BP517" s="30">
        <f>Inventory[[#This Row],[Adjusted Impr Total]]+Inventory[[#This Row],[Adjusted Land Total]]</f>
        <v>424100</v>
      </c>
      <c r="BQ517" s="30">
        <f>IFERROR((Inventory[[#This Row],[Adjusted Impr Total]]-Inventory[[#This Row],[24Bldg]])/Inventory[[#This Row],[24Bldg]],0)</f>
        <v>-0.19063545150501673</v>
      </c>
      <c r="BR517" s="43">
        <f>(Inventory[[#This Row],[Adjusted Land Total]]-Inventory[[#This Row],[24Lnd]])/Inventory[[#This Row],[24Lnd]]</f>
        <v>4.9342105263157892E-3</v>
      </c>
      <c r="BS517" s="43">
        <f>(Inventory[[#This Row],[Adjusted Total]]-Inventory[[#This Row],[24Final]])/Inventory[[#This Row],[24Final]]</f>
        <v>-0.16728843510700961</v>
      </c>
    </row>
    <row r="518" spans="1:71">
      <c r="A518" s="30">
        <v>2025</v>
      </c>
      <c r="B518" s="31" t="s">
        <v>1032</v>
      </c>
      <c r="C518" s="31">
        <f>LN(Inventory[[#This Row],[Acres]])</f>
        <v>-1.8325814637483102</v>
      </c>
      <c r="D518" s="30">
        <v>0.16</v>
      </c>
      <c r="E518" s="30">
        <v>7000</v>
      </c>
      <c r="F518" s="31" t="s">
        <v>505</v>
      </c>
      <c r="G518" s="31" t="s">
        <v>155</v>
      </c>
      <c r="H518" s="31" t="s">
        <v>5</v>
      </c>
      <c r="I518" s="31" t="s">
        <v>506</v>
      </c>
      <c r="J518" s="31" t="s">
        <v>507</v>
      </c>
      <c r="K518" s="31" t="s">
        <v>157</v>
      </c>
      <c r="L518" s="31" t="s">
        <v>21</v>
      </c>
      <c r="M518" s="31" t="s">
        <v>20</v>
      </c>
      <c r="N518" s="31">
        <v>10</v>
      </c>
      <c r="O518" s="31">
        <f>2024-Inventory[[#This Row],[YrBlt]]</f>
        <v>17</v>
      </c>
      <c r="P518" s="31">
        <f>2024-Inventory[[#This Row],[EffYr]]</f>
        <v>17</v>
      </c>
      <c r="Q518" s="30">
        <v>2007</v>
      </c>
      <c r="R518" s="30">
        <v>2007</v>
      </c>
      <c r="S518" s="30">
        <v>1158</v>
      </c>
      <c r="T518" s="30">
        <v>1318</v>
      </c>
      <c r="U518" s="32"/>
      <c r="V518" s="32"/>
      <c r="W518" s="32"/>
      <c r="X518" s="32">
        <f>Inventory[[#This Row],[Bsmt Area]]-Inventory[[#This Row],[FnBsmt]]</f>
        <v>0</v>
      </c>
      <c r="Y518" s="32">
        <f>Inventory[[#This Row],[MainFn]]+Inventory[[#This Row],[UpprFn]]+Inventory[[#This Row],[AddFn]]+Inventory[[#This Row],[FnBsmt]]</f>
        <v>2476</v>
      </c>
      <c r="Z518" s="32">
        <v>2500</v>
      </c>
      <c r="AA518" s="31" t="s">
        <v>57</v>
      </c>
      <c r="AB518" s="30">
        <v>1</v>
      </c>
      <c r="AC518" s="30">
        <v>300</v>
      </c>
      <c r="AD518" s="38">
        <v>502</v>
      </c>
      <c r="AE518" s="32"/>
      <c r="AF518" s="32"/>
      <c r="AG518" s="32"/>
      <c r="AH518" s="32"/>
      <c r="AI518" s="30">
        <v>530530</v>
      </c>
      <c r="AJ518" s="30">
        <v>488088</v>
      </c>
      <c r="AK518" s="30">
        <v>0</v>
      </c>
      <c r="AL518" s="30">
        <v>0</v>
      </c>
      <c r="AM518" s="30">
        <v>60800</v>
      </c>
      <c r="AN518" s="30">
        <v>404500</v>
      </c>
      <c r="AO518" s="30">
        <v>465300</v>
      </c>
      <c r="AP518" s="30">
        <f>Lookups!$B$58*0.6</f>
        <v>132535.48800000001</v>
      </c>
      <c r="AQ518" s="30">
        <f>Lookups!$B$58*0.4</f>
        <v>88356.992000000013</v>
      </c>
      <c r="AR518" s="30">
        <f>Lookups!$B$59*Inventory[[#This Row],[LnAcres]]</f>
        <v>-24051.387388882686</v>
      </c>
      <c r="AS518" s="30">
        <f>VLOOKUP(Inventory[[#This Row],[Qlty]],Lookups!$A$66:$E$79,2,FALSE)</f>
        <v>32917.849192000001</v>
      </c>
      <c r="AT518" s="30">
        <f>VLOOKUP(Inventory[[#This Row],[Cnd]],Lookups!$A$80:$E$88,2,FALSE)</f>
        <v>30300.329274</v>
      </c>
      <c r="AU518" s="30">
        <f>Inventory[[#This Row],[EffAge]]*Lookups!$B$65</f>
        <v>-1848.5987</v>
      </c>
      <c r="AV518" s="30">
        <f>Inventory[[#This Row],[MainFn]]*Lookups!$B$90</f>
        <v>72271.22004</v>
      </c>
      <c r="AW518" s="30">
        <f>Inventory[[#This Row],[UpprFn]]*Lookups!$B$91</f>
        <v>78526.944793999995</v>
      </c>
      <c r="AX518" s="30">
        <f>Inventory[[#This Row],[Bsmt Area]]*Lookups!$B$95</f>
        <v>0</v>
      </c>
      <c r="AY518" s="30">
        <f>Inventory[[#This Row],[AttGar]]*Lookups!$B$93</f>
        <v>10590.309300000001</v>
      </c>
      <c r="AZ518" s="30">
        <f>ROUND(Inventory[[#This Row],[25Det]],-2)</f>
        <v>0</v>
      </c>
      <c r="BA518" s="30">
        <f>ROUND(SUM(Inventory[[#This Row],[Mdl Qlty]:[Mdl Garage Area]])+Inventory[[#This Row],[Mdl Res Intercept]],-2)</f>
        <v>355300</v>
      </c>
      <c r="BB518" s="30">
        <f>ROUND(Inventory[[#This Row],[Mdl Land Intercept]]+Inventory[[#This Row],[Mdl LnAcres]],-2)</f>
        <v>64300</v>
      </c>
      <c r="BC518" s="30">
        <f>Inventory[[#This Row],[Unadj Res Value]]+Inventory[[#This Row],[Unadj Det Value]]+Inventory[[#This Row],[Unadj Land Value]]</f>
        <v>419600</v>
      </c>
      <c r="BD518" s="30">
        <f>(Inventory[[#This Row],[Unadj Total Value]]-Inventory[[#This Row],[24Final]])/Inventory[[#This Row],[24Final]]</f>
        <v>-9.8216204599183329E-2</v>
      </c>
      <c r="BE518" s="30">
        <f>VLOOKUP(Inventory[[#This Row],[Nbhd]],Lookups!$M$3:$P$5,4,FALSE)</f>
        <v>0.99970000000000003</v>
      </c>
      <c r="BF518" s="30">
        <f>VLOOKUP(Inventory[[#This Row],[Qlty]],Lookups!$M$8:$P$22,4,FALSE)</f>
        <v>1.0019</v>
      </c>
      <c r="BG518" s="30">
        <f>VLOOKUP(Inventory[[#This Row],[Cnd]],Lookups!$R$8:$U$17,4,FALSE)</f>
        <v>0.997</v>
      </c>
      <c r="BH518" s="30">
        <f>VLOOKUP(Inventory[[#This Row],[LivArea Range]],Lookups!$R$25:$U$43,4,FALSE)</f>
        <v>1.0008999999999999</v>
      </c>
      <c r="BI518" s="30">
        <f>VLOOKUP(Inventory[[#This Row],[Decade]],Lookups!$M$24:$P$40,4,FALSE)</f>
        <v>1.0024</v>
      </c>
      <c r="BJ518" s="30">
        <f>Inventory[[#This Row],[Nbhd Adj]]*0.95</f>
        <v>0.94971499999999998</v>
      </c>
      <c r="BK518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518" s="30">
        <f>ROUND((SUM(Inventory[[#This Row],[Mdl Qlty]:[Mdl Garage Area]])+Inventory[[#This Row],[Mdl Res Intercept]])*Inventory[[#This Row],[Res Adj ]],-2)</f>
        <v>337700</v>
      </c>
      <c r="BM518" s="30">
        <f>ROUND(Inventory[[#This Row],[25Det]]*Inventory[[#This Row],[Det/Nbhd Adj]],-2)</f>
        <v>0</v>
      </c>
      <c r="BN518" s="30">
        <f>Inventory[[#This Row],[Adjusted Res]]+Inventory[[#This Row],[Adj Det ]]</f>
        <v>337700</v>
      </c>
      <c r="BO518" s="30">
        <f>ROUND((Inventory[[#This Row],[Mdl Land Intercept]]+Inventory[[#This Row],[Mdl LnAcres]])*Inventory[[#This Row],[Det/Nbhd Adj]],-2)</f>
        <v>61100</v>
      </c>
      <c r="BP518" s="30">
        <f>Inventory[[#This Row],[Adjusted Impr Total]]+Inventory[[#This Row],[Adjusted Land Total]]</f>
        <v>398800</v>
      </c>
      <c r="BQ518" s="30">
        <f>IFERROR((Inventory[[#This Row],[Adjusted Impr Total]]-Inventory[[#This Row],[24Bldg]])/Inventory[[#This Row],[24Bldg]],0)</f>
        <v>-0.16514215080346106</v>
      </c>
      <c r="BR518" s="43">
        <f>(Inventory[[#This Row],[Adjusted Land Total]]-Inventory[[#This Row],[24Lnd]])/Inventory[[#This Row],[24Lnd]]</f>
        <v>4.9342105263157892E-3</v>
      </c>
      <c r="BS518" s="43">
        <f>(Inventory[[#This Row],[Adjusted Total]]-Inventory[[#This Row],[24Final]])/Inventory[[#This Row],[24Final]]</f>
        <v>-0.14291854717386632</v>
      </c>
    </row>
    <row r="519" spans="1:71">
      <c r="A519" s="30">
        <v>2025</v>
      </c>
      <c r="B519" s="31" t="s">
        <v>1033</v>
      </c>
      <c r="C519" s="31">
        <f>LN(Inventory[[#This Row],[Acres]])</f>
        <v>-1.8325814637483102</v>
      </c>
      <c r="D519" s="30">
        <v>0.16</v>
      </c>
      <c r="E519" s="30">
        <v>6989</v>
      </c>
      <c r="F519" s="31" t="s">
        <v>505</v>
      </c>
      <c r="G519" s="31" t="s">
        <v>155</v>
      </c>
      <c r="H519" s="31" t="s">
        <v>5</v>
      </c>
      <c r="I519" s="31" t="s">
        <v>506</v>
      </c>
      <c r="J519" s="31" t="s">
        <v>507</v>
      </c>
      <c r="K519" s="31" t="s">
        <v>157</v>
      </c>
      <c r="L519" s="31" t="s">
        <v>23</v>
      </c>
      <c r="M519" s="31" t="s">
        <v>22</v>
      </c>
      <c r="N519" s="31">
        <v>10</v>
      </c>
      <c r="O519" s="31">
        <f>2024-Inventory[[#This Row],[YrBlt]]</f>
        <v>17</v>
      </c>
      <c r="P519" s="31">
        <f>2024-Inventory[[#This Row],[EffYr]]</f>
        <v>17</v>
      </c>
      <c r="Q519" s="30">
        <v>2007</v>
      </c>
      <c r="R519" s="30">
        <v>2007</v>
      </c>
      <c r="S519" s="30">
        <v>1374</v>
      </c>
      <c r="T519" s="38">
        <v>1344</v>
      </c>
      <c r="U519" s="32"/>
      <c r="V519" s="32"/>
      <c r="W519" s="32"/>
      <c r="X519" s="32">
        <f>Inventory[[#This Row],[Bsmt Area]]-Inventory[[#This Row],[FnBsmt]]</f>
        <v>0</v>
      </c>
      <c r="Y519" s="32">
        <f>Inventory[[#This Row],[MainFn]]+Inventory[[#This Row],[UpprFn]]+Inventory[[#This Row],[AddFn]]+Inventory[[#This Row],[FnBsmt]]</f>
        <v>2718</v>
      </c>
      <c r="Z519" s="32">
        <v>3000</v>
      </c>
      <c r="AA519" s="31" t="s">
        <v>57</v>
      </c>
      <c r="AB519" s="32"/>
      <c r="AC519" s="30">
        <v>240</v>
      </c>
      <c r="AD519" s="38">
        <v>502</v>
      </c>
      <c r="AE519" s="32"/>
      <c r="AF519" s="32"/>
      <c r="AG519" s="32"/>
      <c r="AH519" s="32"/>
      <c r="AI519" s="30">
        <v>595165</v>
      </c>
      <c r="AJ519" s="30">
        <v>559455</v>
      </c>
      <c r="AK519" s="30">
        <v>0</v>
      </c>
      <c r="AL519" s="30">
        <v>0</v>
      </c>
      <c r="AM519" s="30">
        <v>60800</v>
      </c>
      <c r="AN519" s="30">
        <v>419200</v>
      </c>
      <c r="AO519" s="30">
        <v>480000</v>
      </c>
      <c r="AP519" s="30">
        <f>Lookups!$B$58*0.6</f>
        <v>132535.48800000001</v>
      </c>
      <c r="AQ519" s="30">
        <f>Lookups!$B$58*0.4</f>
        <v>88356.992000000013</v>
      </c>
      <c r="AR519" s="30">
        <f>Lookups!$B$59*Inventory[[#This Row],[LnAcres]]</f>
        <v>-24051.387388882686</v>
      </c>
      <c r="AS519" s="30">
        <f>VLOOKUP(Inventory[[#This Row],[Qlty]],Lookups!$A$66:$E$79,2,FALSE)</f>
        <v>39366.494398000003</v>
      </c>
      <c r="AT519" s="30">
        <f>VLOOKUP(Inventory[[#This Row],[Cnd]],Lookups!$A$80:$E$88,2,FALSE)</f>
        <v>50438.379078999998</v>
      </c>
      <c r="AU519" s="30">
        <f>Inventory[[#This Row],[EffAge]]*Lookups!$B$65</f>
        <v>-1848.5987</v>
      </c>
      <c r="AV519" s="30">
        <f>Inventory[[#This Row],[MainFn]]*Lookups!$B$90</f>
        <v>85751.862120000005</v>
      </c>
      <c r="AW519" s="30">
        <f>Inventory[[#This Row],[UpprFn]]*Lookups!$B$91</f>
        <v>80076.034751999992</v>
      </c>
      <c r="AX519" s="30">
        <f>Inventory[[#This Row],[Bsmt Area]]*Lookups!$B$95</f>
        <v>0</v>
      </c>
      <c r="AY519" s="30">
        <f>Inventory[[#This Row],[AttGar]]*Lookups!$B$93</f>
        <v>8472.247440000001</v>
      </c>
      <c r="AZ519" s="30">
        <f>ROUND(Inventory[[#This Row],[25Det]],-2)</f>
        <v>0</v>
      </c>
      <c r="BA519" s="30">
        <f>ROUND(SUM(Inventory[[#This Row],[Mdl Qlty]:[Mdl Garage Area]])+Inventory[[#This Row],[Mdl Res Intercept]],-2)</f>
        <v>394800</v>
      </c>
      <c r="BB519" s="30">
        <f>ROUND(Inventory[[#This Row],[Mdl Land Intercept]]+Inventory[[#This Row],[Mdl LnAcres]],-2)</f>
        <v>64300</v>
      </c>
      <c r="BC519" s="30">
        <f>Inventory[[#This Row],[Unadj Res Value]]+Inventory[[#This Row],[Unadj Det Value]]+Inventory[[#This Row],[Unadj Land Value]]</f>
        <v>459100</v>
      </c>
      <c r="BD519" s="30">
        <f>(Inventory[[#This Row],[Unadj Total Value]]-Inventory[[#This Row],[24Final]])/Inventory[[#This Row],[24Final]]</f>
        <v>-4.3541666666666666E-2</v>
      </c>
      <c r="BE519" s="30">
        <f>VLOOKUP(Inventory[[#This Row],[Nbhd]],Lookups!$M$3:$P$5,4,FALSE)</f>
        <v>0.99970000000000003</v>
      </c>
      <c r="BF519" s="30">
        <f>VLOOKUP(Inventory[[#This Row],[Qlty]],Lookups!$M$8:$P$22,4,FALSE)</f>
        <v>0.99980000000000002</v>
      </c>
      <c r="BG519" s="30">
        <f>VLOOKUP(Inventory[[#This Row],[Cnd]],Lookups!$R$8:$U$17,4,FALSE)</f>
        <v>1.0007999999999999</v>
      </c>
      <c r="BH519" s="30">
        <f>VLOOKUP(Inventory[[#This Row],[LivArea Range]],Lookups!$R$25:$U$43,4,FALSE)</f>
        <v>1.0099</v>
      </c>
      <c r="BI519" s="30">
        <f>VLOOKUP(Inventory[[#This Row],[Decade]],Lookups!$M$24:$P$40,4,FALSE)</f>
        <v>1.0024</v>
      </c>
      <c r="BJ519" s="30">
        <f>Inventory[[#This Row],[Nbhd Adj]]*0.95</f>
        <v>0.94971499999999998</v>
      </c>
      <c r="BK519" s="30">
        <f>AVERAGE(Inventory[[#This Row],[Nbhd Adj]],Inventory[[#This Row],[Quality Adj]],Inventory[[#This Row],[Condition Adj]],Inventory[[#This Row],[Living Area Adj]],Inventory[[#This Row],[Decade Adj]])*0.95</f>
        <v>0.95239400000000007</v>
      </c>
      <c r="BL519" s="30">
        <f>ROUND((SUM(Inventory[[#This Row],[Mdl Qlty]:[Mdl Garage Area]])+Inventory[[#This Row],[Mdl Res Intercept]])*Inventory[[#This Row],[Res Adj ]],-2)</f>
        <v>376000</v>
      </c>
      <c r="BM519" s="30">
        <f>ROUND(Inventory[[#This Row],[25Det]]*Inventory[[#This Row],[Det/Nbhd Adj]],-2)</f>
        <v>0</v>
      </c>
      <c r="BN519" s="30">
        <f>Inventory[[#This Row],[Adjusted Res]]+Inventory[[#This Row],[Adj Det ]]</f>
        <v>376000</v>
      </c>
      <c r="BO519" s="30">
        <f>ROUND((Inventory[[#This Row],[Mdl Land Intercept]]+Inventory[[#This Row],[Mdl LnAcres]])*Inventory[[#This Row],[Det/Nbhd Adj]],-2)</f>
        <v>61100</v>
      </c>
      <c r="BP519" s="30">
        <f>Inventory[[#This Row],[Adjusted Impr Total]]+Inventory[[#This Row],[Adjusted Land Total]]</f>
        <v>437100</v>
      </c>
      <c r="BQ519" s="30">
        <f>IFERROR((Inventory[[#This Row],[Adjusted Impr Total]]-Inventory[[#This Row],[24Bldg]])/Inventory[[#This Row],[24Bldg]],0)</f>
        <v>-0.10305343511450382</v>
      </c>
      <c r="BR519" s="43">
        <f>(Inventory[[#This Row],[Adjusted Land Total]]-Inventory[[#This Row],[24Lnd]])/Inventory[[#This Row],[24Lnd]]</f>
        <v>4.9342105263157892E-3</v>
      </c>
      <c r="BS519" s="43">
        <f>(Inventory[[#This Row],[Adjusted Total]]-Inventory[[#This Row],[24Final]])/Inventory[[#This Row],[24Final]]</f>
        <v>-8.9374999999999996E-2</v>
      </c>
    </row>
    <row r="520" spans="1:71">
      <c r="A520" s="30">
        <v>2025</v>
      </c>
      <c r="B520" s="31" t="s">
        <v>1034</v>
      </c>
      <c r="C520" s="31">
        <f>LN(Inventory[[#This Row],[Acres]])</f>
        <v>-1.8325814637483102</v>
      </c>
      <c r="D520" s="30">
        <v>0.16</v>
      </c>
      <c r="E520" s="30">
        <v>7000</v>
      </c>
      <c r="F520" s="31" t="s">
        <v>505</v>
      </c>
      <c r="G520" s="31" t="s">
        <v>155</v>
      </c>
      <c r="H520" s="31" t="s">
        <v>5</v>
      </c>
      <c r="I520" s="31" t="s">
        <v>506</v>
      </c>
      <c r="J520" s="31" t="s">
        <v>507</v>
      </c>
      <c r="K520" s="31" t="s">
        <v>157</v>
      </c>
      <c r="L520" s="31" t="s">
        <v>21</v>
      </c>
      <c r="M520" s="31" t="s">
        <v>20</v>
      </c>
      <c r="N520" s="31">
        <v>10</v>
      </c>
      <c r="O520" s="31">
        <f>2024-Inventory[[#This Row],[YrBlt]]</f>
        <v>17</v>
      </c>
      <c r="P520" s="31">
        <f>2024-Inventory[[#This Row],[EffYr]]</f>
        <v>17</v>
      </c>
      <c r="Q520" s="30">
        <v>2007</v>
      </c>
      <c r="R520" s="30">
        <v>2007</v>
      </c>
      <c r="S520" s="30">
        <v>909</v>
      </c>
      <c r="T520" s="30">
        <v>1085</v>
      </c>
      <c r="U520" s="32"/>
      <c r="V520" s="32"/>
      <c r="W520" s="32"/>
      <c r="X520" s="32">
        <f>Inventory[[#This Row],[Bsmt Area]]-Inventory[[#This Row],[FnBsmt]]</f>
        <v>0</v>
      </c>
      <c r="Y520" s="32">
        <f>Inventory[[#This Row],[MainFn]]+Inventory[[#This Row],[UpprFn]]+Inventory[[#This Row],[AddFn]]+Inventory[[#This Row],[FnBsmt]]</f>
        <v>1994</v>
      </c>
      <c r="Z520" s="32">
        <v>2000</v>
      </c>
      <c r="AA520" s="31" t="s">
        <v>57</v>
      </c>
      <c r="AB520" s="38">
        <v>1</v>
      </c>
      <c r="AC520" s="37"/>
      <c r="AD520" s="38">
        <v>420</v>
      </c>
      <c r="AE520" s="32"/>
      <c r="AF520" s="32"/>
      <c r="AG520" s="32"/>
      <c r="AH520" s="32"/>
      <c r="AI520" s="30">
        <v>404166</v>
      </c>
      <c r="AJ520" s="30">
        <v>371833</v>
      </c>
      <c r="AK520" s="30">
        <v>0</v>
      </c>
      <c r="AL520" s="30">
        <v>0</v>
      </c>
      <c r="AM520" s="30">
        <v>60800</v>
      </c>
      <c r="AN520" s="30">
        <v>321600</v>
      </c>
      <c r="AO520" s="30">
        <v>382400</v>
      </c>
      <c r="AP520" s="30">
        <f>Lookups!$B$58*0.6</f>
        <v>132535.48800000001</v>
      </c>
      <c r="AQ520" s="30">
        <f>Lookups!$B$58*0.4</f>
        <v>88356.992000000013</v>
      </c>
      <c r="AR520" s="30">
        <f>Lookups!$B$59*Inventory[[#This Row],[LnAcres]]</f>
        <v>-24051.387388882686</v>
      </c>
      <c r="AS520" s="30">
        <f>VLOOKUP(Inventory[[#This Row],[Qlty]],Lookups!$A$66:$E$79,2,FALSE)</f>
        <v>32917.849192000001</v>
      </c>
      <c r="AT520" s="30">
        <f>VLOOKUP(Inventory[[#This Row],[Cnd]],Lookups!$A$80:$E$88,2,FALSE)</f>
        <v>30300.329274</v>
      </c>
      <c r="AU520" s="30">
        <f>Inventory[[#This Row],[EffAge]]*Lookups!$B$65</f>
        <v>-1848.5987</v>
      </c>
      <c r="AV520" s="30">
        <f>Inventory[[#This Row],[MainFn]]*Lookups!$B$90</f>
        <v>56731.03542</v>
      </c>
      <c r="AW520" s="30">
        <f>Inventory[[#This Row],[UpprFn]]*Lookups!$B$91</f>
        <v>64644.715554999995</v>
      </c>
      <c r="AX520" s="30">
        <f>Inventory[[#This Row],[Bsmt Area]]*Lookups!$B$95</f>
        <v>0</v>
      </c>
      <c r="AY520" s="30">
        <f>Inventory[[#This Row],[AttGar]]*Lookups!$B$93</f>
        <v>0</v>
      </c>
      <c r="AZ520" s="30">
        <f>ROUND(Inventory[[#This Row],[25Det]],-2)</f>
        <v>0</v>
      </c>
      <c r="BA520" s="30">
        <f>ROUND(SUM(Inventory[[#This Row],[Mdl Qlty]:[Mdl Garage Area]])+Inventory[[#This Row],[Mdl Res Intercept]],-2)</f>
        <v>315300</v>
      </c>
      <c r="BB520" s="30">
        <f>ROUND(Inventory[[#This Row],[Mdl Land Intercept]]+Inventory[[#This Row],[Mdl LnAcres]],-2)</f>
        <v>64300</v>
      </c>
      <c r="BC520" s="30">
        <f>Inventory[[#This Row],[Unadj Res Value]]+Inventory[[#This Row],[Unadj Det Value]]+Inventory[[#This Row],[Unadj Land Value]]</f>
        <v>379600</v>
      </c>
      <c r="BD520" s="30">
        <f>(Inventory[[#This Row],[Unadj Total Value]]-Inventory[[#This Row],[24Final]])/Inventory[[#This Row],[24Final]]</f>
        <v>-7.3221757322175732E-3</v>
      </c>
      <c r="BE520" s="30">
        <f>VLOOKUP(Inventory[[#This Row],[Nbhd]],Lookups!$M$3:$P$5,4,FALSE)</f>
        <v>0.99970000000000003</v>
      </c>
      <c r="BF520" s="30">
        <f>VLOOKUP(Inventory[[#This Row],[Qlty]],Lookups!$M$8:$P$22,4,FALSE)</f>
        <v>1.0019</v>
      </c>
      <c r="BG520" s="30">
        <f>VLOOKUP(Inventory[[#This Row],[Cnd]],Lookups!$R$8:$U$17,4,FALSE)</f>
        <v>0.997</v>
      </c>
      <c r="BH520" s="30">
        <f>VLOOKUP(Inventory[[#This Row],[LivArea Range]],Lookups!$R$25:$U$43,4,FALSE)</f>
        <v>1.0007999999999999</v>
      </c>
      <c r="BI520" s="30">
        <f>VLOOKUP(Inventory[[#This Row],[Decade]],Lookups!$M$24:$P$40,4,FALSE)</f>
        <v>1.0024</v>
      </c>
      <c r="BJ520" s="30">
        <f>Inventory[[#This Row],[Nbhd Adj]]*0.95</f>
        <v>0.94971499999999998</v>
      </c>
      <c r="BK520" s="30">
        <f>AVERAGE(Inventory[[#This Row],[Nbhd Adj]],Inventory[[#This Row],[Quality Adj]],Inventory[[#This Row],[Condition Adj]],Inventory[[#This Row],[Living Area Adj]],Inventory[[#This Row],[Decade Adj]])*0.95</f>
        <v>0.95034199999999991</v>
      </c>
      <c r="BL520" s="30">
        <f>ROUND((SUM(Inventory[[#This Row],[Mdl Qlty]:[Mdl Garage Area]])+Inventory[[#This Row],[Mdl Res Intercept]])*Inventory[[#This Row],[Res Adj ]],-2)</f>
        <v>299600</v>
      </c>
      <c r="BM520" s="30">
        <f>ROUND(Inventory[[#This Row],[25Det]]*Inventory[[#This Row],[Det/Nbhd Adj]],-2)</f>
        <v>0</v>
      </c>
      <c r="BN520" s="30">
        <f>Inventory[[#This Row],[Adjusted Res]]+Inventory[[#This Row],[Adj Det ]]</f>
        <v>299600</v>
      </c>
      <c r="BO520" s="30">
        <f>ROUND((Inventory[[#This Row],[Mdl Land Intercept]]+Inventory[[#This Row],[Mdl LnAcres]])*Inventory[[#This Row],[Det/Nbhd Adj]],-2)</f>
        <v>61100</v>
      </c>
      <c r="BP520" s="30">
        <f>Inventory[[#This Row],[Adjusted Impr Total]]+Inventory[[#This Row],[Adjusted Land Total]]</f>
        <v>360700</v>
      </c>
      <c r="BQ520" s="30">
        <f>IFERROR((Inventory[[#This Row],[Adjusted Impr Total]]-Inventory[[#This Row],[24Bldg]])/Inventory[[#This Row],[24Bldg]],0)</f>
        <v>-6.8407960199004969E-2</v>
      </c>
      <c r="BR520" s="43">
        <f>(Inventory[[#This Row],[Adjusted Land Total]]-Inventory[[#This Row],[24Lnd]])/Inventory[[#This Row],[24Lnd]]</f>
        <v>4.9342105263157892E-3</v>
      </c>
      <c r="BS520" s="43">
        <f>(Inventory[[#This Row],[Adjusted Total]]-Inventory[[#This Row],[24Final]])/Inventory[[#This Row],[24Final]]</f>
        <v>-5.6746861924686191E-2</v>
      </c>
    </row>
    <row r="521" spans="1:71">
      <c r="A521" s="30">
        <v>2025</v>
      </c>
      <c r="B521" s="31" t="s">
        <v>1035</v>
      </c>
      <c r="C521" s="31">
        <f>LN(Inventory[[#This Row],[Acres]])</f>
        <v>-1.8325814637483102</v>
      </c>
      <c r="D521" s="30">
        <v>0.16</v>
      </c>
      <c r="E521" s="30">
        <v>7048</v>
      </c>
      <c r="F521" s="31" t="s">
        <v>505</v>
      </c>
      <c r="G521" s="31" t="s">
        <v>155</v>
      </c>
      <c r="H521" s="31" t="s">
        <v>5</v>
      </c>
      <c r="I521" s="31" t="s">
        <v>506</v>
      </c>
      <c r="J521" s="31" t="s">
        <v>507</v>
      </c>
      <c r="K521" s="31" t="s">
        <v>157</v>
      </c>
      <c r="L521" s="31" t="s">
        <v>21</v>
      </c>
      <c r="M521" s="31" t="s">
        <v>20</v>
      </c>
      <c r="N521" s="31">
        <v>10</v>
      </c>
      <c r="O521" s="31">
        <f>2024-Inventory[[#This Row],[YrBlt]]</f>
        <v>17</v>
      </c>
      <c r="P521" s="31">
        <f>2024-Inventory[[#This Row],[EffYr]]</f>
        <v>17</v>
      </c>
      <c r="Q521" s="30">
        <v>2007</v>
      </c>
      <c r="R521" s="30">
        <v>2007</v>
      </c>
      <c r="S521" s="30">
        <v>1116</v>
      </c>
      <c r="T521" s="30">
        <v>1116</v>
      </c>
      <c r="U521" s="32"/>
      <c r="V521" s="32"/>
      <c r="W521" s="32"/>
      <c r="X521" s="32">
        <f>Inventory[[#This Row],[Bsmt Area]]-Inventory[[#This Row],[FnBsmt]]</f>
        <v>0</v>
      </c>
      <c r="Y521" s="32">
        <f>Inventory[[#This Row],[MainFn]]+Inventory[[#This Row],[UpprFn]]+Inventory[[#This Row],[AddFn]]+Inventory[[#This Row],[FnBsmt]]</f>
        <v>2232</v>
      </c>
      <c r="Z521" s="32">
        <v>2500</v>
      </c>
      <c r="AA521" s="31" t="s">
        <v>57</v>
      </c>
      <c r="AB521" s="30">
        <v>1</v>
      </c>
      <c r="AC521" s="30">
        <v>440</v>
      </c>
      <c r="AD521" s="37"/>
      <c r="AE521" s="32"/>
      <c r="AF521" s="32"/>
      <c r="AG521" s="32"/>
      <c r="AH521" s="32"/>
      <c r="AI521" s="30">
        <v>454484</v>
      </c>
      <c r="AJ521" s="30">
        <v>418125</v>
      </c>
      <c r="AK521" s="30">
        <v>0</v>
      </c>
      <c r="AL521" s="30">
        <v>0</v>
      </c>
      <c r="AM521" s="30">
        <v>60800</v>
      </c>
      <c r="AN521" s="30">
        <v>351700</v>
      </c>
      <c r="AO521" s="30">
        <v>412500</v>
      </c>
      <c r="AP521" s="30">
        <f>Lookups!$B$58*0.6</f>
        <v>132535.48800000001</v>
      </c>
      <c r="AQ521" s="30">
        <f>Lookups!$B$58*0.4</f>
        <v>88356.992000000013</v>
      </c>
      <c r="AR521" s="30">
        <f>Lookups!$B$59*Inventory[[#This Row],[LnAcres]]</f>
        <v>-24051.387388882686</v>
      </c>
      <c r="AS521" s="30">
        <f>VLOOKUP(Inventory[[#This Row],[Qlty]],Lookups!$A$66:$E$79,2,FALSE)</f>
        <v>32917.849192000001</v>
      </c>
      <c r="AT521" s="30">
        <f>VLOOKUP(Inventory[[#This Row],[Cnd]],Lookups!$A$80:$E$88,2,FALSE)</f>
        <v>30300.329274</v>
      </c>
      <c r="AU521" s="30">
        <f>Inventory[[#This Row],[EffAge]]*Lookups!$B$65</f>
        <v>-1848.5987</v>
      </c>
      <c r="AV521" s="30">
        <f>Inventory[[#This Row],[MainFn]]*Lookups!$B$90</f>
        <v>69649.984080000009</v>
      </c>
      <c r="AW521" s="30">
        <f>Inventory[[#This Row],[UpprFn]]*Lookups!$B$91</f>
        <v>66491.707427999994</v>
      </c>
      <c r="AX521" s="30">
        <f>Inventory[[#This Row],[Bsmt Area]]*Lookups!$B$95</f>
        <v>0</v>
      </c>
      <c r="AY521" s="30">
        <f>Inventory[[#This Row],[AttGar]]*Lookups!$B$93</f>
        <v>15532.453640000002</v>
      </c>
      <c r="AZ521" s="30">
        <f>ROUND(Inventory[[#This Row],[25Det]],-2)</f>
        <v>0</v>
      </c>
      <c r="BA521" s="30">
        <f>ROUND(SUM(Inventory[[#This Row],[Mdl Qlty]:[Mdl Garage Area]])+Inventory[[#This Row],[Mdl Res Intercept]],-2)</f>
        <v>345600</v>
      </c>
      <c r="BB521" s="30">
        <f>ROUND(Inventory[[#This Row],[Mdl Land Intercept]]+Inventory[[#This Row],[Mdl LnAcres]],-2)</f>
        <v>64300</v>
      </c>
      <c r="BC521" s="30">
        <f>Inventory[[#This Row],[Unadj Res Value]]+Inventory[[#This Row],[Unadj Det Value]]+Inventory[[#This Row],[Unadj Land Value]]</f>
        <v>409900</v>
      </c>
      <c r="BD521" s="30">
        <f>(Inventory[[#This Row],[Unadj Total Value]]-Inventory[[#This Row],[24Final]])/Inventory[[#This Row],[24Final]]</f>
        <v>-6.3030303030303034E-3</v>
      </c>
      <c r="BE521" s="30">
        <f>VLOOKUP(Inventory[[#This Row],[Nbhd]],Lookups!$M$3:$P$5,4,FALSE)</f>
        <v>0.99970000000000003</v>
      </c>
      <c r="BF521" s="30">
        <f>VLOOKUP(Inventory[[#This Row],[Qlty]],Lookups!$M$8:$P$22,4,FALSE)</f>
        <v>1.0019</v>
      </c>
      <c r="BG521" s="30">
        <f>VLOOKUP(Inventory[[#This Row],[Cnd]],Lookups!$R$8:$U$17,4,FALSE)</f>
        <v>0.997</v>
      </c>
      <c r="BH521" s="30">
        <f>VLOOKUP(Inventory[[#This Row],[LivArea Range]],Lookups!$R$25:$U$43,4,FALSE)</f>
        <v>1.0008999999999999</v>
      </c>
      <c r="BI521" s="30">
        <f>VLOOKUP(Inventory[[#This Row],[Decade]],Lookups!$M$24:$P$40,4,FALSE)</f>
        <v>1.0024</v>
      </c>
      <c r="BJ521" s="30">
        <f>Inventory[[#This Row],[Nbhd Adj]]*0.95</f>
        <v>0.94971499999999998</v>
      </c>
      <c r="BK521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521" s="30">
        <f>ROUND((SUM(Inventory[[#This Row],[Mdl Qlty]:[Mdl Garage Area]])+Inventory[[#This Row],[Mdl Res Intercept]])*Inventory[[#This Row],[Res Adj ]],-2)</f>
        <v>328400</v>
      </c>
      <c r="BM521" s="30">
        <f>ROUND(Inventory[[#This Row],[25Det]]*Inventory[[#This Row],[Det/Nbhd Adj]],-2)</f>
        <v>0</v>
      </c>
      <c r="BN521" s="30">
        <f>Inventory[[#This Row],[Adjusted Res]]+Inventory[[#This Row],[Adj Det ]]</f>
        <v>328400</v>
      </c>
      <c r="BO521" s="30">
        <f>ROUND((Inventory[[#This Row],[Mdl Land Intercept]]+Inventory[[#This Row],[Mdl LnAcres]])*Inventory[[#This Row],[Det/Nbhd Adj]],-2)</f>
        <v>61100</v>
      </c>
      <c r="BP521" s="30">
        <f>Inventory[[#This Row],[Adjusted Impr Total]]+Inventory[[#This Row],[Adjusted Land Total]]</f>
        <v>389500</v>
      </c>
      <c r="BQ521" s="30">
        <f>IFERROR((Inventory[[#This Row],[Adjusted Impr Total]]-Inventory[[#This Row],[24Bldg]])/Inventory[[#This Row],[24Bldg]],0)</f>
        <v>-6.6249644583451811E-2</v>
      </c>
      <c r="BR521" s="43">
        <f>(Inventory[[#This Row],[Adjusted Land Total]]-Inventory[[#This Row],[24Lnd]])/Inventory[[#This Row],[24Lnd]]</f>
        <v>4.9342105263157892E-3</v>
      </c>
      <c r="BS521" s="43">
        <f>(Inventory[[#This Row],[Adjusted Total]]-Inventory[[#This Row],[24Final]])/Inventory[[#This Row],[24Final]]</f>
        <v>-5.5757575757575756E-2</v>
      </c>
    </row>
    <row r="522" spans="1:71">
      <c r="A522" s="30">
        <v>2025</v>
      </c>
      <c r="B522" s="31" t="s">
        <v>1036</v>
      </c>
      <c r="C522" s="31">
        <f>LN(Inventory[[#This Row],[Acres]])</f>
        <v>-1.8325814637483102</v>
      </c>
      <c r="D522" s="30">
        <v>0.16</v>
      </c>
      <c r="E522" s="30">
        <v>7032</v>
      </c>
      <c r="F522" s="31" t="s">
        <v>505</v>
      </c>
      <c r="G522" s="31" t="s">
        <v>155</v>
      </c>
      <c r="H522" s="31" t="s">
        <v>5</v>
      </c>
      <c r="I522" s="31" t="s">
        <v>506</v>
      </c>
      <c r="J522" s="31" t="s">
        <v>507</v>
      </c>
      <c r="K522" s="31" t="s">
        <v>157</v>
      </c>
      <c r="L522" s="31" t="s">
        <v>21</v>
      </c>
      <c r="M522" s="31" t="s">
        <v>22</v>
      </c>
      <c r="N522" s="31">
        <v>10</v>
      </c>
      <c r="O522" s="31">
        <f>2024-Inventory[[#This Row],[YrBlt]]</f>
        <v>17</v>
      </c>
      <c r="P522" s="31">
        <f>2024-Inventory[[#This Row],[EffYr]]</f>
        <v>17</v>
      </c>
      <c r="Q522" s="30">
        <v>2007</v>
      </c>
      <c r="R522" s="30">
        <v>2007</v>
      </c>
      <c r="S522" s="30">
        <v>1374</v>
      </c>
      <c r="T522" s="38">
        <v>1252</v>
      </c>
      <c r="U522" s="32"/>
      <c r="V522" s="32"/>
      <c r="W522" s="32"/>
      <c r="X522" s="32">
        <f>Inventory[[#This Row],[Bsmt Area]]-Inventory[[#This Row],[FnBsmt]]</f>
        <v>0</v>
      </c>
      <c r="Y522" s="32">
        <f>Inventory[[#This Row],[MainFn]]+Inventory[[#This Row],[UpprFn]]+Inventory[[#This Row],[AddFn]]+Inventory[[#This Row],[FnBsmt]]</f>
        <v>2626</v>
      </c>
      <c r="Z522" s="32">
        <v>3000</v>
      </c>
      <c r="AA522" s="31" t="s">
        <v>57</v>
      </c>
      <c r="AB522" s="37"/>
      <c r="AC522" s="30">
        <v>240</v>
      </c>
      <c r="AD522" s="38">
        <v>502</v>
      </c>
      <c r="AE522" s="32"/>
      <c r="AF522" s="32"/>
      <c r="AG522" s="32"/>
      <c r="AH522" s="32"/>
      <c r="AI522" s="30">
        <v>525561</v>
      </c>
      <c r="AJ522" s="30">
        <v>488772</v>
      </c>
      <c r="AK522" s="30">
        <v>0</v>
      </c>
      <c r="AL522" s="30">
        <v>0</v>
      </c>
      <c r="AM522" s="30">
        <v>60800</v>
      </c>
      <c r="AN522" s="30">
        <v>385600</v>
      </c>
      <c r="AO522" s="30">
        <v>446400</v>
      </c>
      <c r="AP522" s="30">
        <f>Lookups!$B$58*0.6</f>
        <v>132535.48800000001</v>
      </c>
      <c r="AQ522" s="30">
        <f>Lookups!$B$58*0.4</f>
        <v>88356.992000000013</v>
      </c>
      <c r="AR522" s="30">
        <f>Lookups!$B$59*Inventory[[#This Row],[LnAcres]]</f>
        <v>-24051.387388882686</v>
      </c>
      <c r="AS522" s="30">
        <f>VLOOKUP(Inventory[[#This Row],[Qlty]],Lookups!$A$66:$E$79,2,FALSE)</f>
        <v>32917.849192000001</v>
      </c>
      <c r="AT522" s="30">
        <f>VLOOKUP(Inventory[[#This Row],[Cnd]],Lookups!$A$80:$E$88,2,FALSE)</f>
        <v>50438.379078999998</v>
      </c>
      <c r="AU522" s="30">
        <f>Inventory[[#This Row],[EffAge]]*Lookups!$B$65</f>
        <v>-1848.5987</v>
      </c>
      <c r="AV522" s="30">
        <f>Inventory[[#This Row],[MainFn]]*Lookups!$B$90</f>
        <v>85751.862120000005</v>
      </c>
      <c r="AW522" s="30">
        <f>Inventory[[#This Row],[UpprFn]]*Lookups!$B$91</f>
        <v>74594.639515999996</v>
      </c>
      <c r="AX522" s="30">
        <f>Inventory[[#This Row],[Bsmt Area]]*Lookups!$B$95</f>
        <v>0</v>
      </c>
      <c r="AY522" s="30">
        <f>Inventory[[#This Row],[AttGar]]*Lookups!$B$93</f>
        <v>8472.247440000001</v>
      </c>
      <c r="AZ522" s="30">
        <f>ROUND(Inventory[[#This Row],[25Det]],-2)</f>
        <v>0</v>
      </c>
      <c r="BA522" s="30">
        <f>ROUND(SUM(Inventory[[#This Row],[Mdl Qlty]:[Mdl Garage Area]])+Inventory[[#This Row],[Mdl Res Intercept]],-2)</f>
        <v>382900</v>
      </c>
      <c r="BB522" s="30">
        <f>ROUND(Inventory[[#This Row],[Mdl Land Intercept]]+Inventory[[#This Row],[Mdl LnAcres]],-2)</f>
        <v>64300</v>
      </c>
      <c r="BC522" s="30">
        <f>Inventory[[#This Row],[Unadj Res Value]]+Inventory[[#This Row],[Unadj Det Value]]+Inventory[[#This Row],[Unadj Land Value]]</f>
        <v>447200</v>
      </c>
      <c r="BD522" s="30">
        <f>(Inventory[[#This Row],[Unadj Total Value]]-Inventory[[#This Row],[24Final]])/Inventory[[#This Row],[24Final]]</f>
        <v>1.7921146953405018E-3</v>
      </c>
      <c r="BE522" s="30">
        <f>VLOOKUP(Inventory[[#This Row],[Nbhd]],Lookups!$M$3:$P$5,4,FALSE)</f>
        <v>0.99970000000000003</v>
      </c>
      <c r="BF522" s="30">
        <f>VLOOKUP(Inventory[[#This Row],[Qlty]],Lookups!$M$8:$P$22,4,FALSE)</f>
        <v>1.0019</v>
      </c>
      <c r="BG522" s="30">
        <f>VLOOKUP(Inventory[[#This Row],[Cnd]],Lookups!$R$8:$U$17,4,FALSE)</f>
        <v>1.0007999999999999</v>
      </c>
      <c r="BH522" s="30">
        <f>VLOOKUP(Inventory[[#This Row],[LivArea Range]],Lookups!$R$25:$U$43,4,FALSE)</f>
        <v>1.0099</v>
      </c>
      <c r="BI522" s="30">
        <f>VLOOKUP(Inventory[[#This Row],[Decade]],Lookups!$M$24:$P$40,4,FALSE)</f>
        <v>1.0024</v>
      </c>
      <c r="BJ522" s="30">
        <f>Inventory[[#This Row],[Nbhd Adj]]*0.95</f>
        <v>0.94971499999999998</v>
      </c>
      <c r="BK522" s="30">
        <f>AVERAGE(Inventory[[#This Row],[Nbhd Adj]],Inventory[[#This Row],[Quality Adj]],Inventory[[#This Row],[Condition Adj]],Inventory[[#This Row],[Living Area Adj]],Inventory[[#This Row],[Decade Adj]])*0.95</f>
        <v>0.95279299999999989</v>
      </c>
      <c r="BL522" s="30">
        <f>ROUND((SUM(Inventory[[#This Row],[Mdl Qlty]:[Mdl Garage Area]])+Inventory[[#This Row],[Mdl Res Intercept]])*Inventory[[#This Row],[Res Adj ]],-2)</f>
        <v>364800</v>
      </c>
      <c r="BM522" s="30">
        <f>ROUND(Inventory[[#This Row],[25Det]]*Inventory[[#This Row],[Det/Nbhd Adj]],-2)</f>
        <v>0</v>
      </c>
      <c r="BN522" s="30">
        <f>Inventory[[#This Row],[Adjusted Res]]+Inventory[[#This Row],[Adj Det ]]</f>
        <v>364800</v>
      </c>
      <c r="BO522" s="30">
        <f>ROUND((Inventory[[#This Row],[Mdl Land Intercept]]+Inventory[[#This Row],[Mdl LnAcres]])*Inventory[[#This Row],[Det/Nbhd Adj]],-2)</f>
        <v>61100</v>
      </c>
      <c r="BP522" s="30">
        <f>Inventory[[#This Row],[Adjusted Impr Total]]+Inventory[[#This Row],[Adjusted Land Total]]</f>
        <v>425900</v>
      </c>
      <c r="BQ522" s="30">
        <f>IFERROR((Inventory[[#This Row],[Adjusted Impr Total]]-Inventory[[#This Row],[24Bldg]])/Inventory[[#This Row],[24Bldg]],0)</f>
        <v>-5.3941908713692949E-2</v>
      </c>
      <c r="BR522" s="43">
        <f>(Inventory[[#This Row],[Adjusted Land Total]]-Inventory[[#This Row],[24Lnd]])/Inventory[[#This Row],[24Lnd]]</f>
        <v>4.9342105263157892E-3</v>
      </c>
      <c r="BS522" s="43">
        <f>(Inventory[[#This Row],[Adjusted Total]]-Inventory[[#This Row],[24Final]])/Inventory[[#This Row],[24Final]]</f>
        <v>-4.5922939068100362E-2</v>
      </c>
    </row>
    <row r="523" spans="1:71">
      <c r="A523" s="30">
        <v>2025</v>
      </c>
      <c r="B523" s="31" t="s">
        <v>1037</v>
      </c>
      <c r="C523" s="31">
        <f>LN(Inventory[[#This Row],[Acres]])</f>
        <v>-1.8325814637483102</v>
      </c>
      <c r="D523" s="30">
        <v>0.16</v>
      </c>
      <c r="E523" s="30">
        <v>7002</v>
      </c>
      <c r="F523" s="31" t="s">
        <v>505</v>
      </c>
      <c r="G523" s="31" t="s">
        <v>155</v>
      </c>
      <c r="H523" s="31" t="s">
        <v>5</v>
      </c>
      <c r="I523" s="31" t="s">
        <v>506</v>
      </c>
      <c r="J523" s="31" t="s">
        <v>507</v>
      </c>
      <c r="K523" s="31" t="s">
        <v>193</v>
      </c>
      <c r="L523" s="31" t="s">
        <v>21</v>
      </c>
      <c r="M523" s="31" t="s">
        <v>20</v>
      </c>
      <c r="N523" s="31">
        <v>10</v>
      </c>
      <c r="O523" s="31">
        <f>2024-Inventory[[#This Row],[YrBlt]]</f>
        <v>17</v>
      </c>
      <c r="P523" s="31">
        <f>2024-Inventory[[#This Row],[EffYr]]</f>
        <v>17</v>
      </c>
      <c r="Q523" s="30">
        <v>2007</v>
      </c>
      <c r="R523" s="30">
        <v>2007</v>
      </c>
      <c r="S523" s="30">
        <v>1092</v>
      </c>
      <c r="T523" s="32"/>
      <c r="U523" s="32"/>
      <c r="V523" s="32"/>
      <c r="W523" s="32"/>
      <c r="X523" s="32">
        <f>Inventory[[#This Row],[Bsmt Area]]-Inventory[[#This Row],[FnBsmt]]</f>
        <v>0</v>
      </c>
      <c r="Y523" s="32">
        <f>Inventory[[#This Row],[MainFn]]+Inventory[[#This Row],[UpprFn]]+Inventory[[#This Row],[AddFn]]+Inventory[[#This Row],[FnBsmt]]</f>
        <v>1092</v>
      </c>
      <c r="Z523" s="32">
        <v>1500</v>
      </c>
      <c r="AA523" s="31" t="s">
        <v>57</v>
      </c>
      <c r="AB523" s="38">
        <v>1</v>
      </c>
      <c r="AC523" s="30">
        <v>440</v>
      </c>
      <c r="AD523" s="32"/>
      <c r="AE523" s="32"/>
      <c r="AF523" s="32"/>
      <c r="AG523" s="32"/>
      <c r="AH523" s="38">
        <v>100</v>
      </c>
      <c r="AI523" s="30">
        <v>264133</v>
      </c>
      <c r="AJ523" s="30">
        <v>243002</v>
      </c>
      <c r="AK523" s="30">
        <v>0</v>
      </c>
      <c r="AL523" s="30">
        <v>0</v>
      </c>
      <c r="AM523" s="30">
        <v>60800</v>
      </c>
      <c r="AN523" s="30">
        <v>274200</v>
      </c>
      <c r="AO523" s="30">
        <v>335000</v>
      </c>
      <c r="AP523" s="30">
        <f>Lookups!$B$58*0.6</f>
        <v>132535.48800000001</v>
      </c>
      <c r="AQ523" s="30">
        <f>Lookups!$B$58*0.4</f>
        <v>88356.992000000013</v>
      </c>
      <c r="AR523" s="30">
        <f>Lookups!$B$59*Inventory[[#This Row],[LnAcres]]</f>
        <v>-24051.387388882686</v>
      </c>
      <c r="AS523" s="30">
        <f>VLOOKUP(Inventory[[#This Row],[Qlty]],Lookups!$A$66:$E$79,2,FALSE)</f>
        <v>32917.849192000001</v>
      </c>
      <c r="AT523" s="30">
        <f>VLOOKUP(Inventory[[#This Row],[Cnd]],Lookups!$A$80:$E$88,2,FALSE)</f>
        <v>30300.329274</v>
      </c>
      <c r="AU523" s="30">
        <f>Inventory[[#This Row],[EffAge]]*Lookups!$B$65</f>
        <v>-1848.5987</v>
      </c>
      <c r="AV523" s="30">
        <f>Inventory[[#This Row],[MainFn]]*Lookups!$B$90</f>
        <v>68152.13496000001</v>
      </c>
      <c r="AW523" s="30">
        <f>Inventory[[#This Row],[UpprFn]]*Lookups!$B$91</f>
        <v>0</v>
      </c>
      <c r="AX523" s="30">
        <f>Inventory[[#This Row],[Bsmt Area]]*Lookups!$B$95</f>
        <v>0</v>
      </c>
      <c r="AY523" s="30">
        <f>Inventory[[#This Row],[AttGar]]*Lookups!$B$93</f>
        <v>15532.453640000002</v>
      </c>
      <c r="AZ523" s="30">
        <f>ROUND(Inventory[[#This Row],[25Det]],-2)</f>
        <v>0</v>
      </c>
      <c r="BA523" s="30">
        <f>ROUND(SUM(Inventory[[#This Row],[Mdl Qlty]:[Mdl Garage Area]])+Inventory[[#This Row],[Mdl Res Intercept]],-2)</f>
        <v>277600</v>
      </c>
      <c r="BB523" s="30">
        <f>ROUND(Inventory[[#This Row],[Mdl Land Intercept]]+Inventory[[#This Row],[Mdl LnAcres]],-2)</f>
        <v>64300</v>
      </c>
      <c r="BC523" s="30">
        <f>Inventory[[#This Row],[Unadj Res Value]]+Inventory[[#This Row],[Unadj Det Value]]+Inventory[[#This Row],[Unadj Land Value]]</f>
        <v>341900</v>
      </c>
      <c r="BD523" s="30">
        <f>(Inventory[[#This Row],[Unadj Total Value]]-Inventory[[#This Row],[24Final]])/Inventory[[#This Row],[24Final]]</f>
        <v>2.0597014925373136E-2</v>
      </c>
      <c r="BE523" s="30">
        <f>VLOOKUP(Inventory[[#This Row],[Nbhd]],Lookups!$M$3:$P$5,4,FALSE)</f>
        <v>0.99970000000000003</v>
      </c>
      <c r="BF523" s="30">
        <f>VLOOKUP(Inventory[[#This Row],[Qlty]],Lookups!$M$8:$P$22,4,FALSE)</f>
        <v>1.0019</v>
      </c>
      <c r="BG523" s="30">
        <f>VLOOKUP(Inventory[[#This Row],[Cnd]],Lookups!$R$8:$U$17,4,FALSE)</f>
        <v>0.997</v>
      </c>
      <c r="BH523" s="30">
        <f>VLOOKUP(Inventory[[#This Row],[LivArea Range]],Lookups!$R$25:$U$43,4,FALSE)</f>
        <v>0.99519999999999997</v>
      </c>
      <c r="BI523" s="30">
        <f>VLOOKUP(Inventory[[#This Row],[Decade]],Lookups!$M$24:$P$40,4,FALSE)</f>
        <v>1.0024</v>
      </c>
      <c r="BJ523" s="30">
        <f>Inventory[[#This Row],[Nbhd Adj]]*0.95</f>
        <v>0.94971499999999998</v>
      </c>
      <c r="BK523" s="30">
        <f>AVERAGE(Inventory[[#This Row],[Nbhd Adj]],Inventory[[#This Row],[Quality Adj]],Inventory[[#This Row],[Condition Adj]],Inventory[[#This Row],[Living Area Adj]],Inventory[[#This Row],[Decade Adj]])*0.95</f>
        <v>0.94927799999999996</v>
      </c>
      <c r="BL523" s="30">
        <f>ROUND((SUM(Inventory[[#This Row],[Mdl Qlty]:[Mdl Garage Area]])+Inventory[[#This Row],[Mdl Res Intercept]])*Inventory[[#This Row],[Res Adj ]],-2)</f>
        <v>263500</v>
      </c>
      <c r="BM523" s="30">
        <f>ROUND(Inventory[[#This Row],[25Det]]*Inventory[[#This Row],[Det/Nbhd Adj]],-2)</f>
        <v>0</v>
      </c>
      <c r="BN523" s="30">
        <f>Inventory[[#This Row],[Adjusted Res]]+Inventory[[#This Row],[Adj Det ]]</f>
        <v>263500</v>
      </c>
      <c r="BO523" s="30">
        <f>ROUND((Inventory[[#This Row],[Mdl Land Intercept]]+Inventory[[#This Row],[Mdl LnAcres]])*Inventory[[#This Row],[Det/Nbhd Adj]],-2)</f>
        <v>61100</v>
      </c>
      <c r="BP523" s="30">
        <f>Inventory[[#This Row],[Adjusted Impr Total]]+Inventory[[#This Row],[Adjusted Land Total]]</f>
        <v>324600</v>
      </c>
      <c r="BQ523" s="30">
        <f>IFERROR((Inventory[[#This Row],[Adjusted Impr Total]]-Inventory[[#This Row],[24Bldg]])/Inventory[[#This Row],[24Bldg]],0)</f>
        <v>-3.9022611232676876E-2</v>
      </c>
      <c r="BR523" s="43">
        <f>(Inventory[[#This Row],[Adjusted Land Total]]-Inventory[[#This Row],[24Lnd]])/Inventory[[#This Row],[24Lnd]]</f>
        <v>4.9342105263157892E-3</v>
      </c>
      <c r="BS523" s="43">
        <f>(Inventory[[#This Row],[Adjusted Total]]-Inventory[[#This Row],[24Final]])/Inventory[[#This Row],[24Final]]</f>
        <v>-3.1044776119402984E-2</v>
      </c>
    </row>
    <row r="524" spans="1:71">
      <c r="A524" s="30">
        <v>2025</v>
      </c>
      <c r="B524" s="31" t="s">
        <v>1038</v>
      </c>
      <c r="C524" s="31">
        <f>LN(Inventory[[#This Row],[Acres]])</f>
        <v>-1.8325814637483102</v>
      </c>
      <c r="D524" s="30">
        <v>0.16</v>
      </c>
      <c r="E524" s="30">
        <v>7085</v>
      </c>
      <c r="F524" s="31" t="s">
        <v>505</v>
      </c>
      <c r="G524" s="31" t="s">
        <v>155</v>
      </c>
      <c r="H524" s="31" t="s">
        <v>5</v>
      </c>
      <c r="I524" s="31" t="s">
        <v>506</v>
      </c>
      <c r="J524" s="31" t="s">
        <v>507</v>
      </c>
      <c r="K524" s="31" t="s">
        <v>193</v>
      </c>
      <c r="L524" s="31" t="s">
        <v>21</v>
      </c>
      <c r="M524" s="31" t="s">
        <v>20</v>
      </c>
      <c r="N524" s="31">
        <v>10</v>
      </c>
      <c r="O524" s="31">
        <f>2024-Inventory[[#This Row],[YrBlt]]</f>
        <v>17</v>
      </c>
      <c r="P524" s="31">
        <f>2024-Inventory[[#This Row],[EffYr]]</f>
        <v>17</v>
      </c>
      <c r="Q524" s="30">
        <v>2007</v>
      </c>
      <c r="R524" s="30">
        <v>2007</v>
      </c>
      <c r="S524" s="30">
        <v>1092</v>
      </c>
      <c r="T524" s="37"/>
      <c r="U524" s="32"/>
      <c r="V524" s="32"/>
      <c r="W524" s="32"/>
      <c r="X524" s="32">
        <f>Inventory[[#This Row],[Bsmt Area]]-Inventory[[#This Row],[FnBsmt]]</f>
        <v>0</v>
      </c>
      <c r="Y524" s="32">
        <f>Inventory[[#This Row],[MainFn]]+Inventory[[#This Row],[UpprFn]]+Inventory[[#This Row],[AddFn]]+Inventory[[#This Row],[FnBsmt]]</f>
        <v>1092</v>
      </c>
      <c r="Z524" s="32">
        <v>1500</v>
      </c>
      <c r="AA524" s="31" t="s">
        <v>57</v>
      </c>
      <c r="AB524" s="32"/>
      <c r="AC524" s="30">
        <v>440</v>
      </c>
      <c r="AD524" s="32"/>
      <c r="AE524" s="32"/>
      <c r="AF524" s="32"/>
      <c r="AG524" s="32"/>
      <c r="AH524" s="32"/>
      <c r="AI524" s="30">
        <v>260062</v>
      </c>
      <c r="AJ524" s="30">
        <v>239257</v>
      </c>
      <c r="AK524" s="30">
        <v>0</v>
      </c>
      <c r="AL524" s="30">
        <v>0</v>
      </c>
      <c r="AM524" s="30">
        <v>60800</v>
      </c>
      <c r="AN524" s="30">
        <v>274200</v>
      </c>
      <c r="AO524" s="30">
        <v>335000</v>
      </c>
      <c r="AP524" s="30">
        <f>Lookups!$B$58*0.6</f>
        <v>132535.48800000001</v>
      </c>
      <c r="AQ524" s="30">
        <f>Lookups!$B$58*0.4</f>
        <v>88356.992000000013</v>
      </c>
      <c r="AR524" s="30">
        <f>Lookups!$B$59*Inventory[[#This Row],[LnAcres]]</f>
        <v>-24051.387388882686</v>
      </c>
      <c r="AS524" s="30">
        <f>VLOOKUP(Inventory[[#This Row],[Qlty]],Lookups!$A$66:$E$79,2,FALSE)</f>
        <v>32917.849192000001</v>
      </c>
      <c r="AT524" s="30">
        <f>VLOOKUP(Inventory[[#This Row],[Cnd]],Lookups!$A$80:$E$88,2,FALSE)</f>
        <v>30300.329274</v>
      </c>
      <c r="AU524" s="30">
        <f>Inventory[[#This Row],[EffAge]]*Lookups!$B$65</f>
        <v>-1848.5987</v>
      </c>
      <c r="AV524" s="30">
        <f>Inventory[[#This Row],[MainFn]]*Lookups!$B$90</f>
        <v>68152.13496000001</v>
      </c>
      <c r="AW524" s="30">
        <f>Inventory[[#This Row],[UpprFn]]*Lookups!$B$91</f>
        <v>0</v>
      </c>
      <c r="AX524" s="30">
        <f>Inventory[[#This Row],[Bsmt Area]]*Lookups!$B$95</f>
        <v>0</v>
      </c>
      <c r="AY524" s="30">
        <f>Inventory[[#This Row],[AttGar]]*Lookups!$B$93</f>
        <v>15532.453640000002</v>
      </c>
      <c r="AZ524" s="30">
        <f>ROUND(Inventory[[#This Row],[25Det]],-2)</f>
        <v>0</v>
      </c>
      <c r="BA524" s="30">
        <f>ROUND(SUM(Inventory[[#This Row],[Mdl Qlty]:[Mdl Garage Area]])+Inventory[[#This Row],[Mdl Res Intercept]],-2)</f>
        <v>277600</v>
      </c>
      <c r="BB524" s="30">
        <f>ROUND(Inventory[[#This Row],[Mdl Land Intercept]]+Inventory[[#This Row],[Mdl LnAcres]],-2)</f>
        <v>64300</v>
      </c>
      <c r="BC524" s="30">
        <f>Inventory[[#This Row],[Unadj Res Value]]+Inventory[[#This Row],[Unadj Det Value]]+Inventory[[#This Row],[Unadj Land Value]]</f>
        <v>341900</v>
      </c>
      <c r="BD524" s="30">
        <f>(Inventory[[#This Row],[Unadj Total Value]]-Inventory[[#This Row],[24Final]])/Inventory[[#This Row],[24Final]]</f>
        <v>2.0597014925373136E-2</v>
      </c>
      <c r="BE524" s="30">
        <f>VLOOKUP(Inventory[[#This Row],[Nbhd]],Lookups!$M$3:$P$5,4,FALSE)</f>
        <v>0.99970000000000003</v>
      </c>
      <c r="BF524" s="30">
        <f>VLOOKUP(Inventory[[#This Row],[Qlty]],Lookups!$M$8:$P$22,4,FALSE)</f>
        <v>1.0019</v>
      </c>
      <c r="BG524" s="30">
        <f>VLOOKUP(Inventory[[#This Row],[Cnd]],Lookups!$R$8:$U$17,4,FALSE)</f>
        <v>0.997</v>
      </c>
      <c r="BH524" s="30">
        <f>VLOOKUP(Inventory[[#This Row],[LivArea Range]],Lookups!$R$25:$U$43,4,FALSE)</f>
        <v>0.99519999999999997</v>
      </c>
      <c r="BI524" s="30">
        <f>VLOOKUP(Inventory[[#This Row],[Decade]],Lookups!$M$24:$P$40,4,FALSE)</f>
        <v>1.0024</v>
      </c>
      <c r="BJ524" s="30">
        <f>Inventory[[#This Row],[Nbhd Adj]]*0.95</f>
        <v>0.94971499999999998</v>
      </c>
      <c r="BK524" s="30">
        <f>AVERAGE(Inventory[[#This Row],[Nbhd Adj]],Inventory[[#This Row],[Quality Adj]],Inventory[[#This Row],[Condition Adj]],Inventory[[#This Row],[Living Area Adj]],Inventory[[#This Row],[Decade Adj]])*0.95</f>
        <v>0.94927799999999996</v>
      </c>
      <c r="BL524" s="30">
        <f>ROUND((SUM(Inventory[[#This Row],[Mdl Qlty]:[Mdl Garage Area]])+Inventory[[#This Row],[Mdl Res Intercept]])*Inventory[[#This Row],[Res Adj ]],-2)</f>
        <v>263500</v>
      </c>
      <c r="BM524" s="30">
        <f>ROUND(Inventory[[#This Row],[25Det]]*Inventory[[#This Row],[Det/Nbhd Adj]],-2)</f>
        <v>0</v>
      </c>
      <c r="BN524" s="30">
        <f>Inventory[[#This Row],[Adjusted Res]]+Inventory[[#This Row],[Adj Det ]]</f>
        <v>263500</v>
      </c>
      <c r="BO524" s="30">
        <f>ROUND((Inventory[[#This Row],[Mdl Land Intercept]]+Inventory[[#This Row],[Mdl LnAcres]])*Inventory[[#This Row],[Det/Nbhd Adj]],-2)</f>
        <v>61100</v>
      </c>
      <c r="BP524" s="30">
        <f>Inventory[[#This Row],[Adjusted Impr Total]]+Inventory[[#This Row],[Adjusted Land Total]]</f>
        <v>324600</v>
      </c>
      <c r="BQ524" s="30">
        <f>IFERROR((Inventory[[#This Row],[Adjusted Impr Total]]-Inventory[[#This Row],[24Bldg]])/Inventory[[#This Row],[24Bldg]],0)</f>
        <v>-3.9022611232676876E-2</v>
      </c>
      <c r="BR524" s="43">
        <f>(Inventory[[#This Row],[Adjusted Land Total]]-Inventory[[#This Row],[24Lnd]])/Inventory[[#This Row],[24Lnd]]</f>
        <v>4.9342105263157892E-3</v>
      </c>
      <c r="BS524" s="43">
        <f>(Inventory[[#This Row],[Adjusted Total]]-Inventory[[#This Row],[24Final]])/Inventory[[#This Row],[24Final]]</f>
        <v>-3.1044776119402984E-2</v>
      </c>
    </row>
    <row r="525" spans="1:71">
      <c r="A525" s="30">
        <v>2025</v>
      </c>
      <c r="B525" s="31" t="s">
        <v>1039</v>
      </c>
      <c r="C525" s="31">
        <f>LN(Inventory[[#This Row],[Acres]])</f>
        <v>-1.8325814637483102</v>
      </c>
      <c r="D525" s="30">
        <v>0.16</v>
      </c>
      <c r="E525" s="30">
        <v>6875</v>
      </c>
      <c r="F525" s="31" t="s">
        <v>505</v>
      </c>
      <c r="G525" s="31" t="s">
        <v>155</v>
      </c>
      <c r="H525" s="31" t="s">
        <v>5</v>
      </c>
      <c r="I525" s="31" t="s">
        <v>506</v>
      </c>
      <c r="J525" s="31" t="s">
        <v>507</v>
      </c>
      <c r="K525" s="31" t="s">
        <v>157</v>
      </c>
      <c r="L525" s="31" t="s">
        <v>21</v>
      </c>
      <c r="M525" s="31" t="s">
        <v>20</v>
      </c>
      <c r="N525" s="31">
        <v>10</v>
      </c>
      <c r="O525" s="31">
        <f>2024-Inventory[[#This Row],[YrBlt]]</f>
        <v>17</v>
      </c>
      <c r="P525" s="31">
        <f>2024-Inventory[[#This Row],[EffYr]]</f>
        <v>17</v>
      </c>
      <c r="Q525" s="30">
        <v>2007</v>
      </c>
      <c r="R525" s="30">
        <v>2007</v>
      </c>
      <c r="S525" s="30">
        <v>1116</v>
      </c>
      <c r="T525" s="38">
        <v>1116</v>
      </c>
      <c r="U525" s="32"/>
      <c r="V525" s="32"/>
      <c r="W525" s="32"/>
      <c r="X525" s="32">
        <f>Inventory[[#This Row],[Bsmt Area]]-Inventory[[#This Row],[FnBsmt]]</f>
        <v>0</v>
      </c>
      <c r="Y525" s="32">
        <f>Inventory[[#This Row],[MainFn]]+Inventory[[#This Row],[UpprFn]]+Inventory[[#This Row],[AddFn]]+Inventory[[#This Row],[FnBsmt]]</f>
        <v>2232</v>
      </c>
      <c r="Z525" s="32">
        <v>2500</v>
      </c>
      <c r="AA525" s="31" t="s">
        <v>57</v>
      </c>
      <c r="AB525" s="38">
        <v>1</v>
      </c>
      <c r="AC525" s="30">
        <v>716</v>
      </c>
      <c r="AD525" s="32"/>
      <c r="AE525" s="32"/>
      <c r="AF525" s="32"/>
      <c r="AG525" s="32"/>
      <c r="AH525" s="32"/>
      <c r="AI525" s="30">
        <v>459528</v>
      </c>
      <c r="AJ525" s="30">
        <v>422766</v>
      </c>
      <c r="AK525" s="30">
        <v>0</v>
      </c>
      <c r="AL525" s="30">
        <v>0</v>
      </c>
      <c r="AM525" s="30">
        <v>60800</v>
      </c>
      <c r="AN525" s="30">
        <v>348200</v>
      </c>
      <c r="AO525" s="30">
        <v>409000</v>
      </c>
      <c r="AP525" s="30">
        <f>Lookups!$B$58*0.6</f>
        <v>132535.48800000001</v>
      </c>
      <c r="AQ525" s="30">
        <f>Lookups!$B$58*0.4</f>
        <v>88356.992000000013</v>
      </c>
      <c r="AR525" s="30">
        <f>Lookups!$B$59*Inventory[[#This Row],[LnAcres]]</f>
        <v>-24051.387388882686</v>
      </c>
      <c r="AS525" s="30">
        <f>VLOOKUP(Inventory[[#This Row],[Qlty]],Lookups!$A$66:$E$79,2,FALSE)</f>
        <v>32917.849192000001</v>
      </c>
      <c r="AT525" s="30">
        <f>VLOOKUP(Inventory[[#This Row],[Cnd]],Lookups!$A$80:$E$88,2,FALSE)</f>
        <v>30300.329274</v>
      </c>
      <c r="AU525" s="30">
        <f>Inventory[[#This Row],[EffAge]]*Lookups!$B$65</f>
        <v>-1848.5987</v>
      </c>
      <c r="AV525" s="30">
        <f>Inventory[[#This Row],[MainFn]]*Lookups!$B$90</f>
        <v>69649.984080000009</v>
      </c>
      <c r="AW525" s="30">
        <f>Inventory[[#This Row],[UpprFn]]*Lookups!$B$91</f>
        <v>66491.707427999994</v>
      </c>
      <c r="AX525" s="30">
        <f>Inventory[[#This Row],[Bsmt Area]]*Lookups!$B$95</f>
        <v>0</v>
      </c>
      <c r="AY525" s="30">
        <f>Inventory[[#This Row],[AttGar]]*Lookups!$B$93</f>
        <v>25275.538196000001</v>
      </c>
      <c r="AZ525" s="30">
        <f>ROUND(Inventory[[#This Row],[25Det]],-2)</f>
        <v>0</v>
      </c>
      <c r="BA525" s="30">
        <f>ROUND(SUM(Inventory[[#This Row],[Mdl Qlty]:[Mdl Garage Area]])+Inventory[[#This Row],[Mdl Res Intercept]],-2)</f>
        <v>355300</v>
      </c>
      <c r="BB525" s="30">
        <f>ROUND(Inventory[[#This Row],[Mdl Land Intercept]]+Inventory[[#This Row],[Mdl LnAcres]],-2)</f>
        <v>64300</v>
      </c>
      <c r="BC525" s="30">
        <f>Inventory[[#This Row],[Unadj Res Value]]+Inventory[[#This Row],[Unadj Det Value]]+Inventory[[#This Row],[Unadj Land Value]]</f>
        <v>419600</v>
      </c>
      <c r="BD525" s="30">
        <f>(Inventory[[#This Row],[Unadj Total Value]]-Inventory[[#This Row],[24Final]])/Inventory[[#This Row],[24Final]]</f>
        <v>2.591687041564792E-2</v>
      </c>
      <c r="BE525" s="30">
        <f>VLOOKUP(Inventory[[#This Row],[Nbhd]],Lookups!$M$3:$P$5,4,FALSE)</f>
        <v>0.99970000000000003</v>
      </c>
      <c r="BF525" s="30">
        <f>VLOOKUP(Inventory[[#This Row],[Qlty]],Lookups!$M$8:$P$22,4,FALSE)</f>
        <v>1.0019</v>
      </c>
      <c r="BG525" s="30">
        <f>VLOOKUP(Inventory[[#This Row],[Cnd]],Lookups!$R$8:$U$17,4,FALSE)</f>
        <v>0.997</v>
      </c>
      <c r="BH525" s="30">
        <f>VLOOKUP(Inventory[[#This Row],[LivArea Range]],Lookups!$R$25:$U$43,4,FALSE)</f>
        <v>1.0008999999999999</v>
      </c>
      <c r="BI525" s="30">
        <f>VLOOKUP(Inventory[[#This Row],[Decade]],Lookups!$M$24:$P$40,4,FALSE)</f>
        <v>1.0024</v>
      </c>
      <c r="BJ525" s="30">
        <f>Inventory[[#This Row],[Nbhd Adj]]*0.95</f>
        <v>0.94971499999999998</v>
      </c>
      <c r="BK525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525" s="30">
        <f>ROUND((SUM(Inventory[[#This Row],[Mdl Qlty]:[Mdl Garage Area]])+Inventory[[#This Row],[Mdl Res Intercept]])*Inventory[[#This Row],[Res Adj ]],-2)</f>
        <v>337700</v>
      </c>
      <c r="BM525" s="30">
        <f>ROUND(Inventory[[#This Row],[25Det]]*Inventory[[#This Row],[Det/Nbhd Adj]],-2)</f>
        <v>0</v>
      </c>
      <c r="BN525" s="30">
        <f>Inventory[[#This Row],[Adjusted Res]]+Inventory[[#This Row],[Adj Det ]]</f>
        <v>337700</v>
      </c>
      <c r="BO525" s="30">
        <f>ROUND((Inventory[[#This Row],[Mdl Land Intercept]]+Inventory[[#This Row],[Mdl LnAcres]])*Inventory[[#This Row],[Det/Nbhd Adj]],-2)</f>
        <v>61100</v>
      </c>
      <c r="BP525" s="30">
        <f>Inventory[[#This Row],[Adjusted Impr Total]]+Inventory[[#This Row],[Adjusted Land Total]]</f>
        <v>398800</v>
      </c>
      <c r="BQ525" s="30">
        <f>IFERROR((Inventory[[#This Row],[Adjusted Impr Total]]-Inventory[[#This Row],[24Bldg]])/Inventory[[#This Row],[24Bldg]],0)</f>
        <v>-3.0155083285468121E-2</v>
      </c>
      <c r="BR525" s="43">
        <f>(Inventory[[#This Row],[Adjusted Land Total]]-Inventory[[#This Row],[24Lnd]])/Inventory[[#This Row],[24Lnd]]</f>
        <v>4.9342105263157892E-3</v>
      </c>
      <c r="BS525" s="43">
        <f>(Inventory[[#This Row],[Adjusted Total]]-Inventory[[#This Row],[24Final]])/Inventory[[#This Row],[24Final]]</f>
        <v>-2.493887530562347E-2</v>
      </c>
    </row>
    <row r="526" spans="1:71">
      <c r="A526" s="30">
        <v>2025</v>
      </c>
      <c r="B526" s="31" t="s">
        <v>1040</v>
      </c>
      <c r="C526" s="31">
        <f>LN(Inventory[[#This Row],[Acres]])</f>
        <v>-1.8325814637483102</v>
      </c>
      <c r="D526" s="30">
        <v>0.16</v>
      </c>
      <c r="E526" s="30">
        <v>7000</v>
      </c>
      <c r="F526" s="31" t="s">
        <v>505</v>
      </c>
      <c r="G526" s="31" t="s">
        <v>155</v>
      </c>
      <c r="H526" s="31" t="s">
        <v>5</v>
      </c>
      <c r="I526" s="31" t="s">
        <v>506</v>
      </c>
      <c r="J526" s="31" t="s">
        <v>507</v>
      </c>
      <c r="K526" s="31" t="s">
        <v>193</v>
      </c>
      <c r="L526" s="31" t="s">
        <v>21</v>
      </c>
      <c r="M526" s="31" t="s">
        <v>22</v>
      </c>
      <c r="N526" s="31">
        <v>10</v>
      </c>
      <c r="O526" s="31">
        <f>2024-Inventory[[#This Row],[YrBlt]]</f>
        <v>17</v>
      </c>
      <c r="P526" s="31">
        <f>2024-Inventory[[#This Row],[EffYr]]</f>
        <v>17</v>
      </c>
      <c r="Q526" s="30">
        <v>2007</v>
      </c>
      <c r="R526" s="30">
        <v>2007</v>
      </c>
      <c r="S526" s="30">
        <v>1092</v>
      </c>
      <c r="T526" s="32"/>
      <c r="U526" s="32"/>
      <c r="V526" s="32"/>
      <c r="W526" s="32"/>
      <c r="X526" s="32">
        <f>Inventory[[#This Row],[Bsmt Area]]-Inventory[[#This Row],[FnBsmt]]</f>
        <v>0</v>
      </c>
      <c r="Y526" s="32">
        <f>Inventory[[#This Row],[MainFn]]+Inventory[[#This Row],[UpprFn]]+Inventory[[#This Row],[AddFn]]+Inventory[[#This Row],[FnBsmt]]</f>
        <v>1092</v>
      </c>
      <c r="Z526" s="32">
        <v>1500</v>
      </c>
      <c r="AA526" s="31" t="s">
        <v>57</v>
      </c>
      <c r="AB526" s="32"/>
      <c r="AC526" s="30">
        <v>440</v>
      </c>
      <c r="AD526" s="32"/>
      <c r="AE526" s="32"/>
      <c r="AF526" s="32"/>
      <c r="AG526" s="32"/>
      <c r="AH526" s="32"/>
      <c r="AI526" s="30">
        <v>259370</v>
      </c>
      <c r="AJ526" s="30">
        <v>241214</v>
      </c>
      <c r="AK526" s="30">
        <v>0</v>
      </c>
      <c r="AL526" s="30">
        <v>0</v>
      </c>
      <c r="AM526" s="30">
        <v>60800</v>
      </c>
      <c r="AN526" s="30">
        <v>289900</v>
      </c>
      <c r="AO526" s="30">
        <v>350700</v>
      </c>
      <c r="AP526" s="30">
        <f>Lookups!$B$58*0.6</f>
        <v>132535.48800000001</v>
      </c>
      <c r="AQ526" s="30">
        <f>Lookups!$B$58*0.4</f>
        <v>88356.992000000013</v>
      </c>
      <c r="AR526" s="30">
        <f>Lookups!$B$59*Inventory[[#This Row],[LnAcres]]</f>
        <v>-24051.387388882686</v>
      </c>
      <c r="AS526" s="30">
        <f>VLOOKUP(Inventory[[#This Row],[Qlty]],Lookups!$A$66:$E$79,2,FALSE)</f>
        <v>32917.849192000001</v>
      </c>
      <c r="AT526" s="30">
        <f>VLOOKUP(Inventory[[#This Row],[Cnd]],Lookups!$A$80:$E$88,2,FALSE)</f>
        <v>50438.379078999998</v>
      </c>
      <c r="AU526" s="30">
        <f>Inventory[[#This Row],[EffAge]]*Lookups!$B$65</f>
        <v>-1848.5987</v>
      </c>
      <c r="AV526" s="30">
        <f>Inventory[[#This Row],[MainFn]]*Lookups!$B$90</f>
        <v>68152.13496000001</v>
      </c>
      <c r="AW526" s="30">
        <f>Inventory[[#This Row],[UpprFn]]*Lookups!$B$91</f>
        <v>0</v>
      </c>
      <c r="AX526" s="30">
        <f>Inventory[[#This Row],[Bsmt Area]]*Lookups!$B$95</f>
        <v>0</v>
      </c>
      <c r="AY526" s="30">
        <f>Inventory[[#This Row],[AttGar]]*Lookups!$B$93</f>
        <v>15532.453640000002</v>
      </c>
      <c r="AZ526" s="30">
        <f>ROUND(Inventory[[#This Row],[25Det]],-2)</f>
        <v>0</v>
      </c>
      <c r="BA526" s="30">
        <f>ROUND(SUM(Inventory[[#This Row],[Mdl Qlty]:[Mdl Garage Area]])+Inventory[[#This Row],[Mdl Res Intercept]],-2)</f>
        <v>297700</v>
      </c>
      <c r="BB526" s="30">
        <f>ROUND(Inventory[[#This Row],[Mdl Land Intercept]]+Inventory[[#This Row],[Mdl LnAcres]],-2)</f>
        <v>64300</v>
      </c>
      <c r="BC526" s="30">
        <f>Inventory[[#This Row],[Unadj Res Value]]+Inventory[[#This Row],[Unadj Det Value]]+Inventory[[#This Row],[Unadj Land Value]]</f>
        <v>362000</v>
      </c>
      <c r="BD526" s="30">
        <f>(Inventory[[#This Row],[Unadj Total Value]]-Inventory[[#This Row],[24Final]])/Inventory[[#This Row],[24Final]]</f>
        <v>3.2221271742229829E-2</v>
      </c>
      <c r="BE526" s="30">
        <f>VLOOKUP(Inventory[[#This Row],[Nbhd]],Lookups!$M$3:$P$5,4,FALSE)</f>
        <v>0.99970000000000003</v>
      </c>
      <c r="BF526" s="30">
        <f>VLOOKUP(Inventory[[#This Row],[Qlty]],Lookups!$M$8:$P$22,4,FALSE)</f>
        <v>1.0019</v>
      </c>
      <c r="BG526" s="30">
        <f>VLOOKUP(Inventory[[#This Row],[Cnd]],Lookups!$R$8:$U$17,4,FALSE)</f>
        <v>1.0007999999999999</v>
      </c>
      <c r="BH526" s="30">
        <f>VLOOKUP(Inventory[[#This Row],[LivArea Range]],Lookups!$R$25:$U$43,4,FALSE)</f>
        <v>0.99519999999999997</v>
      </c>
      <c r="BI526" s="30">
        <f>VLOOKUP(Inventory[[#This Row],[Decade]],Lookups!$M$24:$P$40,4,FALSE)</f>
        <v>1.0024</v>
      </c>
      <c r="BJ526" s="30">
        <f>Inventory[[#This Row],[Nbhd Adj]]*0.95</f>
        <v>0.94971499999999998</v>
      </c>
      <c r="BK526" s="30">
        <f>AVERAGE(Inventory[[#This Row],[Nbhd Adj]],Inventory[[#This Row],[Quality Adj]],Inventory[[#This Row],[Condition Adj]],Inventory[[#This Row],[Living Area Adj]],Inventory[[#This Row],[Decade Adj]])*0.95</f>
        <v>0.95</v>
      </c>
      <c r="BL526" s="30">
        <f>ROUND((SUM(Inventory[[#This Row],[Mdl Qlty]:[Mdl Garage Area]])+Inventory[[#This Row],[Mdl Res Intercept]])*Inventory[[#This Row],[Res Adj ]],-2)</f>
        <v>282800</v>
      </c>
      <c r="BM526" s="30">
        <f>ROUND(Inventory[[#This Row],[25Det]]*Inventory[[#This Row],[Det/Nbhd Adj]],-2)</f>
        <v>0</v>
      </c>
      <c r="BN526" s="30">
        <f>Inventory[[#This Row],[Adjusted Res]]+Inventory[[#This Row],[Adj Det ]]</f>
        <v>282800</v>
      </c>
      <c r="BO526" s="30">
        <f>ROUND((Inventory[[#This Row],[Mdl Land Intercept]]+Inventory[[#This Row],[Mdl LnAcres]])*Inventory[[#This Row],[Det/Nbhd Adj]],-2)</f>
        <v>61100</v>
      </c>
      <c r="BP526" s="30">
        <f>Inventory[[#This Row],[Adjusted Impr Total]]+Inventory[[#This Row],[Adjusted Land Total]]</f>
        <v>343900</v>
      </c>
      <c r="BQ526" s="30">
        <f>IFERROR((Inventory[[#This Row],[Adjusted Impr Total]]-Inventory[[#This Row],[24Bldg]])/Inventory[[#This Row],[24Bldg]],0)</f>
        <v>-2.4491203863401173E-2</v>
      </c>
      <c r="BR526" s="43">
        <f>(Inventory[[#This Row],[Adjusted Land Total]]-Inventory[[#This Row],[24Lnd]])/Inventory[[#This Row],[24Lnd]]</f>
        <v>4.9342105263157892E-3</v>
      </c>
      <c r="BS526" s="43">
        <f>(Inventory[[#This Row],[Adjusted Total]]-Inventory[[#This Row],[24Final]])/Inventory[[#This Row],[24Final]]</f>
        <v>-1.9389791844881665E-2</v>
      </c>
    </row>
    <row r="527" spans="1:71">
      <c r="A527" s="30">
        <v>2025</v>
      </c>
      <c r="B527" s="31" t="s">
        <v>1041</v>
      </c>
      <c r="C527" s="31">
        <f>LN(Inventory[[#This Row],[Acres]])</f>
        <v>-1.8325814637483102</v>
      </c>
      <c r="D527" s="30">
        <v>0.16</v>
      </c>
      <c r="E527" s="30">
        <v>7023</v>
      </c>
      <c r="F527" s="31" t="s">
        <v>505</v>
      </c>
      <c r="G527" s="31" t="s">
        <v>155</v>
      </c>
      <c r="H527" s="31" t="s">
        <v>5</v>
      </c>
      <c r="I527" s="31" t="s">
        <v>506</v>
      </c>
      <c r="J527" s="31" t="s">
        <v>507</v>
      </c>
      <c r="K527" s="31" t="s">
        <v>193</v>
      </c>
      <c r="L527" s="31" t="s">
        <v>21</v>
      </c>
      <c r="M527" s="31" t="s">
        <v>20</v>
      </c>
      <c r="N527" s="31">
        <v>10</v>
      </c>
      <c r="O527" s="31">
        <f>2024-Inventory[[#This Row],[YrBlt]]</f>
        <v>17</v>
      </c>
      <c r="P527" s="31">
        <f>2024-Inventory[[#This Row],[EffYr]]</f>
        <v>17</v>
      </c>
      <c r="Q527" s="30">
        <v>2007</v>
      </c>
      <c r="R527" s="30">
        <v>2007</v>
      </c>
      <c r="S527" s="30">
        <v>1706</v>
      </c>
      <c r="T527" s="32"/>
      <c r="U527" s="32"/>
      <c r="V527" s="32"/>
      <c r="W527" s="32"/>
      <c r="X527" s="32">
        <f>Inventory[[#This Row],[Bsmt Area]]-Inventory[[#This Row],[FnBsmt]]</f>
        <v>0</v>
      </c>
      <c r="Y527" s="32">
        <f>Inventory[[#This Row],[MainFn]]+Inventory[[#This Row],[UpprFn]]+Inventory[[#This Row],[AddFn]]+Inventory[[#This Row],[FnBsmt]]</f>
        <v>1706</v>
      </c>
      <c r="Z527" s="32">
        <v>2000</v>
      </c>
      <c r="AA527" s="31" t="s">
        <v>57</v>
      </c>
      <c r="AB527" s="32"/>
      <c r="AC527" s="30">
        <v>466</v>
      </c>
      <c r="AD527" s="32"/>
      <c r="AE527" s="32"/>
      <c r="AF527" s="32"/>
      <c r="AG527" s="32"/>
      <c r="AH527" s="32"/>
      <c r="AI527" s="30">
        <v>377448</v>
      </c>
      <c r="AJ527" s="30">
        <v>347252</v>
      </c>
      <c r="AK527" s="30">
        <v>0</v>
      </c>
      <c r="AL527" s="30">
        <v>0</v>
      </c>
      <c r="AM527" s="30">
        <v>60800</v>
      </c>
      <c r="AN527" s="30">
        <v>307200</v>
      </c>
      <c r="AO527" s="30">
        <v>368000</v>
      </c>
      <c r="AP527" s="30">
        <f>Lookups!$B$58*0.6</f>
        <v>132535.48800000001</v>
      </c>
      <c r="AQ527" s="30">
        <f>Lookups!$B$58*0.4</f>
        <v>88356.992000000013</v>
      </c>
      <c r="AR527" s="30">
        <f>Lookups!$B$59*Inventory[[#This Row],[LnAcres]]</f>
        <v>-24051.387388882686</v>
      </c>
      <c r="AS527" s="30">
        <f>VLOOKUP(Inventory[[#This Row],[Qlty]],Lookups!$A$66:$E$79,2,FALSE)</f>
        <v>32917.849192000001</v>
      </c>
      <c r="AT527" s="30">
        <f>VLOOKUP(Inventory[[#This Row],[Cnd]],Lookups!$A$80:$E$88,2,FALSE)</f>
        <v>30300.329274</v>
      </c>
      <c r="AU527" s="30">
        <f>Inventory[[#This Row],[EffAge]]*Lookups!$B$65</f>
        <v>-1848.5987</v>
      </c>
      <c r="AV527" s="30">
        <f>Inventory[[#This Row],[MainFn]]*Lookups!$B$90</f>
        <v>106472.10828</v>
      </c>
      <c r="AW527" s="30">
        <f>Inventory[[#This Row],[UpprFn]]*Lookups!$B$91</f>
        <v>0</v>
      </c>
      <c r="AX527" s="30">
        <f>Inventory[[#This Row],[Bsmt Area]]*Lookups!$B$95</f>
        <v>0</v>
      </c>
      <c r="AY527" s="30">
        <f>Inventory[[#This Row],[AttGar]]*Lookups!$B$93</f>
        <v>16450.280446000001</v>
      </c>
      <c r="AZ527" s="30">
        <f>ROUND(Inventory[[#This Row],[25Det]],-2)</f>
        <v>0</v>
      </c>
      <c r="BA527" s="30">
        <f>ROUND(SUM(Inventory[[#This Row],[Mdl Qlty]:[Mdl Garage Area]])+Inventory[[#This Row],[Mdl Res Intercept]],-2)</f>
        <v>316800</v>
      </c>
      <c r="BB527" s="30">
        <f>ROUND(Inventory[[#This Row],[Mdl Land Intercept]]+Inventory[[#This Row],[Mdl LnAcres]],-2)</f>
        <v>64300</v>
      </c>
      <c r="BC527" s="30">
        <f>Inventory[[#This Row],[Unadj Res Value]]+Inventory[[#This Row],[Unadj Det Value]]+Inventory[[#This Row],[Unadj Land Value]]</f>
        <v>381100</v>
      </c>
      <c r="BD527" s="30">
        <f>(Inventory[[#This Row],[Unadj Total Value]]-Inventory[[#This Row],[24Final]])/Inventory[[#This Row],[24Final]]</f>
        <v>3.5597826086956524E-2</v>
      </c>
      <c r="BE527" s="30">
        <f>VLOOKUP(Inventory[[#This Row],[Nbhd]],Lookups!$M$3:$P$5,4,FALSE)</f>
        <v>0.99970000000000003</v>
      </c>
      <c r="BF527" s="30">
        <f>VLOOKUP(Inventory[[#This Row],[Qlty]],Lookups!$M$8:$P$22,4,FALSE)</f>
        <v>1.0019</v>
      </c>
      <c r="BG527" s="30">
        <f>VLOOKUP(Inventory[[#This Row],[Cnd]],Lookups!$R$8:$U$17,4,FALSE)</f>
        <v>0.997</v>
      </c>
      <c r="BH527" s="30">
        <f>VLOOKUP(Inventory[[#This Row],[LivArea Range]],Lookups!$R$25:$U$43,4,FALSE)</f>
        <v>1.0007999999999999</v>
      </c>
      <c r="BI527" s="30">
        <f>VLOOKUP(Inventory[[#This Row],[Decade]],Lookups!$M$24:$P$40,4,FALSE)</f>
        <v>1.0024</v>
      </c>
      <c r="BJ527" s="30">
        <f>Inventory[[#This Row],[Nbhd Adj]]*0.95</f>
        <v>0.94971499999999998</v>
      </c>
      <c r="BK527" s="30">
        <f>AVERAGE(Inventory[[#This Row],[Nbhd Adj]],Inventory[[#This Row],[Quality Adj]],Inventory[[#This Row],[Condition Adj]],Inventory[[#This Row],[Living Area Adj]],Inventory[[#This Row],[Decade Adj]])*0.95</f>
        <v>0.95034199999999991</v>
      </c>
      <c r="BL527" s="30">
        <f>ROUND((SUM(Inventory[[#This Row],[Mdl Qlty]:[Mdl Garage Area]])+Inventory[[#This Row],[Mdl Res Intercept]])*Inventory[[#This Row],[Res Adj ]],-2)</f>
        <v>301100</v>
      </c>
      <c r="BM527" s="30">
        <f>ROUND(Inventory[[#This Row],[25Det]]*Inventory[[#This Row],[Det/Nbhd Adj]],-2)</f>
        <v>0</v>
      </c>
      <c r="BN527" s="30">
        <f>Inventory[[#This Row],[Adjusted Res]]+Inventory[[#This Row],[Adj Det ]]</f>
        <v>301100</v>
      </c>
      <c r="BO527" s="30">
        <f>ROUND((Inventory[[#This Row],[Mdl Land Intercept]]+Inventory[[#This Row],[Mdl LnAcres]])*Inventory[[#This Row],[Det/Nbhd Adj]],-2)</f>
        <v>61100</v>
      </c>
      <c r="BP527" s="30">
        <f>Inventory[[#This Row],[Adjusted Impr Total]]+Inventory[[#This Row],[Adjusted Land Total]]</f>
        <v>362200</v>
      </c>
      <c r="BQ527" s="30">
        <f>IFERROR((Inventory[[#This Row],[Adjusted Impr Total]]-Inventory[[#This Row],[24Bldg]])/Inventory[[#This Row],[24Bldg]],0)</f>
        <v>-1.9856770833333332E-2</v>
      </c>
      <c r="BR527" s="43">
        <f>(Inventory[[#This Row],[Adjusted Land Total]]-Inventory[[#This Row],[24Lnd]])/Inventory[[#This Row],[24Lnd]]</f>
        <v>4.9342105263157892E-3</v>
      </c>
      <c r="BS527" s="43">
        <f>(Inventory[[#This Row],[Adjusted Total]]-Inventory[[#This Row],[24Final]])/Inventory[[#This Row],[24Final]]</f>
        <v>-1.5760869565217391E-2</v>
      </c>
    </row>
    <row r="528" spans="1:71">
      <c r="A528" s="30">
        <v>2025</v>
      </c>
      <c r="B528" s="31" t="s">
        <v>1042</v>
      </c>
      <c r="C528" s="31">
        <f>LN(Inventory[[#This Row],[Acres]])</f>
        <v>-1.8325814637483102</v>
      </c>
      <c r="D528" s="30">
        <v>0.16</v>
      </c>
      <c r="E528" s="30">
        <v>6875</v>
      </c>
      <c r="F528" s="31" t="s">
        <v>505</v>
      </c>
      <c r="G528" s="31" t="s">
        <v>155</v>
      </c>
      <c r="H528" s="31" t="s">
        <v>5</v>
      </c>
      <c r="I528" s="31" t="s">
        <v>506</v>
      </c>
      <c r="J528" s="31" t="s">
        <v>507</v>
      </c>
      <c r="K528" s="31" t="s">
        <v>193</v>
      </c>
      <c r="L528" s="31" t="s">
        <v>21</v>
      </c>
      <c r="M528" s="31" t="s">
        <v>20</v>
      </c>
      <c r="N528" s="31">
        <v>10</v>
      </c>
      <c r="O528" s="31">
        <f>2024-Inventory[[#This Row],[YrBlt]]</f>
        <v>17</v>
      </c>
      <c r="P528" s="31">
        <f>2024-Inventory[[#This Row],[EffYr]]</f>
        <v>17</v>
      </c>
      <c r="Q528" s="30">
        <v>2007</v>
      </c>
      <c r="R528" s="30">
        <v>2007</v>
      </c>
      <c r="S528" s="30">
        <v>1536</v>
      </c>
      <c r="T528" s="32"/>
      <c r="U528" s="32"/>
      <c r="V528" s="32"/>
      <c r="W528" s="32"/>
      <c r="X528" s="32">
        <f>Inventory[[#This Row],[Bsmt Area]]-Inventory[[#This Row],[FnBsmt]]</f>
        <v>0</v>
      </c>
      <c r="Y528" s="32">
        <f>Inventory[[#This Row],[MainFn]]+Inventory[[#This Row],[UpprFn]]+Inventory[[#This Row],[AddFn]]+Inventory[[#This Row],[FnBsmt]]</f>
        <v>1536</v>
      </c>
      <c r="Z528" s="32">
        <v>2000</v>
      </c>
      <c r="AA528" s="31" t="s">
        <v>57</v>
      </c>
      <c r="AB528" s="32"/>
      <c r="AC528" s="30">
        <v>440</v>
      </c>
      <c r="AD528" s="32"/>
      <c r="AE528" s="32"/>
      <c r="AF528" s="32"/>
      <c r="AG528" s="32"/>
      <c r="AH528" s="32"/>
      <c r="AI528" s="30">
        <v>335064</v>
      </c>
      <c r="AJ528" s="30">
        <v>308259</v>
      </c>
      <c r="AK528" s="30">
        <v>0</v>
      </c>
      <c r="AL528" s="30">
        <v>0</v>
      </c>
      <c r="AM528" s="30">
        <v>60800</v>
      </c>
      <c r="AN528" s="30">
        <v>295300</v>
      </c>
      <c r="AO528" s="30">
        <v>356100</v>
      </c>
      <c r="AP528" s="30">
        <f>Lookups!$B$58*0.6</f>
        <v>132535.48800000001</v>
      </c>
      <c r="AQ528" s="30">
        <f>Lookups!$B$58*0.4</f>
        <v>88356.992000000013</v>
      </c>
      <c r="AR528" s="30">
        <f>Lookups!$B$59*Inventory[[#This Row],[LnAcres]]</f>
        <v>-24051.387388882686</v>
      </c>
      <c r="AS528" s="30">
        <f>VLOOKUP(Inventory[[#This Row],[Qlty]],Lookups!$A$66:$E$79,2,FALSE)</f>
        <v>32917.849192000001</v>
      </c>
      <c r="AT528" s="30">
        <f>VLOOKUP(Inventory[[#This Row],[Cnd]],Lookups!$A$80:$E$88,2,FALSE)</f>
        <v>30300.329274</v>
      </c>
      <c r="AU528" s="30">
        <f>Inventory[[#This Row],[EffAge]]*Lookups!$B$65</f>
        <v>-1848.5987</v>
      </c>
      <c r="AV528" s="30">
        <f>Inventory[[#This Row],[MainFn]]*Lookups!$B$90</f>
        <v>95862.343680000005</v>
      </c>
      <c r="AW528" s="30">
        <f>Inventory[[#This Row],[UpprFn]]*Lookups!$B$91</f>
        <v>0</v>
      </c>
      <c r="AX528" s="30">
        <f>Inventory[[#This Row],[Bsmt Area]]*Lookups!$B$95</f>
        <v>0</v>
      </c>
      <c r="AY528" s="30">
        <f>Inventory[[#This Row],[AttGar]]*Lookups!$B$93</f>
        <v>15532.453640000002</v>
      </c>
      <c r="AZ528" s="30">
        <f>ROUND(Inventory[[#This Row],[25Det]],-2)</f>
        <v>0</v>
      </c>
      <c r="BA528" s="30">
        <f>ROUND(SUM(Inventory[[#This Row],[Mdl Qlty]:[Mdl Garage Area]])+Inventory[[#This Row],[Mdl Res Intercept]],-2)</f>
        <v>305300</v>
      </c>
      <c r="BB528" s="30">
        <f>ROUND(Inventory[[#This Row],[Mdl Land Intercept]]+Inventory[[#This Row],[Mdl LnAcres]],-2)</f>
        <v>64300</v>
      </c>
      <c r="BC528" s="30">
        <f>Inventory[[#This Row],[Unadj Res Value]]+Inventory[[#This Row],[Unadj Det Value]]+Inventory[[#This Row],[Unadj Land Value]]</f>
        <v>369600</v>
      </c>
      <c r="BD528" s="30">
        <f>(Inventory[[#This Row],[Unadj Total Value]]-Inventory[[#This Row],[24Final]])/Inventory[[#This Row],[24Final]]</f>
        <v>3.7910699241786014E-2</v>
      </c>
      <c r="BE528" s="30">
        <f>VLOOKUP(Inventory[[#This Row],[Nbhd]],Lookups!$M$3:$P$5,4,FALSE)</f>
        <v>0.99970000000000003</v>
      </c>
      <c r="BF528" s="30">
        <f>VLOOKUP(Inventory[[#This Row],[Qlty]],Lookups!$M$8:$P$22,4,FALSE)</f>
        <v>1.0019</v>
      </c>
      <c r="BG528" s="30">
        <f>VLOOKUP(Inventory[[#This Row],[Cnd]],Lookups!$R$8:$U$17,4,FALSE)</f>
        <v>0.997</v>
      </c>
      <c r="BH528" s="30">
        <f>VLOOKUP(Inventory[[#This Row],[LivArea Range]],Lookups!$R$25:$U$43,4,FALSE)</f>
        <v>1.0007999999999999</v>
      </c>
      <c r="BI528" s="30">
        <f>VLOOKUP(Inventory[[#This Row],[Decade]],Lookups!$M$24:$P$40,4,FALSE)</f>
        <v>1.0024</v>
      </c>
      <c r="BJ528" s="30">
        <f>Inventory[[#This Row],[Nbhd Adj]]*0.95</f>
        <v>0.94971499999999998</v>
      </c>
      <c r="BK528" s="30">
        <f>AVERAGE(Inventory[[#This Row],[Nbhd Adj]],Inventory[[#This Row],[Quality Adj]],Inventory[[#This Row],[Condition Adj]],Inventory[[#This Row],[Living Area Adj]],Inventory[[#This Row],[Decade Adj]])*0.95</f>
        <v>0.95034199999999991</v>
      </c>
      <c r="BL528" s="30">
        <f>ROUND((SUM(Inventory[[#This Row],[Mdl Qlty]:[Mdl Garage Area]])+Inventory[[#This Row],[Mdl Res Intercept]])*Inventory[[#This Row],[Res Adj ]],-2)</f>
        <v>290100</v>
      </c>
      <c r="BM528" s="30">
        <f>ROUND(Inventory[[#This Row],[25Det]]*Inventory[[#This Row],[Det/Nbhd Adj]],-2)</f>
        <v>0</v>
      </c>
      <c r="BN528" s="30">
        <f>Inventory[[#This Row],[Adjusted Res]]+Inventory[[#This Row],[Adj Det ]]</f>
        <v>290100</v>
      </c>
      <c r="BO528" s="30">
        <f>ROUND((Inventory[[#This Row],[Mdl Land Intercept]]+Inventory[[#This Row],[Mdl LnAcres]])*Inventory[[#This Row],[Det/Nbhd Adj]],-2)</f>
        <v>61100</v>
      </c>
      <c r="BP528" s="30">
        <f>Inventory[[#This Row],[Adjusted Impr Total]]+Inventory[[#This Row],[Adjusted Land Total]]</f>
        <v>351200</v>
      </c>
      <c r="BQ528" s="30">
        <f>IFERROR((Inventory[[#This Row],[Adjusted Impr Total]]-Inventory[[#This Row],[24Bldg]])/Inventory[[#This Row],[24Bldg]],0)</f>
        <v>-1.760921097189299E-2</v>
      </c>
      <c r="BR528" s="43">
        <f>(Inventory[[#This Row],[Adjusted Land Total]]-Inventory[[#This Row],[24Lnd]])/Inventory[[#This Row],[24Lnd]]</f>
        <v>4.9342105263157892E-3</v>
      </c>
      <c r="BS528" s="43">
        <f>(Inventory[[#This Row],[Adjusted Total]]-Inventory[[#This Row],[24Final]])/Inventory[[#This Row],[24Final]]</f>
        <v>-1.3760179724796406E-2</v>
      </c>
    </row>
    <row r="529" spans="1:71">
      <c r="A529" s="30">
        <v>2025</v>
      </c>
      <c r="B529" s="31" t="s">
        <v>1043</v>
      </c>
      <c r="C529" s="31">
        <f>LN(Inventory[[#This Row],[Acres]])</f>
        <v>-1.8325814637483102</v>
      </c>
      <c r="D529" s="30">
        <v>0.16</v>
      </c>
      <c r="E529" s="30">
        <v>7000</v>
      </c>
      <c r="F529" s="31" t="s">
        <v>505</v>
      </c>
      <c r="G529" s="31" t="s">
        <v>155</v>
      </c>
      <c r="H529" s="31" t="s">
        <v>5</v>
      </c>
      <c r="I529" s="31" t="s">
        <v>506</v>
      </c>
      <c r="J529" s="31" t="s">
        <v>507</v>
      </c>
      <c r="K529" s="31" t="s">
        <v>193</v>
      </c>
      <c r="L529" s="31" t="s">
        <v>21</v>
      </c>
      <c r="M529" s="31" t="s">
        <v>22</v>
      </c>
      <c r="N529" s="31">
        <v>10</v>
      </c>
      <c r="O529" s="31">
        <f>2024-Inventory[[#This Row],[YrBlt]]</f>
        <v>17</v>
      </c>
      <c r="P529" s="31">
        <f>2024-Inventory[[#This Row],[EffYr]]</f>
        <v>17</v>
      </c>
      <c r="Q529" s="30">
        <v>2007</v>
      </c>
      <c r="R529" s="30">
        <v>2007</v>
      </c>
      <c r="S529" s="30">
        <v>1368</v>
      </c>
      <c r="T529" s="37"/>
      <c r="U529" s="32"/>
      <c r="V529" s="32"/>
      <c r="W529" s="32"/>
      <c r="X529" s="32">
        <f>Inventory[[#This Row],[Bsmt Area]]-Inventory[[#This Row],[FnBsmt]]</f>
        <v>0</v>
      </c>
      <c r="Y529" s="32">
        <f>Inventory[[#This Row],[MainFn]]+Inventory[[#This Row],[UpprFn]]+Inventory[[#This Row],[AddFn]]+Inventory[[#This Row],[FnBsmt]]</f>
        <v>1368</v>
      </c>
      <c r="Z529" s="32">
        <v>1500</v>
      </c>
      <c r="AA529" s="31" t="s">
        <v>57</v>
      </c>
      <c r="AB529" s="30">
        <v>1</v>
      </c>
      <c r="AC529" s="30">
        <v>440</v>
      </c>
      <c r="AD529" s="37"/>
      <c r="AE529" s="32"/>
      <c r="AF529" s="32"/>
      <c r="AG529" s="32"/>
      <c r="AH529" s="32"/>
      <c r="AI529" s="30">
        <v>312351</v>
      </c>
      <c r="AJ529" s="30">
        <v>290486</v>
      </c>
      <c r="AK529" s="30">
        <v>0</v>
      </c>
      <c r="AL529" s="30">
        <v>0</v>
      </c>
      <c r="AM529" s="30">
        <v>60800</v>
      </c>
      <c r="AN529" s="30">
        <v>302000</v>
      </c>
      <c r="AO529" s="30">
        <v>362800</v>
      </c>
      <c r="AP529" s="30">
        <f>Lookups!$B$58*0.6</f>
        <v>132535.48800000001</v>
      </c>
      <c r="AQ529" s="30">
        <f>Lookups!$B$58*0.4</f>
        <v>88356.992000000013</v>
      </c>
      <c r="AR529" s="30">
        <f>Lookups!$B$59*Inventory[[#This Row],[LnAcres]]</f>
        <v>-24051.387388882686</v>
      </c>
      <c r="AS529" s="30">
        <f>VLOOKUP(Inventory[[#This Row],[Qlty]],Lookups!$A$66:$E$79,2,FALSE)</f>
        <v>32917.849192000001</v>
      </c>
      <c r="AT529" s="30">
        <f>VLOOKUP(Inventory[[#This Row],[Cnd]],Lookups!$A$80:$E$88,2,FALSE)</f>
        <v>50438.379078999998</v>
      </c>
      <c r="AU529" s="30">
        <f>Inventory[[#This Row],[EffAge]]*Lookups!$B$65</f>
        <v>-1848.5987</v>
      </c>
      <c r="AV529" s="30">
        <f>Inventory[[#This Row],[MainFn]]*Lookups!$B$90</f>
        <v>85377.399839999998</v>
      </c>
      <c r="AW529" s="30">
        <f>Inventory[[#This Row],[UpprFn]]*Lookups!$B$91</f>
        <v>0</v>
      </c>
      <c r="AX529" s="30">
        <f>Inventory[[#This Row],[Bsmt Area]]*Lookups!$B$95</f>
        <v>0</v>
      </c>
      <c r="AY529" s="30">
        <f>Inventory[[#This Row],[AttGar]]*Lookups!$B$93</f>
        <v>15532.453640000002</v>
      </c>
      <c r="AZ529" s="30">
        <f>ROUND(Inventory[[#This Row],[25Det]],-2)</f>
        <v>0</v>
      </c>
      <c r="BA529" s="30">
        <f>ROUND(SUM(Inventory[[#This Row],[Mdl Qlty]:[Mdl Garage Area]])+Inventory[[#This Row],[Mdl Res Intercept]],-2)</f>
        <v>315000</v>
      </c>
      <c r="BB529" s="30">
        <f>ROUND(Inventory[[#This Row],[Mdl Land Intercept]]+Inventory[[#This Row],[Mdl LnAcres]],-2)</f>
        <v>64300</v>
      </c>
      <c r="BC529" s="30">
        <f>Inventory[[#This Row],[Unadj Res Value]]+Inventory[[#This Row],[Unadj Det Value]]+Inventory[[#This Row],[Unadj Land Value]]</f>
        <v>379300</v>
      </c>
      <c r="BD529" s="30">
        <f>(Inventory[[#This Row],[Unadj Total Value]]-Inventory[[#This Row],[24Final]])/Inventory[[#This Row],[24Final]]</f>
        <v>4.5479603087100327E-2</v>
      </c>
      <c r="BE529" s="30">
        <f>VLOOKUP(Inventory[[#This Row],[Nbhd]],Lookups!$M$3:$P$5,4,FALSE)</f>
        <v>0.99970000000000003</v>
      </c>
      <c r="BF529" s="30">
        <f>VLOOKUP(Inventory[[#This Row],[Qlty]],Lookups!$M$8:$P$22,4,FALSE)</f>
        <v>1.0019</v>
      </c>
      <c r="BG529" s="30">
        <f>VLOOKUP(Inventory[[#This Row],[Cnd]],Lookups!$R$8:$U$17,4,FALSE)</f>
        <v>1.0007999999999999</v>
      </c>
      <c r="BH529" s="30">
        <f>VLOOKUP(Inventory[[#This Row],[LivArea Range]],Lookups!$R$25:$U$43,4,FALSE)</f>
        <v>0.99519999999999997</v>
      </c>
      <c r="BI529" s="30">
        <f>VLOOKUP(Inventory[[#This Row],[Decade]],Lookups!$M$24:$P$40,4,FALSE)</f>
        <v>1.0024</v>
      </c>
      <c r="BJ529" s="30">
        <f>Inventory[[#This Row],[Nbhd Adj]]*0.95</f>
        <v>0.94971499999999998</v>
      </c>
      <c r="BK529" s="30">
        <f>AVERAGE(Inventory[[#This Row],[Nbhd Adj]],Inventory[[#This Row],[Quality Adj]],Inventory[[#This Row],[Condition Adj]],Inventory[[#This Row],[Living Area Adj]],Inventory[[#This Row],[Decade Adj]])*0.95</f>
        <v>0.95</v>
      </c>
      <c r="BL529" s="30">
        <f>ROUND((SUM(Inventory[[#This Row],[Mdl Qlty]:[Mdl Garage Area]])+Inventory[[#This Row],[Mdl Res Intercept]])*Inventory[[#This Row],[Res Adj ]],-2)</f>
        <v>299200</v>
      </c>
      <c r="BM529" s="30">
        <f>ROUND(Inventory[[#This Row],[25Det]]*Inventory[[#This Row],[Det/Nbhd Adj]],-2)</f>
        <v>0</v>
      </c>
      <c r="BN529" s="30">
        <f>Inventory[[#This Row],[Adjusted Res]]+Inventory[[#This Row],[Adj Det ]]</f>
        <v>299200</v>
      </c>
      <c r="BO529" s="30">
        <f>ROUND((Inventory[[#This Row],[Mdl Land Intercept]]+Inventory[[#This Row],[Mdl LnAcres]])*Inventory[[#This Row],[Det/Nbhd Adj]],-2)</f>
        <v>61100</v>
      </c>
      <c r="BP529" s="30">
        <f>Inventory[[#This Row],[Adjusted Impr Total]]+Inventory[[#This Row],[Adjusted Land Total]]</f>
        <v>360300</v>
      </c>
      <c r="BQ529" s="30">
        <f>IFERROR((Inventory[[#This Row],[Adjusted Impr Total]]-Inventory[[#This Row],[24Bldg]])/Inventory[[#This Row],[24Bldg]],0)</f>
        <v>-9.2715231788079479E-3</v>
      </c>
      <c r="BR529" s="43">
        <f>(Inventory[[#This Row],[Adjusted Land Total]]-Inventory[[#This Row],[24Lnd]])/Inventory[[#This Row],[24Lnd]]</f>
        <v>4.9342105263157892E-3</v>
      </c>
      <c r="BS529" s="43">
        <f>(Inventory[[#This Row],[Adjusted Total]]-Inventory[[#This Row],[24Final]])/Inventory[[#This Row],[24Final]]</f>
        <v>-6.890848952590959E-3</v>
      </c>
    </row>
    <row r="530" spans="1:71">
      <c r="A530" s="30">
        <v>2025</v>
      </c>
      <c r="B530" s="31" t="s">
        <v>1044</v>
      </c>
      <c r="C530" s="31">
        <f>LN(Inventory[[#This Row],[Acres]])</f>
        <v>-1.8325814637483102</v>
      </c>
      <c r="D530" s="30">
        <v>0.16</v>
      </c>
      <c r="E530" s="30">
        <v>7027</v>
      </c>
      <c r="F530" s="31" t="s">
        <v>505</v>
      </c>
      <c r="G530" s="31" t="s">
        <v>155</v>
      </c>
      <c r="H530" s="31" t="s">
        <v>5</v>
      </c>
      <c r="I530" s="31" t="s">
        <v>506</v>
      </c>
      <c r="J530" s="31" t="s">
        <v>507</v>
      </c>
      <c r="K530" s="31" t="s">
        <v>193</v>
      </c>
      <c r="L530" s="31" t="s">
        <v>21</v>
      </c>
      <c r="M530" s="31" t="s">
        <v>22</v>
      </c>
      <c r="N530" s="31">
        <v>10</v>
      </c>
      <c r="O530" s="31">
        <f>2024-Inventory[[#This Row],[YrBlt]]</f>
        <v>17</v>
      </c>
      <c r="P530" s="31">
        <f>2024-Inventory[[#This Row],[EffYr]]</f>
        <v>17</v>
      </c>
      <c r="Q530" s="30">
        <v>2007</v>
      </c>
      <c r="R530" s="30">
        <v>2007</v>
      </c>
      <c r="S530" s="30">
        <v>1380</v>
      </c>
      <c r="T530" s="32"/>
      <c r="U530" s="32"/>
      <c r="V530" s="32"/>
      <c r="W530" s="32"/>
      <c r="X530" s="32">
        <f>Inventory[[#This Row],[Bsmt Area]]-Inventory[[#This Row],[FnBsmt]]</f>
        <v>0</v>
      </c>
      <c r="Y530" s="32">
        <f>Inventory[[#This Row],[MainFn]]+Inventory[[#This Row],[UpprFn]]+Inventory[[#This Row],[AddFn]]+Inventory[[#This Row],[FnBsmt]]</f>
        <v>1380</v>
      </c>
      <c r="Z530" s="32">
        <v>1500</v>
      </c>
      <c r="AA530" s="31" t="s">
        <v>57</v>
      </c>
      <c r="AB530" s="38">
        <v>1</v>
      </c>
      <c r="AC530" s="30">
        <v>428</v>
      </c>
      <c r="AD530" s="32"/>
      <c r="AE530" s="32"/>
      <c r="AF530" s="32"/>
      <c r="AG530" s="37"/>
      <c r="AH530" s="32"/>
      <c r="AI530" s="30">
        <v>311578</v>
      </c>
      <c r="AJ530" s="30">
        <v>289768</v>
      </c>
      <c r="AK530" s="30">
        <v>0</v>
      </c>
      <c r="AL530" s="30">
        <v>0</v>
      </c>
      <c r="AM530" s="30">
        <v>60800</v>
      </c>
      <c r="AN530" s="30">
        <v>302000</v>
      </c>
      <c r="AO530" s="30">
        <v>362800</v>
      </c>
      <c r="AP530" s="30">
        <f>Lookups!$B$58*0.6</f>
        <v>132535.48800000001</v>
      </c>
      <c r="AQ530" s="30">
        <f>Lookups!$B$58*0.4</f>
        <v>88356.992000000013</v>
      </c>
      <c r="AR530" s="30">
        <f>Lookups!$B$59*Inventory[[#This Row],[LnAcres]]</f>
        <v>-24051.387388882686</v>
      </c>
      <c r="AS530" s="30">
        <f>VLOOKUP(Inventory[[#This Row],[Qlty]],Lookups!$A$66:$E$79,2,FALSE)</f>
        <v>32917.849192000001</v>
      </c>
      <c r="AT530" s="30">
        <f>VLOOKUP(Inventory[[#This Row],[Cnd]],Lookups!$A$80:$E$88,2,FALSE)</f>
        <v>50438.379078999998</v>
      </c>
      <c r="AU530" s="30">
        <f>Inventory[[#This Row],[EffAge]]*Lookups!$B$65</f>
        <v>-1848.5987</v>
      </c>
      <c r="AV530" s="30">
        <f>Inventory[[#This Row],[MainFn]]*Lookups!$B$90</f>
        <v>86126.324399999998</v>
      </c>
      <c r="AW530" s="30">
        <f>Inventory[[#This Row],[UpprFn]]*Lookups!$B$91</f>
        <v>0</v>
      </c>
      <c r="AX530" s="30">
        <f>Inventory[[#This Row],[Bsmt Area]]*Lookups!$B$95</f>
        <v>0</v>
      </c>
      <c r="AY530" s="30">
        <f>Inventory[[#This Row],[AttGar]]*Lookups!$B$93</f>
        <v>15108.841268</v>
      </c>
      <c r="AZ530" s="30">
        <f>ROUND(Inventory[[#This Row],[25Det]],-2)</f>
        <v>0</v>
      </c>
      <c r="BA530" s="30">
        <f>ROUND(SUM(Inventory[[#This Row],[Mdl Qlty]:[Mdl Garage Area]])+Inventory[[#This Row],[Mdl Res Intercept]],-2)</f>
        <v>315300</v>
      </c>
      <c r="BB530" s="30">
        <f>ROUND(Inventory[[#This Row],[Mdl Land Intercept]]+Inventory[[#This Row],[Mdl LnAcres]],-2)</f>
        <v>64300</v>
      </c>
      <c r="BC530" s="30">
        <f>Inventory[[#This Row],[Unadj Res Value]]+Inventory[[#This Row],[Unadj Det Value]]+Inventory[[#This Row],[Unadj Land Value]]</f>
        <v>379600</v>
      </c>
      <c r="BD530" s="30">
        <f>(Inventory[[#This Row],[Unadj Total Value]]-Inventory[[#This Row],[24Final]])/Inventory[[#This Row],[24Final]]</f>
        <v>4.6306504961411248E-2</v>
      </c>
      <c r="BE530" s="30">
        <f>VLOOKUP(Inventory[[#This Row],[Nbhd]],Lookups!$M$3:$P$5,4,FALSE)</f>
        <v>0.99970000000000003</v>
      </c>
      <c r="BF530" s="30">
        <f>VLOOKUP(Inventory[[#This Row],[Qlty]],Lookups!$M$8:$P$22,4,FALSE)</f>
        <v>1.0019</v>
      </c>
      <c r="BG530" s="30">
        <f>VLOOKUP(Inventory[[#This Row],[Cnd]],Lookups!$R$8:$U$17,4,FALSE)</f>
        <v>1.0007999999999999</v>
      </c>
      <c r="BH530" s="30">
        <f>VLOOKUP(Inventory[[#This Row],[LivArea Range]],Lookups!$R$25:$U$43,4,FALSE)</f>
        <v>0.99519999999999997</v>
      </c>
      <c r="BI530" s="30">
        <f>VLOOKUP(Inventory[[#This Row],[Decade]],Lookups!$M$24:$P$40,4,FALSE)</f>
        <v>1.0024</v>
      </c>
      <c r="BJ530" s="30">
        <f>Inventory[[#This Row],[Nbhd Adj]]*0.95</f>
        <v>0.94971499999999998</v>
      </c>
      <c r="BK530" s="30">
        <f>AVERAGE(Inventory[[#This Row],[Nbhd Adj]],Inventory[[#This Row],[Quality Adj]],Inventory[[#This Row],[Condition Adj]],Inventory[[#This Row],[Living Area Adj]],Inventory[[#This Row],[Decade Adj]])*0.95</f>
        <v>0.95</v>
      </c>
      <c r="BL530" s="30">
        <f>ROUND((SUM(Inventory[[#This Row],[Mdl Qlty]:[Mdl Garage Area]])+Inventory[[#This Row],[Mdl Res Intercept]])*Inventory[[#This Row],[Res Adj ]],-2)</f>
        <v>299500</v>
      </c>
      <c r="BM530" s="30">
        <f>ROUND(Inventory[[#This Row],[25Det]]*Inventory[[#This Row],[Det/Nbhd Adj]],-2)</f>
        <v>0</v>
      </c>
      <c r="BN530" s="30">
        <f>Inventory[[#This Row],[Adjusted Res]]+Inventory[[#This Row],[Adj Det ]]</f>
        <v>299500</v>
      </c>
      <c r="BO530" s="30">
        <f>ROUND((Inventory[[#This Row],[Mdl Land Intercept]]+Inventory[[#This Row],[Mdl LnAcres]])*Inventory[[#This Row],[Det/Nbhd Adj]],-2)</f>
        <v>61100</v>
      </c>
      <c r="BP530" s="30">
        <f>Inventory[[#This Row],[Adjusted Impr Total]]+Inventory[[#This Row],[Adjusted Land Total]]</f>
        <v>360600</v>
      </c>
      <c r="BQ530" s="30">
        <f>IFERROR((Inventory[[#This Row],[Adjusted Impr Total]]-Inventory[[#This Row],[24Bldg]])/Inventory[[#This Row],[24Bldg]],0)</f>
        <v>-8.2781456953642391E-3</v>
      </c>
      <c r="BR530" s="43">
        <f>(Inventory[[#This Row],[Adjusted Land Total]]-Inventory[[#This Row],[24Lnd]])/Inventory[[#This Row],[24Lnd]]</f>
        <v>4.9342105263157892E-3</v>
      </c>
      <c r="BS530" s="43">
        <f>(Inventory[[#This Row],[Adjusted Total]]-Inventory[[#This Row],[24Final]])/Inventory[[#This Row],[24Final]]</f>
        <v>-6.063947078280044E-3</v>
      </c>
    </row>
    <row r="531" spans="1:71">
      <c r="A531" s="30">
        <v>2025</v>
      </c>
      <c r="B531" s="31" t="s">
        <v>1045</v>
      </c>
      <c r="C531" s="31">
        <f>LN(Inventory[[#This Row],[Acres]])</f>
        <v>-1.8325814637483102</v>
      </c>
      <c r="D531" s="30">
        <v>0.16</v>
      </c>
      <c r="E531" s="30">
        <v>7077</v>
      </c>
      <c r="F531" s="31" t="s">
        <v>505</v>
      </c>
      <c r="G531" s="31" t="s">
        <v>155</v>
      </c>
      <c r="H531" s="31" t="s">
        <v>5</v>
      </c>
      <c r="I531" s="31" t="s">
        <v>506</v>
      </c>
      <c r="J531" s="31" t="s">
        <v>507</v>
      </c>
      <c r="K531" s="31" t="s">
        <v>193</v>
      </c>
      <c r="L531" s="31" t="s">
        <v>21</v>
      </c>
      <c r="M531" s="31" t="s">
        <v>20</v>
      </c>
      <c r="N531" s="31">
        <v>10</v>
      </c>
      <c r="O531" s="31">
        <f>2024-Inventory[[#This Row],[YrBlt]]</f>
        <v>17</v>
      </c>
      <c r="P531" s="31">
        <f>2024-Inventory[[#This Row],[EffYr]]</f>
        <v>17</v>
      </c>
      <c r="Q531" s="30">
        <v>2007</v>
      </c>
      <c r="R531" s="30">
        <v>2007</v>
      </c>
      <c r="S531" s="30">
        <v>1732</v>
      </c>
      <c r="T531" s="32"/>
      <c r="U531" s="32"/>
      <c r="V531" s="32"/>
      <c r="W531" s="32"/>
      <c r="X531" s="32">
        <f>Inventory[[#This Row],[Bsmt Area]]-Inventory[[#This Row],[FnBsmt]]</f>
        <v>0</v>
      </c>
      <c r="Y531" s="32">
        <f>Inventory[[#This Row],[MainFn]]+Inventory[[#This Row],[UpprFn]]+Inventory[[#This Row],[AddFn]]+Inventory[[#This Row],[FnBsmt]]</f>
        <v>1732</v>
      </c>
      <c r="Z531" s="32">
        <v>2000</v>
      </c>
      <c r="AA531" s="31" t="s">
        <v>57</v>
      </c>
      <c r="AB531" s="32"/>
      <c r="AC531" s="30">
        <v>440</v>
      </c>
      <c r="AD531" s="32"/>
      <c r="AE531" s="32"/>
      <c r="AF531" s="32"/>
      <c r="AG531" s="32"/>
      <c r="AH531" s="32"/>
      <c r="AI531" s="30">
        <v>374138</v>
      </c>
      <c r="AJ531" s="30">
        <v>344207</v>
      </c>
      <c r="AK531" s="30">
        <v>0</v>
      </c>
      <c r="AL531" s="30">
        <v>0</v>
      </c>
      <c r="AM531" s="30">
        <v>60800</v>
      </c>
      <c r="AN531" s="30">
        <v>304000</v>
      </c>
      <c r="AO531" s="30">
        <v>364800</v>
      </c>
      <c r="AP531" s="30">
        <f>Lookups!$B$58*0.6</f>
        <v>132535.48800000001</v>
      </c>
      <c r="AQ531" s="30">
        <f>Lookups!$B$58*0.4</f>
        <v>88356.992000000013</v>
      </c>
      <c r="AR531" s="30">
        <f>Lookups!$B$59*Inventory[[#This Row],[LnAcres]]</f>
        <v>-24051.387388882686</v>
      </c>
      <c r="AS531" s="30">
        <f>VLOOKUP(Inventory[[#This Row],[Qlty]],Lookups!$A$66:$E$79,2,FALSE)</f>
        <v>32917.849192000001</v>
      </c>
      <c r="AT531" s="30">
        <f>VLOOKUP(Inventory[[#This Row],[Cnd]],Lookups!$A$80:$E$88,2,FALSE)</f>
        <v>30300.329274</v>
      </c>
      <c r="AU531" s="30">
        <f>Inventory[[#This Row],[EffAge]]*Lookups!$B$65</f>
        <v>-1848.5987</v>
      </c>
      <c r="AV531" s="30">
        <f>Inventory[[#This Row],[MainFn]]*Lookups!$B$90</f>
        <v>108094.77816</v>
      </c>
      <c r="AW531" s="30">
        <f>Inventory[[#This Row],[UpprFn]]*Lookups!$B$91</f>
        <v>0</v>
      </c>
      <c r="AX531" s="30">
        <f>Inventory[[#This Row],[Bsmt Area]]*Lookups!$B$95</f>
        <v>0</v>
      </c>
      <c r="AY531" s="30">
        <f>Inventory[[#This Row],[AttGar]]*Lookups!$B$93</f>
        <v>15532.453640000002</v>
      </c>
      <c r="AZ531" s="30">
        <f>ROUND(Inventory[[#This Row],[25Det]],-2)</f>
        <v>0</v>
      </c>
      <c r="BA531" s="30">
        <f>ROUND(SUM(Inventory[[#This Row],[Mdl Qlty]:[Mdl Garage Area]])+Inventory[[#This Row],[Mdl Res Intercept]],-2)</f>
        <v>317500</v>
      </c>
      <c r="BB531" s="30">
        <f>ROUND(Inventory[[#This Row],[Mdl Land Intercept]]+Inventory[[#This Row],[Mdl LnAcres]],-2)</f>
        <v>64300</v>
      </c>
      <c r="BC531" s="30">
        <f>Inventory[[#This Row],[Unadj Res Value]]+Inventory[[#This Row],[Unadj Det Value]]+Inventory[[#This Row],[Unadj Land Value]]</f>
        <v>381800</v>
      </c>
      <c r="BD531" s="30">
        <f>(Inventory[[#This Row],[Unadj Total Value]]-Inventory[[#This Row],[24Final]])/Inventory[[#This Row],[24Final]]</f>
        <v>4.6600877192982455E-2</v>
      </c>
      <c r="BE531" s="30">
        <f>VLOOKUP(Inventory[[#This Row],[Nbhd]],Lookups!$M$3:$P$5,4,FALSE)</f>
        <v>0.99970000000000003</v>
      </c>
      <c r="BF531" s="30">
        <f>VLOOKUP(Inventory[[#This Row],[Qlty]],Lookups!$M$8:$P$22,4,FALSE)</f>
        <v>1.0019</v>
      </c>
      <c r="BG531" s="30">
        <f>VLOOKUP(Inventory[[#This Row],[Cnd]],Lookups!$R$8:$U$17,4,FALSE)</f>
        <v>0.997</v>
      </c>
      <c r="BH531" s="30">
        <f>VLOOKUP(Inventory[[#This Row],[LivArea Range]],Lookups!$R$25:$U$43,4,FALSE)</f>
        <v>1.0007999999999999</v>
      </c>
      <c r="BI531" s="30">
        <f>VLOOKUP(Inventory[[#This Row],[Decade]],Lookups!$M$24:$P$40,4,FALSE)</f>
        <v>1.0024</v>
      </c>
      <c r="BJ531" s="30">
        <f>Inventory[[#This Row],[Nbhd Adj]]*0.95</f>
        <v>0.94971499999999998</v>
      </c>
      <c r="BK531" s="30">
        <f>AVERAGE(Inventory[[#This Row],[Nbhd Adj]],Inventory[[#This Row],[Quality Adj]],Inventory[[#This Row],[Condition Adj]],Inventory[[#This Row],[Living Area Adj]],Inventory[[#This Row],[Decade Adj]])*0.95</f>
        <v>0.95034199999999991</v>
      </c>
      <c r="BL531" s="30">
        <f>ROUND((SUM(Inventory[[#This Row],[Mdl Qlty]:[Mdl Garage Area]])+Inventory[[#This Row],[Mdl Res Intercept]])*Inventory[[#This Row],[Res Adj ]],-2)</f>
        <v>301800</v>
      </c>
      <c r="BM531" s="30">
        <f>ROUND(Inventory[[#This Row],[25Det]]*Inventory[[#This Row],[Det/Nbhd Adj]],-2)</f>
        <v>0</v>
      </c>
      <c r="BN531" s="30">
        <f>Inventory[[#This Row],[Adjusted Res]]+Inventory[[#This Row],[Adj Det ]]</f>
        <v>301800</v>
      </c>
      <c r="BO531" s="30">
        <f>ROUND((Inventory[[#This Row],[Mdl Land Intercept]]+Inventory[[#This Row],[Mdl LnAcres]])*Inventory[[#This Row],[Det/Nbhd Adj]],-2)</f>
        <v>61100</v>
      </c>
      <c r="BP531" s="30">
        <f>Inventory[[#This Row],[Adjusted Impr Total]]+Inventory[[#This Row],[Adjusted Land Total]]</f>
        <v>362900</v>
      </c>
      <c r="BQ531" s="30">
        <f>IFERROR((Inventory[[#This Row],[Adjusted Impr Total]]-Inventory[[#This Row],[24Bldg]])/Inventory[[#This Row],[24Bldg]],0)</f>
        <v>-7.2368421052631578E-3</v>
      </c>
      <c r="BR531" s="43">
        <f>(Inventory[[#This Row],[Adjusted Land Total]]-Inventory[[#This Row],[24Lnd]])/Inventory[[#This Row],[24Lnd]]</f>
        <v>4.9342105263157892E-3</v>
      </c>
      <c r="BS531" s="43">
        <f>(Inventory[[#This Row],[Adjusted Total]]-Inventory[[#This Row],[24Final]])/Inventory[[#This Row],[24Final]]</f>
        <v>-5.208333333333333E-3</v>
      </c>
    </row>
    <row r="532" spans="1:71">
      <c r="A532" s="30">
        <v>2025</v>
      </c>
      <c r="B532" s="31" t="s">
        <v>1046</v>
      </c>
      <c r="C532" s="31">
        <f>LN(Inventory[[#This Row],[Acres]])</f>
        <v>-1.8325814637483102</v>
      </c>
      <c r="D532" s="30">
        <v>0.16</v>
      </c>
      <c r="E532" s="30">
        <v>7059</v>
      </c>
      <c r="F532" s="31" t="s">
        <v>505</v>
      </c>
      <c r="G532" s="31" t="s">
        <v>155</v>
      </c>
      <c r="H532" s="31" t="s">
        <v>5</v>
      </c>
      <c r="I532" s="31" t="s">
        <v>506</v>
      </c>
      <c r="J532" s="31" t="s">
        <v>507</v>
      </c>
      <c r="K532" s="31" t="s">
        <v>157</v>
      </c>
      <c r="L532" s="31" t="s">
        <v>21</v>
      </c>
      <c r="M532" s="31" t="s">
        <v>22</v>
      </c>
      <c r="N532" s="31">
        <v>10</v>
      </c>
      <c r="O532" s="31">
        <f>2024-Inventory[[#This Row],[YrBlt]]</f>
        <v>17</v>
      </c>
      <c r="P532" s="31">
        <f>2024-Inventory[[#This Row],[EffYr]]</f>
        <v>17</v>
      </c>
      <c r="Q532" s="30">
        <v>2007</v>
      </c>
      <c r="R532" s="30">
        <v>2007</v>
      </c>
      <c r="S532" s="30">
        <v>1116</v>
      </c>
      <c r="T532" s="30">
        <v>1116</v>
      </c>
      <c r="U532" s="32"/>
      <c r="V532" s="32"/>
      <c r="W532" s="32"/>
      <c r="X532" s="32">
        <f>Inventory[[#This Row],[Bsmt Area]]-Inventory[[#This Row],[FnBsmt]]</f>
        <v>0</v>
      </c>
      <c r="Y532" s="32">
        <f>Inventory[[#This Row],[MainFn]]+Inventory[[#This Row],[UpprFn]]+Inventory[[#This Row],[AddFn]]+Inventory[[#This Row],[FnBsmt]]</f>
        <v>2232</v>
      </c>
      <c r="Z532" s="32">
        <v>2500</v>
      </c>
      <c r="AA532" s="31" t="s">
        <v>57</v>
      </c>
      <c r="AB532" s="32"/>
      <c r="AC532" s="30">
        <v>440</v>
      </c>
      <c r="AD532" s="32"/>
      <c r="AE532" s="32"/>
      <c r="AF532" s="32"/>
      <c r="AG532" s="32"/>
      <c r="AH532" s="38">
        <v>100</v>
      </c>
      <c r="AI532" s="30">
        <v>441336</v>
      </c>
      <c r="AJ532" s="30">
        <v>410442</v>
      </c>
      <c r="AK532" s="30">
        <v>0</v>
      </c>
      <c r="AL532" s="30">
        <v>0</v>
      </c>
      <c r="AM532" s="30">
        <v>60800</v>
      </c>
      <c r="AN532" s="30">
        <v>351800</v>
      </c>
      <c r="AO532" s="30">
        <v>412600</v>
      </c>
      <c r="AP532" s="30">
        <f>Lookups!$B$58*0.6</f>
        <v>132535.48800000001</v>
      </c>
      <c r="AQ532" s="30">
        <f>Lookups!$B$58*0.4</f>
        <v>88356.992000000013</v>
      </c>
      <c r="AR532" s="30">
        <f>Lookups!$B$59*Inventory[[#This Row],[LnAcres]]</f>
        <v>-24051.387388882686</v>
      </c>
      <c r="AS532" s="30">
        <f>VLOOKUP(Inventory[[#This Row],[Qlty]],Lookups!$A$66:$E$79,2,FALSE)</f>
        <v>32917.849192000001</v>
      </c>
      <c r="AT532" s="30">
        <f>VLOOKUP(Inventory[[#This Row],[Cnd]],Lookups!$A$80:$E$88,2,FALSE)</f>
        <v>50438.379078999998</v>
      </c>
      <c r="AU532" s="30">
        <f>Inventory[[#This Row],[EffAge]]*Lookups!$B$65</f>
        <v>-1848.5987</v>
      </c>
      <c r="AV532" s="30">
        <f>Inventory[[#This Row],[MainFn]]*Lookups!$B$90</f>
        <v>69649.984080000009</v>
      </c>
      <c r="AW532" s="30">
        <f>Inventory[[#This Row],[UpprFn]]*Lookups!$B$91</f>
        <v>66491.707427999994</v>
      </c>
      <c r="AX532" s="30">
        <f>Inventory[[#This Row],[Bsmt Area]]*Lookups!$B$95</f>
        <v>0</v>
      </c>
      <c r="AY532" s="30">
        <f>Inventory[[#This Row],[AttGar]]*Lookups!$B$93</f>
        <v>15532.453640000002</v>
      </c>
      <c r="AZ532" s="30">
        <f>ROUND(Inventory[[#This Row],[25Det]],-2)</f>
        <v>0</v>
      </c>
      <c r="BA532" s="30">
        <f>ROUND(SUM(Inventory[[#This Row],[Mdl Qlty]:[Mdl Garage Area]])+Inventory[[#This Row],[Mdl Res Intercept]],-2)</f>
        <v>365700</v>
      </c>
      <c r="BB532" s="30">
        <f>ROUND(Inventory[[#This Row],[Mdl Land Intercept]]+Inventory[[#This Row],[Mdl LnAcres]],-2)</f>
        <v>64300</v>
      </c>
      <c r="BC532" s="30">
        <f>Inventory[[#This Row],[Unadj Res Value]]+Inventory[[#This Row],[Unadj Det Value]]+Inventory[[#This Row],[Unadj Land Value]]</f>
        <v>430000</v>
      </c>
      <c r="BD532" s="30">
        <f>(Inventory[[#This Row],[Unadj Total Value]]-Inventory[[#This Row],[24Final]])/Inventory[[#This Row],[24Final]]</f>
        <v>4.2171594764905479E-2</v>
      </c>
      <c r="BE532" s="30">
        <f>VLOOKUP(Inventory[[#This Row],[Nbhd]],Lookups!$M$3:$P$5,4,FALSE)</f>
        <v>0.99970000000000003</v>
      </c>
      <c r="BF532" s="30">
        <f>VLOOKUP(Inventory[[#This Row],[Qlty]],Lookups!$M$8:$P$22,4,FALSE)</f>
        <v>1.0019</v>
      </c>
      <c r="BG532" s="30">
        <f>VLOOKUP(Inventory[[#This Row],[Cnd]],Lookups!$R$8:$U$17,4,FALSE)</f>
        <v>1.0007999999999999</v>
      </c>
      <c r="BH532" s="30">
        <f>VLOOKUP(Inventory[[#This Row],[LivArea Range]],Lookups!$R$25:$U$43,4,FALSE)</f>
        <v>1.0008999999999999</v>
      </c>
      <c r="BI532" s="30">
        <f>VLOOKUP(Inventory[[#This Row],[Decade]],Lookups!$M$24:$P$40,4,FALSE)</f>
        <v>1.0024</v>
      </c>
      <c r="BJ532" s="30">
        <f>Inventory[[#This Row],[Nbhd Adj]]*0.95</f>
        <v>0.94971499999999998</v>
      </c>
      <c r="BK532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532" s="30">
        <f>ROUND((SUM(Inventory[[#This Row],[Mdl Qlty]:[Mdl Garage Area]])+Inventory[[#This Row],[Mdl Res Intercept]])*Inventory[[#This Row],[Res Adj ]],-2)</f>
        <v>347800</v>
      </c>
      <c r="BM532" s="30">
        <f>ROUND(Inventory[[#This Row],[25Det]]*Inventory[[#This Row],[Det/Nbhd Adj]],-2)</f>
        <v>0</v>
      </c>
      <c r="BN532" s="30">
        <f>Inventory[[#This Row],[Adjusted Res]]+Inventory[[#This Row],[Adj Det ]]</f>
        <v>347800</v>
      </c>
      <c r="BO532" s="30">
        <f>ROUND((Inventory[[#This Row],[Mdl Land Intercept]]+Inventory[[#This Row],[Mdl LnAcres]])*Inventory[[#This Row],[Det/Nbhd Adj]],-2)</f>
        <v>61100</v>
      </c>
      <c r="BP532" s="30">
        <f>Inventory[[#This Row],[Adjusted Impr Total]]+Inventory[[#This Row],[Adjusted Land Total]]</f>
        <v>408900</v>
      </c>
      <c r="BQ532" s="30">
        <f>IFERROR((Inventory[[#This Row],[Adjusted Impr Total]]-Inventory[[#This Row],[24Bldg]])/Inventory[[#This Row],[24Bldg]],0)</f>
        <v>-1.137009664582149E-2</v>
      </c>
      <c r="BR532" s="43">
        <f>(Inventory[[#This Row],[Adjusted Land Total]]-Inventory[[#This Row],[24Lnd]])/Inventory[[#This Row],[24Lnd]]</f>
        <v>4.9342105263157892E-3</v>
      </c>
      <c r="BS532" s="43">
        <f>(Inventory[[#This Row],[Adjusted Total]]-Inventory[[#This Row],[24Final]])/Inventory[[#This Row],[24Final]]</f>
        <v>-8.9675230247212804E-3</v>
      </c>
    </row>
    <row r="533" spans="1:71">
      <c r="A533" s="30">
        <v>2025</v>
      </c>
      <c r="B533" s="31" t="s">
        <v>1047</v>
      </c>
      <c r="C533" s="31">
        <f>LN(Inventory[[#This Row],[Acres]])</f>
        <v>-1.8325814637483102</v>
      </c>
      <c r="D533" s="30">
        <v>0.16</v>
      </c>
      <c r="E533" s="30">
        <v>7052</v>
      </c>
      <c r="F533" s="31" t="s">
        <v>505</v>
      </c>
      <c r="G533" s="31" t="s">
        <v>155</v>
      </c>
      <c r="H533" s="31" t="s">
        <v>5</v>
      </c>
      <c r="I533" s="31" t="s">
        <v>506</v>
      </c>
      <c r="J533" s="31" t="s">
        <v>507</v>
      </c>
      <c r="K533" s="31" t="s">
        <v>193</v>
      </c>
      <c r="L533" s="31" t="s">
        <v>21</v>
      </c>
      <c r="M533" s="31" t="s">
        <v>22</v>
      </c>
      <c r="N533" s="31">
        <v>10</v>
      </c>
      <c r="O533" s="31">
        <f>2024-Inventory[[#This Row],[YrBlt]]</f>
        <v>17</v>
      </c>
      <c r="P533" s="31">
        <f>2024-Inventory[[#This Row],[EffYr]]</f>
        <v>17</v>
      </c>
      <c r="Q533" s="30">
        <v>2007</v>
      </c>
      <c r="R533" s="30">
        <v>2007</v>
      </c>
      <c r="S533" s="30">
        <v>1380</v>
      </c>
      <c r="T533" s="32"/>
      <c r="U533" s="32"/>
      <c r="V533" s="32"/>
      <c r="W533" s="32"/>
      <c r="X533" s="32">
        <f>Inventory[[#This Row],[Bsmt Area]]-Inventory[[#This Row],[FnBsmt]]</f>
        <v>0</v>
      </c>
      <c r="Y533" s="32">
        <f>Inventory[[#This Row],[MainFn]]+Inventory[[#This Row],[UpprFn]]+Inventory[[#This Row],[AddFn]]+Inventory[[#This Row],[FnBsmt]]</f>
        <v>1380</v>
      </c>
      <c r="Z533" s="32">
        <v>1500</v>
      </c>
      <c r="AA533" s="31" t="s">
        <v>57</v>
      </c>
      <c r="AB533" s="32"/>
      <c r="AC533" s="30">
        <v>428</v>
      </c>
      <c r="AD533" s="32"/>
      <c r="AE533" s="32"/>
      <c r="AF533" s="32"/>
      <c r="AG533" s="32"/>
      <c r="AH533" s="32"/>
      <c r="AI533" s="30">
        <v>316601</v>
      </c>
      <c r="AJ533" s="30">
        <v>294439</v>
      </c>
      <c r="AK533" s="30">
        <v>10156</v>
      </c>
      <c r="AL533" s="30">
        <v>0</v>
      </c>
      <c r="AM533" s="30">
        <v>60800</v>
      </c>
      <c r="AN533" s="30">
        <v>310800</v>
      </c>
      <c r="AO533" s="30">
        <v>371600</v>
      </c>
      <c r="AP533" s="30">
        <f>Lookups!$B$58*0.6</f>
        <v>132535.48800000001</v>
      </c>
      <c r="AQ533" s="30">
        <f>Lookups!$B$58*0.4</f>
        <v>88356.992000000013</v>
      </c>
      <c r="AR533" s="30">
        <f>Lookups!$B$59*Inventory[[#This Row],[LnAcres]]</f>
        <v>-24051.387388882686</v>
      </c>
      <c r="AS533" s="30">
        <f>VLOOKUP(Inventory[[#This Row],[Qlty]],Lookups!$A$66:$E$79,2,FALSE)</f>
        <v>32917.849192000001</v>
      </c>
      <c r="AT533" s="30">
        <f>VLOOKUP(Inventory[[#This Row],[Cnd]],Lookups!$A$80:$E$88,2,FALSE)</f>
        <v>50438.379078999998</v>
      </c>
      <c r="AU533" s="30">
        <f>Inventory[[#This Row],[EffAge]]*Lookups!$B$65</f>
        <v>-1848.5987</v>
      </c>
      <c r="AV533" s="30">
        <f>Inventory[[#This Row],[MainFn]]*Lookups!$B$90</f>
        <v>86126.324399999998</v>
      </c>
      <c r="AW533" s="30">
        <f>Inventory[[#This Row],[UpprFn]]*Lookups!$B$91</f>
        <v>0</v>
      </c>
      <c r="AX533" s="30">
        <f>Inventory[[#This Row],[Bsmt Area]]*Lookups!$B$95</f>
        <v>0</v>
      </c>
      <c r="AY533" s="30">
        <f>Inventory[[#This Row],[AttGar]]*Lookups!$B$93</f>
        <v>15108.841268</v>
      </c>
      <c r="AZ533" s="30">
        <f>ROUND(Inventory[[#This Row],[25Det]],-2)</f>
        <v>10200</v>
      </c>
      <c r="BA533" s="30">
        <f>ROUND(SUM(Inventory[[#This Row],[Mdl Qlty]:[Mdl Garage Area]])+Inventory[[#This Row],[Mdl Res Intercept]],-2)</f>
        <v>315300</v>
      </c>
      <c r="BB533" s="30">
        <f>ROUND(Inventory[[#This Row],[Mdl Land Intercept]]+Inventory[[#This Row],[Mdl LnAcres]],-2)</f>
        <v>64300</v>
      </c>
      <c r="BC533" s="30">
        <f>Inventory[[#This Row],[Unadj Res Value]]+Inventory[[#This Row],[Unadj Det Value]]+Inventory[[#This Row],[Unadj Land Value]]</f>
        <v>389800</v>
      </c>
      <c r="BD533" s="30">
        <f>(Inventory[[#This Row],[Unadj Total Value]]-Inventory[[#This Row],[24Final]])/Inventory[[#This Row],[24Final]]</f>
        <v>4.8977395048439183E-2</v>
      </c>
      <c r="BE533" s="30">
        <f>VLOOKUP(Inventory[[#This Row],[Nbhd]],Lookups!$M$3:$P$5,4,FALSE)</f>
        <v>0.99970000000000003</v>
      </c>
      <c r="BF533" s="30">
        <f>VLOOKUP(Inventory[[#This Row],[Qlty]],Lookups!$M$8:$P$22,4,FALSE)</f>
        <v>1.0019</v>
      </c>
      <c r="BG533" s="30">
        <f>VLOOKUP(Inventory[[#This Row],[Cnd]],Lookups!$R$8:$U$17,4,FALSE)</f>
        <v>1.0007999999999999</v>
      </c>
      <c r="BH533" s="30">
        <f>VLOOKUP(Inventory[[#This Row],[LivArea Range]],Lookups!$R$25:$U$43,4,FALSE)</f>
        <v>0.99519999999999997</v>
      </c>
      <c r="BI533" s="30">
        <f>VLOOKUP(Inventory[[#This Row],[Decade]],Lookups!$M$24:$P$40,4,FALSE)</f>
        <v>1.0024</v>
      </c>
      <c r="BJ533" s="30">
        <f>Inventory[[#This Row],[Nbhd Adj]]*0.95</f>
        <v>0.94971499999999998</v>
      </c>
      <c r="BK533" s="30">
        <f>AVERAGE(Inventory[[#This Row],[Nbhd Adj]],Inventory[[#This Row],[Quality Adj]],Inventory[[#This Row],[Condition Adj]],Inventory[[#This Row],[Living Area Adj]],Inventory[[#This Row],[Decade Adj]])*0.95</f>
        <v>0.95</v>
      </c>
      <c r="BL533" s="30">
        <f>ROUND((SUM(Inventory[[#This Row],[Mdl Qlty]:[Mdl Garage Area]])+Inventory[[#This Row],[Mdl Res Intercept]])*Inventory[[#This Row],[Res Adj ]],-2)</f>
        <v>299500</v>
      </c>
      <c r="BM533" s="30">
        <f>ROUND(Inventory[[#This Row],[25Det]]*Inventory[[#This Row],[Det/Nbhd Adj]],-2)</f>
        <v>9600</v>
      </c>
      <c r="BN533" s="30">
        <f>Inventory[[#This Row],[Adjusted Res]]+Inventory[[#This Row],[Adj Det ]]</f>
        <v>309100</v>
      </c>
      <c r="BO533" s="30">
        <f>ROUND((Inventory[[#This Row],[Mdl Land Intercept]]+Inventory[[#This Row],[Mdl LnAcres]])*Inventory[[#This Row],[Det/Nbhd Adj]],-2)</f>
        <v>61100</v>
      </c>
      <c r="BP533" s="30">
        <f>Inventory[[#This Row],[Adjusted Impr Total]]+Inventory[[#This Row],[Adjusted Land Total]]</f>
        <v>370200</v>
      </c>
      <c r="BQ533" s="30">
        <f>IFERROR((Inventory[[#This Row],[Adjusted Impr Total]]-Inventory[[#This Row],[24Bldg]])/Inventory[[#This Row],[24Bldg]],0)</f>
        <v>-5.4697554697554695E-3</v>
      </c>
      <c r="BR533" s="43">
        <f>(Inventory[[#This Row],[Adjusted Land Total]]-Inventory[[#This Row],[24Lnd]])/Inventory[[#This Row],[24Lnd]]</f>
        <v>4.9342105263157892E-3</v>
      </c>
      <c r="BS533" s="43">
        <f>(Inventory[[#This Row],[Adjusted Total]]-Inventory[[#This Row],[24Final]])/Inventory[[#This Row],[24Final]]</f>
        <v>-3.7674919268030141E-3</v>
      </c>
    </row>
    <row r="534" spans="1:71">
      <c r="A534" s="30">
        <v>2025</v>
      </c>
      <c r="B534" s="31" t="s">
        <v>1048</v>
      </c>
      <c r="C534" s="31">
        <f>LN(Inventory[[#This Row],[Acres]])</f>
        <v>-1.8325814637483102</v>
      </c>
      <c r="D534" s="30">
        <v>0.16</v>
      </c>
      <c r="E534" s="30">
        <v>7138</v>
      </c>
      <c r="F534" s="31" t="s">
        <v>505</v>
      </c>
      <c r="G534" s="31" t="s">
        <v>155</v>
      </c>
      <c r="H534" s="31" t="s">
        <v>5</v>
      </c>
      <c r="I534" s="31" t="s">
        <v>506</v>
      </c>
      <c r="J534" s="31" t="s">
        <v>507</v>
      </c>
      <c r="K534" s="31" t="s">
        <v>193</v>
      </c>
      <c r="L534" s="31" t="s">
        <v>21</v>
      </c>
      <c r="M534" s="31" t="s">
        <v>22</v>
      </c>
      <c r="N534" s="31">
        <v>10</v>
      </c>
      <c r="O534" s="31">
        <f>2024-Inventory[[#This Row],[YrBlt]]</f>
        <v>17</v>
      </c>
      <c r="P534" s="31">
        <f>2024-Inventory[[#This Row],[EffYr]]</f>
        <v>17</v>
      </c>
      <c r="Q534" s="30">
        <v>2007</v>
      </c>
      <c r="R534" s="30">
        <v>2007</v>
      </c>
      <c r="S534" s="30">
        <v>1368</v>
      </c>
      <c r="T534" s="37"/>
      <c r="U534" s="32"/>
      <c r="V534" s="32"/>
      <c r="W534" s="32"/>
      <c r="X534" s="32">
        <f>Inventory[[#This Row],[Bsmt Area]]-Inventory[[#This Row],[FnBsmt]]</f>
        <v>0</v>
      </c>
      <c r="Y534" s="32">
        <f>Inventory[[#This Row],[MainFn]]+Inventory[[#This Row],[UpprFn]]+Inventory[[#This Row],[AddFn]]+Inventory[[#This Row],[FnBsmt]]</f>
        <v>1368</v>
      </c>
      <c r="Z534" s="32">
        <v>1500</v>
      </c>
      <c r="AA534" s="31" t="s">
        <v>57</v>
      </c>
      <c r="AB534" s="30">
        <v>1</v>
      </c>
      <c r="AC534" s="30">
        <v>440</v>
      </c>
      <c r="AD534" s="37"/>
      <c r="AE534" s="32"/>
      <c r="AF534" s="32"/>
      <c r="AG534" s="32"/>
      <c r="AH534" s="32"/>
      <c r="AI534" s="30">
        <v>312919</v>
      </c>
      <c r="AJ534" s="30">
        <v>291015</v>
      </c>
      <c r="AK534" s="30">
        <v>0</v>
      </c>
      <c r="AL534" s="30">
        <v>0</v>
      </c>
      <c r="AM534" s="30">
        <v>60800</v>
      </c>
      <c r="AN534" s="30">
        <v>300600</v>
      </c>
      <c r="AO534" s="30">
        <v>361400</v>
      </c>
      <c r="AP534" s="30">
        <f>Lookups!$B$58*0.6</f>
        <v>132535.48800000001</v>
      </c>
      <c r="AQ534" s="30">
        <f>Lookups!$B$58*0.4</f>
        <v>88356.992000000013</v>
      </c>
      <c r="AR534" s="30">
        <f>Lookups!$B$59*Inventory[[#This Row],[LnAcres]]</f>
        <v>-24051.387388882686</v>
      </c>
      <c r="AS534" s="30">
        <f>VLOOKUP(Inventory[[#This Row],[Qlty]],Lookups!$A$66:$E$79,2,FALSE)</f>
        <v>32917.849192000001</v>
      </c>
      <c r="AT534" s="30">
        <f>VLOOKUP(Inventory[[#This Row],[Cnd]],Lookups!$A$80:$E$88,2,FALSE)</f>
        <v>50438.379078999998</v>
      </c>
      <c r="AU534" s="30">
        <f>Inventory[[#This Row],[EffAge]]*Lookups!$B$65</f>
        <v>-1848.5987</v>
      </c>
      <c r="AV534" s="30">
        <f>Inventory[[#This Row],[MainFn]]*Lookups!$B$90</f>
        <v>85377.399839999998</v>
      </c>
      <c r="AW534" s="30">
        <f>Inventory[[#This Row],[UpprFn]]*Lookups!$B$91</f>
        <v>0</v>
      </c>
      <c r="AX534" s="30">
        <f>Inventory[[#This Row],[Bsmt Area]]*Lookups!$B$95</f>
        <v>0</v>
      </c>
      <c r="AY534" s="30">
        <f>Inventory[[#This Row],[AttGar]]*Lookups!$B$93</f>
        <v>15532.453640000002</v>
      </c>
      <c r="AZ534" s="30">
        <f>ROUND(Inventory[[#This Row],[25Det]],-2)</f>
        <v>0</v>
      </c>
      <c r="BA534" s="30">
        <f>ROUND(SUM(Inventory[[#This Row],[Mdl Qlty]:[Mdl Garage Area]])+Inventory[[#This Row],[Mdl Res Intercept]],-2)</f>
        <v>315000</v>
      </c>
      <c r="BB534" s="30">
        <f>ROUND(Inventory[[#This Row],[Mdl Land Intercept]]+Inventory[[#This Row],[Mdl LnAcres]],-2)</f>
        <v>64300</v>
      </c>
      <c r="BC534" s="30">
        <f>Inventory[[#This Row],[Unadj Res Value]]+Inventory[[#This Row],[Unadj Det Value]]+Inventory[[#This Row],[Unadj Land Value]]</f>
        <v>379300</v>
      </c>
      <c r="BD534" s="30">
        <f>(Inventory[[#This Row],[Unadj Total Value]]-Inventory[[#This Row],[24Final]])/Inventory[[#This Row],[24Final]]</f>
        <v>4.9529607083563916E-2</v>
      </c>
      <c r="BE534" s="30">
        <f>VLOOKUP(Inventory[[#This Row],[Nbhd]],Lookups!$M$3:$P$5,4,FALSE)</f>
        <v>0.99970000000000003</v>
      </c>
      <c r="BF534" s="30">
        <f>VLOOKUP(Inventory[[#This Row],[Qlty]],Lookups!$M$8:$P$22,4,FALSE)</f>
        <v>1.0019</v>
      </c>
      <c r="BG534" s="30">
        <f>VLOOKUP(Inventory[[#This Row],[Cnd]],Lookups!$R$8:$U$17,4,FALSE)</f>
        <v>1.0007999999999999</v>
      </c>
      <c r="BH534" s="30">
        <f>VLOOKUP(Inventory[[#This Row],[LivArea Range]],Lookups!$R$25:$U$43,4,FALSE)</f>
        <v>0.99519999999999997</v>
      </c>
      <c r="BI534" s="30">
        <f>VLOOKUP(Inventory[[#This Row],[Decade]],Lookups!$M$24:$P$40,4,FALSE)</f>
        <v>1.0024</v>
      </c>
      <c r="BJ534" s="30">
        <f>Inventory[[#This Row],[Nbhd Adj]]*0.95</f>
        <v>0.94971499999999998</v>
      </c>
      <c r="BK534" s="30">
        <f>AVERAGE(Inventory[[#This Row],[Nbhd Adj]],Inventory[[#This Row],[Quality Adj]],Inventory[[#This Row],[Condition Adj]],Inventory[[#This Row],[Living Area Adj]],Inventory[[#This Row],[Decade Adj]])*0.95</f>
        <v>0.95</v>
      </c>
      <c r="BL534" s="30">
        <f>ROUND((SUM(Inventory[[#This Row],[Mdl Qlty]:[Mdl Garage Area]])+Inventory[[#This Row],[Mdl Res Intercept]])*Inventory[[#This Row],[Res Adj ]],-2)</f>
        <v>299200</v>
      </c>
      <c r="BM534" s="30">
        <f>ROUND(Inventory[[#This Row],[25Det]]*Inventory[[#This Row],[Det/Nbhd Adj]],-2)</f>
        <v>0</v>
      </c>
      <c r="BN534" s="30">
        <f>Inventory[[#This Row],[Adjusted Res]]+Inventory[[#This Row],[Adj Det ]]</f>
        <v>299200</v>
      </c>
      <c r="BO534" s="30">
        <f>ROUND((Inventory[[#This Row],[Mdl Land Intercept]]+Inventory[[#This Row],[Mdl LnAcres]])*Inventory[[#This Row],[Det/Nbhd Adj]],-2)</f>
        <v>61100</v>
      </c>
      <c r="BP534" s="30">
        <f>Inventory[[#This Row],[Adjusted Impr Total]]+Inventory[[#This Row],[Adjusted Land Total]]</f>
        <v>360300</v>
      </c>
      <c r="BQ534" s="30">
        <f>IFERROR((Inventory[[#This Row],[Adjusted Impr Total]]-Inventory[[#This Row],[24Bldg]])/Inventory[[#This Row],[24Bldg]],0)</f>
        <v>-4.6573519627411842E-3</v>
      </c>
      <c r="BR534" s="43">
        <f>(Inventory[[#This Row],[Adjusted Land Total]]-Inventory[[#This Row],[24Lnd]])/Inventory[[#This Row],[24Lnd]]</f>
        <v>4.9342105263157892E-3</v>
      </c>
      <c r="BS534" s="43">
        <f>(Inventory[[#This Row],[Adjusted Total]]-Inventory[[#This Row],[24Final]])/Inventory[[#This Row],[24Final]]</f>
        <v>-3.0437188710570003E-3</v>
      </c>
    </row>
    <row r="535" spans="1:71">
      <c r="A535" s="30">
        <v>2025</v>
      </c>
      <c r="B535" s="31" t="s">
        <v>1049</v>
      </c>
      <c r="C535" s="31">
        <f>LN(Inventory[[#This Row],[Acres]])</f>
        <v>-1.8325814637483102</v>
      </c>
      <c r="D535" s="30">
        <v>0.16</v>
      </c>
      <c r="E535" s="30">
        <v>6995</v>
      </c>
      <c r="F535" s="31" t="s">
        <v>505</v>
      </c>
      <c r="G535" s="31" t="s">
        <v>155</v>
      </c>
      <c r="H535" s="31" t="s">
        <v>5</v>
      </c>
      <c r="I535" s="31" t="s">
        <v>506</v>
      </c>
      <c r="J535" s="31" t="s">
        <v>507</v>
      </c>
      <c r="K535" s="31" t="s">
        <v>193</v>
      </c>
      <c r="L535" s="31" t="s">
        <v>21</v>
      </c>
      <c r="M535" s="31" t="s">
        <v>22</v>
      </c>
      <c r="N535" s="31">
        <v>10</v>
      </c>
      <c r="O535" s="31">
        <f>2024-Inventory[[#This Row],[YrBlt]]</f>
        <v>17</v>
      </c>
      <c r="P535" s="31">
        <f>2024-Inventory[[#This Row],[EffYr]]</f>
        <v>17</v>
      </c>
      <c r="Q535" s="30">
        <v>2007</v>
      </c>
      <c r="R535" s="30">
        <v>2007</v>
      </c>
      <c r="S535" s="30">
        <v>1380</v>
      </c>
      <c r="T535" s="32"/>
      <c r="U535" s="32"/>
      <c r="V535" s="32"/>
      <c r="W535" s="32"/>
      <c r="X535" s="32">
        <f>Inventory[[#This Row],[Bsmt Area]]-Inventory[[#This Row],[FnBsmt]]</f>
        <v>0</v>
      </c>
      <c r="Y535" s="32">
        <f>Inventory[[#This Row],[MainFn]]+Inventory[[#This Row],[UpprFn]]+Inventory[[#This Row],[AddFn]]+Inventory[[#This Row],[FnBsmt]]</f>
        <v>1380</v>
      </c>
      <c r="Z535" s="32">
        <v>1500</v>
      </c>
      <c r="AA535" s="31" t="s">
        <v>57</v>
      </c>
      <c r="AB535" s="30">
        <v>1</v>
      </c>
      <c r="AC535" s="30">
        <v>428</v>
      </c>
      <c r="AD535" s="32"/>
      <c r="AE535" s="32"/>
      <c r="AF535" s="32"/>
      <c r="AG535" s="32"/>
      <c r="AH535" s="32"/>
      <c r="AI535" s="30">
        <v>311973</v>
      </c>
      <c r="AJ535" s="30">
        <v>290135</v>
      </c>
      <c r="AK535" s="30">
        <v>0</v>
      </c>
      <c r="AL535" s="30">
        <v>0</v>
      </c>
      <c r="AM535" s="30">
        <v>60800</v>
      </c>
      <c r="AN535" s="30">
        <v>300700</v>
      </c>
      <c r="AO535" s="30">
        <v>361500</v>
      </c>
      <c r="AP535" s="30">
        <f>Lookups!$B$58*0.6</f>
        <v>132535.48800000001</v>
      </c>
      <c r="AQ535" s="30">
        <f>Lookups!$B$58*0.4</f>
        <v>88356.992000000013</v>
      </c>
      <c r="AR535" s="30">
        <f>Lookups!$B$59*Inventory[[#This Row],[LnAcres]]</f>
        <v>-24051.387388882686</v>
      </c>
      <c r="AS535" s="30">
        <f>VLOOKUP(Inventory[[#This Row],[Qlty]],Lookups!$A$66:$E$79,2,FALSE)</f>
        <v>32917.849192000001</v>
      </c>
      <c r="AT535" s="30">
        <f>VLOOKUP(Inventory[[#This Row],[Cnd]],Lookups!$A$80:$E$88,2,FALSE)</f>
        <v>50438.379078999998</v>
      </c>
      <c r="AU535" s="30">
        <f>Inventory[[#This Row],[EffAge]]*Lookups!$B$65</f>
        <v>-1848.5987</v>
      </c>
      <c r="AV535" s="30">
        <f>Inventory[[#This Row],[MainFn]]*Lookups!$B$90</f>
        <v>86126.324399999998</v>
      </c>
      <c r="AW535" s="30">
        <f>Inventory[[#This Row],[UpprFn]]*Lookups!$B$91</f>
        <v>0</v>
      </c>
      <c r="AX535" s="30">
        <f>Inventory[[#This Row],[Bsmt Area]]*Lookups!$B$95</f>
        <v>0</v>
      </c>
      <c r="AY535" s="30">
        <f>Inventory[[#This Row],[AttGar]]*Lookups!$B$93</f>
        <v>15108.841268</v>
      </c>
      <c r="AZ535" s="30">
        <f>ROUND(Inventory[[#This Row],[25Det]],-2)</f>
        <v>0</v>
      </c>
      <c r="BA535" s="30">
        <f>ROUND(SUM(Inventory[[#This Row],[Mdl Qlty]:[Mdl Garage Area]])+Inventory[[#This Row],[Mdl Res Intercept]],-2)</f>
        <v>315300</v>
      </c>
      <c r="BB535" s="30">
        <f>ROUND(Inventory[[#This Row],[Mdl Land Intercept]]+Inventory[[#This Row],[Mdl LnAcres]],-2)</f>
        <v>64300</v>
      </c>
      <c r="BC535" s="30">
        <f>Inventory[[#This Row],[Unadj Res Value]]+Inventory[[#This Row],[Unadj Det Value]]+Inventory[[#This Row],[Unadj Land Value]]</f>
        <v>379600</v>
      </c>
      <c r="BD535" s="30">
        <f>(Inventory[[#This Row],[Unadj Total Value]]-Inventory[[#This Row],[24Final]])/Inventory[[#This Row],[24Final]]</f>
        <v>5.0069156293222686E-2</v>
      </c>
      <c r="BE535" s="30">
        <f>VLOOKUP(Inventory[[#This Row],[Nbhd]],Lookups!$M$3:$P$5,4,FALSE)</f>
        <v>0.99970000000000003</v>
      </c>
      <c r="BF535" s="30">
        <f>VLOOKUP(Inventory[[#This Row],[Qlty]],Lookups!$M$8:$P$22,4,FALSE)</f>
        <v>1.0019</v>
      </c>
      <c r="BG535" s="30">
        <f>VLOOKUP(Inventory[[#This Row],[Cnd]],Lookups!$R$8:$U$17,4,FALSE)</f>
        <v>1.0007999999999999</v>
      </c>
      <c r="BH535" s="30">
        <f>VLOOKUP(Inventory[[#This Row],[LivArea Range]],Lookups!$R$25:$U$43,4,FALSE)</f>
        <v>0.99519999999999997</v>
      </c>
      <c r="BI535" s="30">
        <f>VLOOKUP(Inventory[[#This Row],[Decade]],Lookups!$M$24:$P$40,4,FALSE)</f>
        <v>1.0024</v>
      </c>
      <c r="BJ535" s="30">
        <f>Inventory[[#This Row],[Nbhd Adj]]*0.95</f>
        <v>0.94971499999999998</v>
      </c>
      <c r="BK535" s="30">
        <f>AVERAGE(Inventory[[#This Row],[Nbhd Adj]],Inventory[[#This Row],[Quality Adj]],Inventory[[#This Row],[Condition Adj]],Inventory[[#This Row],[Living Area Adj]],Inventory[[#This Row],[Decade Adj]])*0.95</f>
        <v>0.95</v>
      </c>
      <c r="BL535" s="30">
        <f>ROUND((SUM(Inventory[[#This Row],[Mdl Qlty]:[Mdl Garage Area]])+Inventory[[#This Row],[Mdl Res Intercept]])*Inventory[[#This Row],[Res Adj ]],-2)</f>
        <v>299500</v>
      </c>
      <c r="BM535" s="30">
        <f>ROUND(Inventory[[#This Row],[25Det]]*Inventory[[#This Row],[Det/Nbhd Adj]],-2)</f>
        <v>0</v>
      </c>
      <c r="BN535" s="30">
        <f>Inventory[[#This Row],[Adjusted Res]]+Inventory[[#This Row],[Adj Det ]]</f>
        <v>299500</v>
      </c>
      <c r="BO535" s="30">
        <f>ROUND((Inventory[[#This Row],[Mdl Land Intercept]]+Inventory[[#This Row],[Mdl LnAcres]])*Inventory[[#This Row],[Det/Nbhd Adj]],-2)</f>
        <v>61100</v>
      </c>
      <c r="BP535" s="30">
        <f>Inventory[[#This Row],[Adjusted Impr Total]]+Inventory[[#This Row],[Adjusted Land Total]]</f>
        <v>360600</v>
      </c>
      <c r="BQ535" s="30">
        <f>IFERROR((Inventory[[#This Row],[Adjusted Impr Total]]-Inventory[[#This Row],[24Bldg]])/Inventory[[#This Row],[24Bldg]],0)</f>
        <v>-3.9906883937479215E-3</v>
      </c>
      <c r="BR535" s="43">
        <f>(Inventory[[#This Row],[Adjusted Land Total]]-Inventory[[#This Row],[24Lnd]])/Inventory[[#This Row],[24Lnd]]</f>
        <v>4.9342105263157892E-3</v>
      </c>
      <c r="BS535" s="43">
        <f>(Inventory[[#This Row],[Adjusted Total]]-Inventory[[#This Row],[24Final]])/Inventory[[#This Row],[24Final]]</f>
        <v>-2.4896265560165973E-3</v>
      </c>
    </row>
    <row r="536" spans="1:71">
      <c r="A536" s="30">
        <v>2025</v>
      </c>
      <c r="B536" s="31" t="s">
        <v>1050</v>
      </c>
      <c r="C536" s="31">
        <f>LN(Inventory[[#This Row],[Acres]])</f>
        <v>-1.8325814637483102</v>
      </c>
      <c r="D536" s="30">
        <v>0.16</v>
      </c>
      <c r="E536" s="30">
        <v>7031</v>
      </c>
      <c r="F536" s="31" t="s">
        <v>505</v>
      </c>
      <c r="G536" s="31" t="s">
        <v>155</v>
      </c>
      <c r="H536" s="31" t="s">
        <v>5</v>
      </c>
      <c r="I536" s="31" t="s">
        <v>506</v>
      </c>
      <c r="J536" s="31" t="s">
        <v>507</v>
      </c>
      <c r="K536" s="31" t="s">
        <v>193</v>
      </c>
      <c r="L536" s="31" t="s">
        <v>21</v>
      </c>
      <c r="M536" s="31" t="s">
        <v>22</v>
      </c>
      <c r="N536" s="31">
        <v>10</v>
      </c>
      <c r="O536" s="31">
        <f>2024-Inventory[[#This Row],[YrBlt]]</f>
        <v>17</v>
      </c>
      <c r="P536" s="31">
        <f>2024-Inventory[[#This Row],[EffYr]]</f>
        <v>17</v>
      </c>
      <c r="Q536" s="30">
        <v>2007</v>
      </c>
      <c r="R536" s="30">
        <v>2007</v>
      </c>
      <c r="S536" s="30">
        <v>1732</v>
      </c>
      <c r="T536" s="37"/>
      <c r="U536" s="32"/>
      <c r="V536" s="32"/>
      <c r="W536" s="32"/>
      <c r="X536" s="32">
        <f>Inventory[[#This Row],[Bsmt Area]]-Inventory[[#This Row],[FnBsmt]]</f>
        <v>0</v>
      </c>
      <c r="Y536" s="32">
        <f>Inventory[[#This Row],[MainFn]]+Inventory[[#This Row],[UpprFn]]+Inventory[[#This Row],[AddFn]]+Inventory[[#This Row],[FnBsmt]]</f>
        <v>1732</v>
      </c>
      <c r="Z536" s="32">
        <v>2000</v>
      </c>
      <c r="AA536" s="31" t="s">
        <v>57</v>
      </c>
      <c r="AB536" s="32"/>
      <c r="AC536" s="30">
        <v>680</v>
      </c>
      <c r="AD536" s="32"/>
      <c r="AE536" s="32"/>
      <c r="AF536" s="32"/>
      <c r="AG536" s="32"/>
      <c r="AH536" s="32"/>
      <c r="AI536" s="30">
        <v>390916</v>
      </c>
      <c r="AJ536" s="30">
        <v>363552</v>
      </c>
      <c r="AK536" s="30">
        <v>0</v>
      </c>
      <c r="AL536" s="30">
        <v>0</v>
      </c>
      <c r="AM536" s="30">
        <v>60800</v>
      </c>
      <c r="AN536" s="30">
        <v>331600</v>
      </c>
      <c r="AO536" s="30">
        <v>392400</v>
      </c>
      <c r="AP536" s="30">
        <f>Lookups!$B$58*0.6</f>
        <v>132535.48800000001</v>
      </c>
      <c r="AQ536" s="30">
        <f>Lookups!$B$58*0.4</f>
        <v>88356.992000000013</v>
      </c>
      <c r="AR536" s="30">
        <f>Lookups!$B$59*Inventory[[#This Row],[LnAcres]]</f>
        <v>-24051.387388882686</v>
      </c>
      <c r="AS536" s="30">
        <f>VLOOKUP(Inventory[[#This Row],[Qlty]],Lookups!$A$66:$E$79,2,FALSE)</f>
        <v>32917.849192000001</v>
      </c>
      <c r="AT536" s="30">
        <f>VLOOKUP(Inventory[[#This Row],[Cnd]],Lookups!$A$80:$E$88,2,FALSE)</f>
        <v>50438.379078999998</v>
      </c>
      <c r="AU536" s="30">
        <f>Inventory[[#This Row],[EffAge]]*Lookups!$B$65</f>
        <v>-1848.5987</v>
      </c>
      <c r="AV536" s="30">
        <f>Inventory[[#This Row],[MainFn]]*Lookups!$B$90</f>
        <v>108094.77816</v>
      </c>
      <c r="AW536" s="30">
        <f>Inventory[[#This Row],[UpprFn]]*Lookups!$B$91</f>
        <v>0</v>
      </c>
      <c r="AX536" s="30">
        <f>Inventory[[#This Row],[Bsmt Area]]*Lookups!$B$95</f>
        <v>0</v>
      </c>
      <c r="AY536" s="30">
        <f>Inventory[[#This Row],[AttGar]]*Lookups!$B$93</f>
        <v>24004.701080000003</v>
      </c>
      <c r="AZ536" s="30">
        <f>ROUND(Inventory[[#This Row],[25Det]],-2)</f>
        <v>0</v>
      </c>
      <c r="BA536" s="30">
        <f>ROUND(SUM(Inventory[[#This Row],[Mdl Qlty]:[Mdl Garage Area]])+Inventory[[#This Row],[Mdl Res Intercept]],-2)</f>
        <v>346100</v>
      </c>
      <c r="BB536" s="30">
        <f>ROUND(Inventory[[#This Row],[Mdl Land Intercept]]+Inventory[[#This Row],[Mdl LnAcres]],-2)</f>
        <v>64300</v>
      </c>
      <c r="BC536" s="30">
        <f>Inventory[[#This Row],[Unadj Res Value]]+Inventory[[#This Row],[Unadj Det Value]]+Inventory[[#This Row],[Unadj Land Value]]</f>
        <v>410400</v>
      </c>
      <c r="BD536" s="30">
        <f>(Inventory[[#This Row],[Unadj Total Value]]-Inventory[[#This Row],[24Final]])/Inventory[[#This Row],[24Final]]</f>
        <v>4.5871559633027525E-2</v>
      </c>
      <c r="BE536" s="30">
        <f>VLOOKUP(Inventory[[#This Row],[Nbhd]],Lookups!$M$3:$P$5,4,FALSE)</f>
        <v>0.99970000000000003</v>
      </c>
      <c r="BF536" s="30">
        <f>VLOOKUP(Inventory[[#This Row],[Qlty]],Lookups!$M$8:$P$22,4,FALSE)</f>
        <v>1.0019</v>
      </c>
      <c r="BG536" s="30">
        <f>VLOOKUP(Inventory[[#This Row],[Cnd]],Lookups!$R$8:$U$17,4,FALSE)</f>
        <v>1.0007999999999999</v>
      </c>
      <c r="BH536" s="30">
        <f>VLOOKUP(Inventory[[#This Row],[LivArea Range]],Lookups!$R$25:$U$43,4,FALSE)</f>
        <v>1.0007999999999999</v>
      </c>
      <c r="BI536" s="30">
        <f>VLOOKUP(Inventory[[#This Row],[Decade]],Lookups!$M$24:$P$40,4,FALSE)</f>
        <v>1.0024</v>
      </c>
      <c r="BJ536" s="30">
        <f>Inventory[[#This Row],[Nbhd Adj]]*0.95</f>
        <v>0.94971499999999998</v>
      </c>
      <c r="BK536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536" s="30">
        <f>ROUND((SUM(Inventory[[#This Row],[Mdl Qlty]:[Mdl Garage Area]])+Inventory[[#This Row],[Mdl Res Intercept]])*Inventory[[#This Row],[Res Adj ]],-2)</f>
        <v>329200</v>
      </c>
      <c r="BM536" s="30">
        <f>ROUND(Inventory[[#This Row],[25Det]]*Inventory[[#This Row],[Det/Nbhd Adj]],-2)</f>
        <v>0</v>
      </c>
      <c r="BN536" s="30">
        <f>Inventory[[#This Row],[Adjusted Res]]+Inventory[[#This Row],[Adj Det ]]</f>
        <v>329200</v>
      </c>
      <c r="BO536" s="30">
        <f>ROUND((Inventory[[#This Row],[Mdl Land Intercept]]+Inventory[[#This Row],[Mdl LnAcres]])*Inventory[[#This Row],[Det/Nbhd Adj]],-2)</f>
        <v>61100</v>
      </c>
      <c r="BP536" s="30">
        <f>Inventory[[#This Row],[Adjusted Impr Total]]+Inventory[[#This Row],[Adjusted Land Total]]</f>
        <v>390300</v>
      </c>
      <c r="BQ536" s="30">
        <f>IFERROR((Inventory[[#This Row],[Adjusted Impr Total]]-Inventory[[#This Row],[24Bldg]])/Inventory[[#This Row],[24Bldg]],0)</f>
        <v>-7.2376357056694813E-3</v>
      </c>
      <c r="BR536" s="43">
        <f>(Inventory[[#This Row],[Adjusted Land Total]]-Inventory[[#This Row],[24Lnd]])/Inventory[[#This Row],[24Lnd]]</f>
        <v>4.9342105263157892E-3</v>
      </c>
      <c r="BS536" s="43">
        <f>(Inventory[[#This Row],[Adjusted Total]]-Inventory[[#This Row],[24Final]])/Inventory[[#This Row],[24Final]]</f>
        <v>-5.3516819571865441E-3</v>
      </c>
    </row>
    <row r="537" spans="1:71">
      <c r="A537" s="30">
        <v>2025</v>
      </c>
      <c r="B537" s="31" t="s">
        <v>1051</v>
      </c>
      <c r="C537" s="31">
        <f>LN(Inventory[[#This Row],[Acres]])</f>
        <v>-1.8325814637483102</v>
      </c>
      <c r="D537" s="30">
        <v>0.16</v>
      </c>
      <c r="E537" s="30">
        <v>7149</v>
      </c>
      <c r="F537" s="31" t="s">
        <v>505</v>
      </c>
      <c r="G537" s="31" t="s">
        <v>155</v>
      </c>
      <c r="H537" s="31" t="s">
        <v>5</v>
      </c>
      <c r="I537" s="31" t="s">
        <v>506</v>
      </c>
      <c r="J537" s="31" t="s">
        <v>507</v>
      </c>
      <c r="K537" s="31" t="s">
        <v>193</v>
      </c>
      <c r="L537" s="31" t="s">
        <v>21</v>
      </c>
      <c r="M537" s="31" t="s">
        <v>22</v>
      </c>
      <c r="N537" s="31">
        <v>10</v>
      </c>
      <c r="O537" s="31">
        <f>2024-Inventory[[#This Row],[YrBlt]]</f>
        <v>17</v>
      </c>
      <c r="P537" s="31">
        <f>2024-Inventory[[#This Row],[EffYr]]</f>
        <v>17</v>
      </c>
      <c r="Q537" s="30">
        <v>2007</v>
      </c>
      <c r="R537" s="30">
        <v>2007</v>
      </c>
      <c r="S537" s="30">
        <v>1672</v>
      </c>
      <c r="T537" s="37"/>
      <c r="U537" s="32"/>
      <c r="V537" s="32"/>
      <c r="W537" s="32"/>
      <c r="X537" s="32">
        <f>Inventory[[#This Row],[Bsmt Area]]-Inventory[[#This Row],[FnBsmt]]</f>
        <v>0</v>
      </c>
      <c r="Y537" s="32">
        <f>Inventory[[#This Row],[MainFn]]+Inventory[[#This Row],[UpprFn]]+Inventory[[#This Row],[AddFn]]+Inventory[[#This Row],[FnBsmt]]</f>
        <v>1672</v>
      </c>
      <c r="Z537" s="32">
        <v>2000</v>
      </c>
      <c r="AA537" s="31" t="s">
        <v>57</v>
      </c>
      <c r="AB537" s="37"/>
      <c r="AC537" s="38">
        <v>484</v>
      </c>
      <c r="AD537" s="37"/>
      <c r="AE537" s="32"/>
      <c r="AF537" s="32"/>
      <c r="AG537" s="32"/>
      <c r="AH537" s="32"/>
      <c r="AI537" s="30">
        <v>382645</v>
      </c>
      <c r="AJ537" s="30">
        <v>355860</v>
      </c>
      <c r="AK537" s="30">
        <v>0</v>
      </c>
      <c r="AL537" s="30">
        <v>0</v>
      </c>
      <c r="AM537" s="30">
        <v>60800</v>
      </c>
      <c r="AN537" s="30">
        <v>319800</v>
      </c>
      <c r="AO537" s="30">
        <v>380600</v>
      </c>
      <c r="AP537" s="30">
        <f>Lookups!$B$58*0.6</f>
        <v>132535.48800000001</v>
      </c>
      <c r="AQ537" s="30">
        <f>Lookups!$B$58*0.4</f>
        <v>88356.992000000013</v>
      </c>
      <c r="AR537" s="30">
        <f>Lookups!$B$59*Inventory[[#This Row],[LnAcres]]</f>
        <v>-24051.387388882686</v>
      </c>
      <c r="AS537" s="30">
        <f>VLOOKUP(Inventory[[#This Row],[Qlty]],Lookups!$A$66:$E$79,2,FALSE)</f>
        <v>32917.849192000001</v>
      </c>
      <c r="AT537" s="30">
        <f>VLOOKUP(Inventory[[#This Row],[Cnd]],Lookups!$A$80:$E$88,2,FALSE)</f>
        <v>50438.379078999998</v>
      </c>
      <c r="AU537" s="30">
        <f>Inventory[[#This Row],[EffAge]]*Lookups!$B$65</f>
        <v>-1848.5987</v>
      </c>
      <c r="AV537" s="30">
        <f>Inventory[[#This Row],[MainFn]]*Lookups!$B$90</f>
        <v>104350.15536</v>
      </c>
      <c r="AW537" s="30">
        <f>Inventory[[#This Row],[UpprFn]]*Lookups!$B$91</f>
        <v>0</v>
      </c>
      <c r="AX537" s="30">
        <f>Inventory[[#This Row],[Bsmt Area]]*Lookups!$B$95</f>
        <v>0</v>
      </c>
      <c r="AY537" s="30">
        <f>Inventory[[#This Row],[AttGar]]*Lookups!$B$93</f>
        <v>17085.699004000002</v>
      </c>
      <c r="AZ537" s="30">
        <f>ROUND(Inventory[[#This Row],[25Det]],-2)</f>
        <v>0</v>
      </c>
      <c r="BA537" s="30">
        <f>ROUND(SUM(Inventory[[#This Row],[Mdl Qlty]:[Mdl Garage Area]])+Inventory[[#This Row],[Mdl Res Intercept]],-2)</f>
        <v>335500</v>
      </c>
      <c r="BB537" s="30">
        <f>ROUND(Inventory[[#This Row],[Mdl Land Intercept]]+Inventory[[#This Row],[Mdl LnAcres]],-2)</f>
        <v>64300</v>
      </c>
      <c r="BC537" s="30">
        <f>Inventory[[#This Row],[Unadj Res Value]]+Inventory[[#This Row],[Unadj Det Value]]+Inventory[[#This Row],[Unadj Land Value]]</f>
        <v>399800</v>
      </c>
      <c r="BD537" s="30">
        <f>(Inventory[[#This Row],[Unadj Total Value]]-Inventory[[#This Row],[24Final]])/Inventory[[#This Row],[24Final]]</f>
        <v>5.0446663163426171E-2</v>
      </c>
      <c r="BE537" s="30">
        <f>VLOOKUP(Inventory[[#This Row],[Nbhd]],Lookups!$M$3:$P$5,4,FALSE)</f>
        <v>0.99970000000000003</v>
      </c>
      <c r="BF537" s="30">
        <f>VLOOKUP(Inventory[[#This Row],[Qlty]],Lookups!$M$8:$P$22,4,FALSE)</f>
        <v>1.0019</v>
      </c>
      <c r="BG537" s="30">
        <f>VLOOKUP(Inventory[[#This Row],[Cnd]],Lookups!$R$8:$U$17,4,FALSE)</f>
        <v>1.0007999999999999</v>
      </c>
      <c r="BH537" s="30">
        <f>VLOOKUP(Inventory[[#This Row],[LivArea Range]],Lookups!$R$25:$U$43,4,FALSE)</f>
        <v>1.0007999999999999</v>
      </c>
      <c r="BI537" s="30">
        <f>VLOOKUP(Inventory[[#This Row],[Decade]],Lookups!$M$24:$P$40,4,FALSE)</f>
        <v>1.0024</v>
      </c>
      <c r="BJ537" s="30">
        <f>Inventory[[#This Row],[Nbhd Adj]]*0.95</f>
        <v>0.94971499999999998</v>
      </c>
      <c r="BK537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537" s="30">
        <f>ROUND((SUM(Inventory[[#This Row],[Mdl Qlty]:[Mdl Garage Area]])+Inventory[[#This Row],[Mdl Res Intercept]])*Inventory[[#This Row],[Res Adj ]],-2)</f>
        <v>319100</v>
      </c>
      <c r="BM537" s="30">
        <f>ROUND(Inventory[[#This Row],[25Det]]*Inventory[[#This Row],[Det/Nbhd Adj]],-2)</f>
        <v>0</v>
      </c>
      <c r="BN537" s="30">
        <f>Inventory[[#This Row],[Adjusted Res]]+Inventory[[#This Row],[Adj Det ]]</f>
        <v>319100</v>
      </c>
      <c r="BO537" s="30">
        <f>ROUND((Inventory[[#This Row],[Mdl Land Intercept]]+Inventory[[#This Row],[Mdl LnAcres]])*Inventory[[#This Row],[Det/Nbhd Adj]],-2)</f>
        <v>61100</v>
      </c>
      <c r="BP537" s="30">
        <f>Inventory[[#This Row],[Adjusted Impr Total]]+Inventory[[#This Row],[Adjusted Land Total]]</f>
        <v>380200</v>
      </c>
      <c r="BQ537" s="30">
        <f>IFERROR((Inventory[[#This Row],[Adjusted Impr Total]]-Inventory[[#This Row],[24Bldg]])/Inventory[[#This Row],[24Bldg]],0)</f>
        <v>-2.1888680425265791E-3</v>
      </c>
      <c r="BR537" s="43">
        <f>(Inventory[[#This Row],[Adjusted Land Total]]-Inventory[[#This Row],[24Lnd]])/Inventory[[#This Row],[24Lnd]]</f>
        <v>4.9342105263157892E-3</v>
      </c>
      <c r="BS537" s="43">
        <f>(Inventory[[#This Row],[Adjusted Total]]-Inventory[[#This Row],[24Final]])/Inventory[[#This Row],[24Final]]</f>
        <v>-1.0509721492380452E-3</v>
      </c>
    </row>
    <row r="538" spans="1:71">
      <c r="A538" s="30">
        <v>2025</v>
      </c>
      <c r="B538" s="31" t="s">
        <v>1052</v>
      </c>
      <c r="C538" s="31">
        <f>LN(Inventory[[#This Row],[Acres]])</f>
        <v>-1.8325814637483102</v>
      </c>
      <c r="D538" s="30">
        <v>0.16</v>
      </c>
      <c r="E538" s="30">
        <v>7032</v>
      </c>
      <c r="F538" s="31" t="s">
        <v>505</v>
      </c>
      <c r="G538" s="31" t="s">
        <v>155</v>
      </c>
      <c r="H538" s="31" t="s">
        <v>5</v>
      </c>
      <c r="I538" s="31" t="s">
        <v>506</v>
      </c>
      <c r="J538" s="31" t="s">
        <v>507</v>
      </c>
      <c r="K538" s="31" t="s">
        <v>193</v>
      </c>
      <c r="L538" s="31" t="s">
        <v>21</v>
      </c>
      <c r="M538" s="31" t="s">
        <v>22</v>
      </c>
      <c r="N538" s="31">
        <v>10</v>
      </c>
      <c r="O538" s="31">
        <f>2024-Inventory[[#This Row],[YrBlt]]</f>
        <v>17</v>
      </c>
      <c r="P538" s="31">
        <f>2024-Inventory[[#This Row],[EffYr]]</f>
        <v>17</v>
      </c>
      <c r="Q538" s="30">
        <v>2007</v>
      </c>
      <c r="R538" s="30">
        <v>2007</v>
      </c>
      <c r="S538" s="30">
        <v>1706</v>
      </c>
      <c r="T538" s="32"/>
      <c r="U538" s="32"/>
      <c r="V538" s="32"/>
      <c r="W538" s="32"/>
      <c r="X538" s="32">
        <f>Inventory[[#This Row],[Bsmt Area]]-Inventory[[#This Row],[FnBsmt]]</f>
        <v>0</v>
      </c>
      <c r="Y538" s="32">
        <f>Inventory[[#This Row],[MainFn]]+Inventory[[#This Row],[UpprFn]]+Inventory[[#This Row],[AddFn]]+Inventory[[#This Row],[FnBsmt]]</f>
        <v>1706</v>
      </c>
      <c r="Z538" s="32">
        <v>2000</v>
      </c>
      <c r="AA538" s="31" t="s">
        <v>57</v>
      </c>
      <c r="AB538" s="30">
        <v>1</v>
      </c>
      <c r="AC538" s="30">
        <v>466</v>
      </c>
      <c r="AD538" s="32"/>
      <c r="AE538" s="32"/>
      <c r="AF538" s="32"/>
      <c r="AG538" s="32"/>
      <c r="AH538" s="32"/>
      <c r="AI538" s="30">
        <v>382583</v>
      </c>
      <c r="AJ538" s="30">
        <v>355802</v>
      </c>
      <c r="AK538" s="30">
        <v>0</v>
      </c>
      <c r="AL538" s="30">
        <v>0</v>
      </c>
      <c r="AM538" s="30">
        <v>60800</v>
      </c>
      <c r="AN538" s="30">
        <v>321100</v>
      </c>
      <c r="AO538" s="30">
        <v>381900</v>
      </c>
      <c r="AP538" s="30">
        <f>Lookups!$B$58*0.6</f>
        <v>132535.48800000001</v>
      </c>
      <c r="AQ538" s="30">
        <f>Lookups!$B$58*0.4</f>
        <v>88356.992000000013</v>
      </c>
      <c r="AR538" s="30">
        <f>Lookups!$B$59*Inventory[[#This Row],[LnAcres]]</f>
        <v>-24051.387388882686</v>
      </c>
      <c r="AS538" s="30">
        <f>VLOOKUP(Inventory[[#This Row],[Qlty]],Lookups!$A$66:$E$79,2,FALSE)</f>
        <v>32917.849192000001</v>
      </c>
      <c r="AT538" s="30">
        <f>VLOOKUP(Inventory[[#This Row],[Cnd]],Lookups!$A$80:$E$88,2,FALSE)</f>
        <v>50438.379078999998</v>
      </c>
      <c r="AU538" s="30">
        <f>Inventory[[#This Row],[EffAge]]*Lookups!$B$65</f>
        <v>-1848.5987</v>
      </c>
      <c r="AV538" s="30">
        <f>Inventory[[#This Row],[MainFn]]*Lookups!$B$90</f>
        <v>106472.10828</v>
      </c>
      <c r="AW538" s="30">
        <f>Inventory[[#This Row],[UpprFn]]*Lookups!$B$91</f>
        <v>0</v>
      </c>
      <c r="AX538" s="30">
        <f>Inventory[[#This Row],[Bsmt Area]]*Lookups!$B$95</f>
        <v>0</v>
      </c>
      <c r="AY538" s="30">
        <f>Inventory[[#This Row],[AttGar]]*Lookups!$B$93</f>
        <v>16450.280446000001</v>
      </c>
      <c r="AZ538" s="30">
        <f>ROUND(Inventory[[#This Row],[25Det]],-2)</f>
        <v>0</v>
      </c>
      <c r="BA538" s="30">
        <f>ROUND(SUM(Inventory[[#This Row],[Mdl Qlty]:[Mdl Garage Area]])+Inventory[[#This Row],[Mdl Res Intercept]],-2)</f>
        <v>337000</v>
      </c>
      <c r="BB538" s="30">
        <f>ROUND(Inventory[[#This Row],[Mdl Land Intercept]]+Inventory[[#This Row],[Mdl LnAcres]],-2)</f>
        <v>64300</v>
      </c>
      <c r="BC538" s="30">
        <f>Inventory[[#This Row],[Unadj Res Value]]+Inventory[[#This Row],[Unadj Det Value]]+Inventory[[#This Row],[Unadj Land Value]]</f>
        <v>401300</v>
      </c>
      <c r="BD538" s="30">
        <f>(Inventory[[#This Row],[Unadj Total Value]]-Inventory[[#This Row],[24Final]])/Inventory[[#This Row],[24Final]]</f>
        <v>5.0798638387012304E-2</v>
      </c>
      <c r="BE538" s="30">
        <f>VLOOKUP(Inventory[[#This Row],[Nbhd]],Lookups!$M$3:$P$5,4,FALSE)</f>
        <v>0.99970000000000003</v>
      </c>
      <c r="BF538" s="30">
        <f>VLOOKUP(Inventory[[#This Row],[Qlty]],Lookups!$M$8:$P$22,4,FALSE)</f>
        <v>1.0019</v>
      </c>
      <c r="BG538" s="30">
        <f>VLOOKUP(Inventory[[#This Row],[Cnd]],Lookups!$R$8:$U$17,4,FALSE)</f>
        <v>1.0007999999999999</v>
      </c>
      <c r="BH538" s="30">
        <f>VLOOKUP(Inventory[[#This Row],[LivArea Range]],Lookups!$R$25:$U$43,4,FALSE)</f>
        <v>1.0007999999999999</v>
      </c>
      <c r="BI538" s="30">
        <f>VLOOKUP(Inventory[[#This Row],[Decade]],Lookups!$M$24:$P$40,4,FALSE)</f>
        <v>1.0024</v>
      </c>
      <c r="BJ538" s="30">
        <f>Inventory[[#This Row],[Nbhd Adj]]*0.95</f>
        <v>0.94971499999999998</v>
      </c>
      <c r="BK538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538" s="30">
        <f>ROUND((SUM(Inventory[[#This Row],[Mdl Qlty]:[Mdl Garage Area]])+Inventory[[#This Row],[Mdl Res Intercept]])*Inventory[[#This Row],[Res Adj ]],-2)</f>
        <v>320500</v>
      </c>
      <c r="BM538" s="30">
        <f>ROUND(Inventory[[#This Row],[25Det]]*Inventory[[#This Row],[Det/Nbhd Adj]],-2)</f>
        <v>0</v>
      </c>
      <c r="BN538" s="30">
        <f>Inventory[[#This Row],[Adjusted Res]]+Inventory[[#This Row],[Adj Det ]]</f>
        <v>320500</v>
      </c>
      <c r="BO538" s="30">
        <f>ROUND((Inventory[[#This Row],[Mdl Land Intercept]]+Inventory[[#This Row],[Mdl LnAcres]])*Inventory[[#This Row],[Det/Nbhd Adj]],-2)</f>
        <v>61100</v>
      </c>
      <c r="BP538" s="30">
        <f>Inventory[[#This Row],[Adjusted Impr Total]]+Inventory[[#This Row],[Adjusted Land Total]]</f>
        <v>381600</v>
      </c>
      <c r="BQ538" s="30">
        <f>IFERROR((Inventory[[#This Row],[Adjusted Impr Total]]-Inventory[[#This Row],[24Bldg]])/Inventory[[#This Row],[24Bldg]],0)</f>
        <v>-1.8685767673621925E-3</v>
      </c>
      <c r="BR538" s="43">
        <f>(Inventory[[#This Row],[Adjusted Land Total]]-Inventory[[#This Row],[24Lnd]])/Inventory[[#This Row],[24Lnd]]</f>
        <v>4.9342105263157892E-3</v>
      </c>
      <c r="BS538" s="43">
        <f>(Inventory[[#This Row],[Adjusted Total]]-Inventory[[#This Row],[24Final]])/Inventory[[#This Row],[24Final]]</f>
        <v>-7.855459544383347E-4</v>
      </c>
    </row>
    <row r="539" spans="1:71">
      <c r="A539" s="30">
        <v>2025</v>
      </c>
      <c r="B539" s="31" t="s">
        <v>1053</v>
      </c>
      <c r="C539" s="31">
        <f>LN(Inventory[[#This Row],[Acres]])</f>
        <v>-1.8325814637483102</v>
      </c>
      <c r="D539" s="30">
        <v>0.16</v>
      </c>
      <c r="E539" s="30">
        <v>7082</v>
      </c>
      <c r="F539" s="31" t="s">
        <v>505</v>
      </c>
      <c r="G539" s="31" t="s">
        <v>155</v>
      </c>
      <c r="H539" s="31" t="s">
        <v>5</v>
      </c>
      <c r="I539" s="31" t="s">
        <v>506</v>
      </c>
      <c r="J539" s="31" t="s">
        <v>507</v>
      </c>
      <c r="K539" s="31" t="s">
        <v>193</v>
      </c>
      <c r="L539" s="31" t="s">
        <v>21</v>
      </c>
      <c r="M539" s="31" t="s">
        <v>22</v>
      </c>
      <c r="N539" s="31">
        <v>10</v>
      </c>
      <c r="O539" s="31">
        <f>2024-Inventory[[#This Row],[YrBlt]]</f>
        <v>17</v>
      </c>
      <c r="P539" s="31">
        <f>2024-Inventory[[#This Row],[EffYr]]</f>
        <v>17</v>
      </c>
      <c r="Q539" s="30">
        <v>2007</v>
      </c>
      <c r="R539" s="30">
        <v>2007</v>
      </c>
      <c r="S539" s="30">
        <v>2154</v>
      </c>
      <c r="T539" s="32"/>
      <c r="U539" s="32"/>
      <c r="V539" s="32"/>
      <c r="W539" s="32"/>
      <c r="X539" s="32">
        <f>Inventory[[#This Row],[Bsmt Area]]-Inventory[[#This Row],[FnBsmt]]</f>
        <v>0</v>
      </c>
      <c r="Y539" s="32">
        <f>Inventory[[#This Row],[MainFn]]+Inventory[[#This Row],[UpprFn]]+Inventory[[#This Row],[AddFn]]+Inventory[[#This Row],[FnBsmt]]</f>
        <v>2154</v>
      </c>
      <c r="Z539" s="32">
        <v>2500</v>
      </c>
      <c r="AA539" s="31" t="s">
        <v>57</v>
      </c>
      <c r="AB539" s="37"/>
      <c r="AC539" s="30">
        <v>730</v>
      </c>
      <c r="AD539" s="32"/>
      <c r="AE539" s="32"/>
      <c r="AF539" s="32"/>
      <c r="AG539" s="32"/>
      <c r="AH539" s="32"/>
      <c r="AI539" s="30">
        <v>456334</v>
      </c>
      <c r="AJ539" s="30">
        <v>424391</v>
      </c>
      <c r="AK539" s="30">
        <v>0</v>
      </c>
      <c r="AL539" s="30">
        <v>0</v>
      </c>
      <c r="AM539" s="30">
        <v>60800</v>
      </c>
      <c r="AN539" s="30">
        <v>349000</v>
      </c>
      <c r="AO539" s="30">
        <v>409800</v>
      </c>
      <c r="AP539" s="30">
        <f>Lookups!$B$58*0.6</f>
        <v>132535.48800000001</v>
      </c>
      <c r="AQ539" s="30">
        <f>Lookups!$B$58*0.4</f>
        <v>88356.992000000013</v>
      </c>
      <c r="AR539" s="30">
        <f>Lookups!$B$59*Inventory[[#This Row],[LnAcres]]</f>
        <v>-24051.387388882686</v>
      </c>
      <c r="AS539" s="30">
        <f>VLOOKUP(Inventory[[#This Row],[Qlty]],Lookups!$A$66:$E$79,2,FALSE)</f>
        <v>32917.849192000001</v>
      </c>
      <c r="AT539" s="30">
        <f>VLOOKUP(Inventory[[#This Row],[Cnd]],Lookups!$A$80:$E$88,2,FALSE)</f>
        <v>50438.379078999998</v>
      </c>
      <c r="AU539" s="30">
        <f>Inventory[[#This Row],[EffAge]]*Lookups!$B$65</f>
        <v>-1848.5987</v>
      </c>
      <c r="AV539" s="30">
        <f>Inventory[[#This Row],[MainFn]]*Lookups!$B$90</f>
        <v>134431.95852000001</v>
      </c>
      <c r="AW539" s="30">
        <f>Inventory[[#This Row],[UpprFn]]*Lookups!$B$91</f>
        <v>0</v>
      </c>
      <c r="AX539" s="30">
        <f>Inventory[[#This Row],[Bsmt Area]]*Lookups!$B$95</f>
        <v>0</v>
      </c>
      <c r="AY539" s="30">
        <f>Inventory[[#This Row],[AttGar]]*Lookups!$B$93</f>
        <v>25769.752630000003</v>
      </c>
      <c r="AZ539" s="30">
        <f>ROUND(Inventory[[#This Row],[25Det]],-2)</f>
        <v>0</v>
      </c>
      <c r="BA539" s="30">
        <f>ROUND(SUM(Inventory[[#This Row],[Mdl Qlty]:[Mdl Garage Area]])+Inventory[[#This Row],[Mdl Res Intercept]],-2)</f>
        <v>374200</v>
      </c>
      <c r="BB539" s="30">
        <f>ROUND(Inventory[[#This Row],[Mdl Land Intercept]]+Inventory[[#This Row],[Mdl LnAcres]],-2)</f>
        <v>64300</v>
      </c>
      <c r="BC539" s="30">
        <f>Inventory[[#This Row],[Unadj Res Value]]+Inventory[[#This Row],[Unadj Det Value]]+Inventory[[#This Row],[Unadj Land Value]]</f>
        <v>438500</v>
      </c>
      <c r="BD539" s="30">
        <f>(Inventory[[#This Row],[Unadj Total Value]]-Inventory[[#This Row],[24Final]])/Inventory[[#This Row],[24Final]]</f>
        <v>7.003416300634456E-2</v>
      </c>
      <c r="BE539" s="30">
        <f>VLOOKUP(Inventory[[#This Row],[Nbhd]],Lookups!$M$3:$P$5,4,FALSE)</f>
        <v>0.99970000000000003</v>
      </c>
      <c r="BF539" s="30">
        <f>VLOOKUP(Inventory[[#This Row],[Qlty]],Lookups!$M$8:$P$22,4,FALSE)</f>
        <v>1.0019</v>
      </c>
      <c r="BG539" s="30">
        <f>VLOOKUP(Inventory[[#This Row],[Cnd]],Lookups!$R$8:$U$17,4,FALSE)</f>
        <v>1.0007999999999999</v>
      </c>
      <c r="BH539" s="30">
        <f>VLOOKUP(Inventory[[#This Row],[LivArea Range]],Lookups!$R$25:$U$43,4,FALSE)</f>
        <v>1.0008999999999999</v>
      </c>
      <c r="BI539" s="30">
        <f>VLOOKUP(Inventory[[#This Row],[Decade]],Lookups!$M$24:$P$40,4,FALSE)</f>
        <v>1.0024</v>
      </c>
      <c r="BJ539" s="30">
        <f>Inventory[[#This Row],[Nbhd Adj]]*0.95</f>
        <v>0.94971499999999998</v>
      </c>
      <c r="BK539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539" s="30">
        <f>ROUND((SUM(Inventory[[#This Row],[Mdl Qlty]:[Mdl Garage Area]])+Inventory[[#This Row],[Mdl Res Intercept]])*Inventory[[#This Row],[Res Adj ]],-2)</f>
        <v>355900</v>
      </c>
      <c r="BM539" s="30">
        <f>ROUND(Inventory[[#This Row],[25Det]]*Inventory[[#This Row],[Det/Nbhd Adj]],-2)</f>
        <v>0</v>
      </c>
      <c r="BN539" s="30">
        <f>Inventory[[#This Row],[Adjusted Res]]+Inventory[[#This Row],[Adj Det ]]</f>
        <v>355900</v>
      </c>
      <c r="BO539" s="30">
        <f>ROUND((Inventory[[#This Row],[Mdl Land Intercept]]+Inventory[[#This Row],[Mdl LnAcres]])*Inventory[[#This Row],[Det/Nbhd Adj]],-2)</f>
        <v>61100</v>
      </c>
      <c r="BP539" s="30">
        <f>Inventory[[#This Row],[Adjusted Impr Total]]+Inventory[[#This Row],[Adjusted Land Total]]</f>
        <v>417000</v>
      </c>
      <c r="BQ539" s="30">
        <f>IFERROR((Inventory[[#This Row],[Adjusted Impr Total]]-Inventory[[#This Row],[24Bldg]])/Inventory[[#This Row],[24Bldg]],0)</f>
        <v>1.9770773638968481E-2</v>
      </c>
      <c r="BR539" s="43">
        <f>(Inventory[[#This Row],[Adjusted Land Total]]-Inventory[[#This Row],[24Lnd]])/Inventory[[#This Row],[24Lnd]]</f>
        <v>4.9342105263157892E-3</v>
      </c>
      <c r="BS539" s="43">
        <f>(Inventory[[#This Row],[Adjusted Total]]-Inventory[[#This Row],[24Final]])/Inventory[[#This Row],[24Final]]</f>
        <v>1.7569546120058566E-2</v>
      </c>
    </row>
    <row r="540" spans="1:71">
      <c r="A540" s="30">
        <v>2025</v>
      </c>
      <c r="B540" s="31" t="s">
        <v>1054</v>
      </c>
      <c r="C540" s="31">
        <f>LN(Inventory[[#This Row],[Acres]])</f>
        <v>-1.8325814637483102</v>
      </c>
      <c r="D540" s="30">
        <v>0.16</v>
      </c>
      <c r="E540" s="30">
        <v>7032</v>
      </c>
      <c r="F540" s="31" t="s">
        <v>505</v>
      </c>
      <c r="G540" s="31" t="s">
        <v>155</v>
      </c>
      <c r="H540" s="31" t="s">
        <v>5</v>
      </c>
      <c r="I540" s="31" t="s">
        <v>506</v>
      </c>
      <c r="J540" s="31" t="s">
        <v>507</v>
      </c>
      <c r="K540" s="31" t="s">
        <v>193</v>
      </c>
      <c r="L540" s="31" t="s">
        <v>21</v>
      </c>
      <c r="M540" s="31" t="s">
        <v>22</v>
      </c>
      <c r="N540" s="31">
        <v>10</v>
      </c>
      <c r="O540" s="31">
        <f>2024-Inventory[[#This Row],[YrBlt]]</f>
        <v>17</v>
      </c>
      <c r="P540" s="31">
        <f>2024-Inventory[[#This Row],[EffYr]]</f>
        <v>17</v>
      </c>
      <c r="Q540" s="30">
        <v>2007</v>
      </c>
      <c r="R540" s="30">
        <v>2007</v>
      </c>
      <c r="S540" s="30">
        <v>1732</v>
      </c>
      <c r="T540" s="32"/>
      <c r="U540" s="32"/>
      <c r="V540" s="32"/>
      <c r="W540" s="32"/>
      <c r="X540" s="32">
        <f>Inventory[[#This Row],[Bsmt Area]]-Inventory[[#This Row],[FnBsmt]]</f>
        <v>0</v>
      </c>
      <c r="Y540" s="32">
        <f>Inventory[[#This Row],[MainFn]]+Inventory[[#This Row],[UpprFn]]+Inventory[[#This Row],[AddFn]]+Inventory[[#This Row],[FnBsmt]]</f>
        <v>1732</v>
      </c>
      <c r="Z540" s="32">
        <v>2000</v>
      </c>
      <c r="AA540" s="31" t="s">
        <v>55</v>
      </c>
      <c r="AB540" s="32"/>
      <c r="AC540" s="30">
        <v>440</v>
      </c>
      <c r="AD540" s="32"/>
      <c r="AE540" s="32"/>
      <c r="AF540" s="32"/>
      <c r="AG540" s="32"/>
      <c r="AH540" s="32"/>
      <c r="AI540" s="30">
        <v>375524</v>
      </c>
      <c r="AJ540" s="30">
        <v>349237</v>
      </c>
      <c r="AK540" s="30">
        <v>0</v>
      </c>
      <c r="AL540" s="30">
        <v>0</v>
      </c>
      <c r="AM540" s="30">
        <v>60800</v>
      </c>
      <c r="AN540" s="30">
        <v>321300</v>
      </c>
      <c r="AO540" s="30">
        <v>382100</v>
      </c>
      <c r="AP540" s="30">
        <f>Lookups!$B$58*0.6</f>
        <v>132535.48800000001</v>
      </c>
      <c r="AQ540" s="30">
        <f>Lookups!$B$58*0.4</f>
        <v>88356.992000000013</v>
      </c>
      <c r="AR540" s="30">
        <f>Lookups!$B$59*Inventory[[#This Row],[LnAcres]]</f>
        <v>-24051.387388882686</v>
      </c>
      <c r="AS540" s="30">
        <f>VLOOKUP(Inventory[[#This Row],[Qlty]],Lookups!$A$66:$E$79,2,FALSE)</f>
        <v>32917.849192000001</v>
      </c>
      <c r="AT540" s="30">
        <f>VLOOKUP(Inventory[[#This Row],[Cnd]],Lookups!$A$80:$E$88,2,FALSE)</f>
        <v>50438.379078999998</v>
      </c>
      <c r="AU540" s="30">
        <f>Inventory[[#This Row],[EffAge]]*Lookups!$B$65</f>
        <v>-1848.5987</v>
      </c>
      <c r="AV540" s="30">
        <f>Inventory[[#This Row],[MainFn]]*Lookups!$B$90</f>
        <v>108094.77816</v>
      </c>
      <c r="AW540" s="30">
        <f>Inventory[[#This Row],[UpprFn]]*Lookups!$B$91</f>
        <v>0</v>
      </c>
      <c r="AX540" s="30">
        <f>Inventory[[#This Row],[Bsmt Area]]*Lookups!$B$95</f>
        <v>0</v>
      </c>
      <c r="AY540" s="30">
        <f>Inventory[[#This Row],[AttGar]]*Lookups!$B$93</f>
        <v>15532.453640000002</v>
      </c>
      <c r="AZ540" s="30">
        <f>ROUND(Inventory[[#This Row],[25Det]],-2)</f>
        <v>0</v>
      </c>
      <c r="BA540" s="30">
        <f>ROUND(SUM(Inventory[[#This Row],[Mdl Qlty]:[Mdl Garage Area]])+Inventory[[#This Row],[Mdl Res Intercept]],-2)</f>
        <v>337700</v>
      </c>
      <c r="BB540" s="30">
        <f>ROUND(Inventory[[#This Row],[Mdl Land Intercept]]+Inventory[[#This Row],[Mdl LnAcres]],-2)</f>
        <v>64300</v>
      </c>
      <c r="BC540" s="30">
        <f>Inventory[[#This Row],[Unadj Res Value]]+Inventory[[#This Row],[Unadj Det Value]]+Inventory[[#This Row],[Unadj Land Value]]</f>
        <v>402000</v>
      </c>
      <c r="BD540" s="30">
        <f>(Inventory[[#This Row],[Unadj Total Value]]-Inventory[[#This Row],[24Final]])/Inventory[[#This Row],[24Final]]</f>
        <v>5.2080607170897672E-2</v>
      </c>
      <c r="BE540" s="30">
        <f>VLOOKUP(Inventory[[#This Row],[Nbhd]],Lookups!$M$3:$P$5,4,FALSE)</f>
        <v>0.99970000000000003</v>
      </c>
      <c r="BF540" s="30">
        <f>VLOOKUP(Inventory[[#This Row],[Qlty]],Lookups!$M$8:$P$22,4,FALSE)</f>
        <v>1.0019</v>
      </c>
      <c r="BG540" s="30">
        <f>VLOOKUP(Inventory[[#This Row],[Cnd]],Lookups!$R$8:$U$17,4,FALSE)</f>
        <v>1.0007999999999999</v>
      </c>
      <c r="BH540" s="30">
        <f>VLOOKUP(Inventory[[#This Row],[LivArea Range]],Lookups!$R$25:$U$43,4,FALSE)</f>
        <v>1.0007999999999999</v>
      </c>
      <c r="BI540" s="30">
        <f>VLOOKUP(Inventory[[#This Row],[Decade]],Lookups!$M$24:$P$40,4,FALSE)</f>
        <v>1.0024</v>
      </c>
      <c r="BJ540" s="30">
        <f>Inventory[[#This Row],[Nbhd Adj]]*0.95</f>
        <v>0.94971499999999998</v>
      </c>
      <c r="BK540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540" s="30">
        <f>ROUND((SUM(Inventory[[#This Row],[Mdl Qlty]:[Mdl Garage Area]])+Inventory[[#This Row],[Mdl Res Intercept]])*Inventory[[#This Row],[Res Adj ]],-2)</f>
        <v>321100</v>
      </c>
      <c r="BM540" s="30">
        <f>ROUND(Inventory[[#This Row],[25Det]]*Inventory[[#This Row],[Det/Nbhd Adj]],-2)</f>
        <v>0</v>
      </c>
      <c r="BN540" s="30">
        <f>Inventory[[#This Row],[Adjusted Res]]+Inventory[[#This Row],[Adj Det ]]</f>
        <v>321100</v>
      </c>
      <c r="BO540" s="30">
        <f>ROUND((Inventory[[#This Row],[Mdl Land Intercept]]+Inventory[[#This Row],[Mdl LnAcres]])*Inventory[[#This Row],[Det/Nbhd Adj]],-2)</f>
        <v>61100</v>
      </c>
      <c r="BP540" s="30">
        <f>Inventory[[#This Row],[Adjusted Impr Total]]+Inventory[[#This Row],[Adjusted Land Total]]</f>
        <v>382200</v>
      </c>
      <c r="BQ540" s="30">
        <f>IFERROR((Inventory[[#This Row],[Adjusted Impr Total]]-Inventory[[#This Row],[24Bldg]])/Inventory[[#This Row],[24Bldg]],0)</f>
        <v>-6.2247121070650485E-4</v>
      </c>
      <c r="BR540" s="43">
        <f>(Inventory[[#This Row],[Adjusted Land Total]]-Inventory[[#This Row],[24Lnd]])/Inventory[[#This Row],[24Lnd]]</f>
        <v>4.9342105263157892E-3</v>
      </c>
      <c r="BS540" s="43">
        <f>(Inventory[[#This Row],[Adjusted Total]]-Inventory[[#This Row],[24Final]])/Inventory[[#This Row],[24Final]]</f>
        <v>2.6171159382360636E-4</v>
      </c>
    </row>
    <row r="541" spans="1:71">
      <c r="A541" s="30">
        <v>2025</v>
      </c>
      <c r="B541" s="31" t="s">
        <v>1055</v>
      </c>
      <c r="C541" s="31">
        <f>LN(Inventory[[#This Row],[Acres]])</f>
        <v>-1.8325814637483102</v>
      </c>
      <c r="D541" s="30">
        <v>0.16</v>
      </c>
      <c r="E541" s="30">
        <v>7068</v>
      </c>
      <c r="F541" s="31" t="s">
        <v>505</v>
      </c>
      <c r="G541" s="31" t="s">
        <v>155</v>
      </c>
      <c r="H541" s="31" t="s">
        <v>5</v>
      </c>
      <c r="I541" s="31" t="s">
        <v>506</v>
      </c>
      <c r="J541" s="31" t="s">
        <v>507</v>
      </c>
      <c r="K541" s="31" t="s">
        <v>193</v>
      </c>
      <c r="L541" s="31" t="s">
        <v>21</v>
      </c>
      <c r="M541" s="31" t="s">
        <v>22</v>
      </c>
      <c r="N541" s="31">
        <v>10</v>
      </c>
      <c r="O541" s="31">
        <f>2024-Inventory[[#This Row],[YrBlt]]</f>
        <v>17</v>
      </c>
      <c r="P541" s="31">
        <f>2024-Inventory[[#This Row],[EffYr]]</f>
        <v>17</v>
      </c>
      <c r="Q541" s="30">
        <v>2007</v>
      </c>
      <c r="R541" s="30">
        <v>2007</v>
      </c>
      <c r="S541" s="30">
        <v>2136</v>
      </c>
      <c r="T541" s="32"/>
      <c r="U541" s="32"/>
      <c r="V541" s="32"/>
      <c r="W541" s="32"/>
      <c r="X541" s="32">
        <f>Inventory[[#This Row],[Bsmt Area]]-Inventory[[#This Row],[FnBsmt]]</f>
        <v>0</v>
      </c>
      <c r="Y541" s="32">
        <f>Inventory[[#This Row],[MainFn]]+Inventory[[#This Row],[UpprFn]]+Inventory[[#This Row],[AddFn]]+Inventory[[#This Row],[FnBsmt]]</f>
        <v>2136</v>
      </c>
      <c r="Z541" s="32">
        <v>2500</v>
      </c>
      <c r="AA541" s="31" t="s">
        <v>55</v>
      </c>
      <c r="AB541" s="32"/>
      <c r="AC541" s="30">
        <v>748</v>
      </c>
      <c r="AD541" s="32"/>
      <c r="AE541" s="32"/>
      <c r="AF541" s="32"/>
      <c r="AG541" s="32"/>
      <c r="AH541" s="32"/>
      <c r="AI541" s="30">
        <v>442215</v>
      </c>
      <c r="AJ541" s="30">
        <v>411260</v>
      </c>
      <c r="AK541" s="30">
        <v>0</v>
      </c>
      <c r="AL541" s="30">
        <v>0</v>
      </c>
      <c r="AM541" s="30">
        <v>60800</v>
      </c>
      <c r="AN541" s="30">
        <v>348900</v>
      </c>
      <c r="AO541" s="30">
        <v>409700</v>
      </c>
      <c r="AP541" s="30">
        <f>Lookups!$B$58*0.6</f>
        <v>132535.48800000001</v>
      </c>
      <c r="AQ541" s="30">
        <f>Lookups!$B$58*0.4</f>
        <v>88356.992000000013</v>
      </c>
      <c r="AR541" s="30">
        <f>Lookups!$B$59*Inventory[[#This Row],[LnAcres]]</f>
        <v>-24051.387388882686</v>
      </c>
      <c r="AS541" s="30">
        <f>VLOOKUP(Inventory[[#This Row],[Qlty]],Lookups!$A$66:$E$79,2,FALSE)</f>
        <v>32917.849192000001</v>
      </c>
      <c r="AT541" s="30">
        <f>VLOOKUP(Inventory[[#This Row],[Cnd]],Lookups!$A$80:$E$88,2,FALSE)</f>
        <v>50438.379078999998</v>
      </c>
      <c r="AU541" s="30">
        <f>Inventory[[#This Row],[EffAge]]*Lookups!$B$65</f>
        <v>-1848.5987</v>
      </c>
      <c r="AV541" s="30">
        <f>Inventory[[#This Row],[MainFn]]*Lookups!$B$90</f>
        <v>133308.57167999999</v>
      </c>
      <c r="AW541" s="30">
        <f>Inventory[[#This Row],[UpprFn]]*Lookups!$B$91</f>
        <v>0</v>
      </c>
      <c r="AX541" s="30">
        <f>Inventory[[#This Row],[Bsmt Area]]*Lookups!$B$95</f>
        <v>0</v>
      </c>
      <c r="AY541" s="30">
        <f>Inventory[[#This Row],[AttGar]]*Lookups!$B$93</f>
        <v>26405.171188</v>
      </c>
      <c r="AZ541" s="30">
        <f>ROUND(Inventory[[#This Row],[25Det]],-2)</f>
        <v>0</v>
      </c>
      <c r="BA541" s="30">
        <f>ROUND(SUM(Inventory[[#This Row],[Mdl Qlty]:[Mdl Garage Area]])+Inventory[[#This Row],[Mdl Res Intercept]],-2)</f>
        <v>373800</v>
      </c>
      <c r="BB541" s="30">
        <f>ROUND(Inventory[[#This Row],[Mdl Land Intercept]]+Inventory[[#This Row],[Mdl LnAcres]],-2)</f>
        <v>64300</v>
      </c>
      <c r="BC541" s="30">
        <f>Inventory[[#This Row],[Unadj Res Value]]+Inventory[[#This Row],[Unadj Det Value]]+Inventory[[#This Row],[Unadj Land Value]]</f>
        <v>438100</v>
      </c>
      <c r="BD541" s="30">
        <f>(Inventory[[#This Row],[Unadj Total Value]]-Inventory[[#This Row],[24Final]])/Inventory[[#This Row],[24Final]]</f>
        <v>6.9319013912618993E-2</v>
      </c>
      <c r="BE541" s="30">
        <f>VLOOKUP(Inventory[[#This Row],[Nbhd]],Lookups!$M$3:$P$5,4,FALSE)</f>
        <v>0.99970000000000003</v>
      </c>
      <c r="BF541" s="30">
        <f>VLOOKUP(Inventory[[#This Row],[Qlty]],Lookups!$M$8:$P$22,4,FALSE)</f>
        <v>1.0019</v>
      </c>
      <c r="BG541" s="30">
        <f>VLOOKUP(Inventory[[#This Row],[Cnd]],Lookups!$R$8:$U$17,4,FALSE)</f>
        <v>1.0007999999999999</v>
      </c>
      <c r="BH541" s="30">
        <f>VLOOKUP(Inventory[[#This Row],[LivArea Range]],Lookups!$R$25:$U$43,4,FALSE)</f>
        <v>1.0008999999999999</v>
      </c>
      <c r="BI541" s="30">
        <f>VLOOKUP(Inventory[[#This Row],[Decade]],Lookups!$M$24:$P$40,4,FALSE)</f>
        <v>1.0024</v>
      </c>
      <c r="BJ541" s="30">
        <f>Inventory[[#This Row],[Nbhd Adj]]*0.95</f>
        <v>0.94971499999999998</v>
      </c>
      <c r="BK541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541" s="30">
        <f>ROUND((SUM(Inventory[[#This Row],[Mdl Qlty]:[Mdl Garage Area]])+Inventory[[#This Row],[Mdl Res Intercept]])*Inventory[[#This Row],[Res Adj ]],-2)</f>
        <v>355500</v>
      </c>
      <c r="BM541" s="30">
        <f>ROUND(Inventory[[#This Row],[25Det]]*Inventory[[#This Row],[Det/Nbhd Adj]],-2)</f>
        <v>0</v>
      </c>
      <c r="BN541" s="30">
        <f>Inventory[[#This Row],[Adjusted Res]]+Inventory[[#This Row],[Adj Det ]]</f>
        <v>355500</v>
      </c>
      <c r="BO541" s="30">
        <f>ROUND((Inventory[[#This Row],[Mdl Land Intercept]]+Inventory[[#This Row],[Mdl LnAcres]])*Inventory[[#This Row],[Det/Nbhd Adj]],-2)</f>
        <v>61100</v>
      </c>
      <c r="BP541" s="30">
        <f>Inventory[[#This Row],[Adjusted Impr Total]]+Inventory[[#This Row],[Adjusted Land Total]]</f>
        <v>416600</v>
      </c>
      <c r="BQ541" s="30">
        <f>IFERROR((Inventory[[#This Row],[Adjusted Impr Total]]-Inventory[[#This Row],[24Bldg]])/Inventory[[#This Row],[24Bldg]],0)</f>
        <v>1.8916595012897677E-2</v>
      </c>
      <c r="BR541" s="43">
        <f>(Inventory[[#This Row],[Adjusted Land Total]]-Inventory[[#This Row],[24Lnd]])/Inventory[[#This Row],[24Lnd]]</f>
        <v>4.9342105263157892E-3</v>
      </c>
      <c r="BS541" s="43">
        <f>(Inventory[[#This Row],[Adjusted Total]]-Inventory[[#This Row],[24Final]])/Inventory[[#This Row],[24Final]]</f>
        <v>1.6841591408347571E-2</v>
      </c>
    </row>
    <row r="542" spans="1:71">
      <c r="A542" s="30">
        <v>2025</v>
      </c>
      <c r="B542" s="31" t="s">
        <v>1056</v>
      </c>
      <c r="C542" s="31">
        <f>LN(Inventory[[#This Row],[Acres]])</f>
        <v>-1.8325814637483102</v>
      </c>
      <c r="D542" s="30">
        <v>0.16</v>
      </c>
      <c r="E542" s="30">
        <v>7078</v>
      </c>
      <c r="F542" s="31" t="s">
        <v>505</v>
      </c>
      <c r="G542" s="31" t="s">
        <v>155</v>
      </c>
      <c r="H542" s="31" t="s">
        <v>5</v>
      </c>
      <c r="I542" s="31" t="s">
        <v>506</v>
      </c>
      <c r="J542" s="31" t="s">
        <v>507</v>
      </c>
      <c r="K542" s="31" t="s">
        <v>157</v>
      </c>
      <c r="L542" s="31" t="s">
        <v>21</v>
      </c>
      <c r="M542" s="31" t="s">
        <v>22</v>
      </c>
      <c r="N542" s="31">
        <v>10</v>
      </c>
      <c r="O542" s="31">
        <f>2024-Inventory[[#This Row],[YrBlt]]</f>
        <v>17</v>
      </c>
      <c r="P542" s="31">
        <f>2024-Inventory[[#This Row],[EffYr]]</f>
        <v>17</v>
      </c>
      <c r="Q542" s="30">
        <v>2007</v>
      </c>
      <c r="R542" s="30">
        <v>2007</v>
      </c>
      <c r="S542" s="30">
        <v>1158</v>
      </c>
      <c r="T542" s="38">
        <v>1332</v>
      </c>
      <c r="U542" s="32"/>
      <c r="V542" s="32"/>
      <c r="W542" s="32"/>
      <c r="X542" s="32">
        <f>Inventory[[#This Row],[Bsmt Area]]-Inventory[[#This Row],[FnBsmt]]</f>
        <v>0</v>
      </c>
      <c r="Y542" s="32">
        <f>Inventory[[#This Row],[MainFn]]+Inventory[[#This Row],[UpprFn]]+Inventory[[#This Row],[AddFn]]+Inventory[[#This Row],[FnBsmt]]</f>
        <v>2490</v>
      </c>
      <c r="Z542" s="32">
        <v>2500</v>
      </c>
      <c r="AA542" s="31" t="s">
        <v>56</v>
      </c>
      <c r="AB542" s="38">
        <v>1</v>
      </c>
      <c r="AC542" s="37"/>
      <c r="AD542" s="38">
        <v>502</v>
      </c>
      <c r="AE542" s="32"/>
      <c r="AF542" s="32"/>
      <c r="AG542" s="32"/>
      <c r="AH542" s="32"/>
      <c r="AI542" s="30">
        <v>508565</v>
      </c>
      <c r="AJ542" s="30">
        <v>472965</v>
      </c>
      <c r="AK542" s="30">
        <v>0</v>
      </c>
      <c r="AL542" s="30">
        <v>0</v>
      </c>
      <c r="AM542" s="30">
        <v>60800</v>
      </c>
      <c r="AN542" s="30">
        <v>404300</v>
      </c>
      <c r="AO542" s="30">
        <v>465100</v>
      </c>
      <c r="AP542" s="30">
        <f>Lookups!$B$58*0.6</f>
        <v>132535.48800000001</v>
      </c>
      <c r="AQ542" s="30">
        <f>Lookups!$B$58*0.4</f>
        <v>88356.992000000013</v>
      </c>
      <c r="AR542" s="30">
        <f>Lookups!$B$59*Inventory[[#This Row],[LnAcres]]</f>
        <v>-24051.387388882686</v>
      </c>
      <c r="AS542" s="30">
        <f>VLOOKUP(Inventory[[#This Row],[Qlty]],Lookups!$A$66:$E$79,2,FALSE)</f>
        <v>32917.849192000001</v>
      </c>
      <c r="AT542" s="30">
        <f>VLOOKUP(Inventory[[#This Row],[Cnd]],Lookups!$A$80:$E$88,2,FALSE)</f>
        <v>50438.379078999998</v>
      </c>
      <c r="AU542" s="30">
        <f>Inventory[[#This Row],[EffAge]]*Lookups!$B$65</f>
        <v>-1848.5987</v>
      </c>
      <c r="AV542" s="30">
        <f>Inventory[[#This Row],[MainFn]]*Lookups!$B$90</f>
        <v>72271.22004</v>
      </c>
      <c r="AW542" s="30">
        <f>Inventory[[#This Row],[UpprFn]]*Lookups!$B$91</f>
        <v>79361.070156000002</v>
      </c>
      <c r="AX542" s="30">
        <f>Inventory[[#This Row],[Bsmt Area]]*Lookups!$B$95</f>
        <v>0</v>
      </c>
      <c r="AY542" s="30">
        <f>Inventory[[#This Row],[AttGar]]*Lookups!$B$93</f>
        <v>0</v>
      </c>
      <c r="AZ542" s="30">
        <f>ROUND(Inventory[[#This Row],[25Det]],-2)</f>
        <v>0</v>
      </c>
      <c r="BA542" s="30">
        <f>ROUND(SUM(Inventory[[#This Row],[Mdl Qlty]:[Mdl Garage Area]])+Inventory[[#This Row],[Mdl Res Intercept]],-2)</f>
        <v>365700</v>
      </c>
      <c r="BB542" s="30">
        <f>ROUND(Inventory[[#This Row],[Mdl Land Intercept]]+Inventory[[#This Row],[Mdl LnAcres]],-2)</f>
        <v>64300</v>
      </c>
      <c r="BC542" s="30">
        <f>Inventory[[#This Row],[Unadj Res Value]]+Inventory[[#This Row],[Unadj Det Value]]+Inventory[[#This Row],[Unadj Land Value]]</f>
        <v>430000</v>
      </c>
      <c r="BD542" s="30">
        <f>(Inventory[[#This Row],[Unadj Total Value]]-Inventory[[#This Row],[24Final]])/Inventory[[#This Row],[24Final]]</f>
        <v>-7.5467641367447866E-2</v>
      </c>
      <c r="BE542" s="30">
        <f>VLOOKUP(Inventory[[#This Row],[Nbhd]],Lookups!$M$3:$P$5,4,FALSE)</f>
        <v>0.99970000000000003</v>
      </c>
      <c r="BF542" s="30">
        <f>VLOOKUP(Inventory[[#This Row],[Qlty]],Lookups!$M$8:$P$22,4,FALSE)</f>
        <v>1.0019</v>
      </c>
      <c r="BG542" s="30">
        <f>VLOOKUP(Inventory[[#This Row],[Cnd]],Lookups!$R$8:$U$17,4,FALSE)</f>
        <v>1.0007999999999999</v>
      </c>
      <c r="BH542" s="30">
        <f>VLOOKUP(Inventory[[#This Row],[LivArea Range]],Lookups!$R$25:$U$43,4,FALSE)</f>
        <v>1.0008999999999999</v>
      </c>
      <c r="BI542" s="30">
        <f>VLOOKUP(Inventory[[#This Row],[Decade]],Lookups!$M$24:$P$40,4,FALSE)</f>
        <v>1.0024</v>
      </c>
      <c r="BJ542" s="30">
        <f>Inventory[[#This Row],[Nbhd Adj]]*0.95</f>
        <v>0.94971499999999998</v>
      </c>
      <c r="BK542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542" s="30">
        <f>ROUND((SUM(Inventory[[#This Row],[Mdl Qlty]:[Mdl Garage Area]])+Inventory[[#This Row],[Mdl Res Intercept]])*Inventory[[#This Row],[Res Adj ]],-2)</f>
        <v>347800</v>
      </c>
      <c r="BM542" s="30">
        <f>ROUND(Inventory[[#This Row],[25Det]]*Inventory[[#This Row],[Det/Nbhd Adj]],-2)</f>
        <v>0</v>
      </c>
      <c r="BN542" s="30">
        <f>Inventory[[#This Row],[Adjusted Res]]+Inventory[[#This Row],[Adj Det ]]</f>
        <v>347800</v>
      </c>
      <c r="BO542" s="30">
        <f>ROUND((Inventory[[#This Row],[Mdl Land Intercept]]+Inventory[[#This Row],[Mdl LnAcres]])*Inventory[[#This Row],[Det/Nbhd Adj]],-2)</f>
        <v>61100</v>
      </c>
      <c r="BP542" s="30">
        <f>Inventory[[#This Row],[Adjusted Impr Total]]+Inventory[[#This Row],[Adjusted Land Total]]</f>
        <v>408900</v>
      </c>
      <c r="BQ542" s="30">
        <f>IFERROR((Inventory[[#This Row],[Adjusted Impr Total]]-Inventory[[#This Row],[24Bldg]])/Inventory[[#This Row],[24Bldg]],0)</f>
        <v>-0.13974771209497897</v>
      </c>
      <c r="BR542" s="43">
        <f>(Inventory[[#This Row],[Adjusted Land Total]]-Inventory[[#This Row],[24Lnd]])/Inventory[[#This Row],[24Lnd]]</f>
        <v>4.9342105263157892E-3</v>
      </c>
      <c r="BS542" s="43">
        <f>(Inventory[[#This Row],[Adjusted Total]]-Inventory[[#This Row],[24Final]])/Inventory[[#This Row],[24Final]]</f>
        <v>-0.12083422919802193</v>
      </c>
    </row>
    <row r="543" spans="1:71">
      <c r="A543" s="30">
        <v>2025</v>
      </c>
      <c r="B543" s="31" t="s">
        <v>1057</v>
      </c>
      <c r="C543" s="31">
        <f>LN(Inventory[[#This Row],[Acres]])</f>
        <v>-1.8325814637483102</v>
      </c>
      <c r="D543" s="30">
        <v>0.16</v>
      </c>
      <c r="E543" s="30">
        <v>6956</v>
      </c>
      <c r="F543" s="31" t="s">
        <v>505</v>
      </c>
      <c r="G543" s="31" t="s">
        <v>155</v>
      </c>
      <c r="H543" s="31" t="s">
        <v>5</v>
      </c>
      <c r="I543" s="31" t="s">
        <v>506</v>
      </c>
      <c r="J543" s="31" t="s">
        <v>507</v>
      </c>
      <c r="K543" s="31" t="s">
        <v>157</v>
      </c>
      <c r="L543" s="31" t="s">
        <v>21</v>
      </c>
      <c r="M543" s="31" t="s">
        <v>20</v>
      </c>
      <c r="N543" s="31">
        <v>10</v>
      </c>
      <c r="O543" s="31">
        <f>2024-Inventory[[#This Row],[YrBlt]]</f>
        <v>17</v>
      </c>
      <c r="P543" s="31">
        <f>2024-Inventory[[#This Row],[EffYr]]</f>
        <v>17</v>
      </c>
      <c r="Q543" s="30">
        <v>2007</v>
      </c>
      <c r="R543" s="30">
        <v>2007</v>
      </c>
      <c r="S543" s="30">
        <v>909</v>
      </c>
      <c r="T543" s="38">
        <v>1085</v>
      </c>
      <c r="U543" s="32"/>
      <c r="V543" s="32"/>
      <c r="W543" s="32"/>
      <c r="X543" s="32">
        <f>Inventory[[#This Row],[Bsmt Area]]-Inventory[[#This Row],[FnBsmt]]</f>
        <v>0</v>
      </c>
      <c r="Y543" s="32">
        <f>Inventory[[#This Row],[MainFn]]+Inventory[[#This Row],[UpprFn]]+Inventory[[#This Row],[AddFn]]+Inventory[[#This Row],[FnBsmt]]</f>
        <v>1994</v>
      </c>
      <c r="Z543" s="32">
        <v>2000</v>
      </c>
      <c r="AA543" s="31" t="s">
        <v>56</v>
      </c>
      <c r="AB543" s="32"/>
      <c r="AC543" s="37"/>
      <c r="AD543" s="38">
        <v>420</v>
      </c>
      <c r="AE543" s="32"/>
      <c r="AF543" s="32"/>
      <c r="AG543" s="32"/>
      <c r="AH543" s="32"/>
      <c r="AI543" s="30">
        <v>412412</v>
      </c>
      <c r="AJ543" s="30">
        <v>379419</v>
      </c>
      <c r="AK543" s="30">
        <v>0</v>
      </c>
      <c r="AL543" s="30">
        <v>0</v>
      </c>
      <c r="AM543" s="30">
        <v>60800</v>
      </c>
      <c r="AN543" s="30">
        <v>347400</v>
      </c>
      <c r="AO543" s="30">
        <v>408200</v>
      </c>
      <c r="AP543" s="30">
        <f>Lookups!$B$58*0.6</f>
        <v>132535.48800000001</v>
      </c>
      <c r="AQ543" s="30">
        <f>Lookups!$B$58*0.4</f>
        <v>88356.992000000013</v>
      </c>
      <c r="AR543" s="30">
        <f>Lookups!$B$59*Inventory[[#This Row],[LnAcres]]</f>
        <v>-24051.387388882686</v>
      </c>
      <c r="AS543" s="30">
        <f>VLOOKUP(Inventory[[#This Row],[Qlty]],Lookups!$A$66:$E$79,2,FALSE)</f>
        <v>32917.849192000001</v>
      </c>
      <c r="AT543" s="30">
        <f>VLOOKUP(Inventory[[#This Row],[Cnd]],Lookups!$A$80:$E$88,2,FALSE)</f>
        <v>30300.329274</v>
      </c>
      <c r="AU543" s="30">
        <f>Inventory[[#This Row],[EffAge]]*Lookups!$B$65</f>
        <v>-1848.5987</v>
      </c>
      <c r="AV543" s="30">
        <f>Inventory[[#This Row],[MainFn]]*Lookups!$B$90</f>
        <v>56731.03542</v>
      </c>
      <c r="AW543" s="30">
        <f>Inventory[[#This Row],[UpprFn]]*Lookups!$B$91</f>
        <v>64644.715554999995</v>
      </c>
      <c r="AX543" s="30">
        <f>Inventory[[#This Row],[Bsmt Area]]*Lookups!$B$95</f>
        <v>0</v>
      </c>
      <c r="AY543" s="30">
        <f>Inventory[[#This Row],[AttGar]]*Lookups!$B$93</f>
        <v>0</v>
      </c>
      <c r="AZ543" s="30">
        <f>ROUND(Inventory[[#This Row],[25Det]],-2)</f>
        <v>0</v>
      </c>
      <c r="BA543" s="30">
        <f>ROUND(SUM(Inventory[[#This Row],[Mdl Qlty]:[Mdl Garage Area]])+Inventory[[#This Row],[Mdl Res Intercept]],-2)</f>
        <v>315300</v>
      </c>
      <c r="BB543" s="30">
        <f>ROUND(Inventory[[#This Row],[Mdl Land Intercept]]+Inventory[[#This Row],[Mdl LnAcres]],-2)</f>
        <v>64300</v>
      </c>
      <c r="BC543" s="30">
        <f>Inventory[[#This Row],[Unadj Res Value]]+Inventory[[#This Row],[Unadj Det Value]]+Inventory[[#This Row],[Unadj Land Value]]</f>
        <v>379600</v>
      </c>
      <c r="BD543" s="30">
        <f>(Inventory[[#This Row],[Unadj Total Value]]-Inventory[[#This Row],[24Final]])/Inventory[[#This Row],[24Final]]</f>
        <v>-7.0063694267515922E-2</v>
      </c>
      <c r="BE543" s="30">
        <f>VLOOKUP(Inventory[[#This Row],[Nbhd]],Lookups!$M$3:$P$5,4,FALSE)</f>
        <v>0.99970000000000003</v>
      </c>
      <c r="BF543" s="30">
        <f>VLOOKUP(Inventory[[#This Row],[Qlty]],Lookups!$M$8:$P$22,4,FALSE)</f>
        <v>1.0019</v>
      </c>
      <c r="BG543" s="30">
        <f>VLOOKUP(Inventory[[#This Row],[Cnd]],Lookups!$R$8:$U$17,4,FALSE)</f>
        <v>0.997</v>
      </c>
      <c r="BH543" s="30">
        <f>VLOOKUP(Inventory[[#This Row],[LivArea Range]],Lookups!$R$25:$U$43,4,FALSE)</f>
        <v>1.0007999999999999</v>
      </c>
      <c r="BI543" s="30">
        <f>VLOOKUP(Inventory[[#This Row],[Decade]],Lookups!$M$24:$P$40,4,FALSE)</f>
        <v>1.0024</v>
      </c>
      <c r="BJ543" s="30">
        <f>Inventory[[#This Row],[Nbhd Adj]]*0.95</f>
        <v>0.94971499999999998</v>
      </c>
      <c r="BK543" s="30">
        <f>AVERAGE(Inventory[[#This Row],[Nbhd Adj]],Inventory[[#This Row],[Quality Adj]],Inventory[[#This Row],[Condition Adj]],Inventory[[#This Row],[Living Area Adj]],Inventory[[#This Row],[Decade Adj]])*0.95</f>
        <v>0.95034199999999991</v>
      </c>
      <c r="BL543" s="30">
        <f>ROUND((SUM(Inventory[[#This Row],[Mdl Qlty]:[Mdl Garage Area]])+Inventory[[#This Row],[Mdl Res Intercept]])*Inventory[[#This Row],[Res Adj ]],-2)</f>
        <v>299600</v>
      </c>
      <c r="BM543" s="30">
        <f>ROUND(Inventory[[#This Row],[25Det]]*Inventory[[#This Row],[Det/Nbhd Adj]],-2)</f>
        <v>0</v>
      </c>
      <c r="BN543" s="30">
        <f>Inventory[[#This Row],[Adjusted Res]]+Inventory[[#This Row],[Adj Det ]]</f>
        <v>299600</v>
      </c>
      <c r="BO543" s="30">
        <f>ROUND((Inventory[[#This Row],[Mdl Land Intercept]]+Inventory[[#This Row],[Mdl LnAcres]])*Inventory[[#This Row],[Det/Nbhd Adj]],-2)</f>
        <v>61100</v>
      </c>
      <c r="BP543" s="30">
        <f>Inventory[[#This Row],[Adjusted Impr Total]]+Inventory[[#This Row],[Adjusted Land Total]]</f>
        <v>360700</v>
      </c>
      <c r="BQ543" s="30">
        <f>IFERROR((Inventory[[#This Row],[Adjusted Impr Total]]-Inventory[[#This Row],[24Bldg]])/Inventory[[#This Row],[24Bldg]],0)</f>
        <v>-0.13759355210132412</v>
      </c>
      <c r="BR543" s="43">
        <f>(Inventory[[#This Row],[Adjusted Land Total]]-Inventory[[#This Row],[24Lnd]])/Inventory[[#This Row],[24Lnd]]</f>
        <v>4.9342105263157892E-3</v>
      </c>
      <c r="BS543" s="43">
        <f>(Inventory[[#This Row],[Adjusted Total]]-Inventory[[#This Row],[24Final]])/Inventory[[#This Row],[24Final]]</f>
        <v>-0.11636452719255266</v>
      </c>
    </row>
    <row r="544" spans="1:71">
      <c r="A544" s="30">
        <v>2025</v>
      </c>
      <c r="B544" s="31" t="s">
        <v>1058</v>
      </c>
      <c r="C544" s="31">
        <f>LN(Inventory[[#This Row],[Acres]])</f>
        <v>-1.8325814637483102</v>
      </c>
      <c r="D544" s="30">
        <v>0.16</v>
      </c>
      <c r="E544" s="30">
        <v>6967</v>
      </c>
      <c r="F544" s="31" t="s">
        <v>505</v>
      </c>
      <c r="G544" s="31" t="s">
        <v>155</v>
      </c>
      <c r="H544" s="31" t="s">
        <v>5</v>
      </c>
      <c r="I544" s="31" t="s">
        <v>506</v>
      </c>
      <c r="J544" s="31" t="s">
        <v>507</v>
      </c>
      <c r="K544" s="31" t="s">
        <v>193</v>
      </c>
      <c r="L544" s="31" t="s">
        <v>21</v>
      </c>
      <c r="M544" s="31" t="s">
        <v>20</v>
      </c>
      <c r="N544" s="31">
        <v>10</v>
      </c>
      <c r="O544" s="31">
        <f>2024-Inventory[[#This Row],[YrBlt]]</f>
        <v>17</v>
      </c>
      <c r="P544" s="31">
        <f>2024-Inventory[[#This Row],[EffYr]]</f>
        <v>17</v>
      </c>
      <c r="Q544" s="30">
        <v>2007</v>
      </c>
      <c r="R544" s="30">
        <v>2007</v>
      </c>
      <c r="S544" s="30">
        <v>1368</v>
      </c>
      <c r="T544" s="32"/>
      <c r="U544" s="32"/>
      <c r="V544" s="32"/>
      <c r="W544" s="32"/>
      <c r="X544" s="32">
        <f>Inventory[[#This Row],[Bsmt Area]]-Inventory[[#This Row],[FnBsmt]]</f>
        <v>0</v>
      </c>
      <c r="Y544" s="32">
        <f>Inventory[[#This Row],[MainFn]]+Inventory[[#This Row],[UpprFn]]+Inventory[[#This Row],[AddFn]]+Inventory[[#This Row],[FnBsmt]]</f>
        <v>1368</v>
      </c>
      <c r="Z544" s="32">
        <v>1500</v>
      </c>
      <c r="AA544" s="31" t="s">
        <v>56</v>
      </c>
      <c r="AB544" s="38">
        <v>1</v>
      </c>
      <c r="AC544" s="30">
        <v>440</v>
      </c>
      <c r="AD544" s="32"/>
      <c r="AE544" s="32"/>
      <c r="AF544" s="32"/>
      <c r="AG544" s="32"/>
      <c r="AH544" s="32"/>
      <c r="AI544" s="30">
        <v>335248</v>
      </c>
      <c r="AJ544" s="30">
        <v>308428</v>
      </c>
      <c r="AK544" s="30">
        <v>0</v>
      </c>
      <c r="AL544" s="30">
        <v>0</v>
      </c>
      <c r="AM544" s="30">
        <v>60800</v>
      </c>
      <c r="AN544" s="30">
        <v>321300</v>
      </c>
      <c r="AO544" s="30">
        <v>382100</v>
      </c>
      <c r="AP544" s="30">
        <f>Lookups!$B$58*0.6</f>
        <v>132535.48800000001</v>
      </c>
      <c r="AQ544" s="30">
        <f>Lookups!$B$58*0.4</f>
        <v>88356.992000000013</v>
      </c>
      <c r="AR544" s="30">
        <f>Lookups!$B$59*Inventory[[#This Row],[LnAcres]]</f>
        <v>-24051.387388882686</v>
      </c>
      <c r="AS544" s="30">
        <f>VLOOKUP(Inventory[[#This Row],[Qlty]],Lookups!$A$66:$E$79,2,FALSE)</f>
        <v>32917.849192000001</v>
      </c>
      <c r="AT544" s="30">
        <f>VLOOKUP(Inventory[[#This Row],[Cnd]],Lookups!$A$80:$E$88,2,FALSE)</f>
        <v>30300.329274</v>
      </c>
      <c r="AU544" s="30">
        <f>Inventory[[#This Row],[EffAge]]*Lookups!$B$65</f>
        <v>-1848.5987</v>
      </c>
      <c r="AV544" s="30">
        <f>Inventory[[#This Row],[MainFn]]*Lookups!$B$90</f>
        <v>85377.399839999998</v>
      </c>
      <c r="AW544" s="30">
        <f>Inventory[[#This Row],[UpprFn]]*Lookups!$B$91</f>
        <v>0</v>
      </c>
      <c r="AX544" s="30">
        <f>Inventory[[#This Row],[Bsmt Area]]*Lookups!$B$95</f>
        <v>0</v>
      </c>
      <c r="AY544" s="30">
        <f>Inventory[[#This Row],[AttGar]]*Lookups!$B$93</f>
        <v>15532.453640000002</v>
      </c>
      <c r="AZ544" s="30">
        <f>ROUND(Inventory[[#This Row],[25Det]],-2)</f>
        <v>0</v>
      </c>
      <c r="BA544" s="30">
        <f>ROUND(SUM(Inventory[[#This Row],[Mdl Qlty]:[Mdl Garage Area]])+Inventory[[#This Row],[Mdl Res Intercept]],-2)</f>
        <v>294800</v>
      </c>
      <c r="BB544" s="30">
        <f>ROUND(Inventory[[#This Row],[Mdl Land Intercept]]+Inventory[[#This Row],[Mdl LnAcres]],-2)</f>
        <v>64300</v>
      </c>
      <c r="BC544" s="30">
        <f>Inventory[[#This Row],[Unadj Res Value]]+Inventory[[#This Row],[Unadj Det Value]]+Inventory[[#This Row],[Unadj Land Value]]</f>
        <v>359100</v>
      </c>
      <c r="BD544" s="30">
        <f>(Inventory[[#This Row],[Unadj Total Value]]-Inventory[[#This Row],[24Final]])/Inventory[[#This Row],[24Final]]</f>
        <v>-6.019366657942947E-2</v>
      </c>
      <c r="BE544" s="30">
        <f>VLOOKUP(Inventory[[#This Row],[Nbhd]],Lookups!$M$3:$P$5,4,FALSE)</f>
        <v>0.99970000000000003</v>
      </c>
      <c r="BF544" s="30">
        <f>VLOOKUP(Inventory[[#This Row],[Qlty]],Lookups!$M$8:$P$22,4,FALSE)</f>
        <v>1.0019</v>
      </c>
      <c r="BG544" s="30">
        <f>VLOOKUP(Inventory[[#This Row],[Cnd]],Lookups!$R$8:$U$17,4,FALSE)</f>
        <v>0.997</v>
      </c>
      <c r="BH544" s="30">
        <f>VLOOKUP(Inventory[[#This Row],[LivArea Range]],Lookups!$R$25:$U$43,4,FALSE)</f>
        <v>0.99519999999999997</v>
      </c>
      <c r="BI544" s="30">
        <f>VLOOKUP(Inventory[[#This Row],[Decade]],Lookups!$M$24:$P$40,4,FALSE)</f>
        <v>1.0024</v>
      </c>
      <c r="BJ544" s="30">
        <f>Inventory[[#This Row],[Nbhd Adj]]*0.95</f>
        <v>0.94971499999999998</v>
      </c>
      <c r="BK544" s="30">
        <f>AVERAGE(Inventory[[#This Row],[Nbhd Adj]],Inventory[[#This Row],[Quality Adj]],Inventory[[#This Row],[Condition Adj]],Inventory[[#This Row],[Living Area Adj]],Inventory[[#This Row],[Decade Adj]])*0.95</f>
        <v>0.94927799999999996</v>
      </c>
      <c r="BL544" s="30">
        <f>ROUND((SUM(Inventory[[#This Row],[Mdl Qlty]:[Mdl Garage Area]])+Inventory[[#This Row],[Mdl Res Intercept]])*Inventory[[#This Row],[Res Adj ]],-2)</f>
        <v>279900</v>
      </c>
      <c r="BM544" s="30">
        <f>ROUND(Inventory[[#This Row],[25Det]]*Inventory[[#This Row],[Det/Nbhd Adj]],-2)</f>
        <v>0</v>
      </c>
      <c r="BN544" s="30">
        <f>Inventory[[#This Row],[Adjusted Res]]+Inventory[[#This Row],[Adj Det ]]</f>
        <v>279900</v>
      </c>
      <c r="BO544" s="30">
        <f>ROUND((Inventory[[#This Row],[Mdl Land Intercept]]+Inventory[[#This Row],[Mdl LnAcres]])*Inventory[[#This Row],[Det/Nbhd Adj]],-2)</f>
        <v>61100</v>
      </c>
      <c r="BP544" s="30">
        <f>Inventory[[#This Row],[Adjusted Impr Total]]+Inventory[[#This Row],[Adjusted Land Total]]</f>
        <v>341000</v>
      </c>
      <c r="BQ544" s="30">
        <f>IFERROR((Inventory[[#This Row],[Adjusted Impr Total]]-Inventory[[#This Row],[24Bldg]])/Inventory[[#This Row],[24Bldg]],0)</f>
        <v>-0.12885154061624648</v>
      </c>
      <c r="BR544" s="43">
        <f>(Inventory[[#This Row],[Adjusted Land Total]]-Inventory[[#This Row],[24Lnd]])/Inventory[[#This Row],[24Lnd]]</f>
        <v>4.9342105263157892E-3</v>
      </c>
      <c r="BS544" s="43">
        <f>(Inventory[[#This Row],[Adjusted Total]]-Inventory[[#This Row],[24Final]])/Inventory[[#This Row],[24Final]]</f>
        <v>-0.10756346506150223</v>
      </c>
    </row>
    <row r="545" spans="1:71">
      <c r="A545" s="30">
        <v>2025</v>
      </c>
      <c r="B545" s="31" t="s">
        <v>1059</v>
      </c>
      <c r="C545" s="31">
        <f>LN(Inventory[[#This Row],[Acres]])</f>
        <v>-1.8325814637483102</v>
      </c>
      <c r="D545" s="30">
        <v>0.16</v>
      </c>
      <c r="E545" s="30">
        <v>7120</v>
      </c>
      <c r="F545" s="31" t="s">
        <v>505</v>
      </c>
      <c r="G545" s="31" t="s">
        <v>155</v>
      </c>
      <c r="H545" s="31" t="s">
        <v>5</v>
      </c>
      <c r="I545" s="31" t="s">
        <v>506</v>
      </c>
      <c r="J545" s="31" t="s">
        <v>507</v>
      </c>
      <c r="K545" s="31" t="s">
        <v>157</v>
      </c>
      <c r="L545" s="31" t="s">
        <v>21</v>
      </c>
      <c r="M545" s="31" t="s">
        <v>22</v>
      </c>
      <c r="N545" s="31">
        <v>10</v>
      </c>
      <c r="O545" s="31">
        <f>2024-Inventory[[#This Row],[YrBlt]]</f>
        <v>17</v>
      </c>
      <c r="P545" s="31">
        <f>2024-Inventory[[#This Row],[EffYr]]</f>
        <v>17</v>
      </c>
      <c r="Q545" s="30">
        <v>2007</v>
      </c>
      <c r="R545" s="30">
        <v>2007</v>
      </c>
      <c r="S545" s="30">
        <v>932</v>
      </c>
      <c r="T545" s="38">
        <v>1092</v>
      </c>
      <c r="U545" s="32"/>
      <c r="V545" s="32"/>
      <c r="W545" s="32"/>
      <c r="X545" s="32">
        <f>Inventory[[#This Row],[Bsmt Area]]-Inventory[[#This Row],[FnBsmt]]</f>
        <v>0</v>
      </c>
      <c r="Y545" s="32">
        <f>Inventory[[#This Row],[MainFn]]+Inventory[[#This Row],[UpprFn]]+Inventory[[#This Row],[AddFn]]+Inventory[[#This Row],[FnBsmt]]</f>
        <v>2024</v>
      </c>
      <c r="Z545" s="32">
        <v>2500</v>
      </c>
      <c r="AA545" s="31" t="s">
        <v>56</v>
      </c>
      <c r="AB545" s="32"/>
      <c r="AC545" s="37"/>
      <c r="AD545" s="38">
        <v>420</v>
      </c>
      <c r="AE545" s="32"/>
      <c r="AF545" s="32"/>
      <c r="AG545" s="32"/>
      <c r="AH545" s="32"/>
      <c r="AI545" s="30">
        <v>420857</v>
      </c>
      <c r="AJ545" s="30">
        <v>391397</v>
      </c>
      <c r="AK545" s="30">
        <v>0</v>
      </c>
      <c r="AL545" s="30">
        <v>0</v>
      </c>
      <c r="AM545" s="30">
        <v>60800</v>
      </c>
      <c r="AN545" s="30">
        <v>364900</v>
      </c>
      <c r="AO545" s="30">
        <v>425700</v>
      </c>
      <c r="AP545" s="30">
        <f>Lookups!$B$58*0.6</f>
        <v>132535.48800000001</v>
      </c>
      <c r="AQ545" s="30">
        <f>Lookups!$B$58*0.4</f>
        <v>88356.992000000013</v>
      </c>
      <c r="AR545" s="30">
        <f>Lookups!$B$59*Inventory[[#This Row],[LnAcres]]</f>
        <v>-24051.387388882686</v>
      </c>
      <c r="AS545" s="30">
        <f>VLOOKUP(Inventory[[#This Row],[Qlty]],Lookups!$A$66:$E$79,2,FALSE)</f>
        <v>32917.849192000001</v>
      </c>
      <c r="AT545" s="30">
        <f>VLOOKUP(Inventory[[#This Row],[Cnd]],Lookups!$A$80:$E$88,2,FALSE)</f>
        <v>50438.379078999998</v>
      </c>
      <c r="AU545" s="30">
        <f>Inventory[[#This Row],[EffAge]]*Lookups!$B$65</f>
        <v>-1848.5987</v>
      </c>
      <c r="AV545" s="30">
        <f>Inventory[[#This Row],[MainFn]]*Lookups!$B$90</f>
        <v>58166.474160000005</v>
      </c>
      <c r="AW545" s="30">
        <f>Inventory[[#This Row],[UpprFn]]*Lookups!$B$91</f>
        <v>65061.778235999998</v>
      </c>
      <c r="AX545" s="30">
        <f>Inventory[[#This Row],[Bsmt Area]]*Lookups!$B$95</f>
        <v>0</v>
      </c>
      <c r="AY545" s="30">
        <f>Inventory[[#This Row],[AttGar]]*Lookups!$B$93</f>
        <v>0</v>
      </c>
      <c r="AZ545" s="30">
        <f>ROUND(Inventory[[#This Row],[25Det]],-2)</f>
        <v>0</v>
      </c>
      <c r="BA545" s="30">
        <f>ROUND(SUM(Inventory[[#This Row],[Mdl Qlty]:[Mdl Garage Area]])+Inventory[[#This Row],[Mdl Res Intercept]],-2)</f>
        <v>337300</v>
      </c>
      <c r="BB545" s="30">
        <f>ROUND(Inventory[[#This Row],[Mdl Land Intercept]]+Inventory[[#This Row],[Mdl LnAcres]],-2)</f>
        <v>64300</v>
      </c>
      <c r="BC545" s="30">
        <f>Inventory[[#This Row],[Unadj Res Value]]+Inventory[[#This Row],[Unadj Det Value]]+Inventory[[#This Row],[Unadj Land Value]]</f>
        <v>401600</v>
      </c>
      <c r="BD545" s="30">
        <f>(Inventory[[#This Row],[Unadj Total Value]]-Inventory[[#This Row],[24Final]])/Inventory[[#This Row],[24Final]]</f>
        <v>-5.6612638007986847E-2</v>
      </c>
      <c r="BE545" s="30">
        <f>VLOOKUP(Inventory[[#This Row],[Nbhd]],Lookups!$M$3:$P$5,4,FALSE)</f>
        <v>0.99970000000000003</v>
      </c>
      <c r="BF545" s="30">
        <f>VLOOKUP(Inventory[[#This Row],[Qlty]],Lookups!$M$8:$P$22,4,FALSE)</f>
        <v>1.0019</v>
      </c>
      <c r="BG545" s="30">
        <f>VLOOKUP(Inventory[[#This Row],[Cnd]],Lookups!$R$8:$U$17,4,FALSE)</f>
        <v>1.0007999999999999</v>
      </c>
      <c r="BH545" s="30">
        <f>VLOOKUP(Inventory[[#This Row],[LivArea Range]],Lookups!$R$25:$U$43,4,FALSE)</f>
        <v>1.0008999999999999</v>
      </c>
      <c r="BI545" s="30">
        <f>VLOOKUP(Inventory[[#This Row],[Decade]],Lookups!$M$24:$P$40,4,FALSE)</f>
        <v>1.0024</v>
      </c>
      <c r="BJ545" s="30">
        <f>Inventory[[#This Row],[Nbhd Adj]]*0.95</f>
        <v>0.94971499999999998</v>
      </c>
      <c r="BK545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545" s="30">
        <f>ROUND((SUM(Inventory[[#This Row],[Mdl Qlty]:[Mdl Garage Area]])+Inventory[[#This Row],[Mdl Res Intercept]])*Inventory[[#This Row],[Res Adj ]],-2)</f>
        <v>320800</v>
      </c>
      <c r="BM545" s="30">
        <f>ROUND(Inventory[[#This Row],[25Det]]*Inventory[[#This Row],[Det/Nbhd Adj]],-2)</f>
        <v>0</v>
      </c>
      <c r="BN545" s="30">
        <f>Inventory[[#This Row],[Adjusted Res]]+Inventory[[#This Row],[Adj Det ]]</f>
        <v>320800</v>
      </c>
      <c r="BO545" s="30">
        <f>ROUND((Inventory[[#This Row],[Mdl Land Intercept]]+Inventory[[#This Row],[Mdl LnAcres]])*Inventory[[#This Row],[Det/Nbhd Adj]],-2)</f>
        <v>61100</v>
      </c>
      <c r="BP545" s="30">
        <f>Inventory[[#This Row],[Adjusted Impr Total]]+Inventory[[#This Row],[Adjusted Land Total]]</f>
        <v>381900</v>
      </c>
      <c r="BQ545" s="30">
        <f>IFERROR((Inventory[[#This Row],[Adjusted Impr Total]]-Inventory[[#This Row],[24Bldg]])/Inventory[[#This Row],[24Bldg]],0)</f>
        <v>-0.12085502877500685</v>
      </c>
      <c r="BR545" s="43">
        <f>(Inventory[[#This Row],[Adjusted Land Total]]-Inventory[[#This Row],[24Lnd]])/Inventory[[#This Row],[24Lnd]]</f>
        <v>4.9342105263157892E-3</v>
      </c>
      <c r="BS545" s="43">
        <f>(Inventory[[#This Row],[Adjusted Total]]-Inventory[[#This Row],[24Final]])/Inventory[[#This Row],[24Final]]</f>
        <v>-0.10288935870331219</v>
      </c>
    </row>
    <row r="546" spans="1:71">
      <c r="A546" s="30">
        <v>2025</v>
      </c>
      <c r="B546" s="31" t="s">
        <v>1060</v>
      </c>
      <c r="C546" s="31">
        <f>LN(Inventory[[#This Row],[Acres]])</f>
        <v>-1.8325814637483102</v>
      </c>
      <c r="D546" s="30">
        <v>0.16</v>
      </c>
      <c r="E546" s="30">
        <v>7063</v>
      </c>
      <c r="F546" s="31" t="s">
        <v>505</v>
      </c>
      <c r="G546" s="31" t="s">
        <v>155</v>
      </c>
      <c r="H546" s="31" t="s">
        <v>5</v>
      </c>
      <c r="I546" s="31" t="s">
        <v>506</v>
      </c>
      <c r="J546" s="31" t="s">
        <v>507</v>
      </c>
      <c r="K546" s="31" t="s">
        <v>193</v>
      </c>
      <c r="L546" s="31" t="s">
        <v>19</v>
      </c>
      <c r="M546" s="31" t="s">
        <v>20</v>
      </c>
      <c r="N546" s="31">
        <v>10</v>
      </c>
      <c r="O546" s="31">
        <f>2024-Inventory[[#This Row],[YrBlt]]</f>
        <v>17</v>
      </c>
      <c r="P546" s="31">
        <f>2024-Inventory[[#This Row],[EffYr]]</f>
        <v>17</v>
      </c>
      <c r="Q546" s="30">
        <v>2007</v>
      </c>
      <c r="R546" s="30">
        <v>2007</v>
      </c>
      <c r="S546" s="30">
        <v>1690</v>
      </c>
      <c r="T546" s="32"/>
      <c r="U546" s="32"/>
      <c r="V546" s="32"/>
      <c r="W546" s="32"/>
      <c r="X546" s="32">
        <f>Inventory[[#This Row],[Bsmt Area]]-Inventory[[#This Row],[FnBsmt]]</f>
        <v>0</v>
      </c>
      <c r="Y546" s="32">
        <f>Inventory[[#This Row],[MainFn]]+Inventory[[#This Row],[UpprFn]]+Inventory[[#This Row],[AddFn]]+Inventory[[#This Row],[FnBsmt]]</f>
        <v>1690</v>
      </c>
      <c r="Z546" s="32">
        <v>2000</v>
      </c>
      <c r="AA546" s="31" t="s">
        <v>56</v>
      </c>
      <c r="AB546" s="32"/>
      <c r="AC546" s="30">
        <v>466</v>
      </c>
      <c r="AD546" s="32"/>
      <c r="AE546" s="32"/>
      <c r="AF546" s="32"/>
      <c r="AG546" s="32"/>
      <c r="AH546" s="32"/>
      <c r="AI546" s="30">
        <v>349143</v>
      </c>
      <c r="AJ546" s="30">
        <v>321212</v>
      </c>
      <c r="AK546" s="30">
        <v>0</v>
      </c>
      <c r="AL546" s="30">
        <v>0</v>
      </c>
      <c r="AM546" s="30">
        <v>60800</v>
      </c>
      <c r="AN546" s="30">
        <v>342500</v>
      </c>
      <c r="AO546" s="30">
        <v>403300</v>
      </c>
      <c r="AP546" s="30">
        <f>Lookups!$B$58*0.6</f>
        <v>132535.48800000001</v>
      </c>
      <c r="AQ546" s="30">
        <f>Lookups!$B$58*0.4</f>
        <v>88356.992000000013</v>
      </c>
      <c r="AR546" s="30">
        <f>Lookups!$B$59*Inventory[[#This Row],[LnAcres]]</f>
        <v>-24051.387388882686</v>
      </c>
      <c r="AS546" s="30">
        <f>VLOOKUP(Inventory[[#This Row],[Qlty]],Lookups!$A$66:$E$79,2,FALSE)</f>
        <v>37154.252388000001</v>
      </c>
      <c r="AT546" s="30">
        <f>VLOOKUP(Inventory[[#This Row],[Cnd]],Lookups!$A$80:$E$88,2,FALSE)</f>
        <v>30300.329274</v>
      </c>
      <c r="AU546" s="30">
        <f>Inventory[[#This Row],[EffAge]]*Lookups!$B$65</f>
        <v>-1848.5987</v>
      </c>
      <c r="AV546" s="30">
        <f>Inventory[[#This Row],[MainFn]]*Lookups!$B$90</f>
        <v>105473.54220000001</v>
      </c>
      <c r="AW546" s="30">
        <f>Inventory[[#This Row],[UpprFn]]*Lookups!$B$91</f>
        <v>0</v>
      </c>
      <c r="AX546" s="30">
        <f>Inventory[[#This Row],[Bsmt Area]]*Lookups!$B$95</f>
        <v>0</v>
      </c>
      <c r="AY546" s="30">
        <f>Inventory[[#This Row],[AttGar]]*Lookups!$B$93</f>
        <v>16450.280446000001</v>
      </c>
      <c r="AZ546" s="30">
        <f>ROUND(Inventory[[#This Row],[25Det]],-2)</f>
        <v>0</v>
      </c>
      <c r="BA546" s="30">
        <f>ROUND(SUM(Inventory[[#This Row],[Mdl Qlty]:[Mdl Garage Area]])+Inventory[[#This Row],[Mdl Res Intercept]],-2)</f>
        <v>320100</v>
      </c>
      <c r="BB546" s="30">
        <f>ROUND(Inventory[[#This Row],[Mdl Land Intercept]]+Inventory[[#This Row],[Mdl LnAcres]],-2)</f>
        <v>64300</v>
      </c>
      <c r="BC546" s="30">
        <f>Inventory[[#This Row],[Unadj Res Value]]+Inventory[[#This Row],[Unadj Det Value]]+Inventory[[#This Row],[Unadj Land Value]]</f>
        <v>384400</v>
      </c>
      <c r="BD546" s="30">
        <f>(Inventory[[#This Row],[Unadj Total Value]]-Inventory[[#This Row],[24Final]])/Inventory[[#This Row],[24Final]]</f>
        <v>-4.6863377138606499E-2</v>
      </c>
      <c r="BE546" s="30">
        <f>VLOOKUP(Inventory[[#This Row],[Nbhd]],Lookups!$M$3:$P$5,4,FALSE)</f>
        <v>0.99970000000000003</v>
      </c>
      <c r="BF546" s="30">
        <f>VLOOKUP(Inventory[[#This Row],[Qlty]],Lookups!$M$8:$P$22,4,FALSE)</f>
        <v>0.99819999999999998</v>
      </c>
      <c r="BG546" s="30">
        <f>VLOOKUP(Inventory[[#This Row],[Cnd]],Lookups!$R$8:$U$17,4,FALSE)</f>
        <v>0.997</v>
      </c>
      <c r="BH546" s="30">
        <f>VLOOKUP(Inventory[[#This Row],[LivArea Range]],Lookups!$R$25:$U$43,4,FALSE)</f>
        <v>1.0007999999999999</v>
      </c>
      <c r="BI546" s="30">
        <f>VLOOKUP(Inventory[[#This Row],[Decade]],Lookups!$M$24:$P$40,4,FALSE)</f>
        <v>1.0024</v>
      </c>
      <c r="BJ546" s="30">
        <f>Inventory[[#This Row],[Nbhd Adj]]*0.95</f>
        <v>0.94971499999999998</v>
      </c>
      <c r="BK546" s="30">
        <f>AVERAGE(Inventory[[#This Row],[Nbhd Adj]],Inventory[[#This Row],[Quality Adj]],Inventory[[#This Row],[Condition Adj]],Inventory[[#This Row],[Living Area Adj]],Inventory[[#This Row],[Decade Adj]])*0.95</f>
        <v>0.9496389999999999</v>
      </c>
      <c r="BL546" s="30">
        <f>ROUND((SUM(Inventory[[#This Row],[Mdl Qlty]:[Mdl Garage Area]])+Inventory[[#This Row],[Mdl Res Intercept]])*Inventory[[#This Row],[Res Adj ]],-2)</f>
        <v>303900</v>
      </c>
      <c r="BM546" s="30">
        <f>ROUND(Inventory[[#This Row],[25Det]]*Inventory[[#This Row],[Det/Nbhd Adj]],-2)</f>
        <v>0</v>
      </c>
      <c r="BN546" s="30">
        <f>Inventory[[#This Row],[Adjusted Res]]+Inventory[[#This Row],[Adj Det ]]</f>
        <v>303900</v>
      </c>
      <c r="BO546" s="30">
        <f>ROUND((Inventory[[#This Row],[Mdl Land Intercept]]+Inventory[[#This Row],[Mdl LnAcres]])*Inventory[[#This Row],[Det/Nbhd Adj]],-2)</f>
        <v>61100</v>
      </c>
      <c r="BP546" s="30">
        <f>Inventory[[#This Row],[Adjusted Impr Total]]+Inventory[[#This Row],[Adjusted Land Total]]</f>
        <v>365000</v>
      </c>
      <c r="BQ546" s="30">
        <f>IFERROR((Inventory[[#This Row],[Adjusted Impr Total]]-Inventory[[#This Row],[24Bldg]])/Inventory[[#This Row],[24Bldg]],0)</f>
        <v>-0.1127007299270073</v>
      </c>
      <c r="BR546" s="43">
        <f>(Inventory[[#This Row],[Adjusted Land Total]]-Inventory[[#This Row],[24Lnd]])/Inventory[[#This Row],[24Lnd]]</f>
        <v>4.9342105263157892E-3</v>
      </c>
      <c r="BS546" s="43">
        <f>(Inventory[[#This Row],[Adjusted Total]]-Inventory[[#This Row],[24Final]])/Inventory[[#This Row],[24Final]]</f>
        <v>-9.4966526159186715E-2</v>
      </c>
    </row>
    <row r="547" spans="1:71">
      <c r="A547" s="30">
        <v>2025</v>
      </c>
      <c r="B547" s="31" t="s">
        <v>1061</v>
      </c>
      <c r="C547" s="31">
        <f>LN(Inventory[[#This Row],[Acres]])</f>
        <v>-1.8325814637483102</v>
      </c>
      <c r="D547" s="30">
        <v>0.16</v>
      </c>
      <c r="E547" s="30">
        <v>7078</v>
      </c>
      <c r="F547" s="31" t="s">
        <v>505</v>
      </c>
      <c r="G547" s="31" t="s">
        <v>155</v>
      </c>
      <c r="H547" s="31" t="s">
        <v>5</v>
      </c>
      <c r="I547" s="31" t="s">
        <v>506</v>
      </c>
      <c r="J547" s="31" t="s">
        <v>507</v>
      </c>
      <c r="K547" s="31" t="s">
        <v>157</v>
      </c>
      <c r="L547" s="31" t="s">
        <v>21</v>
      </c>
      <c r="M547" s="31" t="s">
        <v>22</v>
      </c>
      <c r="N547" s="31">
        <v>10</v>
      </c>
      <c r="O547" s="31">
        <f>2024-Inventory[[#This Row],[YrBlt]]</f>
        <v>17</v>
      </c>
      <c r="P547" s="31">
        <f>2024-Inventory[[#This Row],[EffYr]]</f>
        <v>17</v>
      </c>
      <c r="Q547" s="30">
        <v>2007</v>
      </c>
      <c r="R547" s="30">
        <v>2007</v>
      </c>
      <c r="S547" s="30">
        <v>1352</v>
      </c>
      <c r="T547" s="38">
        <v>1274</v>
      </c>
      <c r="U547" s="32"/>
      <c r="V547" s="32"/>
      <c r="W547" s="32"/>
      <c r="X547" s="32">
        <f>Inventory[[#This Row],[Bsmt Area]]-Inventory[[#This Row],[FnBsmt]]</f>
        <v>0</v>
      </c>
      <c r="Y547" s="32">
        <f>Inventory[[#This Row],[MainFn]]+Inventory[[#This Row],[UpprFn]]+Inventory[[#This Row],[AddFn]]+Inventory[[#This Row],[FnBsmt]]</f>
        <v>2626</v>
      </c>
      <c r="Z547" s="32">
        <v>3000</v>
      </c>
      <c r="AA547" s="31" t="s">
        <v>56</v>
      </c>
      <c r="AB547" s="32"/>
      <c r="AC547" s="30">
        <v>240</v>
      </c>
      <c r="AD547" s="38">
        <v>524</v>
      </c>
      <c r="AE547" s="32"/>
      <c r="AF547" s="32"/>
      <c r="AG547" s="32"/>
      <c r="AH547" s="32"/>
      <c r="AI547" s="30">
        <v>531911</v>
      </c>
      <c r="AJ547" s="30">
        <v>494677</v>
      </c>
      <c r="AK547" s="30">
        <v>0</v>
      </c>
      <c r="AL547" s="30">
        <v>0</v>
      </c>
      <c r="AM547" s="30">
        <v>60800</v>
      </c>
      <c r="AN547" s="30">
        <v>405900</v>
      </c>
      <c r="AO547" s="30">
        <v>466700</v>
      </c>
      <c r="AP547" s="30">
        <f>Lookups!$B$58*0.6</f>
        <v>132535.48800000001</v>
      </c>
      <c r="AQ547" s="30">
        <f>Lookups!$B$58*0.4</f>
        <v>88356.992000000013</v>
      </c>
      <c r="AR547" s="30">
        <f>Lookups!$B$59*Inventory[[#This Row],[LnAcres]]</f>
        <v>-24051.387388882686</v>
      </c>
      <c r="AS547" s="30">
        <f>VLOOKUP(Inventory[[#This Row],[Qlty]],Lookups!$A$66:$E$79,2,FALSE)</f>
        <v>32917.849192000001</v>
      </c>
      <c r="AT547" s="30">
        <f>VLOOKUP(Inventory[[#This Row],[Cnd]],Lookups!$A$80:$E$88,2,FALSE)</f>
        <v>50438.379078999998</v>
      </c>
      <c r="AU547" s="30">
        <f>Inventory[[#This Row],[EffAge]]*Lookups!$B$65</f>
        <v>-1848.5987</v>
      </c>
      <c r="AV547" s="30">
        <f>Inventory[[#This Row],[MainFn]]*Lookups!$B$90</f>
        <v>84378.833760000009</v>
      </c>
      <c r="AW547" s="30">
        <f>Inventory[[#This Row],[UpprFn]]*Lookups!$B$91</f>
        <v>75905.407941999991</v>
      </c>
      <c r="AX547" s="30">
        <f>Inventory[[#This Row],[Bsmt Area]]*Lookups!$B$95</f>
        <v>0</v>
      </c>
      <c r="AY547" s="30">
        <f>Inventory[[#This Row],[AttGar]]*Lookups!$B$93</f>
        <v>8472.247440000001</v>
      </c>
      <c r="AZ547" s="30">
        <f>ROUND(Inventory[[#This Row],[25Det]],-2)</f>
        <v>0</v>
      </c>
      <c r="BA547" s="30">
        <f>ROUND(SUM(Inventory[[#This Row],[Mdl Qlty]:[Mdl Garage Area]])+Inventory[[#This Row],[Mdl Res Intercept]],-2)</f>
        <v>382800</v>
      </c>
      <c r="BB547" s="30">
        <f>ROUND(Inventory[[#This Row],[Mdl Land Intercept]]+Inventory[[#This Row],[Mdl LnAcres]],-2)</f>
        <v>64300</v>
      </c>
      <c r="BC547" s="30">
        <f>Inventory[[#This Row],[Unadj Res Value]]+Inventory[[#This Row],[Unadj Det Value]]+Inventory[[#This Row],[Unadj Land Value]]</f>
        <v>447100</v>
      </c>
      <c r="BD547" s="30">
        <f>(Inventory[[#This Row],[Unadj Total Value]]-Inventory[[#This Row],[24Final]])/Inventory[[#This Row],[24Final]]</f>
        <v>-4.1997000214270407E-2</v>
      </c>
      <c r="BE547" s="30">
        <f>VLOOKUP(Inventory[[#This Row],[Nbhd]],Lookups!$M$3:$P$5,4,FALSE)</f>
        <v>0.99970000000000003</v>
      </c>
      <c r="BF547" s="30">
        <f>VLOOKUP(Inventory[[#This Row],[Qlty]],Lookups!$M$8:$P$22,4,FALSE)</f>
        <v>1.0019</v>
      </c>
      <c r="BG547" s="30">
        <f>VLOOKUP(Inventory[[#This Row],[Cnd]],Lookups!$R$8:$U$17,4,FALSE)</f>
        <v>1.0007999999999999</v>
      </c>
      <c r="BH547" s="30">
        <f>VLOOKUP(Inventory[[#This Row],[LivArea Range]],Lookups!$R$25:$U$43,4,FALSE)</f>
        <v>1.0099</v>
      </c>
      <c r="BI547" s="30">
        <f>VLOOKUP(Inventory[[#This Row],[Decade]],Lookups!$M$24:$P$40,4,FALSE)</f>
        <v>1.0024</v>
      </c>
      <c r="BJ547" s="30">
        <f>Inventory[[#This Row],[Nbhd Adj]]*0.95</f>
        <v>0.94971499999999998</v>
      </c>
      <c r="BK547" s="30">
        <f>AVERAGE(Inventory[[#This Row],[Nbhd Adj]],Inventory[[#This Row],[Quality Adj]],Inventory[[#This Row],[Condition Adj]],Inventory[[#This Row],[Living Area Adj]],Inventory[[#This Row],[Decade Adj]])*0.95</f>
        <v>0.95279299999999989</v>
      </c>
      <c r="BL547" s="30">
        <f>ROUND((SUM(Inventory[[#This Row],[Mdl Qlty]:[Mdl Garage Area]])+Inventory[[#This Row],[Mdl Res Intercept]])*Inventory[[#This Row],[Res Adj ]],-2)</f>
        <v>364700</v>
      </c>
      <c r="BM547" s="30">
        <f>ROUND(Inventory[[#This Row],[25Det]]*Inventory[[#This Row],[Det/Nbhd Adj]],-2)</f>
        <v>0</v>
      </c>
      <c r="BN547" s="30">
        <f>Inventory[[#This Row],[Adjusted Res]]+Inventory[[#This Row],[Adj Det ]]</f>
        <v>364700</v>
      </c>
      <c r="BO547" s="30">
        <f>ROUND((Inventory[[#This Row],[Mdl Land Intercept]]+Inventory[[#This Row],[Mdl LnAcres]])*Inventory[[#This Row],[Det/Nbhd Adj]],-2)</f>
        <v>61100</v>
      </c>
      <c r="BP547" s="30">
        <f>Inventory[[#This Row],[Adjusted Impr Total]]+Inventory[[#This Row],[Adjusted Land Total]]</f>
        <v>425800</v>
      </c>
      <c r="BQ547" s="30">
        <f>IFERROR((Inventory[[#This Row],[Adjusted Impr Total]]-Inventory[[#This Row],[24Bldg]])/Inventory[[#This Row],[24Bldg]],0)</f>
        <v>-0.10150283321015029</v>
      </c>
      <c r="BR547" s="43">
        <f>(Inventory[[#This Row],[Adjusted Land Total]]-Inventory[[#This Row],[24Lnd]])/Inventory[[#This Row],[24Lnd]]</f>
        <v>4.9342105263157892E-3</v>
      </c>
      <c r="BS547" s="43">
        <f>(Inventory[[#This Row],[Adjusted Total]]-Inventory[[#This Row],[24Final]])/Inventory[[#This Row],[24Final]]</f>
        <v>-8.7636597385901002E-2</v>
      </c>
    </row>
    <row r="548" spans="1:71">
      <c r="A548" s="30">
        <v>2025</v>
      </c>
      <c r="B548" s="31" t="s">
        <v>1062</v>
      </c>
      <c r="C548" s="31">
        <f>LN(Inventory[[#This Row],[Acres]])</f>
        <v>-1.8325814637483102</v>
      </c>
      <c r="D548" s="30">
        <v>0.16</v>
      </c>
      <c r="E548" s="30">
        <v>7033</v>
      </c>
      <c r="F548" s="31" t="s">
        <v>505</v>
      </c>
      <c r="G548" s="31" t="s">
        <v>155</v>
      </c>
      <c r="H548" s="31" t="s">
        <v>5</v>
      </c>
      <c r="I548" s="31" t="s">
        <v>506</v>
      </c>
      <c r="J548" s="31" t="s">
        <v>507</v>
      </c>
      <c r="K548" s="31" t="s">
        <v>193</v>
      </c>
      <c r="L548" s="31" t="s">
        <v>19</v>
      </c>
      <c r="M548" s="31" t="s">
        <v>20</v>
      </c>
      <c r="N548" s="31">
        <v>10</v>
      </c>
      <c r="O548" s="31">
        <f>2024-Inventory[[#This Row],[YrBlt]]</f>
        <v>17</v>
      </c>
      <c r="P548" s="31">
        <f>2024-Inventory[[#This Row],[EffYr]]</f>
        <v>17</v>
      </c>
      <c r="Q548" s="30">
        <v>2007</v>
      </c>
      <c r="R548" s="30">
        <v>2007</v>
      </c>
      <c r="S548" s="30">
        <v>1352</v>
      </c>
      <c r="T548" s="32"/>
      <c r="U548" s="32"/>
      <c r="V548" s="32"/>
      <c r="W548" s="32"/>
      <c r="X548" s="32">
        <f>Inventory[[#This Row],[Bsmt Area]]-Inventory[[#This Row],[FnBsmt]]</f>
        <v>0</v>
      </c>
      <c r="Y548" s="32">
        <f>Inventory[[#This Row],[MainFn]]+Inventory[[#This Row],[UpprFn]]+Inventory[[#This Row],[AddFn]]+Inventory[[#This Row],[FnBsmt]]</f>
        <v>1352</v>
      </c>
      <c r="Z548" s="32">
        <v>1500</v>
      </c>
      <c r="AA548" s="31" t="s">
        <v>56</v>
      </c>
      <c r="AB548" s="32"/>
      <c r="AC548" s="30">
        <v>440</v>
      </c>
      <c r="AD548" s="32"/>
      <c r="AE548" s="32"/>
      <c r="AF548" s="32"/>
      <c r="AG548" s="32"/>
      <c r="AH548" s="32"/>
      <c r="AI548" s="30">
        <v>272131</v>
      </c>
      <c r="AJ548" s="30">
        <v>253082</v>
      </c>
      <c r="AK548" s="30">
        <v>0</v>
      </c>
      <c r="AL548" s="30">
        <v>0</v>
      </c>
      <c r="AM548" s="30">
        <v>60800</v>
      </c>
      <c r="AN548" s="30">
        <v>306800</v>
      </c>
      <c r="AO548" s="30">
        <v>367600</v>
      </c>
      <c r="AP548" s="30">
        <f>Lookups!$B$58*0.6</f>
        <v>132535.48800000001</v>
      </c>
      <c r="AQ548" s="30">
        <f>Lookups!$B$58*0.4</f>
        <v>88356.992000000013</v>
      </c>
      <c r="AR548" s="30">
        <f>Lookups!$B$59*Inventory[[#This Row],[LnAcres]]</f>
        <v>-24051.387388882686</v>
      </c>
      <c r="AS548" s="30">
        <f>VLOOKUP(Inventory[[#This Row],[Qlty]],Lookups!$A$66:$E$79,2,FALSE)</f>
        <v>37154.252388000001</v>
      </c>
      <c r="AT548" s="30">
        <f>VLOOKUP(Inventory[[#This Row],[Cnd]],Lookups!$A$80:$E$88,2,FALSE)</f>
        <v>30300.329274</v>
      </c>
      <c r="AU548" s="30">
        <f>Inventory[[#This Row],[EffAge]]*Lookups!$B$65</f>
        <v>-1848.5987</v>
      </c>
      <c r="AV548" s="30">
        <f>Inventory[[#This Row],[MainFn]]*Lookups!$B$90</f>
        <v>84378.833760000009</v>
      </c>
      <c r="AW548" s="30">
        <f>Inventory[[#This Row],[UpprFn]]*Lookups!$B$91</f>
        <v>0</v>
      </c>
      <c r="AX548" s="30">
        <f>Inventory[[#This Row],[Bsmt Area]]*Lookups!$B$95</f>
        <v>0</v>
      </c>
      <c r="AY548" s="30">
        <f>Inventory[[#This Row],[AttGar]]*Lookups!$B$93</f>
        <v>15532.453640000002</v>
      </c>
      <c r="AZ548" s="30">
        <f>ROUND(Inventory[[#This Row],[25Det]],-2)</f>
        <v>0</v>
      </c>
      <c r="BA548" s="30">
        <f>ROUND(SUM(Inventory[[#This Row],[Mdl Qlty]:[Mdl Garage Area]])+Inventory[[#This Row],[Mdl Res Intercept]],-2)</f>
        <v>298100</v>
      </c>
      <c r="BB548" s="30">
        <f>ROUND(Inventory[[#This Row],[Mdl Land Intercept]]+Inventory[[#This Row],[Mdl LnAcres]],-2)</f>
        <v>64300</v>
      </c>
      <c r="BC548" s="30">
        <f>Inventory[[#This Row],[Unadj Res Value]]+Inventory[[#This Row],[Unadj Det Value]]+Inventory[[#This Row],[Unadj Land Value]]</f>
        <v>362400</v>
      </c>
      <c r="BD548" s="30">
        <f>(Inventory[[#This Row],[Unadj Total Value]]-Inventory[[#This Row],[24Final]])/Inventory[[#This Row],[24Final]]</f>
        <v>-1.4145810663764961E-2</v>
      </c>
      <c r="BE548" s="30">
        <f>VLOOKUP(Inventory[[#This Row],[Nbhd]],Lookups!$M$3:$P$5,4,FALSE)</f>
        <v>0.99970000000000003</v>
      </c>
      <c r="BF548" s="30">
        <f>VLOOKUP(Inventory[[#This Row],[Qlty]],Lookups!$M$8:$P$22,4,FALSE)</f>
        <v>0.99819999999999998</v>
      </c>
      <c r="BG548" s="30">
        <f>VLOOKUP(Inventory[[#This Row],[Cnd]],Lookups!$R$8:$U$17,4,FALSE)</f>
        <v>0.997</v>
      </c>
      <c r="BH548" s="30">
        <f>VLOOKUP(Inventory[[#This Row],[LivArea Range]],Lookups!$R$25:$U$43,4,FALSE)</f>
        <v>0.99519999999999997</v>
      </c>
      <c r="BI548" s="30">
        <f>VLOOKUP(Inventory[[#This Row],[Decade]],Lookups!$M$24:$P$40,4,FALSE)</f>
        <v>1.0024</v>
      </c>
      <c r="BJ548" s="30">
        <f>Inventory[[#This Row],[Nbhd Adj]]*0.95</f>
        <v>0.94971499999999998</v>
      </c>
      <c r="BK548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548" s="30">
        <f>ROUND((SUM(Inventory[[#This Row],[Mdl Qlty]:[Mdl Garage Area]])+Inventory[[#This Row],[Mdl Res Intercept]])*Inventory[[#This Row],[Res Adj ]],-2)</f>
        <v>282700</v>
      </c>
      <c r="BM548" s="30">
        <f>ROUND(Inventory[[#This Row],[25Det]]*Inventory[[#This Row],[Det/Nbhd Adj]],-2)</f>
        <v>0</v>
      </c>
      <c r="BN548" s="30">
        <f>Inventory[[#This Row],[Adjusted Res]]+Inventory[[#This Row],[Adj Det ]]</f>
        <v>282700</v>
      </c>
      <c r="BO548" s="30">
        <f>ROUND((Inventory[[#This Row],[Mdl Land Intercept]]+Inventory[[#This Row],[Mdl LnAcres]])*Inventory[[#This Row],[Det/Nbhd Adj]],-2)</f>
        <v>61100</v>
      </c>
      <c r="BP548" s="30">
        <f>Inventory[[#This Row],[Adjusted Impr Total]]+Inventory[[#This Row],[Adjusted Land Total]]</f>
        <v>343800</v>
      </c>
      <c r="BQ548" s="30">
        <f>IFERROR((Inventory[[#This Row],[Adjusted Impr Total]]-Inventory[[#This Row],[24Bldg]])/Inventory[[#This Row],[24Bldg]],0)</f>
        <v>-7.8552803129074311E-2</v>
      </c>
      <c r="BR548" s="43">
        <f>(Inventory[[#This Row],[Adjusted Land Total]]-Inventory[[#This Row],[24Lnd]])/Inventory[[#This Row],[24Lnd]]</f>
        <v>4.9342105263157892E-3</v>
      </c>
      <c r="BS548" s="43">
        <f>(Inventory[[#This Row],[Adjusted Total]]-Inventory[[#This Row],[24Final]])/Inventory[[#This Row],[24Final]]</f>
        <v>-6.4744287268770406E-2</v>
      </c>
    </row>
    <row r="549" spans="1:71">
      <c r="A549" s="30">
        <v>2025</v>
      </c>
      <c r="B549" s="31" t="s">
        <v>1063</v>
      </c>
      <c r="C549" s="31">
        <f>LN(Inventory[[#This Row],[Acres]])</f>
        <v>-1.8325814637483102</v>
      </c>
      <c r="D549" s="30">
        <v>0.16</v>
      </c>
      <c r="E549" s="30">
        <v>6894</v>
      </c>
      <c r="F549" s="31" t="s">
        <v>505</v>
      </c>
      <c r="G549" s="31" t="s">
        <v>155</v>
      </c>
      <c r="H549" s="31" t="s">
        <v>5</v>
      </c>
      <c r="I549" s="31" t="s">
        <v>506</v>
      </c>
      <c r="J549" s="31" t="s">
        <v>507</v>
      </c>
      <c r="K549" s="31" t="s">
        <v>193</v>
      </c>
      <c r="L549" s="31" t="s">
        <v>17</v>
      </c>
      <c r="M549" s="31" t="s">
        <v>20</v>
      </c>
      <c r="N549" s="31">
        <v>10</v>
      </c>
      <c r="O549" s="31">
        <f>2024-Inventory[[#This Row],[YrBlt]]</f>
        <v>17</v>
      </c>
      <c r="P549" s="31">
        <f>2024-Inventory[[#This Row],[EffYr]]</f>
        <v>17</v>
      </c>
      <c r="Q549" s="30">
        <v>2007</v>
      </c>
      <c r="R549" s="30">
        <v>2007</v>
      </c>
      <c r="S549" s="30">
        <v>1080</v>
      </c>
      <c r="T549" s="37"/>
      <c r="U549" s="32"/>
      <c r="V549" s="32"/>
      <c r="W549" s="32"/>
      <c r="X549" s="32">
        <f>Inventory[[#This Row],[Bsmt Area]]-Inventory[[#This Row],[FnBsmt]]</f>
        <v>0</v>
      </c>
      <c r="Y549" s="32">
        <f>Inventory[[#This Row],[MainFn]]+Inventory[[#This Row],[UpprFn]]+Inventory[[#This Row],[AddFn]]+Inventory[[#This Row],[FnBsmt]]</f>
        <v>1080</v>
      </c>
      <c r="Z549" s="32">
        <v>1500</v>
      </c>
      <c r="AA549" s="31" t="s">
        <v>56</v>
      </c>
      <c r="AB549" s="32"/>
      <c r="AC549" s="30">
        <v>440</v>
      </c>
      <c r="AD549" s="32"/>
      <c r="AE549" s="32"/>
      <c r="AF549" s="32"/>
      <c r="AG549" s="32"/>
      <c r="AH549" s="32"/>
      <c r="AI549" s="30">
        <v>208487</v>
      </c>
      <c r="AJ549" s="30">
        <v>191808</v>
      </c>
      <c r="AK549" s="30">
        <v>0</v>
      </c>
      <c r="AL549" s="30">
        <v>0</v>
      </c>
      <c r="AM549" s="30">
        <v>60800</v>
      </c>
      <c r="AN549" s="30">
        <v>272200</v>
      </c>
      <c r="AO549" s="30">
        <v>333000</v>
      </c>
      <c r="AP549" s="30">
        <f>Lookups!$B$58*0.6</f>
        <v>132535.48800000001</v>
      </c>
      <c r="AQ549" s="30">
        <f>Lookups!$B$58*0.4</f>
        <v>88356.992000000013</v>
      </c>
      <c r="AR549" s="30">
        <f>Lookups!$B$59*Inventory[[#This Row],[LnAcres]]</f>
        <v>-24051.387388882686</v>
      </c>
      <c r="AS549" s="30">
        <f>VLOOKUP(Inventory[[#This Row],[Qlty]],Lookups!$A$66:$E$79,2,FALSE)</f>
        <v>24371.765965999999</v>
      </c>
      <c r="AT549" s="30">
        <f>VLOOKUP(Inventory[[#This Row],[Cnd]],Lookups!$A$80:$E$88,2,FALSE)</f>
        <v>30300.329274</v>
      </c>
      <c r="AU549" s="30">
        <f>Inventory[[#This Row],[EffAge]]*Lookups!$B$65</f>
        <v>-1848.5987</v>
      </c>
      <c r="AV549" s="30">
        <f>Inventory[[#This Row],[MainFn]]*Lookups!$B$90</f>
        <v>67403.210400000011</v>
      </c>
      <c r="AW549" s="30">
        <f>Inventory[[#This Row],[UpprFn]]*Lookups!$B$91</f>
        <v>0</v>
      </c>
      <c r="AX549" s="30">
        <f>Inventory[[#This Row],[Bsmt Area]]*Lookups!$B$95</f>
        <v>0</v>
      </c>
      <c r="AY549" s="30">
        <f>Inventory[[#This Row],[AttGar]]*Lookups!$B$93</f>
        <v>15532.453640000002</v>
      </c>
      <c r="AZ549" s="30">
        <f>ROUND(Inventory[[#This Row],[25Det]],-2)</f>
        <v>0</v>
      </c>
      <c r="BA549" s="30">
        <f>ROUND(SUM(Inventory[[#This Row],[Mdl Qlty]:[Mdl Garage Area]])+Inventory[[#This Row],[Mdl Res Intercept]],-2)</f>
        <v>268300</v>
      </c>
      <c r="BB549" s="30">
        <f>ROUND(Inventory[[#This Row],[Mdl Land Intercept]]+Inventory[[#This Row],[Mdl LnAcres]],-2)</f>
        <v>64300</v>
      </c>
      <c r="BC549" s="30">
        <f>Inventory[[#This Row],[Unadj Res Value]]+Inventory[[#This Row],[Unadj Det Value]]+Inventory[[#This Row],[Unadj Land Value]]</f>
        <v>332600</v>
      </c>
      <c r="BD549" s="30">
        <f>(Inventory[[#This Row],[Unadj Total Value]]-Inventory[[#This Row],[24Final]])/Inventory[[#This Row],[24Final]]</f>
        <v>-1.2012012012012011E-3</v>
      </c>
      <c r="BE549" s="30">
        <f>VLOOKUP(Inventory[[#This Row],[Nbhd]],Lookups!$M$3:$P$5,4,FALSE)</f>
        <v>0.99970000000000003</v>
      </c>
      <c r="BF549" s="30">
        <f>VLOOKUP(Inventory[[#This Row],[Qlty]],Lookups!$M$8:$P$22,4,FALSE)</f>
        <v>0.99199999999999999</v>
      </c>
      <c r="BG549" s="30">
        <f>VLOOKUP(Inventory[[#This Row],[Cnd]],Lookups!$R$8:$U$17,4,FALSE)</f>
        <v>0.997</v>
      </c>
      <c r="BH549" s="30">
        <f>VLOOKUP(Inventory[[#This Row],[LivArea Range]],Lookups!$R$25:$U$43,4,FALSE)</f>
        <v>0.99519999999999997</v>
      </c>
      <c r="BI549" s="30">
        <f>VLOOKUP(Inventory[[#This Row],[Decade]],Lookups!$M$24:$P$40,4,FALSE)</f>
        <v>1.0024</v>
      </c>
      <c r="BJ549" s="30">
        <f>Inventory[[#This Row],[Nbhd Adj]]*0.95</f>
        <v>0.94971499999999998</v>
      </c>
      <c r="BK549" s="30">
        <f>AVERAGE(Inventory[[#This Row],[Nbhd Adj]],Inventory[[#This Row],[Quality Adj]],Inventory[[#This Row],[Condition Adj]],Inventory[[#This Row],[Living Area Adj]],Inventory[[#This Row],[Decade Adj]])*0.95</f>
        <v>0.94739700000000004</v>
      </c>
      <c r="BL549" s="30">
        <f>ROUND((SUM(Inventory[[#This Row],[Mdl Qlty]:[Mdl Garage Area]])+Inventory[[#This Row],[Mdl Res Intercept]])*Inventory[[#This Row],[Res Adj ]],-2)</f>
        <v>254200</v>
      </c>
      <c r="BM549" s="30">
        <f>ROUND(Inventory[[#This Row],[25Det]]*Inventory[[#This Row],[Det/Nbhd Adj]],-2)</f>
        <v>0</v>
      </c>
      <c r="BN549" s="30">
        <f>Inventory[[#This Row],[Adjusted Res]]+Inventory[[#This Row],[Adj Det ]]</f>
        <v>254200</v>
      </c>
      <c r="BO549" s="30">
        <f>ROUND((Inventory[[#This Row],[Mdl Land Intercept]]+Inventory[[#This Row],[Mdl LnAcres]])*Inventory[[#This Row],[Det/Nbhd Adj]],-2)</f>
        <v>61100</v>
      </c>
      <c r="BP549" s="30">
        <f>Inventory[[#This Row],[Adjusted Impr Total]]+Inventory[[#This Row],[Adjusted Land Total]]</f>
        <v>315300</v>
      </c>
      <c r="BQ549" s="30">
        <f>IFERROR((Inventory[[#This Row],[Adjusted Impr Total]]-Inventory[[#This Row],[24Bldg]])/Inventory[[#This Row],[24Bldg]],0)</f>
        <v>-6.6127847171197643E-2</v>
      </c>
      <c r="BR549" s="43">
        <f>(Inventory[[#This Row],[Adjusted Land Total]]-Inventory[[#This Row],[24Lnd]])/Inventory[[#This Row],[24Lnd]]</f>
        <v>4.9342105263157892E-3</v>
      </c>
      <c r="BS549" s="43">
        <f>(Inventory[[#This Row],[Adjusted Total]]-Inventory[[#This Row],[24Final]])/Inventory[[#This Row],[24Final]]</f>
        <v>-5.3153153153153151E-2</v>
      </c>
    </row>
    <row r="550" spans="1:71">
      <c r="A550" s="30">
        <v>2025</v>
      </c>
      <c r="B550" s="31" t="s">
        <v>1064</v>
      </c>
      <c r="C550" s="31">
        <f>LN(Inventory[[#This Row],[Acres]])</f>
        <v>-1.8325814637483102</v>
      </c>
      <c r="D550" s="30">
        <v>0.16</v>
      </c>
      <c r="E550" s="30">
        <v>7027</v>
      </c>
      <c r="F550" s="31" t="s">
        <v>505</v>
      </c>
      <c r="G550" s="31" t="s">
        <v>155</v>
      </c>
      <c r="H550" s="31" t="s">
        <v>5</v>
      </c>
      <c r="I550" s="31" t="s">
        <v>506</v>
      </c>
      <c r="J550" s="31" t="s">
        <v>507</v>
      </c>
      <c r="K550" s="31" t="s">
        <v>157</v>
      </c>
      <c r="L550" s="31" t="s">
        <v>21</v>
      </c>
      <c r="M550" s="31" t="s">
        <v>20</v>
      </c>
      <c r="N550" s="31">
        <v>10</v>
      </c>
      <c r="O550" s="31">
        <f>2024-Inventory[[#This Row],[YrBlt]]</f>
        <v>17</v>
      </c>
      <c r="P550" s="31">
        <f>2024-Inventory[[#This Row],[EffYr]]</f>
        <v>17</v>
      </c>
      <c r="Q550" s="30">
        <v>2007</v>
      </c>
      <c r="R550" s="30">
        <v>2007</v>
      </c>
      <c r="S550" s="30">
        <v>909</v>
      </c>
      <c r="T550" s="38">
        <v>1085</v>
      </c>
      <c r="U550" s="32"/>
      <c r="V550" s="32"/>
      <c r="W550" s="32"/>
      <c r="X550" s="32">
        <f>Inventory[[#This Row],[Bsmt Area]]-Inventory[[#This Row],[FnBsmt]]</f>
        <v>0</v>
      </c>
      <c r="Y550" s="32">
        <f>Inventory[[#This Row],[MainFn]]+Inventory[[#This Row],[UpprFn]]+Inventory[[#This Row],[AddFn]]+Inventory[[#This Row],[FnBsmt]]</f>
        <v>1994</v>
      </c>
      <c r="Z550" s="32">
        <v>2000</v>
      </c>
      <c r="AA550" s="31" t="s">
        <v>56</v>
      </c>
      <c r="AB550" s="32"/>
      <c r="AC550" s="37"/>
      <c r="AD550" s="38">
        <v>420</v>
      </c>
      <c r="AE550" s="32"/>
      <c r="AF550" s="32"/>
      <c r="AG550" s="32"/>
      <c r="AH550" s="32"/>
      <c r="AI550" s="30">
        <v>400495</v>
      </c>
      <c r="AJ550" s="30">
        <v>368455</v>
      </c>
      <c r="AK550" s="30">
        <v>0</v>
      </c>
      <c r="AL550" s="30">
        <v>0</v>
      </c>
      <c r="AM550" s="30">
        <v>60800</v>
      </c>
      <c r="AN550" s="30">
        <v>321600</v>
      </c>
      <c r="AO550" s="30">
        <v>382400</v>
      </c>
      <c r="AP550" s="30">
        <f>Lookups!$B$58*0.6</f>
        <v>132535.48800000001</v>
      </c>
      <c r="AQ550" s="30">
        <f>Lookups!$B$58*0.4</f>
        <v>88356.992000000013</v>
      </c>
      <c r="AR550" s="30">
        <f>Lookups!$B$59*Inventory[[#This Row],[LnAcres]]</f>
        <v>-24051.387388882686</v>
      </c>
      <c r="AS550" s="30">
        <f>VLOOKUP(Inventory[[#This Row],[Qlty]],Lookups!$A$66:$E$79,2,FALSE)</f>
        <v>32917.849192000001</v>
      </c>
      <c r="AT550" s="30">
        <f>VLOOKUP(Inventory[[#This Row],[Cnd]],Lookups!$A$80:$E$88,2,FALSE)</f>
        <v>30300.329274</v>
      </c>
      <c r="AU550" s="30">
        <f>Inventory[[#This Row],[EffAge]]*Lookups!$B$65</f>
        <v>-1848.5987</v>
      </c>
      <c r="AV550" s="30">
        <f>Inventory[[#This Row],[MainFn]]*Lookups!$B$90</f>
        <v>56731.03542</v>
      </c>
      <c r="AW550" s="30">
        <f>Inventory[[#This Row],[UpprFn]]*Lookups!$B$91</f>
        <v>64644.715554999995</v>
      </c>
      <c r="AX550" s="30">
        <f>Inventory[[#This Row],[Bsmt Area]]*Lookups!$B$95</f>
        <v>0</v>
      </c>
      <c r="AY550" s="30">
        <f>Inventory[[#This Row],[AttGar]]*Lookups!$B$93</f>
        <v>0</v>
      </c>
      <c r="AZ550" s="30">
        <f>ROUND(Inventory[[#This Row],[25Det]],-2)</f>
        <v>0</v>
      </c>
      <c r="BA550" s="30">
        <f>ROUND(SUM(Inventory[[#This Row],[Mdl Qlty]:[Mdl Garage Area]])+Inventory[[#This Row],[Mdl Res Intercept]],-2)</f>
        <v>315300</v>
      </c>
      <c r="BB550" s="30">
        <f>ROUND(Inventory[[#This Row],[Mdl Land Intercept]]+Inventory[[#This Row],[Mdl LnAcres]],-2)</f>
        <v>64300</v>
      </c>
      <c r="BC550" s="30">
        <f>Inventory[[#This Row],[Unadj Res Value]]+Inventory[[#This Row],[Unadj Det Value]]+Inventory[[#This Row],[Unadj Land Value]]</f>
        <v>379600</v>
      </c>
      <c r="BD550" s="30">
        <f>(Inventory[[#This Row],[Unadj Total Value]]-Inventory[[#This Row],[24Final]])/Inventory[[#This Row],[24Final]]</f>
        <v>-7.3221757322175732E-3</v>
      </c>
      <c r="BE550" s="30">
        <f>VLOOKUP(Inventory[[#This Row],[Nbhd]],Lookups!$M$3:$P$5,4,FALSE)</f>
        <v>0.99970000000000003</v>
      </c>
      <c r="BF550" s="30">
        <f>VLOOKUP(Inventory[[#This Row],[Qlty]],Lookups!$M$8:$P$22,4,FALSE)</f>
        <v>1.0019</v>
      </c>
      <c r="BG550" s="30">
        <f>VLOOKUP(Inventory[[#This Row],[Cnd]],Lookups!$R$8:$U$17,4,FALSE)</f>
        <v>0.997</v>
      </c>
      <c r="BH550" s="30">
        <f>VLOOKUP(Inventory[[#This Row],[LivArea Range]],Lookups!$R$25:$U$43,4,FALSE)</f>
        <v>1.0007999999999999</v>
      </c>
      <c r="BI550" s="30">
        <f>VLOOKUP(Inventory[[#This Row],[Decade]],Lookups!$M$24:$P$40,4,FALSE)</f>
        <v>1.0024</v>
      </c>
      <c r="BJ550" s="30">
        <f>Inventory[[#This Row],[Nbhd Adj]]*0.95</f>
        <v>0.94971499999999998</v>
      </c>
      <c r="BK550" s="30">
        <f>AVERAGE(Inventory[[#This Row],[Nbhd Adj]],Inventory[[#This Row],[Quality Adj]],Inventory[[#This Row],[Condition Adj]],Inventory[[#This Row],[Living Area Adj]],Inventory[[#This Row],[Decade Adj]])*0.95</f>
        <v>0.95034199999999991</v>
      </c>
      <c r="BL550" s="30">
        <f>ROUND((SUM(Inventory[[#This Row],[Mdl Qlty]:[Mdl Garage Area]])+Inventory[[#This Row],[Mdl Res Intercept]])*Inventory[[#This Row],[Res Adj ]],-2)</f>
        <v>299600</v>
      </c>
      <c r="BM550" s="30">
        <f>ROUND(Inventory[[#This Row],[25Det]]*Inventory[[#This Row],[Det/Nbhd Adj]],-2)</f>
        <v>0</v>
      </c>
      <c r="BN550" s="30">
        <f>Inventory[[#This Row],[Adjusted Res]]+Inventory[[#This Row],[Adj Det ]]</f>
        <v>299600</v>
      </c>
      <c r="BO550" s="30">
        <f>ROUND((Inventory[[#This Row],[Mdl Land Intercept]]+Inventory[[#This Row],[Mdl LnAcres]])*Inventory[[#This Row],[Det/Nbhd Adj]],-2)</f>
        <v>61100</v>
      </c>
      <c r="BP550" s="30">
        <f>Inventory[[#This Row],[Adjusted Impr Total]]+Inventory[[#This Row],[Adjusted Land Total]]</f>
        <v>360700</v>
      </c>
      <c r="BQ550" s="30">
        <f>IFERROR((Inventory[[#This Row],[Adjusted Impr Total]]-Inventory[[#This Row],[24Bldg]])/Inventory[[#This Row],[24Bldg]],0)</f>
        <v>-6.8407960199004969E-2</v>
      </c>
      <c r="BR550" s="43">
        <f>(Inventory[[#This Row],[Adjusted Land Total]]-Inventory[[#This Row],[24Lnd]])/Inventory[[#This Row],[24Lnd]]</f>
        <v>4.9342105263157892E-3</v>
      </c>
      <c r="BS550" s="43">
        <f>(Inventory[[#This Row],[Adjusted Total]]-Inventory[[#This Row],[24Final]])/Inventory[[#This Row],[24Final]]</f>
        <v>-5.6746861924686191E-2</v>
      </c>
    </row>
    <row r="551" spans="1:71">
      <c r="A551" s="30">
        <v>2025</v>
      </c>
      <c r="B551" s="31" t="s">
        <v>1065</v>
      </c>
      <c r="C551" s="31">
        <f>LN(Inventory[[#This Row],[Acres]])</f>
        <v>-1.8325814637483102</v>
      </c>
      <c r="D551" s="30">
        <v>0.16</v>
      </c>
      <c r="E551" s="30">
        <v>6989</v>
      </c>
      <c r="F551" s="31" t="s">
        <v>505</v>
      </c>
      <c r="G551" s="31" t="s">
        <v>155</v>
      </c>
      <c r="H551" s="31" t="s">
        <v>5</v>
      </c>
      <c r="I551" s="31" t="s">
        <v>506</v>
      </c>
      <c r="J551" s="31" t="s">
        <v>507</v>
      </c>
      <c r="K551" s="31" t="s">
        <v>157</v>
      </c>
      <c r="L551" s="31" t="s">
        <v>21</v>
      </c>
      <c r="M551" s="31" t="s">
        <v>20</v>
      </c>
      <c r="N551" s="31">
        <v>10</v>
      </c>
      <c r="O551" s="31">
        <f>2024-Inventory[[#This Row],[YrBlt]]</f>
        <v>17</v>
      </c>
      <c r="P551" s="31">
        <f>2024-Inventory[[#This Row],[EffYr]]</f>
        <v>17</v>
      </c>
      <c r="Q551" s="30">
        <v>2007</v>
      </c>
      <c r="R551" s="30">
        <v>2007</v>
      </c>
      <c r="S551" s="30">
        <v>1374</v>
      </c>
      <c r="T551" s="38">
        <v>1344</v>
      </c>
      <c r="U551" s="32"/>
      <c r="V551" s="32"/>
      <c r="W551" s="32"/>
      <c r="X551" s="32">
        <f>Inventory[[#This Row],[Bsmt Area]]-Inventory[[#This Row],[FnBsmt]]</f>
        <v>0</v>
      </c>
      <c r="Y551" s="32">
        <f>Inventory[[#This Row],[MainFn]]+Inventory[[#This Row],[UpprFn]]+Inventory[[#This Row],[AddFn]]+Inventory[[#This Row],[FnBsmt]]</f>
        <v>2718</v>
      </c>
      <c r="Z551" s="32">
        <v>3000</v>
      </c>
      <c r="AA551" s="31" t="s">
        <v>56</v>
      </c>
      <c r="AB551" s="32"/>
      <c r="AC551" s="30">
        <v>240</v>
      </c>
      <c r="AD551" s="38">
        <v>502</v>
      </c>
      <c r="AE551" s="32"/>
      <c r="AF551" s="32"/>
      <c r="AG551" s="32"/>
      <c r="AH551" s="32"/>
      <c r="AI551" s="30">
        <v>550286</v>
      </c>
      <c r="AJ551" s="30">
        <v>506263</v>
      </c>
      <c r="AK551" s="30">
        <v>0</v>
      </c>
      <c r="AL551" s="30">
        <v>0</v>
      </c>
      <c r="AM551" s="30">
        <v>60800</v>
      </c>
      <c r="AN551" s="30">
        <v>375200</v>
      </c>
      <c r="AO551" s="30">
        <v>436000</v>
      </c>
      <c r="AP551" s="30">
        <f>Lookups!$B$58*0.6</f>
        <v>132535.48800000001</v>
      </c>
      <c r="AQ551" s="30">
        <f>Lookups!$B$58*0.4</f>
        <v>88356.992000000013</v>
      </c>
      <c r="AR551" s="30">
        <f>Lookups!$B$59*Inventory[[#This Row],[LnAcres]]</f>
        <v>-24051.387388882686</v>
      </c>
      <c r="AS551" s="30">
        <f>VLOOKUP(Inventory[[#This Row],[Qlty]],Lookups!$A$66:$E$79,2,FALSE)</f>
        <v>32917.849192000001</v>
      </c>
      <c r="AT551" s="30">
        <f>VLOOKUP(Inventory[[#This Row],[Cnd]],Lookups!$A$80:$E$88,2,FALSE)</f>
        <v>30300.329274</v>
      </c>
      <c r="AU551" s="30">
        <f>Inventory[[#This Row],[EffAge]]*Lookups!$B$65</f>
        <v>-1848.5987</v>
      </c>
      <c r="AV551" s="30">
        <f>Inventory[[#This Row],[MainFn]]*Lookups!$B$90</f>
        <v>85751.862120000005</v>
      </c>
      <c r="AW551" s="30">
        <f>Inventory[[#This Row],[UpprFn]]*Lookups!$B$91</f>
        <v>80076.034751999992</v>
      </c>
      <c r="AX551" s="30">
        <f>Inventory[[#This Row],[Bsmt Area]]*Lookups!$B$95</f>
        <v>0</v>
      </c>
      <c r="AY551" s="30">
        <f>Inventory[[#This Row],[AttGar]]*Lookups!$B$93</f>
        <v>8472.247440000001</v>
      </c>
      <c r="AZ551" s="30">
        <f>ROUND(Inventory[[#This Row],[25Det]],-2)</f>
        <v>0</v>
      </c>
      <c r="BA551" s="30">
        <f>ROUND(SUM(Inventory[[#This Row],[Mdl Qlty]:[Mdl Garage Area]])+Inventory[[#This Row],[Mdl Res Intercept]],-2)</f>
        <v>368200</v>
      </c>
      <c r="BB551" s="30">
        <f>ROUND(Inventory[[#This Row],[Mdl Land Intercept]]+Inventory[[#This Row],[Mdl LnAcres]],-2)</f>
        <v>64300</v>
      </c>
      <c r="BC551" s="30">
        <f>Inventory[[#This Row],[Unadj Res Value]]+Inventory[[#This Row],[Unadj Det Value]]+Inventory[[#This Row],[Unadj Land Value]]</f>
        <v>432500</v>
      </c>
      <c r="BD551" s="30">
        <f>(Inventory[[#This Row],[Unadj Total Value]]-Inventory[[#This Row],[24Final]])/Inventory[[#This Row],[24Final]]</f>
        <v>-8.027522935779817E-3</v>
      </c>
      <c r="BE551" s="30">
        <f>VLOOKUP(Inventory[[#This Row],[Nbhd]],Lookups!$M$3:$P$5,4,FALSE)</f>
        <v>0.99970000000000003</v>
      </c>
      <c r="BF551" s="30">
        <f>VLOOKUP(Inventory[[#This Row],[Qlty]],Lookups!$M$8:$P$22,4,FALSE)</f>
        <v>1.0019</v>
      </c>
      <c r="BG551" s="30">
        <f>VLOOKUP(Inventory[[#This Row],[Cnd]],Lookups!$R$8:$U$17,4,FALSE)</f>
        <v>0.997</v>
      </c>
      <c r="BH551" s="30">
        <f>VLOOKUP(Inventory[[#This Row],[LivArea Range]],Lookups!$R$25:$U$43,4,FALSE)</f>
        <v>1.0099</v>
      </c>
      <c r="BI551" s="30">
        <f>VLOOKUP(Inventory[[#This Row],[Decade]],Lookups!$M$24:$P$40,4,FALSE)</f>
        <v>1.0024</v>
      </c>
      <c r="BJ551" s="30">
        <f>Inventory[[#This Row],[Nbhd Adj]]*0.95</f>
        <v>0.94971499999999998</v>
      </c>
      <c r="BK551" s="30">
        <f>AVERAGE(Inventory[[#This Row],[Nbhd Adj]],Inventory[[#This Row],[Quality Adj]],Inventory[[#This Row],[Condition Adj]],Inventory[[#This Row],[Living Area Adj]],Inventory[[#This Row],[Decade Adj]])*0.95</f>
        <v>0.95207099999999978</v>
      </c>
      <c r="BL551" s="30">
        <f>ROUND((SUM(Inventory[[#This Row],[Mdl Qlty]:[Mdl Garage Area]])+Inventory[[#This Row],[Mdl Res Intercept]])*Inventory[[#This Row],[Res Adj ]],-2)</f>
        <v>350600</v>
      </c>
      <c r="BM551" s="30">
        <f>ROUND(Inventory[[#This Row],[25Det]]*Inventory[[#This Row],[Det/Nbhd Adj]],-2)</f>
        <v>0</v>
      </c>
      <c r="BN551" s="30">
        <f>Inventory[[#This Row],[Adjusted Res]]+Inventory[[#This Row],[Adj Det ]]</f>
        <v>350600</v>
      </c>
      <c r="BO551" s="30">
        <f>ROUND((Inventory[[#This Row],[Mdl Land Intercept]]+Inventory[[#This Row],[Mdl LnAcres]])*Inventory[[#This Row],[Det/Nbhd Adj]],-2)</f>
        <v>61100</v>
      </c>
      <c r="BP551" s="30">
        <f>Inventory[[#This Row],[Adjusted Impr Total]]+Inventory[[#This Row],[Adjusted Land Total]]</f>
        <v>411700</v>
      </c>
      <c r="BQ551" s="30">
        <f>IFERROR((Inventory[[#This Row],[Adjusted Impr Total]]-Inventory[[#This Row],[24Bldg]])/Inventory[[#This Row],[24Bldg]],0)</f>
        <v>-6.5565031982942432E-2</v>
      </c>
      <c r="BR551" s="43">
        <f>(Inventory[[#This Row],[Adjusted Land Total]]-Inventory[[#This Row],[24Lnd]])/Inventory[[#This Row],[24Lnd]]</f>
        <v>4.9342105263157892E-3</v>
      </c>
      <c r="BS551" s="43">
        <f>(Inventory[[#This Row],[Adjusted Total]]-Inventory[[#This Row],[24Final]])/Inventory[[#This Row],[24Final]]</f>
        <v>-5.5733944954128443E-2</v>
      </c>
    </row>
    <row r="552" spans="1:71">
      <c r="A552" s="30">
        <v>2025</v>
      </c>
      <c r="B552" s="31" t="s">
        <v>1066</v>
      </c>
      <c r="C552" s="31">
        <f>LN(Inventory[[#This Row],[Acres]])</f>
        <v>-1.8325814637483102</v>
      </c>
      <c r="D552" s="30">
        <v>0.16</v>
      </c>
      <c r="E552" s="30">
        <v>7032</v>
      </c>
      <c r="F552" s="31" t="s">
        <v>505</v>
      </c>
      <c r="G552" s="31" t="s">
        <v>155</v>
      </c>
      <c r="H552" s="31" t="s">
        <v>5</v>
      </c>
      <c r="I552" s="31" t="s">
        <v>506</v>
      </c>
      <c r="J552" s="31" t="s">
        <v>507</v>
      </c>
      <c r="K552" s="31" t="s">
        <v>157</v>
      </c>
      <c r="L552" s="31" t="s">
        <v>21</v>
      </c>
      <c r="M552" s="31" t="s">
        <v>22</v>
      </c>
      <c r="N552" s="31">
        <v>10</v>
      </c>
      <c r="O552" s="31">
        <f>2024-Inventory[[#This Row],[YrBlt]]</f>
        <v>17</v>
      </c>
      <c r="P552" s="31">
        <f>2024-Inventory[[#This Row],[EffYr]]</f>
        <v>17</v>
      </c>
      <c r="Q552" s="30">
        <v>2007</v>
      </c>
      <c r="R552" s="30">
        <v>2007</v>
      </c>
      <c r="S552" s="30">
        <v>1116</v>
      </c>
      <c r="T552" s="30">
        <v>1116</v>
      </c>
      <c r="U552" s="32"/>
      <c r="V552" s="32"/>
      <c r="W552" s="32"/>
      <c r="X552" s="32">
        <f>Inventory[[#This Row],[Bsmt Area]]-Inventory[[#This Row],[FnBsmt]]</f>
        <v>0</v>
      </c>
      <c r="Y552" s="32">
        <f>Inventory[[#This Row],[MainFn]]+Inventory[[#This Row],[UpprFn]]+Inventory[[#This Row],[AddFn]]+Inventory[[#This Row],[FnBsmt]]</f>
        <v>2232</v>
      </c>
      <c r="Z552" s="32">
        <v>2500</v>
      </c>
      <c r="AA552" s="31" t="s">
        <v>56</v>
      </c>
      <c r="AB552" s="32"/>
      <c r="AC552" s="30">
        <v>440</v>
      </c>
      <c r="AD552" s="37"/>
      <c r="AE552" s="32"/>
      <c r="AF552" s="32"/>
      <c r="AG552" s="32"/>
      <c r="AH552" s="32"/>
      <c r="AI552" s="30">
        <v>456063</v>
      </c>
      <c r="AJ552" s="30">
        <v>424139</v>
      </c>
      <c r="AK552" s="30">
        <v>0</v>
      </c>
      <c r="AL552" s="30">
        <v>0</v>
      </c>
      <c r="AM552" s="30">
        <v>60800</v>
      </c>
      <c r="AN552" s="30">
        <v>370200</v>
      </c>
      <c r="AO552" s="30">
        <v>431000</v>
      </c>
      <c r="AP552" s="30">
        <f>Lookups!$B$58*0.6</f>
        <v>132535.48800000001</v>
      </c>
      <c r="AQ552" s="30">
        <f>Lookups!$B$58*0.4</f>
        <v>88356.992000000013</v>
      </c>
      <c r="AR552" s="30">
        <f>Lookups!$B$59*Inventory[[#This Row],[LnAcres]]</f>
        <v>-24051.387388882686</v>
      </c>
      <c r="AS552" s="30">
        <f>VLOOKUP(Inventory[[#This Row],[Qlty]],Lookups!$A$66:$E$79,2,FALSE)</f>
        <v>32917.849192000001</v>
      </c>
      <c r="AT552" s="30">
        <f>VLOOKUP(Inventory[[#This Row],[Cnd]],Lookups!$A$80:$E$88,2,FALSE)</f>
        <v>50438.379078999998</v>
      </c>
      <c r="AU552" s="30">
        <f>Inventory[[#This Row],[EffAge]]*Lookups!$B$65</f>
        <v>-1848.5987</v>
      </c>
      <c r="AV552" s="30">
        <f>Inventory[[#This Row],[MainFn]]*Lookups!$B$90</f>
        <v>69649.984080000009</v>
      </c>
      <c r="AW552" s="30">
        <f>Inventory[[#This Row],[UpprFn]]*Lookups!$B$91</f>
        <v>66491.707427999994</v>
      </c>
      <c r="AX552" s="30">
        <f>Inventory[[#This Row],[Bsmt Area]]*Lookups!$B$95</f>
        <v>0</v>
      </c>
      <c r="AY552" s="30">
        <f>Inventory[[#This Row],[AttGar]]*Lookups!$B$93</f>
        <v>15532.453640000002</v>
      </c>
      <c r="AZ552" s="30">
        <f>ROUND(Inventory[[#This Row],[25Det]],-2)</f>
        <v>0</v>
      </c>
      <c r="BA552" s="30">
        <f>ROUND(SUM(Inventory[[#This Row],[Mdl Qlty]:[Mdl Garage Area]])+Inventory[[#This Row],[Mdl Res Intercept]],-2)</f>
        <v>365700</v>
      </c>
      <c r="BB552" s="30">
        <f>ROUND(Inventory[[#This Row],[Mdl Land Intercept]]+Inventory[[#This Row],[Mdl LnAcres]],-2)</f>
        <v>64300</v>
      </c>
      <c r="BC552" s="30">
        <f>Inventory[[#This Row],[Unadj Res Value]]+Inventory[[#This Row],[Unadj Det Value]]+Inventory[[#This Row],[Unadj Land Value]]</f>
        <v>430000</v>
      </c>
      <c r="BD552" s="30">
        <f>(Inventory[[#This Row],[Unadj Total Value]]-Inventory[[#This Row],[24Final]])/Inventory[[#This Row],[24Final]]</f>
        <v>-2.3201856148491878E-3</v>
      </c>
      <c r="BE552" s="30">
        <f>VLOOKUP(Inventory[[#This Row],[Nbhd]],Lookups!$M$3:$P$5,4,FALSE)</f>
        <v>0.99970000000000003</v>
      </c>
      <c r="BF552" s="30">
        <f>VLOOKUP(Inventory[[#This Row],[Qlty]],Lookups!$M$8:$P$22,4,FALSE)</f>
        <v>1.0019</v>
      </c>
      <c r="BG552" s="30">
        <f>VLOOKUP(Inventory[[#This Row],[Cnd]],Lookups!$R$8:$U$17,4,FALSE)</f>
        <v>1.0007999999999999</v>
      </c>
      <c r="BH552" s="30">
        <f>VLOOKUP(Inventory[[#This Row],[LivArea Range]],Lookups!$R$25:$U$43,4,FALSE)</f>
        <v>1.0008999999999999</v>
      </c>
      <c r="BI552" s="30">
        <f>VLOOKUP(Inventory[[#This Row],[Decade]],Lookups!$M$24:$P$40,4,FALSE)</f>
        <v>1.0024</v>
      </c>
      <c r="BJ552" s="30">
        <f>Inventory[[#This Row],[Nbhd Adj]]*0.95</f>
        <v>0.94971499999999998</v>
      </c>
      <c r="BK552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552" s="30">
        <f>ROUND((SUM(Inventory[[#This Row],[Mdl Qlty]:[Mdl Garage Area]])+Inventory[[#This Row],[Mdl Res Intercept]])*Inventory[[#This Row],[Res Adj ]],-2)</f>
        <v>347800</v>
      </c>
      <c r="BM552" s="30">
        <f>ROUND(Inventory[[#This Row],[25Det]]*Inventory[[#This Row],[Det/Nbhd Adj]],-2)</f>
        <v>0</v>
      </c>
      <c r="BN552" s="30">
        <f>Inventory[[#This Row],[Adjusted Res]]+Inventory[[#This Row],[Adj Det ]]</f>
        <v>347800</v>
      </c>
      <c r="BO552" s="30">
        <f>ROUND((Inventory[[#This Row],[Mdl Land Intercept]]+Inventory[[#This Row],[Mdl LnAcres]])*Inventory[[#This Row],[Det/Nbhd Adj]],-2)</f>
        <v>61100</v>
      </c>
      <c r="BP552" s="30">
        <f>Inventory[[#This Row],[Adjusted Impr Total]]+Inventory[[#This Row],[Adjusted Land Total]]</f>
        <v>408900</v>
      </c>
      <c r="BQ552" s="30">
        <f>IFERROR((Inventory[[#This Row],[Adjusted Impr Total]]-Inventory[[#This Row],[24Bldg]])/Inventory[[#This Row],[24Bldg]],0)</f>
        <v>-6.0507833603457593E-2</v>
      </c>
      <c r="BR552" s="43">
        <f>(Inventory[[#This Row],[Adjusted Land Total]]-Inventory[[#This Row],[24Lnd]])/Inventory[[#This Row],[24Lnd]]</f>
        <v>4.9342105263157892E-3</v>
      </c>
      <c r="BS552" s="43">
        <f>(Inventory[[#This Row],[Adjusted Total]]-Inventory[[#This Row],[24Final]])/Inventory[[#This Row],[24Final]]</f>
        <v>-5.1276102088167054E-2</v>
      </c>
    </row>
    <row r="553" spans="1:71">
      <c r="A553" s="30">
        <v>2025</v>
      </c>
      <c r="B553" s="31" t="s">
        <v>1067</v>
      </c>
      <c r="C553" s="31">
        <f>LN(Inventory[[#This Row],[Acres]])</f>
        <v>-1.8325814637483102</v>
      </c>
      <c r="D553" s="30">
        <v>0.16</v>
      </c>
      <c r="E553" s="30">
        <v>7077</v>
      </c>
      <c r="F553" s="31" t="s">
        <v>505</v>
      </c>
      <c r="G553" s="31" t="s">
        <v>155</v>
      </c>
      <c r="H553" s="31" t="s">
        <v>5</v>
      </c>
      <c r="I553" s="31" t="s">
        <v>506</v>
      </c>
      <c r="J553" s="31" t="s">
        <v>507</v>
      </c>
      <c r="K553" s="31" t="s">
        <v>157</v>
      </c>
      <c r="L553" s="31" t="s">
        <v>21</v>
      </c>
      <c r="M553" s="31" t="s">
        <v>22</v>
      </c>
      <c r="N553" s="31">
        <v>10</v>
      </c>
      <c r="O553" s="31">
        <f>2024-Inventory[[#This Row],[YrBlt]]</f>
        <v>17</v>
      </c>
      <c r="P553" s="31">
        <f>2024-Inventory[[#This Row],[EffYr]]</f>
        <v>17</v>
      </c>
      <c r="Q553" s="30">
        <v>2007</v>
      </c>
      <c r="R553" s="30">
        <v>2007</v>
      </c>
      <c r="S553" s="30">
        <v>1348</v>
      </c>
      <c r="T553" s="38">
        <v>1252</v>
      </c>
      <c r="U553" s="32"/>
      <c r="V553" s="32"/>
      <c r="W553" s="32"/>
      <c r="X553" s="32">
        <f>Inventory[[#This Row],[Bsmt Area]]-Inventory[[#This Row],[FnBsmt]]</f>
        <v>0</v>
      </c>
      <c r="Y553" s="32">
        <f>Inventory[[#This Row],[MainFn]]+Inventory[[#This Row],[UpprFn]]+Inventory[[#This Row],[AddFn]]+Inventory[[#This Row],[FnBsmt]]</f>
        <v>2600</v>
      </c>
      <c r="Z553" s="32">
        <v>3000</v>
      </c>
      <c r="AA553" s="31" t="s">
        <v>56</v>
      </c>
      <c r="AB553" s="32"/>
      <c r="AC553" s="30">
        <v>240</v>
      </c>
      <c r="AD553" s="38">
        <v>528</v>
      </c>
      <c r="AE553" s="32"/>
      <c r="AF553" s="32"/>
      <c r="AG553" s="32"/>
      <c r="AH553" s="32"/>
      <c r="AI553" s="30">
        <v>519237</v>
      </c>
      <c r="AJ553" s="30">
        <v>482890</v>
      </c>
      <c r="AK553" s="30">
        <v>0</v>
      </c>
      <c r="AL553" s="30">
        <v>0</v>
      </c>
      <c r="AM553" s="30">
        <v>60800</v>
      </c>
      <c r="AN553" s="30">
        <v>385400</v>
      </c>
      <c r="AO553" s="30">
        <v>446200</v>
      </c>
      <c r="AP553" s="30">
        <f>Lookups!$B$58*0.6</f>
        <v>132535.48800000001</v>
      </c>
      <c r="AQ553" s="30">
        <f>Lookups!$B$58*0.4</f>
        <v>88356.992000000013</v>
      </c>
      <c r="AR553" s="30">
        <f>Lookups!$B$59*Inventory[[#This Row],[LnAcres]]</f>
        <v>-24051.387388882686</v>
      </c>
      <c r="AS553" s="30">
        <f>VLOOKUP(Inventory[[#This Row],[Qlty]],Lookups!$A$66:$E$79,2,FALSE)</f>
        <v>32917.849192000001</v>
      </c>
      <c r="AT553" s="30">
        <f>VLOOKUP(Inventory[[#This Row],[Cnd]],Lookups!$A$80:$E$88,2,FALSE)</f>
        <v>50438.379078999998</v>
      </c>
      <c r="AU553" s="30">
        <f>Inventory[[#This Row],[EffAge]]*Lookups!$B$65</f>
        <v>-1848.5987</v>
      </c>
      <c r="AV553" s="30">
        <f>Inventory[[#This Row],[MainFn]]*Lookups!$B$90</f>
        <v>84129.192240000004</v>
      </c>
      <c r="AW553" s="30">
        <f>Inventory[[#This Row],[UpprFn]]*Lookups!$B$91</f>
        <v>74594.639515999996</v>
      </c>
      <c r="AX553" s="30">
        <f>Inventory[[#This Row],[Bsmt Area]]*Lookups!$B$95</f>
        <v>0</v>
      </c>
      <c r="AY553" s="30">
        <f>Inventory[[#This Row],[AttGar]]*Lookups!$B$93</f>
        <v>8472.247440000001</v>
      </c>
      <c r="AZ553" s="30">
        <f>ROUND(Inventory[[#This Row],[25Det]],-2)</f>
        <v>0</v>
      </c>
      <c r="BA553" s="30">
        <f>ROUND(SUM(Inventory[[#This Row],[Mdl Qlty]:[Mdl Garage Area]])+Inventory[[#This Row],[Mdl Res Intercept]],-2)</f>
        <v>381200</v>
      </c>
      <c r="BB553" s="30">
        <f>ROUND(Inventory[[#This Row],[Mdl Land Intercept]]+Inventory[[#This Row],[Mdl LnAcres]],-2)</f>
        <v>64300</v>
      </c>
      <c r="BC553" s="30">
        <f>Inventory[[#This Row],[Unadj Res Value]]+Inventory[[#This Row],[Unadj Det Value]]+Inventory[[#This Row],[Unadj Land Value]]</f>
        <v>445500</v>
      </c>
      <c r="BD553" s="30">
        <f>(Inventory[[#This Row],[Unadj Total Value]]-Inventory[[#This Row],[24Final]])/Inventory[[#This Row],[24Final]]</f>
        <v>-1.5688032272523531E-3</v>
      </c>
      <c r="BE553" s="30">
        <f>VLOOKUP(Inventory[[#This Row],[Nbhd]],Lookups!$M$3:$P$5,4,FALSE)</f>
        <v>0.99970000000000003</v>
      </c>
      <c r="BF553" s="30">
        <f>VLOOKUP(Inventory[[#This Row],[Qlty]],Lookups!$M$8:$P$22,4,FALSE)</f>
        <v>1.0019</v>
      </c>
      <c r="BG553" s="30">
        <f>VLOOKUP(Inventory[[#This Row],[Cnd]],Lookups!$R$8:$U$17,4,FALSE)</f>
        <v>1.0007999999999999</v>
      </c>
      <c r="BH553" s="30">
        <f>VLOOKUP(Inventory[[#This Row],[LivArea Range]],Lookups!$R$25:$U$43,4,FALSE)</f>
        <v>1.0099</v>
      </c>
      <c r="BI553" s="30">
        <f>VLOOKUP(Inventory[[#This Row],[Decade]],Lookups!$M$24:$P$40,4,FALSE)</f>
        <v>1.0024</v>
      </c>
      <c r="BJ553" s="30">
        <f>Inventory[[#This Row],[Nbhd Adj]]*0.95</f>
        <v>0.94971499999999998</v>
      </c>
      <c r="BK553" s="30">
        <f>AVERAGE(Inventory[[#This Row],[Nbhd Adj]],Inventory[[#This Row],[Quality Adj]],Inventory[[#This Row],[Condition Adj]],Inventory[[#This Row],[Living Area Adj]],Inventory[[#This Row],[Decade Adj]])*0.95</f>
        <v>0.95279299999999989</v>
      </c>
      <c r="BL553" s="30">
        <f>ROUND((SUM(Inventory[[#This Row],[Mdl Qlty]:[Mdl Garage Area]])+Inventory[[#This Row],[Mdl Res Intercept]])*Inventory[[#This Row],[Res Adj ]],-2)</f>
        <v>363200</v>
      </c>
      <c r="BM553" s="30">
        <f>ROUND(Inventory[[#This Row],[25Det]]*Inventory[[#This Row],[Det/Nbhd Adj]],-2)</f>
        <v>0</v>
      </c>
      <c r="BN553" s="30">
        <f>Inventory[[#This Row],[Adjusted Res]]+Inventory[[#This Row],[Adj Det ]]</f>
        <v>363200</v>
      </c>
      <c r="BO553" s="30">
        <f>ROUND((Inventory[[#This Row],[Mdl Land Intercept]]+Inventory[[#This Row],[Mdl LnAcres]])*Inventory[[#This Row],[Det/Nbhd Adj]],-2)</f>
        <v>61100</v>
      </c>
      <c r="BP553" s="30">
        <f>Inventory[[#This Row],[Adjusted Impr Total]]+Inventory[[#This Row],[Adjusted Land Total]]</f>
        <v>424300</v>
      </c>
      <c r="BQ553" s="30">
        <f>IFERROR((Inventory[[#This Row],[Adjusted Impr Total]]-Inventory[[#This Row],[24Bldg]])/Inventory[[#This Row],[24Bldg]],0)</f>
        <v>-5.7602490918526206E-2</v>
      </c>
      <c r="BR553" s="43">
        <f>(Inventory[[#This Row],[Adjusted Land Total]]-Inventory[[#This Row],[24Lnd]])/Inventory[[#This Row],[24Lnd]]</f>
        <v>4.9342105263157892E-3</v>
      </c>
      <c r="BS553" s="43">
        <f>(Inventory[[#This Row],[Adjusted Total]]-Inventory[[#This Row],[24Final]])/Inventory[[#This Row],[24Final]]</f>
        <v>-4.9081129538323623E-2</v>
      </c>
    </row>
    <row r="554" spans="1:71">
      <c r="A554" s="30">
        <v>2025</v>
      </c>
      <c r="B554" s="31" t="s">
        <v>1068</v>
      </c>
      <c r="C554" s="31">
        <f>LN(Inventory[[#This Row],[Acres]])</f>
        <v>-1.8325814637483102</v>
      </c>
      <c r="D554" s="30">
        <v>0.16</v>
      </c>
      <c r="E554" s="30">
        <v>6989</v>
      </c>
      <c r="F554" s="31" t="s">
        <v>505</v>
      </c>
      <c r="G554" s="31" t="s">
        <v>155</v>
      </c>
      <c r="H554" s="31" t="s">
        <v>5</v>
      </c>
      <c r="I554" s="31" t="s">
        <v>506</v>
      </c>
      <c r="J554" s="31" t="s">
        <v>507</v>
      </c>
      <c r="K554" s="31" t="s">
        <v>157</v>
      </c>
      <c r="L554" s="31" t="s">
        <v>21</v>
      </c>
      <c r="M554" s="31" t="s">
        <v>22</v>
      </c>
      <c r="N554" s="31">
        <v>10</v>
      </c>
      <c r="O554" s="31">
        <f>2024-Inventory[[#This Row],[YrBlt]]</f>
        <v>17</v>
      </c>
      <c r="P554" s="31">
        <f>2024-Inventory[[#This Row],[EffYr]]</f>
        <v>17</v>
      </c>
      <c r="Q554" s="30">
        <v>2007</v>
      </c>
      <c r="R554" s="30">
        <v>2007</v>
      </c>
      <c r="S554" s="30">
        <v>932</v>
      </c>
      <c r="T554" s="30">
        <v>1102</v>
      </c>
      <c r="U554" s="32"/>
      <c r="V554" s="32"/>
      <c r="W554" s="32"/>
      <c r="X554" s="32">
        <f>Inventory[[#This Row],[Bsmt Area]]-Inventory[[#This Row],[FnBsmt]]</f>
        <v>0</v>
      </c>
      <c r="Y554" s="32">
        <f>Inventory[[#This Row],[MainFn]]+Inventory[[#This Row],[UpprFn]]+Inventory[[#This Row],[AddFn]]+Inventory[[#This Row],[FnBsmt]]</f>
        <v>2034</v>
      </c>
      <c r="Z554" s="32">
        <v>2500</v>
      </c>
      <c r="AA554" s="31" t="s">
        <v>56</v>
      </c>
      <c r="AB554" s="38">
        <v>1</v>
      </c>
      <c r="AC554" s="37"/>
      <c r="AD554" s="38">
        <v>420</v>
      </c>
      <c r="AE554" s="32"/>
      <c r="AF554" s="32"/>
      <c r="AG554" s="32"/>
      <c r="AH554" s="32"/>
      <c r="AI554" s="30">
        <v>401183</v>
      </c>
      <c r="AJ554" s="30">
        <v>373100</v>
      </c>
      <c r="AK554" s="30">
        <v>0</v>
      </c>
      <c r="AL554" s="30">
        <v>0</v>
      </c>
      <c r="AM554" s="30">
        <v>60800</v>
      </c>
      <c r="AN554" s="30">
        <v>339700</v>
      </c>
      <c r="AO554" s="30">
        <v>400500</v>
      </c>
      <c r="AP554" s="30">
        <f>Lookups!$B$58*0.6</f>
        <v>132535.48800000001</v>
      </c>
      <c r="AQ554" s="30">
        <f>Lookups!$B$58*0.4</f>
        <v>88356.992000000013</v>
      </c>
      <c r="AR554" s="30">
        <f>Lookups!$B$59*Inventory[[#This Row],[LnAcres]]</f>
        <v>-24051.387388882686</v>
      </c>
      <c r="AS554" s="30">
        <f>VLOOKUP(Inventory[[#This Row],[Qlty]],Lookups!$A$66:$E$79,2,FALSE)</f>
        <v>32917.849192000001</v>
      </c>
      <c r="AT554" s="30">
        <f>VLOOKUP(Inventory[[#This Row],[Cnd]],Lookups!$A$80:$E$88,2,FALSE)</f>
        <v>50438.379078999998</v>
      </c>
      <c r="AU554" s="30">
        <f>Inventory[[#This Row],[EffAge]]*Lookups!$B$65</f>
        <v>-1848.5987</v>
      </c>
      <c r="AV554" s="30">
        <f>Inventory[[#This Row],[MainFn]]*Lookups!$B$90</f>
        <v>58166.474160000005</v>
      </c>
      <c r="AW554" s="30">
        <f>Inventory[[#This Row],[UpprFn]]*Lookups!$B$91</f>
        <v>65657.582066000003</v>
      </c>
      <c r="AX554" s="30">
        <f>Inventory[[#This Row],[Bsmt Area]]*Lookups!$B$95</f>
        <v>0</v>
      </c>
      <c r="AY554" s="30">
        <f>Inventory[[#This Row],[AttGar]]*Lookups!$B$93</f>
        <v>0</v>
      </c>
      <c r="AZ554" s="30">
        <f>ROUND(Inventory[[#This Row],[25Det]],-2)</f>
        <v>0</v>
      </c>
      <c r="BA554" s="30">
        <f>ROUND(SUM(Inventory[[#This Row],[Mdl Qlty]:[Mdl Garage Area]])+Inventory[[#This Row],[Mdl Res Intercept]],-2)</f>
        <v>337900</v>
      </c>
      <c r="BB554" s="30">
        <f>ROUND(Inventory[[#This Row],[Mdl Land Intercept]]+Inventory[[#This Row],[Mdl LnAcres]],-2)</f>
        <v>64300</v>
      </c>
      <c r="BC554" s="30">
        <f>Inventory[[#This Row],[Unadj Res Value]]+Inventory[[#This Row],[Unadj Det Value]]+Inventory[[#This Row],[Unadj Land Value]]</f>
        <v>402200</v>
      </c>
      <c r="BD554" s="30">
        <f>(Inventory[[#This Row],[Unadj Total Value]]-Inventory[[#This Row],[24Final]])/Inventory[[#This Row],[24Final]]</f>
        <v>4.2446941323345819E-3</v>
      </c>
      <c r="BE554" s="30">
        <f>VLOOKUP(Inventory[[#This Row],[Nbhd]],Lookups!$M$3:$P$5,4,FALSE)</f>
        <v>0.99970000000000003</v>
      </c>
      <c r="BF554" s="30">
        <f>VLOOKUP(Inventory[[#This Row],[Qlty]],Lookups!$M$8:$P$22,4,FALSE)</f>
        <v>1.0019</v>
      </c>
      <c r="BG554" s="30">
        <f>VLOOKUP(Inventory[[#This Row],[Cnd]],Lookups!$R$8:$U$17,4,FALSE)</f>
        <v>1.0007999999999999</v>
      </c>
      <c r="BH554" s="30">
        <f>VLOOKUP(Inventory[[#This Row],[LivArea Range]],Lookups!$R$25:$U$43,4,FALSE)</f>
        <v>1.0008999999999999</v>
      </c>
      <c r="BI554" s="30">
        <f>VLOOKUP(Inventory[[#This Row],[Decade]],Lookups!$M$24:$P$40,4,FALSE)</f>
        <v>1.0024</v>
      </c>
      <c r="BJ554" s="30">
        <f>Inventory[[#This Row],[Nbhd Adj]]*0.95</f>
        <v>0.94971499999999998</v>
      </c>
      <c r="BK554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554" s="30">
        <f>ROUND((SUM(Inventory[[#This Row],[Mdl Qlty]:[Mdl Garage Area]])+Inventory[[#This Row],[Mdl Res Intercept]])*Inventory[[#This Row],[Res Adj ]],-2)</f>
        <v>321300</v>
      </c>
      <c r="BM554" s="30">
        <f>ROUND(Inventory[[#This Row],[25Det]]*Inventory[[#This Row],[Det/Nbhd Adj]],-2)</f>
        <v>0</v>
      </c>
      <c r="BN554" s="30">
        <f>Inventory[[#This Row],[Adjusted Res]]+Inventory[[#This Row],[Adj Det ]]</f>
        <v>321300</v>
      </c>
      <c r="BO554" s="30">
        <f>ROUND((Inventory[[#This Row],[Mdl Land Intercept]]+Inventory[[#This Row],[Mdl LnAcres]])*Inventory[[#This Row],[Det/Nbhd Adj]],-2)</f>
        <v>61100</v>
      </c>
      <c r="BP554" s="30">
        <f>Inventory[[#This Row],[Adjusted Impr Total]]+Inventory[[#This Row],[Adjusted Land Total]]</f>
        <v>382400</v>
      </c>
      <c r="BQ554" s="30">
        <f>IFERROR((Inventory[[#This Row],[Adjusted Impr Total]]-Inventory[[#This Row],[24Bldg]])/Inventory[[#This Row],[24Bldg]],0)</f>
        <v>-5.4165440094200767E-2</v>
      </c>
      <c r="BR554" s="43">
        <f>(Inventory[[#This Row],[Adjusted Land Total]]-Inventory[[#This Row],[24Lnd]])/Inventory[[#This Row],[24Lnd]]</f>
        <v>4.9342105263157892E-3</v>
      </c>
      <c r="BS554" s="43">
        <f>(Inventory[[#This Row],[Adjusted Total]]-Inventory[[#This Row],[24Final]])/Inventory[[#This Row],[24Final]]</f>
        <v>-4.519350811485643E-2</v>
      </c>
    </row>
    <row r="555" spans="1:71">
      <c r="A555" s="30">
        <v>2025</v>
      </c>
      <c r="B555" s="31" t="s">
        <v>1069</v>
      </c>
      <c r="C555" s="31">
        <f>LN(Inventory[[#This Row],[Acres]])</f>
        <v>-1.8325814637483102</v>
      </c>
      <c r="D555" s="30">
        <v>0.16</v>
      </c>
      <c r="E555" s="30">
        <v>7078</v>
      </c>
      <c r="F555" s="31" t="s">
        <v>505</v>
      </c>
      <c r="G555" s="31" t="s">
        <v>155</v>
      </c>
      <c r="H555" s="31" t="s">
        <v>5</v>
      </c>
      <c r="I555" s="31" t="s">
        <v>506</v>
      </c>
      <c r="J555" s="31" t="s">
        <v>507</v>
      </c>
      <c r="K555" s="31" t="s">
        <v>157</v>
      </c>
      <c r="L555" s="31" t="s">
        <v>21</v>
      </c>
      <c r="M555" s="31" t="s">
        <v>22</v>
      </c>
      <c r="N555" s="31">
        <v>10</v>
      </c>
      <c r="O555" s="31">
        <f>2024-Inventory[[#This Row],[YrBlt]]</f>
        <v>17</v>
      </c>
      <c r="P555" s="31">
        <f>2024-Inventory[[#This Row],[EffYr]]</f>
        <v>17</v>
      </c>
      <c r="Q555" s="30">
        <v>2007</v>
      </c>
      <c r="R555" s="30">
        <v>2007</v>
      </c>
      <c r="S555" s="30">
        <v>1353</v>
      </c>
      <c r="T555" s="38">
        <v>1274</v>
      </c>
      <c r="U555" s="32"/>
      <c r="V555" s="32"/>
      <c r="W555" s="32"/>
      <c r="X555" s="32">
        <f>Inventory[[#This Row],[Bsmt Area]]-Inventory[[#This Row],[FnBsmt]]</f>
        <v>0</v>
      </c>
      <c r="Y555" s="32">
        <f>Inventory[[#This Row],[MainFn]]+Inventory[[#This Row],[UpprFn]]+Inventory[[#This Row],[AddFn]]+Inventory[[#This Row],[FnBsmt]]</f>
        <v>2627</v>
      </c>
      <c r="Z555" s="32">
        <v>3000</v>
      </c>
      <c r="AA555" s="31" t="s">
        <v>56</v>
      </c>
      <c r="AB555" s="32"/>
      <c r="AC555" s="30">
        <v>240</v>
      </c>
      <c r="AD555" s="38">
        <v>524</v>
      </c>
      <c r="AE555" s="32"/>
      <c r="AF555" s="32"/>
      <c r="AG555" s="32"/>
      <c r="AH555" s="32"/>
      <c r="AI555" s="30">
        <v>539282</v>
      </c>
      <c r="AJ555" s="30">
        <v>501532</v>
      </c>
      <c r="AK555" s="30">
        <v>0</v>
      </c>
      <c r="AL555" s="30">
        <v>0</v>
      </c>
      <c r="AM555" s="30">
        <v>60800</v>
      </c>
      <c r="AN555" s="30">
        <v>386600</v>
      </c>
      <c r="AO555" s="30">
        <v>447400</v>
      </c>
      <c r="AP555" s="30">
        <f>Lookups!$B$58*0.6</f>
        <v>132535.48800000001</v>
      </c>
      <c r="AQ555" s="30">
        <f>Lookups!$B$58*0.4</f>
        <v>88356.992000000013</v>
      </c>
      <c r="AR555" s="30">
        <f>Lookups!$B$59*Inventory[[#This Row],[LnAcres]]</f>
        <v>-24051.387388882686</v>
      </c>
      <c r="AS555" s="30">
        <f>VLOOKUP(Inventory[[#This Row],[Qlty]],Lookups!$A$66:$E$79,2,FALSE)</f>
        <v>32917.849192000001</v>
      </c>
      <c r="AT555" s="30">
        <f>VLOOKUP(Inventory[[#This Row],[Cnd]],Lookups!$A$80:$E$88,2,FALSE)</f>
        <v>50438.379078999998</v>
      </c>
      <c r="AU555" s="30">
        <f>Inventory[[#This Row],[EffAge]]*Lookups!$B$65</f>
        <v>-1848.5987</v>
      </c>
      <c r="AV555" s="30">
        <f>Inventory[[#This Row],[MainFn]]*Lookups!$B$90</f>
        <v>84441.24414000001</v>
      </c>
      <c r="AW555" s="30">
        <f>Inventory[[#This Row],[UpprFn]]*Lookups!$B$91</f>
        <v>75905.407941999991</v>
      </c>
      <c r="AX555" s="30">
        <f>Inventory[[#This Row],[Bsmt Area]]*Lookups!$B$95</f>
        <v>0</v>
      </c>
      <c r="AY555" s="30">
        <f>Inventory[[#This Row],[AttGar]]*Lookups!$B$93</f>
        <v>8472.247440000001</v>
      </c>
      <c r="AZ555" s="30">
        <f>ROUND(Inventory[[#This Row],[25Det]],-2)</f>
        <v>0</v>
      </c>
      <c r="BA555" s="30">
        <f>ROUND(SUM(Inventory[[#This Row],[Mdl Qlty]:[Mdl Garage Area]])+Inventory[[#This Row],[Mdl Res Intercept]],-2)</f>
        <v>382900</v>
      </c>
      <c r="BB555" s="30">
        <f>ROUND(Inventory[[#This Row],[Mdl Land Intercept]]+Inventory[[#This Row],[Mdl LnAcres]],-2)</f>
        <v>64300</v>
      </c>
      <c r="BC555" s="30">
        <f>Inventory[[#This Row],[Unadj Res Value]]+Inventory[[#This Row],[Unadj Det Value]]+Inventory[[#This Row],[Unadj Land Value]]</f>
        <v>447200</v>
      </c>
      <c r="BD555" s="30">
        <f>(Inventory[[#This Row],[Unadj Total Value]]-Inventory[[#This Row],[24Final]])/Inventory[[#This Row],[24Final]]</f>
        <v>-4.4702726866338848E-4</v>
      </c>
      <c r="BE555" s="30">
        <f>VLOOKUP(Inventory[[#This Row],[Nbhd]],Lookups!$M$3:$P$5,4,FALSE)</f>
        <v>0.99970000000000003</v>
      </c>
      <c r="BF555" s="30">
        <f>VLOOKUP(Inventory[[#This Row],[Qlty]],Lookups!$M$8:$P$22,4,FALSE)</f>
        <v>1.0019</v>
      </c>
      <c r="BG555" s="30">
        <f>VLOOKUP(Inventory[[#This Row],[Cnd]],Lookups!$R$8:$U$17,4,FALSE)</f>
        <v>1.0007999999999999</v>
      </c>
      <c r="BH555" s="30">
        <f>VLOOKUP(Inventory[[#This Row],[LivArea Range]],Lookups!$R$25:$U$43,4,FALSE)</f>
        <v>1.0099</v>
      </c>
      <c r="BI555" s="30">
        <f>VLOOKUP(Inventory[[#This Row],[Decade]],Lookups!$M$24:$P$40,4,FALSE)</f>
        <v>1.0024</v>
      </c>
      <c r="BJ555" s="30">
        <f>Inventory[[#This Row],[Nbhd Adj]]*0.95</f>
        <v>0.94971499999999998</v>
      </c>
      <c r="BK555" s="30">
        <f>AVERAGE(Inventory[[#This Row],[Nbhd Adj]],Inventory[[#This Row],[Quality Adj]],Inventory[[#This Row],[Condition Adj]],Inventory[[#This Row],[Living Area Adj]],Inventory[[#This Row],[Decade Adj]])*0.95</f>
        <v>0.95279299999999989</v>
      </c>
      <c r="BL555" s="30">
        <f>ROUND((SUM(Inventory[[#This Row],[Mdl Qlty]:[Mdl Garage Area]])+Inventory[[#This Row],[Mdl Res Intercept]])*Inventory[[#This Row],[Res Adj ]],-2)</f>
        <v>364800</v>
      </c>
      <c r="BM555" s="30">
        <f>ROUND(Inventory[[#This Row],[25Det]]*Inventory[[#This Row],[Det/Nbhd Adj]],-2)</f>
        <v>0</v>
      </c>
      <c r="BN555" s="30">
        <f>Inventory[[#This Row],[Adjusted Res]]+Inventory[[#This Row],[Adj Det ]]</f>
        <v>364800</v>
      </c>
      <c r="BO555" s="30">
        <f>ROUND((Inventory[[#This Row],[Mdl Land Intercept]]+Inventory[[#This Row],[Mdl LnAcres]])*Inventory[[#This Row],[Det/Nbhd Adj]],-2)</f>
        <v>61100</v>
      </c>
      <c r="BP555" s="30">
        <f>Inventory[[#This Row],[Adjusted Impr Total]]+Inventory[[#This Row],[Adjusted Land Total]]</f>
        <v>425900</v>
      </c>
      <c r="BQ555" s="30">
        <f>IFERROR((Inventory[[#This Row],[Adjusted Impr Total]]-Inventory[[#This Row],[24Bldg]])/Inventory[[#This Row],[24Bldg]],0)</f>
        <v>-5.6389032591826177E-2</v>
      </c>
      <c r="BR555" s="43">
        <f>(Inventory[[#This Row],[Adjusted Land Total]]-Inventory[[#This Row],[24Lnd]])/Inventory[[#This Row],[24Lnd]]</f>
        <v>4.9342105263157892E-3</v>
      </c>
      <c r="BS555" s="43">
        <f>(Inventory[[#This Row],[Adjusted Total]]-Inventory[[#This Row],[24Final]])/Inventory[[#This Row],[24Final]]</f>
        <v>-4.8055431381314261E-2</v>
      </c>
    </row>
    <row r="556" spans="1:71">
      <c r="A556" s="30">
        <v>2025</v>
      </c>
      <c r="B556" s="31" t="s">
        <v>1070</v>
      </c>
      <c r="C556" s="31">
        <f>LN(Inventory[[#This Row],[Acres]])</f>
        <v>-1.8325814637483102</v>
      </c>
      <c r="D556" s="30">
        <v>0.16</v>
      </c>
      <c r="E556" s="30">
        <v>6943</v>
      </c>
      <c r="F556" s="31" t="s">
        <v>505</v>
      </c>
      <c r="G556" s="31" t="s">
        <v>155</v>
      </c>
      <c r="H556" s="31" t="s">
        <v>5</v>
      </c>
      <c r="I556" s="31" t="s">
        <v>506</v>
      </c>
      <c r="J556" s="31" t="s">
        <v>507</v>
      </c>
      <c r="K556" s="31" t="s">
        <v>157</v>
      </c>
      <c r="L556" s="31" t="s">
        <v>21</v>
      </c>
      <c r="M556" s="31" t="s">
        <v>22</v>
      </c>
      <c r="N556" s="31">
        <v>10</v>
      </c>
      <c r="O556" s="31">
        <f>2024-Inventory[[#This Row],[YrBlt]]</f>
        <v>17</v>
      </c>
      <c r="P556" s="31">
        <f>2024-Inventory[[#This Row],[EffYr]]</f>
        <v>17</v>
      </c>
      <c r="Q556" s="30">
        <v>2007</v>
      </c>
      <c r="R556" s="30">
        <v>2007</v>
      </c>
      <c r="S556" s="30">
        <v>1374</v>
      </c>
      <c r="T556" s="30">
        <v>1328</v>
      </c>
      <c r="U556" s="32"/>
      <c r="V556" s="32"/>
      <c r="W556" s="32"/>
      <c r="X556" s="32">
        <f>Inventory[[#This Row],[Bsmt Area]]-Inventory[[#This Row],[FnBsmt]]</f>
        <v>0</v>
      </c>
      <c r="Y556" s="32">
        <f>Inventory[[#This Row],[MainFn]]+Inventory[[#This Row],[UpprFn]]+Inventory[[#This Row],[AddFn]]+Inventory[[#This Row],[FnBsmt]]</f>
        <v>2702</v>
      </c>
      <c r="Z556" s="32">
        <v>3000</v>
      </c>
      <c r="AA556" s="31" t="s">
        <v>56</v>
      </c>
      <c r="AB556" s="37"/>
      <c r="AC556" s="30">
        <v>240</v>
      </c>
      <c r="AD556" s="38">
        <v>502</v>
      </c>
      <c r="AE556" s="32"/>
      <c r="AF556" s="32"/>
      <c r="AG556" s="32"/>
      <c r="AH556" s="32"/>
      <c r="AI556" s="30">
        <v>531672</v>
      </c>
      <c r="AJ556" s="30">
        <v>494455</v>
      </c>
      <c r="AK556" s="30">
        <v>0</v>
      </c>
      <c r="AL556" s="30">
        <v>0</v>
      </c>
      <c r="AM556" s="30">
        <v>60800</v>
      </c>
      <c r="AN556" s="30">
        <v>389800</v>
      </c>
      <c r="AO556" s="30">
        <v>450600</v>
      </c>
      <c r="AP556" s="30">
        <f>Lookups!$B$58*0.6</f>
        <v>132535.48800000001</v>
      </c>
      <c r="AQ556" s="30">
        <f>Lookups!$B$58*0.4</f>
        <v>88356.992000000013</v>
      </c>
      <c r="AR556" s="30">
        <f>Lookups!$B$59*Inventory[[#This Row],[LnAcres]]</f>
        <v>-24051.387388882686</v>
      </c>
      <c r="AS556" s="30">
        <f>VLOOKUP(Inventory[[#This Row],[Qlty]],Lookups!$A$66:$E$79,2,FALSE)</f>
        <v>32917.849192000001</v>
      </c>
      <c r="AT556" s="30">
        <f>VLOOKUP(Inventory[[#This Row],[Cnd]],Lookups!$A$80:$E$88,2,FALSE)</f>
        <v>50438.379078999998</v>
      </c>
      <c r="AU556" s="30">
        <f>Inventory[[#This Row],[EffAge]]*Lookups!$B$65</f>
        <v>-1848.5987</v>
      </c>
      <c r="AV556" s="30">
        <f>Inventory[[#This Row],[MainFn]]*Lookups!$B$90</f>
        <v>85751.862120000005</v>
      </c>
      <c r="AW556" s="30">
        <f>Inventory[[#This Row],[UpprFn]]*Lookups!$B$91</f>
        <v>79122.748624</v>
      </c>
      <c r="AX556" s="30">
        <f>Inventory[[#This Row],[Bsmt Area]]*Lookups!$B$95</f>
        <v>0</v>
      </c>
      <c r="AY556" s="30">
        <f>Inventory[[#This Row],[AttGar]]*Lookups!$B$93</f>
        <v>8472.247440000001</v>
      </c>
      <c r="AZ556" s="30">
        <f>ROUND(Inventory[[#This Row],[25Det]],-2)</f>
        <v>0</v>
      </c>
      <c r="BA556" s="30">
        <f>ROUND(SUM(Inventory[[#This Row],[Mdl Qlty]:[Mdl Garage Area]])+Inventory[[#This Row],[Mdl Res Intercept]],-2)</f>
        <v>387400</v>
      </c>
      <c r="BB556" s="30">
        <f>ROUND(Inventory[[#This Row],[Mdl Land Intercept]]+Inventory[[#This Row],[Mdl LnAcres]],-2)</f>
        <v>64300</v>
      </c>
      <c r="BC556" s="30">
        <f>Inventory[[#This Row],[Unadj Res Value]]+Inventory[[#This Row],[Unadj Det Value]]+Inventory[[#This Row],[Unadj Land Value]]</f>
        <v>451700</v>
      </c>
      <c r="BD556" s="30">
        <f>(Inventory[[#This Row],[Unadj Total Value]]-Inventory[[#This Row],[24Final]])/Inventory[[#This Row],[24Final]]</f>
        <v>2.4411895250776743E-3</v>
      </c>
      <c r="BE556" s="30">
        <f>VLOOKUP(Inventory[[#This Row],[Nbhd]],Lookups!$M$3:$P$5,4,FALSE)</f>
        <v>0.99970000000000003</v>
      </c>
      <c r="BF556" s="30">
        <f>VLOOKUP(Inventory[[#This Row],[Qlty]],Lookups!$M$8:$P$22,4,FALSE)</f>
        <v>1.0019</v>
      </c>
      <c r="BG556" s="30">
        <f>VLOOKUP(Inventory[[#This Row],[Cnd]],Lookups!$R$8:$U$17,4,FALSE)</f>
        <v>1.0007999999999999</v>
      </c>
      <c r="BH556" s="30">
        <f>VLOOKUP(Inventory[[#This Row],[LivArea Range]],Lookups!$R$25:$U$43,4,FALSE)</f>
        <v>1.0099</v>
      </c>
      <c r="BI556" s="30">
        <f>VLOOKUP(Inventory[[#This Row],[Decade]],Lookups!$M$24:$P$40,4,FALSE)</f>
        <v>1.0024</v>
      </c>
      <c r="BJ556" s="30">
        <f>Inventory[[#This Row],[Nbhd Adj]]*0.95</f>
        <v>0.94971499999999998</v>
      </c>
      <c r="BK556" s="30">
        <f>AVERAGE(Inventory[[#This Row],[Nbhd Adj]],Inventory[[#This Row],[Quality Adj]],Inventory[[#This Row],[Condition Adj]],Inventory[[#This Row],[Living Area Adj]],Inventory[[#This Row],[Decade Adj]])*0.95</f>
        <v>0.95279299999999989</v>
      </c>
      <c r="BL556" s="30">
        <f>ROUND((SUM(Inventory[[#This Row],[Mdl Qlty]:[Mdl Garage Area]])+Inventory[[#This Row],[Mdl Res Intercept]])*Inventory[[#This Row],[Res Adj ]],-2)</f>
        <v>369100</v>
      </c>
      <c r="BM556" s="30">
        <f>ROUND(Inventory[[#This Row],[25Det]]*Inventory[[#This Row],[Det/Nbhd Adj]],-2)</f>
        <v>0</v>
      </c>
      <c r="BN556" s="30">
        <f>Inventory[[#This Row],[Adjusted Res]]+Inventory[[#This Row],[Adj Det ]]</f>
        <v>369100</v>
      </c>
      <c r="BO556" s="30">
        <f>ROUND((Inventory[[#This Row],[Mdl Land Intercept]]+Inventory[[#This Row],[Mdl LnAcres]])*Inventory[[#This Row],[Det/Nbhd Adj]],-2)</f>
        <v>61100</v>
      </c>
      <c r="BP556" s="30">
        <f>Inventory[[#This Row],[Adjusted Impr Total]]+Inventory[[#This Row],[Adjusted Land Total]]</f>
        <v>430200</v>
      </c>
      <c r="BQ556" s="30">
        <f>IFERROR((Inventory[[#This Row],[Adjusted Impr Total]]-Inventory[[#This Row],[24Bldg]])/Inventory[[#This Row],[24Bldg]],0)</f>
        <v>-5.3104155977424322E-2</v>
      </c>
      <c r="BR556" s="43">
        <f>(Inventory[[#This Row],[Adjusted Land Total]]-Inventory[[#This Row],[24Lnd]])/Inventory[[#This Row],[24Lnd]]</f>
        <v>4.9342105263157892E-3</v>
      </c>
      <c r="BS556" s="43">
        <f>(Inventory[[#This Row],[Adjusted Total]]-Inventory[[#This Row],[24Final]])/Inventory[[#This Row],[24Final]]</f>
        <v>-4.5272969374167776E-2</v>
      </c>
    </row>
    <row r="557" spans="1:71">
      <c r="A557" s="30">
        <v>2025</v>
      </c>
      <c r="B557" s="31" t="s">
        <v>1071</v>
      </c>
      <c r="C557" s="31">
        <f>LN(Inventory[[#This Row],[Acres]])</f>
        <v>-1.8325814637483102</v>
      </c>
      <c r="D557" s="30">
        <v>0.16</v>
      </c>
      <c r="E557" s="30">
        <v>7077</v>
      </c>
      <c r="F557" s="31" t="s">
        <v>505</v>
      </c>
      <c r="G557" s="31" t="s">
        <v>155</v>
      </c>
      <c r="H557" s="31" t="s">
        <v>5</v>
      </c>
      <c r="I557" s="31" t="s">
        <v>506</v>
      </c>
      <c r="J557" s="31" t="s">
        <v>507</v>
      </c>
      <c r="K557" s="31" t="s">
        <v>193</v>
      </c>
      <c r="L557" s="31" t="s">
        <v>19</v>
      </c>
      <c r="M557" s="31" t="s">
        <v>20</v>
      </c>
      <c r="N557" s="31">
        <v>10</v>
      </c>
      <c r="O557" s="31">
        <f>2024-Inventory[[#This Row],[YrBlt]]</f>
        <v>17</v>
      </c>
      <c r="P557" s="31">
        <f>2024-Inventory[[#This Row],[EffYr]]</f>
        <v>17</v>
      </c>
      <c r="Q557" s="30">
        <v>2007</v>
      </c>
      <c r="R557" s="30">
        <v>2007</v>
      </c>
      <c r="S557" s="30">
        <v>1092</v>
      </c>
      <c r="T557" s="32"/>
      <c r="U557" s="32"/>
      <c r="V557" s="32"/>
      <c r="W557" s="32"/>
      <c r="X557" s="32">
        <f>Inventory[[#This Row],[Bsmt Area]]-Inventory[[#This Row],[FnBsmt]]</f>
        <v>0</v>
      </c>
      <c r="Y557" s="32">
        <f>Inventory[[#This Row],[MainFn]]+Inventory[[#This Row],[UpprFn]]+Inventory[[#This Row],[AddFn]]+Inventory[[#This Row],[FnBsmt]]</f>
        <v>1092</v>
      </c>
      <c r="Z557" s="32">
        <v>1500</v>
      </c>
      <c r="AA557" s="31" t="s">
        <v>56</v>
      </c>
      <c r="AB557" s="32"/>
      <c r="AC557" s="30">
        <v>440</v>
      </c>
      <c r="AD557" s="32"/>
      <c r="AE557" s="32"/>
      <c r="AF557" s="32"/>
      <c r="AG557" s="32"/>
      <c r="AH557" s="32"/>
      <c r="AI557" s="30">
        <v>232141</v>
      </c>
      <c r="AJ557" s="30">
        <v>213570</v>
      </c>
      <c r="AK557" s="30">
        <v>0</v>
      </c>
      <c r="AL557" s="30">
        <v>0</v>
      </c>
      <c r="AM557" s="30">
        <v>60800</v>
      </c>
      <c r="AN557" s="30">
        <v>278500</v>
      </c>
      <c r="AO557" s="30">
        <v>339300</v>
      </c>
      <c r="AP557" s="30">
        <f>Lookups!$B$58*0.6</f>
        <v>132535.48800000001</v>
      </c>
      <c r="AQ557" s="30">
        <f>Lookups!$B$58*0.4</f>
        <v>88356.992000000013</v>
      </c>
      <c r="AR557" s="30">
        <f>Lookups!$B$59*Inventory[[#This Row],[LnAcres]]</f>
        <v>-24051.387388882686</v>
      </c>
      <c r="AS557" s="30">
        <f>VLOOKUP(Inventory[[#This Row],[Qlty]],Lookups!$A$66:$E$79,2,FALSE)</f>
        <v>37154.252388000001</v>
      </c>
      <c r="AT557" s="30">
        <f>VLOOKUP(Inventory[[#This Row],[Cnd]],Lookups!$A$80:$E$88,2,FALSE)</f>
        <v>30300.329274</v>
      </c>
      <c r="AU557" s="30">
        <f>Inventory[[#This Row],[EffAge]]*Lookups!$B$65</f>
        <v>-1848.5987</v>
      </c>
      <c r="AV557" s="30">
        <f>Inventory[[#This Row],[MainFn]]*Lookups!$B$90</f>
        <v>68152.13496000001</v>
      </c>
      <c r="AW557" s="30">
        <f>Inventory[[#This Row],[UpprFn]]*Lookups!$B$91</f>
        <v>0</v>
      </c>
      <c r="AX557" s="30">
        <f>Inventory[[#This Row],[Bsmt Area]]*Lookups!$B$95</f>
        <v>0</v>
      </c>
      <c r="AY557" s="30">
        <f>Inventory[[#This Row],[AttGar]]*Lookups!$B$93</f>
        <v>15532.453640000002</v>
      </c>
      <c r="AZ557" s="30">
        <f>ROUND(Inventory[[#This Row],[25Det]],-2)</f>
        <v>0</v>
      </c>
      <c r="BA557" s="30">
        <f>ROUND(SUM(Inventory[[#This Row],[Mdl Qlty]:[Mdl Garage Area]])+Inventory[[#This Row],[Mdl Res Intercept]],-2)</f>
        <v>281800</v>
      </c>
      <c r="BB557" s="30">
        <f>ROUND(Inventory[[#This Row],[Mdl Land Intercept]]+Inventory[[#This Row],[Mdl LnAcres]],-2)</f>
        <v>64300</v>
      </c>
      <c r="BC557" s="30">
        <f>Inventory[[#This Row],[Unadj Res Value]]+Inventory[[#This Row],[Unadj Det Value]]+Inventory[[#This Row],[Unadj Land Value]]</f>
        <v>346100</v>
      </c>
      <c r="BD557" s="30">
        <f>(Inventory[[#This Row],[Unadj Total Value]]-Inventory[[#This Row],[24Final]])/Inventory[[#This Row],[24Final]]</f>
        <v>2.0041261420571766E-2</v>
      </c>
      <c r="BE557" s="30">
        <f>VLOOKUP(Inventory[[#This Row],[Nbhd]],Lookups!$M$3:$P$5,4,FALSE)</f>
        <v>0.99970000000000003</v>
      </c>
      <c r="BF557" s="30">
        <f>VLOOKUP(Inventory[[#This Row],[Qlty]],Lookups!$M$8:$P$22,4,FALSE)</f>
        <v>0.99819999999999998</v>
      </c>
      <c r="BG557" s="30">
        <f>VLOOKUP(Inventory[[#This Row],[Cnd]],Lookups!$R$8:$U$17,4,FALSE)</f>
        <v>0.997</v>
      </c>
      <c r="BH557" s="30">
        <f>VLOOKUP(Inventory[[#This Row],[LivArea Range]],Lookups!$R$25:$U$43,4,FALSE)</f>
        <v>0.99519999999999997</v>
      </c>
      <c r="BI557" s="30">
        <f>VLOOKUP(Inventory[[#This Row],[Decade]],Lookups!$M$24:$P$40,4,FALSE)</f>
        <v>1.0024</v>
      </c>
      <c r="BJ557" s="30">
        <f>Inventory[[#This Row],[Nbhd Adj]]*0.95</f>
        <v>0.94971499999999998</v>
      </c>
      <c r="BK557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557" s="30">
        <f>ROUND((SUM(Inventory[[#This Row],[Mdl Qlty]:[Mdl Garage Area]])+Inventory[[#This Row],[Mdl Res Intercept]])*Inventory[[#This Row],[Res Adj ]],-2)</f>
        <v>267300</v>
      </c>
      <c r="BM557" s="30">
        <f>ROUND(Inventory[[#This Row],[25Det]]*Inventory[[#This Row],[Det/Nbhd Adj]],-2)</f>
        <v>0</v>
      </c>
      <c r="BN557" s="30">
        <f>Inventory[[#This Row],[Adjusted Res]]+Inventory[[#This Row],[Adj Det ]]</f>
        <v>267300</v>
      </c>
      <c r="BO557" s="30">
        <f>ROUND((Inventory[[#This Row],[Mdl Land Intercept]]+Inventory[[#This Row],[Mdl LnAcres]])*Inventory[[#This Row],[Det/Nbhd Adj]],-2)</f>
        <v>61100</v>
      </c>
      <c r="BP557" s="30">
        <f>Inventory[[#This Row],[Adjusted Impr Total]]+Inventory[[#This Row],[Adjusted Land Total]]</f>
        <v>328400</v>
      </c>
      <c r="BQ557" s="30">
        <f>IFERROR((Inventory[[#This Row],[Adjusted Impr Total]]-Inventory[[#This Row],[24Bldg]])/Inventory[[#This Row],[24Bldg]],0)</f>
        <v>-4.0215439856373429E-2</v>
      </c>
      <c r="BR557" s="43">
        <f>(Inventory[[#This Row],[Adjusted Land Total]]-Inventory[[#This Row],[24Lnd]])/Inventory[[#This Row],[24Lnd]]</f>
        <v>4.9342105263157892E-3</v>
      </c>
      <c r="BS557" s="43">
        <f>(Inventory[[#This Row],[Adjusted Total]]-Inventory[[#This Row],[24Final]])/Inventory[[#This Row],[24Final]]</f>
        <v>-3.2124963159445921E-2</v>
      </c>
    </row>
    <row r="558" spans="1:71">
      <c r="A558" s="30">
        <v>2025</v>
      </c>
      <c r="B558" s="31" t="s">
        <v>1072</v>
      </c>
      <c r="C558" s="31">
        <f>LN(Inventory[[#This Row],[Acres]])</f>
        <v>-1.8325814637483102</v>
      </c>
      <c r="D558" s="30">
        <v>0.16</v>
      </c>
      <c r="E558" s="30">
        <v>7032</v>
      </c>
      <c r="F558" s="31" t="s">
        <v>505</v>
      </c>
      <c r="G558" s="31" t="s">
        <v>155</v>
      </c>
      <c r="H558" s="31" t="s">
        <v>5</v>
      </c>
      <c r="I558" s="31" t="s">
        <v>506</v>
      </c>
      <c r="J558" s="31" t="s">
        <v>507</v>
      </c>
      <c r="K558" s="31" t="s">
        <v>193</v>
      </c>
      <c r="L558" s="31" t="s">
        <v>21</v>
      </c>
      <c r="M558" s="31" t="s">
        <v>20</v>
      </c>
      <c r="N558" s="31">
        <v>10</v>
      </c>
      <c r="O558" s="31">
        <f>2024-Inventory[[#This Row],[YrBlt]]</f>
        <v>17</v>
      </c>
      <c r="P558" s="31">
        <f>2024-Inventory[[#This Row],[EffYr]]</f>
        <v>17</v>
      </c>
      <c r="Q558" s="30">
        <v>2007</v>
      </c>
      <c r="R558" s="30">
        <v>2007</v>
      </c>
      <c r="S558" s="30">
        <v>1092</v>
      </c>
      <c r="T558" s="32"/>
      <c r="U558" s="32"/>
      <c r="V558" s="32"/>
      <c r="W558" s="32"/>
      <c r="X558" s="32">
        <f>Inventory[[#This Row],[Bsmt Area]]-Inventory[[#This Row],[FnBsmt]]</f>
        <v>0</v>
      </c>
      <c r="Y558" s="32">
        <f>Inventory[[#This Row],[MainFn]]+Inventory[[#This Row],[UpprFn]]+Inventory[[#This Row],[AddFn]]+Inventory[[#This Row],[FnBsmt]]</f>
        <v>1092</v>
      </c>
      <c r="Z558" s="32">
        <v>1500</v>
      </c>
      <c r="AA558" s="31" t="s">
        <v>56</v>
      </c>
      <c r="AB558" s="32"/>
      <c r="AC558" s="30">
        <v>440</v>
      </c>
      <c r="AD558" s="32"/>
      <c r="AE558" s="32"/>
      <c r="AF558" s="32"/>
      <c r="AG558" s="32"/>
      <c r="AH558" s="32"/>
      <c r="AI558" s="30">
        <v>262878</v>
      </c>
      <c r="AJ558" s="30">
        <v>241848</v>
      </c>
      <c r="AK558" s="30">
        <v>0</v>
      </c>
      <c r="AL558" s="30">
        <v>0</v>
      </c>
      <c r="AM558" s="30">
        <v>60800</v>
      </c>
      <c r="AN558" s="30">
        <v>274200</v>
      </c>
      <c r="AO558" s="30">
        <v>335000</v>
      </c>
      <c r="AP558" s="30">
        <f>Lookups!$B$58*0.6</f>
        <v>132535.48800000001</v>
      </c>
      <c r="AQ558" s="30">
        <f>Lookups!$B$58*0.4</f>
        <v>88356.992000000013</v>
      </c>
      <c r="AR558" s="30">
        <f>Lookups!$B$59*Inventory[[#This Row],[LnAcres]]</f>
        <v>-24051.387388882686</v>
      </c>
      <c r="AS558" s="30">
        <f>VLOOKUP(Inventory[[#This Row],[Qlty]],Lookups!$A$66:$E$79,2,FALSE)</f>
        <v>32917.849192000001</v>
      </c>
      <c r="AT558" s="30">
        <f>VLOOKUP(Inventory[[#This Row],[Cnd]],Lookups!$A$80:$E$88,2,FALSE)</f>
        <v>30300.329274</v>
      </c>
      <c r="AU558" s="30">
        <f>Inventory[[#This Row],[EffAge]]*Lookups!$B$65</f>
        <v>-1848.5987</v>
      </c>
      <c r="AV558" s="30">
        <f>Inventory[[#This Row],[MainFn]]*Lookups!$B$90</f>
        <v>68152.13496000001</v>
      </c>
      <c r="AW558" s="30">
        <f>Inventory[[#This Row],[UpprFn]]*Lookups!$B$91</f>
        <v>0</v>
      </c>
      <c r="AX558" s="30">
        <f>Inventory[[#This Row],[Bsmt Area]]*Lookups!$B$95</f>
        <v>0</v>
      </c>
      <c r="AY558" s="30">
        <f>Inventory[[#This Row],[AttGar]]*Lookups!$B$93</f>
        <v>15532.453640000002</v>
      </c>
      <c r="AZ558" s="30">
        <f>ROUND(Inventory[[#This Row],[25Det]],-2)</f>
        <v>0</v>
      </c>
      <c r="BA558" s="30">
        <f>ROUND(SUM(Inventory[[#This Row],[Mdl Qlty]:[Mdl Garage Area]])+Inventory[[#This Row],[Mdl Res Intercept]],-2)</f>
        <v>277600</v>
      </c>
      <c r="BB558" s="30">
        <f>ROUND(Inventory[[#This Row],[Mdl Land Intercept]]+Inventory[[#This Row],[Mdl LnAcres]],-2)</f>
        <v>64300</v>
      </c>
      <c r="BC558" s="30">
        <f>Inventory[[#This Row],[Unadj Res Value]]+Inventory[[#This Row],[Unadj Det Value]]+Inventory[[#This Row],[Unadj Land Value]]</f>
        <v>341900</v>
      </c>
      <c r="BD558" s="30">
        <f>(Inventory[[#This Row],[Unadj Total Value]]-Inventory[[#This Row],[24Final]])/Inventory[[#This Row],[24Final]]</f>
        <v>2.0597014925373136E-2</v>
      </c>
      <c r="BE558" s="30">
        <f>VLOOKUP(Inventory[[#This Row],[Nbhd]],Lookups!$M$3:$P$5,4,FALSE)</f>
        <v>0.99970000000000003</v>
      </c>
      <c r="BF558" s="30">
        <f>VLOOKUP(Inventory[[#This Row],[Qlty]],Lookups!$M$8:$P$22,4,FALSE)</f>
        <v>1.0019</v>
      </c>
      <c r="BG558" s="30">
        <f>VLOOKUP(Inventory[[#This Row],[Cnd]],Lookups!$R$8:$U$17,4,FALSE)</f>
        <v>0.997</v>
      </c>
      <c r="BH558" s="30">
        <f>VLOOKUP(Inventory[[#This Row],[LivArea Range]],Lookups!$R$25:$U$43,4,FALSE)</f>
        <v>0.99519999999999997</v>
      </c>
      <c r="BI558" s="30">
        <f>VLOOKUP(Inventory[[#This Row],[Decade]],Lookups!$M$24:$P$40,4,FALSE)</f>
        <v>1.0024</v>
      </c>
      <c r="BJ558" s="30">
        <f>Inventory[[#This Row],[Nbhd Adj]]*0.95</f>
        <v>0.94971499999999998</v>
      </c>
      <c r="BK558" s="30">
        <f>AVERAGE(Inventory[[#This Row],[Nbhd Adj]],Inventory[[#This Row],[Quality Adj]],Inventory[[#This Row],[Condition Adj]],Inventory[[#This Row],[Living Area Adj]],Inventory[[#This Row],[Decade Adj]])*0.95</f>
        <v>0.94927799999999996</v>
      </c>
      <c r="BL558" s="30">
        <f>ROUND((SUM(Inventory[[#This Row],[Mdl Qlty]:[Mdl Garage Area]])+Inventory[[#This Row],[Mdl Res Intercept]])*Inventory[[#This Row],[Res Adj ]],-2)</f>
        <v>263500</v>
      </c>
      <c r="BM558" s="30">
        <f>ROUND(Inventory[[#This Row],[25Det]]*Inventory[[#This Row],[Det/Nbhd Adj]],-2)</f>
        <v>0</v>
      </c>
      <c r="BN558" s="30">
        <f>Inventory[[#This Row],[Adjusted Res]]+Inventory[[#This Row],[Adj Det ]]</f>
        <v>263500</v>
      </c>
      <c r="BO558" s="30">
        <f>ROUND((Inventory[[#This Row],[Mdl Land Intercept]]+Inventory[[#This Row],[Mdl LnAcres]])*Inventory[[#This Row],[Det/Nbhd Adj]],-2)</f>
        <v>61100</v>
      </c>
      <c r="BP558" s="30">
        <f>Inventory[[#This Row],[Adjusted Impr Total]]+Inventory[[#This Row],[Adjusted Land Total]]</f>
        <v>324600</v>
      </c>
      <c r="BQ558" s="30">
        <f>IFERROR((Inventory[[#This Row],[Adjusted Impr Total]]-Inventory[[#This Row],[24Bldg]])/Inventory[[#This Row],[24Bldg]],0)</f>
        <v>-3.9022611232676876E-2</v>
      </c>
      <c r="BR558" s="43">
        <f>(Inventory[[#This Row],[Adjusted Land Total]]-Inventory[[#This Row],[24Lnd]])/Inventory[[#This Row],[24Lnd]]</f>
        <v>4.9342105263157892E-3</v>
      </c>
      <c r="BS558" s="43">
        <f>(Inventory[[#This Row],[Adjusted Total]]-Inventory[[#This Row],[24Final]])/Inventory[[#This Row],[24Final]]</f>
        <v>-3.1044776119402984E-2</v>
      </c>
    </row>
    <row r="559" spans="1:71">
      <c r="A559" s="30">
        <v>2025</v>
      </c>
      <c r="B559" s="31" t="s">
        <v>1073</v>
      </c>
      <c r="C559" s="31">
        <f>LN(Inventory[[#This Row],[Acres]])</f>
        <v>-1.8325814637483102</v>
      </c>
      <c r="D559" s="30">
        <v>0.16</v>
      </c>
      <c r="E559" s="30">
        <v>6995</v>
      </c>
      <c r="F559" s="31" t="s">
        <v>505</v>
      </c>
      <c r="G559" s="31" t="s">
        <v>155</v>
      </c>
      <c r="H559" s="31" t="s">
        <v>5</v>
      </c>
      <c r="I559" s="31" t="s">
        <v>506</v>
      </c>
      <c r="J559" s="31" t="s">
        <v>507</v>
      </c>
      <c r="K559" s="31" t="s">
        <v>193</v>
      </c>
      <c r="L559" s="31" t="s">
        <v>19</v>
      </c>
      <c r="M559" s="31" t="s">
        <v>18</v>
      </c>
      <c r="N559" s="31">
        <v>10</v>
      </c>
      <c r="O559" s="31">
        <f>2024-Inventory[[#This Row],[YrBlt]]</f>
        <v>17</v>
      </c>
      <c r="P559" s="31">
        <f>2024-Inventory[[#This Row],[EffYr]]</f>
        <v>17</v>
      </c>
      <c r="Q559" s="30">
        <v>2007</v>
      </c>
      <c r="R559" s="30">
        <v>2007</v>
      </c>
      <c r="S559" s="30">
        <v>1352</v>
      </c>
      <c r="T559" s="37"/>
      <c r="U559" s="32"/>
      <c r="V559" s="32"/>
      <c r="W559" s="32"/>
      <c r="X559" s="32">
        <f>Inventory[[#This Row],[Bsmt Area]]-Inventory[[#This Row],[FnBsmt]]</f>
        <v>0</v>
      </c>
      <c r="Y559" s="32">
        <f>Inventory[[#This Row],[MainFn]]+Inventory[[#This Row],[UpprFn]]+Inventory[[#This Row],[AddFn]]+Inventory[[#This Row],[FnBsmt]]</f>
        <v>1352</v>
      </c>
      <c r="Z559" s="32">
        <v>1500</v>
      </c>
      <c r="AA559" s="31" t="s">
        <v>56</v>
      </c>
      <c r="AB559" s="37"/>
      <c r="AC559" s="30">
        <v>440</v>
      </c>
      <c r="AD559" s="37"/>
      <c r="AE559" s="32"/>
      <c r="AF559" s="32"/>
      <c r="AG559" s="32"/>
      <c r="AH559" s="32"/>
      <c r="AI559" s="30">
        <v>272131</v>
      </c>
      <c r="AJ559" s="30">
        <v>250361</v>
      </c>
      <c r="AK559" s="30">
        <v>0</v>
      </c>
      <c r="AL559" s="30">
        <v>0</v>
      </c>
      <c r="AM559" s="30">
        <v>60800</v>
      </c>
      <c r="AN559" s="30">
        <v>279600</v>
      </c>
      <c r="AO559" s="30">
        <v>340400</v>
      </c>
      <c r="AP559" s="30">
        <f>Lookups!$B$58*0.6</f>
        <v>132535.48800000001</v>
      </c>
      <c r="AQ559" s="30">
        <f>Lookups!$B$58*0.4</f>
        <v>88356.992000000013</v>
      </c>
      <c r="AR559" s="30">
        <f>Lookups!$B$59*Inventory[[#This Row],[LnAcres]]</f>
        <v>-24051.387388882686</v>
      </c>
      <c r="AS559" s="30">
        <f>VLOOKUP(Inventory[[#This Row],[Qlty]],Lookups!$A$66:$E$79,2,FALSE)</f>
        <v>37154.252388000001</v>
      </c>
      <c r="AT559" s="30">
        <f>VLOOKUP(Inventory[[#This Row],[Cnd]],Lookups!$A$80:$E$88,2,FALSE)</f>
        <v>17761.121909000001</v>
      </c>
      <c r="AU559" s="30">
        <f>Inventory[[#This Row],[EffAge]]*Lookups!$B$65</f>
        <v>-1848.5987</v>
      </c>
      <c r="AV559" s="30">
        <f>Inventory[[#This Row],[MainFn]]*Lookups!$B$90</f>
        <v>84378.833760000009</v>
      </c>
      <c r="AW559" s="30">
        <f>Inventory[[#This Row],[UpprFn]]*Lookups!$B$91</f>
        <v>0</v>
      </c>
      <c r="AX559" s="30">
        <f>Inventory[[#This Row],[Bsmt Area]]*Lookups!$B$95</f>
        <v>0</v>
      </c>
      <c r="AY559" s="30">
        <f>Inventory[[#This Row],[AttGar]]*Lookups!$B$93</f>
        <v>15532.453640000002</v>
      </c>
      <c r="AZ559" s="30">
        <f>ROUND(Inventory[[#This Row],[25Det]],-2)</f>
        <v>0</v>
      </c>
      <c r="BA559" s="30">
        <f>ROUND(SUM(Inventory[[#This Row],[Mdl Qlty]:[Mdl Garage Area]])+Inventory[[#This Row],[Mdl Res Intercept]],-2)</f>
        <v>285500</v>
      </c>
      <c r="BB559" s="30">
        <f>ROUND(Inventory[[#This Row],[Mdl Land Intercept]]+Inventory[[#This Row],[Mdl LnAcres]],-2)</f>
        <v>64300</v>
      </c>
      <c r="BC559" s="30">
        <f>Inventory[[#This Row],[Unadj Res Value]]+Inventory[[#This Row],[Unadj Det Value]]+Inventory[[#This Row],[Unadj Land Value]]</f>
        <v>349800</v>
      </c>
      <c r="BD559" s="30">
        <f>(Inventory[[#This Row],[Unadj Total Value]]-Inventory[[#This Row],[24Final]])/Inventory[[#This Row],[24Final]]</f>
        <v>2.7614571092831962E-2</v>
      </c>
      <c r="BE559" s="30">
        <f>VLOOKUP(Inventory[[#This Row],[Nbhd]],Lookups!$M$3:$P$5,4,FALSE)</f>
        <v>0.99970000000000003</v>
      </c>
      <c r="BF559" s="30">
        <f>VLOOKUP(Inventory[[#This Row],[Qlty]],Lookups!$M$8:$P$22,4,FALSE)</f>
        <v>0.99819999999999998</v>
      </c>
      <c r="BG559" s="30">
        <f>VLOOKUP(Inventory[[#This Row],[Cnd]],Lookups!$R$8:$U$17,4,FALSE)</f>
        <v>0.99680000000000002</v>
      </c>
      <c r="BH559" s="30">
        <f>VLOOKUP(Inventory[[#This Row],[LivArea Range]],Lookups!$R$25:$U$43,4,FALSE)</f>
        <v>0.99519999999999997</v>
      </c>
      <c r="BI559" s="30">
        <f>VLOOKUP(Inventory[[#This Row],[Decade]],Lookups!$M$24:$P$40,4,FALSE)</f>
        <v>1.0024</v>
      </c>
      <c r="BJ559" s="30">
        <f>Inventory[[#This Row],[Nbhd Adj]]*0.95</f>
        <v>0.94971499999999998</v>
      </c>
      <c r="BK559" s="30">
        <f>AVERAGE(Inventory[[#This Row],[Nbhd Adj]],Inventory[[#This Row],[Quality Adj]],Inventory[[#This Row],[Condition Adj]],Inventory[[#This Row],[Living Area Adj]],Inventory[[#This Row],[Decade Adj]])*0.95</f>
        <v>0.94853699999999996</v>
      </c>
      <c r="BL559" s="30">
        <f>ROUND((SUM(Inventory[[#This Row],[Mdl Qlty]:[Mdl Garage Area]])+Inventory[[#This Row],[Mdl Res Intercept]])*Inventory[[#This Row],[Res Adj ]],-2)</f>
        <v>270800</v>
      </c>
      <c r="BM559" s="30">
        <f>ROUND(Inventory[[#This Row],[25Det]]*Inventory[[#This Row],[Det/Nbhd Adj]],-2)</f>
        <v>0</v>
      </c>
      <c r="BN559" s="30">
        <f>Inventory[[#This Row],[Adjusted Res]]+Inventory[[#This Row],[Adj Det ]]</f>
        <v>270800</v>
      </c>
      <c r="BO559" s="30">
        <f>ROUND((Inventory[[#This Row],[Mdl Land Intercept]]+Inventory[[#This Row],[Mdl LnAcres]])*Inventory[[#This Row],[Det/Nbhd Adj]],-2)</f>
        <v>61100</v>
      </c>
      <c r="BP559" s="30">
        <f>Inventory[[#This Row],[Adjusted Impr Total]]+Inventory[[#This Row],[Adjusted Land Total]]</f>
        <v>331900</v>
      </c>
      <c r="BQ559" s="30">
        <f>IFERROR((Inventory[[#This Row],[Adjusted Impr Total]]-Inventory[[#This Row],[24Bldg]])/Inventory[[#This Row],[24Bldg]],0)</f>
        <v>-3.1473533619456366E-2</v>
      </c>
      <c r="BR559" s="43">
        <f>(Inventory[[#This Row],[Adjusted Land Total]]-Inventory[[#This Row],[24Lnd]])/Inventory[[#This Row],[24Lnd]]</f>
        <v>4.9342105263157892E-3</v>
      </c>
      <c r="BS559" s="43">
        <f>(Inventory[[#This Row],[Adjusted Total]]-Inventory[[#This Row],[24Final]])/Inventory[[#This Row],[24Final]]</f>
        <v>-2.4970622796709752E-2</v>
      </c>
    </row>
    <row r="560" spans="1:71">
      <c r="A560" s="30">
        <v>2025</v>
      </c>
      <c r="B560" s="31" t="s">
        <v>1074</v>
      </c>
      <c r="C560" s="31">
        <f>LN(Inventory[[#This Row],[Acres]])</f>
        <v>-1.8325814637483102</v>
      </c>
      <c r="D560" s="30">
        <v>0.16</v>
      </c>
      <c r="E560" s="30">
        <v>7001</v>
      </c>
      <c r="F560" s="31" t="s">
        <v>505</v>
      </c>
      <c r="G560" s="31" t="s">
        <v>155</v>
      </c>
      <c r="H560" s="31" t="s">
        <v>5</v>
      </c>
      <c r="I560" s="31" t="s">
        <v>506</v>
      </c>
      <c r="J560" s="31" t="s">
        <v>507</v>
      </c>
      <c r="K560" s="31" t="s">
        <v>193</v>
      </c>
      <c r="L560" s="31" t="s">
        <v>19</v>
      </c>
      <c r="M560" s="31" t="s">
        <v>20</v>
      </c>
      <c r="N560" s="31">
        <v>10</v>
      </c>
      <c r="O560" s="31">
        <f>2024-Inventory[[#This Row],[YrBlt]]</f>
        <v>17</v>
      </c>
      <c r="P560" s="31">
        <f>2024-Inventory[[#This Row],[EffYr]]</f>
        <v>17</v>
      </c>
      <c r="Q560" s="30">
        <v>2007</v>
      </c>
      <c r="R560" s="30">
        <v>2007</v>
      </c>
      <c r="S560" s="30">
        <v>1380</v>
      </c>
      <c r="T560" s="37"/>
      <c r="U560" s="32"/>
      <c r="V560" s="32"/>
      <c r="W560" s="32"/>
      <c r="X560" s="32">
        <f>Inventory[[#This Row],[Bsmt Area]]-Inventory[[#This Row],[FnBsmt]]</f>
        <v>0</v>
      </c>
      <c r="Y560" s="32">
        <f>Inventory[[#This Row],[MainFn]]+Inventory[[#This Row],[UpprFn]]+Inventory[[#This Row],[AddFn]]+Inventory[[#This Row],[FnBsmt]]</f>
        <v>1380</v>
      </c>
      <c r="Z560" s="32">
        <v>1500</v>
      </c>
      <c r="AA560" s="31" t="s">
        <v>56</v>
      </c>
      <c r="AB560" s="32"/>
      <c r="AC560" s="30">
        <v>428</v>
      </c>
      <c r="AD560" s="32"/>
      <c r="AE560" s="32"/>
      <c r="AF560" s="32"/>
      <c r="AG560" s="32"/>
      <c r="AH560" s="32"/>
      <c r="AI560" s="30">
        <v>275531</v>
      </c>
      <c r="AJ560" s="30">
        <v>253489</v>
      </c>
      <c r="AK560" s="30">
        <v>0</v>
      </c>
      <c r="AL560" s="30">
        <v>0</v>
      </c>
      <c r="AM560" s="30">
        <v>60800</v>
      </c>
      <c r="AN560" s="30">
        <v>292100</v>
      </c>
      <c r="AO560" s="30">
        <v>352900</v>
      </c>
      <c r="AP560" s="30">
        <f>Lookups!$B$58*0.6</f>
        <v>132535.48800000001</v>
      </c>
      <c r="AQ560" s="30">
        <f>Lookups!$B$58*0.4</f>
        <v>88356.992000000013</v>
      </c>
      <c r="AR560" s="30">
        <f>Lookups!$B$59*Inventory[[#This Row],[LnAcres]]</f>
        <v>-24051.387388882686</v>
      </c>
      <c r="AS560" s="30">
        <f>VLOOKUP(Inventory[[#This Row],[Qlty]],Lookups!$A$66:$E$79,2,FALSE)</f>
        <v>37154.252388000001</v>
      </c>
      <c r="AT560" s="30">
        <f>VLOOKUP(Inventory[[#This Row],[Cnd]],Lookups!$A$80:$E$88,2,FALSE)</f>
        <v>30300.329274</v>
      </c>
      <c r="AU560" s="30">
        <f>Inventory[[#This Row],[EffAge]]*Lookups!$B$65</f>
        <v>-1848.5987</v>
      </c>
      <c r="AV560" s="30">
        <f>Inventory[[#This Row],[MainFn]]*Lookups!$B$90</f>
        <v>86126.324399999998</v>
      </c>
      <c r="AW560" s="30">
        <f>Inventory[[#This Row],[UpprFn]]*Lookups!$B$91</f>
        <v>0</v>
      </c>
      <c r="AX560" s="30">
        <f>Inventory[[#This Row],[Bsmt Area]]*Lookups!$B$95</f>
        <v>0</v>
      </c>
      <c r="AY560" s="30">
        <f>Inventory[[#This Row],[AttGar]]*Lookups!$B$93</f>
        <v>15108.841268</v>
      </c>
      <c r="AZ560" s="30">
        <f>ROUND(Inventory[[#This Row],[25Det]],-2)</f>
        <v>0</v>
      </c>
      <c r="BA560" s="30">
        <f>ROUND(SUM(Inventory[[#This Row],[Mdl Qlty]:[Mdl Garage Area]])+Inventory[[#This Row],[Mdl Res Intercept]],-2)</f>
        <v>299400</v>
      </c>
      <c r="BB560" s="30">
        <f>ROUND(Inventory[[#This Row],[Mdl Land Intercept]]+Inventory[[#This Row],[Mdl LnAcres]],-2)</f>
        <v>64300</v>
      </c>
      <c r="BC560" s="30">
        <f>Inventory[[#This Row],[Unadj Res Value]]+Inventory[[#This Row],[Unadj Det Value]]+Inventory[[#This Row],[Unadj Land Value]]</f>
        <v>363700</v>
      </c>
      <c r="BD560" s="30">
        <f>(Inventory[[#This Row],[Unadj Total Value]]-Inventory[[#This Row],[24Final]])/Inventory[[#This Row],[24Final]]</f>
        <v>3.0603570416548598E-2</v>
      </c>
      <c r="BE560" s="30">
        <f>VLOOKUP(Inventory[[#This Row],[Nbhd]],Lookups!$M$3:$P$5,4,FALSE)</f>
        <v>0.99970000000000003</v>
      </c>
      <c r="BF560" s="30">
        <f>VLOOKUP(Inventory[[#This Row],[Qlty]],Lookups!$M$8:$P$22,4,FALSE)</f>
        <v>0.99819999999999998</v>
      </c>
      <c r="BG560" s="30">
        <f>VLOOKUP(Inventory[[#This Row],[Cnd]],Lookups!$R$8:$U$17,4,FALSE)</f>
        <v>0.997</v>
      </c>
      <c r="BH560" s="30">
        <f>VLOOKUP(Inventory[[#This Row],[LivArea Range]],Lookups!$R$25:$U$43,4,FALSE)</f>
        <v>0.99519999999999997</v>
      </c>
      <c r="BI560" s="30">
        <f>VLOOKUP(Inventory[[#This Row],[Decade]],Lookups!$M$24:$P$40,4,FALSE)</f>
        <v>1.0024</v>
      </c>
      <c r="BJ560" s="30">
        <f>Inventory[[#This Row],[Nbhd Adj]]*0.95</f>
        <v>0.94971499999999998</v>
      </c>
      <c r="BK560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560" s="30">
        <f>ROUND((SUM(Inventory[[#This Row],[Mdl Qlty]:[Mdl Garage Area]])+Inventory[[#This Row],[Mdl Res Intercept]])*Inventory[[#This Row],[Res Adj ]],-2)</f>
        <v>284000</v>
      </c>
      <c r="BM560" s="30">
        <f>ROUND(Inventory[[#This Row],[25Det]]*Inventory[[#This Row],[Det/Nbhd Adj]],-2)</f>
        <v>0</v>
      </c>
      <c r="BN560" s="30">
        <f>Inventory[[#This Row],[Adjusted Res]]+Inventory[[#This Row],[Adj Det ]]</f>
        <v>284000</v>
      </c>
      <c r="BO560" s="30">
        <f>ROUND((Inventory[[#This Row],[Mdl Land Intercept]]+Inventory[[#This Row],[Mdl LnAcres]])*Inventory[[#This Row],[Det/Nbhd Adj]],-2)</f>
        <v>61100</v>
      </c>
      <c r="BP560" s="30">
        <f>Inventory[[#This Row],[Adjusted Impr Total]]+Inventory[[#This Row],[Adjusted Land Total]]</f>
        <v>345100</v>
      </c>
      <c r="BQ560" s="30">
        <f>IFERROR((Inventory[[#This Row],[Adjusted Impr Total]]-Inventory[[#This Row],[24Bldg]])/Inventory[[#This Row],[24Bldg]],0)</f>
        <v>-2.7730229373502224E-2</v>
      </c>
      <c r="BR560" s="43">
        <f>(Inventory[[#This Row],[Adjusted Land Total]]-Inventory[[#This Row],[24Lnd]])/Inventory[[#This Row],[24Lnd]]</f>
        <v>4.9342105263157892E-3</v>
      </c>
      <c r="BS560" s="43">
        <f>(Inventory[[#This Row],[Adjusted Total]]-Inventory[[#This Row],[24Final]])/Inventory[[#This Row],[24Final]]</f>
        <v>-2.2102578634173985E-2</v>
      </c>
    </row>
    <row r="561" spans="1:71">
      <c r="A561" s="30">
        <v>2025</v>
      </c>
      <c r="B561" s="31" t="s">
        <v>1075</v>
      </c>
      <c r="C561" s="31">
        <f>LN(Inventory[[#This Row],[Acres]])</f>
        <v>-1.8325814637483102</v>
      </c>
      <c r="D561" s="30">
        <v>0.16</v>
      </c>
      <c r="E561" s="30">
        <v>6949</v>
      </c>
      <c r="F561" s="31" t="s">
        <v>505</v>
      </c>
      <c r="G561" s="31" t="s">
        <v>155</v>
      </c>
      <c r="H561" s="31" t="s">
        <v>5</v>
      </c>
      <c r="I561" s="31" t="s">
        <v>506</v>
      </c>
      <c r="J561" s="31" t="s">
        <v>507</v>
      </c>
      <c r="K561" s="31" t="s">
        <v>193</v>
      </c>
      <c r="L561" s="31" t="s">
        <v>19</v>
      </c>
      <c r="M561" s="31" t="s">
        <v>22</v>
      </c>
      <c r="N561" s="31">
        <v>10</v>
      </c>
      <c r="O561" s="31">
        <f>2024-Inventory[[#This Row],[YrBlt]]</f>
        <v>17</v>
      </c>
      <c r="P561" s="31">
        <f>2024-Inventory[[#This Row],[EffYr]]</f>
        <v>17</v>
      </c>
      <c r="Q561" s="30">
        <v>2007</v>
      </c>
      <c r="R561" s="30">
        <v>2007</v>
      </c>
      <c r="S561" s="30">
        <v>1092</v>
      </c>
      <c r="T561" s="32"/>
      <c r="U561" s="32"/>
      <c r="V561" s="32"/>
      <c r="W561" s="32"/>
      <c r="X561" s="32">
        <f>Inventory[[#This Row],[Bsmt Area]]-Inventory[[#This Row],[FnBsmt]]</f>
        <v>0</v>
      </c>
      <c r="Y561" s="32">
        <f>Inventory[[#This Row],[MainFn]]+Inventory[[#This Row],[UpprFn]]+Inventory[[#This Row],[AddFn]]+Inventory[[#This Row],[FnBsmt]]</f>
        <v>1092</v>
      </c>
      <c r="Z561" s="32">
        <v>1500</v>
      </c>
      <c r="AA561" s="31" t="s">
        <v>56</v>
      </c>
      <c r="AB561" s="37"/>
      <c r="AC561" s="30">
        <v>440</v>
      </c>
      <c r="AD561" s="32"/>
      <c r="AE561" s="32"/>
      <c r="AF561" s="32"/>
      <c r="AG561" s="32"/>
      <c r="AH561" s="32"/>
      <c r="AI561" s="30">
        <v>233342</v>
      </c>
      <c r="AJ561" s="30">
        <v>217008</v>
      </c>
      <c r="AK561" s="30">
        <v>0</v>
      </c>
      <c r="AL561" s="30">
        <v>0</v>
      </c>
      <c r="AM561" s="30">
        <v>60800</v>
      </c>
      <c r="AN561" s="30">
        <v>294200</v>
      </c>
      <c r="AO561" s="30">
        <v>355000</v>
      </c>
      <c r="AP561" s="30">
        <f>Lookups!$B$58*0.6</f>
        <v>132535.48800000001</v>
      </c>
      <c r="AQ561" s="30">
        <f>Lookups!$B$58*0.4</f>
        <v>88356.992000000013</v>
      </c>
      <c r="AR561" s="30">
        <f>Lookups!$B$59*Inventory[[#This Row],[LnAcres]]</f>
        <v>-24051.387388882686</v>
      </c>
      <c r="AS561" s="30">
        <f>VLOOKUP(Inventory[[#This Row],[Qlty]],Lookups!$A$66:$E$79,2,FALSE)</f>
        <v>37154.252388000001</v>
      </c>
      <c r="AT561" s="30">
        <f>VLOOKUP(Inventory[[#This Row],[Cnd]],Lookups!$A$80:$E$88,2,FALSE)</f>
        <v>50438.379078999998</v>
      </c>
      <c r="AU561" s="30">
        <f>Inventory[[#This Row],[EffAge]]*Lookups!$B$65</f>
        <v>-1848.5987</v>
      </c>
      <c r="AV561" s="30">
        <f>Inventory[[#This Row],[MainFn]]*Lookups!$B$90</f>
        <v>68152.13496000001</v>
      </c>
      <c r="AW561" s="30">
        <f>Inventory[[#This Row],[UpprFn]]*Lookups!$B$91</f>
        <v>0</v>
      </c>
      <c r="AX561" s="30">
        <f>Inventory[[#This Row],[Bsmt Area]]*Lookups!$B$95</f>
        <v>0</v>
      </c>
      <c r="AY561" s="30">
        <f>Inventory[[#This Row],[AttGar]]*Lookups!$B$93</f>
        <v>15532.453640000002</v>
      </c>
      <c r="AZ561" s="30">
        <f>ROUND(Inventory[[#This Row],[25Det]],-2)</f>
        <v>0</v>
      </c>
      <c r="BA561" s="30">
        <f>ROUND(SUM(Inventory[[#This Row],[Mdl Qlty]:[Mdl Garage Area]])+Inventory[[#This Row],[Mdl Res Intercept]],-2)</f>
        <v>302000</v>
      </c>
      <c r="BB561" s="30">
        <f>ROUND(Inventory[[#This Row],[Mdl Land Intercept]]+Inventory[[#This Row],[Mdl LnAcres]],-2)</f>
        <v>64300</v>
      </c>
      <c r="BC561" s="30">
        <f>Inventory[[#This Row],[Unadj Res Value]]+Inventory[[#This Row],[Unadj Det Value]]+Inventory[[#This Row],[Unadj Land Value]]</f>
        <v>366300</v>
      </c>
      <c r="BD561" s="30">
        <f>(Inventory[[#This Row],[Unadj Total Value]]-Inventory[[#This Row],[24Final]])/Inventory[[#This Row],[24Final]]</f>
        <v>3.1830985915492958E-2</v>
      </c>
      <c r="BE561" s="30">
        <f>VLOOKUP(Inventory[[#This Row],[Nbhd]],Lookups!$M$3:$P$5,4,FALSE)</f>
        <v>0.99970000000000003</v>
      </c>
      <c r="BF561" s="30">
        <f>VLOOKUP(Inventory[[#This Row],[Qlty]],Lookups!$M$8:$P$22,4,FALSE)</f>
        <v>0.99819999999999998</v>
      </c>
      <c r="BG561" s="30">
        <f>VLOOKUP(Inventory[[#This Row],[Cnd]],Lookups!$R$8:$U$17,4,FALSE)</f>
        <v>1.0007999999999999</v>
      </c>
      <c r="BH561" s="30">
        <f>VLOOKUP(Inventory[[#This Row],[LivArea Range]],Lookups!$R$25:$U$43,4,FALSE)</f>
        <v>0.99519999999999997</v>
      </c>
      <c r="BI561" s="30">
        <f>VLOOKUP(Inventory[[#This Row],[Decade]],Lookups!$M$24:$P$40,4,FALSE)</f>
        <v>1.0024</v>
      </c>
      <c r="BJ561" s="30">
        <f>Inventory[[#This Row],[Nbhd Adj]]*0.95</f>
        <v>0.94971499999999998</v>
      </c>
      <c r="BK561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561" s="30">
        <f>ROUND((SUM(Inventory[[#This Row],[Mdl Qlty]:[Mdl Garage Area]])+Inventory[[#This Row],[Mdl Res Intercept]])*Inventory[[#This Row],[Res Adj ]],-2)</f>
        <v>286700</v>
      </c>
      <c r="BM561" s="30">
        <f>ROUND(Inventory[[#This Row],[25Det]]*Inventory[[#This Row],[Det/Nbhd Adj]],-2)</f>
        <v>0</v>
      </c>
      <c r="BN561" s="30">
        <f>Inventory[[#This Row],[Adjusted Res]]+Inventory[[#This Row],[Adj Det ]]</f>
        <v>286700</v>
      </c>
      <c r="BO561" s="30">
        <f>ROUND((Inventory[[#This Row],[Mdl Land Intercept]]+Inventory[[#This Row],[Mdl LnAcres]])*Inventory[[#This Row],[Det/Nbhd Adj]],-2)</f>
        <v>61100</v>
      </c>
      <c r="BP561" s="30">
        <f>Inventory[[#This Row],[Adjusted Impr Total]]+Inventory[[#This Row],[Adjusted Land Total]]</f>
        <v>347800</v>
      </c>
      <c r="BQ561" s="30">
        <f>IFERROR((Inventory[[#This Row],[Adjusted Impr Total]]-Inventory[[#This Row],[24Bldg]])/Inventory[[#This Row],[24Bldg]],0)</f>
        <v>-2.5492861998640381E-2</v>
      </c>
      <c r="BR561" s="43">
        <f>(Inventory[[#This Row],[Adjusted Land Total]]-Inventory[[#This Row],[24Lnd]])/Inventory[[#This Row],[24Lnd]]</f>
        <v>4.9342105263157892E-3</v>
      </c>
      <c r="BS561" s="43">
        <f>(Inventory[[#This Row],[Adjusted Total]]-Inventory[[#This Row],[24Final]])/Inventory[[#This Row],[24Final]]</f>
        <v>-2.028169014084507E-2</v>
      </c>
    </row>
    <row r="562" spans="1:71">
      <c r="A562" s="30">
        <v>2025</v>
      </c>
      <c r="B562" s="31" t="s">
        <v>1076</v>
      </c>
      <c r="C562" s="31">
        <f>LN(Inventory[[#This Row],[Acres]])</f>
        <v>-1.8325814637483102</v>
      </c>
      <c r="D562" s="30">
        <v>0.16</v>
      </c>
      <c r="E562" s="30">
        <v>7032</v>
      </c>
      <c r="F562" s="31" t="s">
        <v>505</v>
      </c>
      <c r="G562" s="31" t="s">
        <v>155</v>
      </c>
      <c r="H562" s="31" t="s">
        <v>5</v>
      </c>
      <c r="I562" s="31" t="s">
        <v>506</v>
      </c>
      <c r="J562" s="31" t="s">
        <v>507</v>
      </c>
      <c r="K562" s="31" t="s">
        <v>193</v>
      </c>
      <c r="L562" s="31" t="s">
        <v>19</v>
      </c>
      <c r="M562" s="31" t="s">
        <v>22</v>
      </c>
      <c r="N562" s="31">
        <v>10</v>
      </c>
      <c r="O562" s="31">
        <f>2024-Inventory[[#This Row],[YrBlt]]</f>
        <v>17</v>
      </c>
      <c r="P562" s="31">
        <f>2024-Inventory[[#This Row],[EffYr]]</f>
        <v>17</v>
      </c>
      <c r="Q562" s="30">
        <v>2007</v>
      </c>
      <c r="R562" s="30">
        <v>2007</v>
      </c>
      <c r="S562" s="30">
        <v>1092</v>
      </c>
      <c r="T562" s="32"/>
      <c r="U562" s="32"/>
      <c r="V562" s="32"/>
      <c r="W562" s="32"/>
      <c r="X562" s="32">
        <f>Inventory[[#This Row],[Bsmt Area]]-Inventory[[#This Row],[FnBsmt]]</f>
        <v>0</v>
      </c>
      <c r="Y562" s="32">
        <f>Inventory[[#This Row],[MainFn]]+Inventory[[#This Row],[UpprFn]]+Inventory[[#This Row],[AddFn]]+Inventory[[#This Row],[FnBsmt]]</f>
        <v>1092</v>
      </c>
      <c r="Z562" s="32">
        <v>1500</v>
      </c>
      <c r="AA562" s="31" t="s">
        <v>56</v>
      </c>
      <c r="AB562" s="32"/>
      <c r="AC562" s="30">
        <v>440</v>
      </c>
      <c r="AD562" s="32"/>
      <c r="AE562" s="32"/>
      <c r="AF562" s="32"/>
      <c r="AG562" s="32"/>
      <c r="AH562" s="32"/>
      <c r="AI562" s="30">
        <v>232141</v>
      </c>
      <c r="AJ562" s="30">
        <v>215891</v>
      </c>
      <c r="AK562" s="30">
        <v>0</v>
      </c>
      <c r="AL562" s="30">
        <v>0</v>
      </c>
      <c r="AM562" s="30">
        <v>60800</v>
      </c>
      <c r="AN562" s="30">
        <v>294200</v>
      </c>
      <c r="AO562" s="30">
        <v>355000</v>
      </c>
      <c r="AP562" s="30">
        <f>Lookups!$B$58*0.6</f>
        <v>132535.48800000001</v>
      </c>
      <c r="AQ562" s="30">
        <f>Lookups!$B$58*0.4</f>
        <v>88356.992000000013</v>
      </c>
      <c r="AR562" s="30">
        <f>Lookups!$B$59*Inventory[[#This Row],[LnAcres]]</f>
        <v>-24051.387388882686</v>
      </c>
      <c r="AS562" s="30">
        <f>VLOOKUP(Inventory[[#This Row],[Qlty]],Lookups!$A$66:$E$79,2,FALSE)</f>
        <v>37154.252388000001</v>
      </c>
      <c r="AT562" s="30">
        <f>VLOOKUP(Inventory[[#This Row],[Cnd]],Lookups!$A$80:$E$88,2,FALSE)</f>
        <v>50438.379078999998</v>
      </c>
      <c r="AU562" s="30">
        <f>Inventory[[#This Row],[EffAge]]*Lookups!$B$65</f>
        <v>-1848.5987</v>
      </c>
      <c r="AV562" s="30">
        <f>Inventory[[#This Row],[MainFn]]*Lookups!$B$90</f>
        <v>68152.13496000001</v>
      </c>
      <c r="AW562" s="30">
        <f>Inventory[[#This Row],[UpprFn]]*Lookups!$B$91</f>
        <v>0</v>
      </c>
      <c r="AX562" s="30">
        <f>Inventory[[#This Row],[Bsmt Area]]*Lookups!$B$95</f>
        <v>0</v>
      </c>
      <c r="AY562" s="30">
        <f>Inventory[[#This Row],[AttGar]]*Lookups!$B$93</f>
        <v>15532.453640000002</v>
      </c>
      <c r="AZ562" s="30">
        <f>ROUND(Inventory[[#This Row],[25Det]],-2)</f>
        <v>0</v>
      </c>
      <c r="BA562" s="30">
        <f>ROUND(SUM(Inventory[[#This Row],[Mdl Qlty]:[Mdl Garage Area]])+Inventory[[#This Row],[Mdl Res Intercept]],-2)</f>
        <v>302000</v>
      </c>
      <c r="BB562" s="30">
        <f>ROUND(Inventory[[#This Row],[Mdl Land Intercept]]+Inventory[[#This Row],[Mdl LnAcres]],-2)</f>
        <v>64300</v>
      </c>
      <c r="BC562" s="30">
        <f>Inventory[[#This Row],[Unadj Res Value]]+Inventory[[#This Row],[Unadj Det Value]]+Inventory[[#This Row],[Unadj Land Value]]</f>
        <v>366300</v>
      </c>
      <c r="BD562" s="30">
        <f>(Inventory[[#This Row],[Unadj Total Value]]-Inventory[[#This Row],[24Final]])/Inventory[[#This Row],[24Final]]</f>
        <v>3.1830985915492958E-2</v>
      </c>
      <c r="BE562" s="30">
        <f>VLOOKUP(Inventory[[#This Row],[Nbhd]],Lookups!$M$3:$P$5,4,FALSE)</f>
        <v>0.99970000000000003</v>
      </c>
      <c r="BF562" s="30">
        <f>VLOOKUP(Inventory[[#This Row],[Qlty]],Lookups!$M$8:$P$22,4,FALSE)</f>
        <v>0.99819999999999998</v>
      </c>
      <c r="BG562" s="30">
        <f>VLOOKUP(Inventory[[#This Row],[Cnd]],Lookups!$R$8:$U$17,4,FALSE)</f>
        <v>1.0007999999999999</v>
      </c>
      <c r="BH562" s="30">
        <f>VLOOKUP(Inventory[[#This Row],[LivArea Range]],Lookups!$R$25:$U$43,4,FALSE)</f>
        <v>0.99519999999999997</v>
      </c>
      <c r="BI562" s="30">
        <f>VLOOKUP(Inventory[[#This Row],[Decade]],Lookups!$M$24:$P$40,4,FALSE)</f>
        <v>1.0024</v>
      </c>
      <c r="BJ562" s="30">
        <f>Inventory[[#This Row],[Nbhd Adj]]*0.95</f>
        <v>0.94971499999999998</v>
      </c>
      <c r="BK562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562" s="30">
        <f>ROUND((SUM(Inventory[[#This Row],[Mdl Qlty]:[Mdl Garage Area]])+Inventory[[#This Row],[Mdl Res Intercept]])*Inventory[[#This Row],[Res Adj ]],-2)</f>
        <v>286700</v>
      </c>
      <c r="BM562" s="30">
        <f>ROUND(Inventory[[#This Row],[25Det]]*Inventory[[#This Row],[Det/Nbhd Adj]],-2)</f>
        <v>0</v>
      </c>
      <c r="BN562" s="30">
        <f>Inventory[[#This Row],[Adjusted Res]]+Inventory[[#This Row],[Adj Det ]]</f>
        <v>286700</v>
      </c>
      <c r="BO562" s="30">
        <f>ROUND((Inventory[[#This Row],[Mdl Land Intercept]]+Inventory[[#This Row],[Mdl LnAcres]])*Inventory[[#This Row],[Det/Nbhd Adj]],-2)</f>
        <v>61100</v>
      </c>
      <c r="BP562" s="30">
        <f>Inventory[[#This Row],[Adjusted Impr Total]]+Inventory[[#This Row],[Adjusted Land Total]]</f>
        <v>347800</v>
      </c>
      <c r="BQ562" s="30">
        <f>IFERROR((Inventory[[#This Row],[Adjusted Impr Total]]-Inventory[[#This Row],[24Bldg]])/Inventory[[#This Row],[24Bldg]],0)</f>
        <v>-2.5492861998640381E-2</v>
      </c>
      <c r="BR562" s="43">
        <f>(Inventory[[#This Row],[Adjusted Land Total]]-Inventory[[#This Row],[24Lnd]])/Inventory[[#This Row],[24Lnd]]</f>
        <v>4.9342105263157892E-3</v>
      </c>
      <c r="BS562" s="43">
        <f>(Inventory[[#This Row],[Adjusted Total]]-Inventory[[#This Row],[24Final]])/Inventory[[#This Row],[24Final]]</f>
        <v>-2.028169014084507E-2</v>
      </c>
    </row>
    <row r="563" spans="1:71">
      <c r="A563" s="30">
        <v>2025</v>
      </c>
      <c r="B563" s="31" t="s">
        <v>1077</v>
      </c>
      <c r="C563" s="31">
        <f>LN(Inventory[[#This Row],[Acres]])</f>
        <v>-1.8325814637483102</v>
      </c>
      <c r="D563" s="30">
        <v>0.16</v>
      </c>
      <c r="E563" s="30">
        <v>7085</v>
      </c>
      <c r="F563" s="31" t="s">
        <v>505</v>
      </c>
      <c r="G563" s="31" t="s">
        <v>155</v>
      </c>
      <c r="H563" s="31" t="s">
        <v>5</v>
      </c>
      <c r="I563" s="31" t="s">
        <v>506</v>
      </c>
      <c r="J563" s="31" t="s">
        <v>507</v>
      </c>
      <c r="K563" s="31" t="s">
        <v>193</v>
      </c>
      <c r="L563" s="31" t="s">
        <v>19</v>
      </c>
      <c r="M563" s="31" t="s">
        <v>22</v>
      </c>
      <c r="N563" s="31">
        <v>10</v>
      </c>
      <c r="O563" s="31">
        <f>2024-Inventory[[#This Row],[YrBlt]]</f>
        <v>17</v>
      </c>
      <c r="P563" s="31">
        <f>2024-Inventory[[#This Row],[EffYr]]</f>
        <v>17</v>
      </c>
      <c r="Q563" s="30">
        <v>2007</v>
      </c>
      <c r="R563" s="30">
        <v>2007</v>
      </c>
      <c r="S563" s="30">
        <v>1092</v>
      </c>
      <c r="T563" s="32"/>
      <c r="U563" s="32"/>
      <c r="V563" s="32"/>
      <c r="W563" s="32"/>
      <c r="X563" s="32">
        <f>Inventory[[#This Row],[Bsmt Area]]-Inventory[[#This Row],[FnBsmt]]</f>
        <v>0</v>
      </c>
      <c r="Y563" s="32">
        <f>Inventory[[#This Row],[MainFn]]+Inventory[[#This Row],[UpprFn]]+Inventory[[#This Row],[AddFn]]+Inventory[[#This Row],[FnBsmt]]</f>
        <v>1092</v>
      </c>
      <c r="Z563" s="32">
        <v>1500</v>
      </c>
      <c r="AA563" s="31" t="s">
        <v>56</v>
      </c>
      <c r="AB563" s="32"/>
      <c r="AC563" s="30">
        <v>440</v>
      </c>
      <c r="AD563" s="32"/>
      <c r="AE563" s="32"/>
      <c r="AF563" s="32"/>
      <c r="AG563" s="32"/>
      <c r="AH563" s="32"/>
      <c r="AI563" s="30">
        <v>232141</v>
      </c>
      <c r="AJ563" s="30">
        <v>215891</v>
      </c>
      <c r="AK563" s="30">
        <v>0</v>
      </c>
      <c r="AL563" s="30">
        <v>0</v>
      </c>
      <c r="AM563" s="30">
        <v>60800</v>
      </c>
      <c r="AN563" s="30">
        <v>294200</v>
      </c>
      <c r="AO563" s="30">
        <v>355000</v>
      </c>
      <c r="AP563" s="30">
        <f>Lookups!$B$58*0.6</f>
        <v>132535.48800000001</v>
      </c>
      <c r="AQ563" s="30">
        <f>Lookups!$B$58*0.4</f>
        <v>88356.992000000013</v>
      </c>
      <c r="AR563" s="30">
        <f>Lookups!$B$59*Inventory[[#This Row],[LnAcres]]</f>
        <v>-24051.387388882686</v>
      </c>
      <c r="AS563" s="30">
        <f>VLOOKUP(Inventory[[#This Row],[Qlty]],Lookups!$A$66:$E$79,2,FALSE)</f>
        <v>37154.252388000001</v>
      </c>
      <c r="AT563" s="30">
        <f>VLOOKUP(Inventory[[#This Row],[Cnd]],Lookups!$A$80:$E$88,2,FALSE)</f>
        <v>50438.379078999998</v>
      </c>
      <c r="AU563" s="30">
        <f>Inventory[[#This Row],[EffAge]]*Lookups!$B$65</f>
        <v>-1848.5987</v>
      </c>
      <c r="AV563" s="30">
        <f>Inventory[[#This Row],[MainFn]]*Lookups!$B$90</f>
        <v>68152.13496000001</v>
      </c>
      <c r="AW563" s="30">
        <f>Inventory[[#This Row],[UpprFn]]*Lookups!$B$91</f>
        <v>0</v>
      </c>
      <c r="AX563" s="30">
        <f>Inventory[[#This Row],[Bsmt Area]]*Lookups!$B$95</f>
        <v>0</v>
      </c>
      <c r="AY563" s="30">
        <f>Inventory[[#This Row],[AttGar]]*Lookups!$B$93</f>
        <v>15532.453640000002</v>
      </c>
      <c r="AZ563" s="30">
        <f>ROUND(Inventory[[#This Row],[25Det]],-2)</f>
        <v>0</v>
      </c>
      <c r="BA563" s="30">
        <f>ROUND(SUM(Inventory[[#This Row],[Mdl Qlty]:[Mdl Garage Area]])+Inventory[[#This Row],[Mdl Res Intercept]],-2)</f>
        <v>302000</v>
      </c>
      <c r="BB563" s="30">
        <f>ROUND(Inventory[[#This Row],[Mdl Land Intercept]]+Inventory[[#This Row],[Mdl LnAcres]],-2)</f>
        <v>64300</v>
      </c>
      <c r="BC563" s="30">
        <f>Inventory[[#This Row],[Unadj Res Value]]+Inventory[[#This Row],[Unadj Det Value]]+Inventory[[#This Row],[Unadj Land Value]]</f>
        <v>366300</v>
      </c>
      <c r="BD563" s="30">
        <f>(Inventory[[#This Row],[Unadj Total Value]]-Inventory[[#This Row],[24Final]])/Inventory[[#This Row],[24Final]]</f>
        <v>3.1830985915492958E-2</v>
      </c>
      <c r="BE563" s="30">
        <f>VLOOKUP(Inventory[[#This Row],[Nbhd]],Lookups!$M$3:$P$5,4,FALSE)</f>
        <v>0.99970000000000003</v>
      </c>
      <c r="BF563" s="30">
        <f>VLOOKUP(Inventory[[#This Row],[Qlty]],Lookups!$M$8:$P$22,4,FALSE)</f>
        <v>0.99819999999999998</v>
      </c>
      <c r="BG563" s="30">
        <f>VLOOKUP(Inventory[[#This Row],[Cnd]],Lookups!$R$8:$U$17,4,FALSE)</f>
        <v>1.0007999999999999</v>
      </c>
      <c r="BH563" s="30">
        <f>VLOOKUP(Inventory[[#This Row],[LivArea Range]],Lookups!$R$25:$U$43,4,FALSE)</f>
        <v>0.99519999999999997</v>
      </c>
      <c r="BI563" s="30">
        <f>VLOOKUP(Inventory[[#This Row],[Decade]],Lookups!$M$24:$P$40,4,FALSE)</f>
        <v>1.0024</v>
      </c>
      <c r="BJ563" s="30">
        <f>Inventory[[#This Row],[Nbhd Adj]]*0.95</f>
        <v>0.94971499999999998</v>
      </c>
      <c r="BK563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563" s="30">
        <f>ROUND((SUM(Inventory[[#This Row],[Mdl Qlty]:[Mdl Garage Area]])+Inventory[[#This Row],[Mdl Res Intercept]])*Inventory[[#This Row],[Res Adj ]],-2)</f>
        <v>286700</v>
      </c>
      <c r="BM563" s="30">
        <f>ROUND(Inventory[[#This Row],[25Det]]*Inventory[[#This Row],[Det/Nbhd Adj]],-2)</f>
        <v>0</v>
      </c>
      <c r="BN563" s="30">
        <f>Inventory[[#This Row],[Adjusted Res]]+Inventory[[#This Row],[Adj Det ]]</f>
        <v>286700</v>
      </c>
      <c r="BO563" s="30">
        <f>ROUND((Inventory[[#This Row],[Mdl Land Intercept]]+Inventory[[#This Row],[Mdl LnAcres]])*Inventory[[#This Row],[Det/Nbhd Adj]],-2)</f>
        <v>61100</v>
      </c>
      <c r="BP563" s="30">
        <f>Inventory[[#This Row],[Adjusted Impr Total]]+Inventory[[#This Row],[Adjusted Land Total]]</f>
        <v>347800</v>
      </c>
      <c r="BQ563" s="30">
        <f>IFERROR((Inventory[[#This Row],[Adjusted Impr Total]]-Inventory[[#This Row],[24Bldg]])/Inventory[[#This Row],[24Bldg]],0)</f>
        <v>-2.5492861998640381E-2</v>
      </c>
      <c r="BR563" s="43">
        <f>(Inventory[[#This Row],[Adjusted Land Total]]-Inventory[[#This Row],[24Lnd]])/Inventory[[#This Row],[24Lnd]]</f>
        <v>4.9342105263157892E-3</v>
      </c>
      <c r="BS563" s="43">
        <f>(Inventory[[#This Row],[Adjusted Total]]-Inventory[[#This Row],[24Final]])/Inventory[[#This Row],[24Final]]</f>
        <v>-2.028169014084507E-2</v>
      </c>
    </row>
    <row r="564" spans="1:71">
      <c r="A564" s="30">
        <v>2025</v>
      </c>
      <c r="B564" s="31" t="s">
        <v>1078</v>
      </c>
      <c r="C564" s="31">
        <f>LN(Inventory[[#This Row],[Acres]])</f>
        <v>-1.8325814637483102</v>
      </c>
      <c r="D564" s="30">
        <v>0.16</v>
      </c>
      <c r="E564" s="30">
        <v>7020</v>
      </c>
      <c r="F564" s="31" t="s">
        <v>505</v>
      </c>
      <c r="G564" s="31" t="s">
        <v>155</v>
      </c>
      <c r="H564" s="31" t="s">
        <v>5</v>
      </c>
      <c r="I564" s="31" t="s">
        <v>506</v>
      </c>
      <c r="J564" s="31" t="s">
        <v>507</v>
      </c>
      <c r="K564" s="31" t="s">
        <v>193</v>
      </c>
      <c r="L564" s="31" t="s">
        <v>19</v>
      </c>
      <c r="M564" s="31" t="s">
        <v>20</v>
      </c>
      <c r="N564" s="31">
        <v>10</v>
      </c>
      <c r="O564" s="31">
        <f>2024-Inventory[[#This Row],[YrBlt]]</f>
        <v>17</v>
      </c>
      <c r="P564" s="31">
        <f>2024-Inventory[[#This Row],[EffYr]]</f>
        <v>17</v>
      </c>
      <c r="Q564" s="30">
        <v>2007</v>
      </c>
      <c r="R564" s="30">
        <v>2007</v>
      </c>
      <c r="S564" s="30">
        <v>1368</v>
      </c>
      <c r="T564" s="32"/>
      <c r="U564" s="32"/>
      <c r="V564" s="32"/>
      <c r="W564" s="32"/>
      <c r="X564" s="32">
        <f>Inventory[[#This Row],[Bsmt Area]]-Inventory[[#This Row],[FnBsmt]]</f>
        <v>0</v>
      </c>
      <c r="Y564" s="32">
        <f>Inventory[[#This Row],[MainFn]]+Inventory[[#This Row],[UpprFn]]+Inventory[[#This Row],[AddFn]]+Inventory[[#This Row],[FnBsmt]]</f>
        <v>1368</v>
      </c>
      <c r="Z564" s="32">
        <v>1500</v>
      </c>
      <c r="AA564" s="31" t="s">
        <v>56</v>
      </c>
      <c r="AB564" s="37"/>
      <c r="AC564" s="30">
        <v>440</v>
      </c>
      <c r="AD564" s="32"/>
      <c r="AE564" s="32"/>
      <c r="AF564" s="32"/>
      <c r="AG564" s="32"/>
      <c r="AH564" s="32"/>
      <c r="AI564" s="30">
        <v>273342</v>
      </c>
      <c r="AJ564" s="30">
        <v>251475</v>
      </c>
      <c r="AK564" s="30">
        <v>0</v>
      </c>
      <c r="AL564" s="30">
        <v>0</v>
      </c>
      <c r="AM564" s="30">
        <v>60800</v>
      </c>
      <c r="AN564" s="30">
        <v>290700</v>
      </c>
      <c r="AO564" s="30">
        <v>351500</v>
      </c>
      <c r="AP564" s="30">
        <f>Lookups!$B$58*0.6</f>
        <v>132535.48800000001</v>
      </c>
      <c r="AQ564" s="30">
        <f>Lookups!$B$58*0.4</f>
        <v>88356.992000000013</v>
      </c>
      <c r="AR564" s="30">
        <f>Lookups!$B$59*Inventory[[#This Row],[LnAcres]]</f>
        <v>-24051.387388882686</v>
      </c>
      <c r="AS564" s="30">
        <f>VLOOKUP(Inventory[[#This Row],[Qlty]],Lookups!$A$66:$E$79,2,FALSE)</f>
        <v>37154.252388000001</v>
      </c>
      <c r="AT564" s="30">
        <f>VLOOKUP(Inventory[[#This Row],[Cnd]],Lookups!$A$80:$E$88,2,FALSE)</f>
        <v>30300.329274</v>
      </c>
      <c r="AU564" s="30">
        <f>Inventory[[#This Row],[EffAge]]*Lookups!$B$65</f>
        <v>-1848.5987</v>
      </c>
      <c r="AV564" s="30">
        <f>Inventory[[#This Row],[MainFn]]*Lookups!$B$90</f>
        <v>85377.399839999998</v>
      </c>
      <c r="AW564" s="30">
        <f>Inventory[[#This Row],[UpprFn]]*Lookups!$B$91</f>
        <v>0</v>
      </c>
      <c r="AX564" s="30">
        <f>Inventory[[#This Row],[Bsmt Area]]*Lookups!$B$95</f>
        <v>0</v>
      </c>
      <c r="AY564" s="30">
        <f>Inventory[[#This Row],[AttGar]]*Lookups!$B$93</f>
        <v>15532.453640000002</v>
      </c>
      <c r="AZ564" s="30">
        <f>ROUND(Inventory[[#This Row],[25Det]],-2)</f>
        <v>0</v>
      </c>
      <c r="BA564" s="30">
        <f>ROUND(SUM(Inventory[[#This Row],[Mdl Qlty]:[Mdl Garage Area]])+Inventory[[#This Row],[Mdl Res Intercept]],-2)</f>
        <v>299100</v>
      </c>
      <c r="BB564" s="30">
        <f>ROUND(Inventory[[#This Row],[Mdl Land Intercept]]+Inventory[[#This Row],[Mdl LnAcres]],-2)</f>
        <v>64300</v>
      </c>
      <c r="BC564" s="30">
        <f>Inventory[[#This Row],[Unadj Res Value]]+Inventory[[#This Row],[Unadj Det Value]]+Inventory[[#This Row],[Unadj Land Value]]</f>
        <v>363400</v>
      </c>
      <c r="BD564" s="30">
        <f>(Inventory[[#This Row],[Unadj Total Value]]-Inventory[[#This Row],[24Final]])/Inventory[[#This Row],[24Final]]</f>
        <v>3.3854907539118066E-2</v>
      </c>
      <c r="BE564" s="30">
        <f>VLOOKUP(Inventory[[#This Row],[Nbhd]],Lookups!$M$3:$P$5,4,FALSE)</f>
        <v>0.99970000000000003</v>
      </c>
      <c r="BF564" s="30">
        <f>VLOOKUP(Inventory[[#This Row],[Qlty]],Lookups!$M$8:$P$22,4,FALSE)</f>
        <v>0.99819999999999998</v>
      </c>
      <c r="BG564" s="30">
        <f>VLOOKUP(Inventory[[#This Row],[Cnd]],Lookups!$R$8:$U$17,4,FALSE)</f>
        <v>0.997</v>
      </c>
      <c r="BH564" s="30">
        <f>VLOOKUP(Inventory[[#This Row],[LivArea Range]],Lookups!$R$25:$U$43,4,FALSE)</f>
        <v>0.99519999999999997</v>
      </c>
      <c r="BI564" s="30">
        <f>VLOOKUP(Inventory[[#This Row],[Decade]],Lookups!$M$24:$P$40,4,FALSE)</f>
        <v>1.0024</v>
      </c>
      <c r="BJ564" s="30">
        <f>Inventory[[#This Row],[Nbhd Adj]]*0.95</f>
        <v>0.94971499999999998</v>
      </c>
      <c r="BK564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564" s="30">
        <f>ROUND((SUM(Inventory[[#This Row],[Mdl Qlty]:[Mdl Garage Area]])+Inventory[[#This Row],[Mdl Res Intercept]])*Inventory[[#This Row],[Res Adj ]],-2)</f>
        <v>283700</v>
      </c>
      <c r="BM564" s="30">
        <f>ROUND(Inventory[[#This Row],[25Det]]*Inventory[[#This Row],[Det/Nbhd Adj]],-2)</f>
        <v>0</v>
      </c>
      <c r="BN564" s="30">
        <f>Inventory[[#This Row],[Adjusted Res]]+Inventory[[#This Row],[Adj Det ]]</f>
        <v>283700</v>
      </c>
      <c r="BO564" s="30">
        <f>ROUND((Inventory[[#This Row],[Mdl Land Intercept]]+Inventory[[#This Row],[Mdl LnAcres]])*Inventory[[#This Row],[Det/Nbhd Adj]],-2)</f>
        <v>61100</v>
      </c>
      <c r="BP564" s="30">
        <f>Inventory[[#This Row],[Adjusted Impr Total]]+Inventory[[#This Row],[Adjusted Land Total]]</f>
        <v>344800</v>
      </c>
      <c r="BQ564" s="30">
        <f>IFERROR((Inventory[[#This Row],[Adjusted Impr Total]]-Inventory[[#This Row],[24Bldg]])/Inventory[[#This Row],[24Bldg]],0)</f>
        <v>-2.4079807361541108E-2</v>
      </c>
      <c r="BR564" s="43">
        <f>(Inventory[[#This Row],[Adjusted Land Total]]-Inventory[[#This Row],[24Lnd]])/Inventory[[#This Row],[24Lnd]]</f>
        <v>4.9342105263157892E-3</v>
      </c>
      <c r="BS564" s="43">
        <f>(Inventory[[#This Row],[Adjusted Total]]-Inventory[[#This Row],[24Final]])/Inventory[[#This Row],[24Final]]</f>
        <v>-1.9061166429587481E-2</v>
      </c>
    </row>
    <row r="565" spans="1:71">
      <c r="A565" s="30">
        <v>2025</v>
      </c>
      <c r="B565" s="31" t="s">
        <v>1079</v>
      </c>
      <c r="C565" s="31">
        <f>LN(Inventory[[#This Row],[Acres]])</f>
        <v>-1.8325814637483102</v>
      </c>
      <c r="D565" s="30">
        <v>0.16</v>
      </c>
      <c r="E565" s="30">
        <v>6976</v>
      </c>
      <c r="F565" s="31" t="s">
        <v>505</v>
      </c>
      <c r="G565" s="31" t="s">
        <v>155</v>
      </c>
      <c r="H565" s="31" t="s">
        <v>5</v>
      </c>
      <c r="I565" s="31" t="s">
        <v>506</v>
      </c>
      <c r="J565" s="31" t="s">
        <v>507</v>
      </c>
      <c r="K565" s="31" t="s">
        <v>157</v>
      </c>
      <c r="L565" s="31" t="s">
        <v>21</v>
      </c>
      <c r="M565" s="31" t="s">
        <v>20</v>
      </c>
      <c r="N565" s="31">
        <v>10</v>
      </c>
      <c r="O565" s="31">
        <f>2024-Inventory[[#This Row],[YrBlt]]</f>
        <v>17</v>
      </c>
      <c r="P565" s="31">
        <f>2024-Inventory[[#This Row],[EffYr]]</f>
        <v>17</v>
      </c>
      <c r="Q565" s="30">
        <v>2007</v>
      </c>
      <c r="R565" s="30">
        <v>2007</v>
      </c>
      <c r="S565" s="30">
        <v>1116</v>
      </c>
      <c r="T565" s="38">
        <v>1116</v>
      </c>
      <c r="U565" s="32"/>
      <c r="V565" s="32"/>
      <c r="W565" s="32"/>
      <c r="X565" s="32">
        <f>Inventory[[#This Row],[Bsmt Area]]-Inventory[[#This Row],[FnBsmt]]</f>
        <v>0</v>
      </c>
      <c r="Y565" s="32">
        <f>Inventory[[#This Row],[MainFn]]+Inventory[[#This Row],[UpprFn]]+Inventory[[#This Row],[AddFn]]+Inventory[[#This Row],[FnBsmt]]</f>
        <v>2232</v>
      </c>
      <c r="Z565" s="32">
        <v>2500</v>
      </c>
      <c r="AA565" s="31" t="s">
        <v>56</v>
      </c>
      <c r="AB565" s="32"/>
      <c r="AC565" s="30">
        <v>716</v>
      </c>
      <c r="AD565" s="32"/>
      <c r="AE565" s="32"/>
      <c r="AF565" s="32"/>
      <c r="AG565" s="32"/>
      <c r="AH565" s="32"/>
      <c r="AI565" s="30">
        <v>451974</v>
      </c>
      <c r="AJ565" s="30">
        <v>415816</v>
      </c>
      <c r="AK565" s="30">
        <v>0</v>
      </c>
      <c r="AL565" s="30">
        <v>0</v>
      </c>
      <c r="AM565" s="30">
        <v>60800</v>
      </c>
      <c r="AN565" s="30">
        <v>348200</v>
      </c>
      <c r="AO565" s="30">
        <v>409000</v>
      </c>
      <c r="AP565" s="30">
        <f>Lookups!$B$58*0.6</f>
        <v>132535.48800000001</v>
      </c>
      <c r="AQ565" s="30">
        <f>Lookups!$B$58*0.4</f>
        <v>88356.992000000013</v>
      </c>
      <c r="AR565" s="30">
        <f>Lookups!$B$59*Inventory[[#This Row],[LnAcres]]</f>
        <v>-24051.387388882686</v>
      </c>
      <c r="AS565" s="30">
        <f>VLOOKUP(Inventory[[#This Row],[Qlty]],Lookups!$A$66:$E$79,2,FALSE)</f>
        <v>32917.849192000001</v>
      </c>
      <c r="AT565" s="30">
        <f>VLOOKUP(Inventory[[#This Row],[Cnd]],Lookups!$A$80:$E$88,2,FALSE)</f>
        <v>30300.329274</v>
      </c>
      <c r="AU565" s="30">
        <f>Inventory[[#This Row],[EffAge]]*Lookups!$B$65</f>
        <v>-1848.5987</v>
      </c>
      <c r="AV565" s="30">
        <f>Inventory[[#This Row],[MainFn]]*Lookups!$B$90</f>
        <v>69649.984080000009</v>
      </c>
      <c r="AW565" s="30">
        <f>Inventory[[#This Row],[UpprFn]]*Lookups!$B$91</f>
        <v>66491.707427999994</v>
      </c>
      <c r="AX565" s="30">
        <f>Inventory[[#This Row],[Bsmt Area]]*Lookups!$B$95</f>
        <v>0</v>
      </c>
      <c r="AY565" s="30">
        <f>Inventory[[#This Row],[AttGar]]*Lookups!$B$93</f>
        <v>25275.538196000001</v>
      </c>
      <c r="AZ565" s="30">
        <f>ROUND(Inventory[[#This Row],[25Det]],-2)</f>
        <v>0</v>
      </c>
      <c r="BA565" s="30">
        <f>ROUND(SUM(Inventory[[#This Row],[Mdl Qlty]:[Mdl Garage Area]])+Inventory[[#This Row],[Mdl Res Intercept]],-2)</f>
        <v>355300</v>
      </c>
      <c r="BB565" s="30">
        <f>ROUND(Inventory[[#This Row],[Mdl Land Intercept]]+Inventory[[#This Row],[Mdl LnAcres]],-2)</f>
        <v>64300</v>
      </c>
      <c r="BC565" s="30">
        <f>Inventory[[#This Row],[Unadj Res Value]]+Inventory[[#This Row],[Unadj Det Value]]+Inventory[[#This Row],[Unadj Land Value]]</f>
        <v>419600</v>
      </c>
      <c r="BD565" s="30">
        <f>(Inventory[[#This Row],[Unadj Total Value]]-Inventory[[#This Row],[24Final]])/Inventory[[#This Row],[24Final]]</f>
        <v>2.591687041564792E-2</v>
      </c>
      <c r="BE565" s="30">
        <f>VLOOKUP(Inventory[[#This Row],[Nbhd]],Lookups!$M$3:$P$5,4,FALSE)</f>
        <v>0.99970000000000003</v>
      </c>
      <c r="BF565" s="30">
        <f>VLOOKUP(Inventory[[#This Row],[Qlty]],Lookups!$M$8:$P$22,4,FALSE)</f>
        <v>1.0019</v>
      </c>
      <c r="BG565" s="30">
        <f>VLOOKUP(Inventory[[#This Row],[Cnd]],Lookups!$R$8:$U$17,4,FALSE)</f>
        <v>0.997</v>
      </c>
      <c r="BH565" s="30">
        <f>VLOOKUP(Inventory[[#This Row],[LivArea Range]],Lookups!$R$25:$U$43,4,FALSE)</f>
        <v>1.0008999999999999</v>
      </c>
      <c r="BI565" s="30">
        <f>VLOOKUP(Inventory[[#This Row],[Decade]],Lookups!$M$24:$P$40,4,FALSE)</f>
        <v>1.0024</v>
      </c>
      <c r="BJ565" s="30">
        <f>Inventory[[#This Row],[Nbhd Adj]]*0.95</f>
        <v>0.94971499999999998</v>
      </c>
      <c r="BK565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565" s="30">
        <f>ROUND((SUM(Inventory[[#This Row],[Mdl Qlty]:[Mdl Garage Area]])+Inventory[[#This Row],[Mdl Res Intercept]])*Inventory[[#This Row],[Res Adj ]],-2)</f>
        <v>337700</v>
      </c>
      <c r="BM565" s="30">
        <f>ROUND(Inventory[[#This Row],[25Det]]*Inventory[[#This Row],[Det/Nbhd Adj]],-2)</f>
        <v>0</v>
      </c>
      <c r="BN565" s="30">
        <f>Inventory[[#This Row],[Adjusted Res]]+Inventory[[#This Row],[Adj Det ]]</f>
        <v>337700</v>
      </c>
      <c r="BO565" s="30">
        <f>ROUND((Inventory[[#This Row],[Mdl Land Intercept]]+Inventory[[#This Row],[Mdl LnAcres]])*Inventory[[#This Row],[Det/Nbhd Adj]],-2)</f>
        <v>61100</v>
      </c>
      <c r="BP565" s="30">
        <f>Inventory[[#This Row],[Adjusted Impr Total]]+Inventory[[#This Row],[Adjusted Land Total]]</f>
        <v>398800</v>
      </c>
      <c r="BQ565" s="30">
        <f>IFERROR((Inventory[[#This Row],[Adjusted Impr Total]]-Inventory[[#This Row],[24Bldg]])/Inventory[[#This Row],[24Bldg]],0)</f>
        <v>-3.0155083285468121E-2</v>
      </c>
      <c r="BR565" s="43">
        <f>(Inventory[[#This Row],[Adjusted Land Total]]-Inventory[[#This Row],[24Lnd]])/Inventory[[#This Row],[24Lnd]]</f>
        <v>4.9342105263157892E-3</v>
      </c>
      <c r="BS565" s="43">
        <f>(Inventory[[#This Row],[Adjusted Total]]-Inventory[[#This Row],[24Final]])/Inventory[[#This Row],[24Final]]</f>
        <v>-2.493887530562347E-2</v>
      </c>
    </row>
    <row r="566" spans="1:71">
      <c r="A566" s="30">
        <v>2025</v>
      </c>
      <c r="B566" s="31" t="s">
        <v>1080</v>
      </c>
      <c r="C566" s="31">
        <f>LN(Inventory[[#This Row],[Acres]])</f>
        <v>-1.8325814637483102</v>
      </c>
      <c r="D566" s="30">
        <v>0.16</v>
      </c>
      <c r="E566" s="30">
        <v>7002</v>
      </c>
      <c r="F566" s="31" t="s">
        <v>505</v>
      </c>
      <c r="G566" s="31" t="s">
        <v>155</v>
      </c>
      <c r="H566" s="31" t="s">
        <v>5</v>
      </c>
      <c r="I566" s="31" t="s">
        <v>506</v>
      </c>
      <c r="J566" s="31" t="s">
        <v>507</v>
      </c>
      <c r="K566" s="31" t="s">
        <v>193</v>
      </c>
      <c r="L566" s="31" t="s">
        <v>19</v>
      </c>
      <c r="M566" s="31" t="s">
        <v>20</v>
      </c>
      <c r="N566" s="31">
        <v>10</v>
      </c>
      <c r="O566" s="31">
        <f>2024-Inventory[[#This Row],[YrBlt]]</f>
        <v>17</v>
      </c>
      <c r="P566" s="31">
        <f>2024-Inventory[[#This Row],[EffYr]]</f>
        <v>17</v>
      </c>
      <c r="Q566" s="30">
        <v>2007</v>
      </c>
      <c r="R566" s="30">
        <v>2007</v>
      </c>
      <c r="S566" s="30">
        <v>1380</v>
      </c>
      <c r="T566" s="37"/>
      <c r="U566" s="32"/>
      <c r="V566" s="32"/>
      <c r="W566" s="32"/>
      <c r="X566" s="32">
        <f>Inventory[[#This Row],[Bsmt Area]]-Inventory[[#This Row],[FnBsmt]]</f>
        <v>0</v>
      </c>
      <c r="Y566" s="32">
        <f>Inventory[[#This Row],[MainFn]]+Inventory[[#This Row],[UpprFn]]+Inventory[[#This Row],[AddFn]]+Inventory[[#This Row],[FnBsmt]]</f>
        <v>1380</v>
      </c>
      <c r="Z566" s="32">
        <v>1500</v>
      </c>
      <c r="AA566" s="31" t="s">
        <v>56</v>
      </c>
      <c r="AB566" s="32"/>
      <c r="AC566" s="38">
        <v>428</v>
      </c>
      <c r="AD566" s="37"/>
      <c r="AE566" s="32"/>
      <c r="AF566" s="32"/>
      <c r="AG566" s="32"/>
      <c r="AH566" s="38">
        <v>100</v>
      </c>
      <c r="AI566" s="30">
        <v>274549</v>
      </c>
      <c r="AJ566" s="30">
        <v>252585</v>
      </c>
      <c r="AK566" s="30">
        <v>0</v>
      </c>
      <c r="AL566" s="30">
        <v>0</v>
      </c>
      <c r="AM566" s="30">
        <v>60800</v>
      </c>
      <c r="AN566" s="30">
        <v>290700</v>
      </c>
      <c r="AO566" s="30">
        <v>351500</v>
      </c>
      <c r="AP566" s="30">
        <f>Lookups!$B$58*0.6</f>
        <v>132535.48800000001</v>
      </c>
      <c r="AQ566" s="30">
        <f>Lookups!$B$58*0.4</f>
        <v>88356.992000000013</v>
      </c>
      <c r="AR566" s="30">
        <f>Lookups!$B$59*Inventory[[#This Row],[LnAcres]]</f>
        <v>-24051.387388882686</v>
      </c>
      <c r="AS566" s="30">
        <f>VLOOKUP(Inventory[[#This Row],[Qlty]],Lookups!$A$66:$E$79,2,FALSE)</f>
        <v>37154.252388000001</v>
      </c>
      <c r="AT566" s="30">
        <f>VLOOKUP(Inventory[[#This Row],[Cnd]],Lookups!$A$80:$E$88,2,FALSE)</f>
        <v>30300.329274</v>
      </c>
      <c r="AU566" s="30">
        <f>Inventory[[#This Row],[EffAge]]*Lookups!$B$65</f>
        <v>-1848.5987</v>
      </c>
      <c r="AV566" s="30">
        <f>Inventory[[#This Row],[MainFn]]*Lookups!$B$90</f>
        <v>86126.324399999998</v>
      </c>
      <c r="AW566" s="30">
        <f>Inventory[[#This Row],[UpprFn]]*Lookups!$B$91</f>
        <v>0</v>
      </c>
      <c r="AX566" s="30">
        <f>Inventory[[#This Row],[Bsmt Area]]*Lookups!$B$95</f>
        <v>0</v>
      </c>
      <c r="AY566" s="30">
        <f>Inventory[[#This Row],[AttGar]]*Lookups!$B$93</f>
        <v>15108.841268</v>
      </c>
      <c r="AZ566" s="30">
        <f>ROUND(Inventory[[#This Row],[25Det]],-2)</f>
        <v>0</v>
      </c>
      <c r="BA566" s="30">
        <f>ROUND(SUM(Inventory[[#This Row],[Mdl Qlty]:[Mdl Garage Area]])+Inventory[[#This Row],[Mdl Res Intercept]],-2)</f>
        <v>299400</v>
      </c>
      <c r="BB566" s="30">
        <f>ROUND(Inventory[[#This Row],[Mdl Land Intercept]]+Inventory[[#This Row],[Mdl LnAcres]],-2)</f>
        <v>64300</v>
      </c>
      <c r="BC566" s="30">
        <f>Inventory[[#This Row],[Unadj Res Value]]+Inventory[[#This Row],[Unadj Det Value]]+Inventory[[#This Row],[Unadj Land Value]]</f>
        <v>363700</v>
      </c>
      <c r="BD566" s="30">
        <f>(Inventory[[#This Row],[Unadj Total Value]]-Inventory[[#This Row],[24Final]])/Inventory[[#This Row],[24Final]]</f>
        <v>3.4708392603129447E-2</v>
      </c>
      <c r="BE566" s="30">
        <f>VLOOKUP(Inventory[[#This Row],[Nbhd]],Lookups!$M$3:$P$5,4,FALSE)</f>
        <v>0.99970000000000003</v>
      </c>
      <c r="BF566" s="30">
        <f>VLOOKUP(Inventory[[#This Row],[Qlty]],Lookups!$M$8:$P$22,4,FALSE)</f>
        <v>0.99819999999999998</v>
      </c>
      <c r="BG566" s="30">
        <f>VLOOKUP(Inventory[[#This Row],[Cnd]],Lookups!$R$8:$U$17,4,FALSE)</f>
        <v>0.997</v>
      </c>
      <c r="BH566" s="30">
        <f>VLOOKUP(Inventory[[#This Row],[LivArea Range]],Lookups!$R$25:$U$43,4,FALSE)</f>
        <v>0.99519999999999997</v>
      </c>
      <c r="BI566" s="30">
        <f>VLOOKUP(Inventory[[#This Row],[Decade]],Lookups!$M$24:$P$40,4,FALSE)</f>
        <v>1.0024</v>
      </c>
      <c r="BJ566" s="30">
        <f>Inventory[[#This Row],[Nbhd Adj]]*0.95</f>
        <v>0.94971499999999998</v>
      </c>
      <c r="BK566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566" s="30">
        <f>ROUND((SUM(Inventory[[#This Row],[Mdl Qlty]:[Mdl Garage Area]])+Inventory[[#This Row],[Mdl Res Intercept]])*Inventory[[#This Row],[Res Adj ]],-2)</f>
        <v>284000</v>
      </c>
      <c r="BM566" s="30">
        <f>ROUND(Inventory[[#This Row],[25Det]]*Inventory[[#This Row],[Det/Nbhd Adj]],-2)</f>
        <v>0</v>
      </c>
      <c r="BN566" s="30">
        <f>Inventory[[#This Row],[Adjusted Res]]+Inventory[[#This Row],[Adj Det ]]</f>
        <v>284000</v>
      </c>
      <c r="BO566" s="30">
        <f>ROUND((Inventory[[#This Row],[Mdl Land Intercept]]+Inventory[[#This Row],[Mdl LnAcres]])*Inventory[[#This Row],[Det/Nbhd Adj]],-2)</f>
        <v>61100</v>
      </c>
      <c r="BP566" s="30">
        <f>Inventory[[#This Row],[Adjusted Impr Total]]+Inventory[[#This Row],[Adjusted Land Total]]</f>
        <v>345100</v>
      </c>
      <c r="BQ566" s="30">
        <f>IFERROR((Inventory[[#This Row],[Adjusted Impr Total]]-Inventory[[#This Row],[24Bldg]])/Inventory[[#This Row],[24Bldg]],0)</f>
        <v>-2.304781561747506E-2</v>
      </c>
      <c r="BR566" s="43">
        <f>(Inventory[[#This Row],[Adjusted Land Total]]-Inventory[[#This Row],[24Lnd]])/Inventory[[#This Row],[24Lnd]]</f>
        <v>4.9342105263157892E-3</v>
      </c>
      <c r="BS566" s="43">
        <f>(Inventory[[#This Row],[Adjusted Total]]-Inventory[[#This Row],[24Final]])/Inventory[[#This Row],[24Final]]</f>
        <v>-1.8207681365576104E-2</v>
      </c>
    </row>
    <row r="567" spans="1:71">
      <c r="A567" s="30">
        <v>2025</v>
      </c>
      <c r="B567" s="31" t="s">
        <v>1081</v>
      </c>
      <c r="C567" s="31">
        <f>LN(Inventory[[#This Row],[Acres]])</f>
        <v>-1.8325814637483102</v>
      </c>
      <c r="D567" s="30">
        <v>0.16</v>
      </c>
      <c r="E567" s="30">
        <v>6940</v>
      </c>
      <c r="F567" s="31" t="s">
        <v>505</v>
      </c>
      <c r="G567" s="31" t="s">
        <v>155</v>
      </c>
      <c r="H567" s="31" t="s">
        <v>5</v>
      </c>
      <c r="I567" s="31" t="s">
        <v>506</v>
      </c>
      <c r="J567" s="31" t="s">
        <v>507</v>
      </c>
      <c r="K567" s="31" t="s">
        <v>157</v>
      </c>
      <c r="L567" s="31" t="s">
        <v>21</v>
      </c>
      <c r="M567" s="31" t="s">
        <v>22</v>
      </c>
      <c r="N567" s="31">
        <v>10</v>
      </c>
      <c r="O567" s="31">
        <f>2024-Inventory[[#This Row],[YrBlt]]</f>
        <v>17</v>
      </c>
      <c r="P567" s="31">
        <f>2024-Inventory[[#This Row],[EffYr]]</f>
        <v>17</v>
      </c>
      <c r="Q567" s="30">
        <v>2007</v>
      </c>
      <c r="R567" s="30">
        <v>2007</v>
      </c>
      <c r="S567" s="30">
        <v>1040</v>
      </c>
      <c r="T567" s="38">
        <v>1040</v>
      </c>
      <c r="U567" s="32"/>
      <c r="V567" s="32"/>
      <c r="W567" s="32"/>
      <c r="X567" s="32">
        <f>Inventory[[#This Row],[Bsmt Area]]-Inventory[[#This Row],[FnBsmt]]</f>
        <v>0</v>
      </c>
      <c r="Y567" s="32">
        <f>Inventory[[#This Row],[MainFn]]+Inventory[[#This Row],[UpprFn]]+Inventory[[#This Row],[AddFn]]+Inventory[[#This Row],[FnBsmt]]</f>
        <v>2080</v>
      </c>
      <c r="Z567" s="32">
        <v>2500</v>
      </c>
      <c r="AA567" s="31" t="s">
        <v>56</v>
      </c>
      <c r="AB567" s="32"/>
      <c r="AC567" s="30">
        <v>440</v>
      </c>
      <c r="AD567" s="32"/>
      <c r="AE567" s="32"/>
      <c r="AF567" s="32"/>
      <c r="AG567" s="32"/>
      <c r="AH567" s="32"/>
      <c r="AI567" s="30">
        <v>423813</v>
      </c>
      <c r="AJ567" s="30">
        <v>394146</v>
      </c>
      <c r="AK567" s="30">
        <v>0</v>
      </c>
      <c r="AL567" s="30">
        <v>0</v>
      </c>
      <c r="AM567" s="30">
        <v>60800</v>
      </c>
      <c r="AN567" s="30">
        <v>348800</v>
      </c>
      <c r="AO567" s="30">
        <v>409600</v>
      </c>
      <c r="AP567" s="30">
        <f>Lookups!$B$58*0.6</f>
        <v>132535.48800000001</v>
      </c>
      <c r="AQ567" s="30">
        <f>Lookups!$B$58*0.4</f>
        <v>88356.992000000013</v>
      </c>
      <c r="AR567" s="30">
        <f>Lookups!$B$59*Inventory[[#This Row],[LnAcres]]</f>
        <v>-24051.387388882686</v>
      </c>
      <c r="AS567" s="30">
        <f>VLOOKUP(Inventory[[#This Row],[Qlty]],Lookups!$A$66:$E$79,2,FALSE)</f>
        <v>32917.849192000001</v>
      </c>
      <c r="AT567" s="30">
        <f>VLOOKUP(Inventory[[#This Row],[Cnd]],Lookups!$A$80:$E$88,2,FALSE)</f>
        <v>50438.379078999998</v>
      </c>
      <c r="AU567" s="30">
        <f>Inventory[[#This Row],[EffAge]]*Lookups!$B$65</f>
        <v>-1848.5987</v>
      </c>
      <c r="AV567" s="30">
        <f>Inventory[[#This Row],[MainFn]]*Lookups!$B$90</f>
        <v>64906.7952</v>
      </c>
      <c r="AW567" s="30">
        <f>Inventory[[#This Row],[UpprFn]]*Lookups!$B$91</f>
        <v>61963.598319999997</v>
      </c>
      <c r="AX567" s="30">
        <f>Inventory[[#This Row],[Bsmt Area]]*Lookups!$B$95</f>
        <v>0</v>
      </c>
      <c r="AY567" s="30">
        <f>Inventory[[#This Row],[AttGar]]*Lookups!$B$93</f>
        <v>15532.453640000002</v>
      </c>
      <c r="AZ567" s="30">
        <f>ROUND(Inventory[[#This Row],[25Det]],-2)</f>
        <v>0</v>
      </c>
      <c r="BA567" s="30">
        <f>ROUND(SUM(Inventory[[#This Row],[Mdl Qlty]:[Mdl Garage Area]])+Inventory[[#This Row],[Mdl Res Intercept]],-2)</f>
        <v>356400</v>
      </c>
      <c r="BB567" s="30">
        <f>ROUND(Inventory[[#This Row],[Mdl Land Intercept]]+Inventory[[#This Row],[Mdl LnAcres]],-2)</f>
        <v>64300</v>
      </c>
      <c r="BC567" s="30">
        <f>Inventory[[#This Row],[Unadj Res Value]]+Inventory[[#This Row],[Unadj Det Value]]+Inventory[[#This Row],[Unadj Land Value]]</f>
        <v>420700</v>
      </c>
      <c r="BD567" s="30">
        <f>(Inventory[[#This Row],[Unadj Total Value]]-Inventory[[#This Row],[24Final]])/Inventory[[#This Row],[24Final]]</f>
        <v>2.7099609375E-2</v>
      </c>
      <c r="BE567" s="30">
        <f>VLOOKUP(Inventory[[#This Row],[Nbhd]],Lookups!$M$3:$P$5,4,FALSE)</f>
        <v>0.99970000000000003</v>
      </c>
      <c r="BF567" s="30">
        <f>VLOOKUP(Inventory[[#This Row],[Qlty]],Lookups!$M$8:$P$22,4,FALSE)</f>
        <v>1.0019</v>
      </c>
      <c r="BG567" s="30">
        <f>VLOOKUP(Inventory[[#This Row],[Cnd]],Lookups!$R$8:$U$17,4,FALSE)</f>
        <v>1.0007999999999999</v>
      </c>
      <c r="BH567" s="30">
        <f>VLOOKUP(Inventory[[#This Row],[LivArea Range]],Lookups!$R$25:$U$43,4,FALSE)</f>
        <v>1.0008999999999999</v>
      </c>
      <c r="BI567" s="30">
        <f>VLOOKUP(Inventory[[#This Row],[Decade]],Lookups!$M$24:$P$40,4,FALSE)</f>
        <v>1.0024</v>
      </c>
      <c r="BJ567" s="30">
        <f>Inventory[[#This Row],[Nbhd Adj]]*0.95</f>
        <v>0.94971499999999998</v>
      </c>
      <c r="BK567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567" s="30">
        <f>ROUND((SUM(Inventory[[#This Row],[Mdl Qlty]:[Mdl Garage Area]])+Inventory[[#This Row],[Mdl Res Intercept]])*Inventory[[#This Row],[Res Adj ]],-2)</f>
        <v>339000</v>
      </c>
      <c r="BM567" s="30">
        <f>ROUND(Inventory[[#This Row],[25Det]]*Inventory[[#This Row],[Det/Nbhd Adj]],-2)</f>
        <v>0</v>
      </c>
      <c r="BN567" s="30">
        <f>Inventory[[#This Row],[Adjusted Res]]+Inventory[[#This Row],[Adj Det ]]</f>
        <v>339000</v>
      </c>
      <c r="BO567" s="30">
        <f>ROUND((Inventory[[#This Row],[Mdl Land Intercept]]+Inventory[[#This Row],[Mdl LnAcres]])*Inventory[[#This Row],[Det/Nbhd Adj]],-2)</f>
        <v>61100</v>
      </c>
      <c r="BP567" s="30">
        <f>Inventory[[#This Row],[Adjusted Impr Total]]+Inventory[[#This Row],[Adjusted Land Total]]</f>
        <v>400100</v>
      </c>
      <c r="BQ567" s="30">
        <f>IFERROR((Inventory[[#This Row],[Adjusted Impr Total]]-Inventory[[#This Row],[24Bldg]])/Inventory[[#This Row],[24Bldg]],0)</f>
        <v>-2.8096330275229359E-2</v>
      </c>
      <c r="BR567" s="43">
        <f>(Inventory[[#This Row],[Adjusted Land Total]]-Inventory[[#This Row],[24Lnd]])/Inventory[[#This Row],[24Lnd]]</f>
        <v>4.9342105263157892E-3</v>
      </c>
      <c r="BS567" s="43">
        <f>(Inventory[[#This Row],[Adjusted Total]]-Inventory[[#This Row],[24Final]])/Inventory[[#This Row],[24Final]]</f>
        <v>-2.3193359375E-2</v>
      </c>
    </row>
    <row r="568" spans="1:71">
      <c r="A568" s="30">
        <v>2025</v>
      </c>
      <c r="B568" s="31" t="s">
        <v>1082</v>
      </c>
      <c r="C568" s="31">
        <f>LN(Inventory[[#This Row],[Acres]])</f>
        <v>-1.8325814637483102</v>
      </c>
      <c r="D568" s="30">
        <v>0.16</v>
      </c>
      <c r="E568" s="30">
        <v>6900</v>
      </c>
      <c r="F568" s="31" t="s">
        <v>505</v>
      </c>
      <c r="G568" s="31" t="s">
        <v>155</v>
      </c>
      <c r="H568" s="31" t="s">
        <v>5</v>
      </c>
      <c r="I568" s="31" t="s">
        <v>506</v>
      </c>
      <c r="J568" s="31" t="s">
        <v>507</v>
      </c>
      <c r="K568" s="31" t="s">
        <v>193</v>
      </c>
      <c r="L568" s="31" t="s">
        <v>19</v>
      </c>
      <c r="M568" s="31" t="s">
        <v>20</v>
      </c>
      <c r="N568" s="31">
        <v>10</v>
      </c>
      <c r="O568" s="31">
        <f>2024-Inventory[[#This Row],[YrBlt]]</f>
        <v>17</v>
      </c>
      <c r="P568" s="31">
        <f>2024-Inventory[[#This Row],[EffYr]]</f>
        <v>17</v>
      </c>
      <c r="Q568" s="30">
        <v>2007</v>
      </c>
      <c r="R568" s="30">
        <v>2007</v>
      </c>
      <c r="S568" s="30">
        <v>1380</v>
      </c>
      <c r="T568" s="37"/>
      <c r="U568" s="32"/>
      <c r="V568" s="32"/>
      <c r="W568" s="32"/>
      <c r="X568" s="32">
        <f>Inventory[[#This Row],[Bsmt Area]]-Inventory[[#This Row],[FnBsmt]]</f>
        <v>0</v>
      </c>
      <c r="Y568" s="32">
        <f>Inventory[[#This Row],[MainFn]]+Inventory[[#This Row],[UpprFn]]+Inventory[[#This Row],[AddFn]]+Inventory[[#This Row],[FnBsmt]]</f>
        <v>1380</v>
      </c>
      <c r="Z568" s="32">
        <v>1500</v>
      </c>
      <c r="AA568" s="31" t="s">
        <v>56</v>
      </c>
      <c r="AB568" s="37"/>
      <c r="AC568" s="30">
        <v>428</v>
      </c>
      <c r="AD568" s="32"/>
      <c r="AE568" s="32"/>
      <c r="AF568" s="32"/>
      <c r="AG568" s="32"/>
      <c r="AH568" s="32"/>
      <c r="AI568" s="30">
        <v>274002</v>
      </c>
      <c r="AJ568" s="30">
        <v>252082</v>
      </c>
      <c r="AK568" s="30">
        <v>0</v>
      </c>
      <c r="AL568" s="30">
        <v>0</v>
      </c>
      <c r="AM568" s="30">
        <v>60800</v>
      </c>
      <c r="AN568" s="30">
        <v>289300</v>
      </c>
      <c r="AO568" s="30">
        <v>350100</v>
      </c>
      <c r="AP568" s="30">
        <f>Lookups!$B$58*0.6</f>
        <v>132535.48800000001</v>
      </c>
      <c r="AQ568" s="30">
        <f>Lookups!$B$58*0.4</f>
        <v>88356.992000000013</v>
      </c>
      <c r="AR568" s="30">
        <f>Lookups!$B$59*Inventory[[#This Row],[LnAcres]]</f>
        <v>-24051.387388882686</v>
      </c>
      <c r="AS568" s="30">
        <f>VLOOKUP(Inventory[[#This Row],[Qlty]],Lookups!$A$66:$E$79,2,FALSE)</f>
        <v>37154.252388000001</v>
      </c>
      <c r="AT568" s="30">
        <f>VLOOKUP(Inventory[[#This Row],[Cnd]],Lookups!$A$80:$E$88,2,FALSE)</f>
        <v>30300.329274</v>
      </c>
      <c r="AU568" s="30">
        <f>Inventory[[#This Row],[EffAge]]*Lookups!$B$65</f>
        <v>-1848.5987</v>
      </c>
      <c r="AV568" s="30">
        <f>Inventory[[#This Row],[MainFn]]*Lookups!$B$90</f>
        <v>86126.324399999998</v>
      </c>
      <c r="AW568" s="30">
        <f>Inventory[[#This Row],[UpprFn]]*Lookups!$B$91</f>
        <v>0</v>
      </c>
      <c r="AX568" s="30">
        <f>Inventory[[#This Row],[Bsmt Area]]*Lookups!$B$95</f>
        <v>0</v>
      </c>
      <c r="AY568" s="30">
        <f>Inventory[[#This Row],[AttGar]]*Lookups!$B$93</f>
        <v>15108.841268</v>
      </c>
      <c r="AZ568" s="30">
        <f>ROUND(Inventory[[#This Row],[25Det]],-2)</f>
        <v>0</v>
      </c>
      <c r="BA568" s="30">
        <f>ROUND(SUM(Inventory[[#This Row],[Mdl Qlty]:[Mdl Garage Area]])+Inventory[[#This Row],[Mdl Res Intercept]],-2)</f>
        <v>299400</v>
      </c>
      <c r="BB568" s="30">
        <f>ROUND(Inventory[[#This Row],[Mdl Land Intercept]]+Inventory[[#This Row],[Mdl LnAcres]],-2)</f>
        <v>64300</v>
      </c>
      <c r="BC568" s="30">
        <f>Inventory[[#This Row],[Unadj Res Value]]+Inventory[[#This Row],[Unadj Det Value]]+Inventory[[#This Row],[Unadj Land Value]]</f>
        <v>363700</v>
      </c>
      <c r="BD568" s="30">
        <f>(Inventory[[#This Row],[Unadj Total Value]]-Inventory[[#This Row],[24Final]])/Inventory[[#This Row],[24Final]]</f>
        <v>3.8846043987432161E-2</v>
      </c>
      <c r="BE568" s="30">
        <f>VLOOKUP(Inventory[[#This Row],[Nbhd]],Lookups!$M$3:$P$5,4,FALSE)</f>
        <v>0.99970000000000003</v>
      </c>
      <c r="BF568" s="30">
        <f>VLOOKUP(Inventory[[#This Row],[Qlty]],Lookups!$M$8:$P$22,4,FALSE)</f>
        <v>0.99819999999999998</v>
      </c>
      <c r="BG568" s="30">
        <f>VLOOKUP(Inventory[[#This Row],[Cnd]],Lookups!$R$8:$U$17,4,FALSE)</f>
        <v>0.997</v>
      </c>
      <c r="BH568" s="30">
        <f>VLOOKUP(Inventory[[#This Row],[LivArea Range]],Lookups!$R$25:$U$43,4,FALSE)</f>
        <v>0.99519999999999997</v>
      </c>
      <c r="BI568" s="30">
        <f>VLOOKUP(Inventory[[#This Row],[Decade]],Lookups!$M$24:$P$40,4,FALSE)</f>
        <v>1.0024</v>
      </c>
      <c r="BJ568" s="30">
        <f>Inventory[[#This Row],[Nbhd Adj]]*0.95</f>
        <v>0.94971499999999998</v>
      </c>
      <c r="BK568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568" s="30">
        <f>ROUND((SUM(Inventory[[#This Row],[Mdl Qlty]:[Mdl Garage Area]])+Inventory[[#This Row],[Mdl Res Intercept]])*Inventory[[#This Row],[Res Adj ]],-2)</f>
        <v>284000</v>
      </c>
      <c r="BM568" s="30">
        <f>ROUND(Inventory[[#This Row],[25Det]]*Inventory[[#This Row],[Det/Nbhd Adj]],-2)</f>
        <v>0</v>
      </c>
      <c r="BN568" s="30">
        <f>Inventory[[#This Row],[Adjusted Res]]+Inventory[[#This Row],[Adj Det ]]</f>
        <v>284000</v>
      </c>
      <c r="BO568" s="30">
        <f>ROUND((Inventory[[#This Row],[Mdl Land Intercept]]+Inventory[[#This Row],[Mdl LnAcres]])*Inventory[[#This Row],[Det/Nbhd Adj]],-2)</f>
        <v>61100</v>
      </c>
      <c r="BP568" s="30">
        <f>Inventory[[#This Row],[Adjusted Impr Total]]+Inventory[[#This Row],[Adjusted Land Total]]</f>
        <v>345100</v>
      </c>
      <c r="BQ568" s="30">
        <f>IFERROR((Inventory[[#This Row],[Adjusted Impr Total]]-Inventory[[#This Row],[24Bldg]])/Inventory[[#This Row],[24Bldg]],0)</f>
        <v>-1.8320082958866227E-2</v>
      </c>
      <c r="BR568" s="43">
        <f>(Inventory[[#This Row],[Adjusted Land Total]]-Inventory[[#This Row],[24Lnd]])/Inventory[[#This Row],[24Lnd]]</f>
        <v>4.9342105263157892E-3</v>
      </c>
      <c r="BS568" s="43">
        <f>(Inventory[[#This Row],[Adjusted Total]]-Inventory[[#This Row],[24Final]])/Inventory[[#This Row],[24Final]]</f>
        <v>-1.4281633818908884E-2</v>
      </c>
    </row>
    <row r="569" spans="1:71">
      <c r="A569" s="30">
        <v>2025</v>
      </c>
      <c r="B569" s="31" t="s">
        <v>1083</v>
      </c>
      <c r="C569" s="31">
        <f>LN(Inventory[[#This Row],[Acres]])</f>
        <v>-1.8325814637483102</v>
      </c>
      <c r="D569" s="30">
        <v>0.16</v>
      </c>
      <c r="E569" s="30">
        <v>6924</v>
      </c>
      <c r="F569" s="31" t="s">
        <v>505</v>
      </c>
      <c r="G569" s="31" t="s">
        <v>155</v>
      </c>
      <c r="H569" s="31" t="s">
        <v>5</v>
      </c>
      <c r="I569" s="31" t="s">
        <v>506</v>
      </c>
      <c r="J569" s="31" t="s">
        <v>507</v>
      </c>
      <c r="K569" s="31" t="s">
        <v>193</v>
      </c>
      <c r="L569" s="31" t="s">
        <v>19</v>
      </c>
      <c r="M569" s="31" t="s">
        <v>20</v>
      </c>
      <c r="N569" s="31">
        <v>10</v>
      </c>
      <c r="O569" s="31">
        <f>2024-Inventory[[#This Row],[YrBlt]]</f>
        <v>17</v>
      </c>
      <c r="P569" s="31">
        <f>2024-Inventory[[#This Row],[EffYr]]</f>
        <v>17</v>
      </c>
      <c r="Q569" s="30">
        <v>2007</v>
      </c>
      <c r="R569" s="30">
        <v>2007</v>
      </c>
      <c r="S569" s="30">
        <v>1380</v>
      </c>
      <c r="T569" s="32"/>
      <c r="U569" s="32"/>
      <c r="V569" s="32"/>
      <c r="W569" s="32"/>
      <c r="X569" s="32">
        <f>Inventory[[#This Row],[Bsmt Area]]-Inventory[[#This Row],[FnBsmt]]</f>
        <v>0</v>
      </c>
      <c r="Y569" s="32">
        <f>Inventory[[#This Row],[MainFn]]+Inventory[[#This Row],[UpprFn]]+Inventory[[#This Row],[AddFn]]+Inventory[[#This Row],[FnBsmt]]</f>
        <v>1380</v>
      </c>
      <c r="Z569" s="32">
        <v>1500</v>
      </c>
      <c r="AA569" s="31" t="s">
        <v>56</v>
      </c>
      <c r="AB569" s="32"/>
      <c r="AC569" s="30">
        <v>428</v>
      </c>
      <c r="AD569" s="32"/>
      <c r="AE569" s="32"/>
      <c r="AF569" s="32"/>
      <c r="AG569" s="32"/>
      <c r="AH569" s="32"/>
      <c r="AI569" s="30">
        <v>273628</v>
      </c>
      <c r="AJ569" s="30">
        <v>251738</v>
      </c>
      <c r="AK569" s="30">
        <v>0</v>
      </c>
      <c r="AL569" s="30">
        <v>0</v>
      </c>
      <c r="AM569" s="30">
        <v>60800</v>
      </c>
      <c r="AN569" s="30">
        <v>289300</v>
      </c>
      <c r="AO569" s="30">
        <v>350100</v>
      </c>
      <c r="AP569" s="30">
        <f>Lookups!$B$58*0.6</f>
        <v>132535.48800000001</v>
      </c>
      <c r="AQ569" s="30">
        <f>Lookups!$B$58*0.4</f>
        <v>88356.992000000013</v>
      </c>
      <c r="AR569" s="30">
        <f>Lookups!$B$59*Inventory[[#This Row],[LnAcres]]</f>
        <v>-24051.387388882686</v>
      </c>
      <c r="AS569" s="30">
        <f>VLOOKUP(Inventory[[#This Row],[Qlty]],Lookups!$A$66:$E$79,2,FALSE)</f>
        <v>37154.252388000001</v>
      </c>
      <c r="AT569" s="30">
        <f>VLOOKUP(Inventory[[#This Row],[Cnd]],Lookups!$A$80:$E$88,2,FALSE)</f>
        <v>30300.329274</v>
      </c>
      <c r="AU569" s="30">
        <f>Inventory[[#This Row],[EffAge]]*Lookups!$B$65</f>
        <v>-1848.5987</v>
      </c>
      <c r="AV569" s="30">
        <f>Inventory[[#This Row],[MainFn]]*Lookups!$B$90</f>
        <v>86126.324399999998</v>
      </c>
      <c r="AW569" s="30">
        <f>Inventory[[#This Row],[UpprFn]]*Lookups!$B$91</f>
        <v>0</v>
      </c>
      <c r="AX569" s="30">
        <f>Inventory[[#This Row],[Bsmt Area]]*Lookups!$B$95</f>
        <v>0</v>
      </c>
      <c r="AY569" s="30">
        <f>Inventory[[#This Row],[AttGar]]*Lookups!$B$93</f>
        <v>15108.841268</v>
      </c>
      <c r="AZ569" s="30">
        <f>ROUND(Inventory[[#This Row],[25Det]],-2)</f>
        <v>0</v>
      </c>
      <c r="BA569" s="30">
        <f>ROUND(SUM(Inventory[[#This Row],[Mdl Qlty]:[Mdl Garage Area]])+Inventory[[#This Row],[Mdl Res Intercept]],-2)</f>
        <v>299400</v>
      </c>
      <c r="BB569" s="30">
        <f>ROUND(Inventory[[#This Row],[Mdl Land Intercept]]+Inventory[[#This Row],[Mdl LnAcres]],-2)</f>
        <v>64300</v>
      </c>
      <c r="BC569" s="30">
        <f>Inventory[[#This Row],[Unadj Res Value]]+Inventory[[#This Row],[Unadj Det Value]]+Inventory[[#This Row],[Unadj Land Value]]</f>
        <v>363700</v>
      </c>
      <c r="BD569" s="30">
        <f>(Inventory[[#This Row],[Unadj Total Value]]-Inventory[[#This Row],[24Final]])/Inventory[[#This Row],[24Final]]</f>
        <v>3.8846043987432161E-2</v>
      </c>
      <c r="BE569" s="30">
        <f>VLOOKUP(Inventory[[#This Row],[Nbhd]],Lookups!$M$3:$P$5,4,FALSE)</f>
        <v>0.99970000000000003</v>
      </c>
      <c r="BF569" s="30">
        <f>VLOOKUP(Inventory[[#This Row],[Qlty]],Lookups!$M$8:$P$22,4,FALSE)</f>
        <v>0.99819999999999998</v>
      </c>
      <c r="BG569" s="30">
        <f>VLOOKUP(Inventory[[#This Row],[Cnd]],Lookups!$R$8:$U$17,4,FALSE)</f>
        <v>0.997</v>
      </c>
      <c r="BH569" s="30">
        <f>VLOOKUP(Inventory[[#This Row],[LivArea Range]],Lookups!$R$25:$U$43,4,FALSE)</f>
        <v>0.99519999999999997</v>
      </c>
      <c r="BI569" s="30">
        <f>VLOOKUP(Inventory[[#This Row],[Decade]],Lookups!$M$24:$P$40,4,FALSE)</f>
        <v>1.0024</v>
      </c>
      <c r="BJ569" s="30">
        <f>Inventory[[#This Row],[Nbhd Adj]]*0.95</f>
        <v>0.94971499999999998</v>
      </c>
      <c r="BK569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569" s="30">
        <f>ROUND((SUM(Inventory[[#This Row],[Mdl Qlty]:[Mdl Garage Area]])+Inventory[[#This Row],[Mdl Res Intercept]])*Inventory[[#This Row],[Res Adj ]],-2)</f>
        <v>284000</v>
      </c>
      <c r="BM569" s="30">
        <f>ROUND(Inventory[[#This Row],[25Det]]*Inventory[[#This Row],[Det/Nbhd Adj]],-2)</f>
        <v>0</v>
      </c>
      <c r="BN569" s="30">
        <f>Inventory[[#This Row],[Adjusted Res]]+Inventory[[#This Row],[Adj Det ]]</f>
        <v>284000</v>
      </c>
      <c r="BO569" s="30">
        <f>ROUND((Inventory[[#This Row],[Mdl Land Intercept]]+Inventory[[#This Row],[Mdl LnAcres]])*Inventory[[#This Row],[Det/Nbhd Adj]],-2)</f>
        <v>61100</v>
      </c>
      <c r="BP569" s="30">
        <f>Inventory[[#This Row],[Adjusted Impr Total]]+Inventory[[#This Row],[Adjusted Land Total]]</f>
        <v>345100</v>
      </c>
      <c r="BQ569" s="30">
        <f>IFERROR((Inventory[[#This Row],[Adjusted Impr Total]]-Inventory[[#This Row],[24Bldg]])/Inventory[[#This Row],[24Bldg]],0)</f>
        <v>-1.8320082958866227E-2</v>
      </c>
      <c r="BR569" s="43">
        <f>(Inventory[[#This Row],[Adjusted Land Total]]-Inventory[[#This Row],[24Lnd]])/Inventory[[#This Row],[24Lnd]]</f>
        <v>4.9342105263157892E-3</v>
      </c>
      <c r="BS569" s="43">
        <f>(Inventory[[#This Row],[Adjusted Total]]-Inventory[[#This Row],[24Final]])/Inventory[[#This Row],[24Final]]</f>
        <v>-1.4281633818908884E-2</v>
      </c>
    </row>
    <row r="570" spans="1:71">
      <c r="A570" s="30">
        <v>2025</v>
      </c>
      <c r="B570" s="31" t="s">
        <v>1084</v>
      </c>
      <c r="C570" s="31">
        <f>LN(Inventory[[#This Row],[Acres]])</f>
        <v>-1.8325814637483102</v>
      </c>
      <c r="D570" s="30">
        <v>0.16</v>
      </c>
      <c r="E570" s="30">
        <v>7002</v>
      </c>
      <c r="F570" s="31" t="s">
        <v>505</v>
      </c>
      <c r="G570" s="31" t="s">
        <v>155</v>
      </c>
      <c r="H570" s="31" t="s">
        <v>5</v>
      </c>
      <c r="I570" s="31" t="s">
        <v>506</v>
      </c>
      <c r="J570" s="31" t="s">
        <v>507</v>
      </c>
      <c r="K570" s="31" t="s">
        <v>157</v>
      </c>
      <c r="L570" s="31" t="s">
        <v>21</v>
      </c>
      <c r="M570" s="31" t="s">
        <v>20</v>
      </c>
      <c r="N570" s="31">
        <v>10</v>
      </c>
      <c r="O570" s="31">
        <f>2024-Inventory[[#This Row],[YrBlt]]</f>
        <v>17</v>
      </c>
      <c r="P570" s="31">
        <f>2024-Inventory[[#This Row],[EffYr]]</f>
        <v>17</v>
      </c>
      <c r="Q570" s="30">
        <v>2007</v>
      </c>
      <c r="R570" s="30">
        <v>2007</v>
      </c>
      <c r="S570" s="30">
        <v>1116</v>
      </c>
      <c r="T570" s="38">
        <v>1116</v>
      </c>
      <c r="U570" s="32"/>
      <c r="V570" s="32"/>
      <c r="W570" s="32"/>
      <c r="X570" s="32">
        <f>Inventory[[#This Row],[Bsmt Area]]-Inventory[[#This Row],[FnBsmt]]</f>
        <v>0</v>
      </c>
      <c r="Y570" s="32">
        <f>Inventory[[#This Row],[MainFn]]+Inventory[[#This Row],[UpprFn]]+Inventory[[#This Row],[AddFn]]+Inventory[[#This Row],[FnBsmt]]</f>
        <v>2232</v>
      </c>
      <c r="Z570" s="32">
        <v>2500</v>
      </c>
      <c r="AA570" s="31" t="s">
        <v>56</v>
      </c>
      <c r="AB570" s="32"/>
      <c r="AC570" s="30">
        <v>440</v>
      </c>
      <c r="AD570" s="32"/>
      <c r="AE570" s="32"/>
      <c r="AF570" s="32"/>
      <c r="AG570" s="32"/>
      <c r="AH570" s="38">
        <v>100</v>
      </c>
      <c r="AI570" s="30">
        <v>447839</v>
      </c>
      <c r="AJ570" s="30">
        <v>412012</v>
      </c>
      <c r="AK570" s="30">
        <v>0</v>
      </c>
      <c r="AL570" s="30">
        <v>0</v>
      </c>
      <c r="AM570" s="30">
        <v>60800</v>
      </c>
      <c r="AN570" s="30">
        <v>336300</v>
      </c>
      <c r="AO570" s="30">
        <v>397100</v>
      </c>
      <c r="AP570" s="30">
        <f>Lookups!$B$58*0.6</f>
        <v>132535.48800000001</v>
      </c>
      <c r="AQ570" s="30">
        <f>Lookups!$B$58*0.4</f>
        <v>88356.992000000013</v>
      </c>
      <c r="AR570" s="30">
        <f>Lookups!$B$59*Inventory[[#This Row],[LnAcres]]</f>
        <v>-24051.387388882686</v>
      </c>
      <c r="AS570" s="30">
        <f>VLOOKUP(Inventory[[#This Row],[Qlty]],Lookups!$A$66:$E$79,2,FALSE)</f>
        <v>32917.849192000001</v>
      </c>
      <c r="AT570" s="30">
        <f>VLOOKUP(Inventory[[#This Row],[Cnd]],Lookups!$A$80:$E$88,2,FALSE)</f>
        <v>30300.329274</v>
      </c>
      <c r="AU570" s="30">
        <f>Inventory[[#This Row],[EffAge]]*Lookups!$B$65</f>
        <v>-1848.5987</v>
      </c>
      <c r="AV570" s="30">
        <f>Inventory[[#This Row],[MainFn]]*Lookups!$B$90</f>
        <v>69649.984080000009</v>
      </c>
      <c r="AW570" s="30">
        <f>Inventory[[#This Row],[UpprFn]]*Lookups!$B$91</f>
        <v>66491.707427999994</v>
      </c>
      <c r="AX570" s="30">
        <f>Inventory[[#This Row],[Bsmt Area]]*Lookups!$B$95</f>
        <v>0</v>
      </c>
      <c r="AY570" s="30">
        <f>Inventory[[#This Row],[AttGar]]*Lookups!$B$93</f>
        <v>15532.453640000002</v>
      </c>
      <c r="AZ570" s="30">
        <f>ROUND(Inventory[[#This Row],[25Det]],-2)</f>
        <v>0</v>
      </c>
      <c r="BA570" s="30">
        <f>ROUND(SUM(Inventory[[#This Row],[Mdl Qlty]:[Mdl Garage Area]])+Inventory[[#This Row],[Mdl Res Intercept]],-2)</f>
        <v>345600</v>
      </c>
      <c r="BB570" s="30">
        <f>ROUND(Inventory[[#This Row],[Mdl Land Intercept]]+Inventory[[#This Row],[Mdl LnAcres]],-2)</f>
        <v>64300</v>
      </c>
      <c r="BC570" s="30">
        <f>Inventory[[#This Row],[Unadj Res Value]]+Inventory[[#This Row],[Unadj Det Value]]+Inventory[[#This Row],[Unadj Land Value]]</f>
        <v>409900</v>
      </c>
      <c r="BD570" s="30">
        <f>(Inventory[[#This Row],[Unadj Total Value]]-Inventory[[#This Row],[24Final]])/Inventory[[#This Row],[24Final]]</f>
        <v>3.2233694283555776E-2</v>
      </c>
      <c r="BE570" s="30">
        <f>VLOOKUP(Inventory[[#This Row],[Nbhd]],Lookups!$M$3:$P$5,4,FALSE)</f>
        <v>0.99970000000000003</v>
      </c>
      <c r="BF570" s="30">
        <f>VLOOKUP(Inventory[[#This Row],[Qlty]],Lookups!$M$8:$P$22,4,FALSE)</f>
        <v>1.0019</v>
      </c>
      <c r="BG570" s="30">
        <f>VLOOKUP(Inventory[[#This Row],[Cnd]],Lookups!$R$8:$U$17,4,FALSE)</f>
        <v>0.997</v>
      </c>
      <c r="BH570" s="30">
        <f>VLOOKUP(Inventory[[#This Row],[LivArea Range]],Lookups!$R$25:$U$43,4,FALSE)</f>
        <v>1.0008999999999999</v>
      </c>
      <c r="BI570" s="30">
        <f>VLOOKUP(Inventory[[#This Row],[Decade]],Lookups!$M$24:$P$40,4,FALSE)</f>
        <v>1.0024</v>
      </c>
      <c r="BJ570" s="30">
        <f>Inventory[[#This Row],[Nbhd Adj]]*0.95</f>
        <v>0.94971499999999998</v>
      </c>
      <c r="BK570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570" s="30">
        <f>ROUND((SUM(Inventory[[#This Row],[Mdl Qlty]:[Mdl Garage Area]])+Inventory[[#This Row],[Mdl Res Intercept]])*Inventory[[#This Row],[Res Adj ]],-2)</f>
        <v>328400</v>
      </c>
      <c r="BM570" s="30">
        <f>ROUND(Inventory[[#This Row],[25Det]]*Inventory[[#This Row],[Det/Nbhd Adj]],-2)</f>
        <v>0</v>
      </c>
      <c r="BN570" s="30">
        <f>Inventory[[#This Row],[Adjusted Res]]+Inventory[[#This Row],[Adj Det ]]</f>
        <v>328400</v>
      </c>
      <c r="BO570" s="30">
        <f>ROUND((Inventory[[#This Row],[Mdl Land Intercept]]+Inventory[[#This Row],[Mdl LnAcres]])*Inventory[[#This Row],[Det/Nbhd Adj]],-2)</f>
        <v>61100</v>
      </c>
      <c r="BP570" s="30">
        <f>Inventory[[#This Row],[Adjusted Impr Total]]+Inventory[[#This Row],[Adjusted Land Total]]</f>
        <v>389500</v>
      </c>
      <c r="BQ570" s="30">
        <f>IFERROR((Inventory[[#This Row],[Adjusted Impr Total]]-Inventory[[#This Row],[24Bldg]])/Inventory[[#This Row],[24Bldg]],0)</f>
        <v>-2.3490930716622064E-2</v>
      </c>
      <c r="BR570" s="43">
        <f>(Inventory[[#This Row],[Adjusted Land Total]]-Inventory[[#This Row],[24Lnd]])/Inventory[[#This Row],[24Lnd]]</f>
        <v>4.9342105263157892E-3</v>
      </c>
      <c r="BS570" s="43">
        <f>(Inventory[[#This Row],[Adjusted Total]]-Inventory[[#This Row],[24Final]])/Inventory[[#This Row],[24Final]]</f>
        <v>-1.9138755980861243E-2</v>
      </c>
    </row>
    <row r="571" spans="1:71">
      <c r="A571" s="30">
        <v>2025</v>
      </c>
      <c r="B571" s="31" t="s">
        <v>1085</v>
      </c>
      <c r="C571" s="31">
        <f>LN(Inventory[[#This Row],[Acres]])</f>
        <v>-1.8325814637483102</v>
      </c>
      <c r="D571" s="30">
        <v>0.16</v>
      </c>
      <c r="E571" s="30">
        <v>7016</v>
      </c>
      <c r="F571" s="31" t="s">
        <v>505</v>
      </c>
      <c r="G571" s="31" t="s">
        <v>155</v>
      </c>
      <c r="H571" s="31" t="s">
        <v>5</v>
      </c>
      <c r="I571" s="31" t="s">
        <v>506</v>
      </c>
      <c r="J571" s="31" t="s">
        <v>507</v>
      </c>
      <c r="K571" s="31" t="s">
        <v>157</v>
      </c>
      <c r="L571" s="31" t="s">
        <v>21</v>
      </c>
      <c r="M571" s="31" t="s">
        <v>20</v>
      </c>
      <c r="N571" s="31">
        <v>10</v>
      </c>
      <c r="O571" s="31">
        <f>2024-Inventory[[#This Row],[YrBlt]]</f>
        <v>17</v>
      </c>
      <c r="P571" s="31">
        <f>2024-Inventory[[#This Row],[EffYr]]</f>
        <v>17</v>
      </c>
      <c r="Q571" s="30">
        <v>2007</v>
      </c>
      <c r="R571" s="30">
        <v>2007</v>
      </c>
      <c r="S571" s="30">
        <v>1116</v>
      </c>
      <c r="T571" s="38">
        <v>1116</v>
      </c>
      <c r="U571" s="32"/>
      <c r="V571" s="32"/>
      <c r="W571" s="32"/>
      <c r="X571" s="32">
        <f>Inventory[[#This Row],[Bsmt Area]]-Inventory[[#This Row],[FnBsmt]]</f>
        <v>0</v>
      </c>
      <c r="Y571" s="32">
        <f>Inventory[[#This Row],[MainFn]]+Inventory[[#This Row],[UpprFn]]+Inventory[[#This Row],[AddFn]]+Inventory[[#This Row],[FnBsmt]]</f>
        <v>2232</v>
      </c>
      <c r="Z571" s="32">
        <v>2500</v>
      </c>
      <c r="AA571" s="31" t="s">
        <v>56</v>
      </c>
      <c r="AB571" s="32"/>
      <c r="AC571" s="30">
        <v>440</v>
      </c>
      <c r="AD571" s="32"/>
      <c r="AE571" s="32"/>
      <c r="AF571" s="32"/>
      <c r="AG571" s="32"/>
      <c r="AH571" s="32"/>
      <c r="AI571" s="30">
        <v>439327</v>
      </c>
      <c r="AJ571" s="30">
        <v>404181</v>
      </c>
      <c r="AK571" s="30">
        <v>0</v>
      </c>
      <c r="AL571" s="30">
        <v>0</v>
      </c>
      <c r="AM571" s="30">
        <v>60800</v>
      </c>
      <c r="AN571" s="30">
        <v>336300</v>
      </c>
      <c r="AO571" s="30">
        <v>397100</v>
      </c>
      <c r="AP571" s="30">
        <f>Lookups!$B$58*0.6</f>
        <v>132535.48800000001</v>
      </c>
      <c r="AQ571" s="30">
        <f>Lookups!$B$58*0.4</f>
        <v>88356.992000000013</v>
      </c>
      <c r="AR571" s="30">
        <f>Lookups!$B$59*Inventory[[#This Row],[LnAcres]]</f>
        <v>-24051.387388882686</v>
      </c>
      <c r="AS571" s="30">
        <f>VLOOKUP(Inventory[[#This Row],[Qlty]],Lookups!$A$66:$E$79,2,FALSE)</f>
        <v>32917.849192000001</v>
      </c>
      <c r="AT571" s="30">
        <f>VLOOKUP(Inventory[[#This Row],[Cnd]],Lookups!$A$80:$E$88,2,FALSE)</f>
        <v>30300.329274</v>
      </c>
      <c r="AU571" s="30">
        <f>Inventory[[#This Row],[EffAge]]*Lookups!$B$65</f>
        <v>-1848.5987</v>
      </c>
      <c r="AV571" s="30">
        <f>Inventory[[#This Row],[MainFn]]*Lookups!$B$90</f>
        <v>69649.984080000009</v>
      </c>
      <c r="AW571" s="30">
        <f>Inventory[[#This Row],[UpprFn]]*Lookups!$B$91</f>
        <v>66491.707427999994</v>
      </c>
      <c r="AX571" s="30">
        <f>Inventory[[#This Row],[Bsmt Area]]*Lookups!$B$95</f>
        <v>0</v>
      </c>
      <c r="AY571" s="30">
        <f>Inventory[[#This Row],[AttGar]]*Lookups!$B$93</f>
        <v>15532.453640000002</v>
      </c>
      <c r="AZ571" s="30">
        <f>ROUND(Inventory[[#This Row],[25Det]],-2)</f>
        <v>0</v>
      </c>
      <c r="BA571" s="30">
        <f>ROUND(SUM(Inventory[[#This Row],[Mdl Qlty]:[Mdl Garage Area]])+Inventory[[#This Row],[Mdl Res Intercept]],-2)</f>
        <v>345600</v>
      </c>
      <c r="BB571" s="30">
        <f>ROUND(Inventory[[#This Row],[Mdl Land Intercept]]+Inventory[[#This Row],[Mdl LnAcres]],-2)</f>
        <v>64300</v>
      </c>
      <c r="BC571" s="30">
        <f>Inventory[[#This Row],[Unadj Res Value]]+Inventory[[#This Row],[Unadj Det Value]]+Inventory[[#This Row],[Unadj Land Value]]</f>
        <v>409900</v>
      </c>
      <c r="BD571" s="30">
        <f>(Inventory[[#This Row],[Unadj Total Value]]-Inventory[[#This Row],[24Final]])/Inventory[[#This Row],[24Final]]</f>
        <v>3.2233694283555776E-2</v>
      </c>
      <c r="BE571" s="30">
        <f>VLOOKUP(Inventory[[#This Row],[Nbhd]],Lookups!$M$3:$P$5,4,FALSE)</f>
        <v>0.99970000000000003</v>
      </c>
      <c r="BF571" s="30">
        <f>VLOOKUP(Inventory[[#This Row],[Qlty]],Lookups!$M$8:$P$22,4,FALSE)</f>
        <v>1.0019</v>
      </c>
      <c r="BG571" s="30">
        <f>VLOOKUP(Inventory[[#This Row],[Cnd]],Lookups!$R$8:$U$17,4,FALSE)</f>
        <v>0.997</v>
      </c>
      <c r="BH571" s="30">
        <f>VLOOKUP(Inventory[[#This Row],[LivArea Range]],Lookups!$R$25:$U$43,4,FALSE)</f>
        <v>1.0008999999999999</v>
      </c>
      <c r="BI571" s="30">
        <f>VLOOKUP(Inventory[[#This Row],[Decade]],Lookups!$M$24:$P$40,4,FALSE)</f>
        <v>1.0024</v>
      </c>
      <c r="BJ571" s="30">
        <f>Inventory[[#This Row],[Nbhd Adj]]*0.95</f>
        <v>0.94971499999999998</v>
      </c>
      <c r="BK571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571" s="30">
        <f>ROUND((SUM(Inventory[[#This Row],[Mdl Qlty]:[Mdl Garage Area]])+Inventory[[#This Row],[Mdl Res Intercept]])*Inventory[[#This Row],[Res Adj ]],-2)</f>
        <v>328400</v>
      </c>
      <c r="BM571" s="30">
        <f>ROUND(Inventory[[#This Row],[25Det]]*Inventory[[#This Row],[Det/Nbhd Adj]],-2)</f>
        <v>0</v>
      </c>
      <c r="BN571" s="30">
        <f>Inventory[[#This Row],[Adjusted Res]]+Inventory[[#This Row],[Adj Det ]]</f>
        <v>328400</v>
      </c>
      <c r="BO571" s="30">
        <f>ROUND((Inventory[[#This Row],[Mdl Land Intercept]]+Inventory[[#This Row],[Mdl LnAcres]])*Inventory[[#This Row],[Det/Nbhd Adj]],-2)</f>
        <v>61100</v>
      </c>
      <c r="BP571" s="30">
        <f>Inventory[[#This Row],[Adjusted Impr Total]]+Inventory[[#This Row],[Adjusted Land Total]]</f>
        <v>389500</v>
      </c>
      <c r="BQ571" s="30">
        <f>IFERROR((Inventory[[#This Row],[Adjusted Impr Total]]-Inventory[[#This Row],[24Bldg]])/Inventory[[#This Row],[24Bldg]],0)</f>
        <v>-2.3490930716622064E-2</v>
      </c>
      <c r="BR571" s="43">
        <f>(Inventory[[#This Row],[Adjusted Land Total]]-Inventory[[#This Row],[24Lnd]])/Inventory[[#This Row],[24Lnd]]</f>
        <v>4.9342105263157892E-3</v>
      </c>
      <c r="BS571" s="43">
        <f>(Inventory[[#This Row],[Adjusted Total]]-Inventory[[#This Row],[24Final]])/Inventory[[#This Row],[24Final]]</f>
        <v>-1.9138755980861243E-2</v>
      </c>
    </row>
    <row r="572" spans="1:71">
      <c r="A572" s="30">
        <v>2025</v>
      </c>
      <c r="B572" s="31" t="s">
        <v>1086</v>
      </c>
      <c r="C572" s="31">
        <f>LN(Inventory[[#This Row],[Acres]])</f>
        <v>-1.8325814637483102</v>
      </c>
      <c r="D572" s="30">
        <v>0.16</v>
      </c>
      <c r="E572" s="30">
        <v>7041</v>
      </c>
      <c r="F572" s="31" t="s">
        <v>505</v>
      </c>
      <c r="G572" s="31" t="s">
        <v>155</v>
      </c>
      <c r="H572" s="31" t="s">
        <v>5</v>
      </c>
      <c r="I572" s="31" t="s">
        <v>506</v>
      </c>
      <c r="J572" s="31" t="s">
        <v>507</v>
      </c>
      <c r="K572" s="31" t="s">
        <v>157</v>
      </c>
      <c r="L572" s="31" t="s">
        <v>21</v>
      </c>
      <c r="M572" s="31" t="s">
        <v>20</v>
      </c>
      <c r="N572" s="31">
        <v>10</v>
      </c>
      <c r="O572" s="31">
        <f>2024-Inventory[[#This Row],[YrBlt]]</f>
        <v>17</v>
      </c>
      <c r="P572" s="31">
        <f>2024-Inventory[[#This Row],[EffYr]]</f>
        <v>17</v>
      </c>
      <c r="Q572" s="30">
        <v>2007</v>
      </c>
      <c r="R572" s="30">
        <v>2007</v>
      </c>
      <c r="S572" s="30">
        <v>1116</v>
      </c>
      <c r="T572" s="30">
        <v>1116</v>
      </c>
      <c r="U572" s="32"/>
      <c r="V572" s="32"/>
      <c r="W572" s="32"/>
      <c r="X572" s="32">
        <f>Inventory[[#This Row],[Bsmt Area]]-Inventory[[#This Row],[FnBsmt]]</f>
        <v>0</v>
      </c>
      <c r="Y572" s="32">
        <f>Inventory[[#This Row],[MainFn]]+Inventory[[#This Row],[UpprFn]]+Inventory[[#This Row],[AddFn]]+Inventory[[#This Row],[FnBsmt]]</f>
        <v>2232</v>
      </c>
      <c r="Z572" s="32">
        <v>2500</v>
      </c>
      <c r="AA572" s="31" t="s">
        <v>56</v>
      </c>
      <c r="AB572" s="32"/>
      <c r="AC572" s="30">
        <v>440</v>
      </c>
      <c r="AD572" s="32"/>
      <c r="AE572" s="32"/>
      <c r="AF572" s="32"/>
      <c r="AG572" s="32"/>
      <c r="AH572" s="32"/>
      <c r="AI572" s="30">
        <v>441971</v>
      </c>
      <c r="AJ572" s="30">
        <v>406613</v>
      </c>
      <c r="AK572" s="30">
        <v>0</v>
      </c>
      <c r="AL572" s="30">
        <v>0</v>
      </c>
      <c r="AM572" s="30">
        <v>60800</v>
      </c>
      <c r="AN572" s="30">
        <v>336300</v>
      </c>
      <c r="AO572" s="30">
        <v>397100</v>
      </c>
      <c r="AP572" s="30">
        <f>Lookups!$B$58*0.6</f>
        <v>132535.48800000001</v>
      </c>
      <c r="AQ572" s="30">
        <f>Lookups!$B$58*0.4</f>
        <v>88356.992000000013</v>
      </c>
      <c r="AR572" s="30">
        <f>Lookups!$B$59*Inventory[[#This Row],[LnAcres]]</f>
        <v>-24051.387388882686</v>
      </c>
      <c r="AS572" s="30">
        <f>VLOOKUP(Inventory[[#This Row],[Qlty]],Lookups!$A$66:$E$79,2,FALSE)</f>
        <v>32917.849192000001</v>
      </c>
      <c r="AT572" s="30">
        <f>VLOOKUP(Inventory[[#This Row],[Cnd]],Lookups!$A$80:$E$88,2,FALSE)</f>
        <v>30300.329274</v>
      </c>
      <c r="AU572" s="30">
        <f>Inventory[[#This Row],[EffAge]]*Lookups!$B$65</f>
        <v>-1848.5987</v>
      </c>
      <c r="AV572" s="30">
        <f>Inventory[[#This Row],[MainFn]]*Lookups!$B$90</f>
        <v>69649.984080000009</v>
      </c>
      <c r="AW572" s="30">
        <f>Inventory[[#This Row],[UpprFn]]*Lookups!$B$91</f>
        <v>66491.707427999994</v>
      </c>
      <c r="AX572" s="30">
        <f>Inventory[[#This Row],[Bsmt Area]]*Lookups!$B$95</f>
        <v>0</v>
      </c>
      <c r="AY572" s="30">
        <f>Inventory[[#This Row],[AttGar]]*Lookups!$B$93</f>
        <v>15532.453640000002</v>
      </c>
      <c r="AZ572" s="30">
        <f>ROUND(Inventory[[#This Row],[25Det]],-2)</f>
        <v>0</v>
      </c>
      <c r="BA572" s="30">
        <f>ROUND(SUM(Inventory[[#This Row],[Mdl Qlty]:[Mdl Garage Area]])+Inventory[[#This Row],[Mdl Res Intercept]],-2)</f>
        <v>345600</v>
      </c>
      <c r="BB572" s="30">
        <f>ROUND(Inventory[[#This Row],[Mdl Land Intercept]]+Inventory[[#This Row],[Mdl LnAcres]],-2)</f>
        <v>64300</v>
      </c>
      <c r="BC572" s="30">
        <f>Inventory[[#This Row],[Unadj Res Value]]+Inventory[[#This Row],[Unadj Det Value]]+Inventory[[#This Row],[Unadj Land Value]]</f>
        <v>409900</v>
      </c>
      <c r="BD572" s="30">
        <f>(Inventory[[#This Row],[Unadj Total Value]]-Inventory[[#This Row],[24Final]])/Inventory[[#This Row],[24Final]]</f>
        <v>3.2233694283555776E-2</v>
      </c>
      <c r="BE572" s="30">
        <f>VLOOKUP(Inventory[[#This Row],[Nbhd]],Lookups!$M$3:$P$5,4,FALSE)</f>
        <v>0.99970000000000003</v>
      </c>
      <c r="BF572" s="30">
        <f>VLOOKUP(Inventory[[#This Row],[Qlty]],Lookups!$M$8:$P$22,4,FALSE)</f>
        <v>1.0019</v>
      </c>
      <c r="BG572" s="30">
        <f>VLOOKUP(Inventory[[#This Row],[Cnd]],Lookups!$R$8:$U$17,4,FALSE)</f>
        <v>0.997</v>
      </c>
      <c r="BH572" s="30">
        <f>VLOOKUP(Inventory[[#This Row],[LivArea Range]],Lookups!$R$25:$U$43,4,FALSE)</f>
        <v>1.0008999999999999</v>
      </c>
      <c r="BI572" s="30">
        <f>VLOOKUP(Inventory[[#This Row],[Decade]],Lookups!$M$24:$P$40,4,FALSE)</f>
        <v>1.0024</v>
      </c>
      <c r="BJ572" s="30">
        <f>Inventory[[#This Row],[Nbhd Adj]]*0.95</f>
        <v>0.94971499999999998</v>
      </c>
      <c r="BK572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572" s="30">
        <f>ROUND((SUM(Inventory[[#This Row],[Mdl Qlty]:[Mdl Garage Area]])+Inventory[[#This Row],[Mdl Res Intercept]])*Inventory[[#This Row],[Res Adj ]],-2)</f>
        <v>328400</v>
      </c>
      <c r="BM572" s="30">
        <f>ROUND(Inventory[[#This Row],[25Det]]*Inventory[[#This Row],[Det/Nbhd Adj]],-2)</f>
        <v>0</v>
      </c>
      <c r="BN572" s="30">
        <f>Inventory[[#This Row],[Adjusted Res]]+Inventory[[#This Row],[Adj Det ]]</f>
        <v>328400</v>
      </c>
      <c r="BO572" s="30">
        <f>ROUND((Inventory[[#This Row],[Mdl Land Intercept]]+Inventory[[#This Row],[Mdl LnAcres]])*Inventory[[#This Row],[Det/Nbhd Adj]],-2)</f>
        <v>61100</v>
      </c>
      <c r="BP572" s="30">
        <f>Inventory[[#This Row],[Adjusted Impr Total]]+Inventory[[#This Row],[Adjusted Land Total]]</f>
        <v>389500</v>
      </c>
      <c r="BQ572" s="30">
        <f>IFERROR((Inventory[[#This Row],[Adjusted Impr Total]]-Inventory[[#This Row],[24Bldg]])/Inventory[[#This Row],[24Bldg]],0)</f>
        <v>-2.3490930716622064E-2</v>
      </c>
      <c r="BR572" s="43">
        <f>(Inventory[[#This Row],[Adjusted Land Total]]-Inventory[[#This Row],[24Lnd]])/Inventory[[#This Row],[24Lnd]]</f>
        <v>4.9342105263157892E-3</v>
      </c>
      <c r="BS572" s="43">
        <f>(Inventory[[#This Row],[Adjusted Total]]-Inventory[[#This Row],[24Final]])/Inventory[[#This Row],[24Final]]</f>
        <v>-1.9138755980861243E-2</v>
      </c>
    </row>
    <row r="573" spans="1:71">
      <c r="A573" s="30">
        <v>2025</v>
      </c>
      <c r="B573" s="31" t="s">
        <v>1087</v>
      </c>
      <c r="C573" s="31">
        <f>LN(Inventory[[#This Row],[Acres]])</f>
        <v>-1.8325814637483102</v>
      </c>
      <c r="D573" s="30">
        <v>0.16</v>
      </c>
      <c r="E573" s="37"/>
      <c r="F573" s="31" t="s">
        <v>505</v>
      </c>
      <c r="G573" s="31" t="s">
        <v>155</v>
      </c>
      <c r="H573" s="31" t="s">
        <v>5</v>
      </c>
      <c r="I573" s="31" t="s">
        <v>506</v>
      </c>
      <c r="J573" s="31" t="s">
        <v>507</v>
      </c>
      <c r="K573" s="31" t="s">
        <v>157</v>
      </c>
      <c r="L573" s="31" t="s">
        <v>21</v>
      </c>
      <c r="M573" s="31" t="s">
        <v>20</v>
      </c>
      <c r="N573" s="31">
        <v>10</v>
      </c>
      <c r="O573" s="31">
        <f>2024-Inventory[[#This Row],[YrBlt]]</f>
        <v>17</v>
      </c>
      <c r="P573" s="31">
        <f>2024-Inventory[[#This Row],[EffYr]]</f>
        <v>17</v>
      </c>
      <c r="Q573" s="30">
        <v>2007</v>
      </c>
      <c r="R573" s="30">
        <v>2007</v>
      </c>
      <c r="S573" s="30">
        <v>1116</v>
      </c>
      <c r="T573" s="30">
        <v>1116</v>
      </c>
      <c r="U573" s="32"/>
      <c r="V573" s="32"/>
      <c r="W573" s="32"/>
      <c r="X573" s="32">
        <f>Inventory[[#This Row],[Bsmt Area]]-Inventory[[#This Row],[FnBsmt]]</f>
        <v>0</v>
      </c>
      <c r="Y573" s="32">
        <f>Inventory[[#This Row],[MainFn]]+Inventory[[#This Row],[UpprFn]]+Inventory[[#This Row],[AddFn]]+Inventory[[#This Row],[FnBsmt]]</f>
        <v>2232</v>
      </c>
      <c r="Z573" s="32">
        <v>2500</v>
      </c>
      <c r="AA573" s="31" t="s">
        <v>56</v>
      </c>
      <c r="AB573" s="32"/>
      <c r="AC573" s="30">
        <v>440</v>
      </c>
      <c r="AD573" s="32"/>
      <c r="AE573" s="32"/>
      <c r="AF573" s="32"/>
      <c r="AG573" s="32"/>
      <c r="AH573" s="32"/>
      <c r="AI573" s="30">
        <v>439837</v>
      </c>
      <c r="AJ573" s="30">
        <v>404650</v>
      </c>
      <c r="AK573" s="30">
        <v>0</v>
      </c>
      <c r="AL573" s="30">
        <v>0</v>
      </c>
      <c r="AM573" s="30">
        <v>60800</v>
      </c>
      <c r="AN573" s="30">
        <v>336300</v>
      </c>
      <c r="AO573" s="30">
        <v>397100</v>
      </c>
      <c r="AP573" s="30">
        <f>Lookups!$B$58*0.6</f>
        <v>132535.48800000001</v>
      </c>
      <c r="AQ573" s="30">
        <f>Lookups!$B$58*0.4</f>
        <v>88356.992000000013</v>
      </c>
      <c r="AR573" s="30">
        <f>Lookups!$B$59*Inventory[[#This Row],[LnAcres]]</f>
        <v>-24051.387388882686</v>
      </c>
      <c r="AS573" s="30">
        <f>VLOOKUP(Inventory[[#This Row],[Qlty]],Lookups!$A$66:$E$79,2,FALSE)</f>
        <v>32917.849192000001</v>
      </c>
      <c r="AT573" s="30">
        <f>VLOOKUP(Inventory[[#This Row],[Cnd]],Lookups!$A$80:$E$88,2,FALSE)</f>
        <v>30300.329274</v>
      </c>
      <c r="AU573" s="30">
        <f>Inventory[[#This Row],[EffAge]]*Lookups!$B$65</f>
        <v>-1848.5987</v>
      </c>
      <c r="AV573" s="30">
        <f>Inventory[[#This Row],[MainFn]]*Lookups!$B$90</f>
        <v>69649.984080000009</v>
      </c>
      <c r="AW573" s="30">
        <f>Inventory[[#This Row],[UpprFn]]*Lookups!$B$91</f>
        <v>66491.707427999994</v>
      </c>
      <c r="AX573" s="30">
        <f>Inventory[[#This Row],[Bsmt Area]]*Lookups!$B$95</f>
        <v>0</v>
      </c>
      <c r="AY573" s="30">
        <f>Inventory[[#This Row],[AttGar]]*Lookups!$B$93</f>
        <v>15532.453640000002</v>
      </c>
      <c r="AZ573" s="30">
        <f>ROUND(Inventory[[#This Row],[25Det]],-2)</f>
        <v>0</v>
      </c>
      <c r="BA573" s="30">
        <f>ROUND(SUM(Inventory[[#This Row],[Mdl Qlty]:[Mdl Garage Area]])+Inventory[[#This Row],[Mdl Res Intercept]],-2)</f>
        <v>345600</v>
      </c>
      <c r="BB573" s="30">
        <f>ROUND(Inventory[[#This Row],[Mdl Land Intercept]]+Inventory[[#This Row],[Mdl LnAcres]],-2)</f>
        <v>64300</v>
      </c>
      <c r="BC573" s="30">
        <f>Inventory[[#This Row],[Unadj Res Value]]+Inventory[[#This Row],[Unadj Det Value]]+Inventory[[#This Row],[Unadj Land Value]]</f>
        <v>409900</v>
      </c>
      <c r="BD573" s="30">
        <f>(Inventory[[#This Row],[Unadj Total Value]]-Inventory[[#This Row],[24Final]])/Inventory[[#This Row],[24Final]]</f>
        <v>3.2233694283555776E-2</v>
      </c>
      <c r="BE573" s="30">
        <f>VLOOKUP(Inventory[[#This Row],[Nbhd]],Lookups!$M$3:$P$5,4,FALSE)</f>
        <v>0.99970000000000003</v>
      </c>
      <c r="BF573" s="30">
        <f>VLOOKUP(Inventory[[#This Row],[Qlty]],Lookups!$M$8:$P$22,4,FALSE)</f>
        <v>1.0019</v>
      </c>
      <c r="BG573" s="30">
        <f>VLOOKUP(Inventory[[#This Row],[Cnd]],Lookups!$R$8:$U$17,4,FALSE)</f>
        <v>0.997</v>
      </c>
      <c r="BH573" s="30">
        <f>VLOOKUP(Inventory[[#This Row],[LivArea Range]],Lookups!$R$25:$U$43,4,FALSE)</f>
        <v>1.0008999999999999</v>
      </c>
      <c r="BI573" s="30">
        <f>VLOOKUP(Inventory[[#This Row],[Decade]],Lookups!$M$24:$P$40,4,FALSE)</f>
        <v>1.0024</v>
      </c>
      <c r="BJ573" s="30">
        <f>Inventory[[#This Row],[Nbhd Adj]]*0.95</f>
        <v>0.94971499999999998</v>
      </c>
      <c r="BK573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573" s="30">
        <f>ROUND((SUM(Inventory[[#This Row],[Mdl Qlty]:[Mdl Garage Area]])+Inventory[[#This Row],[Mdl Res Intercept]])*Inventory[[#This Row],[Res Adj ]],-2)</f>
        <v>328400</v>
      </c>
      <c r="BM573" s="30">
        <f>ROUND(Inventory[[#This Row],[25Det]]*Inventory[[#This Row],[Det/Nbhd Adj]],-2)</f>
        <v>0</v>
      </c>
      <c r="BN573" s="30">
        <f>Inventory[[#This Row],[Adjusted Res]]+Inventory[[#This Row],[Adj Det ]]</f>
        <v>328400</v>
      </c>
      <c r="BO573" s="30">
        <f>ROUND((Inventory[[#This Row],[Mdl Land Intercept]]+Inventory[[#This Row],[Mdl LnAcres]])*Inventory[[#This Row],[Det/Nbhd Adj]],-2)</f>
        <v>61100</v>
      </c>
      <c r="BP573" s="30">
        <f>Inventory[[#This Row],[Adjusted Impr Total]]+Inventory[[#This Row],[Adjusted Land Total]]</f>
        <v>389500</v>
      </c>
      <c r="BQ573" s="30">
        <f>IFERROR((Inventory[[#This Row],[Adjusted Impr Total]]-Inventory[[#This Row],[24Bldg]])/Inventory[[#This Row],[24Bldg]],0)</f>
        <v>-2.3490930716622064E-2</v>
      </c>
      <c r="BR573" s="43">
        <f>(Inventory[[#This Row],[Adjusted Land Total]]-Inventory[[#This Row],[24Lnd]])/Inventory[[#This Row],[24Lnd]]</f>
        <v>4.9342105263157892E-3</v>
      </c>
      <c r="BS573" s="43">
        <f>(Inventory[[#This Row],[Adjusted Total]]-Inventory[[#This Row],[24Final]])/Inventory[[#This Row],[24Final]]</f>
        <v>-1.9138755980861243E-2</v>
      </c>
    </row>
    <row r="574" spans="1:71">
      <c r="A574" s="30">
        <v>2025</v>
      </c>
      <c r="B574" s="31" t="s">
        <v>1088</v>
      </c>
      <c r="C574" s="31">
        <f>LN(Inventory[[#This Row],[Acres]])</f>
        <v>-1.8325814637483102</v>
      </c>
      <c r="D574" s="30">
        <v>0.16</v>
      </c>
      <c r="E574" s="30">
        <v>7082</v>
      </c>
      <c r="F574" s="31" t="s">
        <v>505</v>
      </c>
      <c r="G574" s="31" t="s">
        <v>155</v>
      </c>
      <c r="H574" s="31" t="s">
        <v>5</v>
      </c>
      <c r="I574" s="31" t="s">
        <v>506</v>
      </c>
      <c r="J574" s="31" t="s">
        <v>507</v>
      </c>
      <c r="K574" s="31" t="s">
        <v>193</v>
      </c>
      <c r="L574" s="31" t="s">
        <v>19</v>
      </c>
      <c r="M574" s="31" t="s">
        <v>20</v>
      </c>
      <c r="N574" s="31">
        <v>10</v>
      </c>
      <c r="O574" s="31">
        <f>2024-Inventory[[#This Row],[YrBlt]]</f>
        <v>17</v>
      </c>
      <c r="P574" s="31">
        <f>2024-Inventory[[#This Row],[EffYr]]</f>
        <v>17</v>
      </c>
      <c r="Q574" s="30">
        <v>2007</v>
      </c>
      <c r="R574" s="30">
        <v>2007</v>
      </c>
      <c r="S574" s="30">
        <v>1543</v>
      </c>
      <c r="T574" s="32"/>
      <c r="U574" s="32"/>
      <c r="V574" s="32"/>
      <c r="W574" s="32"/>
      <c r="X574" s="32">
        <f>Inventory[[#This Row],[Bsmt Area]]-Inventory[[#This Row],[FnBsmt]]</f>
        <v>0</v>
      </c>
      <c r="Y574" s="32">
        <f>Inventory[[#This Row],[MainFn]]+Inventory[[#This Row],[UpprFn]]+Inventory[[#This Row],[AddFn]]+Inventory[[#This Row],[FnBsmt]]</f>
        <v>1543</v>
      </c>
      <c r="Z574" s="32">
        <v>2000</v>
      </c>
      <c r="AA574" s="31" t="s">
        <v>56</v>
      </c>
      <c r="AB574" s="32"/>
      <c r="AC574" s="30">
        <v>433</v>
      </c>
      <c r="AD574" s="32"/>
      <c r="AE574" s="32"/>
      <c r="AF574" s="32"/>
      <c r="AG574" s="32"/>
      <c r="AH574" s="32"/>
      <c r="AI574" s="30">
        <v>299543</v>
      </c>
      <c r="AJ574" s="30">
        <v>275580</v>
      </c>
      <c r="AK574" s="30">
        <v>0</v>
      </c>
      <c r="AL574" s="30">
        <v>0</v>
      </c>
      <c r="AM574" s="30">
        <v>60800</v>
      </c>
      <c r="AN574" s="30">
        <v>299700</v>
      </c>
      <c r="AO574" s="30">
        <v>360500</v>
      </c>
      <c r="AP574" s="30">
        <f>Lookups!$B$58*0.6</f>
        <v>132535.48800000001</v>
      </c>
      <c r="AQ574" s="30">
        <f>Lookups!$B$58*0.4</f>
        <v>88356.992000000013</v>
      </c>
      <c r="AR574" s="30">
        <f>Lookups!$B$59*Inventory[[#This Row],[LnAcres]]</f>
        <v>-24051.387388882686</v>
      </c>
      <c r="AS574" s="30">
        <f>VLOOKUP(Inventory[[#This Row],[Qlty]],Lookups!$A$66:$E$79,2,FALSE)</f>
        <v>37154.252388000001</v>
      </c>
      <c r="AT574" s="30">
        <f>VLOOKUP(Inventory[[#This Row],[Cnd]],Lookups!$A$80:$E$88,2,FALSE)</f>
        <v>30300.329274</v>
      </c>
      <c r="AU574" s="30">
        <f>Inventory[[#This Row],[EffAge]]*Lookups!$B$65</f>
        <v>-1848.5987</v>
      </c>
      <c r="AV574" s="30">
        <f>Inventory[[#This Row],[MainFn]]*Lookups!$B$90</f>
        <v>96299.216339999999</v>
      </c>
      <c r="AW574" s="30">
        <f>Inventory[[#This Row],[UpprFn]]*Lookups!$B$91</f>
        <v>0</v>
      </c>
      <c r="AX574" s="30">
        <f>Inventory[[#This Row],[Bsmt Area]]*Lookups!$B$95</f>
        <v>0</v>
      </c>
      <c r="AY574" s="30">
        <f>Inventory[[#This Row],[AttGar]]*Lookups!$B$93</f>
        <v>15285.346423000001</v>
      </c>
      <c r="AZ574" s="30">
        <f>ROUND(Inventory[[#This Row],[25Det]],-2)</f>
        <v>0</v>
      </c>
      <c r="BA574" s="30">
        <f>ROUND(SUM(Inventory[[#This Row],[Mdl Qlty]:[Mdl Garage Area]])+Inventory[[#This Row],[Mdl Res Intercept]],-2)</f>
        <v>309700</v>
      </c>
      <c r="BB574" s="30">
        <f>ROUND(Inventory[[#This Row],[Mdl Land Intercept]]+Inventory[[#This Row],[Mdl LnAcres]],-2)</f>
        <v>64300</v>
      </c>
      <c r="BC574" s="30">
        <f>Inventory[[#This Row],[Unadj Res Value]]+Inventory[[#This Row],[Unadj Det Value]]+Inventory[[#This Row],[Unadj Land Value]]</f>
        <v>374000</v>
      </c>
      <c r="BD574" s="30">
        <f>(Inventory[[#This Row],[Unadj Total Value]]-Inventory[[#This Row],[24Final]])/Inventory[[#This Row],[24Final]]</f>
        <v>3.7447988904299581E-2</v>
      </c>
      <c r="BE574" s="30">
        <f>VLOOKUP(Inventory[[#This Row],[Nbhd]],Lookups!$M$3:$P$5,4,FALSE)</f>
        <v>0.99970000000000003</v>
      </c>
      <c r="BF574" s="30">
        <f>VLOOKUP(Inventory[[#This Row],[Qlty]],Lookups!$M$8:$P$22,4,FALSE)</f>
        <v>0.99819999999999998</v>
      </c>
      <c r="BG574" s="30">
        <f>VLOOKUP(Inventory[[#This Row],[Cnd]],Lookups!$R$8:$U$17,4,FALSE)</f>
        <v>0.997</v>
      </c>
      <c r="BH574" s="30">
        <f>VLOOKUP(Inventory[[#This Row],[LivArea Range]],Lookups!$R$25:$U$43,4,FALSE)</f>
        <v>1.0007999999999999</v>
      </c>
      <c r="BI574" s="30">
        <f>VLOOKUP(Inventory[[#This Row],[Decade]],Lookups!$M$24:$P$40,4,FALSE)</f>
        <v>1.0024</v>
      </c>
      <c r="BJ574" s="30">
        <f>Inventory[[#This Row],[Nbhd Adj]]*0.95</f>
        <v>0.94971499999999998</v>
      </c>
      <c r="BK574" s="30">
        <f>AVERAGE(Inventory[[#This Row],[Nbhd Adj]],Inventory[[#This Row],[Quality Adj]],Inventory[[#This Row],[Condition Adj]],Inventory[[#This Row],[Living Area Adj]],Inventory[[#This Row],[Decade Adj]])*0.95</f>
        <v>0.9496389999999999</v>
      </c>
      <c r="BL574" s="30">
        <f>ROUND((SUM(Inventory[[#This Row],[Mdl Qlty]:[Mdl Garage Area]])+Inventory[[#This Row],[Mdl Res Intercept]])*Inventory[[#This Row],[Res Adj ]],-2)</f>
        <v>294100</v>
      </c>
      <c r="BM574" s="30">
        <f>ROUND(Inventory[[#This Row],[25Det]]*Inventory[[#This Row],[Det/Nbhd Adj]],-2)</f>
        <v>0</v>
      </c>
      <c r="BN574" s="30">
        <f>Inventory[[#This Row],[Adjusted Res]]+Inventory[[#This Row],[Adj Det ]]</f>
        <v>294100</v>
      </c>
      <c r="BO574" s="30">
        <f>ROUND((Inventory[[#This Row],[Mdl Land Intercept]]+Inventory[[#This Row],[Mdl LnAcres]])*Inventory[[#This Row],[Det/Nbhd Adj]],-2)</f>
        <v>61100</v>
      </c>
      <c r="BP574" s="30">
        <f>Inventory[[#This Row],[Adjusted Impr Total]]+Inventory[[#This Row],[Adjusted Land Total]]</f>
        <v>355200</v>
      </c>
      <c r="BQ574" s="30">
        <f>IFERROR((Inventory[[#This Row],[Adjusted Impr Total]]-Inventory[[#This Row],[24Bldg]])/Inventory[[#This Row],[24Bldg]],0)</f>
        <v>-1.8685352018685351E-2</v>
      </c>
      <c r="BR574" s="43">
        <f>(Inventory[[#This Row],[Adjusted Land Total]]-Inventory[[#This Row],[24Lnd]])/Inventory[[#This Row],[24Lnd]]</f>
        <v>4.9342105263157892E-3</v>
      </c>
      <c r="BS574" s="43">
        <f>(Inventory[[#This Row],[Adjusted Total]]-Inventory[[#This Row],[24Final]])/Inventory[[#This Row],[24Final]]</f>
        <v>-1.4701803051317614E-2</v>
      </c>
    </row>
    <row r="575" spans="1:71">
      <c r="A575" s="30">
        <v>2025</v>
      </c>
      <c r="B575" s="31" t="s">
        <v>1089</v>
      </c>
      <c r="C575" s="31">
        <f>LN(Inventory[[#This Row],[Acres]])</f>
        <v>-1.8325814637483102</v>
      </c>
      <c r="D575" s="30">
        <v>0.16</v>
      </c>
      <c r="E575" s="30">
        <v>7077</v>
      </c>
      <c r="F575" s="31" t="s">
        <v>505</v>
      </c>
      <c r="G575" s="31" t="s">
        <v>155</v>
      </c>
      <c r="H575" s="31" t="s">
        <v>5</v>
      </c>
      <c r="I575" s="31" t="s">
        <v>506</v>
      </c>
      <c r="J575" s="31" t="s">
        <v>507</v>
      </c>
      <c r="K575" s="31" t="s">
        <v>193</v>
      </c>
      <c r="L575" s="31" t="s">
        <v>19</v>
      </c>
      <c r="M575" s="31" t="s">
        <v>20</v>
      </c>
      <c r="N575" s="31">
        <v>10</v>
      </c>
      <c r="O575" s="31">
        <f>2024-Inventory[[#This Row],[YrBlt]]</f>
        <v>17</v>
      </c>
      <c r="P575" s="31">
        <f>2024-Inventory[[#This Row],[EffYr]]</f>
        <v>17</v>
      </c>
      <c r="Q575" s="30">
        <v>2007</v>
      </c>
      <c r="R575" s="30">
        <v>2007</v>
      </c>
      <c r="S575" s="30">
        <v>1716</v>
      </c>
      <c r="T575" s="37"/>
      <c r="U575" s="32"/>
      <c r="V575" s="32"/>
      <c r="W575" s="32"/>
      <c r="X575" s="32">
        <f>Inventory[[#This Row],[Bsmt Area]]-Inventory[[#This Row],[FnBsmt]]</f>
        <v>0</v>
      </c>
      <c r="Y575" s="32">
        <f>Inventory[[#This Row],[MainFn]]+Inventory[[#This Row],[UpprFn]]+Inventory[[#This Row],[AddFn]]+Inventory[[#This Row],[FnBsmt]]</f>
        <v>1716</v>
      </c>
      <c r="Z575" s="32">
        <v>2000</v>
      </c>
      <c r="AA575" s="31" t="s">
        <v>56</v>
      </c>
      <c r="AB575" s="30">
        <v>1</v>
      </c>
      <c r="AC575" s="30">
        <v>440</v>
      </c>
      <c r="AD575" s="32"/>
      <c r="AE575" s="32"/>
      <c r="AF575" s="32"/>
      <c r="AG575" s="32"/>
      <c r="AH575" s="32"/>
      <c r="AI575" s="30">
        <v>336341</v>
      </c>
      <c r="AJ575" s="30">
        <v>309434</v>
      </c>
      <c r="AK575" s="30">
        <v>0</v>
      </c>
      <c r="AL575" s="30">
        <v>0</v>
      </c>
      <c r="AM575" s="30">
        <v>60800</v>
      </c>
      <c r="AN575" s="30">
        <v>310500</v>
      </c>
      <c r="AO575" s="30">
        <v>371300</v>
      </c>
      <c r="AP575" s="30">
        <f>Lookups!$B$58*0.6</f>
        <v>132535.48800000001</v>
      </c>
      <c r="AQ575" s="30">
        <f>Lookups!$B$58*0.4</f>
        <v>88356.992000000013</v>
      </c>
      <c r="AR575" s="30">
        <f>Lookups!$B$59*Inventory[[#This Row],[LnAcres]]</f>
        <v>-24051.387388882686</v>
      </c>
      <c r="AS575" s="30">
        <f>VLOOKUP(Inventory[[#This Row],[Qlty]],Lookups!$A$66:$E$79,2,FALSE)</f>
        <v>37154.252388000001</v>
      </c>
      <c r="AT575" s="30">
        <f>VLOOKUP(Inventory[[#This Row],[Cnd]],Lookups!$A$80:$E$88,2,FALSE)</f>
        <v>30300.329274</v>
      </c>
      <c r="AU575" s="30">
        <f>Inventory[[#This Row],[EffAge]]*Lookups!$B$65</f>
        <v>-1848.5987</v>
      </c>
      <c r="AV575" s="30">
        <f>Inventory[[#This Row],[MainFn]]*Lookups!$B$90</f>
        <v>107096.21208000001</v>
      </c>
      <c r="AW575" s="30">
        <f>Inventory[[#This Row],[UpprFn]]*Lookups!$B$91</f>
        <v>0</v>
      </c>
      <c r="AX575" s="30">
        <f>Inventory[[#This Row],[Bsmt Area]]*Lookups!$B$95</f>
        <v>0</v>
      </c>
      <c r="AY575" s="30">
        <f>Inventory[[#This Row],[AttGar]]*Lookups!$B$93</f>
        <v>15532.453640000002</v>
      </c>
      <c r="AZ575" s="30">
        <f>ROUND(Inventory[[#This Row],[25Det]],-2)</f>
        <v>0</v>
      </c>
      <c r="BA575" s="30">
        <f>ROUND(SUM(Inventory[[#This Row],[Mdl Qlty]:[Mdl Garage Area]])+Inventory[[#This Row],[Mdl Res Intercept]],-2)</f>
        <v>320800</v>
      </c>
      <c r="BB575" s="30">
        <f>ROUND(Inventory[[#This Row],[Mdl Land Intercept]]+Inventory[[#This Row],[Mdl LnAcres]],-2)</f>
        <v>64300</v>
      </c>
      <c r="BC575" s="30">
        <f>Inventory[[#This Row],[Unadj Res Value]]+Inventory[[#This Row],[Unadj Det Value]]+Inventory[[#This Row],[Unadj Land Value]]</f>
        <v>385100</v>
      </c>
      <c r="BD575" s="30">
        <f>(Inventory[[#This Row],[Unadj Total Value]]-Inventory[[#This Row],[24Final]])/Inventory[[#This Row],[24Final]]</f>
        <v>3.7166711553999462E-2</v>
      </c>
      <c r="BE575" s="30">
        <f>VLOOKUP(Inventory[[#This Row],[Nbhd]],Lookups!$M$3:$P$5,4,FALSE)</f>
        <v>0.99970000000000003</v>
      </c>
      <c r="BF575" s="30">
        <f>VLOOKUP(Inventory[[#This Row],[Qlty]],Lookups!$M$8:$P$22,4,FALSE)</f>
        <v>0.99819999999999998</v>
      </c>
      <c r="BG575" s="30">
        <f>VLOOKUP(Inventory[[#This Row],[Cnd]],Lookups!$R$8:$U$17,4,FALSE)</f>
        <v>0.997</v>
      </c>
      <c r="BH575" s="30">
        <f>VLOOKUP(Inventory[[#This Row],[LivArea Range]],Lookups!$R$25:$U$43,4,FALSE)</f>
        <v>1.0007999999999999</v>
      </c>
      <c r="BI575" s="30">
        <f>VLOOKUP(Inventory[[#This Row],[Decade]],Lookups!$M$24:$P$40,4,FALSE)</f>
        <v>1.0024</v>
      </c>
      <c r="BJ575" s="30">
        <f>Inventory[[#This Row],[Nbhd Adj]]*0.95</f>
        <v>0.94971499999999998</v>
      </c>
      <c r="BK575" s="30">
        <f>AVERAGE(Inventory[[#This Row],[Nbhd Adj]],Inventory[[#This Row],[Quality Adj]],Inventory[[#This Row],[Condition Adj]],Inventory[[#This Row],[Living Area Adj]],Inventory[[#This Row],[Decade Adj]])*0.95</f>
        <v>0.9496389999999999</v>
      </c>
      <c r="BL575" s="30">
        <f>ROUND((SUM(Inventory[[#This Row],[Mdl Qlty]:[Mdl Garage Area]])+Inventory[[#This Row],[Mdl Res Intercept]])*Inventory[[#This Row],[Res Adj ]],-2)</f>
        <v>304600</v>
      </c>
      <c r="BM575" s="30">
        <f>ROUND(Inventory[[#This Row],[25Det]]*Inventory[[#This Row],[Det/Nbhd Adj]],-2)</f>
        <v>0</v>
      </c>
      <c r="BN575" s="30">
        <f>Inventory[[#This Row],[Adjusted Res]]+Inventory[[#This Row],[Adj Det ]]</f>
        <v>304600</v>
      </c>
      <c r="BO575" s="30">
        <f>ROUND((Inventory[[#This Row],[Mdl Land Intercept]]+Inventory[[#This Row],[Mdl LnAcres]])*Inventory[[#This Row],[Det/Nbhd Adj]],-2)</f>
        <v>61100</v>
      </c>
      <c r="BP575" s="30">
        <f>Inventory[[#This Row],[Adjusted Impr Total]]+Inventory[[#This Row],[Adjusted Land Total]]</f>
        <v>365700</v>
      </c>
      <c r="BQ575" s="30">
        <f>IFERROR((Inventory[[#This Row],[Adjusted Impr Total]]-Inventory[[#This Row],[24Bldg]])/Inventory[[#This Row],[24Bldg]],0)</f>
        <v>-1.9001610305958132E-2</v>
      </c>
      <c r="BR575" s="43">
        <f>(Inventory[[#This Row],[Adjusted Land Total]]-Inventory[[#This Row],[24Lnd]])/Inventory[[#This Row],[24Lnd]]</f>
        <v>4.9342105263157892E-3</v>
      </c>
      <c r="BS575" s="43">
        <f>(Inventory[[#This Row],[Adjusted Total]]-Inventory[[#This Row],[24Final]])/Inventory[[#This Row],[24Final]]</f>
        <v>-1.5082143819014274E-2</v>
      </c>
    </row>
    <row r="576" spans="1:71">
      <c r="A576" s="30">
        <v>2025</v>
      </c>
      <c r="B576" s="31" t="s">
        <v>1090</v>
      </c>
      <c r="C576" s="31">
        <f>LN(Inventory[[#This Row],[Acres]])</f>
        <v>-1.8325814637483102</v>
      </c>
      <c r="D576" s="30">
        <v>0.16</v>
      </c>
      <c r="E576" s="30">
        <v>6924</v>
      </c>
      <c r="F576" s="31" t="s">
        <v>505</v>
      </c>
      <c r="G576" s="31" t="s">
        <v>155</v>
      </c>
      <c r="H576" s="31" t="s">
        <v>5</v>
      </c>
      <c r="I576" s="31" t="s">
        <v>506</v>
      </c>
      <c r="J576" s="31" t="s">
        <v>507</v>
      </c>
      <c r="K576" s="31" t="s">
        <v>193</v>
      </c>
      <c r="L576" s="31" t="s">
        <v>19</v>
      </c>
      <c r="M576" s="31" t="s">
        <v>22</v>
      </c>
      <c r="N576" s="31">
        <v>10</v>
      </c>
      <c r="O576" s="31">
        <f>2024-Inventory[[#This Row],[YrBlt]]</f>
        <v>17</v>
      </c>
      <c r="P576" s="31">
        <f>2024-Inventory[[#This Row],[EffYr]]</f>
        <v>17</v>
      </c>
      <c r="Q576" s="30">
        <v>2007</v>
      </c>
      <c r="R576" s="30">
        <v>2007</v>
      </c>
      <c r="S576" s="30">
        <v>1364</v>
      </c>
      <c r="T576" s="37"/>
      <c r="U576" s="32"/>
      <c r="V576" s="32"/>
      <c r="W576" s="32"/>
      <c r="X576" s="32">
        <f>Inventory[[#This Row],[Bsmt Area]]-Inventory[[#This Row],[FnBsmt]]</f>
        <v>0</v>
      </c>
      <c r="Y576" s="32">
        <f>Inventory[[#This Row],[MainFn]]+Inventory[[#This Row],[UpprFn]]+Inventory[[#This Row],[AddFn]]+Inventory[[#This Row],[FnBsmt]]</f>
        <v>1364</v>
      </c>
      <c r="Z576" s="32">
        <v>1500</v>
      </c>
      <c r="AA576" s="31" t="s">
        <v>56</v>
      </c>
      <c r="AB576" s="38">
        <v>1</v>
      </c>
      <c r="AC576" s="38">
        <v>668</v>
      </c>
      <c r="AD576" s="37"/>
      <c r="AE576" s="32"/>
      <c r="AF576" s="32"/>
      <c r="AG576" s="32"/>
      <c r="AH576" s="32"/>
      <c r="AI576" s="30">
        <v>284787</v>
      </c>
      <c r="AJ576" s="30">
        <v>264852</v>
      </c>
      <c r="AK576" s="30">
        <v>0</v>
      </c>
      <c r="AL576" s="30">
        <v>0</v>
      </c>
      <c r="AM576" s="30">
        <v>60800</v>
      </c>
      <c r="AN576" s="30">
        <v>315800</v>
      </c>
      <c r="AO576" s="30">
        <v>376600</v>
      </c>
      <c r="AP576" s="30">
        <f>Lookups!$B$58*0.6</f>
        <v>132535.48800000001</v>
      </c>
      <c r="AQ576" s="30">
        <f>Lookups!$B$58*0.4</f>
        <v>88356.992000000013</v>
      </c>
      <c r="AR576" s="30">
        <f>Lookups!$B$59*Inventory[[#This Row],[LnAcres]]</f>
        <v>-24051.387388882686</v>
      </c>
      <c r="AS576" s="30">
        <f>VLOOKUP(Inventory[[#This Row],[Qlty]],Lookups!$A$66:$E$79,2,FALSE)</f>
        <v>37154.252388000001</v>
      </c>
      <c r="AT576" s="30">
        <f>VLOOKUP(Inventory[[#This Row],[Cnd]],Lookups!$A$80:$E$88,2,FALSE)</f>
        <v>50438.379078999998</v>
      </c>
      <c r="AU576" s="30">
        <f>Inventory[[#This Row],[EffAge]]*Lookups!$B$65</f>
        <v>-1848.5987</v>
      </c>
      <c r="AV576" s="30">
        <f>Inventory[[#This Row],[MainFn]]*Lookups!$B$90</f>
        <v>85127.758320000008</v>
      </c>
      <c r="AW576" s="30">
        <f>Inventory[[#This Row],[UpprFn]]*Lookups!$B$91</f>
        <v>0</v>
      </c>
      <c r="AX576" s="30">
        <f>Inventory[[#This Row],[Bsmt Area]]*Lookups!$B$95</f>
        <v>0</v>
      </c>
      <c r="AY576" s="30">
        <f>Inventory[[#This Row],[AttGar]]*Lookups!$B$93</f>
        <v>23581.088708000003</v>
      </c>
      <c r="AZ576" s="30">
        <f>ROUND(Inventory[[#This Row],[25Det]],-2)</f>
        <v>0</v>
      </c>
      <c r="BA576" s="30">
        <f>ROUND(SUM(Inventory[[#This Row],[Mdl Qlty]:[Mdl Garage Area]])+Inventory[[#This Row],[Mdl Res Intercept]],-2)</f>
        <v>327000</v>
      </c>
      <c r="BB576" s="30">
        <f>ROUND(Inventory[[#This Row],[Mdl Land Intercept]]+Inventory[[#This Row],[Mdl LnAcres]],-2)</f>
        <v>64300</v>
      </c>
      <c r="BC576" s="30">
        <f>Inventory[[#This Row],[Unadj Res Value]]+Inventory[[#This Row],[Unadj Det Value]]+Inventory[[#This Row],[Unadj Land Value]]</f>
        <v>391300</v>
      </c>
      <c r="BD576" s="30">
        <f>(Inventory[[#This Row],[Unadj Total Value]]-Inventory[[#This Row],[24Final]])/Inventory[[#This Row],[24Final]]</f>
        <v>3.9033457249070633E-2</v>
      </c>
      <c r="BE576" s="30">
        <f>VLOOKUP(Inventory[[#This Row],[Nbhd]],Lookups!$M$3:$P$5,4,FALSE)</f>
        <v>0.99970000000000003</v>
      </c>
      <c r="BF576" s="30">
        <f>VLOOKUP(Inventory[[#This Row],[Qlty]],Lookups!$M$8:$P$22,4,FALSE)</f>
        <v>0.99819999999999998</v>
      </c>
      <c r="BG576" s="30">
        <f>VLOOKUP(Inventory[[#This Row],[Cnd]],Lookups!$R$8:$U$17,4,FALSE)</f>
        <v>1.0007999999999999</v>
      </c>
      <c r="BH576" s="30">
        <f>VLOOKUP(Inventory[[#This Row],[LivArea Range]],Lookups!$R$25:$U$43,4,FALSE)</f>
        <v>0.99519999999999997</v>
      </c>
      <c r="BI576" s="30">
        <f>VLOOKUP(Inventory[[#This Row],[Decade]],Lookups!$M$24:$P$40,4,FALSE)</f>
        <v>1.0024</v>
      </c>
      <c r="BJ576" s="30">
        <f>Inventory[[#This Row],[Nbhd Adj]]*0.95</f>
        <v>0.94971499999999998</v>
      </c>
      <c r="BK576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576" s="30">
        <f>ROUND((SUM(Inventory[[#This Row],[Mdl Qlty]:[Mdl Garage Area]])+Inventory[[#This Row],[Mdl Res Intercept]])*Inventory[[#This Row],[Res Adj ]],-2)</f>
        <v>310400</v>
      </c>
      <c r="BM576" s="30">
        <f>ROUND(Inventory[[#This Row],[25Det]]*Inventory[[#This Row],[Det/Nbhd Adj]],-2)</f>
        <v>0</v>
      </c>
      <c r="BN576" s="30">
        <f>Inventory[[#This Row],[Adjusted Res]]+Inventory[[#This Row],[Adj Det ]]</f>
        <v>310400</v>
      </c>
      <c r="BO576" s="30">
        <f>ROUND((Inventory[[#This Row],[Mdl Land Intercept]]+Inventory[[#This Row],[Mdl LnAcres]])*Inventory[[#This Row],[Det/Nbhd Adj]],-2)</f>
        <v>61100</v>
      </c>
      <c r="BP576" s="30">
        <f>Inventory[[#This Row],[Adjusted Impr Total]]+Inventory[[#This Row],[Adjusted Land Total]]</f>
        <v>371500</v>
      </c>
      <c r="BQ576" s="30">
        <f>IFERROR((Inventory[[#This Row],[Adjusted Impr Total]]-Inventory[[#This Row],[24Bldg]])/Inventory[[#This Row],[24Bldg]],0)</f>
        <v>-1.7099430018999367E-2</v>
      </c>
      <c r="BR576" s="43">
        <f>(Inventory[[#This Row],[Adjusted Land Total]]-Inventory[[#This Row],[24Lnd]])/Inventory[[#This Row],[24Lnd]]</f>
        <v>4.9342105263157892E-3</v>
      </c>
      <c r="BS576" s="43">
        <f>(Inventory[[#This Row],[Adjusted Total]]-Inventory[[#This Row],[24Final]])/Inventory[[#This Row],[24Final]]</f>
        <v>-1.3542219861922463E-2</v>
      </c>
    </row>
    <row r="577" spans="1:71">
      <c r="A577" s="30">
        <v>2025</v>
      </c>
      <c r="B577" s="31" t="s">
        <v>1091</v>
      </c>
      <c r="C577" s="31">
        <f>LN(Inventory[[#This Row],[Acres]])</f>
        <v>-1.8325814637483102</v>
      </c>
      <c r="D577" s="30">
        <v>0.16</v>
      </c>
      <c r="E577" s="30">
        <v>7032</v>
      </c>
      <c r="F577" s="31" t="s">
        <v>505</v>
      </c>
      <c r="G577" s="31" t="s">
        <v>155</v>
      </c>
      <c r="H577" s="31" t="s">
        <v>5</v>
      </c>
      <c r="I577" s="31" t="s">
        <v>506</v>
      </c>
      <c r="J577" s="31" t="s">
        <v>507</v>
      </c>
      <c r="K577" s="31" t="s">
        <v>193</v>
      </c>
      <c r="L577" s="31" t="s">
        <v>19</v>
      </c>
      <c r="M577" s="31" t="s">
        <v>22</v>
      </c>
      <c r="N577" s="31">
        <v>10</v>
      </c>
      <c r="O577" s="31">
        <f>2024-Inventory[[#This Row],[YrBlt]]</f>
        <v>17</v>
      </c>
      <c r="P577" s="31">
        <f>2024-Inventory[[#This Row],[EffYr]]</f>
        <v>17</v>
      </c>
      <c r="Q577" s="30">
        <v>2007</v>
      </c>
      <c r="R577" s="30">
        <v>2007</v>
      </c>
      <c r="S577" s="30">
        <v>1352</v>
      </c>
      <c r="T577" s="37"/>
      <c r="U577" s="32"/>
      <c r="V577" s="32"/>
      <c r="W577" s="32"/>
      <c r="X577" s="32">
        <f>Inventory[[#This Row],[Bsmt Area]]-Inventory[[#This Row],[FnBsmt]]</f>
        <v>0</v>
      </c>
      <c r="Y577" s="32">
        <f>Inventory[[#This Row],[MainFn]]+Inventory[[#This Row],[UpprFn]]+Inventory[[#This Row],[AddFn]]+Inventory[[#This Row],[FnBsmt]]</f>
        <v>1352</v>
      </c>
      <c r="Z577" s="32">
        <v>1500</v>
      </c>
      <c r="AA577" s="31" t="s">
        <v>56</v>
      </c>
      <c r="AB577" s="32"/>
      <c r="AC577" s="30">
        <v>440</v>
      </c>
      <c r="AD577" s="32"/>
      <c r="AE577" s="32"/>
      <c r="AF577" s="32"/>
      <c r="AG577" s="32"/>
      <c r="AH577" s="32"/>
      <c r="AI577" s="30">
        <v>274757</v>
      </c>
      <c r="AJ577" s="30">
        <v>255524</v>
      </c>
      <c r="AK577" s="30">
        <v>0</v>
      </c>
      <c r="AL577" s="30">
        <v>0</v>
      </c>
      <c r="AM577" s="30">
        <v>60800</v>
      </c>
      <c r="AN577" s="30">
        <v>306800</v>
      </c>
      <c r="AO577" s="30">
        <v>367600</v>
      </c>
      <c r="AP577" s="30">
        <f>Lookups!$B$58*0.6</f>
        <v>132535.48800000001</v>
      </c>
      <c r="AQ577" s="30">
        <f>Lookups!$B$58*0.4</f>
        <v>88356.992000000013</v>
      </c>
      <c r="AR577" s="30">
        <f>Lookups!$B$59*Inventory[[#This Row],[LnAcres]]</f>
        <v>-24051.387388882686</v>
      </c>
      <c r="AS577" s="30">
        <f>VLOOKUP(Inventory[[#This Row],[Qlty]],Lookups!$A$66:$E$79,2,FALSE)</f>
        <v>37154.252388000001</v>
      </c>
      <c r="AT577" s="30">
        <f>VLOOKUP(Inventory[[#This Row],[Cnd]],Lookups!$A$80:$E$88,2,FALSE)</f>
        <v>50438.379078999998</v>
      </c>
      <c r="AU577" s="30">
        <f>Inventory[[#This Row],[EffAge]]*Lookups!$B$65</f>
        <v>-1848.5987</v>
      </c>
      <c r="AV577" s="30">
        <f>Inventory[[#This Row],[MainFn]]*Lookups!$B$90</f>
        <v>84378.833760000009</v>
      </c>
      <c r="AW577" s="30">
        <f>Inventory[[#This Row],[UpprFn]]*Lookups!$B$91</f>
        <v>0</v>
      </c>
      <c r="AX577" s="30">
        <f>Inventory[[#This Row],[Bsmt Area]]*Lookups!$B$95</f>
        <v>0</v>
      </c>
      <c r="AY577" s="30">
        <f>Inventory[[#This Row],[AttGar]]*Lookups!$B$93</f>
        <v>15532.453640000002</v>
      </c>
      <c r="AZ577" s="30">
        <f>ROUND(Inventory[[#This Row],[25Det]],-2)</f>
        <v>0</v>
      </c>
      <c r="BA577" s="30">
        <f>ROUND(SUM(Inventory[[#This Row],[Mdl Qlty]:[Mdl Garage Area]])+Inventory[[#This Row],[Mdl Res Intercept]],-2)</f>
        <v>318200</v>
      </c>
      <c r="BB577" s="30">
        <f>ROUND(Inventory[[#This Row],[Mdl Land Intercept]]+Inventory[[#This Row],[Mdl LnAcres]],-2)</f>
        <v>64300</v>
      </c>
      <c r="BC577" s="30">
        <f>Inventory[[#This Row],[Unadj Res Value]]+Inventory[[#This Row],[Unadj Det Value]]+Inventory[[#This Row],[Unadj Land Value]]</f>
        <v>382500</v>
      </c>
      <c r="BD577" s="30">
        <f>(Inventory[[#This Row],[Unadj Total Value]]-Inventory[[#This Row],[24Final]])/Inventory[[#This Row],[24Final]]</f>
        <v>4.0533188248095757E-2</v>
      </c>
      <c r="BE577" s="30">
        <f>VLOOKUP(Inventory[[#This Row],[Nbhd]],Lookups!$M$3:$P$5,4,FALSE)</f>
        <v>0.99970000000000003</v>
      </c>
      <c r="BF577" s="30">
        <f>VLOOKUP(Inventory[[#This Row],[Qlty]],Lookups!$M$8:$P$22,4,FALSE)</f>
        <v>0.99819999999999998</v>
      </c>
      <c r="BG577" s="30">
        <f>VLOOKUP(Inventory[[#This Row],[Cnd]],Lookups!$R$8:$U$17,4,FALSE)</f>
        <v>1.0007999999999999</v>
      </c>
      <c r="BH577" s="30">
        <f>VLOOKUP(Inventory[[#This Row],[LivArea Range]],Lookups!$R$25:$U$43,4,FALSE)</f>
        <v>0.99519999999999997</v>
      </c>
      <c r="BI577" s="30">
        <f>VLOOKUP(Inventory[[#This Row],[Decade]],Lookups!$M$24:$P$40,4,FALSE)</f>
        <v>1.0024</v>
      </c>
      <c r="BJ577" s="30">
        <f>Inventory[[#This Row],[Nbhd Adj]]*0.95</f>
        <v>0.94971499999999998</v>
      </c>
      <c r="BK577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577" s="30">
        <f>ROUND((SUM(Inventory[[#This Row],[Mdl Qlty]:[Mdl Garage Area]])+Inventory[[#This Row],[Mdl Res Intercept]])*Inventory[[#This Row],[Res Adj ]],-2)</f>
        <v>302100</v>
      </c>
      <c r="BM577" s="30">
        <f>ROUND(Inventory[[#This Row],[25Det]]*Inventory[[#This Row],[Det/Nbhd Adj]],-2)</f>
        <v>0</v>
      </c>
      <c r="BN577" s="30">
        <f>Inventory[[#This Row],[Adjusted Res]]+Inventory[[#This Row],[Adj Det ]]</f>
        <v>302100</v>
      </c>
      <c r="BO577" s="30">
        <f>ROUND((Inventory[[#This Row],[Mdl Land Intercept]]+Inventory[[#This Row],[Mdl LnAcres]])*Inventory[[#This Row],[Det/Nbhd Adj]],-2)</f>
        <v>61100</v>
      </c>
      <c r="BP577" s="30">
        <f>Inventory[[#This Row],[Adjusted Impr Total]]+Inventory[[#This Row],[Adjusted Land Total]]</f>
        <v>363200</v>
      </c>
      <c r="BQ577" s="30">
        <f>IFERROR((Inventory[[#This Row],[Adjusted Impr Total]]-Inventory[[#This Row],[24Bldg]])/Inventory[[#This Row],[24Bldg]],0)</f>
        <v>-1.5319426336375489E-2</v>
      </c>
      <c r="BR577" s="43">
        <f>(Inventory[[#This Row],[Adjusted Land Total]]-Inventory[[#This Row],[24Lnd]])/Inventory[[#This Row],[24Lnd]]</f>
        <v>4.9342105263157892E-3</v>
      </c>
      <c r="BS577" s="43">
        <f>(Inventory[[#This Row],[Adjusted Total]]-Inventory[[#This Row],[24Final]])/Inventory[[#This Row],[24Final]]</f>
        <v>-1.1969532100108813E-2</v>
      </c>
    </row>
    <row r="578" spans="1:71">
      <c r="A578" s="30">
        <v>2025</v>
      </c>
      <c r="B578" s="31" t="s">
        <v>1092</v>
      </c>
      <c r="C578" s="31">
        <f>LN(Inventory[[#This Row],[Acres]])</f>
        <v>-1.8325814637483102</v>
      </c>
      <c r="D578" s="30">
        <v>0.16</v>
      </c>
      <c r="E578" s="30">
        <v>6997</v>
      </c>
      <c r="F578" s="31" t="s">
        <v>505</v>
      </c>
      <c r="G578" s="31" t="s">
        <v>155</v>
      </c>
      <c r="H578" s="31" t="s">
        <v>5</v>
      </c>
      <c r="I578" s="31" t="s">
        <v>506</v>
      </c>
      <c r="J578" s="31" t="s">
        <v>507</v>
      </c>
      <c r="K578" s="31" t="s">
        <v>193</v>
      </c>
      <c r="L578" s="31" t="s">
        <v>19</v>
      </c>
      <c r="M578" s="31" t="s">
        <v>22</v>
      </c>
      <c r="N578" s="31">
        <v>10</v>
      </c>
      <c r="O578" s="31">
        <f>2024-Inventory[[#This Row],[YrBlt]]</f>
        <v>17</v>
      </c>
      <c r="P578" s="31">
        <f>2024-Inventory[[#This Row],[EffYr]]</f>
        <v>17</v>
      </c>
      <c r="Q578" s="30">
        <v>2007</v>
      </c>
      <c r="R578" s="30">
        <v>2007</v>
      </c>
      <c r="S578" s="30">
        <v>1380</v>
      </c>
      <c r="T578" s="32"/>
      <c r="U578" s="32"/>
      <c r="V578" s="32"/>
      <c r="W578" s="32"/>
      <c r="X578" s="32">
        <f>Inventory[[#This Row],[Bsmt Area]]-Inventory[[#This Row],[FnBsmt]]</f>
        <v>0</v>
      </c>
      <c r="Y578" s="32">
        <f>Inventory[[#This Row],[MainFn]]+Inventory[[#This Row],[UpprFn]]+Inventory[[#This Row],[AddFn]]+Inventory[[#This Row],[FnBsmt]]</f>
        <v>1380</v>
      </c>
      <c r="Z578" s="32">
        <v>1500</v>
      </c>
      <c r="AA578" s="31" t="s">
        <v>56</v>
      </c>
      <c r="AB578" s="32"/>
      <c r="AC578" s="30">
        <v>428</v>
      </c>
      <c r="AD578" s="32"/>
      <c r="AE578" s="32"/>
      <c r="AF578" s="32"/>
      <c r="AG578" s="32"/>
      <c r="AH578" s="32"/>
      <c r="AI578" s="30">
        <v>277799</v>
      </c>
      <c r="AJ578" s="30">
        <v>258353</v>
      </c>
      <c r="AK578" s="30">
        <v>0</v>
      </c>
      <c r="AL578" s="30">
        <v>0</v>
      </c>
      <c r="AM578" s="30">
        <v>60800</v>
      </c>
      <c r="AN578" s="30">
        <v>307800</v>
      </c>
      <c r="AO578" s="30">
        <v>368600</v>
      </c>
      <c r="AP578" s="30">
        <f>Lookups!$B$58*0.6</f>
        <v>132535.48800000001</v>
      </c>
      <c r="AQ578" s="30">
        <f>Lookups!$B$58*0.4</f>
        <v>88356.992000000013</v>
      </c>
      <c r="AR578" s="30">
        <f>Lookups!$B$59*Inventory[[#This Row],[LnAcres]]</f>
        <v>-24051.387388882686</v>
      </c>
      <c r="AS578" s="30">
        <f>VLOOKUP(Inventory[[#This Row],[Qlty]],Lookups!$A$66:$E$79,2,FALSE)</f>
        <v>37154.252388000001</v>
      </c>
      <c r="AT578" s="30">
        <f>VLOOKUP(Inventory[[#This Row],[Cnd]],Lookups!$A$80:$E$88,2,FALSE)</f>
        <v>50438.379078999998</v>
      </c>
      <c r="AU578" s="30">
        <f>Inventory[[#This Row],[EffAge]]*Lookups!$B$65</f>
        <v>-1848.5987</v>
      </c>
      <c r="AV578" s="30">
        <f>Inventory[[#This Row],[MainFn]]*Lookups!$B$90</f>
        <v>86126.324399999998</v>
      </c>
      <c r="AW578" s="30">
        <f>Inventory[[#This Row],[UpprFn]]*Lookups!$B$91</f>
        <v>0</v>
      </c>
      <c r="AX578" s="30">
        <f>Inventory[[#This Row],[Bsmt Area]]*Lookups!$B$95</f>
        <v>0</v>
      </c>
      <c r="AY578" s="30">
        <f>Inventory[[#This Row],[AttGar]]*Lookups!$B$93</f>
        <v>15108.841268</v>
      </c>
      <c r="AZ578" s="30">
        <f>ROUND(Inventory[[#This Row],[25Det]],-2)</f>
        <v>0</v>
      </c>
      <c r="BA578" s="30">
        <f>ROUND(SUM(Inventory[[#This Row],[Mdl Qlty]:[Mdl Garage Area]])+Inventory[[#This Row],[Mdl Res Intercept]],-2)</f>
        <v>319500</v>
      </c>
      <c r="BB578" s="30">
        <f>ROUND(Inventory[[#This Row],[Mdl Land Intercept]]+Inventory[[#This Row],[Mdl LnAcres]],-2)</f>
        <v>64300</v>
      </c>
      <c r="BC578" s="30">
        <f>Inventory[[#This Row],[Unadj Res Value]]+Inventory[[#This Row],[Unadj Det Value]]+Inventory[[#This Row],[Unadj Land Value]]</f>
        <v>383800</v>
      </c>
      <c r="BD578" s="30">
        <f>(Inventory[[#This Row],[Unadj Total Value]]-Inventory[[#This Row],[24Final]])/Inventory[[#This Row],[24Final]]</f>
        <v>4.1237113402061855E-2</v>
      </c>
      <c r="BE578" s="30">
        <f>VLOOKUP(Inventory[[#This Row],[Nbhd]],Lookups!$M$3:$P$5,4,FALSE)</f>
        <v>0.99970000000000003</v>
      </c>
      <c r="BF578" s="30">
        <f>VLOOKUP(Inventory[[#This Row],[Qlty]],Lookups!$M$8:$P$22,4,FALSE)</f>
        <v>0.99819999999999998</v>
      </c>
      <c r="BG578" s="30">
        <f>VLOOKUP(Inventory[[#This Row],[Cnd]],Lookups!$R$8:$U$17,4,FALSE)</f>
        <v>1.0007999999999999</v>
      </c>
      <c r="BH578" s="30">
        <f>VLOOKUP(Inventory[[#This Row],[LivArea Range]],Lookups!$R$25:$U$43,4,FALSE)</f>
        <v>0.99519999999999997</v>
      </c>
      <c r="BI578" s="30">
        <f>VLOOKUP(Inventory[[#This Row],[Decade]],Lookups!$M$24:$P$40,4,FALSE)</f>
        <v>1.0024</v>
      </c>
      <c r="BJ578" s="30">
        <f>Inventory[[#This Row],[Nbhd Adj]]*0.95</f>
        <v>0.94971499999999998</v>
      </c>
      <c r="BK578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578" s="30">
        <f>ROUND((SUM(Inventory[[#This Row],[Mdl Qlty]:[Mdl Garage Area]])+Inventory[[#This Row],[Mdl Res Intercept]])*Inventory[[#This Row],[Res Adj ]],-2)</f>
        <v>303300</v>
      </c>
      <c r="BM578" s="30">
        <f>ROUND(Inventory[[#This Row],[25Det]]*Inventory[[#This Row],[Det/Nbhd Adj]],-2)</f>
        <v>0</v>
      </c>
      <c r="BN578" s="30">
        <f>Inventory[[#This Row],[Adjusted Res]]+Inventory[[#This Row],[Adj Det ]]</f>
        <v>303300</v>
      </c>
      <c r="BO578" s="30">
        <f>ROUND((Inventory[[#This Row],[Mdl Land Intercept]]+Inventory[[#This Row],[Mdl LnAcres]])*Inventory[[#This Row],[Det/Nbhd Adj]],-2)</f>
        <v>61100</v>
      </c>
      <c r="BP578" s="30">
        <f>Inventory[[#This Row],[Adjusted Impr Total]]+Inventory[[#This Row],[Adjusted Land Total]]</f>
        <v>364400</v>
      </c>
      <c r="BQ578" s="30">
        <f>IFERROR((Inventory[[#This Row],[Adjusted Impr Total]]-Inventory[[#This Row],[24Bldg]])/Inventory[[#This Row],[24Bldg]],0)</f>
        <v>-1.4619883040935672E-2</v>
      </c>
      <c r="BR578" s="43">
        <f>(Inventory[[#This Row],[Adjusted Land Total]]-Inventory[[#This Row],[24Lnd]])/Inventory[[#This Row],[24Lnd]]</f>
        <v>4.9342105263157892E-3</v>
      </c>
      <c r="BS578" s="43">
        <f>(Inventory[[#This Row],[Adjusted Total]]-Inventory[[#This Row],[24Final]])/Inventory[[#This Row],[24Final]]</f>
        <v>-1.1394465545306565E-2</v>
      </c>
    </row>
    <row r="579" spans="1:71">
      <c r="A579" s="30">
        <v>2025</v>
      </c>
      <c r="B579" s="31" t="s">
        <v>1093</v>
      </c>
      <c r="C579" s="31">
        <f>LN(Inventory[[#This Row],[Acres]])</f>
        <v>-1.8325814637483102</v>
      </c>
      <c r="D579" s="30">
        <v>0.16</v>
      </c>
      <c r="E579" s="30">
        <v>7082</v>
      </c>
      <c r="F579" s="31" t="s">
        <v>505</v>
      </c>
      <c r="G579" s="31" t="s">
        <v>155</v>
      </c>
      <c r="H579" s="31" t="s">
        <v>5</v>
      </c>
      <c r="I579" s="31" t="s">
        <v>506</v>
      </c>
      <c r="J579" s="31" t="s">
        <v>507</v>
      </c>
      <c r="K579" s="31" t="s">
        <v>193</v>
      </c>
      <c r="L579" s="31" t="s">
        <v>21</v>
      </c>
      <c r="M579" s="31" t="s">
        <v>20</v>
      </c>
      <c r="N579" s="31">
        <v>10</v>
      </c>
      <c r="O579" s="31">
        <f>2024-Inventory[[#This Row],[YrBlt]]</f>
        <v>17</v>
      </c>
      <c r="P579" s="31">
        <f>2024-Inventory[[#This Row],[EffYr]]</f>
        <v>17</v>
      </c>
      <c r="Q579" s="30">
        <v>2007</v>
      </c>
      <c r="R579" s="30">
        <v>2007</v>
      </c>
      <c r="S579" s="30">
        <v>1706</v>
      </c>
      <c r="T579" s="32"/>
      <c r="U579" s="32"/>
      <c r="V579" s="32"/>
      <c r="W579" s="32"/>
      <c r="X579" s="32">
        <f>Inventory[[#This Row],[Bsmt Area]]-Inventory[[#This Row],[FnBsmt]]</f>
        <v>0</v>
      </c>
      <c r="Y579" s="32">
        <f>Inventory[[#This Row],[MainFn]]+Inventory[[#This Row],[UpprFn]]+Inventory[[#This Row],[AddFn]]+Inventory[[#This Row],[FnBsmt]]</f>
        <v>1706</v>
      </c>
      <c r="Z579" s="32">
        <v>2000</v>
      </c>
      <c r="AA579" s="31" t="s">
        <v>56</v>
      </c>
      <c r="AB579" s="32"/>
      <c r="AC579" s="30">
        <v>466</v>
      </c>
      <c r="AD579" s="32"/>
      <c r="AE579" s="32"/>
      <c r="AF579" s="32"/>
      <c r="AG579" s="32"/>
      <c r="AH579" s="32"/>
      <c r="AI579" s="30">
        <v>375800</v>
      </c>
      <c r="AJ579" s="30">
        <v>345736</v>
      </c>
      <c r="AK579" s="30">
        <v>0</v>
      </c>
      <c r="AL579" s="30">
        <v>0</v>
      </c>
      <c r="AM579" s="30">
        <v>60800</v>
      </c>
      <c r="AN579" s="30">
        <v>305500</v>
      </c>
      <c r="AO579" s="30">
        <v>366300</v>
      </c>
      <c r="AP579" s="30">
        <f>Lookups!$B$58*0.6</f>
        <v>132535.48800000001</v>
      </c>
      <c r="AQ579" s="30">
        <f>Lookups!$B$58*0.4</f>
        <v>88356.992000000013</v>
      </c>
      <c r="AR579" s="30">
        <f>Lookups!$B$59*Inventory[[#This Row],[LnAcres]]</f>
        <v>-24051.387388882686</v>
      </c>
      <c r="AS579" s="30">
        <f>VLOOKUP(Inventory[[#This Row],[Qlty]],Lookups!$A$66:$E$79,2,FALSE)</f>
        <v>32917.849192000001</v>
      </c>
      <c r="AT579" s="30">
        <f>VLOOKUP(Inventory[[#This Row],[Cnd]],Lookups!$A$80:$E$88,2,FALSE)</f>
        <v>30300.329274</v>
      </c>
      <c r="AU579" s="30">
        <f>Inventory[[#This Row],[EffAge]]*Lookups!$B$65</f>
        <v>-1848.5987</v>
      </c>
      <c r="AV579" s="30">
        <f>Inventory[[#This Row],[MainFn]]*Lookups!$B$90</f>
        <v>106472.10828</v>
      </c>
      <c r="AW579" s="30">
        <f>Inventory[[#This Row],[UpprFn]]*Lookups!$B$91</f>
        <v>0</v>
      </c>
      <c r="AX579" s="30">
        <f>Inventory[[#This Row],[Bsmt Area]]*Lookups!$B$95</f>
        <v>0</v>
      </c>
      <c r="AY579" s="30">
        <f>Inventory[[#This Row],[AttGar]]*Lookups!$B$93</f>
        <v>16450.280446000001</v>
      </c>
      <c r="AZ579" s="30">
        <f>ROUND(Inventory[[#This Row],[25Det]],-2)</f>
        <v>0</v>
      </c>
      <c r="BA579" s="30">
        <f>ROUND(SUM(Inventory[[#This Row],[Mdl Qlty]:[Mdl Garage Area]])+Inventory[[#This Row],[Mdl Res Intercept]],-2)</f>
        <v>316800</v>
      </c>
      <c r="BB579" s="30">
        <f>ROUND(Inventory[[#This Row],[Mdl Land Intercept]]+Inventory[[#This Row],[Mdl LnAcres]],-2)</f>
        <v>64300</v>
      </c>
      <c r="BC579" s="30">
        <f>Inventory[[#This Row],[Unadj Res Value]]+Inventory[[#This Row],[Unadj Det Value]]+Inventory[[#This Row],[Unadj Land Value]]</f>
        <v>381100</v>
      </c>
      <c r="BD579" s="30">
        <f>(Inventory[[#This Row],[Unadj Total Value]]-Inventory[[#This Row],[24Final]])/Inventory[[#This Row],[24Final]]</f>
        <v>4.0404040404040407E-2</v>
      </c>
      <c r="BE579" s="30">
        <f>VLOOKUP(Inventory[[#This Row],[Nbhd]],Lookups!$M$3:$P$5,4,FALSE)</f>
        <v>0.99970000000000003</v>
      </c>
      <c r="BF579" s="30">
        <f>VLOOKUP(Inventory[[#This Row],[Qlty]],Lookups!$M$8:$P$22,4,FALSE)</f>
        <v>1.0019</v>
      </c>
      <c r="BG579" s="30">
        <f>VLOOKUP(Inventory[[#This Row],[Cnd]],Lookups!$R$8:$U$17,4,FALSE)</f>
        <v>0.997</v>
      </c>
      <c r="BH579" s="30">
        <f>VLOOKUP(Inventory[[#This Row],[LivArea Range]],Lookups!$R$25:$U$43,4,FALSE)</f>
        <v>1.0007999999999999</v>
      </c>
      <c r="BI579" s="30">
        <f>VLOOKUP(Inventory[[#This Row],[Decade]],Lookups!$M$24:$P$40,4,FALSE)</f>
        <v>1.0024</v>
      </c>
      <c r="BJ579" s="30">
        <f>Inventory[[#This Row],[Nbhd Adj]]*0.95</f>
        <v>0.94971499999999998</v>
      </c>
      <c r="BK579" s="30">
        <f>AVERAGE(Inventory[[#This Row],[Nbhd Adj]],Inventory[[#This Row],[Quality Adj]],Inventory[[#This Row],[Condition Adj]],Inventory[[#This Row],[Living Area Adj]],Inventory[[#This Row],[Decade Adj]])*0.95</f>
        <v>0.95034199999999991</v>
      </c>
      <c r="BL579" s="30">
        <f>ROUND((SUM(Inventory[[#This Row],[Mdl Qlty]:[Mdl Garage Area]])+Inventory[[#This Row],[Mdl Res Intercept]])*Inventory[[#This Row],[Res Adj ]],-2)</f>
        <v>301100</v>
      </c>
      <c r="BM579" s="30">
        <f>ROUND(Inventory[[#This Row],[25Det]]*Inventory[[#This Row],[Det/Nbhd Adj]],-2)</f>
        <v>0</v>
      </c>
      <c r="BN579" s="30">
        <f>Inventory[[#This Row],[Adjusted Res]]+Inventory[[#This Row],[Adj Det ]]</f>
        <v>301100</v>
      </c>
      <c r="BO579" s="30">
        <f>ROUND((Inventory[[#This Row],[Mdl Land Intercept]]+Inventory[[#This Row],[Mdl LnAcres]])*Inventory[[#This Row],[Det/Nbhd Adj]],-2)</f>
        <v>61100</v>
      </c>
      <c r="BP579" s="30">
        <f>Inventory[[#This Row],[Adjusted Impr Total]]+Inventory[[#This Row],[Adjusted Land Total]]</f>
        <v>362200</v>
      </c>
      <c r="BQ579" s="30">
        <f>IFERROR((Inventory[[#This Row],[Adjusted Impr Total]]-Inventory[[#This Row],[24Bldg]])/Inventory[[#This Row],[24Bldg]],0)</f>
        <v>-1.4402618657937807E-2</v>
      </c>
      <c r="BR579" s="43">
        <f>(Inventory[[#This Row],[Adjusted Land Total]]-Inventory[[#This Row],[24Lnd]])/Inventory[[#This Row],[24Lnd]]</f>
        <v>4.9342105263157892E-3</v>
      </c>
      <c r="BS579" s="43">
        <f>(Inventory[[#This Row],[Adjusted Total]]-Inventory[[#This Row],[24Final]])/Inventory[[#This Row],[24Final]]</f>
        <v>-1.1193011193011193E-2</v>
      </c>
    </row>
    <row r="580" spans="1:71">
      <c r="A580" s="30">
        <v>2025</v>
      </c>
      <c r="B580" s="31" t="s">
        <v>1094</v>
      </c>
      <c r="C580" s="31">
        <f>LN(Inventory[[#This Row],[Acres]])</f>
        <v>-1.8325814637483102</v>
      </c>
      <c r="D580" s="30">
        <v>0.16</v>
      </c>
      <c r="E580" s="30">
        <v>6939</v>
      </c>
      <c r="F580" s="31" t="s">
        <v>505</v>
      </c>
      <c r="G580" s="31" t="s">
        <v>155</v>
      </c>
      <c r="H580" s="31" t="s">
        <v>5</v>
      </c>
      <c r="I580" s="31" t="s">
        <v>506</v>
      </c>
      <c r="J580" s="31" t="s">
        <v>507</v>
      </c>
      <c r="K580" s="31" t="s">
        <v>193</v>
      </c>
      <c r="L580" s="31" t="s">
        <v>19</v>
      </c>
      <c r="M580" s="31" t="s">
        <v>22</v>
      </c>
      <c r="N580" s="31">
        <v>10</v>
      </c>
      <c r="O580" s="31">
        <f>2024-Inventory[[#This Row],[YrBlt]]</f>
        <v>17</v>
      </c>
      <c r="P580" s="31">
        <f>2024-Inventory[[#This Row],[EffYr]]</f>
        <v>17</v>
      </c>
      <c r="Q580" s="30">
        <v>2007</v>
      </c>
      <c r="R580" s="30">
        <v>2007</v>
      </c>
      <c r="S580" s="30">
        <v>1368</v>
      </c>
      <c r="T580" s="37"/>
      <c r="U580" s="32"/>
      <c r="V580" s="32"/>
      <c r="W580" s="32"/>
      <c r="X580" s="32">
        <f>Inventory[[#This Row],[Bsmt Area]]-Inventory[[#This Row],[FnBsmt]]</f>
        <v>0</v>
      </c>
      <c r="Y580" s="32">
        <f>Inventory[[#This Row],[MainFn]]+Inventory[[#This Row],[UpprFn]]+Inventory[[#This Row],[AddFn]]+Inventory[[#This Row],[FnBsmt]]</f>
        <v>1368</v>
      </c>
      <c r="Z580" s="32">
        <v>1500</v>
      </c>
      <c r="AA580" s="31" t="s">
        <v>56</v>
      </c>
      <c r="AB580" s="32"/>
      <c r="AC580" s="30">
        <v>440</v>
      </c>
      <c r="AD580" s="37"/>
      <c r="AE580" s="32"/>
      <c r="AF580" s="32"/>
      <c r="AG580" s="32"/>
      <c r="AH580" s="32"/>
      <c r="AI580" s="30">
        <v>278732</v>
      </c>
      <c r="AJ580" s="30">
        <v>259221</v>
      </c>
      <c r="AK580" s="30">
        <v>0</v>
      </c>
      <c r="AL580" s="30">
        <v>0</v>
      </c>
      <c r="AM580" s="30">
        <v>60800</v>
      </c>
      <c r="AN580" s="30">
        <v>306300</v>
      </c>
      <c r="AO580" s="30">
        <v>367100</v>
      </c>
      <c r="AP580" s="30">
        <f>Lookups!$B$58*0.6</f>
        <v>132535.48800000001</v>
      </c>
      <c r="AQ580" s="30">
        <f>Lookups!$B$58*0.4</f>
        <v>88356.992000000013</v>
      </c>
      <c r="AR580" s="30">
        <f>Lookups!$B$59*Inventory[[#This Row],[LnAcres]]</f>
        <v>-24051.387388882686</v>
      </c>
      <c r="AS580" s="30">
        <f>VLOOKUP(Inventory[[#This Row],[Qlty]],Lookups!$A$66:$E$79,2,FALSE)</f>
        <v>37154.252388000001</v>
      </c>
      <c r="AT580" s="30">
        <f>VLOOKUP(Inventory[[#This Row],[Cnd]],Lookups!$A$80:$E$88,2,FALSE)</f>
        <v>50438.379078999998</v>
      </c>
      <c r="AU580" s="30">
        <f>Inventory[[#This Row],[EffAge]]*Lookups!$B$65</f>
        <v>-1848.5987</v>
      </c>
      <c r="AV580" s="30">
        <f>Inventory[[#This Row],[MainFn]]*Lookups!$B$90</f>
        <v>85377.399839999998</v>
      </c>
      <c r="AW580" s="30">
        <f>Inventory[[#This Row],[UpprFn]]*Lookups!$B$91</f>
        <v>0</v>
      </c>
      <c r="AX580" s="30">
        <f>Inventory[[#This Row],[Bsmt Area]]*Lookups!$B$95</f>
        <v>0</v>
      </c>
      <c r="AY580" s="30">
        <f>Inventory[[#This Row],[AttGar]]*Lookups!$B$93</f>
        <v>15532.453640000002</v>
      </c>
      <c r="AZ580" s="30">
        <f>ROUND(Inventory[[#This Row],[25Det]],-2)</f>
        <v>0</v>
      </c>
      <c r="BA580" s="30">
        <f>ROUND(SUM(Inventory[[#This Row],[Mdl Qlty]:[Mdl Garage Area]])+Inventory[[#This Row],[Mdl Res Intercept]],-2)</f>
        <v>319200</v>
      </c>
      <c r="BB580" s="30">
        <f>ROUND(Inventory[[#This Row],[Mdl Land Intercept]]+Inventory[[#This Row],[Mdl LnAcres]],-2)</f>
        <v>64300</v>
      </c>
      <c r="BC580" s="30">
        <f>Inventory[[#This Row],[Unadj Res Value]]+Inventory[[#This Row],[Unadj Det Value]]+Inventory[[#This Row],[Unadj Land Value]]</f>
        <v>383500</v>
      </c>
      <c r="BD580" s="30">
        <f>(Inventory[[#This Row],[Unadj Total Value]]-Inventory[[#This Row],[24Final]])/Inventory[[#This Row],[24Final]]</f>
        <v>4.4674475619722147E-2</v>
      </c>
      <c r="BE580" s="30">
        <f>VLOOKUP(Inventory[[#This Row],[Nbhd]],Lookups!$M$3:$P$5,4,FALSE)</f>
        <v>0.99970000000000003</v>
      </c>
      <c r="BF580" s="30">
        <f>VLOOKUP(Inventory[[#This Row],[Qlty]],Lookups!$M$8:$P$22,4,FALSE)</f>
        <v>0.99819999999999998</v>
      </c>
      <c r="BG580" s="30">
        <f>VLOOKUP(Inventory[[#This Row],[Cnd]],Lookups!$R$8:$U$17,4,FALSE)</f>
        <v>1.0007999999999999</v>
      </c>
      <c r="BH580" s="30">
        <f>VLOOKUP(Inventory[[#This Row],[LivArea Range]],Lookups!$R$25:$U$43,4,FALSE)</f>
        <v>0.99519999999999997</v>
      </c>
      <c r="BI580" s="30">
        <f>VLOOKUP(Inventory[[#This Row],[Decade]],Lookups!$M$24:$P$40,4,FALSE)</f>
        <v>1.0024</v>
      </c>
      <c r="BJ580" s="30">
        <f>Inventory[[#This Row],[Nbhd Adj]]*0.95</f>
        <v>0.94971499999999998</v>
      </c>
      <c r="BK580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580" s="30">
        <f>ROUND((SUM(Inventory[[#This Row],[Mdl Qlty]:[Mdl Garage Area]])+Inventory[[#This Row],[Mdl Res Intercept]])*Inventory[[#This Row],[Res Adj ]],-2)</f>
        <v>303000</v>
      </c>
      <c r="BM580" s="30">
        <f>ROUND(Inventory[[#This Row],[25Det]]*Inventory[[#This Row],[Det/Nbhd Adj]],-2)</f>
        <v>0</v>
      </c>
      <c r="BN580" s="30">
        <f>Inventory[[#This Row],[Adjusted Res]]+Inventory[[#This Row],[Adj Det ]]</f>
        <v>303000</v>
      </c>
      <c r="BO580" s="30">
        <f>ROUND((Inventory[[#This Row],[Mdl Land Intercept]]+Inventory[[#This Row],[Mdl LnAcres]])*Inventory[[#This Row],[Det/Nbhd Adj]],-2)</f>
        <v>61100</v>
      </c>
      <c r="BP580" s="30">
        <f>Inventory[[#This Row],[Adjusted Impr Total]]+Inventory[[#This Row],[Adjusted Land Total]]</f>
        <v>364100</v>
      </c>
      <c r="BQ580" s="30">
        <f>IFERROR((Inventory[[#This Row],[Adjusted Impr Total]]-Inventory[[#This Row],[24Bldg]])/Inventory[[#This Row],[24Bldg]],0)</f>
        <v>-1.0773751224289911E-2</v>
      </c>
      <c r="BR580" s="43">
        <f>(Inventory[[#This Row],[Adjusted Land Total]]-Inventory[[#This Row],[24Lnd]])/Inventory[[#This Row],[24Lnd]]</f>
        <v>4.9342105263157892E-3</v>
      </c>
      <c r="BS580" s="43">
        <f>(Inventory[[#This Row],[Adjusted Total]]-Inventory[[#This Row],[24Final]])/Inventory[[#This Row],[24Final]]</f>
        <v>-8.1721601743394174E-3</v>
      </c>
    </row>
    <row r="581" spans="1:71">
      <c r="A581" s="30">
        <v>2025</v>
      </c>
      <c r="B581" s="31" t="s">
        <v>1095</v>
      </c>
      <c r="C581" s="31">
        <f>LN(Inventory[[#This Row],[Acres]])</f>
        <v>-1.8325814637483102</v>
      </c>
      <c r="D581" s="30">
        <v>0.16</v>
      </c>
      <c r="E581" s="30">
        <v>7044</v>
      </c>
      <c r="F581" s="31" t="s">
        <v>505</v>
      </c>
      <c r="G581" s="31" t="s">
        <v>155</v>
      </c>
      <c r="H581" s="31" t="s">
        <v>5</v>
      </c>
      <c r="I581" s="31" t="s">
        <v>506</v>
      </c>
      <c r="J581" s="31" t="s">
        <v>507</v>
      </c>
      <c r="K581" s="31" t="s">
        <v>193</v>
      </c>
      <c r="L581" s="31" t="s">
        <v>19</v>
      </c>
      <c r="M581" s="31" t="s">
        <v>22</v>
      </c>
      <c r="N581" s="31">
        <v>10</v>
      </c>
      <c r="O581" s="31">
        <f>2024-Inventory[[#This Row],[YrBlt]]</f>
        <v>17</v>
      </c>
      <c r="P581" s="31">
        <f>2024-Inventory[[#This Row],[EffYr]]</f>
        <v>17</v>
      </c>
      <c r="Q581" s="30">
        <v>2007</v>
      </c>
      <c r="R581" s="30">
        <v>2007</v>
      </c>
      <c r="S581" s="30">
        <v>1368</v>
      </c>
      <c r="T581" s="37"/>
      <c r="U581" s="32"/>
      <c r="V581" s="32"/>
      <c r="W581" s="32"/>
      <c r="X581" s="32">
        <f>Inventory[[#This Row],[Bsmt Area]]-Inventory[[#This Row],[FnBsmt]]</f>
        <v>0</v>
      </c>
      <c r="Y581" s="32">
        <f>Inventory[[#This Row],[MainFn]]+Inventory[[#This Row],[UpprFn]]+Inventory[[#This Row],[AddFn]]+Inventory[[#This Row],[FnBsmt]]</f>
        <v>1368</v>
      </c>
      <c r="Z581" s="32">
        <v>1500</v>
      </c>
      <c r="AA581" s="31" t="s">
        <v>56</v>
      </c>
      <c r="AB581" s="32"/>
      <c r="AC581" s="30">
        <v>440</v>
      </c>
      <c r="AD581" s="37"/>
      <c r="AE581" s="32"/>
      <c r="AF581" s="32"/>
      <c r="AG581" s="32"/>
      <c r="AH581" s="32"/>
      <c r="AI581" s="30">
        <v>273716</v>
      </c>
      <c r="AJ581" s="30">
        <v>254556</v>
      </c>
      <c r="AK581" s="30">
        <v>0</v>
      </c>
      <c r="AL581" s="30">
        <v>0</v>
      </c>
      <c r="AM581" s="30">
        <v>60800</v>
      </c>
      <c r="AN581" s="30">
        <v>306300</v>
      </c>
      <c r="AO581" s="30">
        <v>367100</v>
      </c>
      <c r="AP581" s="30">
        <f>Lookups!$B$58*0.6</f>
        <v>132535.48800000001</v>
      </c>
      <c r="AQ581" s="30">
        <f>Lookups!$B$58*0.4</f>
        <v>88356.992000000013</v>
      </c>
      <c r="AR581" s="30">
        <f>Lookups!$B$59*Inventory[[#This Row],[LnAcres]]</f>
        <v>-24051.387388882686</v>
      </c>
      <c r="AS581" s="30">
        <f>VLOOKUP(Inventory[[#This Row],[Qlty]],Lookups!$A$66:$E$79,2,FALSE)</f>
        <v>37154.252388000001</v>
      </c>
      <c r="AT581" s="30">
        <f>VLOOKUP(Inventory[[#This Row],[Cnd]],Lookups!$A$80:$E$88,2,FALSE)</f>
        <v>50438.379078999998</v>
      </c>
      <c r="AU581" s="30">
        <f>Inventory[[#This Row],[EffAge]]*Lookups!$B$65</f>
        <v>-1848.5987</v>
      </c>
      <c r="AV581" s="30">
        <f>Inventory[[#This Row],[MainFn]]*Lookups!$B$90</f>
        <v>85377.399839999998</v>
      </c>
      <c r="AW581" s="30">
        <f>Inventory[[#This Row],[UpprFn]]*Lookups!$B$91</f>
        <v>0</v>
      </c>
      <c r="AX581" s="30">
        <f>Inventory[[#This Row],[Bsmt Area]]*Lookups!$B$95</f>
        <v>0</v>
      </c>
      <c r="AY581" s="30">
        <f>Inventory[[#This Row],[AttGar]]*Lookups!$B$93</f>
        <v>15532.453640000002</v>
      </c>
      <c r="AZ581" s="30">
        <f>ROUND(Inventory[[#This Row],[25Det]],-2)</f>
        <v>0</v>
      </c>
      <c r="BA581" s="30">
        <f>ROUND(SUM(Inventory[[#This Row],[Mdl Qlty]:[Mdl Garage Area]])+Inventory[[#This Row],[Mdl Res Intercept]],-2)</f>
        <v>319200</v>
      </c>
      <c r="BB581" s="30">
        <f>ROUND(Inventory[[#This Row],[Mdl Land Intercept]]+Inventory[[#This Row],[Mdl LnAcres]],-2)</f>
        <v>64300</v>
      </c>
      <c r="BC581" s="30">
        <f>Inventory[[#This Row],[Unadj Res Value]]+Inventory[[#This Row],[Unadj Det Value]]+Inventory[[#This Row],[Unadj Land Value]]</f>
        <v>383500</v>
      </c>
      <c r="BD581" s="30">
        <f>(Inventory[[#This Row],[Unadj Total Value]]-Inventory[[#This Row],[24Final]])/Inventory[[#This Row],[24Final]]</f>
        <v>4.4674475619722147E-2</v>
      </c>
      <c r="BE581" s="30">
        <f>VLOOKUP(Inventory[[#This Row],[Nbhd]],Lookups!$M$3:$P$5,4,FALSE)</f>
        <v>0.99970000000000003</v>
      </c>
      <c r="BF581" s="30">
        <f>VLOOKUP(Inventory[[#This Row],[Qlty]],Lookups!$M$8:$P$22,4,FALSE)</f>
        <v>0.99819999999999998</v>
      </c>
      <c r="BG581" s="30">
        <f>VLOOKUP(Inventory[[#This Row],[Cnd]],Lookups!$R$8:$U$17,4,FALSE)</f>
        <v>1.0007999999999999</v>
      </c>
      <c r="BH581" s="30">
        <f>VLOOKUP(Inventory[[#This Row],[LivArea Range]],Lookups!$R$25:$U$43,4,FALSE)</f>
        <v>0.99519999999999997</v>
      </c>
      <c r="BI581" s="30">
        <f>VLOOKUP(Inventory[[#This Row],[Decade]],Lookups!$M$24:$P$40,4,FALSE)</f>
        <v>1.0024</v>
      </c>
      <c r="BJ581" s="30">
        <f>Inventory[[#This Row],[Nbhd Adj]]*0.95</f>
        <v>0.94971499999999998</v>
      </c>
      <c r="BK581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581" s="30">
        <f>ROUND((SUM(Inventory[[#This Row],[Mdl Qlty]:[Mdl Garage Area]])+Inventory[[#This Row],[Mdl Res Intercept]])*Inventory[[#This Row],[Res Adj ]],-2)</f>
        <v>303000</v>
      </c>
      <c r="BM581" s="30">
        <f>ROUND(Inventory[[#This Row],[25Det]]*Inventory[[#This Row],[Det/Nbhd Adj]],-2)</f>
        <v>0</v>
      </c>
      <c r="BN581" s="30">
        <f>Inventory[[#This Row],[Adjusted Res]]+Inventory[[#This Row],[Adj Det ]]</f>
        <v>303000</v>
      </c>
      <c r="BO581" s="30">
        <f>ROUND((Inventory[[#This Row],[Mdl Land Intercept]]+Inventory[[#This Row],[Mdl LnAcres]])*Inventory[[#This Row],[Det/Nbhd Adj]],-2)</f>
        <v>61100</v>
      </c>
      <c r="BP581" s="30">
        <f>Inventory[[#This Row],[Adjusted Impr Total]]+Inventory[[#This Row],[Adjusted Land Total]]</f>
        <v>364100</v>
      </c>
      <c r="BQ581" s="30">
        <f>IFERROR((Inventory[[#This Row],[Adjusted Impr Total]]-Inventory[[#This Row],[24Bldg]])/Inventory[[#This Row],[24Bldg]],0)</f>
        <v>-1.0773751224289911E-2</v>
      </c>
      <c r="BR581" s="43">
        <f>(Inventory[[#This Row],[Adjusted Land Total]]-Inventory[[#This Row],[24Lnd]])/Inventory[[#This Row],[24Lnd]]</f>
        <v>4.9342105263157892E-3</v>
      </c>
      <c r="BS581" s="43">
        <f>(Inventory[[#This Row],[Adjusted Total]]-Inventory[[#This Row],[24Final]])/Inventory[[#This Row],[24Final]]</f>
        <v>-8.1721601743394174E-3</v>
      </c>
    </row>
    <row r="582" spans="1:71">
      <c r="A582" s="30">
        <v>2025</v>
      </c>
      <c r="B582" s="31" t="s">
        <v>1096</v>
      </c>
      <c r="C582" s="31">
        <f>LN(Inventory[[#This Row],[Acres]])</f>
        <v>-1.8325814637483102</v>
      </c>
      <c r="D582" s="30">
        <v>0.16</v>
      </c>
      <c r="E582" s="30">
        <v>7078</v>
      </c>
      <c r="F582" s="31" t="s">
        <v>505</v>
      </c>
      <c r="G582" s="31" t="s">
        <v>155</v>
      </c>
      <c r="H582" s="31" t="s">
        <v>5</v>
      </c>
      <c r="I582" s="31" t="s">
        <v>506</v>
      </c>
      <c r="J582" s="31" t="s">
        <v>507</v>
      </c>
      <c r="K582" s="31" t="s">
        <v>193</v>
      </c>
      <c r="L582" s="31" t="s">
        <v>19</v>
      </c>
      <c r="M582" s="31" t="s">
        <v>22</v>
      </c>
      <c r="N582" s="31">
        <v>10</v>
      </c>
      <c r="O582" s="31">
        <f>2024-Inventory[[#This Row],[YrBlt]]</f>
        <v>17</v>
      </c>
      <c r="P582" s="31">
        <f>2024-Inventory[[#This Row],[EffYr]]</f>
        <v>17</v>
      </c>
      <c r="Q582" s="30">
        <v>2007</v>
      </c>
      <c r="R582" s="30">
        <v>2007</v>
      </c>
      <c r="S582" s="30">
        <v>1380</v>
      </c>
      <c r="T582" s="32"/>
      <c r="U582" s="32"/>
      <c r="V582" s="32"/>
      <c r="W582" s="32"/>
      <c r="X582" s="32">
        <f>Inventory[[#This Row],[Bsmt Area]]-Inventory[[#This Row],[FnBsmt]]</f>
        <v>0</v>
      </c>
      <c r="Y582" s="32">
        <f>Inventory[[#This Row],[MainFn]]+Inventory[[#This Row],[UpprFn]]+Inventory[[#This Row],[AddFn]]+Inventory[[#This Row],[FnBsmt]]</f>
        <v>1380</v>
      </c>
      <c r="Z582" s="32">
        <v>1500</v>
      </c>
      <c r="AA582" s="31" t="s">
        <v>56</v>
      </c>
      <c r="AB582" s="32"/>
      <c r="AC582" s="30">
        <v>428</v>
      </c>
      <c r="AD582" s="32"/>
      <c r="AE582" s="32"/>
      <c r="AF582" s="32"/>
      <c r="AG582" s="32"/>
      <c r="AH582" s="32"/>
      <c r="AI582" s="30">
        <v>275920</v>
      </c>
      <c r="AJ582" s="30">
        <v>256606</v>
      </c>
      <c r="AK582" s="30">
        <v>0</v>
      </c>
      <c r="AL582" s="30">
        <v>0</v>
      </c>
      <c r="AM582" s="30">
        <v>60800</v>
      </c>
      <c r="AN582" s="30">
        <v>306400</v>
      </c>
      <c r="AO582" s="30">
        <v>367200</v>
      </c>
      <c r="AP582" s="30">
        <f>Lookups!$B$58*0.6</f>
        <v>132535.48800000001</v>
      </c>
      <c r="AQ582" s="30">
        <f>Lookups!$B$58*0.4</f>
        <v>88356.992000000013</v>
      </c>
      <c r="AR582" s="30">
        <f>Lookups!$B$59*Inventory[[#This Row],[LnAcres]]</f>
        <v>-24051.387388882686</v>
      </c>
      <c r="AS582" s="30">
        <f>VLOOKUP(Inventory[[#This Row],[Qlty]],Lookups!$A$66:$E$79,2,FALSE)</f>
        <v>37154.252388000001</v>
      </c>
      <c r="AT582" s="30">
        <f>VLOOKUP(Inventory[[#This Row],[Cnd]],Lookups!$A$80:$E$88,2,FALSE)</f>
        <v>50438.379078999998</v>
      </c>
      <c r="AU582" s="30">
        <f>Inventory[[#This Row],[EffAge]]*Lookups!$B$65</f>
        <v>-1848.5987</v>
      </c>
      <c r="AV582" s="30">
        <f>Inventory[[#This Row],[MainFn]]*Lookups!$B$90</f>
        <v>86126.324399999998</v>
      </c>
      <c r="AW582" s="30">
        <f>Inventory[[#This Row],[UpprFn]]*Lookups!$B$91</f>
        <v>0</v>
      </c>
      <c r="AX582" s="30">
        <f>Inventory[[#This Row],[Bsmt Area]]*Lookups!$B$95</f>
        <v>0</v>
      </c>
      <c r="AY582" s="30">
        <f>Inventory[[#This Row],[AttGar]]*Lookups!$B$93</f>
        <v>15108.841268</v>
      </c>
      <c r="AZ582" s="30">
        <f>ROUND(Inventory[[#This Row],[25Det]],-2)</f>
        <v>0</v>
      </c>
      <c r="BA582" s="30">
        <f>ROUND(SUM(Inventory[[#This Row],[Mdl Qlty]:[Mdl Garage Area]])+Inventory[[#This Row],[Mdl Res Intercept]],-2)</f>
        <v>319500</v>
      </c>
      <c r="BB582" s="30">
        <f>ROUND(Inventory[[#This Row],[Mdl Land Intercept]]+Inventory[[#This Row],[Mdl LnAcres]],-2)</f>
        <v>64300</v>
      </c>
      <c r="BC582" s="30">
        <f>Inventory[[#This Row],[Unadj Res Value]]+Inventory[[#This Row],[Unadj Det Value]]+Inventory[[#This Row],[Unadj Land Value]]</f>
        <v>383800</v>
      </c>
      <c r="BD582" s="30">
        <f>(Inventory[[#This Row],[Unadj Total Value]]-Inventory[[#This Row],[24Final]])/Inventory[[#This Row],[24Final]]</f>
        <v>4.520697167755991E-2</v>
      </c>
      <c r="BE582" s="30">
        <f>VLOOKUP(Inventory[[#This Row],[Nbhd]],Lookups!$M$3:$P$5,4,FALSE)</f>
        <v>0.99970000000000003</v>
      </c>
      <c r="BF582" s="30">
        <f>VLOOKUP(Inventory[[#This Row],[Qlty]],Lookups!$M$8:$P$22,4,FALSE)</f>
        <v>0.99819999999999998</v>
      </c>
      <c r="BG582" s="30">
        <f>VLOOKUP(Inventory[[#This Row],[Cnd]],Lookups!$R$8:$U$17,4,FALSE)</f>
        <v>1.0007999999999999</v>
      </c>
      <c r="BH582" s="30">
        <f>VLOOKUP(Inventory[[#This Row],[LivArea Range]],Lookups!$R$25:$U$43,4,FALSE)</f>
        <v>0.99519999999999997</v>
      </c>
      <c r="BI582" s="30">
        <f>VLOOKUP(Inventory[[#This Row],[Decade]],Lookups!$M$24:$P$40,4,FALSE)</f>
        <v>1.0024</v>
      </c>
      <c r="BJ582" s="30">
        <f>Inventory[[#This Row],[Nbhd Adj]]*0.95</f>
        <v>0.94971499999999998</v>
      </c>
      <c r="BK582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582" s="30">
        <f>ROUND((SUM(Inventory[[#This Row],[Mdl Qlty]:[Mdl Garage Area]])+Inventory[[#This Row],[Mdl Res Intercept]])*Inventory[[#This Row],[Res Adj ]],-2)</f>
        <v>303300</v>
      </c>
      <c r="BM582" s="30">
        <f>ROUND(Inventory[[#This Row],[25Det]]*Inventory[[#This Row],[Det/Nbhd Adj]],-2)</f>
        <v>0</v>
      </c>
      <c r="BN582" s="30">
        <f>Inventory[[#This Row],[Adjusted Res]]+Inventory[[#This Row],[Adj Det ]]</f>
        <v>303300</v>
      </c>
      <c r="BO582" s="30">
        <f>ROUND((Inventory[[#This Row],[Mdl Land Intercept]]+Inventory[[#This Row],[Mdl LnAcres]])*Inventory[[#This Row],[Det/Nbhd Adj]],-2)</f>
        <v>61100</v>
      </c>
      <c r="BP582" s="30">
        <f>Inventory[[#This Row],[Adjusted Impr Total]]+Inventory[[#This Row],[Adjusted Land Total]]</f>
        <v>364400</v>
      </c>
      <c r="BQ582" s="30">
        <f>IFERROR((Inventory[[#This Row],[Adjusted Impr Total]]-Inventory[[#This Row],[24Bldg]])/Inventory[[#This Row],[24Bldg]],0)</f>
        <v>-1.0117493472584857E-2</v>
      </c>
      <c r="BR582" s="43">
        <f>(Inventory[[#This Row],[Adjusted Land Total]]-Inventory[[#This Row],[24Lnd]])/Inventory[[#This Row],[24Lnd]]</f>
        <v>4.9342105263157892E-3</v>
      </c>
      <c r="BS582" s="43">
        <f>(Inventory[[#This Row],[Adjusted Total]]-Inventory[[#This Row],[24Final]])/Inventory[[#This Row],[24Final]]</f>
        <v>-7.6252723311546842E-3</v>
      </c>
    </row>
    <row r="583" spans="1:71">
      <c r="A583" s="30">
        <v>2025</v>
      </c>
      <c r="B583" s="31" t="s">
        <v>1097</v>
      </c>
      <c r="C583" s="31">
        <f>LN(Inventory[[#This Row],[Acres]])</f>
        <v>-1.8325814637483102</v>
      </c>
      <c r="D583" s="30">
        <v>0.16</v>
      </c>
      <c r="E583" s="30">
        <v>7075</v>
      </c>
      <c r="F583" s="31" t="s">
        <v>505</v>
      </c>
      <c r="G583" s="31" t="s">
        <v>155</v>
      </c>
      <c r="H583" s="31" t="s">
        <v>5</v>
      </c>
      <c r="I583" s="31" t="s">
        <v>506</v>
      </c>
      <c r="J583" s="31" t="s">
        <v>507</v>
      </c>
      <c r="K583" s="31" t="s">
        <v>193</v>
      </c>
      <c r="L583" s="31" t="s">
        <v>19</v>
      </c>
      <c r="M583" s="31" t="s">
        <v>22</v>
      </c>
      <c r="N583" s="31">
        <v>10</v>
      </c>
      <c r="O583" s="31">
        <f>2024-Inventory[[#This Row],[YrBlt]]</f>
        <v>17</v>
      </c>
      <c r="P583" s="31">
        <f>2024-Inventory[[#This Row],[EffYr]]</f>
        <v>17</v>
      </c>
      <c r="Q583" s="30">
        <v>2007</v>
      </c>
      <c r="R583" s="30">
        <v>2007</v>
      </c>
      <c r="S583" s="30">
        <v>1540</v>
      </c>
      <c r="T583" s="37"/>
      <c r="U583" s="32"/>
      <c r="V583" s="32"/>
      <c r="W583" s="32"/>
      <c r="X583" s="32">
        <f>Inventory[[#This Row],[Bsmt Area]]-Inventory[[#This Row],[FnBsmt]]</f>
        <v>0</v>
      </c>
      <c r="Y583" s="32">
        <f>Inventory[[#This Row],[MainFn]]+Inventory[[#This Row],[UpprFn]]+Inventory[[#This Row],[AddFn]]+Inventory[[#This Row],[FnBsmt]]</f>
        <v>1540</v>
      </c>
      <c r="Z583" s="32">
        <v>2000</v>
      </c>
      <c r="AA583" s="31" t="s">
        <v>56</v>
      </c>
      <c r="AB583" s="37"/>
      <c r="AC583" s="30">
        <v>420</v>
      </c>
      <c r="AD583" s="32"/>
      <c r="AE583" s="32"/>
      <c r="AF583" s="32"/>
      <c r="AG583" s="32"/>
      <c r="AH583" s="32"/>
      <c r="AI583" s="30">
        <v>310202</v>
      </c>
      <c r="AJ583" s="30">
        <v>288488</v>
      </c>
      <c r="AK583" s="30">
        <v>0</v>
      </c>
      <c r="AL583" s="30">
        <v>0</v>
      </c>
      <c r="AM583" s="30">
        <v>60800</v>
      </c>
      <c r="AN583" s="30">
        <v>315900</v>
      </c>
      <c r="AO583" s="30">
        <v>376700</v>
      </c>
      <c r="AP583" s="30">
        <f>Lookups!$B$58*0.6</f>
        <v>132535.48800000001</v>
      </c>
      <c r="AQ583" s="30">
        <f>Lookups!$B$58*0.4</f>
        <v>88356.992000000013</v>
      </c>
      <c r="AR583" s="30">
        <f>Lookups!$B$59*Inventory[[#This Row],[LnAcres]]</f>
        <v>-24051.387388882686</v>
      </c>
      <c r="AS583" s="30">
        <f>VLOOKUP(Inventory[[#This Row],[Qlty]],Lookups!$A$66:$E$79,2,FALSE)</f>
        <v>37154.252388000001</v>
      </c>
      <c r="AT583" s="30">
        <f>VLOOKUP(Inventory[[#This Row],[Cnd]],Lookups!$A$80:$E$88,2,FALSE)</f>
        <v>50438.379078999998</v>
      </c>
      <c r="AU583" s="30">
        <f>Inventory[[#This Row],[EffAge]]*Lookups!$B$65</f>
        <v>-1848.5987</v>
      </c>
      <c r="AV583" s="30">
        <f>Inventory[[#This Row],[MainFn]]*Lookups!$B$90</f>
        <v>96111.98520000001</v>
      </c>
      <c r="AW583" s="30">
        <f>Inventory[[#This Row],[UpprFn]]*Lookups!$B$91</f>
        <v>0</v>
      </c>
      <c r="AX583" s="30">
        <f>Inventory[[#This Row],[Bsmt Area]]*Lookups!$B$95</f>
        <v>0</v>
      </c>
      <c r="AY583" s="30">
        <f>Inventory[[#This Row],[AttGar]]*Lookups!$B$93</f>
        <v>14826.43302</v>
      </c>
      <c r="AZ583" s="30">
        <f>ROUND(Inventory[[#This Row],[25Det]],-2)</f>
        <v>0</v>
      </c>
      <c r="BA583" s="30">
        <f>ROUND(SUM(Inventory[[#This Row],[Mdl Qlty]:[Mdl Garage Area]])+Inventory[[#This Row],[Mdl Res Intercept]],-2)</f>
        <v>329200</v>
      </c>
      <c r="BB583" s="30">
        <f>ROUND(Inventory[[#This Row],[Mdl Land Intercept]]+Inventory[[#This Row],[Mdl LnAcres]],-2)</f>
        <v>64300</v>
      </c>
      <c r="BC583" s="30">
        <f>Inventory[[#This Row],[Unadj Res Value]]+Inventory[[#This Row],[Unadj Det Value]]+Inventory[[#This Row],[Unadj Land Value]]</f>
        <v>393500</v>
      </c>
      <c r="BD583" s="30">
        <f>(Inventory[[#This Row],[Unadj Total Value]]-Inventory[[#This Row],[24Final]])/Inventory[[#This Row],[24Final]]</f>
        <v>4.4597823201486593E-2</v>
      </c>
      <c r="BE583" s="30">
        <f>VLOOKUP(Inventory[[#This Row],[Nbhd]],Lookups!$M$3:$P$5,4,FALSE)</f>
        <v>0.99970000000000003</v>
      </c>
      <c r="BF583" s="30">
        <f>VLOOKUP(Inventory[[#This Row],[Qlty]],Lookups!$M$8:$P$22,4,FALSE)</f>
        <v>0.99819999999999998</v>
      </c>
      <c r="BG583" s="30">
        <f>VLOOKUP(Inventory[[#This Row],[Cnd]],Lookups!$R$8:$U$17,4,FALSE)</f>
        <v>1.0007999999999999</v>
      </c>
      <c r="BH583" s="30">
        <f>VLOOKUP(Inventory[[#This Row],[LivArea Range]],Lookups!$R$25:$U$43,4,FALSE)</f>
        <v>1.0007999999999999</v>
      </c>
      <c r="BI583" s="30">
        <f>VLOOKUP(Inventory[[#This Row],[Decade]],Lookups!$M$24:$P$40,4,FALSE)</f>
        <v>1.0024</v>
      </c>
      <c r="BJ583" s="30">
        <f>Inventory[[#This Row],[Nbhd Adj]]*0.95</f>
        <v>0.94971499999999998</v>
      </c>
      <c r="BK583" s="30">
        <f>AVERAGE(Inventory[[#This Row],[Nbhd Adj]],Inventory[[#This Row],[Quality Adj]],Inventory[[#This Row],[Condition Adj]],Inventory[[#This Row],[Living Area Adj]],Inventory[[#This Row],[Decade Adj]])*0.95</f>
        <v>0.95036100000000001</v>
      </c>
      <c r="BL583" s="30">
        <f>ROUND((SUM(Inventory[[#This Row],[Mdl Qlty]:[Mdl Garage Area]])+Inventory[[#This Row],[Mdl Res Intercept]])*Inventory[[#This Row],[Res Adj ]],-2)</f>
        <v>312900</v>
      </c>
      <c r="BM583" s="30">
        <f>ROUND(Inventory[[#This Row],[25Det]]*Inventory[[#This Row],[Det/Nbhd Adj]],-2)</f>
        <v>0</v>
      </c>
      <c r="BN583" s="30">
        <f>Inventory[[#This Row],[Adjusted Res]]+Inventory[[#This Row],[Adj Det ]]</f>
        <v>312900</v>
      </c>
      <c r="BO583" s="30">
        <f>ROUND((Inventory[[#This Row],[Mdl Land Intercept]]+Inventory[[#This Row],[Mdl LnAcres]])*Inventory[[#This Row],[Det/Nbhd Adj]],-2)</f>
        <v>61100</v>
      </c>
      <c r="BP583" s="30">
        <f>Inventory[[#This Row],[Adjusted Impr Total]]+Inventory[[#This Row],[Adjusted Land Total]]</f>
        <v>374000</v>
      </c>
      <c r="BQ583" s="30">
        <f>IFERROR((Inventory[[#This Row],[Adjusted Impr Total]]-Inventory[[#This Row],[24Bldg]])/Inventory[[#This Row],[24Bldg]],0)</f>
        <v>-9.4966761633428296E-3</v>
      </c>
      <c r="BR583" s="43">
        <f>(Inventory[[#This Row],[Adjusted Land Total]]-Inventory[[#This Row],[24Lnd]])/Inventory[[#This Row],[24Lnd]]</f>
        <v>4.9342105263157892E-3</v>
      </c>
      <c r="BS583" s="43">
        <f>(Inventory[[#This Row],[Adjusted Total]]-Inventory[[#This Row],[24Final]])/Inventory[[#This Row],[24Final]]</f>
        <v>-7.1675073002389171E-3</v>
      </c>
    </row>
    <row r="584" spans="1:71">
      <c r="A584" s="30">
        <v>2025</v>
      </c>
      <c r="B584" s="31" t="s">
        <v>1098</v>
      </c>
      <c r="C584" s="31">
        <f>LN(Inventory[[#This Row],[Acres]])</f>
        <v>-1.8325814637483102</v>
      </c>
      <c r="D584" s="30">
        <v>0.16</v>
      </c>
      <c r="E584" s="30">
        <v>6801</v>
      </c>
      <c r="F584" s="31" t="s">
        <v>505</v>
      </c>
      <c r="G584" s="31" t="s">
        <v>155</v>
      </c>
      <c r="H584" s="31" t="s">
        <v>5</v>
      </c>
      <c r="I584" s="31" t="s">
        <v>506</v>
      </c>
      <c r="J584" s="31" t="s">
        <v>507</v>
      </c>
      <c r="K584" s="31" t="s">
        <v>157</v>
      </c>
      <c r="L584" s="31" t="s">
        <v>21</v>
      </c>
      <c r="M584" s="31" t="s">
        <v>22</v>
      </c>
      <c r="N584" s="31">
        <v>10</v>
      </c>
      <c r="O584" s="31">
        <f>2024-Inventory[[#This Row],[YrBlt]]</f>
        <v>17</v>
      </c>
      <c r="P584" s="31">
        <f>2024-Inventory[[#This Row],[EffYr]]</f>
        <v>17</v>
      </c>
      <c r="Q584" s="30">
        <v>2007</v>
      </c>
      <c r="R584" s="30">
        <v>2007</v>
      </c>
      <c r="S584" s="30">
        <v>1116</v>
      </c>
      <c r="T584" s="30">
        <v>1116</v>
      </c>
      <c r="U584" s="32"/>
      <c r="V584" s="32"/>
      <c r="W584" s="32"/>
      <c r="X584" s="32">
        <f>Inventory[[#This Row],[Bsmt Area]]-Inventory[[#This Row],[FnBsmt]]</f>
        <v>0</v>
      </c>
      <c r="Y584" s="32">
        <f>Inventory[[#This Row],[MainFn]]+Inventory[[#This Row],[UpprFn]]+Inventory[[#This Row],[AddFn]]+Inventory[[#This Row],[FnBsmt]]</f>
        <v>2232</v>
      </c>
      <c r="Z584" s="32">
        <v>2500</v>
      </c>
      <c r="AA584" s="31" t="s">
        <v>56</v>
      </c>
      <c r="AB584" s="32"/>
      <c r="AC584" s="30">
        <v>440</v>
      </c>
      <c r="AD584" s="32"/>
      <c r="AE584" s="32"/>
      <c r="AF584" s="32"/>
      <c r="AG584" s="32"/>
      <c r="AH584" s="32"/>
      <c r="AI584" s="30">
        <v>445667</v>
      </c>
      <c r="AJ584" s="30">
        <v>414470</v>
      </c>
      <c r="AK584" s="30">
        <v>0</v>
      </c>
      <c r="AL584" s="30">
        <v>0</v>
      </c>
      <c r="AM584" s="30">
        <v>60800</v>
      </c>
      <c r="AN584" s="30">
        <v>351800</v>
      </c>
      <c r="AO584" s="30">
        <v>412600</v>
      </c>
      <c r="AP584" s="30">
        <f>Lookups!$B$58*0.6</f>
        <v>132535.48800000001</v>
      </c>
      <c r="AQ584" s="30">
        <f>Lookups!$B$58*0.4</f>
        <v>88356.992000000013</v>
      </c>
      <c r="AR584" s="30">
        <f>Lookups!$B$59*Inventory[[#This Row],[LnAcres]]</f>
        <v>-24051.387388882686</v>
      </c>
      <c r="AS584" s="30">
        <f>VLOOKUP(Inventory[[#This Row],[Qlty]],Lookups!$A$66:$E$79,2,FALSE)</f>
        <v>32917.849192000001</v>
      </c>
      <c r="AT584" s="30">
        <f>VLOOKUP(Inventory[[#This Row],[Cnd]],Lookups!$A$80:$E$88,2,FALSE)</f>
        <v>50438.379078999998</v>
      </c>
      <c r="AU584" s="30">
        <f>Inventory[[#This Row],[EffAge]]*Lookups!$B$65</f>
        <v>-1848.5987</v>
      </c>
      <c r="AV584" s="30">
        <f>Inventory[[#This Row],[MainFn]]*Lookups!$B$90</f>
        <v>69649.984080000009</v>
      </c>
      <c r="AW584" s="30">
        <f>Inventory[[#This Row],[UpprFn]]*Lookups!$B$91</f>
        <v>66491.707427999994</v>
      </c>
      <c r="AX584" s="30">
        <f>Inventory[[#This Row],[Bsmt Area]]*Lookups!$B$95</f>
        <v>0</v>
      </c>
      <c r="AY584" s="30">
        <f>Inventory[[#This Row],[AttGar]]*Lookups!$B$93</f>
        <v>15532.453640000002</v>
      </c>
      <c r="AZ584" s="30">
        <f>ROUND(Inventory[[#This Row],[25Det]],-2)</f>
        <v>0</v>
      </c>
      <c r="BA584" s="30">
        <f>ROUND(SUM(Inventory[[#This Row],[Mdl Qlty]:[Mdl Garage Area]])+Inventory[[#This Row],[Mdl Res Intercept]],-2)</f>
        <v>365700</v>
      </c>
      <c r="BB584" s="30">
        <f>ROUND(Inventory[[#This Row],[Mdl Land Intercept]]+Inventory[[#This Row],[Mdl LnAcres]],-2)</f>
        <v>64300</v>
      </c>
      <c r="BC584" s="30">
        <f>Inventory[[#This Row],[Unadj Res Value]]+Inventory[[#This Row],[Unadj Det Value]]+Inventory[[#This Row],[Unadj Land Value]]</f>
        <v>430000</v>
      </c>
      <c r="BD584" s="30">
        <f>(Inventory[[#This Row],[Unadj Total Value]]-Inventory[[#This Row],[24Final]])/Inventory[[#This Row],[24Final]]</f>
        <v>4.2171594764905479E-2</v>
      </c>
      <c r="BE584" s="30">
        <f>VLOOKUP(Inventory[[#This Row],[Nbhd]],Lookups!$M$3:$P$5,4,FALSE)</f>
        <v>0.99970000000000003</v>
      </c>
      <c r="BF584" s="30">
        <f>VLOOKUP(Inventory[[#This Row],[Qlty]],Lookups!$M$8:$P$22,4,FALSE)</f>
        <v>1.0019</v>
      </c>
      <c r="BG584" s="30">
        <f>VLOOKUP(Inventory[[#This Row],[Cnd]],Lookups!$R$8:$U$17,4,FALSE)</f>
        <v>1.0007999999999999</v>
      </c>
      <c r="BH584" s="30">
        <f>VLOOKUP(Inventory[[#This Row],[LivArea Range]],Lookups!$R$25:$U$43,4,FALSE)</f>
        <v>1.0008999999999999</v>
      </c>
      <c r="BI584" s="30">
        <f>VLOOKUP(Inventory[[#This Row],[Decade]],Lookups!$M$24:$P$40,4,FALSE)</f>
        <v>1.0024</v>
      </c>
      <c r="BJ584" s="30">
        <f>Inventory[[#This Row],[Nbhd Adj]]*0.95</f>
        <v>0.94971499999999998</v>
      </c>
      <c r="BK584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584" s="30">
        <f>ROUND((SUM(Inventory[[#This Row],[Mdl Qlty]:[Mdl Garage Area]])+Inventory[[#This Row],[Mdl Res Intercept]])*Inventory[[#This Row],[Res Adj ]],-2)</f>
        <v>347800</v>
      </c>
      <c r="BM584" s="30">
        <f>ROUND(Inventory[[#This Row],[25Det]]*Inventory[[#This Row],[Det/Nbhd Adj]],-2)</f>
        <v>0</v>
      </c>
      <c r="BN584" s="30">
        <f>Inventory[[#This Row],[Adjusted Res]]+Inventory[[#This Row],[Adj Det ]]</f>
        <v>347800</v>
      </c>
      <c r="BO584" s="30">
        <f>ROUND((Inventory[[#This Row],[Mdl Land Intercept]]+Inventory[[#This Row],[Mdl LnAcres]])*Inventory[[#This Row],[Det/Nbhd Adj]],-2)</f>
        <v>61100</v>
      </c>
      <c r="BP584" s="30">
        <f>Inventory[[#This Row],[Adjusted Impr Total]]+Inventory[[#This Row],[Adjusted Land Total]]</f>
        <v>408900</v>
      </c>
      <c r="BQ584" s="30">
        <f>IFERROR((Inventory[[#This Row],[Adjusted Impr Total]]-Inventory[[#This Row],[24Bldg]])/Inventory[[#This Row],[24Bldg]],0)</f>
        <v>-1.137009664582149E-2</v>
      </c>
      <c r="BR584" s="43">
        <f>(Inventory[[#This Row],[Adjusted Land Total]]-Inventory[[#This Row],[24Lnd]])/Inventory[[#This Row],[24Lnd]]</f>
        <v>4.9342105263157892E-3</v>
      </c>
      <c r="BS584" s="43">
        <f>(Inventory[[#This Row],[Adjusted Total]]-Inventory[[#This Row],[24Final]])/Inventory[[#This Row],[24Final]]</f>
        <v>-8.9675230247212804E-3</v>
      </c>
    </row>
    <row r="585" spans="1:71">
      <c r="A585" s="30">
        <v>2025</v>
      </c>
      <c r="B585" s="31" t="s">
        <v>1099</v>
      </c>
      <c r="C585" s="31">
        <f>LN(Inventory[[#This Row],[Acres]])</f>
        <v>-1.8325814637483102</v>
      </c>
      <c r="D585" s="30">
        <v>0.16</v>
      </c>
      <c r="E585" s="30">
        <v>7078</v>
      </c>
      <c r="F585" s="31" t="s">
        <v>505</v>
      </c>
      <c r="G585" s="31" t="s">
        <v>155</v>
      </c>
      <c r="H585" s="31" t="s">
        <v>5</v>
      </c>
      <c r="I585" s="31" t="s">
        <v>506</v>
      </c>
      <c r="J585" s="31" t="s">
        <v>507</v>
      </c>
      <c r="K585" s="31" t="s">
        <v>193</v>
      </c>
      <c r="L585" s="31" t="s">
        <v>19</v>
      </c>
      <c r="M585" s="31" t="s">
        <v>22</v>
      </c>
      <c r="N585" s="31">
        <v>10</v>
      </c>
      <c r="O585" s="31">
        <f>2024-Inventory[[#This Row],[YrBlt]]</f>
        <v>17</v>
      </c>
      <c r="P585" s="31">
        <f>2024-Inventory[[#This Row],[EffYr]]</f>
        <v>17</v>
      </c>
      <c r="Q585" s="30">
        <v>2007</v>
      </c>
      <c r="R585" s="30">
        <v>2007</v>
      </c>
      <c r="S585" s="30">
        <v>1436</v>
      </c>
      <c r="T585" s="32"/>
      <c r="U585" s="32"/>
      <c r="V585" s="32"/>
      <c r="W585" s="32"/>
      <c r="X585" s="32">
        <f>Inventory[[#This Row],[Bsmt Area]]-Inventory[[#This Row],[FnBsmt]]</f>
        <v>0</v>
      </c>
      <c r="Y585" s="32">
        <f>Inventory[[#This Row],[MainFn]]+Inventory[[#This Row],[UpprFn]]+Inventory[[#This Row],[AddFn]]+Inventory[[#This Row],[FnBsmt]]</f>
        <v>1436</v>
      </c>
      <c r="Z585" s="32">
        <v>1500</v>
      </c>
      <c r="AA585" s="31" t="s">
        <v>56</v>
      </c>
      <c r="AB585" s="32"/>
      <c r="AC585" s="30">
        <v>400</v>
      </c>
      <c r="AD585" s="32"/>
      <c r="AE585" s="32"/>
      <c r="AF585" s="32"/>
      <c r="AG585" s="32"/>
      <c r="AH585" s="32"/>
      <c r="AI585" s="30">
        <v>283986</v>
      </c>
      <c r="AJ585" s="30">
        <v>264107</v>
      </c>
      <c r="AK585" s="30">
        <v>0</v>
      </c>
      <c r="AL585" s="30">
        <v>0</v>
      </c>
      <c r="AM585" s="30">
        <v>60800</v>
      </c>
      <c r="AN585" s="30">
        <v>306800</v>
      </c>
      <c r="AO585" s="30">
        <v>367600</v>
      </c>
      <c r="AP585" s="30">
        <f>Lookups!$B$58*0.6</f>
        <v>132535.48800000001</v>
      </c>
      <c r="AQ585" s="30">
        <f>Lookups!$B$58*0.4</f>
        <v>88356.992000000013</v>
      </c>
      <c r="AR585" s="30">
        <f>Lookups!$B$59*Inventory[[#This Row],[LnAcres]]</f>
        <v>-24051.387388882686</v>
      </c>
      <c r="AS585" s="30">
        <f>VLOOKUP(Inventory[[#This Row],[Qlty]],Lookups!$A$66:$E$79,2,FALSE)</f>
        <v>37154.252388000001</v>
      </c>
      <c r="AT585" s="30">
        <f>VLOOKUP(Inventory[[#This Row],[Cnd]],Lookups!$A$80:$E$88,2,FALSE)</f>
        <v>50438.379078999998</v>
      </c>
      <c r="AU585" s="30">
        <f>Inventory[[#This Row],[EffAge]]*Lookups!$B$65</f>
        <v>-1848.5987</v>
      </c>
      <c r="AV585" s="30">
        <f>Inventory[[#This Row],[MainFn]]*Lookups!$B$90</f>
        <v>89621.305680000005</v>
      </c>
      <c r="AW585" s="30">
        <f>Inventory[[#This Row],[UpprFn]]*Lookups!$B$91</f>
        <v>0</v>
      </c>
      <c r="AX585" s="30">
        <f>Inventory[[#This Row],[Bsmt Area]]*Lookups!$B$95</f>
        <v>0</v>
      </c>
      <c r="AY585" s="30">
        <f>Inventory[[#This Row],[AttGar]]*Lookups!$B$93</f>
        <v>14120.412400000001</v>
      </c>
      <c r="AZ585" s="30">
        <f>ROUND(Inventory[[#This Row],[25Det]],-2)</f>
        <v>0</v>
      </c>
      <c r="BA585" s="30">
        <f>ROUND(SUM(Inventory[[#This Row],[Mdl Qlty]:[Mdl Garage Area]])+Inventory[[#This Row],[Mdl Res Intercept]],-2)</f>
        <v>322000</v>
      </c>
      <c r="BB585" s="30">
        <f>ROUND(Inventory[[#This Row],[Mdl Land Intercept]]+Inventory[[#This Row],[Mdl LnAcres]],-2)</f>
        <v>64300</v>
      </c>
      <c r="BC585" s="30">
        <f>Inventory[[#This Row],[Unadj Res Value]]+Inventory[[#This Row],[Unadj Det Value]]+Inventory[[#This Row],[Unadj Land Value]]</f>
        <v>386300</v>
      </c>
      <c r="BD585" s="30">
        <f>(Inventory[[#This Row],[Unadj Total Value]]-Inventory[[#This Row],[24Final]])/Inventory[[#This Row],[24Final]]</f>
        <v>5.0870511425462457E-2</v>
      </c>
      <c r="BE585" s="30">
        <f>VLOOKUP(Inventory[[#This Row],[Nbhd]],Lookups!$M$3:$P$5,4,FALSE)</f>
        <v>0.99970000000000003</v>
      </c>
      <c r="BF585" s="30">
        <f>VLOOKUP(Inventory[[#This Row],[Qlty]],Lookups!$M$8:$P$22,4,FALSE)</f>
        <v>0.99819999999999998</v>
      </c>
      <c r="BG585" s="30">
        <f>VLOOKUP(Inventory[[#This Row],[Cnd]],Lookups!$R$8:$U$17,4,FALSE)</f>
        <v>1.0007999999999999</v>
      </c>
      <c r="BH585" s="30">
        <f>VLOOKUP(Inventory[[#This Row],[LivArea Range]],Lookups!$R$25:$U$43,4,FALSE)</f>
        <v>0.99519999999999997</v>
      </c>
      <c r="BI585" s="30">
        <f>VLOOKUP(Inventory[[#This Row],[Decade]],Lookups!$M$24:$P$40,4,FALSE)</f>
        <v>1.0024</v>
      </c>
      <c r="BJ585" s="30">
        <f>Inventory[[#This Row],[Nbhd Adj]]*0.95</f>
        <v>0.94971499999999998</v>
      </c>
      <c r="BK585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585" s="30">
        <f>ROUND((SUM(Inventory[[#This Row],[Mdl Qlty]:[Mdl Garage Area]])+Inventory[[#This Row],[Mdl Res Intercept]])*Inventory[[#This Row],[Res Adj ]],-2)</f>
        <v>305700</v>
      </c>
      <c r="BM585" s="30">
        <f>ROUND(Inventory[[#This Row],[25Det]]*Inventory[[#This Row],[Det/Nbhd Adj]],-2)</f>
        <v>0</v>
      </c>
      <c r="BN585" s="30">
        <f>Inventory[[#This Row],[Adjusted Res]]+Inventory[[#This Row],[Adj Det ]]</f>
        <v>305700</v>
      </c>
      <c r="BO585" s="30">
        <f>ROUND((Inventory[[#This Row],[Mdl Land Intercept]]+Inventory[[#This Row],[Mdl LnAcres]])*Inventory[[#This Row],[Det/Nbhd Adj]],-2)</f>
        <v>61100</v>
      </c>
      <c r="BP585" s="30">
        <f>Inventory[[#This Row],[Adjusted Impr Total]]+Inventory[[#This Row],[Adjusted Land Total]]</f>
        <v>366800</v>
      </c>
      <c r="BQ585" s="30">
        <f>IFERROR((Inventory[[#This Row],[Adjusted Impr Total]]-Inventory[[#This Row],[24Bldg]])/Inventory[[#This Row],[24Bldg]],0)</f>
        <v>-3.5853976531942632E-3</v>
      </c>
      <c r="BR585" s="43">
        <f>(Inventory[[#This Row],[Adjusted Land Total]]-Inventory[[#This Row],[24Lnd]])/Inventory[[#This Row],[24Lnd]]</f>
        <v>4.9342105263157892E-3</v>
      </c>
      <c r="BS585" s="43">
        <f>(Inventory[[#This Row],[Adjusted Total]]-Inventory[[#This Row],[24Final]])/Inventory[[#This Row],[24Final]]</f>
        <v>-2.176278563656148E-3</v>
      </c>
    </row>
    <row r="586" spans="1:71">
      <c r="A586" s="30">
        <v>2025</v>
      </c>
      <c r="B586" s="31" t="s">
        <v>1100</v>
      </c>
      <c r="C586" s="31">
        <f>LN(Inventory[[#This Row],[Acres]])</f>
        <v>-1.8325814637483102</v>
      </c>
      <c r="D586" s="30">
        <v>0.16</v>
      </c>
      <c r="E586" s="30">
        <v>7077</v>
      </c>
      <c r="F586" s="31" t="s">
        <v>505</v>
      </c>
      <c r="G586" s="31" t="s">
        <v>155</v>
      </c>
      <c r="H586" s="31" t="s">
        <v>5</v>
      </c>
      <c r="I586" s="31" t="s">
        <v>506</v>
      </c>
      <c r="J586" s="31" t="s">
        <v>507</v>
      </c>
      <c r="K586" s="31" t="s">
        <v>193</v>
      </c>
      <c r="L586" s="31" t="s">
        <v>21</v>
      </c>
      <c r="M586" s="31" t="s">
        <v>22</v>
      </c>
      <c r="N586" s="31">
        <v>10</v>
      </c>
      <c r="O586" s="31">
        <f>2024-Inventory[[#This Row],[YrBlt]]</f>
        <v>17</v>
      </c>
      <c r="P586" s="31">
        <f>2024-Inventory[[#This Row],[EffYr]]</f>
        <v>17</v>
      </c>
      <c r="Q586" s="30">
        <v>2007</v>
      </c>
      <c r="R586" s="30">
        <v>2007</v>
      </c>
      <c r="S586" s="30">
        <v>1732</v>
      </c>
      <c r="T586" s="37"/>
      <c r="U586" s="32"/>
      <c r="V586" s="32"/>
      <c r="W586" s="32"/>
      <c r="X586" s="32">
        <f>Inventory[[#This Row],[Bsmt Area]]-Inventory[[#This Row],[FnBsmt]]</f>
        <v>0</v>
      </c>
      <c r="Y586" s="32">
        <f>Inventory[[#This Row],[MainFn]]+Inventory[[#This Row],[UpprFn]]+Inventory[[#This Row],[AddFn]]+Inventory[[#This Row],[FnBsmt]]</f>
        <v>1732</v>
      </c>
      <c r="Z586" s="32">
        <v>2000</v>
      </c>
      <c r="AA586" s="31" t="s">
        <v>56</v>
      </c>
      <c r="AB586" s="32"/>
      <c r="AC586" s="30">
        <v>440</v>
      </c>
      <c r="AD586" s="32"/>
      <c r="AE586" s="32"/>
      <c r="AF586" s="32"/>
      <c r="AG586" s="32"/>
      <c r="AH586" s="32"/>
      <c r="AI586" s="30">
        <v>376918</v>
      </c>
      <c r="AJ586" s="30">
        <v>350534</v>
      </c>
      <c r="AK586" s="30">
        <v>0</v>
      </c>
      <c r="AL586" s="30">
        <v>0</v>
      </c>
      <c r="AM586" s="30">
        <v>60800</v>
      </c>
      <c r="AN586" s="30">
        <v>323000</v>
      </c>
      <c r="AO586" s="30">
        <v>383800</v>
      </c>
      <c r="AP586" s="30">
        <f>Lookups!$B$58*0.6</f>
        <v>132535.48800000001</v>
      </c>
      <c r="AQ586" s="30">
        <f>Lookups!$B$58*0.4</f>
        <v>88356.992000000013</v>
      </c>
      <c r="AR586" s="30">
        <f>Lookups!$B$59*Inventory[[#This Row],[LnAcres]]</f>
        <v>-24051.387388882686</v>
      </c>
      <c r="AS586" s="30">
        <f>VLOOKUP(Inventory[[#This Row],[Qlty]],Lookups!$A$66:$E$79,2,FALSE)</f>
        <v>32917.849192000001</v>
      </c>
      <c r="AT586" s="30">
        <f>VLOOKUP(Inventory[[#This Row],[Cnd]],Lookups!$A$80:$E$88,2,FALSE)</f>
        <v>50438.379078999998</v>
      </c>
      <c r="AU586" s="30">
        <f>Inventory[[#This Row],[EffAge]]*Lookups!$B$65</f>
        <v>-1848.5987</v>
      </c>
      <c r="AV586" s="30">
        <f>Inventory[[#This Row],[MainFn]]*Lookups!$B$90</f>
        <v>108094.77816</v>
      </c>
      <c r="AW586" s="30">
        <f>Inventory[[#This Row],[UpprFn]]*Lookups!$B$91</f>
        <v>0</v>
      </c>
      <c r="AX586" s="30">
        <f>Inventory[[#This Row],[Bsmt Area]]*Lookups!$B$95</f>
        <v>0</v>
      </c>
      <c r="AY586" s="30">
        <f>Inventory[[#This Row],[AttGar]]*Lookups!$B$93</f>
        <v>15532.453640000002</v>
      </c>
      <c r="AZ586" s="30">
        <f>ROUND(Inventory[[#This Row],[25Det]],-2)</f>
        <v>0</v>
      </c>
      <c r="BA586" s="30">
        <f>ROUND(SUM(Inventory[[#This Row],[Mdl Qlty]:[Mdl Garage Area]])+Inventory[[#This Row],[Mdl Res Intercept]],-2)</f>
        <v>337700</v>
      </c>
      <c r="BB586" s="30">
        <f>ROUND(Inventory[[#This Row],[Mdl Land Intercept]]+Inventory[[#This Row],[Mdl LnAcres]],-2)</f>
        <v>64300</v>
      </c>
      <c r="BC586" s="30">
        <f>Inventory[[#This Row],[Unadj Res Value]]+Inventory[[#This Row],[Unadj Det Value]]+Inventory[[#This Row],[Unadj Land Value]]</f>
        <v>402000</v>
      </c>
      <c r="BD586" s="30">
        <f>(Inventory[[#This Row],[Unadj Total Value]]-Inventory[[#This Row],[24Final]])/Inventory[[#This Row],[24Final]]</f>
        <v>4.7420531526836895E-2</v>
      </c>
      <c r="BE586" s="30">
        <f>VLOOKUP(Inventory[[#This Row],[Nbhd]],Lookups!$M$3:$P$5,4,FALSE)</f>
        <v>0.99970000000000003</v>
      </c>
      <c r="BF586" s="30">
        <f>VLOOKUP(Inventory[[#This Row],[Qlty]],Lookups!$M$8:$P$22,4,FALSE)</f>
        <v>1.0019</v>
      </c>
      <c r="BG586" s="30">
        <f>VLOOKUP(Inventory[[#This Row],[Cnd]],Lookups!$R$8:$U$17,4,FALSE)</f>
        <v>1.0007999999999999</v>
      </c>
      <c r="BH586" s="30">
        <f>VLOOKUP(Inventory[[#This Row],[LivArea Range]],Lookups!$R$25:$U$43,4,FALSE)</f>
        <v>1.0007999999999999</v>
      </c>
      <c r="BI586" s="30">
        <f>VLOOKUP(Inventory[[#This Row],[Decade]],Lookups!$M$24:$P$40,4,FALSE)</f>
        <v>1.0024</v>
      </c>
      <c r="BJ586" s="30">
        <f>Inventory[[#This Row],[Nbhd Adj]]*0.95</f>
        <v>0.94971499999999998</v>
      </c>
      <c r="BK586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586" s="30">
        <f>ROUND((SUM(Inventory[[#This Row],[Mdl Qlty]:[Mdl Garage Area]])+Inventory[[#This Row],[Mdl Res Intercept]])*Inventory[[#This Row],[Res Adj ]],-2)</f>
        <v>321100</v>
      </c>
      <c r="BM586" s="30">
        <f>ROUND(Inventory[[#This Row],[25Det]]*Inventory[[#This Row],[Det/Nbhd Adj]],-2)</f>
        <v>0</v>
      </c>
      <c r="BN586" s="30">
        <f>Inventory[[#This Row],[Adjusted Res]]+Inventory[[#This Row],[Adj Det ]]</f>
        <v>321100</v>
      </c>
      <c r="BO586" s="30">
        <f>ROUND((Inventory[[#This Row],[Mdl Land Intercept]]+Inventory[[#This Row],[Mdl LnAcres]])*Inventory[[#This Row],[Det/Nbhd Adj]],-2)</f>
        <v>61100</v>
      </c>
      <c r="BP586" s="30">
        <f>Inventory[[#This Row],[Adjusted Impr Total]]+Inventory[[#This Row],[Adjusted Land Total]]</f>
        <v>382200</v>
      </c>
      <c r="BQ586" s="30">
        <f>IFERROR((Inventory[[#This Row],[Adjusted Impr Total]]-Inventory[[#This Row],[24Bldg]])/Inventory[[#This Row],[24Bldg]],0)</f>
        <v>-5.8823529411764705E-3</v>
      </c>
      <c r="BR586" s="43">
        <f>(Inventory[[#This Row],[Adjusted Land Total]]-Inventory[[#This Row],[24Lnd]])/Inventory[[#This Row],[24Lnd]]</f>
        <v>4.9342105263157892E-3</v>
      </c>
      <c r="BS586" s="43">
        <f>(Inventory[[#This Row],[Adjusted Total]]-Inventory[[#This Row],[24Final]])/Inventory[[#This Row],[24Final]]</f>
        <v>-4.1688379364252211E-3</v>
      </c>
    </row>
    <row r="587" spans="1:71">
      <c r="A587" s="30">
        <v>2025</v>
      </c>
      <c r="B587" s="31" t="s">
        <v>1101</v>
      </c>
      <c r="C587" s="31">
        <f>LN(Inventory[[#This Row],[Acres]])</f>
        <v>-1.8325814637483102</v>
      </c>
      <c r="D587" s="30">
        <v>0.16</v>
      </c>
      <c r="E587" s="30">
        <v>7032</v>
      </c>
      <c r="F587" s="31" t="s">
        <v>505</v>
      </c>
      <c r="G587" s="31" t="s">
        <v>155</v>
      </c>
      <c r="H587" s="31" t="s">
        <v>5</v>
      </c>
      <c r="I587" s="31" t="s">
        <v>506</v>
      </c>
      <c r="J587" s="31" t="s">
        <v>507</v>
      </c>
      <c r="K587" s="31" t="s">
        <v>193</v>
      </c>
      <c r="L587" s="31" t="s">
        <v>21</v>
      </c>
      <c r="M587" s="31" t="s">
        <v>22</v>
      </c>
      <c r="N587" s="31">
        <v>10</v>
      </c>
      <c r="O587" s="31">
        <f>2024-Inventory[[#This Row],[YrBlt]]</f>
        <v>17</v>
      </c>
      <c r="P587" s="31">
        <f>2024-Inventory[[#This Row],[EffYr]]</f>
        <v>17</v>
      </c>
      <c r="Q587" s="30">
        <v>2007</v>
      </c>
      <c r="R587" s="30">
        <v>2007</v>
      </c>
      <c r="S587" s="30">
        <v>1732</v>
      </c>
      <c r="T587" s="32"/>
      <c r="U587" s="32"/>
      <c r="V587" s="32"/>
      <c r="W587" s="32"/>
      <c r="X587" s="32">
        <f>Inventory[[#This Row],[Bsmt Area]]-Inventory[[#This Row],[FnBsmt]]</f>
        <v>0</v>
      </c>
      <c r="Y587" s="32">
        <f>Inventory[[#This Row],[MainFn]]+Inventory[[#This Row],[UpprFn]]+Inventory[[#This Row],[AddFn]]+Inventory[[#This Row],[FnBsmt]]</f>
        <v>1732</v>
      </c>
      <c r="Z587" s="32">
        <v>2000</v>
      </c>
      <c r="AA587" s="31" t="s">
        <v>56</v>
      </c>
      <c r="AB587" s="32"/>
      <c r="AC587" s="30">
        <v>440</v>
      </c>
      <c r="AD587" s="32"/>
      <c r="AE587" s="32"/>
      <c r="AF587" s="32"/>
      <c r="AG587" s="32"/>
      <c r="AH587" s="32"/>
      <c r="AI587" s="30">
        <v>379145</v>
      </c>
      <c r="AJ587" s="30">
        <v>352605</v>
      </c>
      <c r="AK587" s="30">
        <v>0</v>
      </c>
      <c r="AL587" s="30">
        <v>0</v>
      </c>
      <c r="AM587" s="30">
        <v>60800</v>
      </c>
      <c r="AN587" s="30">
        <v>321300</v>
      </c>
      <c r="AO587" s="30">
        <v>382100</v>
      </c>
      <c r="AP587" s="30">
        <f>Lookups!$B$58*0.6</f>
        <v>132535.48800000001</v>
      </c>
      <c r="AQ587" s="30">
        <f>Lookups!$B$58*0.4</f>
        <v>88356.992000000013</v>
      </c>
      <c r="AR587" s="30">
        <f>Lookups!$B$59*Inventory[[#This Row],[LnAcres]]</f>
        <v>-24051.387388882686</v>
      </c>
      <c r="AS587" s="30">
        <f>VLOOKUP(Inventory[[#This Row],[Qlty]],Lookups!$A$66:$E$79,2,FALSE)</f>
        <v>32917.849192000001</v>
      </c>
      <c r="AT587" s="30">
        <f>VLOOKUP(Inventory[[#This Row],[Cnd]],Lookups!$A$80:$E$88,2,FALSE)</f>
        <v>50438.379078999998</v>
      </c>
      <c r="AU587" s="30">
        <f>Inventory[[#This Row],[EffAge]]*Lookups!$B$65</f>
        <v>-1848.5987</v>
      </c>
      <c r="AV587" s="30">
        <f>Inventory[[#This Row],[MainFn]]*Lookups!$B$90</f>
        <v>108094.77816</v>
      </c>
      <c r="AW587" s="30">
        <f>Inventory[[#This Row],[UpprFn]]*Lookups!$B$91</f>
        <v>0</v>
      </c>
      <c r="AX587" s="30">
        <f>Inventory[[#This Row],[Bsmt Area]]*Lookups!$B$95</f>
        <v>0</v>
      </c>
      <c r="AY587" s="30">
        <f>Inventory[[#This Row],[AttGar]]*Lookups!$B$93</f>
        <v>15532.453640000002</v>
      </c>
      <c r="AZ587" s="30">
        <f>ROUND(Inventory[[#This Row],[25Det]],-2)</f>
        <v>0</v>
      </c>
      <c r="BA587" s="30">
        <f>ROUND(SUM(Inventory[[#This Row],[Mdl Qlty]:[Mdl Garage Area]])+Inventory[[#This Row],[Mdl Res Intercept]],-2)</f>
        <v>337700</v>
      </c>
      <c r="BB587" s="30">
        <f>ROUND(Inventory[[#This Row],[Mdl Land Intercept]]+Inventory[[#This Row],[Mdl LnAcres]],-2)</f>
        <v>64300</v>
      </c>
      <c r="BC587" s="30">
        <f>Inventory[[#This Row],[Unadj Res Value]]+Inventory[[#This Row],[Unadj Det Value]]+Inventory[[#This Row],[Unadj Land Value]]</f>
        <v>402000</v>
      </c>
      <c r="BD587" s="30">
        <f>(Inventory[[#This Row],[Unadj Total Value]]-Inventory[[#This Row],[24Final]])/Inventory[[#This Row],[24Final]]</f>
        <v>5.2080607170897672E-2</v>
      </c>
      <c r="BE587" s="30">
        <f>VLOOKUP(Inventory[[#This Row],[Nbhd]],Lookups!$M$3:$P$5,4,FALSE)</f>
        <v>0.99970000000000003</v>
      </c>
      <c r="BF587" s="30">
        <f>VLOOKUP(Inventory[[#This Row],[Qlty]],Lookups!$M$8:$P$22,4,FALSE)</f>
        <v>1.0019</v>
      </c>
      <c r="BG587" s="30">
        <f>VLOOKUP(Inventory[[#This Row],[Cnd]],Lookups!$R$8:$U$17,4,FALSE)</f>
        <v>1.0007999999999999</v>
      </c>
      <c r="BH587" s="30">
        <f>VLOOKUP(Inventory[[#This Row],[LivArea Range]],Lookups!$R$25:$U$43,4,FALSE)</f>
        <v>1.0007999999999999</v>
      </c>
      <c r="BI587" s="30">
        <f>VLOOKUP(Inventory[[#This Row],[Decade]],Lookups!$M$24:$P$40,4,FALSE)</f>
        <v>1.0024</v>
      </c>
      <c r="BJ587" s="30">
        <f>Inventory[[#This Row],[Nbhd Adj]]*0.95</f>
        <v>0.94971499999999998</v>
      </c>
      <c r="BK587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587" s="30">
        <f>ROUND((SUM(Inventory[[#This Row],[Mdl Qlty]:[Mdl Garage Area]])+Inventory[[#This Row],[Mdl Res Intercept]])*Inventory[[#This Row],[Res Adj ]],-2)</f>
        <v>321100</v>
      </c>
      <c r="BM587" s="30">
        <f>ROUND(Inventory[[#This Row],[25Det]]*Inventory[[#This Row],[Det/Nbhd Adj]],-2)</f>
        <v>0</v>
      </c>
      <c r="BN587" s="30">
        <f>Inventory[[#This Row],[Adjusted Res]]+Inventory[[#This Row],[Adj Det ]]</f>
        <v>321100</v>
      </c>
      <c r="BO587" s="30">
        <f>ROUND((Inventory[[#This Row],[Mdl Land Intercept]]+Inventory[[#This Row],[Mdl LnAcres]])*Inventory[[#This Row],[Det/Nbhd Adj]],-2)</f>
        <v>61100</v>
      </c>
      <c r="BP587" s="30">
        <f>Inventory[[#This Row],[Adjusted Impr Total]]+Inventory[[#This Row],[Adjusted Land Total]]</f>
        <v>382200</v>
      </c>
      <c r="BQ587" s="30">
        <f>IFERROR((Inventory[[#This Row],[Adjusted Impr Total]]-Inventory[[#This Row],[24Bldg]])/Inventory[[#This Row],[24Bldg]],0)</f>
        <v>-6.2247121070650485E-4</v>
      </c>
      <c r="BR587" s="43">
        <f>(Inventory[[#This Row],[Adjusted Land Total]]-Inventory[[#This Row],[24Lnd]])/Inventory[[#This Row],[24Lnd]]</f>
        <v>4.9342105263157892E-3</v>
      </c>
      <c r="BS587" s="43">
        <f>(Inventory[[#This Row],[Adjusted Total]]-Inventory[[#This Row],[24Final]])/Inventory[[#This Row],[24Final]]</f>
        <v>2.6171159382360636E-4</v>
      </c>
    </row>
    <row r="588" spans="1:71">
      <c r="A588" s="30">
        <v>2025</v>
      </c>
      <c r="B588" s="31" t="s">
        <v>1102</v>
      </c>
      <c r="C588" s="31">
        <f>LN(Inventory[[#This Row],[Acres]])</f>
        <v>-1.8325814637483102</v>
      </c>
      <c r="D588" s="30">
        <v>0.16</v>
      </c>
      <c r="E588" s="30">
        <v>7078</v>
      </c>
      <c r="F588" s="31" t="s">
        <v>505</v>
      </c>
      <c r="G588" s="31" t="s">
        <v>155</v>
      </c>
      <c r="H588" s="31" t="s">
        <v>5</v>
      </c>
      <c r="I588" s="31" t="s">
        <v>506</v>
      </c>
      <c r="J588" s="31" t="s">
        <v>507</v>
      </c>
      <c r="K588" s="31" t="s">
        <v>193</v>
      </c>
      <c r="L588" s="31" t="s">
        <v>21</v>
      </c>
      <c r="M588" s="31" t="s">
        <v>22</v>
      </c>
      <c r="N588" s="31">
        <v>10</v>
      </c>
      <c r="O588" s="31">
        <f>2024-Inventory[[#This Row],[YrBlt]]</f>
        <v>17</v>
      </c>
      <c r="P588" s="31">
        <f>2024-Inventory[[#This Row],[EffYr]]</f>
        <v>17</v>
      </c>
      <c r="Q588" s="30">
        <v>2007</v>
      </c>
      <c r="R588" s="30">
        <v>2007</v>
      </c>
      <c r="S588" s="30">
        <v>1732</v>
      </c>
      <c r="T588" s="37"/>
      <c r="U588" s="32"/>
      <c r="V588" s="32"/>
      <c r="W588" s="32"/>
      <c r="X588" s="32">
        <f>Inventory[[#This Row],[Bsmt Area]]-Inventory[[#This Row],[FnBsmt]]</f>
        <v>0</v>
      </c>
      <c r="Y588" s="32">
        <f>Inventory[[#This Row],[MainFn]]+Inventory[[#This Row],[UpprFn]]+Inventory[[#This Row],[AddFn]]+Inventory[[#This Row],[FnBsmt]]</f>
        <v>1732</v>
      </c>
      <c r="Z588" s="32">
        <v>2000</v>
      </c>
      <c r="AA588" s="31" t="s">
        <v>56</v>
      </c>
      <c r="AB588" s="37"/>
      <c r="AC588" s="38">
        <v>440</v>
      </c>
      <c r="AD588" s="37"/>
      <c r="AE588" s="32"/>
      <c r="AF588" s="32"/>
      <c r="AG588" s="32"/>
      <c r="AH588" s="32"/>
      <c r="AI588" s="30">
        <v>378588</v>
      </c>
      <c r="AJ588" s="30">
        <v>352087</v>
      </c>
      <c r="AK588" s="30">
        <v>0</v>
      </c>
      <c r="AL588" s="30">
        <v>0</v>
      </c>
      <c r="AM588" s="30">
        <v>60800</v>
      </c>
      <c r="AN588" s="30">
        <v>321300</v>
      </c>
      <c r="AO588" s="30">
        <v>382100</v>
      </c>
      <c r="AP588" s="30">
        <f>Lookups!$B$58*0.6</f>
        <v>132535.48800000001</v>
      </c>
      <c r="AQ588" s="30">
        <f>Lookups!$B$58*0.4</f>
        <v>88356.992000000013</v>
      </c>
      <c r="AR588" s="30">
        <f>Lookups!$B$59*Inventory[[#This Row],[LnAcres]]</f>
        <v>-24051.387388882686</v>
      </c>
      <c r="AS588" s="30">
        <f>VLOOKUP(Inventory[[#This Row],[Qlty]],Lookups!$A$66:$E$79,2,FALSE)</f>
        <v>32917.849192000001</v>
      </c>
      <c r="AT588" s="30">
        <f>VLOOKUP(Inventory[[#This Row],[Cnd]],Lookups!$A$80:$E$88,2,FALSE)</f>
        <v>50438.379078999998</v>
      </c>
      <c r="AU588" s="30">
        <f>Inventory[[#This Row],[EffAge]]*Lookups!$B$65</f>
        <v>-1848.5987</v>
      </c>
      <c r="AV588" s="30">
        <f>Inventory[[#This Row],[MainFn]]*Lookups!$B$90</f>
        <v>108094.77816</v>
      </c>
      <c r="AW588" s="30">
        <f>Inventory[[#This Row],[UpprFn]]*Lookups!$B$91</f>
        <v>0</v>
      </c>
      <c r="AX588" s="30">
        <f>Inventory[[#This Row],[Bsmt Area]]*Lookups!$B$95</f>
        <v>0</v>
      </c>
      <c r="AY588" s="30">
        <f>Inventory[[#This Row],[AttGar]]*Lookups!$B$93</f>
        <v>15532.453640000002</v>
      </c>
      <c r="AZ588" s="30">
        <f>ROUND(Inventory[[#This Row],[25Det]],-2)</f>
        <v>0</v>
      </c>
      <c r="BA588" s="30">
        <f>ROUND(SUM(Inventory[[#This Row],[Mdl Qlty]:[Mdl Garage Area]])+Inventory[[#This Row],[Mdl Res Intercept]],-2)</f>
        <v>337700</v>
      </c>
      <c r="BB588" s="30">
        <f>ROUND(Inventory[[#This Row],[Mdl Land Intercept]]+Inventory[[#This Row],[Mdl LnAcres]],-2)</f>
        <v>64300</v>
      </c>
      <c r="BC588" s="30">
        <f>Inventory[[#This Row],[Unadj Res Value]]+Inventory[[#This Row],[Unadj Det Value]]+Inventory[[#This Row],[Unadj Land Value]]</f>
        <v>402000</v>
      </c>
      <c r="BD588" s="30">
        <f>(Inventory[[#This Row],[Unadj Total Value]]-Inventory[[#This Row],[24Final]])/Inventory[[#This Row],[24Final]]</f>
        <v>5.2080607170897672E-2</v>
      </c>
      <c r="BE588" s="30">
        <f>VLOOKUP(Inventory[[#This Row],[Nbhd]],Lookups!$M$3:$P$5,4,FALSE)</f>
        <v>0.99970000000000003</v>
      </c>
      <c r="BF588" s="30">
        <f>VLOOKUP(Inventory[[#This Row],[Qlty]],Lookups!$M$8:$P$22,4,FALSE)</f>
        <v>1.0019</v>
      </c>
      <c r="BG588" s="30">
        <f>VLOOKUP(Inventory[[#This Row],[Cnd]],Lookups!$R$8:$U$17,4,FALSE)</f>
        <v>1.0007999999999999</v>
      </c>
      <c r="BH588" s="30">
        <f>VLOOKUP(Inventory[[#This Row],[LivArea Range]],Lookups!$R$25:$U$43,4,FALSE)</f>
        <v>1.0007999999999999</v>
      </c>
      <c r="BI588" s="30">
        <f>VLOOKUP(Inventory[[#This Row],[Decade]],Lookups!$M$24:$P$40,4,FALSE)</f>
        <v>1.0024</v>
      </c>
      <c r="BJ588" s="30">
        <f>Inventory[[#This Row],[Nbhd Adj]]*0.95</f>
        <v>0.94971499999999998</v>
      </c>
      <c r="BK588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588" s="30">
        <f>ROUND((SUM(Inventory[[#This Row],[Mdl Qlty]:[Mdl Garage Area]])+Inventory[[#This Row],[Mdl Res Intercept]])*Inventory[[#This Row],[Res Adj ]],-2)</f>
        <v>321100</v>
      </c>
      <c r="BM588" s="30">
        <f>ROUND(Inventory[[#This Row],[25Det]]*Inventory[[#This Row],[Det/Nbhd Adj]],-2)</f>
        <v>0</v>
      </c>
      <c r="BN588" s="30">
        <f>Inventory[[#This Row],[Adjusted Res]]+Inventory[[#This Row],[Adj Det ]]</f>
        <v>321100</v>
      </c>
      <c r="BO588" s="30">
        <f>ROUND((Inventory[[#This Row],[Mdl Land Intercept]]+Inventory[[#This Row],[Mdl LnAcres]])*Inventory[[#This Row],[Det/Nbhd Adj]],-2)</f>
        <v>61100</v>
      </c>
      <c r="BP588" s="30">
        <f>Inventory[[#This Row],[Adjusted Impr Total]]+Inventory[[#This Row],[Adjusted Land Total]]</f>
        <v>382200</v>
      </c>
      <c r="BQ588" s="30">
        <f>IFERROR((Inventory[[#This Row],[Adjusted Impr Total]]-Inventory[[#This Row],[24Bldg]])/Inventory[[#This Row],[24Bldg]],0)</f>
        <v>-6.2247121070650485E-4</v>
      </c>
      <c r="BR588" s="43">
        <f>(Inventory[[#This Row],[Adjusted Land Total]]-Inventory[[#This Row],[24Lnd]])/Inventory[[#This Row],[24Lnd]]</f>
        <v>4.9342105263157892E-3</v>
      </c>
      <c r="BS588" s="43">
        <f>(Inventory[[#This Row],[Adjusted Total]]-Inventory[[#This Row],[24Final]])/Inventory[[#This Row],[24Final]]</f>
        <v>2.6171159382360636E-4</v>
      </c>
    </row>
    <row r="589" spans="1:71">
      <c r="A589" s="30">
        <v>2025</v>
      </c>
      <c r="B589" s="31" t="s">
        <v>1103</v>
      </c>
      <c r="C589" s="31">
        <f>LN(Inventory[[#This Row],[Acres]])</f>
        <v>-1.8325814637483102</v>
      </c>
      <c r="D589" s="30">
        <v>0.16</v>
      </c>
      <c r="E589" s="30">
        <v>7016</v>
      </c>
      <c r="F589" s="31" t="s">
        <v>505</v>
      </c>
      <c r="G589" s="31" t="s">
        <v>155</v>
      </c>
      <c r="H589" s="31" t="s">
        <v>5</v>
      </c>
      <c r="I589" s="31" t="s">
        <v>506</v>
      </c>
      <c r="J589" s="31" t="s">
        <v>507</v>
      </c>
      <c r="K589" s="31" t="s">
        <v>193</v>
      </c>
      <c r="L589" s="31" t="s">
        <v>21</v>
      </c>
      <c r="M589" s="31" t="s">
        <v>22</v>
      </c>
      <c r="N589" s="31">
        <v>10</v>
      </c>
      <c r="O589" s="31">
        <f>2024-Inventory[[#This Row],[YrBlt]]</f>
        <v>17</v>
      </c>
      <c r="P589" s="31">
        <f>2024-Inventory[[#This Row],[EffYr]]</f>
        <v>17</v>
      </c>
      <c r="Q589" s="30">
        <v>2007</v>
      </c>
      <c r="R589" s="30">
        <v>2007</v>
      </c>
      <c r="S589" s="30">
        <v>1768</v>
      </c>
      <c r="T589" s="37"/>
      <c r="U589" s="32"/>
      <c r="V589" s="32"/>
      <c r="W589" s="32"/>
      <c r="X589" s="32">
        <f>Inventory[[#This Row],[Bsmt Area]]-Inventory[[#This Row],[FnBsmt]]</f>
        <v>0</v>
      </c>
      <c r="Y589" s="32">
        <f>Inventory[[#This Row],[MainFn]]+Inventory[[#This Row],[UpprFn]]+Inventory[[#This Row],[AddFn]]+Inventory[[#This Row],[FnBsmt]]</f>
        <v>1768</v>
      </c>
      <c r="Z589" s="32">
        <v>2000</v>
      </c>
      <c r="AA589" s="31" t="s">
        <v>56</v>
      </c>
      <c r="AB589" s="38">
        <v>1</v>
      </c>
      <c r="AC589" s="37"/>
      <c r="AD589" s="32"/>
      <c r="AE589" s="32"/>
      <c r="AF589" s="32"/>
      <c r="AG589" s="32"/>
      <c r="AH589" s="32"/>
      <c r="AI589" s="30">
        <v>353294</v>
      </c>
      <c r="AJ589" s="30">
        <v>328563</v>
      </c>
      <c r="AK589" s="30">
        <v>0</v>
      </c>
      <c r="AL589" s="30">
        <v>0</v>
      </c>
      <c r="AM589" s="30">
        <v>60800</v>
      </c>
      <c r="AN589" s="30">
        <v>302600</v>
      </c>
      <c r="AO589" s="30">
        <v>363400</v>
      </c>
      <c r="AP589" s="30">
        <f>Lookups!$B$58*0.6</f>
        <v>132535.48800000001</v>
      </c>
      <c r="AQ589" s="30">
        <f>Lookups!$B$58*0.4</f>
        <v>88356.992000000013</v>
      </c>
      <c r="AR589" s="30">
        <f>Lookups!$B$59*Inventory[[#This Row],[LnAcres]]</f>
        <v>-24051.387388882686</v>
      </c>
      <c r="AS589" s="30">
        <f>VLOOKUP(Inventory[[#This Row],[Qlty]],Lookups!$A$66:$E$79,2,FALSE)</f>
        <v>32917.849192000001</v>
      </c>
      <c r="AT589" s="30">
        <f>VLOOKUP(Inventory[[#This Row],[Cnd]],Lookups!$A$80:$E$88,2,FALSE)</f>
        <v>50438.379078999998</v>
      </c>
      <c r="AU589" s="30">
        <f>Inventory[[#This Row],[EffAge]]*Lookups!$B$65</f>
        <v>-1848.5987</v>
      </c>
      <c r="AV589" s="30">
        <f>Inventory[[#This Row],[MainFn]]*Lookups!$B$90</f>
        <v>110341.55184</v>
      </c>
      <c r="AW589" s="30">
        <f>Inventory[[#This Row],[UpprFn]]*Lookups!$B$91</f>
        <v>0</v>
      </c>
      <c r="AX589" s="30">
        <f>Inventory[[#This Row],[Bsmt Area]]*Lookups!$B$95</f>
        <v>0</v>
      </c>
      <c r="AY589" s="30">
        <f>Inventory[[#This Row],[AttGar]]*Lookups!$B$93</f>
        <v>0</v>
      </c>
      <c r="AZ589" s="30">
        <f>ROUND(Inventory[[#This Row],[25Det]],-2)</f>
        <v>0</v>
      </c>
      <c r="BA589" s="30">
        <f>ROUND(SUM(Inventory[[#This Row],[Mdl Qlty]:[Mdl Garage Area]])+Inventory[[#This Row],[Mdl Res Intercept]],-2)</f>
        <v>324400</v>
      </c>
      <c r="BB589" s="30">
        <f>ROUND(Inventory[[#This Row],[Mdl Land Intercept]]+Inventory[[#This Row],[Mdl LnAcres]],-2)</f>
        <v>64300</v>
      </c>
      <c r="BC589" s="30">
        <f>Inventory[[#This Row],[Unadj Res Value]]+Inventory[[#This Row],[Unadj Det Value]]+Inventory[[#This Row],[Unadj Land Value]]</f>
        <v>388700</v>
      </c>
      <c r="BD589" s="30">
        <f>(Inventory[[#This Row],[Unadj Total Value]]-Inventory[[#This Row],[24Final]])/Inventory[[#This Row],[24Final]]</f>
        <v>6.9620253164556958E-2</v>
      </c>
      <c r="BE589" s="30">
        <f>VLOOKUP(Inventory[[#This Row],[Nbhd]],Lookups!$M$3:$P$5,4,FALSE)</f>
        <v>0.99970000000000003</v>
      </c>
      <c r="BF589" s="30">
        <f>VLOOKUP(Inventory[[#This Row],[Qlty]],Lookups!$M$8:$P$22,4,FALSE)</f>
        <v>1.0019</v>
      </c>
      <c r="BG589" s="30">
        <f>VLOOKUP(Inventory[[#This Row],[Cnd]],Lookups!$R$8:$U$17,4,FALSE)</f>
        <v>1.0007999999999999</v>
      </c>
      <c r="BH589" s="30">
        <f>VLOOKUP(Inventory[[#This Row],[LivArea Range]],Lookups!$R$25:$U$43,4,FALSE)</f>
        <v>1.0007999999999999</v>
      </c>
      <c r="BI589" s="30">
        <f>VLOOKUP(Inventory[[#This Row],[Decade]],Lookups!$M$24:$P$40,4,FALSE)</f>
        <v>1.0024</v>
      </c>
      <c r="BJ589" s="30">
        <f>Inventory[[#This Row],[Nbhd Adj]]*0.95</f>
        <v>0.94971499999999998</v>
      </c>
      <c r="BK589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589" s="30">
        <f>ROUND((SUM(Inventory[[#This Row],[Mdl Qlty]:[Mdl Garage Area]])+Inventory[[#This Row],[Mdl Res Intercept]])*Inventory[[#This Row],[Res Adj ]],-2)</f>
        <v>308500</v>
      </c>
      <c r="BM589" s="30">
        <f>ROUND(Inventory[[#This Row],[25Det]]*Inventory[[#This Row],[Det/Nbhd Adj]],-2)</f>
        <v>0</v>
      </c>
      <c r="BN589" s="30">
        <f>Inventory[[#This Row],[Adjusted Res]]+Inventory[[#This Row],[Adj Det ]]</f>
        <v>308500</v>
      </c>
      <c r="BO589" s="30">
        <f>ROUND((Inventory[[#This Row],[Mdl Land Intercept]]+Inventory[[#This Row],[Mdl LnAcres]])*Inventory[[#This Row],[Det/Nbhd Adj]],-2)</f>
        <v>61100</v>
      </c>
      <c r="BP589" s="30">
        <f>Inventory[[#This Row],[Adjusted Impr Total]]+Inventory[[#This Row],[Adjusted Land Total]]</f>
        <v>369600</v>
      </c>
      <c r="BQ589" s="30">
        <f>IFERROR((Inventory[[#This Row],[Adjusted Impr Total]]-Inventory[[#This Row],[24Bldg]])/Inventory[[#This Row],[24Bldg]],0)</f>
        <v>1.9497686715135493E-2</v>
      </c>
      <c r="BR589" s="43">
        <f>(Inventory[[#This Row],[Adjusted Land Total]]-Inventory[[#This Row],[24Lnd]])/Inventory[[#This Row],[24Lnd]]</f>
        <v>4.9342105263157892E-3</v>
      </c>
      <c r="BS589" s="43">
        <f>(Inventory[[#This Row],[Adjusted Total]]-Inventory[[#This Row],[24Final]])/Inventory[[#This Row],[24Final]]</f>
        <v>1.7061089708310401E-2</v>
      </c>
    </row>
    <row r="590" spans="1:71">
      <c r="A590" s="30">
        <v>2025</v>
      </c>
      <c r="B590" s="31" t="s">
        <v>1104</v>
      </c>
      <c r="C590" s="31">
        <f>LN(Inventory[[#This Row],[Acres]])</f>
        <v>-1.8325814637483102</v>
      </c>
      <c r="D590" s="30">
        <v>0.16</v>
      </c>
      <c r="E590" s="30">
        <v>7078</v>
      </c>
      <c r="F590" s="31" t="s">
        <v>505</v>
      </c>
      <c r="G590" s="31" t="s">
        <v>155</v>
      </c>
      <c r="H590" s="31" t="s">
        <v>5</v>
      </c>
      <c r="I590" s="31" t="s">
        <v>506</v>
      </c>
      <c r="J590" s="31" t="s">
        <v>507</v>
      </c>
      <c r="K590" s="31" t="s">
        <v>193</v>
      </c>
      <c r="L590" s="31" t="s">
        <v>19</v>
      </c>
      <c r="M590" s="31" t="s">
        <v>22</v>
      </c>
      <c r="N590" s="31">
        <v>10</v>
      </c>
      <c r="O590" s="31">
        <f>2024-Inventory[[#This Row],[YrBlt]]</f>
        <v>17</v>
      </c>
      <c r="P590" s="31">
        <f>2024-Inventory[[#This Row],[EffYr]]</f>
        <v>17</v>
      </c>
      <c r="Q590" s="30">
        <v>2007</v>
      </c>
      <c r="R590" s="30">
        <v>2007</v>
      </c>
      <c r="S590" s="30">
        <v>2120</v>
      </c>
      <c r="T590" s="37"/>
      <c r="U590" s="32"/>
      <c r="V590" s="32"/>
      <c r="W590" s="32"/>
      <c r="X590" s="32">
        <f>Inventory[[#This Row],[Bsmt Area]]-Inventory[[#This Row],[FnBsmt]]</f>
        <v>0</v>
      </c>
      <c r="Y590" s="32">
        <f>Inventory[[#This Row],[MainFn]]+Inventory[[#This Row],[UpprFn]]+Inventory[[#This Row],[AddFn]]+Inventory[[#This Row],[FnBsmt]]</f>
        <v>2120</v>
      </c>
      <c r="Z590" s="32">
        <v>2500</v>
      </c>
      <c r="AA590" s="31" t="s">
        <v>56</v>
      </c>
      <c r="AB590" s="32"/>
      <c r="AC590" s="38">
        <v>748</v>
      </c>
      <c r="AD590" s="37"/>
      <c r="AE590" s="32"/>
      <c r="AF590" s="32"/>
      <c r="AG590" s="32"/>
      <c r="AH590" s="32"/>
      <c r="AI590" s="30">
        <v>398970</v>
      </c>
      <c r="AJ590" s="30">
        <v>371042</v>
      </c>
      <c r="AK590" s="30">
        <v>0</v>
      </c>
      <c r="AL590" s="30">
        <v>0</v>
      </c>
      <c r="AM590" s="30">
        <v>60800</v>
      </c>
      <c r="AN590" s="30">
        <v>352500</v>
      </c>
      <c r="AO590" s="30">
        <v>413300</v>
      </c>
      <c r="AP590" s="30">
        <f>Lookups!$B$58*0.6</f>
        <v>132535.48800000001</v>
      </c>
      <c r="AQ590" s="30">
        <f>Lookups!$B$58*0.4</f>
        <v>88356.992000000013</v>
      </c>
      <c r="AR590" s="30">
        <f>Lookups!$B$59*Inventory[[#This Row],[LnAcres]]</f>
        <v>-24051.387388882686</v>
      </c>
      <c r="AS590" s="30">
        <f>VLOOKUP(Inventory[[#This Row],[Qlty]],Lookups!$A$66:$E$79,2,FALSE)</f>
        <v>37154.252388000001</v>
      </c>
      <c r="AT590" s="30">
        <f>VLOOKUP(Inventory[[#This Row],[Cnd]],Lookups!$A$80:$E$88,2,FALSE)</f>
        <v>50438.379078999998</v>
      </c>
      <c r="AU590" s="30">
        <f>Inventory[[#This Row],[EffAge]]*Lookups!$B$65</f>
        <v>-1848.5987</v>
      </c>
      <c r="AV590" s="30">
        <f>Inventory[[#This Row],[MainFn]]*Lookups!$B$90</f>
        <v>132310.0056</v>
      </c>
      <c r="AW590" s="30">
        <f>Inventory[[#This Row],[UpprFn]]*Lookups!$B$91</f>
        <v>0</v>
      </c>
      <c r="AX590" s="30">
        <f>Inventory[[#This Row],[Bsmt Area]]*Lookups!$B$95</f>
        <v>0</v>
      </c>
      <c r="AY590" s="30">
        <f>Inventory[[#This Row],[AttGar]]*Lookups!$B$93</f>
        <v>26405.171188</v>
      </c>
      <c r="AZ590" s="30">
        <f>ROUND(Inventory[[#This Row],[25Det]],-2)</f>
        <v>0</v>
      </c>
      <c r="BA590" s="30">
        <f>ROUND(SUM(Inventory[[#This Row],[Mdl Qlty]:[Mdl Garage Area]])+Inventory[[#This Row],[Mdl Res Intercept]],-2)</f>
        <v>377000</v>
      </c>
      <c r="BB590" s="30">
        <f>ROUND(Inventory[[#This Row],[Mdl Land Intercept]]+Inventory[[#This Row],[Mdl LnAcres]],-2)</f>
        <v>64300</v>
      </c>
      <c r="BC590" s="30">
        <f>Inventory[[#This Row],[Unadj Res Value]]+Inventory[[#This Row],[Unadj Det Value]]+Inventory[[#This Row],[Unadj Land Value]]</f>
        <v>441300</v>
      </c>
      <c r="BD590" s="30">
        <f>(Inventory[[#This Row],[Unadj Total Value]]-Inventory[[#This Row],[24Final]])/Inventory[[#This Row],[24Final]]</f>
        <v>6.7747398983789009E-2</v>
      </c>
      <c r="BE590" s="30">
        <f>VLOOKUP(Inventory[[#This Row],[Nbhd]],Lookups!$M$3:$P$5,4,FALSE)</f>
        <v>0.99970000000000003</v>
      </c>
      <c r="BF590" s="30">
        <f>VLOOKUP(Inventory[[#This Row],[Qlty]],Lookups!$M$8:$P$22,4,FALSE)</f>
        <v>0.99819999999999998</v>
      </c>
      <c r="BG590" s="30">
        <f>VLOOKUP(Inventory[[#This Row],[Cnd]],Lookups!$R$8:$U$17,4,FALSE)</f>
        <v>1.0007999999999999</v>
      </c>
      <c r="BH590" s="30">
        <f>VLOOKUP(Inventory[[#This Row],[LivArea Range]],Lookups!$R$25:$U$43,4,FALSE)</f>
        <v>1.0008999999999999</v>
      </c>
      <c r="BI590" s="30">
        <f>VLOOKUP(Inventory[[#This Row],[Decade]],Lookups!$M$24:$P$40,4,FALSE)</f>
        <v>1.0024</v>
      </c>
      <c r="BJ590" s="30">
        <f>Inventory[[#This Row],[Nbhd Adj]]*0.95</f>
        <v>0.94971499999999998</v>
      </c>
      <c r="BK590" s="30">
        <f>AVERAGE(Inventory[[#This Row],[Nbhd Adj]],Inventory[[#This Row],[Quality Adj]],Inventory[[#This Row],[Condition Adj]],Inventory[[#This Row],[Living Area Adj]],Inventory[[#This Row],[Decade Adj]])*0.95</f>
        <v>0.95037999999999989</v>
      </c>
      <c r="BL590" s="30">
        <f>ROUND((SUM(Inventory[[#This Row],[Mdl Qlty]:[Mdl Garage Area]])+Inventory[[#This Row],[Mdl Res Intercept]])*Inventory[[#This Row],[Res Adj ]],-2)</f>
        <v>358300</v>
      </c>
      <c r="BM590" s="30">
        <f>ROUND(Inventory[[#This Row],[25Det]]*Inventory[[#This Row],[Det/Nbhd Adj]],-2)</f>
        <v>0</v>
      </c>
      <c r="BN590" s="30">
        <f>Inventory[[#This Row],[Adjusted Res]]+Inventory[[#This Row],[Adj Det ]]</f>
        <v>358300</v>
      </c>
      <c r="BO590" s="30">
        <f>ROUND((Inventory[[#This Row],[Mdl Land Intercept]]+Inventory[[#This Row],[Mdl LnAcres]])*Inventory[[#This Row],[Det/Nbhd Adj]],-2)</f>
        <v>61100</v>
      </c>
      <c r="BP590" s="30">
        <f>Inventory[[#This Row],[Adjusted Impr Total]]+Inventory[[#This Row],[Adjusted Land Total]]</f>
        <v>419400</v>
      </c>
      <c r="BQ590" s="30">
        <f>IFERROR((Inventory[[#This Row],[Adjusted Impr Total]]-Inventory[[#This Row],[24Bldg]])/Inventory[[#This Row],[24Bldg]],0)</f>
        <v>1.6453900709219857E-2</v>
      </c>
      <c r="BR590" s="43">
        <f>(Inventory[[#This Row],[Adjusted Land Total]]-Inventory[[#This Row],[24Lnd]])/Inventory[[#This Row],[24Lnd]]</f>
        <v>4.9342105263157892E-3</v>
      </c>
      <c r="BS590" s="43">
        <f>(Inventory[[#This Row],[Adjusted Total]]-Inventory[[#This Row],[24Final]])/Inventory[[#This Row],[24Final]]</f>
        <v>1.4759254778611178E-2</v>
      </c>
    </row>
    <row r="591" spans="1:71">
      <c r="A591" s="30">
        <v>2025</v>
      </c>
      <c r="B591" s="31" t="s">
        <v>1105</v>
      </c>
      <c r="C591" s="31">
        <f>LN(Inventory[[#This Row],[Acres]])</f>
        <v>-1.8325814637483102</v>
      </c>
      <c r="D591" s="30">
        <v>0.16</v>
      </c>
      <c r="E591" s="30">
        <v>6989</v>
      </c>
      <c r="F591" s="31" t="s">
        <v>505</v>
      </c>
      <c r="G591" s="31" t="s">
        <v>155</v>
      </c>
      <c r="H591" s="31" t="s">
        <v>5</v>
      </c>
      <c r="I591" s="31" t="s">
        <v>506</v>
      </c>
      <c r="J591" s="31" t="s">
        <v>507</v>
      </c>
      <c r="K591" s="31" t="s">
        <v>193</v>
      </c>
      <c r="L591" s="31" t="s">
        <v>21</v>
      </c>
      <c r="M591" s="31" t="s">
        <v>22</v>
      </c>
      <c r="N591" s="31">
        <v>10</v>
      </c>
      <c r="O591" s="31">
        <f>2024-Inventory[[#This Row],[YrBlt]]</f>
        <v>17</v>
      </c>
      <c r="P591" s="31">
        <f>2024-Inventory[[#This Row],[EffYr]]</f>
        <v>17</v>
      </c>
      <c r="Q591" s="30">
        <v>2007</v>
      </c>
      <c r="R591" s="30">
        <v>2007</v>
      </c>
      <c r="S591" s="30">
        <v>2136</v>
      </c>
      <c r="T591" s="37"/>
      <c r="U591" s="32"/>
      <c r="V591" s="32"/>
      <c r="W591" s="32"/>
      <c r="X591" s="32">
        <f>Inventory[[#This Row],[Bsmt Area]]-Inventory[[#This Row],[FnBsmt]]</f>
        <v>0</v>
      </c>
      <c r="Y591" s="32">
        <f>Inventory[[#This Row],[MainFn]]+Inventory[[#This Row],[UpprFn]]+Inventory[[#This Row],[AddFn]]+Inventory[[#This Row],[FnBsmt]]</f>
        <v>2136</v>
      </c>
      <c r="Z591" s="32">
        <v>2500</v>
      </c>
      <c r="AA591" s="31" t="s">
        <v>56</v>
      </c>
      <c r="AB591" s="37"/>
      <c r="AC591" s="30">
        <v>748</v>
      </c>
      <c r="AD591" s="32"/>
      <c r="AE591" s="32"/>
      <c r="AF591" s="32"/>
      <c r="AG591" s="32"/>
      <c r="AH591" s="32"/>
      <c r="AI591" s="30">
        <v>453228</v>
      </c>
      <c r="AJ591" s="30">
        <v>421502</v>
      </c>
      <c r="AK591" s="30">
        <v>0</v>
      </c>
      <c r="AL591" s="30">
        <v>0</v>
      </c>
      <c r="AM591" s="30">
        <v>60800</v>
      </c>
      <c r="AN591" s="30">
        <v>348900</v>
      </c>
      <c r="AO591" s="30">
        <v>409700</v>
      </c>
      <c r="AP591" s="30">
        <f>Lookups!$B$58*0.6</f>
        <v>132535.48800000001</v>
      </c>
      <c r="AQ591" s="30">
        <f>Lookups!$B$58*0.4</f>
        <v>88356.992000000013</v>
      </c>
      <c r="AR591" s="30">
        <f>Lookups!$B$59*Inventory[[#This Row],[LnAcres]]</f>
        <v>-24051.387388882686</v>
      </c>
      <c r="AS591" s="30">
        <f>VLOOKUP(Inventory[[#This Row],[Qlty]],Lookups!$A$66:$E$79,2,FALSE)</f>
        <v>32917.849192000001</v>
      </c>
      <c r="AT591" s="30">
        <f>VLOOKUP(Inventory[[#This Row],[Cnd]],Lookups!$A$80:$E$88,2,FALSE)</f>
        <v>50438.379078999998</v>
      </c>
      <c r="AU591" s="30">
        <f>Inventory[[#This Row],[EffAge]]*Lookups!$B$65</f>
        <v>-1848.5987</v>
      </c>
      <c r="AV591" s="30">
        <f>Inventory[[#This Row],[MainFn]]*Lookups!$B$90</f>
        <v>133308.57167999999</v>
      </c>
      <c r="AW591" s="30">
        <f>Inventory[[#This Row],[UpprFn]]*Lookups!$B$91</f>
        <v>0</v>
      </c>
      <c r="AX591" s="30">
        <f>Inventory[[#This Row],[Bsmt Area]]*Lookups!$B$95</f>
        <v>0</v>
      </c>
      <c r="AY591" s="30">
        <f>Inventory[[#This Row],[AttGar]]*Lookups!$B$93</f>
        <v>26405.171188</v>
      </c>
      <c r="AZ591" s="30">
        <f>ROUND(Inventory[[#This Row],[25Det]],-2)</f>
        <v>0</v>
      </c>
      <c r="BA591" s="30">
        <f>ROUND(SUM(Inventory[[#This Row],[Mdl Qlty]:[Mdl Garage Area]])+Inventory[[#This Row],[Mdl Res Intercept]],-2)</f>
        <v>373800</v>
      </c>
      <c r="BB591" s="30">
        <f>ROUND(Inventory[[#This Row],[Mdl Land Intercept]]+Inventory[[#This Row],[Mdl LnAcres]],-2)</f>
        <v>64300</v>
      </c>
      <c r="BC591" s="30">
        <f>Inventory[[#This Row],[Unadj Res Value]]+Inventory[[#This Row],[Unadj Det Value]]+Inventory[[#This Row],[Unadj Land Value]]</f>
        <v>438100</v>
      </c>
      <c r="BD591" s="30">
        <f>(Inventory[[#This Row],[Unadj Total Value]]-Inventory[[#This Row],[24Final]])/Inventory[[#This Row],[24Final]]</f>
        <v>6.9319013912618993E-2</v>
      </c>
      <c r="BE591" s="30">
        <f>VLOOKUP(Inventory[[#This Row],[Nbhd]],Lookups!$M$3:$P$5,4,FALSE)</f>
        <v>0.99970000000000003</v>
      </c>
      <c r="BF591" s="30">
        <f>VLOOKUP(Inventory[[#This Row],[Qlty]],Lookups!$M$8:$P$22,4,FALSE)</f>
        <v>1.0019</v>
      </c>
      <c r="BG591" s="30">
        <f>VLOOKUP(Inventory[[#This Row],[Cnd]],Lookups!$R$8:$U$17,4,FALSE)</f>
        <v>1.0007999999999999</v>
      </c>
      <c r="BH591" s="30">
        <f>VLOOKUP(Inventory[[#This Row],[LivArea Range]],Lookups!$R$25:$U$43,4,FALSE)</f>
        <v>1.0008999999999999</v>
      </c>
      <c r="BI591" s="30">
        <f>VLOOKUP(Inventory[[#This Row],[Decade]],Lookups!$M$24:$P$40,4,FALSE)</f>
        <v>1.0024</v>
      </c>
      <c r="BJ591" s="30">
        <f>Inventory[[#This Row],[Nbhd Adj]]*0.95</f>
        <v>0.94971499999999998</v>
      </c>
      <c r="BK591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591" s="30">
        <f>ROUND((SUM(Inventory[[#This Row],[Mdl Qlty]:[Mdl Garage Area]])+Inventory[[#This Row],[Mdl Res Intercept]])*Inventory[[#This Row],[Res Adj ]],-2)</f>
        <v>355500</v>
      </c>
      <c r="BM591" s="30">
        <f>ROUND(Inventory[[#This Row],[25Det]]*Inventory[[#This Row],[Det/Nbhd Adj]],-2)</f>
        <v>0</v>
      </c>
      <c r="BN591" s="30">
        <f>Inventory[[#This Row],[Adjusted Res]]+Inventory[[#This Row],[Adj Det ]]</f>
        <v>355500</v>
      </c>
      <c r="BO591" s="30">
        <f>ROUND((Inventory[[#This Row],[Mdl Land Intercept]]+Inventory[[#This Row],[Mdl LnAcres]])*Inventory[[#This Row],[Det/Nbhd Adj]],-2)</f>
        <v>61100</v>
      </c>
      <c r="BP591" s="30">
        <f>Inventory[[#This Row],[Adjusted Impr Total]]+Inventory[[#This Row],[Adjusted Land Total]]</f>
        <v>416600</v>
      </c>
      <c r="BQ591" s="30">
        <f>IFERROR((Inventory[[#This Row],[Adjusted Impr Total]]-Inventory[[#This Row],[24Bldg]])/Inventory[[#This Row],[24Bldg]],0)</f>
        <v>1.8916595012897677E-2</v>
      </c>
      <c r="BR591" s="43">
        <f>(Inventory[[#This Row],[Adjusted Land Total]]-Inventory[[#This Row],[24Lnd]])/Inventory[[#This Row],[24Lnd]]</f>
        <v>4.9342105263157892E-3</v>
      </c>
      <c r="BS591" s="43">
        <f>(Inventory[[#This Row],[Adjusted Total]]-Inventory[[#This Row],[24Final]])/Inventory[[#This Row],[24Final]]</f>
        <v>1.6841591408347571E-2</v>
      </c>
    </row>
    <row r="592" spans="1:71">
      <c r="A592" s="30">
        <v>2025</v>
      </c>
      <c r="B592" s="31" t="s">
        <v>1106</v>
      </c>
      <c r="C592" s="31">
        <f>LN(Inventory[[#This Row],[Acres]])</f>
        <v>-1.8325814637483102</v>
      </c>
      <c r="D592" s="30">
        <v>0.16</v>
      </c>
      <c r="E592" s="30">
        <v>7035</v>
      </c>
      <c r="F592" s="31" t="s">
        <v>505</v>
      </c>
      <c r="G592" s="31" t="s">
        <v>155</v>
      </c>
      <c r="H592" s="31" t="s">
        <v>5</v>
      </c>
      <c r="I592" s="31" t="s">
        <v>506</v>
      </c>
      <c r="J592" s="31" t="s">
        <v>507</v>
      </c>
      <c r="K592" s="31" t="s">
        <v>193</v>
      </c>
      <c r="L592" s="31" t="s">
        <v>21</v>
      </c>
      <c r="M592" s="31" t="s">
        <v>22</v>
      </c>
      <c r="N592" s="31">
        <v>10</v>
      </c>
      <c r="O592" s="31">
        <f>2024-Inventory[[#This Row],[YrBlt]]</f>
        <v>17</v>
      </c>
      <c r="P592" s="31">
        <f>2024-Inventory[[#This Row],[EffYr]]</f>
        <v>17</v>
      </c>
      <c r="Q592" s="30">
        <v>2007</v>
      </c>
      <c r="R592" s="30">
        <v>2007</v>
      </c>
      <c r="S592" s="30">
        <v>2136</v>
      </c>
      <c r="T592" s="37"/>
      <c r="U592" s="32"/>
      <c r="V592" s="32"/>
      <c r="W592" s="32"/>
      <c r="X592" s="32">
        <f>Inventory[[#This Row],[Bsmt Area]]-Inventory[[#This Row],[FnBsmt]]</f>
        <v>0</v>
      </c>
      <c r="Y592" s="32">
        <f>Inventory[[#This Row],[MainFn]]+Inventory[[#This Row],[UpprFn]]+Inventory[[#This Row],[AddFn]]+Inventory[[#This Row],[FnBsmt]]</f>
        <v>2136</v>
      </c>
      <c r="Z592" s="32">
        <v>2500</v>
      </c>
      <c r="AA592" s="31" t="s">
        <v>56</v>
      </c>
      <c r="AB592" s="37"/>
      <c r="AC592" s="30">
        <v>748</v>
      </c>
      <c r="AD592" s="37"/>
      <c r="AE592" s="32"/>
      <c r="AF592" s="32"/>
      <c r="AG592" s="32"/>
      <c r="AH592" s="32"/>
      <c r="AI592" s="30">
        <v>456038</v>
      </c>
      <c r="AJ592" s="30">
        <v>424115</v>
      </c>
      <c r="AK592" s="30">
        <v>0</v>
      </c>
      <c r="AL592" s="30">
        <v>0</v>
      </c>
      <c r="AM592" s="30">
        <v>60800</v>
      </c>
      <c r="AN592" s="30">
        <v>348900</v>
      </c>
      <c r="AO592" s="30">
        <v>409700</v>
      </c>
      <c r="AP592" s="30">
        <f>Lookups!$B$58*0.6</f>
        <v>132535.48800000001</v>
      </c>
      <c r="AQ592" s="30">
        <f>Lookups!$B$58*0.4</f>
        <v>88356.992000000013</v>
      </c>
      <c r="AR592" s="30">
        <f>Lookups!$B$59*Inventory[[#This Row],[LnAcres]]</f>
        <v>-24051.387388882686</v>
      </c>
      <c r="AS592" s="30">
        <f>VLOOKUP(Inventory[[#This Row],[Qlty]],Lookups!$A$66:$E$79,2,FALSE)</f>
        <v>32917.849192000001</v>
      </c>
      <c r="AT592" s="30">
        <f>VLOOKUP(Inventory[[#This Row],[Cnd]],Lookups!$A$80:$E$88,2,FALSE)</f>
        <v>50438.379078999998</v>
      </c>
      <c r="AU592" s="30">
        <f>Inventory[[#This Row],[EffAge]]*Lookups!$B$65</f>
        <v>-1848.5987</v>
      </c>
      <c r="AV592" s="30">
        <f>Inventory[[#This Row],[MainFn]]*Lookups!$B$90</f>
        <v>133308.57167999999</v>
      </c>
      <c r="AW592" s="30">
        <f>Inventory[[#This Row],[UpprFn]]*Lookups!$B$91</f>
        <v>0</v>
      </c>
      <c r="AX592" s="30">
        <f>Inventory[[#This Row],[Bsmt Area]]*Lookups!$B$95</f>
        <v>0</v>
      </c>
      <c r="AY592" s="30">
        <f>Inventory[[#This Row],[AttGar]]*Lookups!$B$93</f>
        <v>26405.171188</v>
      </c>
      <c r="AZ592" s="30">
        <f>ROUND(Inventory[[#This Row],[25Det]],-2)</f>
        <v>0</v>
      </c>
      <c r="BA592" s="30">
        <f>ROUND(SUM(Inventory[[#This Row],[Mdl Qlty]:[Mdl Garage Area]])+Inventory[[#This Row],[Mdl Res Intercept]],-2)</f>
        <v>373800</v>
      </c>
      <c r="BB592" s="30">
        <f>ROUND(Inventory[[#This Row],[Mdl Land Intercept]]+Inventory[[#This Row],[Mdl LnAcres]],-2)</f>
        <v>64300</v>
      </c>
      <c r="BC592" s="30">
        <f>Inventory[[#This Row],[Unadj Res Value]]+Inventory[[#This Row],[Unadj Det Value]]+Inventory[[#This Row],[Unadj Land Value]]</f>
        <v>438100</v>
      </c>
      <c r="BD592" s="30">
        <f>(Inventory[[#This Row],[Unadj Total Value]]-Inventory[[#This Row],[24Final]])/Inventory[[#This Row],[24Final]]</f>
        <v>6.9319013912618993E-2</v>
      </c>
      <c r="BE592" s="30">
        <f>VLOOKUP(Inventory[[#This Row],[Nbhd]],Lookups!$M$3:$P$5,4,FALSE)</f>
        <v>0.99970000000000003</v>
      </c>
      <c r="BF592" s="30">
        <f>VLOOKUP(Inventory[[#This Row],[Qlty]],Lookups!$M$8:$P$22,4,FALSE)</f>
        <v>1.0019</v>
      </c>
      <c r="BG592" s="30">
        <f>VLOOKUP(Inventory[[#This Row],[Cnd]],Lookups!$R$8:$U$17,4,FALSE)</f>
        <v>1.0007999999999999</v>
      </c>
      <c r="BH592" s="30">
        <f>VLOOKUP(Inventory[[#This Row],[LivArea Range]],Lookups!$R$25:$U$43,4,FALSE)</f>
        <v>1.0008999999999999</v>
      </c>
      <c r="BI592" s="30">
        <f>VLOOKUP(Inventory[[#This Row],[Decade]],Lookups!$M$24:$P$40,4,FALSE)</f>
        <v>1.0024</v>
      </c>
      <c r="BJ592" s="30">
        <f>Inventory[[#This Row],[Nbhd Adj]]*0.95</f>
        <v>0.94971499999999998</v>
      </c>
      <c r="BK592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592" s="30">
        <f>ROUND((SUM(Inventory[[#This Row],[Mdl Qlty]:[Mdl Garage Area]])+Inventory[[#This Row],[Mdl Res Intercept]])*Inventory[[#This Row],[Res Adj ]],-2)</f>
        <v>355500</v>
      </c>
      <c r="BM592" s="30">
        <f>ROUND(Inventory[[#This Row],[25Det]]*Inventory[[#This Row],[Det/Nbhd Adj]],-2)</f>
        <v>0</v>
      </c>
      <c r="BN592" s="30">
        <f>Inventory[[#This Row],[Adjusted Res]]+Inventory[[#This Row],[Adj Det ]]</f>
        <v>355500</v>
      </c>
      <c r="BO592" s="30">
        <f>ROUND((Inventory[[#This Row],[Mdl Land Intercept]]+Inventory[[#This Row],[Mdl LnAcres]])*Inventory[[#This Row],[Det/Nbhd Adj]],-2)</f>
        <v>61100</v>
      </c>
      <c r="BP592" s="30">
        <f>Inventory[[#This Row],[Adjusted Impr Total]]+Inventory[[#This Row],[Adjusted Land Total]]</f>
        <v>416600</v>
      </c>
      <c r="BQ592" s="30">
        <f>IFERROR((Inventory[[#This Row],[Adjusted Impr Total]]-Inventory[[#This Row],[24Bldg]])/Inventory[[#This Row],[24Bldg]],0)</f>
        <v>1.8916595012897677E-2</v>
      </c>
      <c r="BR592" s="43">
        <f>(Inventory[[#This Row],[Adjusted Land Total]]-Inventory[[#This Row],[24Lnd]])/Inventory[[#This Row],[24Lnd]]</f>
        <v>4.9342105263157892E-3</v>
      </c>
      <c r="BS592" s="43">
        <f>(Inventory[[#This Row],[Adjusted Total]]-Inventory[[#This Row],[24Final]])/Inventory[[#This Row],[24Final]]</f>
        <v>1.6841591408347571E-2</v>
      </c>
    </row>
    <row r="593" spans="1:71">
      <c r="A593" s="30">
        <v>2025</v>
      </c>
      <c r="B593" s="31" t="s">
        <v>1107</v>
      </c>
      <c r="C593" s="31">
        <f>LN(Inventory[[#This Row],[Acres]])</f>
        <v>-1.8325814637483102</v>
      </c>
      <c r="D593" s="30">
        <v>0.16</v>
      </c>
      <c r="E593" s="30">
        <v>7077</v>
      </c>
      <c r="F593" s="31" t="s">
        <v>505</v>
      </c>
      <c r="G593" s="31" t="s">
        <v>155</v>
      </c>
      <c r="H593" s="31" t="s">
        <v>5</v>
      </c>
      <c r="I593" s="31" t="s">
        <v>506</v>
      </c>
      <c r="J593" s="31" t="s">
        <v>507</v>
      </c>
      <c r="K593" s="31" t="s">
        <v>193</v>
      </c>
      <c r="L593" s="31" t="s">
        <v>21</v>
      </c>
      <c r="M593" s="31" t="s">
        <v>22</v>
      </c>
      <c r="N593" s="31">
        <v>10</v>
      </c>
      <c r="O593" s="31">
        <f>2024-Inventory[[#This Row],[YrBlt]]</f>
        <v>17</v>
      </c>
      <c r="P593" s="31">
        <f>2024-Inventory[[#This Row],[EffYr]]</f>
        <v>17</v>
      </c>
      <c r="Q593" s="30">
        <v>2007</v>
      </c>
      <c r="R593" s="30">
        <v>2007</v>
      </c>
      <c r="S593" s="30">
        <v>2136</v>
      </c>
      <c r="T593" s="32"/>
      <c r="U593" s="32"/>
      <c r="V593" s="32"/>
      <c r="W593" s="32"/>
      <c r="X593" s="32">
        <f>Inventory[[#This Row],[Bsmt Area]]-Inventory[[#This Row],[FnBsmt]]</f>
        <v>0</v>
      </c>
      <c r="Y593" s="32">
        <f>Inventory[[#This Row],[MainFn]]+Inventory[[#This Row],[UpprFn]]+Inventory[[#This Row],[AddFn]]+Inventory[[#This Row],[FnBsmt]]</f>
        <v>2136</v>
      </c>
      <c r="Z593" s="32">
        <v>2500</v>
      </c>
      <c r="AA593" s="31" t="s">
        <v>56</v>
      </c>
      <c r="AB593" s="32"/>
      <c r="AC593" s="30">
        <v>748</v>
      </c>
      <c r="AD593" s="32"/>
      <c r="AE593" s="32"/>
      <c r="AF593" s="32"/>
      <c r="AG593" s="32"/>
      <c r="AH593" s="32"/>
      <c r="AI593" s="30">
        <v>457161</v>
      </c>
      <c r="AJ593" s="30">
        <v>425160</v>
      </c>
      <c r="AK593" s="30">
        <v>0</v>
      </c>
      <c r="AL593" s="30">
        <v>0</v>
      </c>
      <c r="AM593" s="30">
        <v>60800</v>
      </c>
      <c r="AN593" s="30">
        <v>348900</v>
      </c>
      <c r="AO593" s="30">
        <v>409700</v>
      </c>
      <c r="AP593" s="30">
        <f>Lookups!$B$58*0.6</f>
        <v>132535.48800000001</v>
      </c>
      <c r="AQ593" s="30">
        <f>Lookups!$B$58*0.4</f>
        <v>88356.992000000013</v>
      </c>
      <c r="AR593" s="30">
        <f>Lookups!$B$59*Inventory[[#This Row],[LnAcres]]</f>
        <v>-24051.387388882686</v>
      </c>
      <c r="AS593" s="30">
        <f>VLOOKUP(Inventory[[#This Row],[Qlty]],Lookups!$A$66:$E$79,2,FALSE)</f>
        <v>32917.849192000001</v>
      </c>
      <c r="AT593" s="30">
        <f>VLOOKUP(Inventory[[#This Row],[Cnd]],Lookups!$A$80:$E$88,2,FALSE)</f>
        <v>50438.379078999998</v>
      </c>
      <c r="AU593" s="30">
        <f>Inventory[[#This Row],[EffAge]]*Lookups!$B$65</f>
        <v>-1848.5987</v>
      </c>
      <c r="AV593" s="30">
        <f>Inventory[[#This Row],[MainFn]]*Lookups!$B$90</f>
        <v>133308.57167999999</v>
      </c>
      <c r="AW593" s="30">
        <f>Inventory[[#This Row],[UpprFn]]*Lookups!$B$91</f>
        <v>0</v>
      </c>
      <c r="AX593" s="30">
        <f>Inventory[[#This Row],[Bsmt Area]]*Lookups!$B$95</f>
        <v>0</v>
      </c>
      <c r="AY593" s="30">
        <f>Inventory[[#This Row],[AttGar]]*Lookups!$B$93</f>
        <v>26405.171188</v>
      </c>
      <c r="AZ593" s="30">
        <f>ROUND(Inventory[[#This Row],[25Det]],-2)</f>
        <v>0</v>
      </c>
      <c r="BA593" s="30">
        <f>ROUND(SUM(Inventory[[#This Row],[Mdl Qlty]:[Mdl Garage Area]])+Inventory[[#This Row],[Mdl Res Intercept]],-2)</f>
        <v>373800</v>
      </c>
      <c r="BB593" s="30">
        <f>ROUND(Inventory[[#This Row],[Mdl Land Intercept]]+Inventory[[#This Row],[Mdl LnAcres]],-2)</f>
        <v>64300</v>
      </c>
      <c r="BC593" s="30">
        <f>Inventory[[#This Row],[Unadj Res Value]]+Inventory[[#This Row],[Unadj Det Value]]+Inventory[[#This Row],[Unadj Land Value]]</f>
        <v>438100</v>
      </c>
      <c r="BD593" s="30">
        <f>(Inventory[[#This Row],[Unadj Total Value]]-Inventory[[#This Row],[24Final]])/Inventory[[#This Row],[24Final]]</f>
        <v>6.9319013912618993E-2</v>
      </c>
      <c r="BE593" s="30">
        <f>VLOOKUP(Inventory[[#This Row],[Nbhd]],Lookups!$M$3:$P$5,4,FALSE)</f>
        <v>0.99970000000000003</v>
      </c>
      <c r="BF593" s="30">
        <f>VLOOKUP(Inventory[[#This Row],[Qlty]],Lookups!$M$8:$P$22,4,FALSE)</f>
        <v>1.0019</v>
      </c>
      <c r="BG593" s="30">
        <f>VLOOKUP(Inventory[[#This Row],[Cnd]],Lookups!$R$8:$U$17,4,FALSE)</f>
        <v>1.0007999999999999</v>
      </c>
      <c r="BH593" s="30">
        <f>VLOOKUP(Inventory[[#This Row],[LivArea Range]],Lookups!$R$25:$U$43,4,FALSE)</f>
        <v>1.0008999999999999</v>
      </c>
      <c r="BI593" s="30">
        <f>VLOOKUP(Inventory[[#This Row],[Decade]],Lookups!$M$24:$P$40,4,FALSE)</f>
        <v>1.0024</v>
      </c>
      <c r="BJ593" s="30">
        <f>Inventory[[#This Row],[Nbhd Adj]]*0.95</f>
        <v>0.94971499999999998</v>
      </c>
      <c r="BK593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593" s="30">
        <f>ROUND((SUM(Inventory[[#This Row],[Mdl Qlty]:[Mdl Garage Area]])+Inventory[[#This Row],[Mdl Res Intercept]])*Inventory[[#This Row],[Res Adj ]],-2)</f>
        <v>355500</v>
      </c>
      <c r="BM593" s="30">
        <f>ROUND(Inventory[[#This Row],[25Det]]*Inventory[[#This Row],[Det/Nbhd Adj]],-2)</f>
        <v>0</v>
      </c>
      <c r="BN593" s="30">
        <f>Inventory[[#This Row],[Adjusted Res]]+Inventory[[#This Row],[Adj Det ]]</f>
        <v>355500</v>
      </c>
      <c r="BO593" s="30">
        <f>ROUND((Inventory[[#This Row],[Mdl Land Intercept]]+Inventory[[#This Row],[Mdl LnAcres]])*Inventory[[#This Row],[Det/Nbhd Adj]],-2)</f>
        <v>61100</v>
      </c>
      <c r="BP593" s="30">
        <f>Inventory[[#This Row],[Adjusted Impr Total]]+Inventory[[#This Row],[Adjusted Land Total]]</f>
        <v>416600</v>
      </c>
      <c r="BQ593" s="30">
        <f>IFERROR((Inventory[[#This Row],[Adjusted Impr Total]]-Inventory[[#This Row],[24Bldg]])/Inventory[[#This Row],[24Bldg]],0)</f>
        <v>1.8916595012897677E-2</v>
      </c>
      <c r="BR593" s="43">
        <f>(Inventory[[#This Row],[Adjusted Land Total]]-Inventory[[#This Row],[24Lnd]])/Inventory[[#This Row],[24Lnd]]</f>
        <v>4.9342105263157892E-3</v>
      </c>
      <c r="BS593" s="43">
        <f>(Inventory[[#This Row],[Adjusted Total]]-Inventory[[#This Row],[24Final]])/Inventory[[#This Row],[24Final]]</f>
        <v>1.6841591408347571E-2</v>
      </c>
    </row>
    <row r="594" spans="1:71">
      <c r="A594" s="30">
        <v>2025</v>
      </c>
      <c r="B594" s="31" t="s">
        <v>1108</v>
      </c>
      <c r="C594" s="31">
        <f>LN(Inventory[[#This Row],[Acres]])</f>
        <v>-1.8325814637483102</v>
      </c>
      <c r="D594" s="30">
        <v>0.16</v>
      </c>
      <c r="E594" s="30">
        <v>7077</v>
      </c>
      <c r="F594" s="31" t="s">
        <v>505</v>
      </c>
      <c r="G594" s="31" t="s">
        <v>155</v>
      </c>
      <c r="H594" s="31" t="s">
        <v>5</v>
      </c>
      <c r="I594" s="31" t="s">
        <v>506</v>
      </c>
      <c r="J594" s="31" t="s">
        <v>507</v>
      </c>
      <c r="K594" s="31" t="s">
        <v>193</v>
      </c>
      <c r="L594" s="31" t="s">
        <v>21</v>
      </c>
      <c r="M594" s="31" t="s">
        <v>22</v>
      </c>
      <c r="N594" s="31">
        <v>10</v>
      </c>
      <c r="O594" s="31">
        <f>2024-Inventory[[#This Row],[YrBlt]]</f>
        <v>17</v>
      </c>
      <c r="P594" s="31">
        <f>2024-Inventory[[#This Row],[EffYr]]</f>
        <v>17</v>
      </c>
      <c r="Q594" s="30">
        <v>2007</v>
      </c>
      <c r="R594" s="30">
        <v>2007</v>
      </c>
      <c r="S594" s="30">
        <v>2136</v>
      </c>
      <c r="T594" s="32"/>
      <c r="U594" s="32"/>
      <c r="V594" s="32"/>
      <c r="W594" s="32"/>
      <c r="X594" s="32">
        <f>Inventory[[#This Row],[Bsmt Area]]-Inventory[[#This Row],[FnBsmt]]</f>
        <v>0</v>
      </c>
      <c r="Y594" s="32">
        <f>Inventory[[#This Row],[MainFn]]+Inventory[[#This Row],[UpprFn]]+Inventory[[#This Row],[AddFn]]+Inventory[[#This Row],[FnBsmt]]</f>
        <v>2136</v>
      </c>
      <c r="Z594" s="32">
        <v>2500</v>
      </c>
      <c r="AA594" s="31" t="s">
        <v>56</v>
      </c>
      <c r="AB594" s="37"/>
      <c r="AC594" s="30">
        <v>748</v>
      </c>
      <c r="AD594" s="32"/>
      <c r="AE594" s="32"/>
      <c r="AF594" s="32"/>
      <c r="AG594" s="32"/>
      <c r="AH594" s="32"/>
      <c r="AI594" s="30">
        <v>453430</v>
      </c>
      <c r="AJ594" s="30">
        <v>421690</v>
      </c>
      <c r="AK594" s="30">
        <v>0</v>
      </c>
      <c r="AL594" s="30">
        <v>0</v>
      </c>
      <c r="AM594" s="30">
        <v>60800</v>
      </c>
      <c r="AN594" s="30">
        <v>348900</v>
      </c>
      <c r="AO594" s="30">
        <v>409700</v>
      </c>
      <c r="AP594" s="30">
        <f>Lookups!$B$58*0.6</f>
        <v>132535.48800000001</v>
      </c>
      <c r="AQ594" s="30">
        <f>Lookups!$B$58*0.4</f>
        <v>88356.992000000013</v>
      </c>
      <c r="AR594" s="30">
        <f>Lookups!$B$59*Inventory[[#This Row],[LnAcres]]</f>
        <v>-24051.387388882686</v>
      </c>
      <c r="AS594" s="30">
        <f>VLOOKUP(Inventory[[#This Row],[Qlty]],Lookups!$A$66:$E$79,2,FALSE)</f>
        <v>32917.849192000001</v>
      </c>
      <c r="AT594" s="30">
        <f>VLOOKUP(Inventory[[#This Row],[Cnd]],Lookups!$A$80:$E$88,2,FALSE)</f>
        <v>50438.379078999998</v>
      </c>
      <c r="AU594" s="30">
        <f>Inventory[[#This Row],[EffAge]]*Lookups!$B$65</f>
        <v>-1848.5987</v>
      </c>
      <c r="AV594" s="30">
        <f>Inventory[[#This Row],[MainFn]]*Lookups!$B$90</f>
        <v>133308.57167999999</v>
      </c>
      <c r="AW594" s="30">
        <f>Inventory[[#This Row],[UpprFn]]*Lookups!$B$91</f>
        <v>0</v>
      </c>
      <c r="AX594" s="30">
        <f>Inventory[[#This Row],[Bsmt Area]]*Lookups!$B$95</f>
        <v>0</v>
      </c>
      <c r="AY594" s="30">
        <f>Inventory[[#This Row],[AttGar]]*Lookups!$B$93</f>
        <v>26405.171188</v>
      </c>
      <c r="AZ594" s="30">
        <f>ROUND(Inventory[[#This Row],[25Det]],-2)</f>
        <v>0</v>
      </c>
      <c r="BA594" s="30">
        <f>ROUND(SUM(Inventory[[#This Row],[Mdl Qlty]:[Mdl Garage Area]])+Inventory[[#This Row],[Mdl Res Intercept]],-2)</f>
        <v>373800</v>
      </c>
      <c r="BB594" s="30">
        <f>ROUND(Inventory[[#This Row],[Mdl Land Intercept]]+Inventory[[#This Row],[Mdl LnAcres]],-2)</f>
        <v>64300</v>
      </c>
      <c r="BC594" s="30">
        <f>Inventory[[#This Row],[Unadj Res Value]]+Inventory[[#This Row],[Unadj Det Value]]+Inventory[[#This Row],[Unadj Land Value]]</f>
        <v>438100</v>
      </c>
      <c r="BD594" s="30">
        <f>(Inventory[[#This Row],[Unadj Total Value]]-Inventory[[#This Row],[24Final]])/Inventory[[#This Row],[24Final]]</f>
        <v>6.9319013912618993E-2</v>
      </c>
      <c r="BE594" s="30">
        <f>VLOOKUP(Inventory[[#This Row],[Nbhd]],Lookups!$M$3:$P$5,4,FALSE)</f>
        <v>0.99970000000000003</v>
      </c>
      <c r="BF594" s="30">
        <f>VLOOKUP(Inventory[[#This Row],[Qlty]],Lookups!$M$8:$P$22,4,FALSE)</f>
        <v>1.0019</v>
      </c>
      <c r="BG594" s="30">
        <f>VLOOKUP(Inventory[[#This Row],[Cnd]],Lookups!$R$8:$U$17,4,FALSE)</f>
        <v>1.0007999999999999</v>
      </c>
      <c r="BH594" s="30">
        <f>VLOOKUP(Inventory[[#This Row],[LivArea Range]],Lookups!$R$25:$U$43,4,FALSE)</f>
        <v>1.0008999999999999</v>
      </c>
      <c r="BI594" s="30">
        <f>VLOOKUP(Inventory[[#This Row],[Decade]],Lookups!$M$24:$P$40,4,FALSE)</f>
        <v>1.0024</v>
      </c>
      <c r="BJ594" s="30">
        <f>Inventory[[#This Row],[Nbhd Adj]]*0.95</f>
        <v>0.94971499999999998</v>
      </c>
      <c r="BK594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594" s="30">
        <f>ROUND((SUM(Inventory[[#This Row],[Mdl Qlty]:[Mdl Garage Area]])+Inventory[[#This Row],[Mdl Res Intercept]])*Inventory[[#This Row],[Res Adj ]],-2)</f>
        <v>355500</v>
      </c>
      <c r="BM594" s="30">
        <f>ROUND(Inventory[[#This Row],[25Det]]*Inventory[[#This Row],[Det/Nbhd Adj]],-2)</f>
        <v>0</v>
      </c>
      <c r="BN594" s="30">
        <f>Inventory[[#This Row],[Adjusted Res]]+Inventory[[#This Row],[Adj Det ]]</f>
        <v>355500</v>
      </c>
      <c r="BO594" s="30">
        <f>ROUND((Inventory[[#This Row],[Mdl Land Intercept]]+Inventory[[#This Row],[Mdl LnAcres]])*Inventory[[#This Row],[Det/Nbhd Adj]],-2)</f>
        <v>61100</v>
      </c>
      <c r="BP594" s="30">
        <f>Inventory[[#This Row],[Adjusted Impr Total]]+Inventory[[#This Row],[Adjusted Land Total]]</f>
        <v>416600</v>
      </c>
      <c r="BQ594" s="30">
        <f>IFERROR((Inventory[[#This Row],[Adjusted Impr Total]]-Inventory[[#This Row],[24Bldg]])/Inventory[[#This Row],[24Bldg]],0)</f>
        <v>1.8916595012897677E-2</v>
      </c>
      <c r="BR594" s="43">
        <f>(Inventory[[#This Row],[Adjusted Land Total]]-Inventory[[#This Row],[24Lnd]])/Inventory[[#This Row],[24Lnd]]</f>
        <v>4.9342105263157892E-3</v>
      </c>
      <c r="BS594" s="43">
        <f>(Inventory[[#This Row],[Adjusted Total]]-Inventory[[#This Row],[24Final]])/Inventory[[#This Row],[24Final]]</f>
        <v>1.6841591408347571E-2</v>
      </c>
    </row>
    <row r="595" spans="1:71">
      <c r="A595" s="30">
        <v>2025</v>
      </c>
      <c r="B595" s="31" t="s">
        <v>1109</v>
      </c>
      <c r="C595" s="31">
        <f>LN(Inventory[[#This Row],[Acres]])</f>
        <v>-1.8325814637483102</v>
      </c>
      <c r="D595" s="30">
        <v>0.16</v>
      </c>
      <c r="E595" s="30">
        <v>6989</v>
      </c>
      <c r="F595" s="31" t="s">
        <v>505</v>
      </c>
      <c r="G595" s="31" t="s">
        <v>155</v>
      </c>
      <c r="H595" s="31" t="s">
        <v>5</v>
      </c>
      <c r="I595" s="31" t="s">
        <v>506</v>
      </c>
      <c r="J595" s="31" t="s">
        <v>507</v>
      </c>
      <c r="K595" s="31" t="s">
        <v>193</v>
      </c>
      <c r="L595" s="31" t="s">
        <v>21</v>
      </c>
      <c r="M595" s="31" t="s">
        <v>22</v>
      </c>
      <c r="N595" s="31">
        <v>10</v>
      </c>
      <c r="O595" s="31">
        <f>2024-Inventory[[#This Row],[YrBlt]]</f>
        <v>17</v>
      </c>
      <c r="P595" s="31">
        <f>2024-Inventory[[#This Row],[EffYr]]</f>
        <v>17</v>
      </c>
      <c r="Q595" s="30">
        <v>2007</v>
      </c>
      <c r="R595" s="30">
        <v>2007</v>
      </c>
      <c r="S595" s="30">
        <v>2154</v>
      </c>
      <c r="T595" s="37"/>
      <c r="U595" s="32"/>
      <c r="V595" s="32"/>
      <c r="W595" s="32"/>
      <c r="X595" s="32">
        <f>Inventory[[#This Row],[Bsmt Area]]-Inventory[[#This Row],[FnBsmt]]</f>
        <v>0</v>
      </c>
      <c r="Y595" s="32">
        <f>Inventory[[#This Row],[MainFn]]+Inventory[[#This Row],[UpprFn]]+Inventory[[#This Row],[AddFn]]+Inventory[[#This Row],[FnBsmt]]</f>
        <v>2154</v>
      </c>
      <c r="Z595" s="32">
        <v>2500</v>
      </c>
      <c r="AA595" s="31" t="s">
        <v>56</v>
      </c>
      <c r="AB595" s="32"/>
      <c r="AC595" s="30">
        <v>730</v>
      </c>
      <c r="AD595" s="32"/>
      <c r="AE595" s="32"/>
      <c r="AF595" s="32"/>
      <c r="AG595" s="32"/>
      <c r="AH595" s="32"/>
      <c r="AI595" s="30">
        <v>467271</v>
      </c>
      <c r="AJ595" s="30">
        <v>434562</v>
      </c>
      <c r="AK595" s="30">
        <v>0</v>
      </c>
      <c r="AL595" s="30">
        <v>0</v>
      </c>
      <c r="AM595" s="30">
        <v>60800</v>
      </c>
      <c r="AN595" s="30">
        <v>349000</v>
      </c>
      <c r="AO595" s="30">
        <v>409800</v>
      </c>
      <c r="AP595" s="30">
        <f>Lookups!$B$58*0.6</f>
        <v>132535.48800000001</v>
      </c>
      <c r="AQ595" s="30">
        <f>Lookups!$B$58*0.4</f>
        <v>88356.992000000013</v>
      </c>
      <c r="AR595" s="30">
        <f>Lookups!$B$59*Inventory[[#This Row],[LnAcres]]</f>
        <v>-24051.387388882686</v>
      </c>
      <c r="AS595" s="30">
        <f>VLOOKUP(Inventory[[#This Row],[Qlty]],Lookups!$A$66:$E$79,2,FALSE)</f>
        <v>32917.849192000001</v>
      </c>
      <c r="AT595" s="30">
        <f>VLOOKUP(Inventory[[#This Row],[Cnd]],Lookups!$A$80:$E$88,2,FALSE)</f>
        <v>50438.379078999998</v>
      </c>
      <c r="AU595" s="30">
        <f>Inventory[[#This Row],[EffAge]]*Lookups!$B$65</f>
        <v>-1848.5987</v>
      </c>
      <c r="AV595" s="30">
        <f>Inventory[[#This Row],[MainFn]]*Lookups!$B$90</f>
        <v>134431.95852000001</v>
      </c>
      <c r="AW595" s="30">
        <f>Inventory[[#This Row],[UpprFn]]*Lookups!$B$91</f>
        <v>0</v>
      </c>
      <c r="AX595" s="30">
        <f>Inventory[[#This Row],[Bsmt Area]]*Lookups!$B$95</f>
        <v>0</v>
      </c>
      <c r="AY595" s="30">
        <f>Inventory[[#This Row],[AttGar]]*Lookups!$B$93</f>
        <v>25769.752630000003</v>
      </c>
      <c r="AZ595" s="30">
        <f>ROUND(Inventory[[#This Row],[25Det]],-2)</f>
        <v>0</v>
      </c>
      <c r="BA595" s="30">
        <f>ROUND(SUM(Inventory[[#This Row],[Mdl Qlty]:[Mdl Garage Area]])+Inventory[[#This Row],[Mdl Res Intercept]],-2)</f>
        <v>374200</v>
      </c>
      <c r="BB595" s="30">
        <f>ROUND(Inventory[[#This Row],[Mdl Land Intercept]]+Inventory[[#This Row],[Mdl LnAcres]],-2)</f>
        <v>64300</v>
      </c>
      <c r="BC595" s="30">
        <f>Inventory[[#This Row],[Unadj Res Value]]+Inventory[[#This Row],[Unadj Det Value]]+Inventory[[#This Row],[Unadj Land Value]]</f>
        <v>438500</v>
      </c>
      <c r="BD595" s="30">
        <f>(Inventory[[#This Row],[Unadj Total Value]]-Inventory[[#This Row],[24Final]])/Inventory[[#This Row],[24Final]]</f>
        <v>7.003416300634456E-2</v>
      </c>
      <c r="BE595" s="30">
        <f>VLOOKUP(Inventory[[#This Row],[Nbhd]],Lookups!$M$3:$P$5,4,FALSE)</f>
        <v>0.99970000000000003</v>
      </c>
      <c r="BF595" s="30">
        <f>VLOOKUP(Inventory[[#This Row],[Qlty]],Lookups!$M$8:$P$22,4,FALSE)</f>
        <v>1.0019</v>
      </c>
      <c r="BG595" s="30">
        <f>VLOOKUP(Inventory[[#This Row],[Cnd]],Lookups!$R$8:$U$17,4,FALSE)</f>
        <v>1.0007999999999999</v>
      </c>
      <c r="BH595" s="30">
        <f>VLOOKUP(Inventory[[#This Row],[LivArea Range]],Lookups!$R$25:$U$43,4,FALSE)</f>
        <v>1.0008999999999999</v>
      </c>
      <c r="BI595" s="30">
        <f>VLOOKUP(Inventory[[#This Row],[Decade]],Lookups!$M$24:$P$40,4,FALSE)</f>
        <v>1.0024</v>
      </c>
      <c r="BJ595" s="30">
        <f>Inventory[[#This Row],[Nbhd Adj]]*0.95</f>
        <v>0.94971499999999998</v>
      </c>
      <c r="BK595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595" s="30">
        <f>ROUND((SUM(Inventory[[#This Row],[Mdl Qlty]:[Mdl Garage Area]])+Inventory[[#This Row],[Mdl Res Intercept]])*Inventory[[#This Row],[Res Adj ]],-2)</f>
        <v>355900</v>
      </c>
      <c r="BM595" s="30">
        <f>ROUND(Inventory[[#This Row],[25Det]]*Inventory[[#This Row],[Det/Nbhd Adj]],-2)</f>
        <v>0</v>
      </c>
      <c r="BN595" s="30">
        <f>Inventory[[#This Row],[Adjusted Res]]+Inventory[[#This Row],[Adj Det ]]</f>
        <v>355900</v>
      </c>
      <c r="BO595" s="30">
        <f>ROUND((Inventory[[#This Row],[Mdl Land Intercept]]+Inventory[[#This Row],[Mdl LnAcres]])*Inventory[[#This Row],[Det/Nbhd Adj]],-2)</f>
        <v>61100</v>
      </c>
      <c r="BP595" s="30">
        <f>Inventory[[#This Row],[Adjusted Impr Total]]+Inventory[[#This Row],[Adjusted Land Total]]</f>
        <v>417000</v>
      </c>
      <c r="BQ595" s="30">
        <f>IFERROR((Inventory[[#This Row],[Adjusted Impr Total]]-Inventory[[#This Row],[24Bldg]])/Inventory[[#This Row],[24Bldg]],0)</f>
        <v>1.9770773638968481E-2</v>
      </c>
      <c r="BR595" s="43">
        <f>(Inventory[[#This Row],[Adjusted Land Total]]-Inventory[[#This Row],[24Lnd]])/Inventory[[#This Row],[24Lnd]]</f>
        <v>4.9342105263157892E-3</v>
      </c>
      <c r="BS595" s="43">
        <f>(Inventory[[#This Row],[Adjusted Total]]-Inventory[[#This Row],[24Final]])/Inventory[[#This Row],[24Final]]</f>
        <v>1.7569546120058566E-2</v>
      </c>
    </row>
    <row r="596" spans="1:71">
      <c r="A596" s="30">
        <v>2025</v>
      </c>
      <c r="B596" s="31" t="s">
        <v>1110</v>
      </c>
      <c r="C596" s="31">
        <f>LN(Inventory[[#This Row],[Acres]])</f>
        <v>-1.8325814637483102</v>
      </c>
      <c r="D596" s="30">
        <v>0.16</v>
      </c>
      <c r="E596" s="30">
        <v>6995</v>
      </c>
      <c r="F596" s="31" t="s">
        <v>505</v>
      </c>
      <c r="G596" s="31" t="s">
        <v>155</v>
      </c>
      <c r="H596" s="31" t="s">
        <v>5</v>
      </c>
      <c r="I596" s="31" t="s">
        <v>506</v>
      </c>
      <c r="J596" s="31" t="s">
        <v>507</v>
      </c>
      <c r="K596" s="31" t="s">
        <v>193</v>
      </c>
      <c r="L596" s="31" t="s">
        <v>21</v>
      </c>
      <c r="M596" s="31" t="s">
        <v>22</v>
      </c>
      <c r="N596" s="31">
        <v>10</v>
      </c>
      <c r="O596" s="31">
        <f>2024-Inventory[[#This Row],[YrBlt]]</f>
        <v>17</v>
      </c>
      <c r="P596" s="31">
        <f>2024-Inventory[[#This Row],[EffYr]]</f>
        <v>17</v>
      </c>
      <c r="Q596" s="30">
        <v>2007</v>
      </c>
      <c r="R596" s="30">
        <v>2007</v>
      </c>
      <c r="S596" s="30">
        <v>2154</v>
      </c>
      <c r="T596" s="37"/>
      <c r="U596" s="32"/>
      <c r="V596" s="32"/>
      <c r="W596" s="32"/>
      <c r="X596" s="32">
        <f>Inventory[[#This Row],[Bsmt Area]]-Inventory[[#This Row],[FnBsmt]]</f>
        <v>0</v>
      </c>
      <c r="Y596" s="32">
        <f>Inventory[[#This Row],[MainFn]]+Inventory[[#This Row],[UpprFn]]+Inventory[[#This Row],[AddFn]]+Inventory[[#This Row],[FnBsmt]]</f>
        <v>2154</v>
      </c>
      <c r="Z596" s="32">
        <v>2500</v>
      </c>
      <c r="AA596" s="31" t="s">
        <v>56</v>
      </c>
      <c r="AB596" s="32"/>
      <c r="AC596" s="30">
        <v>730</v>
      </c>
      <c r="AD596" s="32"/>
      <c r="AE596" s="32"/>
      <c r="AF596" s="32"/>
      <c r="AG596" s="32"/>
      <c r="AH596" s="32"/>
      <c r="AI596" s="30">
        <v>460344</v>
      </c>
      <c r="AJ596" s="30">
        <v>428120</v>
      </c>
      <c r="AK596" s="30">
        <v>0</v>
      </c>
      <c r="AL596" s="30">
        <v>0</v>
      </c>
      <c r="AM596" s="30">
        <v>60800</v>
      </c>
      <c r="AN596" s="30">
        <v>349000</v>
      </c>
      <c r="AO596" s="30">
        <v>409800</v>
      </c>
      <c r="AP596" s="30">
        <f>Lookups!$B$58*0.6</f>
        <v>132535.48800000001</v>
      </c>
      <c r="AQ596" s="30">
        <f>Lookups!$B$58*0.4</f>
        <v>88356.992000000013</v>
      </c>
      <c r="AR596" s="30">
        <f>Lookups!$B$59*Inventory[[#This Row],[LnAcres]]</f>
        <v>-24051.387388882686</v>
      </c>
      <c r="AS596" s="30">
        <f>VLOOKUP(Inventory[[#This Row],[Qlty]],Lookups!$A$66:$E$79,2,FALSE)</f>
        <v>32917.849192000001</v>
      </c>
      <c r="AT596" s="30">
        <f>VLOOKUP(Inventory[[#This Row],[Cnd]],Lookups!$A$80:$E$88,2,FALSE)</f>
        <v>50438.379078999998</v>
      </c>
      <c r="AU596" s="30">
        <f>Inventory[[#This Row],[EffAge]]*Lookups!$B$65</f>
        <v>-1848.5987</v>
      </c>
      <c r="AV596" s="30">
        <f>Inventory[[#This Row],[MainFn]]*Lookups!$B$90</f>
        <v>134431.95852000001</v>
      </c>
      <c r="AW596" s="30">
        <f>Inventory[[#This Row],[UpprFn]]*Lookups!$B$91</f>
        <v>0</v>
      </c>
      <c r="AX596" s="30">
        <f>Inventory[[#This Row],[Bsmt Area]]*Lookups!$B$95</f>
        <v>0</v>
      </c>
      <c r="AY596" s="30">
        <f>Inventory[[#This Row],[AttGar]]*Lookups!$B$93</f>
        <v>25769.752630000003</v>
      </c>
      <c r="AZ596" s="30">
        <f>ROUND(Inventory[[#This Row],[25Det]],-2)</f>
        <v>0</v>
      </c>
      <c r="BA596" s="30">
        <f>ROUND(SUM(Inventory[[#This Row],[Mdl Qlty]:[Mdl Garage Area]])+Inventory[[#This Row],[Mdl Res Intercept]],-2)</f>
        <v>374200</v>
      </c>
      <c r="BB596" s="30">
        <f>ROUND(Inventory[[#This Row],[Mdl Land Intercept]]+Inventory[[#This Row],[Mdl LnAcres]],-2)</f>
        <v>64300</v>
      </c>
      <c r="BC596" s="30">
        <f>Inventory[[#This Row],[Unadj Res Value]]+Inventory[[#This Row],[Unadj Det Value]]+Inventory[[#This Row],[Unadj Land Value]]</f>
        <v>438500</v>
      </c>
      <c r="BD596" s="30">
        <f>(Inventory[[#This Row],[Unadj Total Value]]-Inventory[[#This Row],[24Final]])/Inventory[[#This Row],[24Final]]</f>
        <v>7.003416300634456E-2</v>
      </c>
      <c r="BE596" s="30">
        <f>VLOOKUP(Inventory[[#This Row],[Nbhd]],Lookups!$M$3:$P$5,4,FALSE)</f>
        <v>0.99970000000000003</v>
      </c>
      <c r="BF596" s="30">
        <f>VLOOKUP(Inventory[[#This Row],[Qlty]],Lookups!$M$8:$P$22,4,FALSE)</f>
        <v>1.0019</v>
      </c>
      <c r="BG596" s="30">
        <f>VLOOKUP(Inventory[[#This Row],[Cnd]],Lookups!$R$8:$U$17,4,FALSE)</f>
        <v>1.0007999999999999</v>
      </c>
      <c r="BH596" s="30">
        <f>VLOOKUP(Inventory[[#This Row],[LivArea Range]],Lookups!$R$25:$U$43,4,FALSE)</f>
        <v>1.0008999999999999</v>
      </c>
      <c r="BI596" s="30">
        <f>VLOOKUP(Inventory[[#This Row],[Decade]],Lookups!$M$24:$P$40,4,FALSE)</f>
        <v>1.0024</v>
      </c>
      <c r="BJ596" s="30">
        <f>Inventory[[#This Row],[Nbhd Adj]]*0.95</f>
        <v>0.94971499999999998</v>
      </c>
      <c r="BK596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596" s="30">
        <f>ROUND((SUM(Inventory[[#This Row],[Mdl Qlty]:[Mdl Garage Area]])+Inventory[[#This Row],[Mdl Res Intercept]])*Inventory[[#This Row],[Res Adj ]],-2)</f>
        <v>355900</v>
      </c>
      <c r="BM596" s="30">
        <f>ROUND(Inventory[[#This Row],[25Det]]*Inventory[[#This Row],[Det/Nbhd Adj]],-2)</f>
        <v>0</v>
      </c>
      <c r="BN596" s="30">
        <f>Inventory[[#This Row],[Adjusted Res]]+Inventory[[#This Row],[Adj Det ]]</f>
        <v>355900</v>
      </c>
      <c r="BO596" s="30">
        <f>ROUND((Inventory[[#This Row],[Mdl Land Intercept]]+Inventory[[#This Row],[Mdl LnAcres]])*Inventory[[#This Row],[Det/Nbhd Adj]],-2)</f>
        <v>61100</v>
      </c>
      <c r="BP596" s="30">
        <f>Inventory[[#This Row],[Adjusted Impr Total]]+Inventory[[#This Row],[Adjusted Land Total]]</f>
        <v>417000</v>
      </c>
      <c r="BQ596" s="30">
        <f>IFERROR((Inventory[[#This Row],[Adjusted Impr Total]]-Inventory[[#This Row],[24Bldg]])/Inventory[[#This Row],[24Bldg]],0)</f>
        <v>1.9770773638968481E-2</v>
      </c>
      <c r="BR596" s="43">
        <f>(Inventory[[#This Row],[Adjusted Land Total]]-Inventory[[#This Row],[24Lnd]])/Inventory[[#This Row],[24Lnd]]</f>
        <v>4.9342105263157892E-3</v>
      </c>
      <c r="BS596" s="43">
        <f>(Inventory[[#This Row],[Adjusted Total]]-Inventory[[#This Row],[24Final]])/Inventory[[#This Row],[24Final]]</f>
        <v>1.7569546120058566E-2</v>
      </c>
    </row>
    <row r="597" spans="1:71">
      <c r="A597" s="30">
        <v>2025</v>
      </c>
      <c r="B597" s="31" t="s">
        <v>1111</v>
      </c>
      <c r="C597" s="31">
        <f>LN(Inventory[[#This Row],[Acres]])</f>
        <v>-1.8325814637483102</v>
      </c>
      <c r="D597" s="30">
        <v>0.16</v>
      </c>
      <c r="E597" s="30">
        <v>7078</v>
      </c>
      <c r="F597" s="31" t="s">
        <v>505</v>
      </c>
      <c r="G597" s="31" t="s">
        <v>155</v>
      </c>
      <c r="H597" s="31" t="s">
        <v>5</v>
      </c>
      <c r="I597" s="31" t="s">
        <v>506</v>
      </c>
      <c r="J597" s="31" t="s">
        <v>507</v>
      </c>
      <c r="K597" s="31" t="s">
        <v>193</v>
      </c>
      <c r="L597" s="31" t="s">
        <v>21</v>
      </c>
      <c r="M597" s="31" t="s">
        <v>22</v>
      </c>
      <c r="N597" s="31">
        <v>10</v>
      </c>
      <c r="O597" s="31">
        <f>2024-Inventory[[#This Row],[YrBlt]]</f>
        <v>17</v>
      </c>
      <c r="P597" s="31">
        <f>2024-Inventory[[#This Row],[EffYr]]</f>
        <v>17</v>
      </c>
      <c r="Q597" s="30">
        <v>2007</v>
      </c>
      <c r="R597" s="30">
        <v>2007</v>
      </c>
      <c r="S597" s="30">
        <v>2154</v>
      </c>
      <c r="T597" s="32"/>
      <c r="U597" s="32"/>
      <c r="V597" s="32"/>
      <c r="W597" s="32"/>
      <c r="X597" s="32">
        <f>Inventory[[#This Row],[Bsmt Area]]-Inventory[[#This Row],[FnBsmt]]</f>
        <v>0</v>
      </c>
      <c r="Y597" s="32">
        <f>Inventory[[#This Row],[MainFn]]+Inventory[[#This Row],[UpprFn]]+Inventory[[#This Row],[AddFn]]+Inventory[[#This Row],[FnBsmt]]</f>
        <v>2154</v>
      </c>
      <c r="Z597" s="32">
        <v>2500</v>
      </c>
      <c r="AA597" s="31" t="s">
        <v>56</v>
      </c>
      <c r="AB597" s="32"/>
      <c r="AC597" s="30">
        <v>730</v>
      </c>
      <c r="AD597" s="32"/>
      <c r="AE597" s="32"/>
      <c r="AF597" s="32"/>
      <c r="AG597" s="32"/>
      <c r="AH597" s="32"/>
      <c r="AI597" s="30">
        <v>456574</v>
      </c>
      <c r="AJ597" s="30">
        <v>424614</v>
      </c>
      <c r="AK597" s="30">
        <v>0</v>
      </c>
      <c r="AL597" s="30">
        <v>0</v>
      </c>
      <c r="AM597" s="30">
        <v>60800</v>
      </c>
      <c r="AN597" s="30">
        <v>349000</v>
      </c>
      <c r="AO597" s="30">
        <v>409800</v>
      </c>
      <c r="AP597" s="30">
        <f>Lookups!$B$58*0.6</f>
        <v>132535.48800000001</v>
      </c>
      <c r="AQ597" s="30">
        <f>Lookups!$B$58*0.4</f>
        <v>88356.992000000013</v>
      </c>
      <c r="AR597" s="30">
        <f>Lookups!$B$59*Inventory[[#This Row],[LnAcres]]</f>
        <v>-24051.387388882686</v>
      </c>
      <c r="AS597" s="30">
        <f>VLOOKUP(Inventory[[#This Row],[Qlty]],Lookups!$A$66:$E$79,2,FALSE)</f>
        <v>32917.849192000001</v>
      </c>
      <c r="AT597" s="30">
        <f>VLOOKUP(Inventory[[#This Row],[Cnd]],Lookups!$A$80:$E$88,2,FALSE)</f>
        <v>50438.379078999998</v>
      </c>
      <c r="AU597" s="30">
        <f>Inventory[[#This Row],[EffAge]]*Lookups!$B$65</f>
        <v>-1848.5987</v>
      </c>
      <c r="AV597" s="30">
        <f>Inventory[[#This Row],[MainFn]]*Lookups!$B$90</f>
        <v>134431.95852000001</v>
      </c>
      <c r="AW597" s="30">
        <f>Inventory[[#This Row],[UpprFn]]*Lookups!$B$91</f>
        <v>0</v>
      </c>
      <c r="AX597" s="30">
        <f>Inventory[[#This Row],[Bsmt Area]]*Lookups!$B$95</f>
        <v>0</v>
      </c>
      <c r="AY597" s="30">
        <f>Inventory[[#This Row],[AttGar]]*Lookups!$B$93</f>
        <v>25769.752630000003</v>
      </c>
      <c r="AZ597" s="30">
        <f>ROUND(Inventory[[#This Row],[25Det]],-2)</f>
        <v>0</v>
      </c>
      <c r="BA597" s="30">
        <f>ROUND(SUM(Inventory[[#This Row],[Mdl Qlty]:[Mdl Garage Area]])+Inventory[[#This Row],[Mdl Res Intercept]],-2)</f>
        <v>374200</v>
      </c>
      <c r="BB597" s="30">
        <f>ROUND(Inventory[[#This Row],[Mdl Land Intercept]]+Inventory[[#This Row],[Mdl LnAcres]],-2)</f>
        <v>64300</v>
      </c>
      <c r="BC597" s="30">
        <f>Inventory[[#This Row],[Unadj Res Value]]+Inventory[[#This Row],[Unadj Det Value]]+Inventory[[#This Row],[Unadj Land Value]]</f>
        <v>438500</v>
      </c>
      <c r="BD597" s="30">
        <f>(Inventory[[#This Row],[Unadj Total Value]]-Inventory[[#This Row],[24Final]])/Inventory[[#This Row],[24Final]]</f>
        <v>7.003416300634456E-2</v>
      </c>
      <c r="BE597" s="30">
        <f>VLOOKUP(Inventory[[#This Row],[Nbhd]],Lookups!$M$3:$P$5,4,FALSE)</f>
        <v>0.99970000000000003</v>
      </c>
      <c r="BF597" s="30">
        <f>VLOOKUP(Inventory[[#This Row],[Qlty]],Lookups!$M$8:$P$22,4,FALSE)</f>
        <v>1.0019</v>
      </c>
      <c r="BG597" s="30">
        <f>VLOOKUP(Inventory[[#This Row],[Cnd]],Lookups!$R$8:$U$17,4,FALSE)</f>
        <v>1.0007999999999999</v>
      </c>
      <c r="BH597" s="30">
        <f>VLOOKUP(Inventory[[#This Row],[LivArea Range]],Lookups!$R$25:$U$43,4,FALSE)</f>
        <v>1.0008999999999999</v>
      </c>
      <c r="BI597" s="30">
        <f>VLOOKUP(Inventory[[#This Row],[Decade]],Lookups!$M$24:$P$40,4,FALSE)</f>
        <v>1.0024</v>
      </c>
      <c r="BJ597" s="30">
        <f>Inventory[[#This Row],[Nbhd Adj]]*0.95</f>
        <v>0.94971499999999998</v>
      </c>
      <c r="BK597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597" s="30">
        <f>ROUND((SUM(Inventory[[#This Row],[Mdl Qlty]:[Mdl Garage Area]])+Inventory[[#This Row],[Mdl Res Intercept]])*Inventory[[#This Row],[Res Adj ]],-2)</f>
        <v>355900</v>
      </c>
      <c r="BM597" s="30">
        <f>ROUND(Inventory[[#This Row],[25Det]]*Inventory[[#This Row],[Det/Nbhd Adj]],-2)</f>
        <v>0</v>
      </c>
      <c r="BN597" s="30">
        <f>Inventory[[#This Row],[Adjusted Res]]+Inventory[[#This Row],[Adj Det ]]</f>
        <v>355900</v>
      </c>
      <c r="BO597" s="30">
        <f>ROUND((Inventory[[#This Row],[Mdl Land Intercept]]+Inventory[[#This Row],[Mdl LnAcres]])*Inventory[[#This Row],[Det/Nbhd Adj]],-2)</f>
        <v>61100</v>
      </c>
      <c r="BP597" s="30">
        <f>Inventory[[#This Row],[Adjusted Impr Total]]+Inventory[[#This Row],[Adjusted Land Total]]</f>
        <v>417000</v>
      </c>
      <c r="BQ597" s="30">
        <f>IFERROR((Inventory[[#This Row],[Adjusted Impr Total]]-Inventory[[#This Row],[24Bldg]])/Inventory[[#This Row],[24Bldg]],0)</f>
        <v>1.9770773638968481E-2</v>
      </c>
      <c r="BR597" s="43">
        <f>(Inventory[[#This Row],[Adjusted Land Total]]-Inventory[[#This Row],[24Lnd]])/Inventory[[#This Row],[24Lnd]]</f>
        <v>4.9342105263157892E-3</v>
      </c>
      <c r="BS597" s="43">
        <f>(Inventory[[#This Row],[Adjusted Total]]-Inventory[[#This Row],[24Final]])/Inventory[[#This Row],[24Final]]</f>
        <v>1.7569546120058566E-2</v>
      </c>
    </row>
    <row r="598" spans="1:71">
      <c r="A598" s="30">
        <v>2025</v>
      </c>
      <c r="B598" s="31" t="s">
        <v>1112</v>
      </c>
      <c r="C598" s="31">
        <f>LN(Inventory[[#This Row],[Acres]])</f>
        <v>-1.7719568419318752</v>
      </c>
      <c r="D598" s="30">
        <v>0.17</v>
      </c>
      <c r="E598" s="30">
        <v>7275</v>
      </c>
      <c r="F598" s="31" t="s">
        <v>505</v>
      </c>
      <c r="G598" s="31" t="s">
        <v>155</v>
      </c>
      <c r="H598" s="31" t="s">
        <v>5</v>
      </c>
      <c r="I598" s="31" t="s">
        <v>506</v>
      </c>
      <c r="J598" s="31" t="s">
        <v>507</v>
      </c>
      <c r="K598" s="31" t="s">
        <v>157</v>
      </c>
      <c r="L598" s="31" t="s">
        <v>21</v>
      </c>
      <c r="M598" s="31" t="s">
        <v>22</v>
      </c>
      <c r="N598" s="31">
        <v>10</v>
      </c>
      <c r="O598" s="31">
        <f>2024-Inventory[[#This Row],[YrBlt]]</f>
        <v>17</v>
      </c>
      <c r="P598" s="31">
        <f>2024-Inventory[[#This Row],[EffYr]]</f>
        <v>17</v>
      </c>
      <c r="Q598" s="30">
        <v>2007</v>
      </c>
      <c r="R598" s="30">
        <v>2007</v>
      </c>
      <c r="S598" s="30">
        <v>1374</v>
      </c>
      <c r="T598" s="38">
        <v>1332</v>
      </c>
      <c r="U598" s="32"/>
      <c r="V598" s="32"/>
      <c r="W598" s="32"/>
      <c r="X598" s="32">
        <f>Inventory[[#This Row],[Bsmt Area]]-Inventory[[#This Row],[FnBsmt]]</f>
        <v>0</v>
      </c>
      <c r="Y598" s="32">
        <f>Inventory[[#This Row],[MainFn]]+Inventory[[#This Row],[UpprFn]]+Inventory[[#This Row],[AddFn]]+Inventory[[#This Row],[FnBsmt]]</f>
        <v>2706</v>
      </c>
      <c r="Z598" s="32">
        <v>3000</v>
      </c>
      <c r="AA598" s="31" t="s">
        <v>57</v>
      </c>
      <c r="AB598" s="32"/>
      <c r="AC598" s="30">
        <v>240</v>
      </c>
      <c r="AD598" s="38">
        <v>502</v>
      </c>
      <c r="AE598" s="32"/>
      <c r="AF598" s="32"/>
      <c r="AG598" s="32"/>
      <c r="AH598" s="32"/>
      <c r="AI598" s="30">
        <v>536995</v>
      </c>
      <c r="AJ598" s="30">
        <v>499405</v>
      </c>
      <c r="AK598" s="30">
        <v>0</v>
      </c>
      <c r="AL598" s="30">
        <v>0</v>
      </c>
      <c r="AM598" s="30">
        <v>61700</v>
      </c>
      <c r="AN598" s="30">
        <v>390000</v>
      </c>
      <c r="AO598" s="30">
        <v>451700</v>
      </c>
      <c r="AP598" s="30">
        <f>Lookups!$B$58*0.6</f>
        <v>132535.48800000001</v>
      </c>
      <c r="AQ598" s="30">
        <f>Lookups!$B$58*0.4</f>
        <v>88356.992000000013</v>
      </c>
      <c r="AR598" s="30">
        <f>Lookups!$B$59*Inventory[[#This Row],[LnAcres]]</f>
        <v>-23255.730391660189</v>
      </c>
      <c r="AS598" s="30">
        <f>VLOOKUP(Inventory[[#This Row],[Qlty]],Lookups!$A$66:$E$79,2,FALSE)</f>
        <v>32917.849192000001</v>
      </c>
      <c r="AT598" s="30">
        <f>VLOOKUP(Inventory[[#This Row],[Cnd]],Lookups!$A$80:$E$88,2,FALSE)</f>
        <v>50438.379078999998</v>
      </c>
      <c r="AU598" s="30">
        <f>Inventory[[#This Row],[EffAge]]*Lookups!$B$65</f>
        <v>-1848.5987</v>
      </c>
      <c r="AV598" s="30">
        <f>Inventory[[#This Row],[MainFn]]*Lookups!$B$90</f>
        <v>85751.862120000005</v>
      </c>
      <c r="AW598" s="30">
        <f>Inventory[[#This Row],[UpprFn]]*Lookups!$B$91</f>
        <v>79361.070156000002</v>
      </c>
      <c r="AX598" s="30">
        <f>Inventory[[#This Row],[Bsmt Area]]*Lookups!$B$95</f>
        <v>0</v>
      </c>
      <c r="AY598" s="30">
        <f>Inventory[[#This Row],[AttGar]]*Lookups!$B$93</f>
        <v>8472.247440000001</v>
      </c>
      <c r="AZ598" s="30">
        <f>ROUND(Inventory[[#This Row],[25Det]],-2)</f>
        <v>0</v>
      </c>
      <c r="BA598" s="30">
        <f>ROUND(SUM(Inventory[[#This Row],[Mdl Qlty]:[Mdl Garage Area]])+Inventory[[#This Row],[Mdl Res Intercept]],-2)</f>
        <v>387600</v>
      </c>
      <c r="BB598" s="30">
        <f>ROUND(Inventory[[#This Row],[Mdl Land Intercept]]+Inventory[[#This Row],[Mdl LnAcres]],-2)</f>
        <v>65100</v>
      </c>
      <c r="BC598" s="30">
        <f>Inventory[[#This Row],[Unadj Res Value]]+Inventory[[#This Row],[Unadj Det Value]]+Inventory[[#This Row],[Unadj Land Value]]</f>
        <v>452700</v>
      </c>
      <c r="BD598" s="30">
        <f>(Inventory[[#This Row],[Unadj Total Value]]-Inventory[[#This Row],[24Final]])/Inventory[[#This Row],[24Final]]</f>
        <v>2.2138587558113792E-3</v>
      </c>
      <c r="BE598" s="30">
        <f>VLOOKUP(Inventory[[#This Row],[Nbhd]],Lookups!$M$3:$P$5,4,FALSE)</f>
        <v>0.99970000000000003</v>
      </c>
      <c r="BF598" s="30">
        <f>VLOOKUP(Inventory[[#This Row],[Qlty]],Lookups!$M$8:$P$22,4,FALSE)</f>
        <v>1.0019</v>
      </c>
      <c r="BG598" s="30">
        <f>VLOOKUP(Inventory[[#This Row],[Cnd]],Lookups!$R$8:$U$17,4,FALSE)</f>
        <v>1.0007999999999999</v>
      </c>
      <c r="BH598" s="30">
        <f>VLOOKUP(Inventory[[#This Row],[LivArea Range]],Lookups!$R$25:$U$43,4,FALSE)</f>
        <v>1.0099</v>
      </c>
      <c r="BI598" s="30">
        <f>VLOOKUP(Inventory[[#This Row],[Decade]],Lookups!$M$24:$P$40,4,FALSE)</f>
        <v>1.0024</v>
      </c>
      <c r="BJ598" s="30">
        <f>Inventory[[#This Row],[Nbhd Adj]]*0.95</f>
        <v>0.94971499999999998</v>
      </c>
      <c r="BK598" s="30">
        <f>AVERAGE(Inventory[[#This Row],[Nbhd Adj]],Inventory[[#This Row],[Quality Adj]],Inventory[[#This Row],[Condition Adj]],Inventory[[#This Row],[Living Area Adj]],Inventory[[#This Row],[Decade Adj]])*0.95</f>
        <v>0.95279299999999989</v>
      </c>
      <c r="BL598" s="30">
        <f>ROUND((SUM(Inventory[[#This Row],[Mdl Qlty]:[Mdl Garage Area]])+Inventory[[#This Row],[Mdl Res Intercept]])*Inventory[[#This Row],[Res Adj ]],-2)</f>
        <v>369300</v>
      </c>
      <c r="BM598" s="30">
        <f>ROUND(Inventory[[#This Row],[25Det]]*Inventory[[#This Row],[Det/Nbhd Adj]],-2)</f>
        <v>0</v>
      </c>
      <c r="BN598" s="30">
        <f>Inventory[[#This Row],[Adjusted Res]]+Inventory[[#This Row],[Adj Det ]]</f>
        <v>369300</v>
      </c>
      <c r="BO598" s="30">
        <f>ROUND((Inventory[[#This Row],[Mdl Land Intercept]]+Inventory[[#This Row],[Mdl LnAcres]])*Inventory[[#This Row],[Det/Nbhd Adj]],-2)</f>
        <v>61800</v>
      </c>
      <c r="BP598" s="30">
        <f>Inventory[[#This Row],[Adjusted Impr Total]]+Inventory[[#This Row],[Adjusted Land Total]]</f>
        <v>431100</v>
      </c>
      <c r="BQ598" s="30">
        <f>IFERROR((Inventory[[#This Row],[Adjusted Impr Total]]-Inventory[[#This Row],[24Bldg]])/Inventory[[#This Row],[24Bldg]],0)</f>
        <v>-5.3076923076923077E-2</v>
      </c>
      <c r="BR598" s="43">
        <f>(Inventory[[#This Row],[Adjusted Land Total]]-Inventory[[#This Row],[24Lnd]])/Inventory[[#This Row],[24Lnd]]</f>
        <v>1.6207455429497568E-3</v>
      </c>
      <c r="BS598" s="43">
        <f>(Inventory[[#This Row],[Adjusted Total]]-Inventory[[#This Row],[24Final]])/Inventory[[#This Row],[24Final]]</f>
        <v>-4.560549036971441E-2</v>
      </c>
    </row>
    <row r="599" spans="1:71">
      <c r="A599" s="30">
        <v>2025</v>
      </c>
      <c r="B599" s="31" t="s">
        <v>1113</v>
      </c>
      <c r="C599" s="31">
        <f>LN(Inventory[[#This Row],[Acres]])</f>
        <v>-1.7719568419318752</v>
      </c>
      <c r="D599" s="30">
        <v>0.17</v>
      </c>
      <c r="E599" s="30">
        <v>7258</v>
      </c>
      <c r="F599" s="31" t="s">
        <v>505</v>
      </c>
      <c r="G599" s="31" t="s">
        <v>155</v>
      </c>
      <c r="H599" s="31" t="s">
        <v>5</v>
      </c>
      <c r="I599" s="31" t="s">
        <v>506</v>
      </c>
      <c r="J599" s="31" t="s">
        <v>507</v>
      </c>
      <c r="K599" s="31" t="s">
        <v>157</v>
      </c>
      <c r="L599" s="31" t="s">
        <v>21</v>
      </c>
      <c r="M599" s="31" t="s">
        <v>22</v>
      </c>
      <c r="N599" s="31">
        <v>10</v>
      </c>
      <c r="O599" s="31">
        <f>2024-Inventory[[#This Row],[YrBlt]]</f>
        <v>17</v>
      </c>
      <c r="P599" s="31">
        <f>2024-Inventory[[#This Row],[EffYr]]</f>
        <v>17</v>
      </c>
      <c r="Q599" s="30">
        <v>2007</v>
      </c>
      <c r="R599" s="30">
        <v>2007</v>
      </c>
      <c r="S599" s="30">
        <v>1116</v>
      </c>
      <c r="T599" s="30">
        <v>1116</v>
      </c>
      <c r="U599" s="32"/>
      <c r="V599" s="32"/>
      <c r="W599" s="32"/>
      <c r="X599" s="32">
        <f>Inventory[[#This Row],[Bsmt Area]]-Inventory[[#This Row],[FnBsmt]]</f>
        <v>0</v>
      </c>
      <c r="Y599" s="32">
        <f>Inventory[[#This Row],[MainFn]]+Inventory[[#This Row],[UpprFn]]+Inventory[[#This Row],[AddFn]]+Inventory[[#This Row],[FnBsmt]]</f>
        <v>2232</v>
      </c>
      <c r="Z599" s="32">
        <v>2500</v>
      </c>
      <c r="AA599" s="31" t="s">
        <v>57</v>
      </c>
      <c r="AB599" s="38">
        <v>1</v>
      </c>
      <c r="AC599" s="30">
        <v>704</v>
      </c>
      <c r="AD599" s="32"/>
      <c r="AE599" s="32"/>
      <c r="AF599" s="32"/>
      <c r="AG599" s="32"/>
      <c r="AH599" s="32"/>
      <c r="AI599" s="30">
        <v>458492</v>
      </c>
      <c r="AJ599" s="30">
        <v>426398</v>
      </c>
      <c r="AK599" s="30">
        <v>0</v>
      </c>
      <c r="AL599" s="30">
        <v>0</v>
      </c>
      <c r="AM599" s="30">
        <v>61700</v>
      </c>
      <c r="AN599" s="30">
        <v>363200</v>
      </c>
      <c r="AO599" s="30">
        <v>424900</v>
      </c>
      <c r="AP599" s="30">
        <f>Lookups!$B$58*0.6</f>
        <v>132535.48800000001</v>
      </c>
      <c r="AQ599" s="30">
        <f>Lookups!$B$58*0.4</f>
        <v>88356.992000000013</v>
      </c>
      <c r="AR599" s="30">
        <f>Lookups!$B$59*Inventory[[#This Row],[LnAcres]]</f>
        <v>-23255.730391660189</v>
      </c>
      <c r="AS599" s="30">
        <f>VLOOKUP(Inventory[[#This Row],[Qlty]],Lookups!$A$66:$E$79,2,FALSE)</f>
        <v>32917.849192000001</v>
      </c>
      <c r="AT599" s="30">
        <f>VLOOKUP(Inventory[[#This Row],[Cnd]],Lookups!$A$80:$E$88,2,FALSE)</f>
        <v>50438.379078999998</v>
      </c>
      <c r="AU599" s="30">
        <f>Inventory[[#This Row],[EffAge]]*Lookups!$B$65</f>
        <v>-1848.5987</v>
      </c>
      <c r="AV599" s="30">
        <f>Inventory[[#This Row],[MainFn]]*Lookups!$B$90</f>
        <v>69649.984080000009</v>
      </c>
      <c r="AW599" s="30">
        <f>Inventory[[#This Row],[UpprFn]]*Lookups!$B$91</f>
        <v>66491.707427999994</v>
      </c>
      <c r="AX599" s="30">
        <f>Inventory[[#This Row],[Bsmt Area]]*Lookups!$B$95</f>
        <v>0</v>
      </c>
      <c r="AY599" s="30">
        <f>Inventory[[#This Row],[AttGar]]*Lookups!$B$93</f>
        <v>24851.925824000002</v>
      </c>
      <c r="AZ599" s="30">
        <f>ROUND(Inventory[[#This Row],[25Det]],-2)</f>
        <v>0</v>
      </c>
      <c r="BA599" s="30">
        <f>ROUND(SUM(Inventory[[#This Row],[Mdl Qlty]:[Mdl Garage Area]])+Inventory[[#This Row],[Mdl Res Intercept]],-2)</f>
        <v>375000</v>
      </c>
      <c r="BB599" s="30">
        <f>ROUND(Inventory[[#This Row],[Mdl Land Intercept]]+Inventory[[#This Row],[Mdl LnAcres]],-2)</f>
        <v>65100</v>
      </c>
      <c r="BC599" s="30">
        <f>Inventory[[#This Row],[Unadj Res Value]]+Inventory[[#This Row],[Unadj Det Value]]+Inventory[[#This Row],[Unadj Land Value]]</f>
        <v>440100</v>
      </c>
      <c r="BD599" s="30">
        <f>(Inventory[[#This Row],[Unadj Total Value]]-Inventory[[#This Row],[24Final]])/Inventory[[#This Row],[24Final]]</f>
        <v>3.5773123087785359E-2</v>
      </c>
      <c r="BE599" s="30">
        <f>VLOOKUP(Inventory[[#This Row],[Nbhd]],Lookups!$M$3:$P$5,4,FALSE)</f>
        <v>0.99970000000000003</v>
      </c>
      <c r="BF599" s="30">
        <f>VLOOKUP(Inventory[[#This Row],[Qlty]],Lookups!$M$8:$P$22,4,FALSE)</f>
        <v>1.0019</v>
      </c>
      <c r="BG599" s="30">
        <f>VLOOKUP(Inventory[[#This Row],[Cnd]],Lookups!$R$8:$U$17,4,FALSE)</f>
        <v>1.0007999999999999</v>
      </c>
      <c r="BH599" s="30">
        <f>VLOOKUP(Inventory[[#This Row],[LivArea Range]],Lookups!$R$25:$U$43,4,FALSE)</f>
        <v>1.0008999999999999</v>
      </c>
      <c r="BI599" s="30">
        <f>VLOOKUP(Inventory[[#This Row],[Decade]],Lookups!$M$24:$P$40,4,FALSE)</f>
        <v>1.0024</v>
      </c>
      <c r="BJ599" s="30">
        <f>Inventory[[#This Row],[Nbhd Adj]]*0.95</f>
        <v>0.94971499999999998</v>
      </c>
      <c r="BK599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599" s="30">
        <f>ROUND((SUM(Inventory[[#This Row],[Mdl Qlty]:[Mdl Garage Area]])+Inventory[[#This Row],[Mdl Res Intercept]])*Inventory[[#This Row],[Res Adj ]],-2)</f>
        <v>356700</v>
      </c>
      <c r="BM599" s="30">
        <f>ROUND(Inventory[[#This Row],[25Det]]*Inventory[[#This Row],[Det/Nbhd Adj]],-2)</f>
        <v>0</v>
      </c>
      <c r="BN599" s="30">
        <f>Inventory[[#This Row],[Adjusted Res]]+Inventory[[#This Row],[Adj Det ]]</f>
        <v>356700</v>
      </c>
      <c r="BO599" s="30">
        <f>ROUND((Inventory[[#This Row],[Mdl Land Intercept]]+Inventory[[#This Row],[Mdl LnAcres]])*Inventory[[#This Row],[Det/Nbhd Adj]],-2)</f>
        <v>61800</v>
      </c>
      <c r="BP599" s="30">
        <f>Inventory[[#This Row],[Adjusted Impr Total]]+Inventory[[#This Row],[Adjusted Land Total]]</f>
        <v>418500</v>
      </c>
      <c r="BQ599" s="30">
        <f>IFERROR((Inventory[[#This Row],[Adjusted Impr Total]]-Inventory[[#This Row],[24Bldg]])/Inventory[[#This Row],[24Bldg]],0)</f>
        <v>-1.789647577092511E-2</v>
      </c>
      <c r="BR599" s="43">
        <f>(Inventory[[#This Row],[Adjusted Land Total]]-Inventory[[#This Row],[24Lnd]])/Inventory[[#This Row],[24Lnd]]</f>
        <v>1.6207455429497568E-3</v>
      </c>
      <c r="BS599" s="43">
        <f>(Inventory[[#This Row],[Adjusted Total]]-Inventory[[#This Row],[24Final]])/Inventory[[#This Row],[24Final]]</f>
        <v>-1.5062367615909626E-2</v>
      </c>
    </row>
    <row r="600" spans="1:71">
      <c r="A600" s="30">
        <v>2025</v>
      </c>
      <c r="B600" s="31" t="s">
        <v>1114</v>
      </c>
      <c r="C600" s="31">
        <f>LN(Inventory[[#This Row],[Acres]])</f>
        <v>-1.7719568419318752</v>
      </c>
      <c r="D600" s="30">
        <v>0.17</v>
      </c>
      <c r="E600" s="30">
        <v>7259</v>
      </c>
      <c r="F600" s="31" t="s">
        <v>505</v>
      </c>
      <c r="G600" s="31" t="s">
        <v>155</v>
      </c>
      <c r="H600" s="31" t="s">
        <v>5</v>
      </c>
      <c r="I600" s="31" t="s">
        <v>506</v>
      </c>
      <c r="J600" s="31" t="s">
        <v>507</v>
      </c>
      <c r="K600" s="31" t="s">
        <v>157</v>
      </c>
      <c r="L600" s="31" t="s">
        <v>21</v>
      </c>
      <c r="M600" s="31" t="s">
        <v>22</v>
      </c>
      <c r="N600" s="31">
        <v>10</v>
      </c>
      <c r="O600" s="31">
        <f>2024-Inventory[[#This Row],[YrBlt]]</f>
        <v>17</v>
      </c>
      <c r="P600" s="31">
        <f>2024-Inventory[[#This Row],[EffYr]]</f>
        <v>17</v>
      </c>
      <c r="Q600" s="30">
        <v>2007</v>
      </c>
      <c r="R600" s="30">
        <v>2007</v>
      </c>
      <c r="S600" s="30">
        <v>1116</v>
      </c>
      <c r="T600" s="30">
        <v>1116</v>
      </c>
      <c r="U600" s="32"/>
      <c r="V600" s="32"/>
      <c r="W600" s="32"/>
      <c r="X600" s="32">
        <f>Inventory[[#This Row],[Bsmt Area]]-Inventory[[#This Row],[FnBsmt]]</f>
        <v>0</v>
      </c>
      <c r="Y600" s="32">
        <f>Inventory[[#This Row],[MainFn]]+Inventory[[#This Row],[UpprFn]]+Inventory[[#This Row],[AddFn]]+Inventory[[#This Row],[FnBsmt]]</f>
        <v>2232</v>
      </c>
      <c r="Z600" s="32">
        <v>2500</v>
      </c>
      <c r="AA600" s="31" t="s">
        <v>57</v>
      </c>
      <c r="AB600" s="38">
        <v>1</v>
      </c>
      <c r="AC600" s="30">
        <v>440</v>
      </c>
      <c r="AD600" s="32"/>
      <c r="AE600" s="32"/>
      <c r="AF600" s="32"/>
      <c r="AG600" s="32"/>
      <c r="AH600" s="32"/>
      <c r="AI600" s="30">
        <v>445282</v>
      </c>
      <c r="AJ600" s="30">
        <v>414112</v>
      </c>
      <c r="AK600" s="30">
        <v>0</v>
      </c>
      <c r="AL600" s="30">
        <v>0</v>
      </c>
      <c r="AM600" s="30">
        <v>61700</v>
      </c>
      <c r="AN600" s="30">
        <v>351800</v>
      </c>
      <c r="AO600" s="30">
        <v>413500</v>
      </c>
      <c r="AP600" s="30">
        <f>Lookups!$B$58*0.6</f>
        <v>132535.48800000001</v>
      </c>
      <c r="AQ600" s="30">
        <f>Lookups!$B$58*0.4</f>
        <v>88356.992000000013</v>
      </c>
      <c r="AR600" s="30">
        <f>Lookups!$B$59*Inventory[[#This Row],[LnAcres]]</f>
        <v>-23255.730391660189</v>
      </c>
      <c r="AS600" s="30">
        <f>VLOOKUP(Inventory[[#This Row],[Qlty]],Lookups!$A$66:$E$79,2,FALSE)</f>
        <v>32917.849192000001</v>
      </c>
      <c r="AT600" s="30">
        <f>VLOOKUP(Inventory[[#This Row],[Cnd]],Lookups!$A$80:$E$88,2,FALSE)</f>
        <v>50438.379078999998</v>
      </c>
      <c r="AU600" s="30">
        <f>Inventory[[#This Row],[EffAge]]*Lookups!$B$65</f>
        <v>-1848.5987</v>
      </c>
      <c r="AV600" s="30">
        <f>Inventory[[#This Row],[MainFn]]*Lookups!$B$90</f>
        <v>69649.984080000009</v>
      </c>
      <c r="AW600" s="30">
        <f>Inventory[[#This Row],[UpprFn]]*Lookups!$B$91</f>
        <v>66491.707427999994</v>
      </c>
      <c r="AX600" s="30">
        <f>Inventory[[#This Row],[Bsmt Area]]*Lookups!$B$95</f>
        <v>0</v>
      </c>
      <c r="AY600" s="30">
        <f>Inventory[[#This Row],[AttGar]]*Lookups!$B$93</f>
        <v>15532.453640000002</v>
      </c>
      <c r="AZ600" s="30">
        <f>ROUND(Inventory[[#This Row],[25Det]],-2)</f>
        <v>0</v>
      </c>
      <c r="BA600" s="30">
        <f>ROUND(SUM(Inventory[[#This Row],[Mdl Qlty]:[Mdl Garage Area]])+Inventory[[#This Row],[Mdl Res Intercept]],-2)</f>
        <v>365700</v>
      </c>
      <c r="BB600" s="30">
        <f>ROUND(Inventory[[#This Row],[Mdl Land Intercept]]+Inventory[[#This Row],[Mdl LnAcres]],-2)</f>
        <v>65100</v>
      </c>
      <c r="BC600" s="30">
        <f>Inventory[[#This Row],[Unadj Res Value]]+Inventory[[#This Row],[Unadj Det Value]]+Inventory[[#This Row],[Unadj Land Value]]</f>
        <v>430800</v>
      </c>
      <c r="BD600" s="30">
        <f>(Inventory[[#This Row],[Unadj Total Value]]-Inventory[[#This Row],[24Final]])/Inventory[[#This Row],[24Final]]</f>
        <v>4.1837968561064087E-2</v>
      </c>
      <c r="BE600" s="30">
        <f>VLOOKUP(Inventory[[#This Row],[Nbhd]],Lookups!$M$3:$P$5,4,FALSE)</f>
        <v>0.99970000000000003</v>
      </c>
      <c r="BF600" s="30">
        <f>VLOOKUP(Inventory[[#This Row],[Qlty]],Lookups!$M$8:$P$22,4,FALSE)</f>
        <v>1.0019</v>
      </c>
      <c r="BG600" s="30">
        <f>VLOOKUP(Inventory[[#This Row],[Cnd]],Lookups!$R$8:$U$17,4,FALSE)</f>
        <v>1.0007999999999999</v>
      </c>
      <c r="BH600" s="30">
        <f>VLOOKUP(Inventory[[#This Row],[LivArea Range]],Lookups!$R$25:$U$43,4,FALSE)</f>
        <v>1.0008999999999999</v>
      </c>
      <c r="BI600" s="30">
        <f>VLOOKUP(Inventory[[#This Row],[Decade]],Lookups!$M$24:$P$40,4,FALSE)</f>
        <v>1.0024</v>
      </c>
      <c r="BJ600" s="30">
        <f>Inventory[[#This Row],[Nbhd Adj]]*0.95</f>
        <v>0.94971499999999998</v>
      </c>
      <c r="BK600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600" s="30">
        <f>ROUND((SUM(Inventory[[#This Row],[Mdl Qlty]:[Mdl Garage Area]])+Inventory[[#This Row],[Mdl Res Intercept]])*Inventory[[#This Row],[Res Adj ]],-2)</f>
        <v>347800</v>
      </c>
      <c r="BM600" s="30">
        <f>ROUND(Inventory[[#This Row],[25Det]]*Inventory[[#This Row],[Det/Nbhd Adj]],-2)</f>
        <v>0</v>
      </c>
      <c r="BN600" s="30">
        <f>Inventory[[#This Row],[Adjusted Res]]+Inventory[[#This Row],[Adj Det ]]</f>
        <v>347800</v>
      </c>
      <c r="BO600" s="30">
        <f>ROUND((Inventory[[#This Row],[Mdl Land Intercept]]+Inventory[[#This Row],[Mdl LnAcres]])*Inventory[[#This Row],[Det/Nbhd Adj]],-2)</f>
        <v>61800</v>
      </c>
      <c r="BP600" s="30">
        <f>Inventory[[#This Row],[Adjusted Impr Total]]+Inventory[[#This Row],[Adjusted Land Total]]</f>
        <v>409600</v>
      </c>
      <c r="BQ600" s="30">
        <f>IFERROR((Inventory[[#This Row],[Adjusted Impr Total]]-Inventory[[#This Row],[24Bldg]])/Inventory[[#This Row],[24Bldg]],0)</f>
        <v>-1.137009664582149E-2</v>
      </c>
      <c r="BR600" s="43">
        <f>(Inventory[[#This Row],[Adjusted Land Total]]-Inventory[[#This Row],[24Lnd]])/Inventory[[#This Row],[24Lnd]]</f>
        <v>1.6207455429497568E-3</v>
      </c>
      <c r="BS600" s="43">
        <f>(Inventory[[#This Row],[Adjusted Total]]-Inventory[[#This Row],[24Final]])/Inventory[[#This Row],[24Final]]</f>
        <v>-9.4316807738815001E-3</v>
      </c>
    </row>
    <row r="601" spans="1:71">
      <c r="A601" s="30">
        <v>2025</v>
      </c>
      <c r="B601" s="31" t="s">
        <v>1115</v>
      </c>
      <c r="C601" s="31">
        <f>LN(Inventory[[#This Row],[Acres]])</f>
        <v>-1.7719568419318752</v>
      </c>
      <c r="D601" s="30">
        <v>0.17</v>
      </c>
      <c r="E601" s="30">
        <v>7297</v>
      </c>
      <c r="F601" s="31" t="s">
        <v>505</v>
      </c>
      <c r="G601" s="31" t="s">
        <v>155</v>
      </c>
      <c r="H601" s="31" t="s">
        <v>5</v>
      </c>
      <c r="I601" s="31" t="s">
        <v>506</v>
      </c>
      <c r="J601" s="31" t="s">
        <v>507</v>
      </c>
      <c r="K601" s="31" t="s">
        <v>193</v>
      </c>
      <c r="L601" s="31" t="s">
        <v>21</v>
      </c>
      <c r="M601" s="31" t="s">
        <v>22</v>
      </c>
      <c r="N601" s="31">
        <v>10</v>
      </c>
      <c r="O601" s="31">
        <f>2024-Inventory[[#This Row],[YrBlt]]</f>
        <v>17</v>
      </c>
      <c r="P601" s="31">
        <f>2024-Inventory[[#This Row],[EffYr]]</f>
        <v>17</v>
      </c>
      <c r="Q601" s="30">
        <v>2007</v>
      </c>
      <c r="R601" s="30">
        <v>2007</v>
      </c>
      <c r="S601" s="30">
        <v>1732</v>
      </c>
      <c r="T601" s="37"/>
      <c r="U601" s="32"/>
      <c r="V601" s="32"/>
      <c r="W601" s="32"/>
      <c r="X601" s="32">
        <f>Inventory[[#This Row],[Bsmt Area]]-Inventory[[#This Row],[FnBsmt]]</f>
        <v>0</v>
      </c>
      <c r="Y601" s="32">
        <f>Inventory[[#This Row],[MainFn]]+Inventory[[#This Row],[UpprFn]]+Inventory[[#This Row],[AddFn]]+Inventory[[#This Row],[FnBsmt]]</f>
        <v>1732</v>
      </c>
      <c r="Z601" s="32">
        <v>2000</v>
      </c>
      <c r="AA601" s="31" t="s">
        <v>57</v>
      </c>
      <c r="AB601" s="38">
        <v>1</v>
      </c>
      <c r="AC601" s="30">
        <v>440</v>
      </c>
      <c r="AD601" s="32"/>
      <c r="AE601" s="32"/>
      <c r="AF601" s="32"/>
      <c r="AG601" s="32"/>
      <c r="AH601" s="32"/>
      <c r="AI601" s="30">
        <v>379844</v>
      </c>
      <c r="AJ601" s="30">
        <v>353255</v>
      </c>
      <c r="AK601" s="30">
        <v>0</v>
      </c>
      <c r="AL601" s="30">
        <v>0</v>
      </c>
      <c r="AM601" s="30">
        <v>61700</v>
      </c>
      <c r="AN601" s="30">
        <v>321300</v>
      </c>
      <c r="AO601" s="30">
        <v>383000</v>
      </c>
      <c r="AP601" s="30">
        <f>Lookups!$B$58*0.6</f>
        <v>132535.48800000001</v>
      </c>
      <c r="AQ601" s="30">
        <f>Lookups!$B$58*0.4</f>
        <v>88356.992000000013</v>
      </c>
      <c r="AR601" s="30">
        <f>Lookups!$B$59*Inventory[[#This Row],[LnAcres]]</f>
        <v>-23255.730391660189</v>
      </c>
      <c r="AS601" s="30">
        <f>VLOOKUP(Inventory[[#This Row],[Qlty]],Lookups!$A$66:$E$79,2,FALSE)</f>
        <v>32917.849192000001</v>
      </c>
      <c r="AT601" s="30">
        <f>VLOOKUP(Inventory[[#This Row],[Cnd]],Lookups!$A$80:$E$88,2,FALSE)</f>
        <v>50438.379078999998</v>
      </c>
      <c r="AU601" s="30">
        <f>Inventory[[#This Row],[EffAge]]*Lookups!$B$65</f>
        <v>-1848.5987</v>
      </c>
      <c r="AV601" s="30">
        <f>Inventory[[#This Row],[MainFn]]*Lookups!$B$90</f>
        <v>108094.77816</v>
      </c>
      <c r="AW601" s="30">
        <f>Inventory[[#This Row],[UpprFn]]*Lookups!$B$91</f>
        <v>0</v>
      </c>
      <c r="AX601" s="30">
        <f>Inventory[[#This Row],[Bsmt Area]]*Lookups!$B$95</f>
        <v>0</v>
      </c>
      <c r="AY601" s="30">
        <f>Inventory[[#This Row],[AttGar]]*Lookups!$B$93</f>
        <v>15532.453640000002</v>
      </c>
      <c r="AZ601" s="30">
        <f>ROUND(Inventory[[#This Row],[25Det]],-2)</f>
        <v>0</v>
      </c>
      <c r="BA601" s="30">
        <f>ROUND(SUM(Inventory[[#This Row],[Mdl Qlty]:[Mdl Garage Area]])+Inventory[[#This Row],[Mdl Res Intercept]],-2)</f>
        <v>337700</v>
      </c>
      <c r="BB601" s="30">
        <f>ROUND(Inventory[[#This Row],[Mdl Land Intercept]]+Inventory[[#This Row],[Mdl LnAcres]],-2)</f>
        <v>65100</v>
      </c>
      <c r="BC601" s="30">
        <f>Inventory[[#This Row],[Unadj Res Value]]+Inventory[[#This Row],[Unadj Det Value]]+Inventory[[#This Row],[Unadj Land Value]]</f>
        <v>402800</v>
      </c>
      <c r="BD601" s="30">
        <f>(Inventory[[#This Row],[Unadj Total Value]]-Inventory[[#This Row],[24Final]])/Inventory[[#This Row],[24Final]]</f>
        <v>5.1697127937336815E-2</v>
      </c>
      <c r="BE601" s="30">
        <f>VLOOKUP(Inventory[[#This Row],[Nbhd]],Lookups!$M$3:$P$5,4,FALSE)</f>
        <v>0.99970000000000003</v>
      </c>
      <c r="BF601" s="30">
        <f>VLOOKUP(Inventory[[#This Row],[Qlty]],Lookups!$M$8:$P$22,4,FALSE)</f>
        <v>1.0019</v>
      </c>
      <c r="BG601" s="30">
        <f>VLOOKUP(Inventory[[#This Row],[Cnd]],Lookups!$R$8:$U$17,4,FALSE)</f>
        <v>1.0007999999999999</v>
      </c>
      <c r="BH601" s="30">
        <f>VLOOKUP(Inventory[[#This Row],[LivArea Range]],Lookups!$R$25:$U$43,4,FALSE)</f>
        <v>1.0007999999999999</v>
      </c>
      <c r="BI601" s="30">
        <f>VLOOKUP(Inventory[[#This Row],[Decade]],Lookups!$M$24:$P$40,4,FALSE)</f>
        <v>1.0024</v>
      </c>
      <c r="BJ601" s="30">
        <f>Inventory[[#This Row],[Nbhd Adj]]*0.95</f>
        <v>0.94971499999999998</v>
      </c>
      <c r="BK601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601" s="30">
        <f>ROUND((SUM(Inventory[[#This Row],[Mdl Qlty]:[Mdl Garage Area]])+Inventory[[#This Row],[Mdl Res Intercept]])*Inventory[[#This Row],[Res Adj ]],-2)</f>
        <v>321100</v>
      </c>
      <c r="BM601" s="30">
        <f>ROUND(Inventory[[#This Row],[25Det]]*Inventory[[#This Row],[Det/Nbhd Adj]],-2)</f>
        <v>0</v>
      </c>
      <c r="BN601" s="30">
        <f>Inventory[[#This Row],[Adjusted Res]]+Inventory[[#This Row],[Adj Det ]]</f>
        <v>321100</v>
      </c>
      <c r="BO601" s="30">
        <f>ROUND((Inventory[[#This Row],[Mdl Land Intercept]]+Inventory[[#This Row],[Mdl LnAcres]])*Inventory[[#This Row],[Det/Nbhd Adj]],-2)</f>
        <v>61800</v>
      </c>
      <c r="BP601" s="30">
        <f>Inventory[[#This Row],[Adjusted Impr Total]]+Inventory[[#This Row],[Adjusted Land Total]]</f>
        <v>382900</v>
      </c>
      <c r="BQ601" s="30">
        <f>IFERROR((Inventory[[#This Row],[Adjusted Impr Total]]-Inventory[[#This Row],[24Bldg]])/Inventory[[#This Row],[24Bldg]],0)</f>
        <v>-6.2247121070650485E-4</v>
      </c>
      <c r="BR601" s="43">
        <f>(Inventory[[#This Row],[Adjusted Land Total]]-Inventory[[#This Row],[24Lnd]])/Inventory[[#This Row],[24Lnd]]</f>
        <v>1.6207455429497568E-3</v>
      </c>
      <c r="BS601" s="43">
        <f>(Inventory[[#This Row],[Adjusted Total]]-Inventory[[#This Row],[24Final]])/Inventory[[#This Row],[24Final]]</f>
        <v>-2.6109660574412532E-4</v>
      </c>
    </row>
    <row r="602" spans="1:71">
      <c r="A602" s="30">
        <v>2025</v>
      </c>
      <c r="B602" s="31" t="s">
        <v>1116</v>
      </c>
      <c r="C602" s="31">
        <f>LN(Inventory[[#This Row],[Acres]])</f>
        <v>-1.7719568419318752</v>
      </c>
      <c r="D602" s="30">
        <v>0.17</v>
      </c>
      <c r="E602" s="30">
        <v>7320</v>
      </c>
      <c r="F602" s="31" t="s">
        <v>505</v>
      </c>
      <c r="G602" s="31" t="s">
        <v>155</v>
      </c>
      <c r="H602" s="31" t="s">
        <v>5</v>
      </c>
      <c r="I602" s="31" t="s">
        <v>506</v>
      </c>
      <c r="J602" s="31" t="s">
        <v>507</v>
      </c>
      <c r="K602" s="31" t="s">
        <v>193</v>
      </c>
      <c r="L602" s="31" t="s">
        <v>21</v>
      </c>
      <c r="M602" s="31" t="s">
        <v>22</v>
      </c>
      <c r="N602" s="31">
        <v>10</v>
      </c>
      <c r="O602" s="31">
        <f>2024-Inventory[[#This Row],[YrBlt]]</f>
        <v>17</v>
      </c>
      <c r="P602" s="31">
        <f>2024-Inventory[[#This Row],[EffYr]]</f>
        <v>17</v>
      </c>
      <c r="Q602" s="30">
        <v>2007</v>
      </c>
      <c r="R602" s="30">
        <v>2007</v>
      </c>
      <c r="S602" s="30">
        <v>1706</v>
      </c>
      <c r="T602" s="32"/>
      <c r="U602" s="32"/>
      <c r="V602" s="32"/>
      <c r="W602" s="32"/>
      <c r="X602" s="32">
        <f>Inventory[[#This Row],[Bsmt Area]]-Inventory[[#This Row],[FnBsmt]]</f>
        <v>0</v>
      </c>
      <c r="Y602" s="32">
        <f>Inventory[[#This Row],[MainFn]]+Inventory[[#This Row],[UpprFn]]+Inventory[[#This Row],[AddFn]]+Inventory[[#This Row],[FnBsmt]]</f>
        <v>1706</v>
      </c>
      <c r="Z602" s="32">
        <v>2000</v>
      </c>
      <c r="AA602" s="31" t="s">
        <v>55</v>
      </c>
      <c r="AB602" s="30">
        <v>1</v>
      </c>
      <c r="AC602" s="30">
        <v>706</v>
      </c>
      <c r="AD602" s="32"/>
      <c r="AE602" s="32"/>
      <c r="AF602" s="32"/>
      <c r="AG602" s="32"/>
      <c r="AH602" s="32"/>
      <c r="AI602" s="30">
        <v>391690</v>
      </c>
      <c r="AJ602" s="30">
        <v>364272</v>
      </c>
      <c r="AK602" s="30">
        <v>0</v>
      </c>
      <c r="AL602" s="30">
        <v>0</v>
      </c>
      <c r="AM602" s="30">
        <v>61700</v>
      </c>
      <c r="AN602" s="30">
        <v>333100</v>
      </c>
      <c r="AO602" s="30">
        <v>394800</v>
      </c>
      <c r="AP602" s="30">
        <f>Lookups!$B$58*0.6</f>
        <v>132535.48800000001</v>
      </c>
      <c r="AQ602" s="30">
        <f>Lookups!$B$58*0.4</f>
        <v>88356.992000000013</v>
      </c>
      <c r="AR602" s="30">
        <f>Lookups!$B$59*Inventory[[#This Row],[LnAcres]]</f>
        <v>-23255.730391660189</v>
      </c>
      <c r="AS602" s="30">
        <f>VLOOKUP(Inventory[[#This Row],[Qlty]],Lookups!$A$66:$E$79,2,FALSE)</f>
        <v>32917.849192000001</v>
      </c>
      <c r="AT602" s="30">
        <f>VLOOKUP(Inventory[[#This Row],[Cnd]],Lookups!$A$80:$E$88,2,FALSE)</f>
        <v>50438.379078999998</v>
      </c>
      <c r="AU602" s="30">
        <f>Inventory[[#This Row],[EffAge]]*Lookups!$B$65</f>
        <v>-1848.5987</v>
      </c>
      <c r="AV602" s="30">
        <f>Inventory[[#This Row],[MainFn]]*Lookups!$B$90</f>
        <v>106472.10828</v>
      </c>
      <c r="AW602" s="30">
        <f>Inventory[[#This Row],[UpprFn]]*Lookups!$B$91</f>
        <v>0</v>
      </c>
      <c r="AX602" s="30">
        <f>Inventory[[#This Row],[Bsmt Area]]*Lookups!$B$95</f>
        <v>0</v>
      </c>
      <c r="AY602" s="30">
        <f>Inventory[[#This Row],[AttGar]]*Lookups!$B$93</f>
        <v>24922.527886</v>
      </c>
      <c r="AZ602" s="30">
        <f>ROUND(Inventory[[#This Row],[25Det]],-2)</f>
        <v>0</v>
      </c>
      <c r="BA602" s="30">
        <f>ROUND(SUM(Inventory[[#This Row],[Mdl Qlty]:[Mdl Garage Area]])+Inventory[[#This Row],[Mdl Res Intercept]],-2)</f>
        <v>345400</v>
      </c>
      <c r="BB602" s="30">
        <f>ROUND(Inventory[[#This Row],[Mdl Land Intercept]]+Inventory[[#This Row],[Mdl LnAcres]],-2)</f>
        <v>65100</v>
      </c>
      <c r="BC602" s="30">
        <f>Inventory[[#This Row],[Unadj Res Value]]+Inventory[[#This Row],[Unadj Det Value]]+Inventory[[#This Row],[Unadj Land Value]]</f>
        <v>410500</v>
      </c>
      <c r="BD602" s="30">
        <f>(Inventory[[#This Row],[Unadj Total Value]]-Inventory[[#This Row],[24Final]])/Inventory[[#This Row],[24Final]]</f>
        <v>3.9766970618034449E-2</v>
      </c>
      <c r="BE602" s="30">
        <f>VLOOKUP(Inventory[[#This Row],[Nbhd]],Lookups!$M$3:$P$5,4,FALSE)</f>
        <v>0.99970000000000003</v>
      </c>
      <c r="BF602" s="30">
        <f>VLOOKUP(Inventory[[#This Row],[Qlty]],Lookups!$M$8:$P$22,4,FALSE)</f>
        <v>1.0019</v>
      </c>
      <c r="BG602" s="30">
        <f>VLOOKUP(Inventory[[#This Row],[Cnd]],Lookups!$R$8:$U$17,4,FALSE)</f>
        <v>1.0007999999999999</v>
      </c>
      <c r="BH602" s="30">
        <f>VLOOKUP(Inventory[[#This Row],[LivArea Range]],Lookups!$R$25:$U$43,4,FALSE)</f>
        <v>1.0007999999999999</v>
      </c>
      <c r="BI602" s="30">
        <f>VLOOKUP(Inventory[[#This Row],[Decade]],Lookups!$M$24:$P$40,4,FALSE)</f>
        <v>1.0024</v>
      </c>
      <c r="BJ602" s="30">
        <f>Inventory[[#This Row],[Nbhd Adj]]*0.95</f>
        <v>0.94971499999999998</v>
      </c>
      <c r="BK602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602" s="30">
        <f>ROUND((SUM(Inventory[[#This Row],[Mdl Qlty]:[Mdl Garage Area]])+Inventory[[#This Row],[Mdl Res Intercept]])*Inventory[[#This Row],[Res Adj ]],-2)</f>
        <v>328500</v>
      </c>
      <c r="BM602" s="30">
        <f>ROUND(Inventory[[#This Row],[25Det]]*Inventory[[#This Row],[Det/Nbhd Adj]],-2)</f>
        <v>0</v>
      </c>
      <c r="BN602" s="30">
        <f>Inventory[[#This Row],[Adjusted Res]]+Inventory[[#This Row],[Adj Det ]]</f>
        <v>328500</v>
      </c>
      <c r="BO602" s="30">
        <f>ROUND((Inventory[[#This Row],[Mdl Land Intercept]]+Inventory[[#This Row],[Mdl LnAcres]])*Inventory[[#This Row],[Det/Nbhd Adj]],-2)</f>
        <v>61800</v>
      </c>
      <c r="BP602" s="30">
        <f>Inventory[[#This Row],[Adjusted Impr Total]]+Inventory[[#This Row],[Adjusted Land Total]]</f>
        <v>390300</v>
      </c>
      <c r="BQ602" s="30">
        <f>IFERROR((Inventory[[#This Row],[Adjusted Impr Total]]-Inventory[[#This Row],[24Bldg]])/Inventory[[#This Row],[24Bldg]],0)</f>
        <v>-1.3809666766736716E-2</v>
      </c>
      <c r="BR602" s="43">
        <f>(Inventory[[#This Row],[Adjusted Land Total]]-Inventory[[#This Row],[24Lnd]])/Inventory[[#This Row],[24Lnd]]</f>
        <v>1.6207455429497568E-3</v>
      </c>
      <c r="BS602" s="43">
        <f>(Inventory[[#This Row],[Adjusted Total]]-Inventory[[#This Row],[24Final]])/Inventory[[#This Row],[24Final]]</f>
        <v>-1.1398176291793313E-2</v>
      </c>
    </row>
    <row r="603" spans="1:71">
      <c r="A603" s="30">
        <v>2025</v>
      </c>
      <c r="B603" s="31" t="s">
        <v>1117</v>
      </c>
      <c r="C603" s="31">
        <f>LN(Inventory[[#This Row],[Acres]])</f>
        <v>-1.7719568419318752</v>
      </c>
      <c r="D603" s="30">
        <v>0.17</v>
      </c>
      <c r="E603" s="30">
        <v>7217</v>
      </c>
      <c r="F603" s="31" t="s">
        <v>505</v>
      </c>
      <c r="G603" s="31" t="s">
        <v>155</v>
      </c>
      <c r="H603" s="31" t="s">
        <v>5</v>
      </c>
      <c r="I603" s="31" t="s">
        <v>506</v>
      </c>
      <c r="J603" s="31" t="s">
        <v>507</v>
      </c>
      <c r="K603" s="31" t="s">
        <v>193</v>
      </c>
      <c r="L603" s="31" t="s">
        <v>17</v>
      </c>
      <c r="M603" s="31" t="s">
        <v>22</v>
      </c>
      <c r="N603" s="31">
        <v>10</v>
      </c>
      <c r="O603" s="31">
        <f>2024-Inventory[[#This Row],[YrBlt]]</f>
        <v>17</v>
      </c>
      <c r="P603" s="31">
        <f>2024-Inventory[[#This Row],[EffYr]]</f>
        <v>17</v>
      </c>
      <c r="Q603" s="30">
        <v>2007</v>
      </c>
      <c r="R603" s="30">
        <v>2007</v>
      </c>
      <c r="S603" s="30">
        <v>1080</v>
      </c>
      <c r="T603" s="37"/>
      <c r="U603" s="32"/>
      <c r="V603" s="32"/>
      <c r="W603" s="32"/>
      <c r="X603" s="32">
        <f>Inventory[[#This Row],[Bsmt Area]]-Inventory[[#This Row],[FnBsmt]]</f>
        <v>0</v>
      </c>
      <c r="Y603" s="32">
        <f>Inventory[[#This Row],[MainFn]]+Inventory[[#This Row],[UpprFn]]+Inventory[[#This Row],[AddFn]]+Inventory[[#This Row],[FnBsmt]]</f>
        <v>1080</v>
      </c>
      <c r="Z603" s="32">
        <v>1500</v>
      </c>
      <c r="AA603" s="31" t="s">
        <v>56</v>
      </c>
      <c r="AB603" s="37"/>
      <c r="AC603" s="30">
        <v>440</v>
      </c>
      <c r="AD603" s="32"/>
      <c r="AE603" s="32"/>
      <c r="AF603" s="32"/>
      <c r="AG603" s="32"/>
      <c r="AH603" s="32"/>
      <c r="AI603" s="30">
        <v>212340</v>
      </c>
      <c r="AJ603" s="30">
        <v>197476</v>
      </c>
      <c r="AK603" s="30">
        <v>0</v>
      </c>
      <c r="AL603" s="30">
        <v>0</v>
      </c>
      <c r="AM603" s="30">
        <v>61700</v>
      </c>
      <c r="AN603" s="30">
        <v>290200</v>
      </c>
      <c r="AO603" s="30">
        <v>351900</v>
      </c>
      <c r="AP603" s="30">
        <f>Lookups!$B$58*0.6</f>
        <v>132535.48800000001</v>
      </c>
      <c r="AQ603" s="30">
        <f>Lookups!$B$58*0.4</f>
        <v>88356.992000000013</v>
      </c>
      <c r="AR603" s="30">
        <f>Lookups!$B$59*Inventory[[#This Row],[LnAcres]]</f>
        <v>-23255.730391660189</v>
      </c>
      <c r="AS603" s="30">
        <f>VLOOKUP(Inventory[[#This Row],[Qlty]],Lookups!$A$66:$E$79,2,FALSE)</f>
        <v>24371.765965999999</v>
      </c>
      <c r="AT603" s="30">
        <f>VLOOKUP(Inventory[[#This Row],[Cnd]],Lookups!$A$80:$E$88,2,FALSE)</f>
        <v>50438.379078999998</v>
      </c>
      <c r="AU603" s="30">
        <f>Inventory[[#This Row],[EffAge]]*Lookups!$B$65</f>
        <v>-1848.5987</v>
      </c>
      <c r="AV603" s="30">
        <f>Inventory[[#This Row],[MainFn]]*Lookups!$B$90</f>
        <v>67403.210400000011</v>
      </c>
      <c r="AW603" s="30">
        <f>Inventory[[#This Row],[UpprFn]]*Lookups!$B$91</f>
        <v>0</v>
      </c>
      <c r="AX603" s="30">
        <f>Inventory[[#This Row],[Bsmt Area]]*Lookups!$B$95</f>
        <v>0</v>
      </c>
      <c r="AY603" s="30">
        <f>Inventory[[#This Row],[AttGar]]*Lookups!$B$93</f>
        <v>15532.453640000002</v>
      </c>
      <c r="AZ603" s="30">
        <f>ROUND(Inventory[[#This Row],[25Det]],-2)</f>
        <v>0</v>
      </c>
      <c r="BA603" s="30">
        <f>ROUND(SUM(Inventory[[#This Row],[Mdl Qlty]:[Mdl Garage Area]])+Inventory[[#This Row],[Mdl Res Intercept]],-2)</f>
        <v>288400</v>
      </c>
      <c r="BB603" s="30">
        <f>ROUND(Inventory[[#This Row],[Mdl Land Intercept]]+Inventory[[#This Row],[Mdl LnAcres]],-2)</f>
        <v>65100</v>
      </c>
      <c r="BC603" s="30">
        <f>Inventory[[#This Row],[Unadj Res Value]]+Inventory[[#This Row],[Unadj Det Value]]+Inventory[[#This Row],[Unadj Land Value]]</f>
        <v>353500</v>
      </c>
      <c r="BD603" s="30">
        <f>(Inventory[[#This Row],[Unadj Total Value]]-Inventory[[#This Row],[24Final]])/Inventory[[#This Row],[24Final]]</f>
        <v>4.5467462347257744E-3</v>
      </c>
      <c r="BE603" s="30">
        <f>VLOOKUP(Inventory[[#This Row],[Nbhd]],Lookups!$M$3:$P$5,4,FALSE)</f>
        <v>0.99970000000000003</v>
      </c>
      <c r="BF603" s="30">
        <f>VLOOKUP(Inventory[[#This Row],[Qlty]],Lookups!$M$8:$P$22,4,FALSE)</f>
        <v>0.99199999999999999</v>
      </c>
      <c r="BG603" s="30">
        <f>VLOOKUP(Inventory[[#This Row],[Cnd]],Lookups!$R$8:$U$17,4,FALSE)</f>
        <v>1.0007999999999999</v>
      </c>
      <c r="BH603" s="30">
        <f>VLOOKUP(Inventory[[#This Row],[LivArea Range]],Lookups!$R$25:$U$43,4,FALSE)</f>
        <v>0.99519999999999997</v>
      </c>
      <c r="BI603" s="30">
        <f>VLOOKUP(Inventory[[#This Row],[Decade]],Lookups!$M$24:$P$40,4,FALSE)</f>
        <v>1.0024</v>
      </c>
      <c r="BJ603" s="30">
        <f>Inventory[[#This Row],[Nbhd Adj]]*0.95</f>
        <v>0.94971499999999998</v>
      </c>
      <c r="BK603" s="30">
        <f>AVERAGE(Inventory[[#This Row],[Nbhd Adj]],Inventory[[#This Row],[Quality Adj]],Inventory[[#This Row],[Condition Adj]],Inventory[[#This Row],[Living Area Adj]],Inventory[[#This Row],[Decade Adj]])*0.95</f>
        <v>0.94811899999999993</v>
      </c>
      <c r="BL603" s="30">
        <f>ROUND((SUM(Inventory[[#This Row],[Mdl Qlty]:[Mdl Garage Area]])+Inventory[[#This Row],[Mdl Res Intercept]])*Inventory[[#This Row],[Res Adj ]],-2)</f>
        <v>273500</v>
      </c>
      <c r="BM603" s="30">
        <f>ROUND(Inventory[[#This Row],[25Det]]*Inventory[[#This Row],[Det/Nbhd Adj]],-2)</f>
        <v>0</v>
      </c>
      <c r="BN603" s="30">
        <f>Inventory[[#This Row],[Adjusted Res]]+Inventory[[#This Row],[Adj Det ]]</f>
        <v>273500</v>
      </c>
      <c r="BO603" s="30">
        <f>ROUND((Inventory[[#This Row],[Mdl Land Intercept]]+Inventory[[#This Row],[Mdl LnAcres]])*Inventory[[#This Row],[Det/Nbhd Adj]],-2)</f>
        <v>61800</v>
      </c>
      <c r="BP603" s="30">
        <f>Inventory[[#This Row],[Adjusted Impr Total]]+Inventory[[#This Row],[Adjusted Land Total]]</f>
        <v>335300</v>
      </c>
      <c r="BQ603" s="30">
        <f>IFERROR((Inventory[[#This Row],[Adjusted Impr Total]]-Inventory[[#This Row],[24Bldg]])/Inventory[[#This Row],[24Bldg]],0)</f>
        <v>-5.7546519641626465E-2</v>
      </c>
      <c r="BR603" s="43">
        <f>(Inventory[[#This Row],[Adjusted Land Total]]-Inventory[[#This Row],[24Lnd]])/Inventory[[#This Row],[24Lnd]]</f>
        <v>1.6207455429497568E-3</v>
      </c>
      <c r="BS603" s="43">
        <f>(Inventory[[#This Row],[Adjusted Total]]-Inventory[[#This Row],[24Final]])/Inventory[[#This Row],[24Final]]</f>
        <v>-4.7172492185279906E-2</v>
      </c>
    </row>
    <row r="604" spans="1:71">
      <c r="A604" s="30">
        <v>2025</v>
      </c>
      <c r="B604" s="31" t="s">
        <v>1118</v>
      </c>
      <c r="C604" s="31">
        <f>LN(Inventory[[#This Row],[Acres]])</f>
        <v>-1.7719568419318752</v>
      </c>
      <c r="D604" s="30">
        <v>0.17</v>
      </c>
      <c r="E604" s="30">
        <v>7190</v>
      </c>
      <c r="F604" s="31" t="s">
        <v>505</v>
      </c>
      <c r="G604" s="31" t="s">
        <v>155</v>
      </c>
      <c r="H604" s="31" t="s">
        <v>5</v>
      </c>
      <c r="I604" s="31" t="s">
        <v>506</v>
      </c>
      <c r="J604" s="31" t="s">
        <v>507</v>
      </c>
      <c r="K604" s="31" t="s">
        <v>157</v>
      </c>
      <c r="L604" s="31" t="s">
        <v>21</v>
      </c>
      <c r="M604" s="31" t="s">
        <v>22</v>
      </c>
      <c r="N604" s="31">
        <v>10</v>
      </c>
      <c r="O604" s="31">
        <f>2024-Inventory[[#This Row],[YrBlt]]</f>
        <v>17</v>
      </c>
      <c r="P604" s="31">
        <f>2024-Inventory[[#This Row],[EffYr]]</f>
        <v>17</v>
      </c>
      <c r="Q604" s="30">
        <v>2007</v>
      </c>
      <c r="R604" s="30">
        <v>2007</v>
      </c>
      <c r="S604" s="30">
        <v>932</v>
      </c>
      <c r="T604" s="30">
        <v>1092</v>
      </c>
      <c r="U604" s="32"/>
      <c r="V604" s="32"/>
      <c r="W604" s="32"/>
      <c r="X604" s="32">
        <f>Inventory[[#This Row],[Bsmt Area]]-Inventory[[#This Row],[FnBsmt]]</f>
        <v>0</v>
      </c>
      <c r="Y604" s="32">
        <f>Inventory[[#This Row],[MainFn]]+Inventory[[#This Row],[UpprFn]]+Inventory[[#This Row],[AddFn]]+Inventory[[#This Row],[FnBsmt]]</f>
        <v>2024</v>
      </c>
      <c r="Z604" s="32">
        <v>2500</v>
      </c>
      <c r="AA604" s="31" t="s">
        <v>56</v>
      </c>
      <c r="AB604" s="30">
        <v>1</v>
      </c>
      <c r="AC604" s="37"/>
      <c r="AD604" s="38">
        <v>420</v>
      </c>
      <c r="AE604" s="32"/>
      <c r="AF604" s="32"/>
      <c r="AG604" s="32"/>
      <c r="AH604" s="32"/>
      <c r="AI604" s="30">
        <v>407817</v>
      </c>
      <c r="AJ604" s="30">
        <v>379270</v>
      </c>
      <c r="AK604" s="30">
        <v>0</v>
      </c>
      <c r="AL604" s="30">
        <v>0</v>
      </c>
      <c r="AM604" s="30">
        <v>61700</v>
      </c>
      <c r="AN604" s="30">
        <v>337800</v>
      </c>
      <c r="AO604" s="30">
        <v>399500</v>
      </c>
      <c r="AP604" s="30">
        <f>Lookups!$B$58*0.6</f>
        <v>132535.48800000001</v>
      </c>
      <c r="AQ604" s="30">
        <f>Lookups!$B$58*0.4</f>
        <v>88356.992000000013</v>
      </c>
      <c r="AR604" s="30">
        <f>Lookups!$B$59*Inventory[[#This Row],[LnAcres]]</f>
        <v>-23255.730391660189</v>
      </c>
      <c r="AS604" s="30">
        <f>VLOOKUP(Inventory[[#This Row],[Qlty]],Lookups!$A$66:$E$79,2,FALSE)</f>
        <v>32917.849192000001</v>
      </c>
      <c r="AT604" s="30">
        <f>VLOOKUP(Inventory[[#This Row],[Cnd]],Lookups!$A$80:$E$88,2,FALSE)</f>
        <v>50438.379078999998</v>
      </c>
      <c r="AU604" s="30">
        <f>Inventory[[#This Row],[EffAge]]*Lookups!$B$65</f>
        <v>-1848.5987</v>
      </c>
      <c r="AV604" s="30">
        <f>Inventory[[#This Row],[MainFn]]*Lookups!$B$90</f>
        <v>58166.474160000005</v>
      </c>
      <c r="AW604" s="30">
        <f>Inventory[[#This Row],[UpprFn]]*Lookups!$B$91</f>
        <v>65061.778235999998</v>
      </c>
      <c r="AX604" s="30">
        <f>Inventory[[#This Row],[Bsmt Area]]*Lookups!$B$95</f>
        <v>0</v>
      </c>
      <c r="AY604" s="30">
        <f>Inventory[[#This Row],[AttGar]]*Lookups!$B$93</f>
        <v>0</v>
      </c>
      <c r="AZ604" s="30">
        <f>ROUND(Inventory[[#This Row],[25Det]],-2)</f>
        <v>0</v>
      </c>
      <c r="BA604" s="30">
        <f>ROUND(SUM(Inventory[[#This Row],[Mdl Qlty]:[Mdl Garage Area]])+Inventory[[#This Row],[Mdl Res Intercept]],-2)</f>
        <v>337300</v>
      </c>
      <c r="BB604" s="30">
        <f>ROUND(Inventory[[#This Row],[Mdl Land Intercept]]+Inventory[[#This Row],[Mdl LnAcres]],-2)</f>
        <v>65100</v>
      </c>
      <c r="BC604" s="30">
        <f>Inventory[[#This Row],[Unadj Res Value]]+Inventory[[#This Row],[Unadj Det Value]]+Inventory[[#This Row],[Unadj Land Value]]</f>
        <v>402400</v>
      </c>
      <c r="BD604" s="30">
        <f>(Inventory[[#This Row],[Unadj Total Value]]-Inventory[[#This Row],[24Final]])/Inventory[[#This Row],[24Final]]</f>
        <v>7.2590738423028789E-3</v>
      </c>
      <c r="BE604" s="30">
        <f>VLOOKUP(Inventory[[#This Row],[Nbhd]],Lookups!$M$3:$P$5,4,FALSE)</f>
        <v>0.99970000000000003</v>
      </c>
      <c r="BF604" s="30">
        <f>VLOOKUP(Inventory[[#This Row],[Qlty]],Lookups!$M$8:$P$22,4,FALSE)</f>
        <v>1.0019</v>
      </c>
      <c r="BG604" s="30">
        <f>VLOOKUP(Inventory[[#This Row],[Cnd]],Lookups!$R$8:$U$17,4,FALSE)</f>
        <v>1.0007999999999999</v>
      </c>
      <c r="BH604" s="30">
        <f>VLOOKUP(Inventory[[#This Row],[LivArea Range]],Lookups!$R$25:$U$43,4,FALSE)</f>
        <v>1.0008999999999999</v>
      </c>
      <c r="BI604" s="30">
        <f>VLOOKUP(Inventory[[#This Row],[Decade]],Lookups!$M$24:$P$40,4,FALSE)</f>
        <v>1.0024</v>
      </c>
      <c r="BJ604" s="30">
        <f>Inventory[[#This Row],[Nbhd Adj]]*0.95</f>
        <v>0.94971499999999998</v>
      </c>
      <c r="BK604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604" s="30">
        <f>ROUND((SUM(Inventory[[#This Row],[Mdl Qlty]:[Mdl Garage Area]])+Inventory[[#This Row],[Mdl Res Intercept]])*Inventory[[#This Row],[Res Adj ]],-2)</f>
        <v>320800</v>
      </c>
      <c r="BM604" s="30">
        <f>ROUND(Inventory[[#This Row],[25Det]]*Inventory[[#This Row],[Det/Nbhd Adj]],-2)</f>
        <v>0</v>
      </c>
      <c r="BN604" s="30">
        <f>Inventory[[#This Row],[Adjusted Res]]+Inventory[[#This Row],[Adj Det ]]</f>
        <v>320800</v>
      </c>
      <c r="BO604" s="30">
        <f>ROUND((Inventory[[#This Row],[Mdl Land Intercept]]+Inventory[[#This Row],[Mdl LnAcres]])*Inventory[[#This Row],[Det/Nbhd Adj]],-2)</f>
        <v>61800</v>
      </c>
      <c r="BP604" s="30">
        <f>Inventory[[#This Row],[Adjusted Impr Total]]+Inventory[[#This Row],[Adjusted Land Total]]</f>
        <v>382600</v>
      </c>
      <c r="BQ604" s="30">
        <f>IFERROR((Inventory[[#This Row],[Adjusted Impr Total]]-Inventory[[#This Row],[24Bldg]])/Inventory[[#This Row],[24Bldg]],0)</f>
        <v>-5.0325636471284782E-2</v>
      </c>
      <c r="BR604" s="43">
        <f>(Inventory[[#This Row],[Adjusted Land Total]]-Inventory[[#This Row],[24Lnd]])/Inventory[[#This Row],[24Lnd]]</f>
        <v>1.6207455429497568E-3</v>
      </c>
      <c r="BS604" s="43">
        <f>(Inventory[[#This Row],[Adjusted Total]]-Inventory[[#This Row],[24Final]])/Inventory[[#This Row],[24Final]]</f>
        <v>-4.2302878598247808E-2</v>
      </c>
    </row>
    <row r="605" spans="1:71">
      <c r="A605" s="30">
        <v>2025</v>
      </c>
      <c r="B605" s="31" t="s">
        <v>1119</v>
      </c>
      <c r="C605" s="31">
        <f>LN(Inventory[[#This Row],[Acres]])</f>
        <v>-1.7719568419318752</v>
      </c>
      <c r="D605" s="30">
        <v>0.17</v>
      </c>
      <c r="E605" s="30">
        <v>7275</v>
      </c>
      <c r="F605" s="31" t="s">
        <v>505</v>
      </c>
      <c r="G605" s="31" t="s">
        <v>155</v>
      </c>
      <c r="H605" s="31" t="s">
        <v>5</v>
      </c>
      <c r="I605" s="31" t="s">
        <v>506</v>
      </c>
      <c r="J605" s="31" t="s">
        <v>507</v>
      </c>
      <c r="K605" s="31" t="s">
        <v>157</v>
      </c>
      <c r="L605" s="31" t="s">
        <v>21</v>
      </c>
      <c r="M605" s="31" t="s">
        <v>22</v>
      </c>
      <c r="N605" s="31">
        <v>10</v>
      </c>
      <c r="O605" s="31">
        <f>2024-Inventory[[#This Row],[YrBlt]]</f>
        <v>17</v>
      </c>
      <c r="P605" s="31">
        <f>2024-Inventory[[#This Row],[EffYr]]</f>
        <v>17</v>
      </c>
      <c r="Q605" s="30">
        <v>2007</v>
      </c>
      <c r="R605" s="30">
        <v>2007</v>
      </c>
      <c r="S605" s="30">
        <v>932</v>
      </c>
      <c r="T605" s="38">
        <v>1112</v>
      </c>
      <c r="U605" s="32"/>
      <c r="V605" s="32"/>
      <c r="W605" s="32"/>
      <c r="X605" s="32">
        <f>Inventory[[#This Row],[Bsmt Area]]-Inventory[[#This Row],[FnBsmt]]</f>
        <v>0</v>
      </c>
      <c r="Y605" s="32">
        <f>Inventory[[#This Row],[MainFn]]+Inventory[[#This Row],[UpprFn]]+Inventory[[#This Row],[AddFn]]+Inventory[[#This Row],[FnBsmt]]</f>
        <v>2044</v>
      </c>
      <c r="Z605" s="32">
        <v>2500</v>
      </c>
      <c r="AA605" s="31" t="s">
        <v>56</v>
      </c>
      <c r="AB605" s="32"/>
      <c r="AC605" s="37"/>
      <c r="AD605" s="38">
        <v>420</v>
      </c>
      <c r="AE605" s="32"/>
      <c r="AF605" s="32"/>
      <c r="AG605" s="32"/>
      <c r="AH605" s="32"/>
      <c r="AI605" s="30">
        <v>406976</v>
      </c>
      <c r="AJ605" s="30">
        <v>378488</v>
      </c>
      <c r="AK605" s="30">
        <v>0</v>
      </c>
      <c r="AL605" s="30">
        <v>0</v>
      </c>
      <c r="AM605" s="30">
        <v>61700</v>
      </c>
      <c r="AN605" s="30">
        <v>338400</v>
      </c>
      <c r="AO605" s="30">
        <v>400100</v>
      </c>
      <c r="AP605" s="30">
        <f>Lookups!$B$58*0.6</f>
        <v>132535.48800000001</v>
      </c>
      <c r="AQ605" s="30">
        <f>Lookups!$B$58*0.4</f>
        <v>88356.992000000013</v>
      </c>
      <c r="AR605" s="30">
        <f>Lookups!$B$59*Inventory[[#This Row],[LnAcres]]</f>
        <v>-23255.730391660189</v>
      </c>
      <c r="AS605" s="30">
        <f>VLOOKUP(Inventory[[#This Row],[Qlty]],Lookups!$A$66:$E$79,2,FALSE)</f>
        <v>32917.849192000001</v>
      </c>
      <c r="AT605" s="30">
        <f>VLOOKUP(Inventory[[#This Row],[Cnd]],Lookups!$A$80:$E$88,2,FALSE)</f>
        <v>50438.379078999998</v>
      </c>
      <c r="AU605" s="30">
        <f>Inventory[[#This Row],[EffAge]]*Lookups!$B$65</f>
        <v>-1848.5987</v>
      </c>
      <c r="AV605" s="30">
        <f>Inventory[[#This Row],[MainFn]]*Lookups!$B$90</f>
        <v>58166.474160000005</v>
      </c>
      <c r="AW605" s="30">
        <f>Inventory[[#This Row],[UpprFn]]*Lookups!$B$91</f>
        <v>66253.385895999992</v>
      </c>
      <c r="AX605" s="30">
        <f>Inventory[[#This Row],[Bsmt Area]]*Lookups!$B$95</f>
        <v>0</v>
      </c>
      <c r="AY605" s="30">
        <f>Inventory[[#This Row],[AttGar]]*Lookups!$B$93</f>
        <v>0</v>
      </c>
      <c r="AZ605" s="30">
        <f>ROUND(Inventory[[#This Row],[25Det]],-2)</f>
        <v>0</v>
      </c>
      <c r="BA605" s="30">
        <f>ROUND(SUM(Inventory[[#This Row],[Mdl Qlty]:[Mdl Garage Area]])+Inventory[[#This Row],[Mdl Res Intercept]],-2)</f>
        <v>338500</v>
      </c>
      <c r="BB605" s="30">
        <f>ROUND(Inventory[[#This Row],[Mdl Land Intercept]]+Inventory[[#This Row],[Mdl LnAcres]],-2)</f>
        <v>65100</v>
      </c>
      <c r="BC605" s="30">
        <f>Inventory[[#This Row],[Unadj Res Value]]+Inventory[[#This Row],[Unadj Det Value]]+Inventory[[#This Row],[Unadj Land Value]]</f>
        <v>403600</v>
      </c>
      <c r="BD605" s="30">
        <f>(Inventory[[#This Row],[Unadj Total Value]]-Inventory[[#This Row],[24Final]])/Inventory[[#This Row],[24Final]]</f>
        <v>8.7478130467383147E-3</v>
      </c>
      <c r="BE605" s="30">
        <f>VLOOKUP(Inventory[[#This Row],[Nbhd]],Lookups!$M$3:$P$5,4,FALSE)</f>
        <v>0.99970000000000003</v>
      </c>
      <c r="BF605" s="30">
        <f>VLOOKUP(Inventory[[#This Row],[Qlty]],Lookups!$M$8:$P$22,4,FALSE)</f>
        <v>1.0019</v>
      </c>
      <c r="BG605" s="30">
        <f>VLOOKUP(Inventory[[#This Row],[Cnd]],Lookups!$R$8:$U$17,4,FALSE)</f>
        <v>1.0007999999999999</v>
      </c>
      <c r="BH605" s="30">
        <f>VLOOKUP(Inventory[[#This Row],[LivArea Range]],Lookups!$R$25:$U$43,4,FALSE)</f>
        <v>1.0008999999999999</v>
      </c>
      <c r="BI605" s="30">
        <f>VLOOKUP(Inventory[[#This Row],[Decade]],Lookups!$M$24:$P$40,4,FALSE)</f>
        <v>1.0024</v>
      </c>
      <c r="BJ605" s="30">
        <f>Inventory[[#This Row],[Nbhd Adj]]*0.95</f>
        <v>0.94971499999999998</v>
      </c>
      <c r="BK605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605" s="30">
        <f>ROUND((SUM(Inventory[[#This Row],[Mdl Qlty]:[Mdl Garage Area]])+Inventory[[#This Row],[Mdl Res Intercept]])*Inventory[[#This Row],[Res Adj ]],-2)</f>
        <v>321900</v>
      </c>
      <c r="BM605" s="30">
        <f>ROUND(Inventory[[#This Row],[25Det]]*Inventory[[#This Row],[Det/Nbhd Adj]],-2)</f>
        <v>0</v>
      </c>
      <c r="BN605" s="30">
        <f>Inventory[[#This Row],[Adjusted Res]]+Inventory[[#This Row],[Adj Det ]]</f>
        <v>321900</v>
      </c>
      <c r="BO605" s="30">
        <f>ROUND((Inventory[[#This Row],[Mdl Land Intercept]]+Inventory[[#This Row],[Mdl LnAcres]])*Inventory[[#This Row],[Det/Nbhd Adj]],-2)</f>
        <v>61800</v>
      </c>
      <c r="BP605" s="30">
        <f>Inventory[[#This Row],[Adjusted Impr Total]]+Inventory[[#This Row],[Adjusted Land Total]]</f>
        <v>383700</v>
      </c>
      <c r="BQ605" s="30">
        <f>IFERROR((Inventory[[#This Row],[Adjusted Impr Total]]-Inventory[[#This Row],[24Bldg]])/Inventory[[#This Row],[24Bldg]],0)</f>
        <v>-4.8758865248226951E-2</v>
      </c>
      <c r="BR605" s="43">
        <f>(Inventory[[#This Row],[Adjusted Land Total]]-Inventory[[#This Row],[24Lnd]])/Inventory[[#This Row],[24Lnd]]</f>
        <v>1.6207455429497568E-3</v>
      </c>
      <c r="BS605" s="43">
        <f>(Inventory[[#This Row],[Adjusted Total]]-Inventory[[#This Row],[24Final]])/Inventory[[#This Row],[24Final]]</f>
        <v>-4.0989752561859535E-2</v>
      </c>
    </row>
    <row r="606" spans="1:71">
      <c r="A606" s="30">
        <v>2025</v>
      </c>
      <c r="B606" s="31" t="s">
        <v>1120</v>
      </c>
      <c r="C606" s="31">
        <f>LN(Inventory[[#This Row],[Acres]])</f>
        <v>-1.7719568419318752</v>
      </c>
      <c r="D606" s="30">
        <v>0.17</v>
      </c>
      <c r="E606" s="30">
        <v>7230</v>
      </c>
      <c r="F606" s="31" t="s">
        <v>505</v>
      </c>
      <c r="G606" s="31" t="s">
        <v>155</v>
      </c>
      <c r="H606" s="31" t="s">
        <v>5</v>
      </c>
      <c r="I606" s="31" t="s">
        <v>506</v>
      </c>
      <c r="J606" s="31" t="s">
        <v>507</v>
      </c>
      <c r="K606" s="31" t="s">
        <v>193</v>
      </c>
      <c r="L606" s="31" t="s">
        <v>19</v>
      </c>
      <c r="M606" s="31" t="s">
        <v>20</v>
      </c>
      <c r="N606" s="31">
        <v>10</v>
      </c>
      <c r="O606" s="31">
        <f>2024-Inventory[[#This Row],[YrBlt]]</f>
        <v>17</v>
      </c>
      <c r="P606" s="31">
        <f>2024-Inventory[[#This Row],[EffYr]]</f>
        <v>17</v>
      </c>
      <c r="Q606" s="30">
        <v>2007</v>
      </c>
      <c r="R606" s="30">
        <v>2007</v>
      </c>
      <c r="S606" s="30">
        <v>1092</v>
      </c>
      <c r="T606" s="32"/>
      <c r="U606" s="32"/>
      <c r="V606" s="32"/>
      <c r="W606" s="32"/>
      <c r="X606" s="32">
        <f>Inventory[[#This Row],[Bsmt Area]]-Inventory[[#This Row],[FnBsmt]]</f>
        <v>0</v>
      </c>
      <c r="Y606" s="32">
        <f>Inventory[[#This Row],[MainFn]]+Inventory[[#This Row],[UpprFn]]+Inventory[[#This Row],[AddFn]]+Inventory[[#This Row],[FnBsmt]]</f>
        <v>1092</v>
      </c>
      <c r="Z606" s="32">
        <v>1500</v>
      </c>
      <c r="AA606" s="31" t="s">
        <v>56</v>
      </c>
      <c r="AB606" s="37"/>
      <c r="AC606" s="30">
        <v>440</v>
      </c>
      <c r="AD606" s="32"/>
      <c r="AE606" s="32"/>
      <c r="AF606" s="32"/>
      <c r="AG606" s="32"/>
      <c r="AH606" s="32"/>
      <c r="AI606" s="30">
        <v>233638</v>
      </c>
      <c r="AJ606" s="30">
        <v>214947</v>
      </c>
      <c r="AK606" s="30">
        <v>0</v>
      </c>
      <c r="AL606" s="30">
        <v>0</v>
      </c>
      <c r="AM606" s="30">
        <v>61700</v>
      </c>
      <c r="AN606" s="30">
        <v>278500</v>
      </c>
      <c r="AO606" s="30">
        <v>340200</v>
      </c>
      <c r="AP606" s="30">
        <f>Lookups!$B$58*0.6</f>
        <v>132535.48800000001</v>
      </c>
      <c r="AQ606" s="30">
        <f>Lookups!$B$58*0.4</f>
        <v>88356.992000000013</v>
      </c>
      <c r="AR606" s="30">
        <f>Lookups!$B$59*Inventory[[#This Row],[LnAcres]]</f>
        <v>-23255.730391660189</v>
      </c>
      <c r="AS606" s="30">
        <f>VLOOKUP(Inventory[[#This Row],[Qlty]],Lookups!$A$66:$E$79,2,FALSE)</f>
        <v>37154.252388000001</v>
      </c>
      <c r="AT606" s="30">
        <f>VLOOKUP(Inventory[[#This Row],[Cnd]],Lookups!$A$80:$E$88,2,FALSE)</f>
        <v>30300.329274</v>
      </c>
      <c r="AU606" s="30">
        <f>Inventory[[#This Row],[EffAge]]*Lookups!$B$65</f>
        <v>-1848.5987</v>
      </c>
      <c r="AV606" s="30">
        <f>Inventory[[#This Row],[MainFn]]*Lookups!$B$90</f>
        <v>68152.13496000001</v>
      </c>
      <c r="AW606" s="30">
        <f>Inventory[[#This Row],[UpprFn]]*Lookups!$B$91</f>
        <v>0</v>
      </c>
      <c r="AX606" s="30">
        <f>Inventory[[#This Row],[Bsmt Area]]*Lookups!$B$95</f>
        <v>0</v>
      </c>
      <c r="AY606" s="30">
        <f>Inventory[[#This Row],[AttGar]]*Lookups!$B$93</f>
        <v>15532.453640000002</v>
      </c>
      <c r="AZ606" s="30">
        <f>ROUND(Inventory[[#This Row],[25Det]],-2)</f>
        <v>0</v>
      </c>
      <c r="BA606" s="30">
        <f>ROUND(SUM(Inventory[[#This Row],[Mdl Qlty]:[Mdl Garage Area]])+Inventory[[#This Row],[Mdl Res Intercept]],-2)</f>
        <v>281800</v>
      </c>
      <c r="BB606" s="30">
        <f>ROUND(Inventory[[#This Row],[Mdl Land Intercept]]+Inventory[[#This Row],[Mdl LnAcres]],-2)</f>
        <v>65100</v>
      </c>
      <c r="BC606" s="30">
        <f>Inventory[[#This Row],[Unadj Res Value]]+Inventory[[#This Row],[Unadj Det Value]]+Inventory[[#This Row],[Unadj Land Value]]</f>
        <v>346900</v>
      </c>
      <c r="BD606" s="30">
        <f>(Inventory[[#This Row],[Unadj Total Value]]-Inventory[[#This Row],[24Final]])/Inventory[[#This Row],[24Final]]</f>
        <v>1.969429747207525E-2</v>
      </c>
      <c r="BE606" s="30">
        <f>VLOOKUP(Inventory[[#This Row],[Nbhd]],Lookups!$M$3:$P$5,4,FALSE)</f>
        <v>0.99970000000000003</v>
      </c>
      <c r="BF606" s="30">
        <f>VLOOKUP(Inventory[[#This Row],[Qlty]],Lookups!$M$8:$P$22,4,FALSE)</f>
        <v>0.99819999999999998</v>
      </c>
      <c r="BG606" s="30">
        <f>VLOOKUP(Inventory[[#This Row],[Cnd]],Lookups!$R$8:$U$17,4,FALSE)</f>
        <v>0.997</v>
      </c>
      <c r="BH606" s="30">
        <f>VLOOKUP(Inventory[[#This Row],[LivArea Range]],Lookups!$R$25:$U$43,4,FALSE)</f>
        <v>0.99519999999999997</v>
      </c>
      <c r="BI606" s="30">
        <f>VLOOKUP(Inventory[[#This Row],[Decade]],Lookups!$M$24:$P$40,4,FALSE)</f>
        <v>1.0024</v>
      </c>
      <c r="BJ606" s="30">
        <f>Inventory[[#This Row],[Nbhd Adj]]*0.95</f>
        <v>0.94971499999999998</v>
      </c>
      <c r="BK606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606" s="30">
        <f>ROUND((SUM(Inventory[[#This Row],[Mdl Qlty]:[Mdl Garage Area]])+Inventory[[#This Row],[Mdl Res Intercept]])*Inventory[[#This Row],[Res Adj ]],-2)</f>
        <v>267300</v>
      </c>
      <c r="BM606" s="30">
        <f>ROUND(Inventory[[#This Row],[25Det]]*Inventory[[#This Row],[Det/Nbhd Adj]],-2)</f>
        <v>0</v>
      </c>
      <c r="BN606" s="30">
        <f>Inventory[[#This Row],[Adjusted Res]]+Inventory[[#This Row],[Adj Det ]]</f>
        <v>267300</v>
      </c>
      <c r="BO606" s="30">
        <f>ROUND((Inventory[[#This Row],[Mdl Land Intercept]]+Inventory[[#This Row],[Mdl LnAcres]])*Inventory[[#This Row],[Det/Nbhd Adj]],-2)</f>
        <v>61800</v>
      </c>
      <c r="BP606" s="30">
        <f>Inventory[[#This Row],[Adjusted Impr Total]]+Inventory[[#This Row],[Adjusted Land Total]]</f>
        <v>329100</v>
      </c>
      <c r="BQ606" s="30">
        <f>IFERROR((Inventory[[#This Row],[Adjusted Impr Total]]-Inventory[[#This Row],[24Bldg]])/Inventory[[#This Row],[24Bldg]],0)</f>
        <v>-4.0215439856373429E-2</v>
      </c>
      <c r="BR606" s="43">
        <f>(Inventory[[#This Row],[Adjusted Land Total]]-Inventory[[#This Row],[24Lnd]])/Inventory[[#This Row],[24Lnd]]</f>
        <v>1.6207455429497568E-3</v>
      </c>
      <c r="BS606" s="43">
        <f>(Inventory[[#This Row],[Adjusted Total]]-Inventory[[#This Row],[24Final]])/Inventory[[#This Row],[24Final]]</f>
        <v>-3.2627865961199293E-2</v>
      </c>
    </row>
    <row r="607" spans="1:71">
      <c r="A607" s="30">
        <v>2025</v>
      </c>
      <c r="B607" s="31" t="s">
        <v>1121</v>
      </c>
      <c r="C607" s="31">
        <f>LN(Inventory[[#This Row],[Acres]])</f>
        <v>-1.7719568419318752</v>
      </c>
      <c r="D607" s="30">
        <v>0.17</v>
      </c>
      <c r="E607" s="30">
        <v>7577</v>
      </c>
      <c r="F607" s="31" t="s">
        <v>505</v>
      </c>
      <c r="G607" s="31" t="s">
        <v>155</v>
      </c>
      <c r="H607" s="31" t="s">
        <v>5</v>
      </c>
      <c r="I607" s="31" t="s">
        <v>506</v>
      </c>
      <c r="J607" s="31" t="s">
        <v>507</v>
      </c>
      <c r="K607" s="31" t="s">
        <v>193</v>
      </c>
      <c r="L607" s="31" t="s">
        <v>19</v>
      </c>
      <c r="M607" s="31" t="s">
        <v>20</v>
      </c>
      <c r="N607" s="31">
        <v>10</v>
      </c>
      <c r="O607" s="31">
        <f>2024-Inventory[[#This Row],[YrBlt]]</f>
        <v>17</v>
      </c>
      <c r="P607" s="31">
        <f>2024-Inventory[[#This Row],[EffYr]]</f>
        <v>17</v>
      </c>
      <c r="Q607" s="30">
        <v>2007</v>
      </c>
      <c r="R607" s="30">
        <v>2007</v>
      </c>
      <c r="S607" s="30">
        <v>1076</v>
      </c>
      <c r="T607" s="32"/>
      <c r="U607" s="32"/>
      <c r="V607" s="32"/>
      <c r="W607" s="32"/>
      <c r="X607" s="32">
        <f>Inventory[[#This Row],[Bsmt Area]]-Inventory[[#This Row],[FnBsmt]]</f>
        <v>0</v>
      </c>
      <c r="Y607" s="32">
        <f>Inventory[[#This Row],[MainFn]]+Inventory[[#This Row],[UpprFn]]+Inventory[[#This Row],[AddFn]]+Inventory[[#This Row],[FnBsmt]]</f>
        <v>1076</v>
      </c>
      <c r="Z607" s="32">
        <v>1500</v>
      </c>
      <c r="AA607" s="31" t="s">
        <v>56</v>
      </c>
      <c r="AB607" s="37"/>
      <c r="AC607" s="30">
        <v>440</v>
      </c>
      <c r="AD607" s="32"/>
      <c r="AE607" s="32"/>
      <c r="AF607" s="32"/>
      <c r="AG607" s="32"/>
      <c r="AH607" s="32"/>
      <c r="AI607" s="30">
        <v>227876</v>
      </c>
      <c r="AJ607" s="30">
        <v>209646</v>
      </c>
      <c r="AK607" s="30">
        <v>0</v>
      </c>
      <c r="AL607" s="30">
        <v>0</v>
      </c>
      <c r="AM607" s="30">
        <v>61700</v>
      </c>
      <c r="AN607" s="30">
        <v>275300</v>
      </c>
      <c r="AO607" s="30">
        <v>337000</v>
      </c>
      <c r="AP607" s="30">
        <f>Lookups!$B$58*0.6</f>
        <v>132535.48800000001</v>
      </c>
      <c r="AQ607" s="30">
        <f>Lookups!$B$58*0.4</f>
        <v>88356.992000000013</v>
      </c>
      <c r="AR607" s="30">
        <f>Lookups!$B$59*Inventory[[#This Row],[LnAcres]]</f>
        <v>-23255.730391660189</v>
      </c>
      <c r="AS607" s="30">
        <f>VLOOKUP(Inventory[[#This Row],[Qlty]],Lookups!$A$66:$E$79,2,FALSE)</f>
        <v>37154.252388000001</v>
      </c>
      <c r="AT607" s="30">
        <f>VLOOKUP(Inventory[[#This Row],[Cnd]],Lookups!$A$80:$E$88,2,FALSE)</f>
        <v>30300.329274</v>
      </c>
      <c r="AU607" s="30">
        <f>Inventory[[#This Row],[EffAge]]*Lookups!$B$65</f>
        <v>-1848.5987</v>
      </c>
      <c r="AV607" s="30">
        <f>Inventory[[#This Row],[MainFn]]*Lookups!$B$90</f>
        <v>67153.568880000006</v>
      </c>
      <c r="AW607" s="30">
        <f>Inventory[[#This Row],[UpprFn]]*Lookups!$B$91</f>
        <v>0</v>
      </c>
      <c r="AX607" s="30">
        <f>Inventory[[#This Row],[Bsmt Area]]*Lookups!$B$95</f>
        <v>0</v>
      </c>
      <c r="AY607" s="30">
        <f>Inventory[[#This Row],[AttGar]]*Lookups!$B$93</f>
        <v>15532.453640000002</v>
      </c>
      <c r="AZ607" s="30">
        <f>ROUND(Inventory[[#This Row],[25Det]],-2)</f>
        <v>0</v>
      </c>
      <c r="BA607" s="30">
        <f>ROUND(SUM(Inventory[[#This Row],[Mdl Qlty]:[Mdl Garage Area]])+Inventory[[#This Row],[Mdl Res Intercept]],-2)</f>
        <v>280800</v>
      </c>
      <c r="BB607" s="30">
        <f>ROUND(Inventory[[#This Row],[Mdl Land Intercept]]+Inventory[[#This Row],[Mdl LnAcres]],-2)</f>
        <v>65100</v>
      </c>
      <c r="BC607" s="30">
        <f>Inventory[[#This Row],[Unadj Res Value]]+Inventory[[#This Row],[Unadj Det Value]]+Inventory[[#This Row],[Unadj Land Value]]</f>
        <v>345900</v>
      </c>
      <c r="BD607" s="30">
        <f>(Inventory[[#This Row],[Unadj Total Value]]-Inventory[[#This Row],[24Final]])/Inventory[[#This Row],[24Final]]</f>
        <v>2.6409495548961423E-2</v>
      </c>
      <c r="BE607" s="30">
        <f>VLOOKUP(Inventory[[#This Row],[Nbhd]],Lookups!$M$3:$P$5,4,FALSE)</f>
        <v>0.99970000000000003</v>
      </c>
      <c r="BF607" s="30">
        <f>VLOOKUP(Inventory[[#This Row],[Qlty]],Lookups!$M$8:$P$22,4,FALSE)</f>
        <v>0.99819999999999998</v>
      </c>
      <c r="BG607" s="30">
        <f>VLOOKUP(Inventory[[#This Row],[Cnd]],Lookups!$R$8:$U$17,4,FALSE)</f>
        <v>0.997</v>
      </c>
      <c r="BH607" s="30">
        <f>VLOOKUP(Inventory[[#This Row],[LivArea Range]],Lookups!$R$25:$U$43,4,FALSE)</f>
        <v>0.99519999999999997</v>
      </c>
      <c r="BI607" s="30">
        <f>VLOOKUP(Inventory[[#This Row],[Decade]],Lookups!$M$24:$P$40,4,FALSE)</f>
        <v>1.0024</v>
      </c>
      <c r="BJ607" s="30">
        <f>Inventory[[#This Row],[Nbhd Adj]]*0.95</f>
        <v>0.94971499999999998</v>
      </c>
      <c r="BK607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607" s="30">
        <f>ROUND((SUM(Inventory[[#This Row],[Mdl Qlty]:[Mdl Garage Area]])+Inventory[[#This Row],[Mdl Res Intercept]])*Inventory[[#This Row],[Res Adj ]],-2)</f>
        <v>266400</v>
      </c>
      <c r="BM607" s="30">
        <f>ROUND(Inventory[[#This Row],[25Det]]*Inventory[[#This Row],[Det/Nbhd Adj]],-2)</f>
        <v>0</v>
      </c>
      <c r="BN607" s="30">
        <f>Inventory[[#This Row],[Adjusted Res]]+Inventory[[#This Row],[Adj Det ]]</f>
        <v>266400</v>
      </c>
      <c r="BO607" s="30">
        <f>ROUND((Inventory[[#This Row],[Mdl Land Intercept]]+Inventory[[#This Row],[Mdl LnAcres]])*Inventory[[#This Row],[Det/Nbhd Adj]],-2)</f>
        <v>61800</v>
      </c>
      <c r="BP607" s="30">
        <f>Inventory[[#This Row],[Adjusted Impr Total]]+Inventory[[#This Row],[Adjusted Land Total]]</f>
        <v>328200</v>
      </c>
      <c r="BQ607" s="30">
        <f>IFERROR((Inventory[[#This Row],[Adjusted Impr Total]]-Inventory[[#This Row],[24Bldg]])/Inventory[[#This Row],[24Bldg]],0)</f>
        <v>-3.2328369051943334E-2</v>
      </c>
      <c r="BR607" s="43">
        <f>(Inventory[[#This Row],[Adjusted Land Total]]-Inventory[[#This Row],[24Lnd]])/Inventory[[#This Row],[24Lnd]]</f>
        <v>1.6207455429497568E-3</v>
      </c>
      <c r="BS607" s="43">
        <f>(Inventory[[#This Row],[Adjusted Total]]-Inventory[[#This Row],[24Final]])/Inventory[[#This Row],[24Final]]</f>
        <v>-2.6112759643916916E-2</v>
      </c>
    </row>
    <row r="608" spans="1:71">
      <c r="A608" s="30">
        <v>2025</v>
      </c>
      <c r="B608" s="31" t="s">
        <v>1122</v>
      </c>
      <c r="C608" s="31">
        <f>LN(Inventory[[#This Row],[Acres]])</f>
        <v>-1.7719568419318752</v>
      </c>
      <c r="D608" s="30">
        <v>0.17</v>
      </c>
      <c r="E608" s="30">
        <v>7582</v>
      </c>
      <c r="F608" s="31" t="s">
        <v>505</v>
      </c>
      <c r="G608" s="31" t="s">
        <v>155</v>
      </c>
      <c r="H608" s="31" t="s">
        <v>5</v>
      </c>
      <c r="I608" s="31" t="s">
        <v>506</v>
      </c>
      <c r="J608" s="31" t="s">
        <v>507</v>
      </c>
      <c r="K608" s="31" t="s">
        <v>193</v>
      </c>
      <c r="L608" s="31" t="s">
        <v>19</v>
      </c>
      <c r="M608" s="31" t="s">
        <v>18</v>
      </c>
      <c r="N608" s="31">
        <v>10</v>
      </c>
      <c r="O608" s="31">
        <f>2024-Inventory[[#This Row],[YrBlt]]</f>
        <v>17</v>
      </c>
      <c r="P608" s="31">
        <f>2024-Inventory[[#This Row],[EffYr]]</f>
        <v>17</v>
      </c>
      <c r="Q608" s="30">
        <v>2007</v>
      </c>
      <c r="R608" s="30">
        <v>2007</v>
      </c>
      <c r="S608" s="30">
        <v>1380</v>
      </c>
      <c r="T608" s="32"/>
      <c r="U608" s="32"/>
      <c r="V608" s="32"/>
      <c r="W608" s="32"/>
      <c r="X608" s="32">
        <f>Inventory[[#This Row],[Bsmt Area]]-Inventory[[#This Row],[FnBsmt]]</f>
        <v>0</v>
      </c>
      <c r="Y608" s="32">
        <f>Inventory[[#This Row],[MainFn]]+Inventory[[#This Row],[UpprFn]]+Inventory[[#This Row],[AddFn]]+Inventory[[#This Row],[FnBsmt]]</f>
        <v>1380</v>
      </c>
      <c r="Z608" s="32">
        <v>1500</v>
      </c>
      <c r="AA608" s="31" t="s">
        <v>56</v>
      </c>
      <c r="AB608" s="32"/>
      <c r="AC608" s="30">
        <v>428</v>
      </c>
      <c r="AD608" s="32"/>
      <c r="AE608" s="32"/>
      <c r="AF608" s="32"/>
      <c r="AG608" s="32"/>
      <c r="AH608" s="32"/>
      <c r="AI608" s="30">
        <v>273487</v>
      </c>
      <c r="AJ608" s="30">
        <v>251608</v>
      </c>
      <c r="AK608" s="30">
        <v>0</v>
      </c>
      <c r="AL608" s="30">
        <v>0</v>
      </c>
      <c r="AM608" s="30">
        <v>61700</v>
      </c>
      <c r="AN608" s="30">
        <v>277800</v>
      </c>
      <c r="AO608" s="30">
        <v>339500</v>
      </c>
      <c r="AP608" s="30">
        <f>Lookups!$B$58*0.6</f>
        <v>132535.48800000001</v>
      </c>
      <c r="AQ608" s="30">
        <f>Lookups!$B$58*0.4</f>
        <v>88356.992000000013</v>
      </c>
      <c r="AR608" s="30">
        <f>Lookups!$B$59*Inventory[[#This Row],[LnAcres]]</f>
        <v>-23255.730391660189</v>
      </c>
      <c r="AS608" s="30">
        <f>VLOOKUP(Inventory[[#This Row],[Qlty]],Lookups!$A$66:$E$79,2,FALSE)</f>
        <v>37154.252388000001</v>
      </c>
      <c r="AT608" s="30">
        <f>VLOOKUP(Inventory[[#This Row],[Cnd]],Lookups!$A$80:$E$88,2,FALSE)</f>
        <v>17761.121909000001</v>
      </c>
      <c r="AU608" s="30">
        <f>Inventory[[#This Row],[EffAge]]*Lookups!$B$65</f>
        <v>-1848.5987</v>
      </c>
      <c r="AV608" s="30">
        <f>Inventory[[#This Row],[MainFn]]*Lookups!$B$90</f>
        <v>86126.324399999998</v>
      </c>
      <c r="AW608" s="30">
        <f>Inventory[[#This Row],[UpprFn]]*Lookups!$B$91</f>
        <v>0</v>
      </c>
      <c r="AX608" s="30">
        <f>Inventory[[#This Row],[Bsmt Area]]*Lookups!$B$95</f>
        <v>0</v>
      </c>
      <c r="AY608" s="30">
        <f>Inventory[[#This Row],[AttGar]]*Lookups!$B$93</f>
        <v>15108.841268</v>
      </c>
      <c r="AZ608" s="30">
        <f>ROUND(Inventory[[#This Row],[25Det]],-2)</f>
        <v>0</v>
      </c>
      <c r="BA608" s="30">
        <f>ROUND(SUM(Inventory[[#This Row],[Mdl Qlty]:[Mdl Garage Area]])+Inventory[[#This Row],[Mdl Res Intercept]],-2)</f>
        <v>286800</v>
      </c>
      <c r="BB608" s="30">
        <f>ROUND(Inventory[[#This Row],[Mdl Land Intercept]]+Inventory[[#This Row],[Mdl LnAcres]],-2)</f>
        <v>65100</v>
      </c>
      <c r="BC608" s="30">
        <f>Inventory[[#This Row],[Unadj Res Value]]+Inventory[[#This Row],[Unadj Det Value]]+Inventory[[#This Row],[Unadj Land Value]]</f>
        <v>351900</v>
      </c>
      <c r="BD608" s="30">
        <f>(Inventory[[#This Row],[Unadj Total Value]]-Inventory[[#This Row],[24Final]])/Inventory[[#This Row],[24Final]]</f>
        <v>3.6524300441826217E-2</v>
      </c>
      <c r="BE608" s="30">
        <f>VLOOKUP(Inventory[[#This Row],[Nbhd]],Lookups!$M$3:$P$5,4,FALSE)</f>
        <v>0.99970000000000003</v>
      </c>
      <c r="BF608" s="30">
        <f>VLOOKUP(Inventory[[#This Row],[Qlty]],Lookups!$M$8:$P$22,4,FALSE)</f>
        <v>0.99819999999999998</v>
      </c>
      <c r="BG608" s="30">
        <f>VLOOKUP(Inventory[[#This Row],[Cnd]],Lookups!$R$8:$U$17,4,FALSE)</f>
        <v>0.99680000000000002</v>
      </c>
      <c r="BH608" s="30">
        <f>VLOOKUP(Inventory[[#This Row],[LivArea Range]],Lookups!$R$25:$U$43,4,FALSE)</f>
        <v>0.99519999999999997</v>
      </c>
      <c r="BI608" s="30">
        <f>VLOOKUP(Inventory[[#This Row],[Decade]],Lookups!$M$24:$P$40,4,FALSE)</f>
        <v>1.0024</v>
      </c>
      <c r="BJ608" s="30">
        <f>Inventory[[#This Row],[Nbhd Adj]]*0.95</f>
        <v>0.94971499999999998</v>
      </c>
      <c r="BK608" s="30">
        <f>AVERAGE(Inventory[[#This Row],[Nbhd Adj]],Inventory[[#This Row],[Quality Adj]],Inventory[[#This Row],[Condition Adj]],Inventory[[#This Row],[Living Area Adj]],Inventory[[#This Row],[Decade Adj]])*0.95</f>
        <v>0.94853699999999996</v>
      </c>
      <c r="BL608" s="30">
        <f>ROUND((SUM(Inventory[[#This Row],[Mdl Qlty]:[Mdl Garage Area]])+Inventory[[#This Row],[Mdl Res Intercept]])*Inventory[[#This Row],[Res Adj ]],-2)</f>
        <v>272100</v>
      </c>
      <c r="BM608" s="30">
        <f>ROUND(Inventory[[#This Row],[25Det]]*Inventory[[#This Row],[Det/Nbhd Adj]],-2)</f>
        <v>0</v>
      </c>
      <c r="BN608" s="30">
        <f>Inventory[[#This Row],[Adjusted Res]]+Inventory[[#This Row],[Adj Det ]]</f>
        <v>272100</v>
      </c>
      <c r="BO608" s="30">
        <f>ROUND((Inventory[[#This Row],[Mdl Land Intercept]]+Inventory[[#This Row],[Mdl LnAcres]])*Inventory[[#This Row],[Det/Nbhd Adj]],-2)</f>
        <v>61800</v>
      </c>
      <c r="BP608" s="30">
        <f>Inventory[[#This Row],[Adjusted Impr Total]]+Inventory[[#This Row],[Adjusted Land Total]]</f>
        <v>333900</v>
      </c>
      <c r="BQ608" s="30">
        <f>IFERROR((Inventory[[#This Row],[Adjusted Impr Total]]-Inventory[[#This Row],[24Bldg]])/Inventory[[#This Row],[24Bldg]],0)</f>
        <v>-2.0518358531317494E-2</v>
      </c>
      <c r="BR608" s="43">
        <f>(Inventory[[#This Row],[Adjusted Land Total]]-Inventory[[#This Row],[24Lnd]])/Inventory[[#This Row],[24Lnd]]</f>
        <v>1.6207455429497568E-3</v>
      </c>
      <c r="BS608" s="43">
        <f>(Inventory[[#This Row],[Adjusted Total]]-Inventory[[#This Row],[24Final]])/Inventory[[#This Row],[24Final]]</f>
        <v>-1.6494845360824743E-2</v>
      </c>
    </row>
    <row r="609" spans="1:71">
      <c r="A609" s="30">
        <v>2025</v>
      </c>
      <c r="B609" s="31" t="s">
        <v>1123</v>
      </c>
      <c r="C609" s="31">
        <f>LN(Inventory[[#This Row],[Acres]])</f>
        <v>-1.7719568419318752</v>
      </c>
      <c r="D609" s="30">
        <v>0.17</v>
      </c>
      <c r="E609" s="30">
        <v>7560</v>
      </c>
      <c r="F609" s="31" t="s">
        <v>505</v>
      </c>
      <c r="G609" s="31" t="s">
        <v>155</v>
      </c>
      <c r="H609" s="31" t="s">
        <v>5</v>
      </c>
      <c r="I609" s="31" t="s">
        <v>506</v>
      </c>
      <c r="J609" s="31" t="s">
        <v>507</v>
      </c>
      <c r="K609" s="31" t="s">
        <v>157</v>
      </c>
      <c r="L609" s="31" t="s">
        <v>21</v>
      </c>
      <c r="M609" s="31" t="s">
        <v>22</v>
      </c>
      <c r="N609" s="31">
        <v>10</v>
      </c>
      <c r="O609" s="31">
        <f>2024-Inventory[[#This Row],[YrBlt]]</f>
        <v>17</v>
      </c>
      <c r="P609" s="31">
        <f>2024-Inventory[[#This Row],[EffYr]]</f>
        <v>17</v>
      </c>
      <c r="Q609" s="30">
        <v>2007</v>
      </c>
      <c r="R609" s="30">
        <v>2007</v>
      </c>
      <c r="S609" s="30">
        <v>1116</v>
      </c>
      <c r="T609" s="30">
        <v>1116</v>
      </c>
      <c r="U609" s="32"/>
      <c r="V609" s="32"/>
      <c r="W609" s="32"/>
      <c r="X609" s="32">
        <f>Inventory[[#This Row],[Bsmt Area]]-Inventory[[#This Row],[FnBsmt]]</f>
        <v>0</v>
      </c>
      <c r="Y609" s="32">
        <f>Inventory[[#This Row],[MainFn]]+Inventory[[#This Row],[UpprFn]]+Inventory[[#This Row],[AddFn]]+Inventory[[#This Row],[FnBsmt]]</f>
        <v>2232</v>
      </c>
      <c r="Z609" s="32">
        <v>2500</v>
      </c>
      <c r="AA609" s="31" t="s">
        <v>56</v>
      </c>
      <c r="AB609" s="38">
        <v>1</v>
      </c>
      <c r="AC609" s="30">
        <v>440</v>
      </c>
      <c r="AD609" s="32"/>
      <c r="AE609" s="32"/>
      <c r="AF609" s="32"/>
      <c r="AG609" s="32"/>
      <c r="AH609" s="32"/>
      <c r="AI609" s="30">
        <v>449089</v>
      </c>
      <c r="AJ609" s="30">
        <v>417653</v>
      </c>
      <c r="AK609" s="30">
        <v>0</v>
      </c>
      <c r="AL609" s="30">
        <v>0</v>
      </c>
      <c r="AM609" s="30">
        <v>61700</v>
      </c>
      <c r="AN609" s="30">
        <v>351800</v>
      </c>
      <c r="AO609" s="30">
        <v>413500</v>
      </c>
      <c r="AP609" s="30">
        <f>Lookups!$B$58*0.6</f>
        <v>132535.48800000001</v>
      </c>
      <c r="AQ609" s="30">
        <f>Lookups!$B$58*0.4</f>
        <v>88356.992000000013</v>
      </c>
      <c r="AR609" s="30">
        <f>Lookups!$B$59*Inventory[[#This Row],[LnAcres]]</f>
        <v>-23255.730391660189</v>
      </c>
      <c r="AS609" s="30">
        <f>VLOOKUP(Inventory[[#This Row],[Qlty]],Lookups!$A$66:$E$79,2,FALSE)</f>
        <v>32917.849192000001</v>
      </c>
      <c r="AT609" s="30">
        <f>VLOOKUP(Inventory[[#This Row],[Cnd]],Lookups!$A$80:$E$88,2,FALSE)</f>
        <v>50438.379078999998</v>
      </c>
      <c r="AU609" s="30">
        <f>Inventory[[#This Row],[EffAge]]*Lookups!$B$65</f>
        <v>-1848.5987</v>
      </c>
      <c r="AV609" s="30">
        <f>Inventory[[#This Row],[MainFn]]*Lookups!$B$90</f>
        <v>69649.984080000009</v>
      </c>
      <c r="AW609" s="30">
        <f>Inventory[[#This Row],[UpprFn]]*Lookups!$B$91</f>
        <v>66491.707427999994</v>
      </c>
      <c r="AX609" s="30">
        <f>Inventory[[#This Row],[Bsmt Area]]*Lookups!$B$95</f>
        <v>0</v>
      </c>
      <c r="AY609" s="30">
        <f>Inventory[[#This Row],[AttGar]]*Lookups!$B$93</f>
        <v>15532.453640000002</v>
      </c>
      <c r="AZ609" s="30">
        <f>ROUND(Inventory[[#This Row],[25Det]],-2)</f>
        <v>0</v>
      </c>
      <c r="BA609" s="30">
        <f>ROUND(SUM(Inventory[[#This Row],[Mdl Qlty]:[Mdl Garage Area]])+Inventory[[#This Row],[Mdl Res Intercept]],-2)</f>
        <v>365700</v>
      </c>
      <c r="BB609" s="30">
        <f>ROUND(Inventory[[#This Row],[Mdl Land Intercept]]+Inventory[[#This Row],[Mdl LnAcres]],-2)</f>
        <v>65100</v>
      </c>
      <c r="BC609" s="30">
        <f>Inventory[[#This Row],[Unadj Res Value]]+Inventory[[#This Row],[Unadj Det Value]]+Inventory[[#This Row],[Unadj Land Value]]</f>
        <v>430800</v>
      </c>
      <c r="BD609" s="30">
        <f>(Inventory[[#This Row],[Unadj Total Value]]-Inventory[[#This Row],[24Final]])/Inventory[[#This Row],[24Final]]</f>
        <v>4.1837968561064087E-2</v>
      </c>
      <c r="BE609" s="30">
        <f>VLOOKUP(Inventory[[#This Row],[Nbhd]],Lookups!$M$3:$P$5,4,FALSE)</f>
        <v>0.99970000000000003</v>
      </c>
      <c r="BF609" s="30">
        <f>VLOOKUP(Inventory[[#This Row],[Qlty]],Lookups!$M$8:$P$22,4,FALSE)</f>
        <v>1.0019</v>
      </c>
      <c r="BG609" s="30">
        <f>VLOOKUP(Inventory[[#This Row],[Cnd]],Lookups!$R$8:$U$17,4,FALSE)</f>
        <v>1.0007999999999999</v>
      </c>
      <c r="BH609" s="30">
        <f>VLOOKUP(Inventory[[#This Row],[LivArea Range]],Lookups!$R$25:$U$43,4,FALSE)</f>
        <v>1.0008999999999999</v>
      </c>
      <c r="BI609" s="30">
        <f>VLOOKUP(Inventory[[#This Row],[Decade]],Lookups!$M$24:$P$40,4,FALSE)</f>
        <v>1.0024</v>
      </c>
      <c r="BJ609" s="30">
        <f>Inventory[[#This Row],[Nbhd Adj]]*0.95</f>
        <v>0.94971499999999998</v>
      </c>
      <c r="BK609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609" s="30">
        <f>ROUND((SUM(Inventory[[#This Row],[Mdl Qlty]:[Mdl Garage Area]])+Inventory[[#This Row],[Mdl Res Intercept]])*Inventory[[#This Row],[Res Adj ]],-2)</f>
        <v>347800</v>
      </c>
      <c r="BM609" s="30">
        <f>ROUND(Inventory[[#This Row],[25Det]]*Inventory[[#This Row],[Det/Nbhd Adj]],-2)</f>
        <v>0</v>
      </c>
      <c r="BN609" s="30">
        <f>Inventory[[#This Row],[Adjusted Res]]+Inventory[[#This Row],[Adj Det ]]</f>
        <v>347800</v>
      </c>
      <c r="BO609" s="30">
        <f>ROUND((Inventory[[#This Row],[Mdl Land Intercept]]+Inventory[[#This Row],[Mdl LnAcres]])*Inventory[[#This Row],[Det/Nbhd Adj]],-2)</f>
        <v>61800</v>
      </c>
      <c r="BP609" s="30">
        <f>Inventory[[#This Row],[Adjusted Impr Total]]+Inventory[[#This Row],[Adjusted Land Total]]</f>
        <v>409600</v>
      </c>
      <c r="BQ609" s="30">
        <f>IFERROR((Inventory[[#This Row],[Adjusted Impr Total]]-Inventory[[#This Row],[24Bldg]])/Inventory[[#This Row],[24Bldg]],0)</f>
        <v>-1.137009664582149E-2</v>
      </c>
      <c r="BR609" s="43">
        <f>(Inventory[[#This Row],[Adjusted Land Total]]-Inventory[[#This Row],[24Lnd]])/Inventory[[#This Row],[24Lnd]]</f>
        <v>1.6207455429497568E-3</v>
      </c>
      <c r="BS609" s="43">
        <f>(Inventory[[#This Row],[Adjusted Total]]-Inventory[[#This Row],[24Final]])/Inventory[[#This Row],[24Final]]</f>
        <v>-9.4316807738815001E-3</v>
      </c>
    </row>
    <row r="610" spans="1:71">
      <c r="A610" s="30">
        <v>2025</v>
      </c>
      <c r="B610" s="31" t="s">
        <v>1124</v>
      </c>
      <c r="C610" s="31">
        <f>LN(Inventory[[#This Row],[Acres]])</f>
        <v>-1.7719568419318752</v>
      </c>
      <c r="D610" s="30">
        <v>0.17</v>
      </c>
      <c r="E610" s="30">
        <v>7534</v>
      </c>
      <c r="F610" s="31" t="s">
        <v>505</v>
      </c>
      <c r="G610" s="31" t="s">
        <v>155</v>
      </c>
      <c r="H610" s="31" t="s">
        <v>5</v>
      </c>
      <c r="I610" s="31" t="s">
        <v>506</v>
      </c>
      <c r="J610" s="31" t="s">
        <v>507</v>
      </c>
      <c r="K610" s="31" t="s">
        <v>193</v>
      </c>
      <c r="L610" s="31" t="s">
        <v>21</v>
      </c>
      <c r="M610" s="31" t="s">
        <v>20</v>
      </c>
      <c r="N610" s="31">
        <v>10</v>
      </c>
      <c r="O610" s="31">
        <f>2024-Inventory[[#This Row],[YrBlt]]</f>
        <v>17</v>
      </c>
      <c r="P610" s="31">
        <f>2024-Inventory[[#This Row],[EffYr]]</f>
        <v>17</v>
      </c>
      <c r="Q610" s="30">
        <v>2007</v>
      </c>
      <c r="R610" s="30">
        <v>2007</v>
      </c>
      <c r="S610" s="30">
        <v>1604</v>
      </c>
      <c r="T610" s="32"/>
      <c r="U610" s="32"/>
      <c r="V610" s="32"/>
      <c r="W610" s="32"/>
      <c r="X610" s="32">
        <f>Inventory[[#This Row],[Bsmt Area]]-Inventory[[#This Row],[FnBsmt]]</f>
        <v>0</v>
      </c>
      <c r="Y610" s="32">
        <f>Inventory[[#This Row],[MainFn]]+Inventory[[#This Row],[UpprFn]]+Inventory[[#This Row],[AddFn]]+Inventory[[#This Row],[FnBsmt]]</f>
        <v>1604</v>
      </c>
      <c r="Z610" s="32">
        <v>2000</v>
      </c>
      <c r="AA610" s="31" t="s">
        <v>56</v>
      </c>
      <c r="AB610" s="38">
        <v>1</v>
      </c>
      <c r="AC610" s="30">
        <v>440</v>
      </c>
      <c r="AD610" s="32"/>
      <c r="AE610" s="32"/>
      <c r="AF610" s="32"/>
      <c r="AG610" s="32"/>
      <c r="AH610" s="38">
        <v>82</v>
      </c>
      <c r="AI610" s="30">
        <v>368342</v>
      </c>
      <c r="AJ610" s="30">
        <v>342558</v>
      </c>
      <c r="AK610" s="30">
        <v>0</v>
      </c>
      <c r="AL610" s="30">
        <v>0</v>
      </c>
      <c r="AM610" s="30">
        <v>61700</v>
      </c>
      <c r="AN610" s="30">
        <v>258200</v>
      </c>
      <c r="AO610" s="30">
        <v>319900</v>
      </c>
      <c r="AP610" s="30">
        <f>Lookups!$B$58*0.6</f>
        <v>132535.48800000001</v>
      </c>
      <c r="AQ610" s="30">
        <f>Lookups!$B$58*0.4</f>
        <v>88356.992000000013</v>
      </c>
      <c r="AR610" s="30">
        <f>Lookups!$B$59*Inventory[[#This Row],[LnAcres]]</f>
        <v>-23255.730391660189</v>
      </c>
      <c r="AS610" s="30">
        <f>VLOOKUP(Inventory[[#This Row],[Qlty]],Lookups!$A$66:$E$79,2,FALSE)</f>
        <v>32917.849192000001</v>
      </c>
      <c r="AT610" s="30">
        <f>VLOOKUP(Inventory[[#This Row],[Cnd]],Lookups!$A$80:$E$88,2,FALSE)</f>
        <v>30300.329274</v>
      </c>
      <c r="AU610" s="30">
        <f>Inventory[[#This Row],[EffAge]]*Lookups!$B$65</f>
        <v>-1848.5987</v>
      </c>
      <c r="AV610" s="30">
        <f>Inventory[[#This Row],[MainFn]]*Lookups!$B$90</f>
        <v>100106.24952000001</v>
      </c>
      <c r="AW610" s="30">
        <f>Inventory[[#This Row],[UpprFn]]*Lookups!$B$91</f>
        <v>0</v>
      </c>
      <c r="AX610" s="30">
        <f>Inventory[[#This Row],[Bsmt Area]]*Lookups!$B$95</f>
        <v>0</v>
      </c>
      <c r="AY610" s="30">
        <f>Inventory[[#This Row],[AttGar]]*Lookups!$B$93</f>
        <v>15532.453640000002</v>
      </c>
      <c r="AZ610" s="30">
        <f>ROUND(Inventory[[#This Row],[25Det]],-2)</f>
        <v>0</v>
      </c>
      <c r="BA610" s="30">
        <f>ROUND(SUM(Inventory[[#This Row],[Mdl Qlty]:[Mdl Garage Area]])+Inventory[[#This Row],[Mdl Res Intercept]],-2)</f>
        <v>309500</v>
      </c>
      <c r="BB610" s="30">
        <f>ROUND(Inventory[[#This Row],[Mdl Land Intercept]]+Inventory[[#This Row],[Mdl LnAcres]],-2)</f>
        <v>65100</v>
      </c>
      <c r="BC610" s="30">
        <f>Inventory[[#This Row],[Unadj Res Value]]+Inventory[[#This Row],[Unadj Det Value]]+Inventory[[#This Row],[Unadj Land Value]]</f>
        <v>374600</v>
      </c>
      <c r="BD610" s="30">
        <f>(Inventory[[#This Row],[Unadj Total Value]]-Inventory[[#This Row],[24Final]])/Inventory[[#This Row],[24Final]]</f>
        <v>0.17099093466708346</v>
      </c>
      <c r="BE610" s="30">
        <f>VLOOKUP(Inventory[[#This Row],[Nbhd]],Lookups!$M$3:$P$5,4,FALSE)</f>
        <v>0.99970000000000003</v>
      </c>
      <c r="BF610" s="30">
        <f>VLOOKUP(Inventory[[#This Row],[Qlty]],Lookups!$M$8:$P$22,4,FALSE)</f>
        <v>1.0019</v>
      </c>
      <c r="BG610" s="30">
        <f>VLOOKUP(Inventory[[#This Row],[Cnd]],Lookups!$R$8:$U$17,4,FALSE)</f>
        <v>0.997</v>
      </c>
      <c r="BH610" s="30">
        <f>VLOOKUP(Inventory[[#This Row],[LivArea Range]],Lookups!$R$25:$U$43,4,FALSE)</f>
        <v>1.0007999999999999</v>
      </c>
      <c r="BI610" s="30">
        <f>VLOOKUP(Inventory[[#This Row],[Decade]],Lookups!$M$24:$P$40,4,FALSE)</f>
        <v>1.0024</v>
      </c>
      <c r="BJ610" s="30">
        <f>Inventory[[#This Row],[Nbhd Adj]]*0.95</f>
        <v>0.94971499999999998</v>
      </c>
      <c r="BK610" s="30">
        <f>AVERAGE(Inventory[[#This Row],[Nbhd Adj]],Inventory[[#This Row],[Quality Adj]],Inventory[[#This Row],[Condition Adj]],Inventory[[#This Row],[Living Area Adj]],Inventory[[#This Row],[Decade Adj]])*0.95</f>
        <v>0.95034199999999991</v>
      </c>
      <c r="BL610" s="30">
        <f>ROUND((SUM(Inventory[[#This Row],[Mdl Qlty]:[Mdl Garage Area]])+Inventory[[#This Row],[Mdl Res Intercept]])*Inventory[[#This Row],[Res Adj ]],-2)</f>
        <v>294200</v>
      </c>
      <c r="BM610" s="30">
        <f>ROUND(Inventory[[#This Row],[25Det]]*Inventory[[#This Row],[Det/Nbhd Adj]],-2)</f>
        <v>0</v>
      </c>
      <c r="BN610" s="30">
        <f>Inventory[[#This Row],[Adjusted Res]]+Inventory[[#This Row],[Adj Det ]]</f>
        <v>294200</v>
      </c>
      <c r="BO610" s="30">
        <f>ROUND((Inventory[[#This Row],[Mdl Land Intercept]]+Inventory[[#This Row],[Mdl LnAcres]])*Inventory[[#This Row],[Det/Nbhd Adj]],-2)</f>
        <v>61800</v>
      </c>
      <c r="BP610" s="30">
        <f>Inventory[[#This Row],[Adjusted Impr Total]]+Inventory[[#This Row],[Adjusted Land Total]]</f>
        <v>356000</v>
      </c>
      <c r="BQ610" s="30">
        <f>IFERROR((Inventory[[#This Row],[Adjusted Impr Total]]-Inventory[[#This Row],[24Bldg]])/Inventory[[#This Row],[24Bldg]],0)</f>
        <v>0.13942680092951201</v>
      </c>
      <c r="BR610" s="43">
        <f>(Inventory[[#This Row],[Adjusted Land Total]]-Inventory[[#This Row],[24Lnd]])/Inventory[[#This Row],[24Lnd]]</f>
        <v>1.6207455429497568E-3</v>
      </c>
      <c r="BS610" s="43">
        <f>(Inventory[[#This Row],[Adjusted Total]]-Inventory[[#This Row],[24Final]])/Inventory[[#This Row],[24Final]]</f>
        <v>0.11284776492653954</v>
      </c>
    </row>
    <row r="611" spans="1:71">
      <c r="A611" s="30">
        <v>2025</v>
      </c>
      <c r="B611" s="31" t="s">
        <v>1125</v>
      </c>
      <c r="C611" s="31">
        <f>LN(Inventory[[#This Row],[Acres]])</f>
        <v>-1.7147984280919266</v>
      </c>
      <c r="D611" s="30">
        <v>0.18</v>
      </c>
      <c r="E611" s="30">
        <v>7772</v>
      </c>
      <c r="F611" s="31" t="s">
        <v>505</v>
      </c>
      <c r="G611" s="31" t="s">
        <v>155</v>
      </c>
      <c r="H611" s="31" t="s">
        <v>5</v>
      </c>
      <c r="I611" s="31" t="s">
        <v>506</v>
      </c>
      <c r="J611" s="31" t="s">
        <v>507</v>
      </c>
      <c r="K611" s="31" t="s">
        <v>157</v>
      </c>
      <c r="L611" s="31" t="s">
        <v>21</v>
      </c>
      <c r="M611" s="31" t="s">
        <v>18</v>
      </c>
      <c r="N611" s="31">
        <v>10</v>
      </c>
      <c r="O611" s="31">
        <f>2024-Inventory[[#This Row],[YrBlt]]</f>
        <v>17</v>
      </c>
      <c r="P611" s="31">
        <f>2024-Inventory[[#This Row],[EffYr]]</f>
        <v>17</v>
      </c>
      <c r="Q611" s="30">
        <v>2007</v>
      </c>
      <c r="R611" s="30">
        <v>2007</v>
      </c>
      <c r="S611" s="30">
        <v>1116</v>
      </c>
      <c r="T611" s="30">
        <v>1116</v>
      </c>
      <c r="U611" s="32"/>
      <c r="V611" s="32"/>
      <c r="W611" s="32"/>
      <c r="X611" s="32">
        <f>Inventory[[#This Row],[Bsmt Area]]-Inventory[[#This Row],[FnBsmt]]</f>
        <v>0</v>
      </c>
      <c r="Y611" s="32">
        <f>Inventory[[#This Row],[MainFn]]+Inventory[[#This Row],[UpprFn]]+Inventory[[#This Row],[AddFn]]+Inventory[[#This Row],[FnBsmt]]</f>
        <v>2232</v>
      </c>
      <c r="Z611" s="32">
        <v>2500</v>
      </c>
      <c r="AA611" s="31" t="s">
        <v>57</v>
      </c>
      <c r="AB611" s="30">
        <v>1</v>
      </c>
      <c r="AC611" s="30">
        <v>440</v>
      </c>
      <c r="AD611" s="32"/>
      <c r="AE611" s="32"/>
      <c r="AF611" s="32"/>
      <c r="AG611" s="32"/>
      <c r="AH611" s="32"/>
      <c r="AI611" s="30">
        <v>444722</v>
      </c>
      <c r="AJ611" s="30">
        <v>409144</v>
      </c>
      <c r="AK611" s="30">
        <v>0</v>
      </c>
      <c r="AL611" s="30">
        <v>0</v>
      </c>
      <c r="AM611" s="30">
        <v>62500</v>
      </c>
      <c r="AN611" s="30">
        <v>324700</v>
      </c>
      <c r="AO611" s="30">
        <v>387200</v>
      </c>
      <c r="AP611" s="30">
        <f>Lookups!$B$58*0.6</f>
        <v>132535.48800000001</v>
      </c>
      <c r="AQ611" s="30">
        <f>Lookups!$B$58*0.4</f>
        <v>88356.992000000013</v>
      </c>
      <c r="AR611" s="30">
        <f>Lookups!$B$59*Inventory[[#This Row],[LnAcres]]</f>
        <v>-22505.565020573864</v>
      </c>
      <c r="AS611" s="30">
        <f>VLOOKUP(Inventory[[#This Row],[Qlty]],Lookups!$A$66:$E$79,2,FALSE)</f>
        <v>32917.849192000001</v>
      </c>
      <c r="AT611" s="30">
        <f>VLOOKUP(Inventory[[#This Row],[Cnd]],Lookups!$A$80:$E$88,2,FALSE)</f>
        <v>17761.121909000001</v>
      </c>
      <c r="AU611" s="30">
        <f>Inventory[[#This Row],[EffAge]]*Lookups!$B$65</f>
        <v>-1848.5987</v>
      </c>
      <c r="AV611" s="30">
        <f>Inventory[[#This Row],[MainFn]]*Lookups!$B$90</f>
        <v>69649.984080000009</v>
      </c>
      <c r="AW611" s="30">
        <f>Inventory[[#This Row],[UpprFn]]*Lookups!$B$91</f>
        <v>66491.707427999994</v>
      </c>
      <c r="AX611" s="30">
        <f>Inventory[[#This Row],[Bsmt Area]]*Lookups!$B$95</f>
        <v>0</v>
      </c>
      <c r="AY611" s="30">
        <f>Inventory[[#This Row],[AttGar]]*Lookups!$B$93</f>
        <v>15532.453640000002</v>
      </c>
      <c r="AZ611" s="30">
        <f>ROUND(Inventory[[#This Row],[25Det]],-2)</f>
        <v>0</v>
      </c>
      <c r="BA611" s="30">
        <f>ROUND(SUM(Inventory[[#This Row],[Mdl Qlty]:[Mdl Garage Area]])+Inventory[[#This Row],[Mdl Res Intercept]],-2)</f>
        <v>333000</v>
      </c>
      <c r="BB611" s="30">
        <f>ROUND(Inventory[[#This Row],[Mdl Land Intercept]]+Inventory[[#This Row],[Mdl LnAcres]],-2)</f>
        <v>65900</v>
      </c>
      <c r="BC611" s="30">
        <f>Inventory[[#This Row],[Unadj Res Value]]+Inventory[[#This Row],[Unadj Det Value]]+Inventory[[#This Row],[Unadj Land Value]]</f>
        <v>398900</v>
      </c>
      <c r="BD611" s="30">
        <f>(Inventory[[#This Row],[Unadj Total Value]]-Inventory[[#This Row],[24Final]])/Inventory[[#This Row],[24Final]]</f>
        <v>3.0216942148760331E-2</v>
      </c>
      <c r="BE611" s="30">
        <f>VLOOKUP(Inventory[[#This Row],[Nbhd]],Lookups!$M$3:$P$5,4,FALSE)</f>
        <v>0.99970000000000003</v>
      </c>
      <c r="BF611" s="30">
        <f>VLOOKUP(Inventory[[#This Row],[Qlty]],Lookups!$M$8:$P$22,4,FALSE)</f>
        <v>1.0019</v>
      </c>
      <c r="BG611" s="30">
        <f>VLOOKUP(Inventory[[#This Row],[Cnd]],Lookups!$R$8:$U$17,4,FALSE)</f>
        <v>0.99680000000000002</v>
      </c>
      <c r="BH611" s="30">
        <f>VLOOKUP(Inventory[[#This Row],[LivArea Range]],Lookups!$R$25:$U$43,4,FALSE)</f>
        <v>1.0008999999999999</v>
      </c>
      <c r="BI611" s="30">
        <f>VLOOKUP(Inventory[[#This Row],[Decade]],Lookups!$M$24:$P$40,4,FALSE)</f>
        <v>1.0024</v>
      </c>
      <c r="BJ611" s="30">
        <f>Inventory[[#This Row],[Nbhd Adj]]*0.95</f>
        <v>0.94971499999999998</v>
      </c>
      <c r="BK611" s="30">
        <f>AVERAGE(Inventory[[#This Row],[Nbhd Adj]],Inventory[[#This Row],[Quality Adj]],Inventory[[#This Row],[Condition Adj]],Inventory[[#This Row],[Living Area Adj]],Inventory[[#This Row],[Decade Adj]])*0.95</f>
        <v>0.95032299999999992</v>
      </c>
      <c r="BL611" s="30">
        <f>ROUND((SUM(Inventory[[#This Row],[Mdl Qlty]:[Mdl Garage Area]])+Inventory[[#This Row],[Mdl Res Intercept]])*Inventory[[#This Row],[Res Adj ]],-2)</f>
        <v>316500</v>
      </c>
      <c r="BM611" s="30">
        <f>ROUND(Inventory[[#This Row],[25Det]]*Inventory[[#This Row],[Det/Nbhd Adj]],-2)</f>
        <v>0</v>
      </c>
      <c r="BN611" s="30">
        <f>Inventory[[#This Row],[Adjusted Res]]+Inventory[[#This Row],[Adj Det ]]</f>
        <v>316500</v>
      </c>
      <c r="BO611" s="30">
        <f>ROUND((Inventory[[#This Row],[Mdl Land Intercept]]+Inventory[[#This Row],[Mdl LnAcres]])*Inventory[[#This Row],[Det/Nbhd Adj]],-2)</f>
        <v>62500</v>
      </c>
      <c r="BP611" s="30">
        <f>Inventory[[#This Row],[Adjusted Impr Total]]+Inventory[[#This Row],[Adjusted Land Total]]</f>
        <v>379000</v>
      </c>
      <c r="BQ611" s="30">
        <f>IFERROR((Inventory[[#This Row],[Adjusted Impr Total]]-Inventory[[#This Row],[24Bldg]])/Inventory[[#This Row],[24Bldg]],0)</f>
        <v>-2.5254080689867571E-2</v>
      </c>
      <c r="BR611" s="43">
        <f>(Inventory[[#This Row],[Adjusted Land Total]]-Inventory[[#This Row],[24Lnd]])/Inventory[[#This Row],[24Lnd]]</f>
        <v>0</v>
      </c>
      <c r="BS611" s="43">
        <f>(Inventory[[#This Row],[Adjusted Total]]-Inventory[[#This Row],[24Final]])/Inventory[[#This Row],[24Final]]</f>
        <v>-2.1177685950413222E-2</v>
      </c>
    </row>
    <row r="612" spans="1:71">
      <c r="A612" s="30">
        <v>2025</v>
      </c>
      <c r="B612" s="31" t="s">
        <v>1126</v>
      </c>
      <c r="C612" s="31">
        <f>LN(Inventory[[#This Row],[Acres]])</f>
        <v>-1.7147984280919266</v>
      </c>
      <c r="D612" s="30">
        <v>0.18</v>
      </c>
      <c r="E612" s="30">
        <v>8022</v>
      </c>
      <c r="F612" s="31" t="s">
        <v>505</v>
      </c>
      <c r="G612" s="31" t="s">
        <v>155</v>
      </c>
      <c r="H612" s="31" t="s">
        <v>5</v>
      </c>
      <c r="I612" s="31" t="s">
        <v>506</v>
      </c>
      <c r="J612" s="31" t="s">
        <v>507</v>
      </c>
      <c r="K612" s="31" t="s">
        <v>330</v>
      </c>
      <c r="L612" s="31" t="s">
        <v>21</v>
      </c>
      <c r="M612" s="31" t="s">
        <v>20</v>
      </c>
      <c r="N612" s="31">
        <v>10</v>
      </c>
      <c r="O612" s="31">
        <f>2024-Inventory[[#This Row],[YrBlt]]</f>
        <v>17</v>
      </c>
      <c r="P612" s="31">
        <f>2024-Inventory[[#This Row],[EffYr]]</f>
        <v>17</v>
      </c>
      <c r="Q612" s="30">
        <v>2007</v>
      </c>
      <c r="R612" s="30">
        <v>2007</v>
      </c>
      <c r="S612" s="30">
        <v>1952</v>
      </c>
      <c r="T612" s="32"/>
      <c r="U612" s="32"/>
      <c r="V612" s="32"/>
      <c r="W612" s="32"/>
      <c r="X612" s="32">
        <f>Inventory[[#This Row],[Bsmt Area]]-Inventory[[#This Row],[FnBsmt]]</f>
        <v>0</v>
      </c>
      <c r="Y612" s="32">
        <f>Inventory[[#This Row],[MainFn]]+Inventory[[#This Row],[UpprFn]]+Inventory[[#This Row],[AddFn]]+Inventory[[#This Row],[FnBsmt]]</f>
        <v>1952</v>
      </c>
      <c r="Z612" s="32">
        <v>2000</v>
      </c>
      <c r="AA612" s="31" t="s">
        <v>55</v>
      </c>
      <c r="AB612" s="38">
        <v>1</v>
      </c>
      <c r="AC612" s="30">
        <v>702</v>
      </c>
      <c r="AD612" s="32"/>
      <c r="AE612" s="32"/>
      <c r="AF612" s="32"/>
      <c r="AG612" s="32"/>
      <c r="AH612" s="32"/>
      <c r="AI612" s="30">
        <v>444670</v>
      </c>
      <c r="AJ612" s="30">
        <v>409096</v>
      </c>
      <c r="AK612" s="30">
        <v>0</v>
      </c>
      <c r="AL612" s="30">
        <v>0</v>
      </c>
      <c r="AM612" s="30">
        <v>62500</v>
      </c>
      <c r="AN612" s="30">
        <v>340500</v>
      </c>
      <c r="AO612" s="30">
        <v>403000</v>
      </c>
      <c r="AP612" s="30">
        <f>Lookups!$B$58*0.6</f>
        <v>132535.48800000001</v>
      </c>
      <c r="AQ612" s="30">
        <f>Lookups!$B$58*0.4</f>
        <v>88356.992000000013</v>
      </c>
      <c r="AR612" s="30">
        <f>Lookups!$B$59*Inventory[[#This Row],[LnAcres]]</f>
        <v>-22505.565020573864</v>
      </c>
      <c r="AS612" s="30">
        <f>VLOOKUP(Inventory[[#This Row],[Qlty]],Lookups!$A$66:$E$79,2,FALSE)</f>
        <v>32917.849192000001</v>
      </c>
      <c r="AT612" s="30">
        <f>VLOOKUP(Inventory[[#This Row],[Cnd]],Lookups!$A$80:$E$88,2,FALSE)</f>
        <v>30300.329274</v>
      </c>
      <c r="AU612" s="30">
        <f>Inventory[[#This Row],[EffAge]]*Lookups!$B$65</f>
        <v>-1848.5987</v>
      </c>
      <c r="AV612" s="30">
        <f>Inventory[[#This Row],[MainFn]]*Lookups!$B$90</f>
        <v>121825.06176000001</v>
      </c>
      <c r="AW612" s="30">
        <f>Inventory[[#This Row],[UpprFn]]*Lookups!$B$91</f>
        <v>0</v>
      </c>
      <c r="AX612" s="30">
        <f>Inventory[[#This Row],[Bsmt Area]]*Lookups!$B$95</f>
        <v>0</v>
      </c>
      <c r="AY612" s="30">
        <f>Inventory[[#This Row],[AttGar]]*Lookups!$B$93</f>
        <v>24781.323762</v>
      </c>
      <c r="AZ612" s="30">
        <f>ROUND(Inventory[[#This Row],[25Det]],-2)</f>
        <v>0</v>
      </c>
      <c r="BA612" s="30">
        <f>ROUND(SUM(Inventory[[#This Row],[Mdl Qlty]:[Mdl Garage Area]])+Inventory[[#This Row],[Mdl Res Intercept]],-2)</f>
        <v>340500</v>
      </c>
      <c r="BB612" s="30">
        <f>ROUND(Inventory[[#This Row],[Mdl Land Intercept]]+Inventory[[#This Row],[Mdl LnAcres]],-2)</f>
        <v>65900</v>
      </c>
      <c r="BC612" s="30">
        <f>Inventory[[#This Row],[Unadj Res Value]]+Inventory[[#This Row],[Unadj Det Value]]+Inventory[[#This Row],[Unadj Land Value]]</f>
        <v>406400</v>
      </c>
      <c r="BD612" s="30">
        <f>(Inventory[[#This Row],[Unadj Total Value]]-Inventory[[#This Row],[24Final]])/Inventory[[#This Row],[24Final]]</f>
        <v>8.4367245657568247E-3</v>
      </c>
      <c r="BE612" s="30">
        <f>VLOOKUP(Inventory[[#This Row],[Nbhd]],Lookups!$M$3:$P$5,4,FALSE)</f>
        <v>0.99970000000000003</v>
      </c>
      <c r="BF612" s="30">
        <f>VLOOKUP(Inventory[[#This Row],[Qlty]],Lookups!$M$8:$P$22,4,FALSE)</f>
        <v>1.0019</v>
      </c>
      <c r="BG612" s="30">
        <f>VLOOKUP(Inventory[[#This Row],[Cnd]],Lookups!$R$8:$U$17,4,FALSE)</f>
        <v>0.997</v>
      </c>
      <c r="BH612" s="30">
        <f>VLOOKUP(Inventory[[#This Row],[LivArea Range]],Lookups!$R$25:$U$43,4,FALSE)</f>
        <v>1.0007999999999999</v>
      </c>
      <c r="BI612" s="30">
        <f>VLOOKUP(Inventory[[#This Row],[Decade]],Lookups!$M$24:$P$40,4,FALSE)</f>
        <v>1.0024</v>
      </c>
      <c r="BJ612" s="30">
        <f>Inventory[[#This Row],[Nbhd Adj]]*0.95</f>
        <v>0.94971499999999998</v>
      </c>
      <c r="BK612" s="30">
        <f>AVERAGE(Inventory[[#This Row],[Nbhd Adj]],Inventory[[#This Row],[Quality Adj]],Inventory[[#This Row],[Condition Adj]],Inventory[[#This Row],[Living Area Adj]],Inventory[[#This Row],[Decade Adj]])*0.95</f>
        <v>0.95034199999999991</v>
      </c>
      <c r="BL612" s="30">
        <f>ROUND((SUM(Inventory[[#This Row],[Mdl Qlty]:[Mdl Garage Area]])+Inventory[[#This Row],[Mdl Res Intercept]])*Inventory[[#This Row],[Res Adj ]],-2)</f>
        <v>323600</v>
      </c>
      <c r="BM612" s="30">
        <f>ROUND(Inventory[[#This Row],[25Det]]*Inventory[[#This Row],[Det/Nbhd Adj]],-2)</f>
        <v>0</v>
      </c>
      <c r="BN612" s="30">
        <f>Inventory[[#This Row],[Adjusted Res]]+Inventory[[#This Row],[Adj Det ]]</f>
        <v>323600</v>
      </c>
      <c r="BO612" s="30">
        <f>ROUND((Inventory[[#This Row],[Mdl Land Intercept]]+Inventory[[#This Row],[Mdl LnAcres]])*Inventory[[#This Row],[Det/Nbhd Adj]],-2)</f>
        <v>62500</v>
      </c>
      <c r="BP612" s="30">
        <f>Inventory[[#This Row],[Adjusted Impr Total]]+Inventory[[#This Row],[Adjusted Land Total]]</f>
        <v>386100</v>
      </c>
      <c r="BQ612" s="30">
        <f>IFERROR((Inventory[[#This Row],[Adjusted Impr Total]]-Inventory[[#This Row],[24Bldg]])/Inventory[[#This Row],[24Bldg]],0)</f>
        <v>-4.9632892804698972E-2</v>
      </c>
      <c r="BR612" s="43">
        <f>(Inventory[[#This Row],[Adjusted Land Total]]-Inventory[[#This Row],[24Lnd]])/Inventory[[#This Row],[24Lnd]]</f>
        <v>0</v>
      </c>
      <c r="BS612" s="43">
        <f>(Inventory[[#This Row],[Adjusted Total]]-Inventory[[#This Row],[24Final]])/Inventory[[#This Row],[24Final]]</f>
        <v>-4.1935483870967745E-2</v>
      </c>
    </row>
    <row r="613" spans="1:71">
      <c r="A613" s="30">
        <v>2025</v>
      </c>
      <c r="B613" s="31" t="s">
        <v>1127</v>
      </c>
      <c r="C613" s="31">
        <f>LN(Inventory[[#This Row],[Acres]])</f>
        <v>-1.7147984280919266</v>
      </c>
      <c r="D613" s="30">
        <v>0.18</v>
      </c>
      <c r="E613" s="30">
        <v>7660</v>
      </c>
      <c r="F613" s="31" t="s">
        <v>505</v>
      </c>
      <c r="G613" s="31" t="s">
        <v>155</v>
      </c>
      <c r="H613" s="31" t="s">
        <v>5</v>
      </c>
      <c r="I613" s="31" t="s">
        <v>506</v>
      </c>
      <c r="J613" s="31" t="s">
        <v>507</v>
      </c>
      <c r="K613" s="31" t="s">
        <v>157</v>
      </c>
      <c r="L613" s="31" t="s">
        <v>21</v>
      </c>
      <c r="M613" s="31" t="s">
        <v>22</v>
      </c>
      <c r="N613" s="31">
        <v>10</v>
      </c>
      <c r="O613" s="31">
        <f>2024-Inventory[[#This Row],[YrBlt]]</f>
        <v>17</v>
      </c>
      <c r="P613" s="31">
        <f>2024-Inventory[[#This Row],[EffYr]]</f>
        <v>17</v>
      </c>
      <c r="Q613" s="30">
        <v>2007</v>
      </c>
      <c r="R613" s="30">
        <v>2007</v>
      </c>
      <c r="S613" s="30">
        <v>1374</v>
      </c>
      <c r="T613" s="30">
        <v>1308</v>
      </c>
      <c r="U613" s="32"/>
      <c r="V613" s="32"/>
      <c r="W613" s="32"/>
      <c r="X613" s="32">
        <f>Inventory[[#This Row],[Bsmt Area]]-Inventory[[#This Row],[FnBsmt]]</f>
        <v>0</v>
      </c>
      <c r="Y613" s="32">
        <f>Inventory[[#This Row],[MainFn]]+Inventory[[#This Row],[UpprFn]]+Inventory[[#This Row],[AddFn]]+Inventory[[#This Row],[FnBsmt]]</f>
        <v>2682</v>
      </c>
      <c r="Z613" s="32">
        <v>3000</v>
      </c>
      <c r="AA613" s="31" t="s">
        <v>56</v>
      </c>
      <c r="AB613" s="32"/>
      <c r="AC613" s="30">
        <v>240</v>
      </c>
      <c r="AD613" s="38">
        <v>502</v>
      </c>
      <c r="AE613" s="32"/>
      <c r="AF613" s="32"/>
      <c r="AG613" s="32"/>
      <c r="AH613" s="32"/>
      <c r="AI613" s="30">
        <v>533901</v>
      </c>
      <c r="AJ613" s="30">
        <v>496528</v>
      </c>
      <c r="AK613" s="30">
        <v>0</v>
      </c>
      <c r="AL613" s="30">
        <v>0</v>
      </c>
      <c r="AM613" s="30">
        <v>62500</v>
      </c>
      <c r="AN613" s="30">
        <v>388700</v>
      </c>
      <c r="AO613" s="30">
        <v>451200</v>
      </c>
      <c r="AP613" s="30">
        <f>Lookups!$B$58*0.6</f>
        <v>132535.48800000001</v>
      </c>
      <c r="AQ613" s="30">
        <f>Lookups!$B$58*0.4</f>
        <v>88356.992000000013</v>
      </c>
      <c r="AR613" s="30">
        <f>Lookups!$B$59*Inventory[[#This Row],[LnAcres]]</f>
        <v>-22505.565020573864</v>
      </c>
      <c r="AS613" s="30">
        <f>VLOOKUP(Inventory[[#This Row],[Qlty]],Lookups!$A$66:$E$79,2,FALSE)</f>
        <v>32917.849192000001</v>
      </c>
      <c r="AT613" s="30">
        <f>VLOOKUP(Inventory[[#This Row],[Cnd]],Lookups!$A$80:$E$88,2,FALSE)</f>
        <v>50438.379078999998</v>
      </c>
      <c r="AU613" s="30">
        <f>Inventory[[#This Row],[EffAge]]*Lookups!$B$65</f>
        <v>-1848.5987</v>
      </c>
      <c r="AV613" s="30">
        <f>Inventory[[#This Row],[MainFn]]*Lookups!$B$90</f>
        <v>85751.862120000005</v>
      </c>
      <c r="AW613" s="30">
        <f>Inventory[[#This Row],[UpprFn]]*Lookups!$B$91</f>
        <v>77931.140963999991</v>
      </c>
      <c r="AX613" s="30">
        <f>Inventory[[#This Row],[Bsmt Area]]*Lookups!$B$95</f>
        <v>0</v>
      </c>
      <c r="AY613" s="30">
        <f>Inventory[[#This Row],[AttGar]]*Lookups!$B$93</f>
        <v>8472.247440000001</v>
      </c>
      <c r="AZ613" s="30">
        <f>ROUND(Inventory[[#This Row],[25Det]],-2)</f>
        <v>0</v>
      </c>
      <c r="BA613" s="30">
        <f>ROUND(SUM(Inventory[[#This Row],[Mdl Qlty]:[Mdl Garage Area]])+Inventory[[#This Row],[Mdl Res Intercept]],-2)</f>
        <v>386200</v>
      </c>
      <c r="BB613" s="30">
        <f>ROUND(Inventory[[#This Row],[Mdl Land Intercept]]+Inventory[[#This Row],[Mdl LnAcres]],-2)</f>
        <v>65900</v>
      </c>
      <c r="BC613" s="30">
        <f>Inventory[[#This Row],[Unadj Res Value]]+Inventory[[#This Row],[Unadj Det Value]]+Inventory[[#This Row],[Unadj Land Value]]</f>
        <v>452100</v>
      </c>
      <c r="BD613" s="30">
        <f>(Inventory[[#This Row],[Unadj Total Value]]-Inventory[[#This Row],[24Final]])/Inventory[[#This Row],[24Final]]</f>
        <v>1.9946808510638296E-3</v>
      </c>
      <c r="BE613" s="30">
        <f>VLOOKUP(Inventory[[#This Row],[Nbhd]],Lookups!$M$3:$P$5,4,FALSE)</f>
        <v>0.99970000000000003</v>
      </c>
      <c r="BF613" s="30">
        <f>VLOOKUP(Inventory[[#This Row],[Qlty]],Lookups!$M$8:$P$22,4,FALSE)</f>
        <v>1.0019</v>
      </c>
      <c r="BG613" s="30">
        <f>VLOOKUP(Inventory[[#This Row],[Cnd]],Lookups!$R$8:$U$17,4,FALSE)</f>
        <v>1.0007999999999999</v>
      </c>
      <c r="BH613" s="30">
        <f>VLOOKUP(Inventory[[#This Row],[LivArea Range]],Lookups!$R$25:$U$43,4,FALSE)</f>
        <v>1.0099</v>
      </c>
      <c r="BI613" s="30">
        <f>VLOOKUP(Inventory[[#This Row],[Decade]],Lookups!$M$24:$P$40,4,FALSE)</f>
        <v>1.0024</v>
      </c>
      <c r="BJ613" s="30">
        <f>Inventory[[#This Row],[Nbhd Adj]]*0.95</f>
        <v>0.94971499999999998</v>
      </c>
      <c r="BK613" s="30">
        <f>AVERAGE(Inventory[[#This Row],[Nbhd Adj]],Inventory[[#This Row],[Quality Adj]],Inventory[[#This Row],[Condition Adj]],Inventory[[#This Row],[Living Area Adj]],Inventory[[#This Row],[Decade Adj]])*0.95</f>
        <v>0.95279299999999989</v>
      </c>
      <c r="BL613" s="30">
        <f>ROUND((SUM(Inventory[[#This Row],[Mdl Qlty]:[Mdl Garage Area]])+Inventory[[#This Row],[Mdl Res Intercept]])*Inventory[[#This Row],[Res Adj ]],-2)</f>
        <v>368000</v>
      </c>
      <c r="BM613" s="30">
        <f>ROUND(Inventory[[#This Row],[25Det]]*Inventory[[#This Row],[Det/Nbhd Adj]],-2)</f>
        <v>0</v>
      </c>
      <c r="BN613" s="30">
        <f>Inventory[[#This Row],[Adjusted Res]]+Inventory[[#This Row],[Adj Det ]]</f>
        <v>368000</v>
      </c>
      <c r="BO613" s="30">
        <f>ROUND((Inventory[[#This Row],[Mdl Land Intercept]]+Inventory[[#This Row],[Mdl LnAcres]])*Inventory[[#This Row],[Det/Nbhd Adj]],-2)</f>
        <v>62500</v>
      </c>
      <c r="BP613" s="30">
        <f>Inventory[[#This Row],[Adjusted Impr Total]]+Inventory[[#This Row],[Adjusted Land Total]]</f>
        <v>430500</v>
      </c>
      <c r="BQ613" s="30">
        <f>IFERROR((Inventory[[#This Row],[Adjusted Impr Total]]-Inventory[[#This Row],[24Bldg]])/Inventory[[#This Row],[24Bldg]],0)</f>
        <v>-5.3254437869822487E-2</v>
      </c>
      <c r="BR613" s="43">
        <f>(Inventory[[#This Row],[Adjusted Land Total]]-Inventory[[#This Row],[24Lnd]])/Inventory[[#This Row],[24Lnd]]</f>
        <v>0</v>
      </c>
      <c r="BS613" s="43">
        <f>(Inventory[[#This Row],[Adjusted Total]]-Inventory[[#This Row],[24Final]])/Inventory[[#This Row],[24Final]]</f>
        <v>-4.5877659574468085E-2</v>
      </c>
    </row>
    <row r="614" spans="1:71">
      <c r="A614" s="30">
        <v>2025</v>
      </c>
      <c r="B614" s="31" t="s">
        <v>1128</v>
      </c>
      <c r="C614" s="31">
        <f>LN(Inventory[[#This Row],[Acres]])</f>
        <v>-1.7147984280919266</v>
      </c>
      <c r="D614" s="30">
        <v>0.18</v>
      </c>
      <c r="E614" s="30">
        <v>7926</v>
      </c>
      <c r="F614" s="31" t="s">
        <v>505</v>
      </c>
      <c r="G614" s="31" t="s">
        <v>155</v>
      </c>
      <c r="H614" s="31" t="s">
        <v>5</v>
      </c>
      <c r="I614" s="31" t="s">
        <v>506</v>
      </c>
      <c r="J614" s="31" t="s">
        <v>507</v>
      </c>
      <c r="K614" s="31" t="s">
        <v>193</v>
      </c>
      <c r="L614" s="31" t="s">
        <v>19</v>
      </c>
      <c r="M614" s="31" t="s">
        <v>20</v>
      </c>
      <c r="N614" s="31">
        <v>10</v>
      </c>
      <c r="O614" s="31">
        <f>2024-Inventory[[#This Row],[YrBlt]]</f>
        <v>17</v>
      </c>
      <c r="P614" s="31">
        <f>2024-Inventory[[#This Row],[EffYr]]</f>
        <v>17</v>
      </c>
      <c r="Q614" s="30">
        <v>2007</v>
      </c>
      <c r="R614" s="30">
        <v>2007</v>
      </c>
      <c r="S614" s="30">
        <v>1092</v>
      </c>
      <c r="T614" s="37"/>
      <c r="U614" s="32"/>
      <c r="V614" s="32"/>
      <c r="W614" s="32"/>
      <c r="X614" s="32">
        <f>Inventory[[#This Row],[Bsmt Area]]-Inventory[[#This Row],[FnBsmt]]</f>
        <v>0</v>
      </c>
      <c r="Y614" s="32">
        <f>Inventory[[#This Row],[MainFn]]+Inventory[[#This Row],[UpprFn]]+Inventory[[#This Row],[AddFn]]+Inventory[[#This Row],[FnBsmt]]</f>
        <v>1092</v>
      </c>
      <c r="Z614" s="32">
        <v>1500</v>
      </c>
      <c r="AA614" s="31" t="s">
        <v>56</v>
      </c>
      <c r="AB614" s="37"/>
      <c r="AC614" s="30">
        <v>440</v>
      </c>
      <c r="AD614" s="32"/>
      <c r="AE614" s="32"/>
      <c r="AF614" s="32"/>
      <c r="AG614" s="32"/>
      <c r="AH614" s="32"/>
      <c r="AI614" s="30">
        <v>232141</v>
      </c>
      <c r="AJ614" s="30">
        <v>213570</v>
      </c>
      <c r="AK614" s="30">
        <v>0</v>
      </c>
      <c r="AL614" s="30">
        <v>0</v>
      </c>
      <c r="AM614" s="30">
        <v>62500</v>
      </c>
      <c r="AN614" s="30">
        <v>278500</v>
      </c>
      <c r="AO614" s="30">
        <v>341000</v>
      </c>
      <c r="AP614" s="30">
        <f>Lookups!$B$58*0.6</f>
        <v>132535.48800000001</v>
      </c>
      <c r="AQ614" s="30">
        <f>Lookups!$B$58*0.4</f>
        <v>88356.992000000013</v>
      </c>
      <c r="AR614" s="30">
        <f>Lookups!$B$59*Inventory[[#This Row],[LnAcres]]</f>
        <v>-22505.565020573864</v>
      </c>
      <c r="AS614" s="30">
        <f>VLOOKUP(Inventory[[#This Row],[Qlty]],Lookups!$A$66:$E$79,2,FALSE)</f>
        <v>37154.252388000001</v>
      </c>
      <c r="AT614" s="30">
        <f>VLOOKUP(Inventory[[#This Row],[Cnd]],Lookups!$A$80:$E$88,2,FALSE)</f>
        <v>30300.329274</v>
      </c>
      <c r="AU614" s="30">
        <f>Inventory[[#This Row],[EffAge]]*Lookups!$B$65</f>
        <v>-1848.5987</v>
      </c>
      <c r="AV614" s="30">
        <f>Inventory[[#This Row],[MainFn]]*Lookups!$B$90</f>
        <v>68152.13496000001</v>
      </c>
      <c r="AW614" s="30">
        <f>Inventory[[#This Row],[UpprFn]]*Lookups!$B$91</f>
        <v>0</v>
      </c>
      <c r="AX614" s="30">
        <f>Inventory[[#This Row],[Bsmt Area]]*Lookups!$B$95</f>
        <v>0</v>
      </c>
      <c r="AY614" s="30">
        <f>Inventory[[#This Row],[AttGar]]*Lookups!$B$93</f>
        <v>15532.453640000002</v>
      </c>
      <c r="AZ614" s="30">
        <f>ROUND(Inventory[[#This Row],[25Det]],-2)</f>
        <v>0</v>
      </c>
      <c r="BA614" s="30">
        <f>ROUND(SUM(Inventory[[#This Row],[Mdl Qlty]:[Mdl Garage Area]])+Inventory[[#This Row],[Mdl Res Intercept]],-2)</f>
        <v>281800</v>
      </c>
      <c r="BB614" s="30">
        <f>ROUND(Inventory[[#This Row],[Mdl Land Intercept]]+Inventory[[#This Row],[Mdl LnAcres]],-2)</f>
        <v>65900</v>
      </c>
      <c r="BC614" s="30">
        <f>Inventory[[#This Row],[Unadj Res Value]]+Inventory[[#This Row],[Unadj Det Value]]+Inventory[[#This Row],[Unadj Land Value]]</f>
        <v>347700</v>
      </c>
      <c r="BD614" s="30">
        <f>(Inventory[[#This Row],[Unadj Total Value]]-Inventory[[#This Row],[24Final]])/Inventory[[#This Row],[24Final]]</f>
        <v>1.964809384164223E-2</v>
      </c>
      <c r="BE614" s="30">
        <f>VLOOKUP(Inventory[[#This Row],[Nbhd]],Lookups!$M$3:$P$5,4,FALSE)</f>
        <v>0.99970000000000003</v>
      </c>
      <c r="BF614" s="30">
        <f>VLOOKUP(Inventory[[#This Row],[Qlty]],Lookups!$M$8:$P$22,4,FALSE)</f>
        <v>0.99819999999999998</v>
      </c>
      <c r="BG614" s="30">
        <f>VLOOKUP(Inventory[[#This Row],[Cnd]],Lookups!$R$8:$U$17,4,FALSE)</f>
        <v>0.997</v>
      </c>
      <c r="BH614" s="30">
        <f>VLOOKUP(Inventory[[#This Row],[LivArea Range]],Lookups!$R$25:$U$43,4,FALSE)</f>
        <v>0.99519999999999997</v>
      </c>
      <c r="BI614" s="30">
        <f>VLOOKUP(Inventory[[#This Row],[Decade]],Lookups!$M$24:$P$40,4,FALSE)</f>
        <v>1.0024</v>
      </c>
      <c r="BJ614" s="30">
        <f>Inventory[[#This Row],[Nbhd Adj]]*0.95</f>
        <v>0.94971499999999998</v>
      </c>
      <c r="BK614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614" s="30">
        <f>ROUND((SUM(Inventory[[#This Row],[Mdl Qlty]:[Mdl Garage Area]])+Inventory[[#This Row],[Mdl Res Intercept]])*Inventory[[#This Row],[Res Adj ]],-2)</f>
        <v>267300</v>
      </c>
      <c r="BM614" s="30">
        <f>ROUND(Inventory[[#This Row],[25Det]]*Inventory[[#This Row],[Det/Nbhd Adj]],-2)</f>
        <v>0</v>
      </c>
      <c r="BN614" s="30">
        <f>Inventory[[#This Row],[Adjusted Res]]+Inventory[[#This Row],[Adj Det ]]</f>
        <v>267300</v>
      </c>
      <c r="BO614" s="30">
        <f>ROUND((Inventory[[#This Row],[Mdl Land Intercept]]+Inventory[[#This Row],[Mdl LnAcres]])*Inventory[[#This Row],[Det/Nbhd Adj]],-2)</f>
        <v>62500</v>
      </c>
      <c r="BP614" s="30">
        <f>Inventory[[#This Row],[Adjusted Impr Total]]+Inventory[[#This Row],[Adjusted Land Total]]</f>
        <v>329800</v>
      </c>
      <c r="BQ614" s="30">
        <f>IFERROR((Inventory[[#This Row],[Adjusted Impr Total]]-Inventory[[#This Row],[24Bldg]])/Inventory[[#This Row],[24Bldg]],0)</f>
        <v>-4.0215439856373429E-2</v>
      </c>
      <c r="BR614" s="43">
        <f>(Inventory[[#This Row],[Adjusted Land Total]]-Inventory[[#This Row],[24Lnd]])/Inventory[[#This Row],[24Lnd]]</f>
        <v>0</v>
      </c>
      <c r="BS614" s="43">
        <f>(Inventory[[#This Row],[Adjusted Total]]-Inventory[[#This Row],[24Final]])/Inventory[[#This Row],[24Final]]</f>
        <v>-3.2844574780058651E-2</v>
      </c>
    </row>
    <row r="615" spans="1:71">
      <c r="A615" s="30">
        <v>2025</v>
      </c>
      <c r="B615" s="31" t="s">
        <v>1129</v>
      </c>
      <c r="C615" s="31">
        <f>LN(Inventory[[#This Row],[Acres]])</f>
        <v>-1.7147984280919266</v>
      </c>
      <c r="D615" s="30">
        <v>0.18</v>
      </c>
      <c r="E615" s="30">
        <v>7660</v>
      </c>
      <c r="F615" s="31" t="s">
        <v>505</v>
      </c>
      <c r="G615" s="31" t="s">
        <v>155</v>
      </c>
      <c r="H615" s="31" t="s">
        <v>5</v>
      </c>
      <c r="I615" s="31" t="s">
        <v>506</v>
      </c>
      <c r="J615" s="31" t="s">
        <v>507</v>
      </c>
      <c r="K615" s="31" t="s">
        <v>193</v>
      </c>
      <c r="L615" s="31" t="s">
        <v>19</v>
      </c>
      <c r="M615" s="31" t="s">
        <v>20</v>
      </c>
      <c r="N615" s="31">
        <v>10</v>
      </c>
      <c r="O615" s="31">
        <f>2024-Inventory[[#This Row],[YrBlt]]</f>
        <v>17</v>
      </c>
      <c r="P615" s="31">
        <f>2024-Inventory[[#This Row],[EffYr]]</f>
        <v>17</v>
      </c>
      <c r="Q615" s="30">
        <v>2007</v>
      </c>
      <c r="R615" s="30">
        <v>2007</v>
      </c>
      <c r="S615" s="30">
        <v>1076</v>
      </c>
      <c r="T615" s="32"/>
      <c r="U615" s="32"/>
      <c r="V615" s="32"/>
      <c r="W615" s="32"/>
      <c r="X615" s="32">
        <f>Inventory[[#This Row],[Bsmt Area]]-Inventory[[#This Row],[FnBsmt]]</f>
        <v>0</v>
      </c>
      <c r="Y615" s="32">
        <f>Inventory[[#This Row],[MainFn]]+Inventory[[#This Row],[UpprFn]]+Inventory[[#This Row],[AddFn]]+Inventory[[#This Row],[FnBsmt]]</f>
        <v>1076</v>
      </c>
      <c r="Z615" s="32">
        <v>1500</v>
      </c>
      <c r="AA615" s="31" t="s">
        <v>56</v>
      </c>
      <c r="AB615" s="32"/>
      <c r="AC615" s="30">
        <v>440</v>
      </c>
      <c r="AD615" s="32"/>
      <c r="AE615" s="32"/>
      <c r="AF615" s="32"/>
      <c r="AG615" s="32"/>
      <c r="AH615" s="32"/>
      <c r="AI615" s="30">
        <v>230548</v>
      </c>
      <c r="AJ615" s="30">
        <v>212104</v>
      </c>
      <c r="AK615" s="30">
        <v>0</v>
      </c>
      <c r="AL615" s="30">
        <v>0</v>
      </c>
      <c r="AM615" s="30">
        <v>62500</v>
      </c>
      <c r="AN615" s="30">
        <v>275300</v>
      </c>
      <c r="AO615" s="30">
        <v>337800</v>
      </c>
      <c r="AP615" s="30">
        <f>Lookups!$B$58*0.6</f>
        <v>132535.48800000001</v>
      </c>
      <c r="AQ615" s="30">
        <f>Lookups!$B$58*0.4</f>
        <v>88356.992000000013</v>
      </c>
      <c r="AR615" s="30">
        <f>Lookups!$B$59*Inventory[[#This Row],[LnAcres]]</f>
        <v>-22505.565020573864</v>
      </c>
      <c r="AS615" s="30">
        <f>VLOOKUP(Inventory[[#This Row],[Qlty]],Lookups!$A$66:$E$79,2,FALSE)</f>
        <v>37154.252388000001</v>
      </c>
      <c r="AT615" s="30">
        <f>VLOOKUP(Inventory[[#This Row],[Cnd]],Lookups!$A$80:$E$88,2,FALSE)</f>
        <v>30300.329274</v>
      </c>
      <c r="AU615" s="30">
        <f>Inventory[[#This Row],[EffAge]]*Lookups!$B$65</f>
        <v>-1848.5987</v>
      </c>
      <c r="AV615" s="30">
        <f>Inventory[[#This Row],[MainFn]]*Lookups!$B$90</f>
        <v>67153.568880000006</v>
      </c>
      <c r="AW615" s="30">
        <f>Inventory[[#This Row],[UpprFn]]*Lookups!$B$91</f>
        <v>0</v>
      </c>
      <c r="AX615" s="30">
        <f>Inventory[[#This Row],[Bsmt Area]]*Lookups!$B$95</f>
        <v>0</v>
      </c>
      <c r="AY615" s="30">
        <f>Inventory[[#This Row],[AttGar]]*Lookups!$B$93</f>
        <v>15532.453640000002</v>
      </c>
      <c r="AZ615" s="30">
        <f>ROUND(Inventory[[#This Row],[25Det]],-2)</f>
        <v>0</v>
      </c>
      <c r="BA615" s="30">
        <f>ROUND(SUM(Inventory[[#This Row],[Mdl Qlty]:[Mdl Garage Area]])+Inventory[[#This Row],[Mdl Res Intercept]],-2)</f>
        <v>280800</v>
      </c>
      <c r="BB615" s="30">
        <f>ROUND(Inventory[[#This Row],[Mdl Land Intercept]]+Inventory[[#This Row],[Mdl LnAcres]],-2)</f>
        <v>65900</v>
      </c>
      <c r="BC615" s="30">
        <f>Inventory[[#This Row],[Unadj Res Value]]+Inventory[[#This Row],[Unadj Det Value]]+Inventory[[#This Row],[Unadj Land Value]]</f>
        <v>346700</v>
      </c>
      <c r="BD615" s="30">
        <f>(Inventory[[#This Row],[Unadj Total Value]]-Inventory[[#This Row],[24Final]])/Inventory[[#This Row],[24Final]]</f>
        <v>2.634695085849615E-2</v>
      </c>
      <c r="BE615" s="30">
        <f>VLOOKUP(Inventory[[#This Row],[Nbhd]],Lookups!$M$3:$P$5,4,FALSE)</f>
        <v>0.99970000000000003</v>
      </c>
      <c r="BF615" s="30">
        <f>VLOOKUP(Inventory[[#This Row],[Qlty]],Lookups!$M$8:$P$22,4,FALSE)</f>
        <v>0.99819999999999998</v>
      </c>
      <c r="BG615" s="30">
        <f>VLOOKUP(Inventory[[#This Row],[Cnd]],Lookups!$R$8:$U$17,4,FALSE)</f>
        <v>0.997</v>
      </c>
      <c r="BH615" s="30">
        <f>VLOOKUP(Inventory[[#This Row],[LivArea Range]],Lookups!$R$25:$U$43,4,FALSE)</f>
        <v>0.99519999999999997</v>
      </c>
      <c r="BI615" s="30">
        <f>VLOOKUP(Inventory[[#This Row],[Decade]],Lookups!$M$24:$P$40,4,FALSE)</f>
        <v>1.0024</v>
      </c>
      <c r="BJ615" s="30">
        <f>Inventory[[#This Row],[Nbhd Adj]]*0.95</f>
        <v>0.94971499999999998</v>
      </c>
      <c r="BK615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615" s="30">
        <f>ROUND((SUM(Inventory[[#This Row],[Mdl Qlty]:[Mdl Garage Area]])+Inventory[[#This Row],[Mdl Res Intercept]])*Inventory[[#This Row],[Res Adj ]],-2)</f>
        <v>266400</v>
      </c>
      <c r="BM615" s="30">
        <f>ROUND(Inventory[[#This Row],[25Det]]*Inventory[[#This Row],[Det/Nbhd Adj]],-2)</f>
        <v>0</v>
      </c>
      <c r="BN615" s="30">
        <f>Inventory[[#This Row],[Adjusted Res]]+Inventory[[#This Row],[Adj Det ]]</f>
        <v>266400</v>
      </c>
      <c r="BO615" s="30">
        <f>ROUND((Inventory[[#This Row],[Mdl Land Intercept]]+Inventory[[#This Row],[Mdl LnAcres]])*Inventory[[#This Row],[Det/Nbhd Adj]],-2)</f>
        <v>62500</v>
      </c>
      <c r="BP615" s="30">
        <f>Inventory[[#This Row],[Adjusted Impr Total]]+Inventory[[#This Row],[Adjusted Land Total]]</f>
        <v>328900</v>
      </c>
      <c r="BQ615" s="30">
        <f>IFERROR((Inventory[[#This Row],[Adjusted Impr Total]]-Inventory[[#This Row],[24Bldg]])/Inventory[[#This Row],[24Bldg]],0)</f>
        <v>-3.2328369051943334E-2</v>
      </c>
      <c r="BR615" s="43">
        <f>(Inventory[[#This Row],[Adjusted Land Total]]-Inventory[[#This Row],[24Lnd]])/Inventory[[#This Row],[24Lnd]]</f>
        <v>0</v>
      </c>
      <c r="BS615" s="43">
        <f>(Inventory[[#This Row],[Adjusted Total]]-Inventory[[#This Row],[24Final]])/Inventory[[#This Row],[24Final]]</f>
        <v>-2.634695085849615E-2</v>
      </c>
    </row>
    <row r="616" spans="1:71">
      <c r="A616" s="30">
        <v>2025</v>
      </c>
      <c r="B616" s="31" t="s">
        <v>1130</v>
      </c>
      <c r="C616" s="31">
        <f>LN(Inventory[[#This Row],[Acres]])</f>
        <v>-1.7147984280919266</v>
      </c>
      <c r="D616" s="30">
        <v>0.18</v>
      </c>
      <c r="E616" s="30">
        <v>7856</v>
      </c>
      <c r="F616" s="31" t="s">
        <v>505</v>
      </c>
      <c r="G616" s="31" t="s">
        <v>155</v>
      </c>
      <c r="H616" s="31" t="s">
        <v>5</v>
      </c>
      <c r="I616" s="31" t="s">
        <v>506</v>
      </c>
      <c r="J616" s="31" t="s">
        <v>507</v>
      </c>
      <c r="K616" s="31" t="s">
        <v>193</v>
      </c>
      <c r="L616" s="31" t="s">
        <v>19</v>
      </c>
      <c r="M616" s="31" t="s">
        <v>20</v>
      </c>
      <c r="N616" s="31">
        <v>10</v>
      </c>
      <c r="O616" s="31">
        <f>2024-Inventory[[#This Row],[YrBlt]]</f>
        <v>17</v>
      </c>
      <c r="P616" s="31">
        <f>2024-Inventory[[#This Row],[EffYr]]</f>
        <v>17</v>
      </c>
      <c r="Q616" s="30">
        <v>2007</v>
      </c>
      <c r="R616" s="30">
        <v>2007</v>
      </c>
      <c r="S616" s="30">
        <v>1076</v>
      </c>
      <c r="T616" s="32"/>
      <c r="U616" s="32"/>
      <c r="V616" s="32"/>
      <c r="W616" s="32"/>
      <c r="X616" s="32">
        <f>Inventory[[#This Row],[Bsmt Area]]-Inventory[[#This Row],[FnBsmt]]</f>
        <v>0</v>
      </c>
      <c r="Y616" s="32">
        <f>Inventory[[#This Row],[MainFn]]+Inventory[[#This Row],[UpprFn]]+Inventory[[#This Row],[AddFn]]+Inventory[[#This Row],[FnBsmt]]</f>
        <v>1076</v>
      </c>
      <c r="Z616" s="32">
        <v>1500</v>
      </c>
      <c r="AA616" s="31" t="s">
        <v>56</v>
      </c>
      <c r="AB616" s="32"/>
      <c r="AC616" s="30">
        <v>440</v>
      </c>
      <c r="AD616" s="32"/>
      <c r="AE616" s="32"/>
      <c r="AF616" s="32"/>
      <c r="AG616" s="32"/>
      <c r="AH616" s="32"/>
      <c r="AI616" s="30">
        <v>231375</v>
      </c>
      <c r="AJ616" s="30">
        <v>212865</v>
      </c>
      <c r="AK616" s="30">
        <v>0</v>
      </c>
      <c r="AL616" s="30">
        <v>0</v>
      </c>
      <c r="AM616" s="30">
        <v>62500</v>
      </c>
      <c r="AN616" s="30">
        <v>275300</v>
      </c>
      <c r="AO616" s="30">
        <v>337800</v>
      </c>
      <c r="AP616" s="30">
        <f>Lookups!$B$58*0.6</f>
        <v>132535.48800000001</v>
      </c>
      <c r="AQ616" s="30">
        <f>Lookups!$B$58*0.4</f>
        <v>88356.992000000013</v>
      </c>
      <c r="AR616" s="30">
        <f>Lookups!$B$59*Inventory[[#This Row],[LnAcres]]</f>
        <v>-22505.565020573864</v>
      </c>
      <c r="AS616" s="30">
        <f>VLOOKUP(Inventory[[#This Row],[Qlty]],Lookups!$A$66:$E$79,2,FALSE)</f>
        <v>37154.252388000001</v>
      </c>
      <c r="AT616" s="30">
        <f>VLOOKUP(Inventory[[#This Row],[Cnd]],Lookups!$A$80:$E$88,2,FALSE)</f>
        <v>30300.329274</v>
      </c>
      <c r="AU616" s="30">
        <f>Inventory[[#This Row],[EffAge]]*Lookups!$B$65</f>
        <v>-1848.5987</v>
      </c>
      <c r="AV616" s="30">
        <f>Inventory[[#This Row],[MainFn]]*Lookups!$B$90</f>
        <v>67153.568880000006</v>
      </c>
      <c r="AW616" s="30">
        <f>Inventory[[#This Row],[UpprFn]]*Lookups!$B$91</f>
        <v>0</v>
      </c>
      <c r="AX616" s="30">
        <f>Inventory[[#This Row],[Bsmt Area]]*Lookups!$B$95</f>
        <v>0</v>
      </c>
      <c r="AY616" s="30">
        <f>Inventory[[#This Row],[AttGar]]*Lookups!$B$93</f>
        <v>15532.453640000002</v>
      </c>
      <c r="AZ616" s="30">
        <f>ROUND(Inventory[[#This Row],[25Det]],-2)</f>
        <v>0</v>
      </c>
      <c r="BA616" s="30">
        <f>ROUND(SUM(Inventory[[#This Row],[Mdl Qlty]:[Mdl Garage Area]])+Inventory[[#This Row],[Mdl Res Intercept]],-2)</f>
        <v>280800</v>
      </c>
      <c r="BB616" s="30">
        <f>ROUND(Inventory[[#This Row],[Mdl Land Intercept]]+Inventory[[#This Row],[Mdl LnAcres]],-2)</f>
        <v>65900</v>
      </c>
      <c r="BC616" s="30">
        <f>Inventory[[#This Row],[Unadj Res Value]]+Inventory[[#This Row],[Unadj Det Value]]+Inventory[[#This Row],[Unadj Land Value]]</f>
        <v>346700</v>
      </c>
      <c r="BD616" s="30">
        <f>(Inventory[[#This Row],[Unadj Total Value]]-Inventory[[#This Row],[24Final]])/Inventory[[#This Row],[24Final]]</f>
        <v>2.634695085849615E-2</v>
      </c>
      <c r="BE616" s="30">
        <f>VLOOKUP(Inventory[[#This Row],[Nbhd]],Lookups!$M$3:$P$5,4,FALSE)</f>
        <v>0.99970000000000003</v>
      </c>
      <c r="BF616" s="30">
        <f>VLOOKUP(Inventory[[#This Row],[Qlty]],Lookups!$M$8:$P$22,4,FALSE)</f>
        <v>0.99819999999999998</v>
      </c>
      <c r="BG616" s="30">
        <f>VLOOKUP(Inventory[[#This Row],[Cnd]],Lookups!$R$8:$U$17,4,FALSE)</f>
        <v>0.997</v>
      </c>
      <c r="BH616" s="30">
        <f>VLOOKUP(Inventory[[#This Row],[LivArea Range]],Lookups!$R$25:$U$43,4,FALSE)</f>
        <v>0.99519999999999997</v>
      </c>
      <c r="BI616" s="30">
        <f>VLOOKUP(Inventory[[#This Row],[Decade]],Lookups!$M$24:$P$40,4,FALSE)</f>
        <v>1.0024</v>
      </c>
      <c r="BJ616" s="30">
        <f>Inventory[[#This Row],[Nbhd Adj]]*0.95</f>
        <v>0.94971499999999998</v>
      </c>
      <c r="BK616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616" s="30">
        <f>ROUND((SUM(Inventory[[#This Row],[Mdl Qlty]:[Mdl Garage Area]])+Inventory[[#This Row],[Mdl Res Intercept]])*Inventory[[#This Row],[Res Adj ]],-2)</f>
        <v>266400</v>
      </c>
      <c r="BM616" s="30">
        <f>ROUND(Inventory[[#This Row],[25Det]]*Inventory[[#This Row],[Det/Nbhd Adj]],-2)</f>
        <v>0</v>
      </c>
      <c r="BN616" s="30">
        <f>Inventory[[#This Row],[Adjusted Res]]+Inventory[[#This Row],[Adj Det ]]</f>
        <v>266400</v>
      </c>
      <c r="BO616" s="30">
        <f>ROUND((Inventory[[#This Row],[Mdl Land Intercept]]+Inventory[[#This Row],[Mdl LnAcres]])*Inventory[[#This Row],[Det/Nbhd Adj]],-2)</f>
        <v>62500</v>
      </c>
      <c r="BP616" s="30">
        <f>Inventory[[#This Row],[Adjusted Impr Total]]+Inventory[[#This Row],[Adjusted Land Total]]</f>
        <v>328900</v>
      </c>
      <c r="BQ616" s="30">
        <f>IFERROR((Inventory[[#This Row],[Adjusted Impr Total]]-Inventory[[#This Row],[24Bldg]])/Inventory[[#This Row],[24Bldg]],0)</f>
        <v>-3.2328369051943334E-2</v>
      </c>
      <c r="BR616" s="43">
        <f>(Inventory[[#This Row],[Adjusted Land Total]]-Inventory[[#This Row],[24Lnd]])/Inventory[[#This Row],[24Lnd]]</f>
        <v>0</v>
      </c>
      <c r="BS616" s="43">
        <f>(Inventory[[#This Row],[Adjusted Total]]-Inventory[[#This Row],[24Final]])/Inventory[[#This Row],[24Final]]</f>
        <v>-2.634695085849615E-2</v>
      </c>
    </row>
    <row r="617" spans="1:71">
      <c r="A617" s="30">
        <v>2025</v>
      </c>
      <c r="B617" s="31" t="s">
        <v>1131</v>
      </c>
      <c r="C617" s="31">
        <f>LN(Inventory[[#This Row],[Acres]])</f>
        <v>-1.7147984280919266</v>
      </c>
      <c r="D617" s="30">
        <v>0.18</v>
      </c>
      <c r="E617" s="30">
        <v>7660</v>
      </c>
      <c r="F617" s="31" t="s">
        <v>505</v>
      </c>
      <c r="G617" s="31" t="s">
        <v>155</v>
      </c>
      <c r="H617" s="31" t="s">
        <v>5</v>
      </c>
      <c r="I617" s="31" t="s">
        <v>506</v>
      </c>
      <c r="J617" s="31" t="s">
        <v>507</v>
      </c>
      <c r="K617" s="31" t="s">
        <v>157</v>
      </c>
      <c r="L617" s="31" t="s">
        <v>21</v>
      </c>
      <c r="M617" s="31" t="s">
        <v>20</v>
      </c>
      <c r="N617" s="31">
        <v>10</v>
      </c>
      <c r="O617" s="31">
        <f>2024-Inventory[[#This Row],[YrBlt]]</f>
        <v>17</v>
      </c>
      <c r="P617" s="31">
        <f>2024-Inventory[[#This Row],[EffYr]]</f>
        <v>17</v>
      </c>
      <c r="Q617" s="30">
        <v>2007</v>
      </c>
      <c r="R617" s="30">
        <v>2007</v>
      </c>
      <c r="S617" s="30">
        <v>1116</v>
      </c>
      <c r="T617" s="30">
        <v>1116</v>
      </c>
      <c r="U617" s="32"/>
      <c r="V617" s="32"/>
      <c r="W617" s="32"/>
      <c r="X617" s="32">
        <f>Inventory[[#This Row],[Bsmt Area]]-Inventory[[#This Row],[FnBsmt]]</f>
        <v>0</v>
      </c>
      <c r="Y617" s="32">
        <f>Inventory[[#This Row],[MainFn]]+Inventory[[#This Row],[UpprFn]]+Inventory[[#This Row],[AddFn]]+Inventory[[#This Row],[FnBsmt]]</f>
        <v>2232</v>
      </c>
      <c r="Z617" s="32">
        <v>2500</v>
      </c>
      <c r="AA617" s="31" t="s">
        <v>56</v>
      </c>
      <c r="AB617" s="30">
        <v>1</v>
      </c>
      <c r="AC617" s="30">
        <v>440</v>
      </c>
      <c r="AD617" s="37"/>
      <c r="AE617" s="32"/>
      <c r="AF617" s="32"/>
      <c r="AG617" s="32"/>
      <c r="AH617" s="32"/>
      <c r="AI617" s="30">
        <v>448140</v>
      </c>
      <c r="AJ617" s="30">
        <v>412289</v>
      </c>
      <c r="AK617" s="30">
        <v>0</v>
      </c>
      <c r="AL617" s="30">
        <v>0</v>
      </c>
      <c r="AM617" s="30">
        <v>62500</v>
      </c>
      <c r="AN617" s="30">
        <v>336300</v>
      </c>
      <c r="AO617" s="30">
        <v>398800</v>
      </c>
      <c r="AP617" s="30">
        <f>Lookups!$B$58*0.6</f>
        <v>132535.48800000001</v>
      </c>
      <c r="AQ617" s="30">
        <f>Lookups!$B$58*0.4</f>
        <v>88356.992000000013</v>
      </c>
      <c r="AR617" s="30">
        <f>Lookups!$B$59*Inventory[[#This Row],[LnAcres]]</f>
        <v>-22505.565020573864</v>
      </c>
      <c r="AS617" s="30">
        <f>VLOOKUP(Inventory[[#This Row],[Qlty]],Lookups!$A$66:$E$79,2,FALSE)</f>
        <v>32917.849192000001</v>
      </c>
      <c r="AT617" s="30">
        <f>VLOOKUP(Inventory[[#This Row],[Cnd]],Lookups!$A$80:$E$88,2,FALSE)</f>
        <v>30300.329274</v>
      </c>
      <c r="AU617" s="30">
        <f>Inventory[[#This Row],[EffAge]]*Lookups!$B$65</f>
        <v>-1848.5987</v>
      </c>
      <c r="AV617" s="30">
        <f>Inventory[[#This Row],[MainFn]]*Lookups!$B$90</f>
        <v>69649.984080000009</v>
      </c>
      <c r="AW617" s="30">
        <f>Inventory[[#This Row],[UpprFn]]*Lookups!$B$91</f>
        <v>66491.707427999994</v>
      </c>
      <c r="AX617" s="30">
        <f>Inventory[[#This Row],[Bsmt Area]]*Lookups!$B$95</f>
        <v>0</v>
      </c>
      <c r="AY617" s="30">
        <f>Inventory[[#This Row],[AttGar]]*Lookups!$B$93</f>
        <v>15532.453640000002</v>
      </c>
      <c r="AZ617" s="30">
        <f>ROUND(Inventory[[#This Row],[25Det]],-2)</f>
        <v>0</v>
      </c>
      <c r="BA617" s="30">
        <f>ROUND(SUM(Inventory[[#This Row],[Mdl Qlty]:[Mdl Garage Area]])+Inventory[[#This Row],[Mdl Res Intercept]],-2)</f>
        <v>345600</v>
      </c>
      <c r="BB617" s="30">
        <f>ROUND(Inventory[[#This Row],[Mdl Land Intercept]]+Inventory[[#This Row],[Mdl LnAcres]],-2)</f>
        <v>65900</v>
      </c>
      <c r="BC617" s="30">
        <f>Inventory[[#This Row],[Unadj Res Value]]+Inventory[[#This Row],[Unadj Det Value]]+Inventory[[#This Row],[Unadj Land Value]]</f>
        <v>411500</v>
      </c>
      <c r="BD617" s="30">
        <f>(Inventory[[#This Row],[Unadj Total Value]]-Inventory[[#This Row],[24Final]])/Inventory[[#This Row],[24Final]]</f>
        <v>3.1845536609829486E-2</v>
      </c>
      <c r="BE617" s="30">
        <f>VLOOKUP(Inventory[[#This Row],[Nbhd]],Lookups!$M$3:$P$5,4,FALSE)</f>
        <v>0.99970000000000003</v>
      </c>
      <c r="BF617" s="30">
        <f>VLOOKUP(Inventory[[#This Row],[Qlty]],Lookups!$M$8:$P$22,4,FALSE)</f>
        <v>1.0019</v>
      </c>
      <c r="BG617" s="30">
        <f>VLOOKUP(Inventory[[#This Row],[Cnd]],Lookups!$R$8:$U$17,4,FALSE)</f>
        <v>0.997</v>
      </c>
      <c r="BH617" s="30">
        <f>VLOOKUP(Inventory[[#This Row],[LivArea Range]],Lookups!$R$25:$U$43,4,FALSE)</f>
        <v>1.0008999999999999</v>
      </c>
      <c r="BI617" s="30">
        <f>VLOOKUP(Inventory[[#This Row],[Decade]],Lookups!$M$24:$P$40,4,FALSE)</f>
        <v>1.0024</v>
      </c>
      <c r="BJ617" s="30">
        <f>Inventory[[#This Row],[Nbhd Adj]]*0.95</f>
        <v>0.94971499999999998</v>
      </c>
      <c r="BK617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617" s="30">
        <f>ROUND((SUM(Inventory[[#This Row],[Mdl Qlty]:[Mdl Garage Area]])+Inventory[[#This Row],[Mdl Res Intercept]])*Inventory[[#This Row],[Res Adj ]],-2)</f>
        <v>328400</v>
      </c>
      <c r="BM617" s="30">
        <f>ROUND(Inventory[[#This Row],[25Det]]*Inventory[[#This Row],[Det/Nbhd Adj]],-2)</f>
        <v>0</v>
      </c>
      <c r="BN617" s="30">
        <f>Inventory[[#This Row],[Adjusted Res]]+Inventory[[#This Row],[Adj Det ]]</f>
        <v>328400</v>
      </c>
      <c r="BO617" s="30">
        <f>ROUND((Inventory[[#This Row],[Mdl Land Intercept]]+Inventory[[#This Row],[Mdl LnAcres]])*Inventory[[#This Row],[Det/Nbhd Adj]],-2)</f>
        <v>62500</v>
      </c>
      <c r="BP617" s="30">
        <f>Inventory[[#This Row],[Adjusted Impr Total]]+Inventory[[#This Row],[Adjusted Land Total]]</f>
        <v>390900</v>
      </c>
      <c r="BQ617" s="30">
        <f>IFERROR((Inventory[[#This Row],[Adjusted Impr Total]]-Inventory[[#This Row],[24Bldg]])/Inventory[[#This Row],[24Bldg]],0)</f>
        <v>-2.3490930716622064E-2</v>
      </c>
      <c r="BR617" s="43">
        <f>(Inventory[[#This Row],[Adjusted Land Total]]-Inventory[[#This Row],[24Lnd]])/Inventory[[#This Row],[24Lnd]]</f>
        <v>0</v>
      </c>
      <c r="BS617" s="43">
        <f>(Inventory[[#This Row],[Adjusted Total]]-Inventory[[#This Row],[24Final]])/Inventory[[#This Row],[24Final]]</f>
        <v>-1.9809428284854564E-2</v>
      </c>
    </row>
    <row r="618" spans="1:71">
      <c r="A618" s="30">
        <v>2025</v>
      </c>
      <c r="B618" s="31" t="s">
        <v>1132</v>
      </c>
      <c r="C618" s="31">
        <f>LN(Inventory[[#This Row],[Acres]])</f>
        <v>-1.7147984280919266</v>
      </c>
      <c r="D618" s="30">
        <v>0.18</v>
      </c>
      <c r="E618" s="30">
        <v>7660</v>
      </c>
      <c r="F618" s="31" t="s">
        <v>505</v>
      </c>
      <c r="G618" s="31" t="s">
        <v>155</v>
      </c>
      <c r="H618" s="31" t="s">
        <v>5</v>
      </c>
      <c r="I618" s="31" t="s">
        <v>506</v>
      </c>
      <c r="J618" s="31" t="s">
        <v>507</v>
      </c>
      <c r="K618" s="31" t="s">
        <v>157</v>
      </c>
      <c r="L618" s="31" t="s">
        <v>21</v>
      </c>
      <c r="M618" s="31" t="s">
        <v>22</v>
      </c>
      <c r="N618" s="31">
        <v>10</v>
      </c>
      <c r="O618" s="31">
        <f>2024-Inventory[[#This Row],[YrBlt]]</f>
        <v>17</v>
      </c>
      <c r="P618" s="31">
        <f>2024-Inventory[[#This Row],[EffYr]]</f>
        <v>17</v>
      </c>
      <c r="Q618" s="30">
        <v>2007</v>
      </c>
      <c r="R618" s="30">
        <v>2007</v>
      </c>
      <c r="S618" s="30">
        <v>1116</v>
      </c>
      <c r="T618" s="30">
        <v>1116</v>
      </c>
      <c r="U618" s="32"/>
      <c r="V618" s="32"/>
      <c r="W618" s="32"/>
      <c r="X618" s="32">
        <f>Inventory[[#This Row],[Bsmt Area]]-Inventory[[#This Row],[FnBsmt]]</f>
        <v>0</v>
      </c>
      <c r="Y618" s="32">
        <f>Inventory[[#This Row],[MainFn]]+Inventory[[#This Row],[UpprFn]]+Inventory[[#This Row],[AddFn]]+Inventory[[#This Row],[FnBsmt]]</f>
        <v>2232</v>
      </c>
      <c r="Z618" s="32">
        <v>2500</v>
      </c>
      <c r="AA618" s="31" t="s">
        <v>56</v>
      </c>
      <c r="AB618" s="32"/>
      <c r="AC618" s="38">
        <v>440</v>
      </c>
      <c r="AD618" s="37"/>
      <c r="AE618" s="32"/>
      <c r="AF618" s="32"/>
      <c r="AG618" s="32"/>
      <c r="AH618" s="32"/>
      <c r="AI618" s="30">
        <v>450025</v>
      </c>
      <c r="AJ618" s="30">
        <v>418523</v>
      </c>
      <c r="AK618" s="30">
        <v>0</v>
      </c>
      <c r="AL618" s="30">
        <v>0</v>
      </c>
      <c r="AM618" s="30">
        <v>62500</v>
      </c>
      <c r="AN618" s="30">
        <v>351800</v>
      </c>
      <c r="AO618" s="30">
        <v>414300</v>
      </c>
      <c r="AP618" s="30">
        <f>Lookups!$B$58*0.6</f>
        <v>132535.48800000001</v>
      </c>
      <c r="AQ618" s="30">
        <f>Lookups!$B$58*0.4</f>
        <v>88356.992000000013</v>
      </c>
      <c r="AR618" s="30">
        <f>Lookups!$B$59*Inventory[[#This Row],[LnAcres]]</f>
        <v>-22505.565020573864</v>
      </c>
      <c r="AS618" s="30">
        <f>VLOOKUP(Inventory[[#This Row],[Qlty]],Lookups!$A$66:$E$79,2,FALSE)</f>
        <v>32917.849192000001</v>
      </c>
      <c r="AT618" s="30">
        <f>VLOOKUP(Inventory[[#This Row],[Cnd]],Lookups!$A$80:$E$88,2,FALSE)</f>
        <v>50438.379078999998</v>
      </c>
      <c r="AU618" s="30">
        <f>Inventory[[#This Row],[EffAge]]*Lookups!$B$65</f>
        <v>-1848.5987</v>
      </c>
      <c r="AV618" s="30">
        <f>Inventory[[#This Row],[MainFn]]*Lookups!$B$90</f>
        <v>69649.984080000009</v>
      </c>
      <c r="AW618" s="30">
        <f>Inventory[[#This Row],[UpprFn]]*Lookups!$B$91</f>
        <v>66491.707427999994</v>
      </c>
      <c r="AX618" s="30">
        <f>Inventory[[#This Row],[Bsmt Area]]*Lookups!$B$95</f>
        <v>0</v>
      </c>
      <c r="AY618" s="30">
        <f>Inventory[[#This Row],[AttGar]]*Lookups!$B$93</f>
        <v>15532.453640000002</v>
      </c>
      <c r="AZ618" s="30">
        <f>ROUND(Inventory[[#This Row],[25Det]],-2)</f>
        <v>0</v>
      </c>
      <c r="BA618" s="30">
        <f>ROUND(SUM(Inventory[[#This Row],[Mdl Qlty]:[Mdl Garage Area]])+Inventory[[#This Row],[Mdl Res Intercept]],-2)</f>
        <v>365700</v>
      </c>
      <c r="BB618" s="30">
        <f>ROUND(Inventory[[#This Row],[Mdl Land Intercept]]+Inventory[[#This Row],[Mdl LnAcres]],-2)</f>
        <v>65900</v>
      </c>
      <c r="BC618" s="30">
        <f>Inventory[[#This Row],[Unadj Res Value]]+Inventory[[#This Row],[Unadj Det Value]]+Inventory[[#This Row],[Unadj Land Value]]</f>
        <v>431600</v>
      </c>
      <c r="BD618" s="30">
        <f>(Inventory[[#This Row],[Unadj Total Value]]-Inventory[[#This Row],[24Final]])/Inventory[[#This Row],[24Final]]</f>
        <v>4.1757180786869422E-2</v>
      </c>
      <c r="BE618" s="30">
        <f>VLOOKUP(Inventory[[#This Row],[Nbhd]],Lookups!$M$3:$P$5,4,FALSE)</f>
        <v>0.99970000000000003</v>
      </c>
      <c r="BF618" s="30">
        <f>VLOOKUP(Inventory[[#This Row],[Qlty]],Lookups!$M$8:$P$22,4,FALSE)</f>
        <v>1.0019</v>
      </c>
      <c r="BG618" s="30">
        <f>VLOOKUP(Inventory[[#This Row],[Cnd]],Lookups!$R$8:$U$17,4,FALSE)</f>
        <v>1.0007999999999999</v>
      </c>
      <c r="BH618" s="30">
        <f>VLOOKUP(Inventory[[#This Row],[LivArea Range]],Lookups!$R$25:$U$43,4,FALSE)</f>
        <v>1.0008999999999999</v>
      </c>
      <c r="BI618" s="30">
        <f>VLOOKUP(Inventory[[#This Row],[Decade]],Lookups!$M$24:$P$40,4,FALSE)</f>
        <v>1.0024</v>
      </c>
      <c r="BJ618" s="30">
        <f>Inventory[[#This Row],[Nbhd Adj]]*0.95</f>
        <v>0.94971499999999998</v>
      </c>
      <c r="BK618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618" s="30">
        <f>ROUND((SUM(Inventory[[#This Row],[Mdl Qlty]:[Mdl Garage Area]])+Inventory[[#This Row],[Mdl Res Intercept]])*Inventory[[#This Row],[Res Adj ]],-2)</f>
        <v>347800</v>
      </c>
      <c r="BM618" s="30">
        <f>ROUND(Inventory[[#This Row],[25Det]]*Inventory[[#This Row],[Det/Nbhd Adj]],-2)</f>
        <v>0</v>
      </c>
      <c r="BN618" s="30">
        <f>Inventory[[#This Row],[Adjusted Res]]+Inventory[[#This Row],[Adj Det ]]</f>
        <v>347800</v>
      </c>
      <c r="BO618" s="30">
        <f>ROUND((Inventory[[#This Row],[Mdl Land Intercept]]+Inventory[[#This Row],[Mdl LnAcres]])*Inventory[[#This Row],[Det/Nbhd Adj]],-2)</f>
        <v>62500</v>
      </c>
      <c r="BP618" s="30">
        <f>Inventory[[#This Row],[Adjusted Impr Total]]+Inventory[[#This Row],[Adjusted Land Total]]</f>
        <v>410300</v>
      </c>
      <c r="BQ618" s="30">
        <f>IFERROR((Inventory[[#This Row],[Adjusted Impr Total]]-Inventory[[#This Row],[24Bldg]])/Inventory[[#This Row],[24Bldg]],0)</f>
        <v>-1.137009664582149E-2</v>
      </c>
      <c r="BR618" s="43">
        <f>(Inventory[[#This Row],[Adjusted Land Total]]-Inventory[[#This Row],[24Lnd]])/Inventory[[#This Row],[24Lnd]]</f>
        <v>0</v>
      </c>
      <c r="BS618" s="43">
        <f>(Inventory[[#This Row],[Adjusted Total]]-Inventory[[#This Row],[24Final]])/Inventory[[#This Row],[24Final]]</f>
        <v>-9.6548394882935065E-3</v>
      </c>
    </row>
    <row r="619" spans="1:71">
      <c r="A619" s="30">
        <v>2025</v>
      </c>
      <c r="B619" s="31" t="s">
        <v>1133</v>
      </c>
      <c r="C619" s="31">
        <f>LN(Inventory[[#This Row],[Acres]])</f>
        <v>-1.7147984280919266</v>
      </c>
      <c r="D619" s="30">
        <v>0.18</v>
      </c>
      <c r="E619" s="30">
        <v>7661</v>
      </c>
      <c r="F619" s="31" t="s">
        <v>505</v>
      </c>
      <c r="G619" s="31" t="s">
        <v>155</v>
      </c>
      <c r="H619" s="31" t="s">
        <v>5</v>
      </c>
      <c r="I619" s="31" t="s">
        <v>506</v>
      </c>
      <c r="J619" s="31" t="s">
        <v>507</v>
      </c>
      <c r="K619" s="31" t="s">
        <v>330</v>
      </c>
      <c r="L619" s="31" t="s">
        <v>21</v>
      </c>
      <c r="M619" s="31" t="s">
        <v>20</v>
      </c>
      <c r="N619" s="31">
        <v>10</v>
      </c>
      <c r="O619" s="31">
        <f>2024-Inventory[[#This Row],[YrBlt]]</f>
        <v>17</v>
      </c>
      <c r="P619" s="31">
        <f>2024-Inventory[[#This Row],[EffYr]]</f>
        <v>17</v>
      </c>
      <c r="Q619" s="30">
        <v>2007</v>
      </c>
      <c r="R619" s="30">
        <v>2007</v>
      </c>
      <c r="S619" s="30">
        <v>2154</v>
      </c>
      <c r="T619" s="32"/>
      <c r="U619" s="32"/>
      <c r="V619" s="32"/>
      <c r="W619" s="32"/>
      <c r="X619" s="32">
        <f>Inventory[[#This Row],[Bsmt Area]]-Inventory[[#This Row],[FnBsmt]]</f>
        <v>0</v>
      </c>
      <c r="Y619" s="32">
        <f>Inventory[[#This Row],[MainFn]]+Inventory[[#This Row],[UpprFn]]+Inventory[[#This Row],[AddFn]]+Inventory[[#This Row],[FnBsmt]]</f>
        <v>2154</v>
      </c>
      <c r="Z619" s="32">
        <v>2500</v>
      </c>
      <c r="AA619" s="31" t="s">
        <v>56</v>
      </c>
      <c r="AB619" s="37"/>
      <c r="AC619" s="30">
        <v>730</v>
      </c>
      <c r="AD619" s="32"/>
      <c r="AE619" s="32"/>
      <c r="AF619" s="32"/>
      <c r="AG619" s="32"/>
      <c r="AH619" s="32"/>
      <c r="AI619" s="30">
        <v>455082</v>
      </c>
      <c r="AJ619" s="30">
        <v>418675</v>
      </c>
      <c r="AK619" s="30">
        <v>0</v>
      </c>
      <c r="AL619" s="30">
        <v>0</v>
      </c>
      <c r="AM619" s="30">
        <v>62500</v>
      </c>
      <c r="AN619" s="30">
        <v>333500</v>
      </c>
      <c r="AO619" s="30">
        <v>396000</v>
      </c>
      <c r="AP619" s="30">
        <f>Lookups!$B$58*0.6</f>
        <v>132535.48800000001</v>
      </c>
      <c r="AQ619" s="30">
        <f>Lookups!$B$58*0.4</f>
        <v>88356.992000000013</v>
      </c>
      <c r="AR619" s="30">
        <f>Lookups!$B$59*Inventory[[#This Row],[LnAcres]]</f>
        <v>-22505.565020573864</v>
      </c>
      <c r="AS619" s="30">
        <f>VLOOKUP(Inventory[[#This Row],[Qlty]],Lookups!$A$66:$E$79,2,FALSE)</f>
        <v>32917.849192000001</v>
      </c>
      <c r="AT619" s="30">
        <f>VLOOKUP(Inventory[[#This Row],[Cnd]],Lookups!$A$80:$E$88,2,FALSE)</f>
        <v>30300.329274</v>
      </c>
      <c r="AU619" s="30">
        <f>Inventory[[#This Row],[EffAge]]*Lookups!$B$65</f>
        <v>-1848.5987</v>
      </c>
      <c r="AV619" s="30">
        <f>Inventory[[#This Row],[MainFn]]*Lookups!$B$90</f>
        <v>134431.95852000001</v>
      </c>
      <c r="AW619" s="30">
        <f>Inventory[[#This Row],[UpprFn]]*Lookups!$B$91</f>
        <v>0</v>
      </c>
      <c r="AX619" s="30">
        <f>Inventory[[#This Row],[Bsmt Area]]*Lookups!$B$95</f>
        <v>0</v>
      </c>
      <c r="AY619" s="30">
        <f>Inventory[[#This Row],[AttGar]]*Lookups!$B$93</f>
        <v>25769.752630000003</v>
      </c>
      <c r="AZ619" s="30">
        <f>ROUND(Inventory[[#This Row],[25Det]],-2)</f>
        <v>0</v>
      </c>
      <c r="BA619" s="30">
        <f>ROUND(SUM(Inventory[[#This Row],[Mdl Qlty]:[Mdl Garage Area]])+Inventory[[#This Row],[Mdl Res Intercept]],-2)</f>
        <v>354100</v>
      </c>
      <c r="BB619" s="30">
        <f>ROUND(Inventory[[#This Row],[Mdl Land Intercept]]+Inventory[[#This Row],[Mdl LnAcres]],-2)</f>
        <v>65900</v>
      </c>
      <c r="BC619" s="30">
        <f>Inventory[[#This Row],[Unadj Res Value]]+Inventory[[#This Row],[Unadj Det Value]]+Inventory[[#This Row],[Unadj Land Value]]</f>
        <v>420000</v>
      </c>
      <c r="BD619" s="30">
        <f>(Inventory[[#This Row],[Unadj Total Value]]-Inventory[[#This Row],[24Final]])/Inventory[[#This Row],[24Final]]</f>
        <v>6.0606060606060608E-2</v>
      </c>
      <c r="BE619" s="30">
        <f>VLOOKUP(Inventory[[#This Row],[Nbhd]],Lookups!$M$3:$P$5,4,FALSE)</f>
        <v>0.99970000000000003</v>
      </c>
      <c r="BF619" s="30">
        <f>VLOOKUP(Inventory[[#This Row],[Qlty]],Lookups!$M$8:$P$22,4,FALSE)</f>
        <v>1.0019</v>
      </c>
      <c r="BG619" s="30">
        <f>VLOOKUP(Inventory[[#This Row],[Cnd]],Lookups!$R$8:$U$17,4,FALSE)</f>
        <v>0.997</v>
      </c>
      <c r="BH619" s="30">
        <f>VLOOKUP(Inventory[[#This Row],[LivArea Range]],Lookups!$R$25:$U$43,4,FALSE)</f>
        <v>1.0008999999999999</v>
      </c>
      <c r="BI619" s="30">
        <f>VLOOKUP(Inventory[[#This Row],[Decade]],Lookups!$M$24:$P$40,4,FALSE)</f>
        <v>1.0024</v>
      </c>
      <c r="BJ619" s="30">
        <f>Inventory[[#This Row],[Nbhd Adj]]*0.95</f>
        <v>0.94971499999999998</v>
      </c>
      <c r="BK619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619" s="30">
        <f>ROUND((SUM(Inventory[[#This Row],[Mdl Qlty]:[Mdl Garage Area]])+Inventory[[#This Row],[Mdl Res Intercept]])*Inventory[[#This Row],[Res Adj ]],-2)</f>
        <v>336500</v>
      </c>
      <c r="BM619" s="30">
        <f>ROUND(Inventory[[#This Row],[25Det]]*Inventory[[#This Row],[Det/Nbhd Adj]],-2)</f>
        <v>0</v>
      </c>
      <c r="BN619" s="30">
        <f>Inventory[[#This Row],[Adjusted Res]]+Inventory[[#This Row],[Adj Det ]]</f>
        <v>336500</v>
      </c>
      <c r="BO619" s="30">
        <f>ROUND((Inventory[[#This Row],[Mdl Land Intercept]]+Inventory[[#This Row],[Mdl LnAcres]])*Inventory[[#This Row],[Det/Nbhd Adj]],-2)</f>
        <v>62500</v>
      </c>
      <c r="BP619" s="30">
        <f>Inventory[[#This Row],[Adjusted Impr Total]]+Inventory[[#This Row],[Adjusted Land Total]]</f>
        <v>399000</v>
      </c>
      <c r="BQ619" s="30">
        <f>IFERROR((Inventory[[#This Row],[Adjusted Impr Total]]-Inventory[[#This Row],[24Bldg]])/Inventory[[#This Row],[24Bldg]],0)</f>
        <v>8.9955022488755615E-3</v>
      </c>
      <c r="BR619" s="43">
        <f>(Inventory[[#This Row],[Adjusted Land Total]]-Inventory[[#This Row],[24Lnd]])/Inventory[[#This Row],[24Lnd]]</f>
        <v>0</v>
      </c>
      <c r="BS619" s="43">
        <f>(Inventory[[#This Row],[Adjusted Total]]-Inventory[[#This Row],[24Final]])/Inventory[[#This Row],[24Final]]</f>
        <v>7.575757575757576E-3</v>
      </c>
    </row>
    <row r="620" spans="1:71">
      <c r="A620" s="30">
        <v>2025</v>
      </c>
      <c r="B620" s="31" t="s">
        <v>1134</v>
      </c>
      <c r="C620" s="31">
        <f>LN(Inventory[[#This Row],[Acres]])</f>
        <v>-1.7147984280919266</v>
      </c>
      <c r="D620" s="30">
        <v>0.18</v>
      </c>
      <c r="E620" s="30">
        <v>7660</v>
      </c>
      <c r="F620" s="31" t="s">
        <v>505</v>
      </c>
      <c r="G620" s="31" t="s">
        <v>155</v>
      </c>
      <c r="H620" s="31" t="s">
        <v>5</v>
      </c>
      <c r="I620" s="31" t="s">
        <v>506</v>
      </c>
      <c r="J620" s="31" t="s">
        <v>507</v>
      </c>
      <c r="K620" s="31" t="s">
        <v>193</v>
      </c>
      <c r="L620" s="31" t="s">
        <v>21</v>
      </c>
      <c r="M620" s="31" t="s">
        <v>22</v>
      </c>
      <c r="N620" s="31">
        <v>10</v>
      </c>
      <c r="O620" s="31">
        <f>2024-Inventory[[#This Row],[YrBlt]]</f>
        <v>17</v>
      </c>
      <c r="P620" s="31">
        <f>2024-Inventory[[#This Row],[EffYr]]</f>
        <v>17</v>
      </c>
      <c r="Q620" s="30">
        <v>2007</v>
      </c>
      <c r="R620" s="30">
        <v>2007</v>
      </c>
      <c r="S620" s="30">
        <v>2154</v>
      </c>
      <c r="T620" s="37"/>
      <c r="U620" s="32"/>
      <c r="V620" s="32"/>
      <c r="W620" s="32"/>
      <c r="X620" s="32">
        <f>Inventory[[#This Row],[Bsmt Area]]-Inventory[[#This Row],[FnBsmt]]</f>
        <v>0</v>
      </c>
      <c r="Y620" s="32">
        <f>Inventory[[#This Row],[MainFn]]+Inventory[[#This Row],[UpprFn]]+Inventory[[#This Row],[AddFn]]+Inventory[[#This Row],[FnBsmt]]</f>
        <v>2154</v>
      </c>
      <c r="Z620" s="32">
        <v>2500</v>
      </c>
      <c r="AA620" s="31" t="s">
        <v>56</v>
      </c>
      <c r="AB620" s="30">
        <v>1</v>
      </c>
      <c r="AC620" s="30">
        <v>730</v>
      </c>
      <c r="AD620" s="32"/>
      <c r="AE620" s="32"/>
      <c r="AF620" s="32"/>
      <c r="AG620" s="32"/>
      <c r="AH620" s="32"/>
      <c r="AI620" s="30">
        <v>460900</v>
      </c>
      <c r="AJ620" s="30">
        <v>428637</v>
      </c>
      <c r="AK620" s="30">
        <v>0</v>
      </c>
      <c r="AL620" s="30">
        <v>0</v>
      </c>
      <c r="AM620" s="30">
        <v>62500</v>
      </c>
      <c r="AN620" s="30">
        <v>349000</v>
      </c>
      <c r="AO620" s="30">
        <v>411500</v>
      </c>
      <c r="AP620" s="30">
        <f>Lookups!$B$58*0.6</f>
        <v>132535.48800000001</v>
      </c>
      <c r="AQ620" s="30">
        <f>Lookups!$B$58*0.4</f>
        <v>88356.992000000013</v>
      </c>
      <c r="AR620" s="30">
        <f>Lookups!$B$59*Inventory[[#This Row],[LnAcres]]</f>
        <v>-22505.565020573864</v>
      </c>
      <c r="AS620" s="30">
        <f>VLOOKUP(Inventory[[#This Row],[Qlty]],Lookups!$A$66:$E$79,2,FALSE)</f>
        <v>32917.849192000001</v>
      </c>
      <c r="AT620" s="30">
        <f>VLOOKUP(Inventory[[#This Row],[Cnd]],Lookups!$A$80:$E$88,2,FALSE)</f>
        <v>50438.379078999998</v>
      </c>
      <c r="AU620" s="30">
        <f>Inventory[[#This Row],[EffAge]]*Lookups!$B$65</f>
        <v>-1848.5987</v>
      </c>
      <c r="AV620" s="30">
        <f>Inventory[[#This Row],[MainFn]]*Lookups!$B$90</f>
        <v>134431.95852000001</v>
      </c>
      <c r="AW620" s="30">
        <f>Inventory[[#This Row],[UpprFn]]*Lookups!$B$91</f>
        <v>0</v>
      </c>
      <c r="AX620" s="30">
        <f>Inventory[[#This Row],[Bsmt Area]]*Lookups!$B$95</f>
        <v>0</v>
      </c>
      <c r="AY620" s="30">
        <f>Inventory[[#This Row],[AttGar]]*Lookups!$B$93</f>
        <v>25769.752630000003</v>
      </c>
      <c r="AZ620" s="30">
        <f>ROUND(Inventory[[#This Row],[25Det]],-2)</f>
        <v>0</v>
      </c>
      <c r="BA620" s="30">
        <f>ROUND(SUM(Inventory[[#This Row],[Mdl Qlty]:[Mdl Garage Area]])+Inventory[[#This Row],[Mdl Res Intercept]],-2)</f>
        <v>374200</v>
      </c>
      <c r="BB620" s="30">
        <f>ROUND(Inventory[[#This Row],[Mdl Land Intercept]]+Inventory[[#This Row],[Mdl LnAcres]],-2)</f>
        <v>65900</v>
      </c>
      <c r="BC620" s="30">
        <f>Inventory[[#This Row],[Unadj Res Value]]+Inventory[[#This Row],[Unadj Det Value]]+Inventory[[#This Row],[Unadj Land Value]]</f>
        <v>440100</v>
      </c>
      <c r="BD620" s="30">
        <f>(Inventory[[#This Row],[Unadj Total Value]]-Inventory[[#This Row],[24Final]])/Inventory[[#This Row],[24Final]]</f>
        <v>6.9501822600243013E-2</v>
      </c>
      <c r="BE620" s="30">
        <f>VLOOKUP(Inventory[[#This Row],[Nbhd]],Lookups!$M$3:$P$5,4,FALSE)</f>
        <v>0.99970000000000003</v>
      </c>
      <c r="BF620" s="30">
        <f>VLOOKUP(Inventory[[#This Row],[Qlty]],Lookups!$M$8:$P$22,4,FALSE)</f>
        <v>1.0019</v>
      </c>
      <c r="BG620" s="30">
        <f>VLOOKUP(Inventory[[#This Row],[Cnd]],Lookups!$R$8:$U$17,4,FALSE)</f>
        <v>1.0007999999999999</v>
      </c>
      <c r="BH620" s="30">
        <f>VLOOKUP(Inventory[[#This Row],[LivArea Range]],Lookups!$R$25:$U$43,4,FALSE)</f>
        <v>1.0008999999999999</v>
      </c>
      <c r="BI620" s="30">
        <f>VLOOKUP(Inventory[[#This Row],[Decade]],Lookups!$M$24:$P$40,4,FALSE)</f>
        <v>1.0024</v>
      </c>
      <c r="BJ620" s="30">
        <f>Inventory[[#This Row],[Nbhd Adj]]*0.95</f>
        <v>0.94971499999999998</v>
      </c>
      <c r="BK620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620" s="30">
        <f>ROUND((SUM(Inventory[[#This Row],[Mdl Qlty]:[Mdl Garage Area]])+Inventory[[#This Row],[Mdl Res Intercept]])*Inventory[[#This Row],[Res Adj ]],-2)</f>
        <v>355900</v>
      </c>
      <c r="BM620" s="30">
        <f>ROUND(Inventory[[#This Row],[25Det]]*Inventory[[#This Row],[Det/Nbhd Adj]],-2)</f>
        <v>0</v>
      </c>
      <c r="BN620" s="30">
        <f>Inventory[[#This Row],[Adjusted Res]]+Inventory[[#This Row],[Adj Det ]]</f>
        <v>355900</v>
      </c>
      <c r="BO620" s="30">
        <f>ROUND((Inventory[[#This Row],[Mdl Land Intercept]]+Inventory[[#This Row],[Mdl LnAcres]])*Inventory[[#This Row],[Det/Nbhd Adj]],-2)</f>
        <v>62500</v>
      </c>
      <c r="BP620" s="30">
        <f>Inventory[[#This Row],[Adjusted Impr Total]]+Inventory[[#This Row],[Adjusted Land Total]]</f>
        <v>418400</v>
      </c>
      <c r="BQ620" s="30">
        <f>IFERROR((Inventory[[#This Row],[Adjusted Impr Total]]-Inventory[[#This Row],[24Bldg]])/Inventory[[#This Row],[24Bldg]],0)</f>
        <v>1.9770773638968481E-2</v>
      </c>
      <c r="BR620" s="43">
        <f>(Inventory[[#This Row],[Adjusted Land Total]]-Inventory[[#This Row],[24Lnd]])/Inventory[[#This Row],[24Lnd]]</f>
        <v>0</v>
      </c>
      <c r="BS620" s="43">
        <f>(Inventory[[#This Row],[Adjusted Total]]-Inventory[[#This Row],[24Final]])/Inventory[[#This Row],[24Final]]</f>
        <v>1.6767922235722963E-2</v>
      </c>
    </row>
    <row r="621" spans="1:71">
      <c r="A621" s="30">
        <v>2025</v>
      </c>
      <c r="B621" s="31" t="s">
        <v>1135</v>
      </c>
      <c r="C621" s="31">
        <f>LN(Inventory[[#This Row],[Acres]])</f>
        <v>-1.6607312068216509</v>
      </c>
      <c r="D621" s="30">
        <v>0.19</v>
      </c>
      <c r="E621" s="30">
        <v>8280</v>
      </c>
      <c r="F621" s="31" t="s">
        <v>505</v>
      </c>
      <c r="G621" s="31" t="s">
        <v>155</v>
      </c>
      <c r="H621" s="31" t="s">
        <v>5</v>
      </c>
      <c r="I621" s="31" t="s">
        <v>506</v>
      </c>
      <c r="J621" s="31" t="s">
        <v>507</v>
      </c>
      <c r="K621" s="31" t="s">
        <v>193</v>
      </c>
      <c r="L621" s="31" t="s">
        <v>19</v>
      </c>
      <c r="M621" s="31" t="s">
        <v>20</v>
      </c>
      <c r="N621" s="31">
        <v>10</v>
      </c>
      <c r="O621" s="31">
        <f>2024-Inventory[[#This Row],[YrBlt]]</f>
        <v>17</v>
      </c>
      <c r="P621" s="31">
        <f>2024-Inventory[[#This Row],[EffYr]]</f>
        <v>17</v>
      </c>
      <c r="Q621" s="30">
        <v>2007</v>
      </c>
      <c r="R621" s="30">
        <v>2007</v>
      </c>
      <c r="S621" s="30">
        <v>1092</v>
      </c>
      <c r="T621" s="32"/>
      <c r="U621" s="32"/>
      <c r="V621" s="32"/>
      <c r="W621" s="32"/>
      <c r="X621" s="32">
        <f>Inventory[[#This Row],[Bsmt Area]]-Inventory[[#This Row],[FnBsmt]]</f>
        <v>0</v>
      </c>
      <c r="Y621" s="32">
        <f>Inventory[[#This Row],[MainFn]]+Inventory[[#This Row],[UpprFn]]+Inventory[[#This Row],[AddFn]]+Inventory[[#This Row],[FnBsmt]]</f>
        <v>1092</v>
      </c>
      <c r="Z621" s="32">
        <v>1500</v>
      </c>
      <c r="AA621" s="31" t="s">
        <v>56</v>
      </c>
      <c r="AB621" s="32"/>
      <c r="AC621" s="30">
        <v>440</v>
      </c>
      <c r="AD621" s="32"/>
      <c r="AE621" s="32"/>
      <c r="AF621" s="32"/>
      <c r="AG621" s="32"/>
      <c r="AH621" s="32"/>
      <c r="AI621" s="30">
        <v>232141</v>
      </c>
      <c r="AJ621" s="30">
        <v>213570</v>
      </c>
      <c r="AK621" s="30">
        <v>0</v>
      </c>
      <c r="AL621" s="30">
        <v>0</v>
      </c>
      <c r="AM621" s="30">
        <v>63200</v>
      </c>
      <c r="AN621" s="30">
        <v>278500</v>
      </c>
      <c r="AO621" s="30">
        <v>341700</v>
      </c>
      <c r="AP621" s="30">
        <f>Lookups!$B$58*0.6</f>
        <v>132535.48800000001</v>
      </c>
      <c r="AQ621" s="30">
        <f>Lookups!$B$58*0.4</f>
        <v>88356.992000000013</v>
      </c>
      <c r="AR621" s="30">
        <f>Lookups!$B$59*Inventory[[#This Row],[LnAcres]]</f>
        <v>-21795.969453044734</v>
      </c>
      <c r="AS621" s="30">
        <f>VLOOKUP(Inventory[[#This Row],[Qlty]],Lookups!$A$66:$E$79,2,FALSE)</f>
        <v>37154.252388000001</v>
      </c>
      <c r="AT621" s="30">
        <f>VLOOKUP(Inventory[[#This Row],[Cnd]],Lookups!$A$80:$E$88,2,FALSE)</f>
        <v>30300.329274</v>
      </c>
      <c r="AU621" s="30">
        <f>Inventory[[#This Row],[EffAge]]*Lookups!$B$65</f>
        <v>-1848.5987</v>
      </c>
      <c r="AV621" s="30">
        <f>Inventory[[#This Row],[MainFn]]*Lookups!$B$90</f>
        <v>68152.13496000001</v>
      </c>
      <c r="AW621" s="30">
        <f>Inventory[[#This Row],[UpprFn]]*Lookups!$B$91</f>
        <v>0</v>
      </c>
      <c r="AX621" s="30">
        <f>Inventory[[#This Row],[Bsmt Area]]*Lookups!$B$95</f>
        <v>0</v>
      </c>
      <c r="AY621" s="30">
        <f>Inventory[[#This Row],[AttGar]]*Lookups!$B$93</f>
        <v>15532.453640000002</v>
      </c>
      <c r="AZ621" s="30">
        <f>ROUND(Inventory[[#This Row],[25Det]],-2)</f>
        <v>0</v>
      </c>
      <c r="BA621" s="30">
        <f>ROUND(SUM(Inventory[[#This Row],[Mdl Qlty]:[Mdl Garage Area]])+Inventory[[#This Row],[Mdl Res Intercept]],-2)</f>
        <v>281800</v>
      </c>
      <c r="BB621" s="30">
        <f>ROUND(Inventory[[#This Row],[Mdl Land Intercept]]+Inventory[[#This Row],[Mdl LnAcres]],-2)</f>
        <v>66600</v>
      </c>
      <c r="BC621" s="30">
        <f>Inventory[[#This Row],[Unadj Res Value]]+Inventory[[#This Row],[Unadj Det Value]]+Inventory[[#This Row],[Unadj Land Value]]</f>
        <v>348400</v>
      </c>
      <c r="BD621" s="30">
        <f>(Inventory[[#This Row],[Unadj Total Value]]-Inventory[[#This Row],[24Final]])/Inventory[[#This Row],[24Final]]</f>
        <v>1.9607843137254902E-2</v>
      </c>
      <c r="BE621" s="30">
        <f>VLOOKUP(Inventory[[#This Row],[Nbhd]],Lookups!$M$3:$P$5,4,FALSE)</f>
        <v>0.99970000000000003</v>
      </c>
      <c r="BF621" s="30">
        <f>VLOOKUP(Inventory[[#This Row],[Qlty]],Lookups!$M$8:$P$22,4,FALSE)</f>
        <v>0.99819999999999998</v>
      </c>
      <c r="BG621" s="30">
        <f>VLOOKUP(Inventory[[#This Row],[Cnd]],Lookups!$R$8:$U$17,4,FALSE)</f>
        <v>0.997</v>
      </c>
      <c r="BH621" s="30">
        <f>VLOOKUP(Inventory[[#This Row],[LivArea Range]],Lookups!$R$25:$U$43,4,FALSE)</f>
        <v>0.99519999999999997</v>
      </c>
      <c r="BI621" s="30">
        <f>VLOOKUP(Inventory[[#This Row],[Decade]],Lookups!$M$24:$P$40,4,FALSE)</f>
        <v>1.0024</v>
      </c>
      <c r="BJ621" s="30">
        <f>Inventory[[#This Row],[Nbhd Adj]]*0.95</f>
        <v>0.94971499999999998</v>
      </c>
      <c r="BK621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621" s="30">
        <f>ROUND((SUM(Inventory[[#This Row],[Mdl Qlty]:[Mdl Garage Area]])+Inventory[[#This Row],[Mdl Res Intercept]])*Inventory[[#This Row],[Res Adj ]],-2)</f>
        <v>267300</v>
      </c>
      <c r="BM621" s="30">
        <f>ROUND(Inventory[[#This Row],[25Det]]*Inventory[[#This Row],[Det/Nbhd Adj]],-2)</f>
        <v>0</v>
      </c>
      <c r="BN621" s="30">
        <f>Inventory[[#This Row],[Adjusted Res]]+Inventory[[#This Row],[Adj Det ]]</f>
        <v>267300</v>
      </c>
      <c r="BO621" s="30">
        <f>ROUND((Inventory[[#This Row],[Mdl Land Intercept]]+Inventory[[#This Row],[Mdl LnAcres]])*Inventory[[#This Row],[Det/Nbhd Adj]],-2)</f>
        <v>63200</v>
      </c>
      <c r="BP621" s="30">
        <f>Inventory[[#This Row],[Adjusted Impr Total]]+Inventory[[#This Row],[Adjusted Land Total]]</f>
        <v>330500</v>
      </c>
      <c r="BQ621" s="30">
        <f>IFERROR((Inventory[[#This Row],[Adjusted Impr Total]]-Inventory[[#This Row],[24Bldg]])/Inventory[[#This Row],[24Bldg]],0)</f>
        <v>-4.0215439856373429E-2</v>
      </c>
      <c r="BR621" s="43">
        <f>(Inventory[[#This Row],[Adjusted Land Total]]-Inventory[[#This Row],[24Lnd]])/Inventory[[#This Row],[24Lnd]]</f>
        <v>0</v>
      </c>
      <c r="BS621" s="43">
        <f>(Inventory[[#This Row],[Adjusted Total]]-Inventory[[#This Row],[24Final]])/Inventory[[#This Row],[24Final]]</f>
        <v>-3.2777290020485808E-2</v>
      </c>
    </row>
    <row r="622" spans="1:71">
      <c r="A622" s="30">
        <v>2025</v>
      </c>
      <c r="B622" s="31" t="s">
        <v>1136</v>
      </c>
      <c r="C622" s="31">
        <f>LN(Inventory[[#This Row],[Acres]])</f>
        <v>-1.5606477482646683</v>
      </c>
      <c r="D622" s="30">
        <v>0.21</v>
      </c>
      <c r="E622" s="30">
        <v>9049</v>
      </c>
      <c r="F622" s="31" t="s">
        <v>505</v>
      </c>
      <c r="G622" s="31" t="s">
        <v>155</v>
      </c>
      <c r="H622" s="31" t="s">
        <v>5</v>
      </c>
      <c r="I622" s="31" t="s">
        <v>506</v>
      </c>
      <c r="J622" s="31" t="s">
        <v>507</v>
      </c>
      <c r="K622" s="31" t="s">
        <v>193</v>
      </c>
      <c r="L622" s="31" t="s">
        <v>19</v>
      </c>
      <c r="M622" s="31" t="s">
        <v>22</v>
      </c>
      <c r="N622" s="31">
        <v>10</v>
      </c>
      <c r="O622" s="31">
        <f>2024-Inventory[[#This Row],[YrBlt]]</f>
        <v>17</v>
      </c>
      <c r="P622" s="31">
        <f>2024-Inventory[[#This Row],[EffYr]]</f>
        <v>17</v>
      </c>
      <c r="Q622" s="30">
        <v>2007</v>
      </c>
      <c r="R622" s="30">
        <v>2007</v>
      </c>
      <c r="S622" s="30">
        <v>1738</v>
      </c>
      <c r="T622" s="32"/>
      <c r="U622" s="32"/>
      <c r="V622" s="32"/>
      <c r="W622" s="32"/>
      <c r="X622" s="32">
        <f>Inventory[[#This Row],[Bsmt Area]]-Inventory[[#This Row],[FnBsmt]]</f>
        <v>0</v>
      </c>
      <c r="Y622" s="32">
        <f>Inventory[[#This Row],[MainFn]]+Inventory[[#This Row],[UpprFn]]+Inventory[[#This Row],[AddFn]]+Inventory[[#This Row],[FnBsmt]]</f>
        <v>1738</v>
      </c>
      <c r="Z622" s="32">
        <v>2000</v>
      </c>
      <c r="AA622" s="31" t="s">
        <v>56</v>
      </c>
      <c r="AB622" s="32"/>
      <c r="AC622" s="30">
        <v>440</v>
      </c>
      <c r="AD622" s="32"/>
      <c r="AE622" s="32"/>
      <c r="AF622" s="32"/>
      <c r="AG622" s="32"/>
      <c r="AH622" s="32"/>
      <c r="AI622" s="30">
        <v>326765</v>
      </c>
      <c r="AJ622" s="30">
        <v>303891</v>
      </c>
      <c r="AK622" s="30">
        <v>0</v>
      </c>
      <c r="AL622" s="30">
        <v>0</v>
      </c>
      <c r="AM622" s="30">
        <v>64600</v>
      </c>
      <c r="AN622" s="30">
        <v>325800</v>
      </c>
      <c r="AO622" s="30">
        <v>390400</v>
      </c>
      <c r="AP622" s="30">
        <f>Lookups!$B$58*0.6</f>
        <v>132535.48800000001</v>
      </c>
      <c r="AQ622" s="30">
        <f>Lookups!$B$58*0.4</f>
        <v>88356.992000000013</v>
      </c>
      <c r="AR622" s="30">
        <f>Lookups!$B$59*Inventory[[#This Row],[LnAcres]]</f>
        <v>-20482.442016152701</v>
      </c>
      <c r="AS622" s="30">
        <f>VLOOKUP(Inventory[[#This Row],[Qlty]],Lookups!$A$66:$E$79,2,FALSE)</f>
        <v>37154.252388000001</v>
      </c>
      <c r="AT622" s="30">
        <f>VLOOKUP(Inventory[[#This Row],[Cnd]],Lookups!$A$80:$E$88,2,FALSE)</f>
        <v>50438.379078999998</v>
      </c>
      <c r="AU622" s="30">
        <f>Inventory[[#This Row],[EffAge]]*Lookups!$B$65</f>
        <v>-1848.5987</v>
      </c>
      <c r="AV622" s="30">
        <f>Inventory[[#This Row],[MainFn]]*Lookups!$B$90</f>
        <v>108469.24044000001</v>
      </c>
      <c r="AW622" s="30">
        <f>Inventory[[#This Row],[UpprFn]]*Lookups!$B$91</f>
        <v>0</v>
      </c>
      <c r="AX622" s="30">
        <f>Inventory[[#This Row],[Bsmt Area]]*Lookups!$B$95</f>
        <v>0</v>
      </c>
      <c r="AY622" s="30">
        <f>Inventory[[#This Row],[AttGar]]*Lookups!$B$93</f>
        <v>15532.453640000002</v>
      </c>
      <c r="AZ622" s="30">
        <f>ROUND(Inventory[[#This Row],[25Det]],-2)</f>
        <v>0</v>
      </c>
      <c r="BA622" s="30">
        <f>ROUND(SUM(Inventory[[#This Row],[Mdl Qlty]:[Mdl Garage Area]])+Inventory[[#This Row],[Mdl Res Intercept]],-2)</f>
        <v>342300</v>
      </c>
      <c r="BB622" s="30">
        <f>ROUND(Inventory[[#This Row],[Mdl Land Intercept]]+Inventory[[#This Row],[Mdl LnAcres]],-2)</f>
        <v>67900</v>
      </c>
      <c r="BC622" s="30">
        <f>Inventory[[#This Row],[Unadj Res Value]]+Inventory[[#This Row],[Unadj Det Value]]+Inventory[[#This Row],[Unadj Land Value]]</f>
        <v>410200</v>
      </c>
      <c r="BD622" s="30">
        <f>(Inventory[[#This Row],[Unadj Total Value]]-Inventory[[#This Row],[24Final]])/Inventory[[#This Row],[24Final]]</f>
        <v>5.0717213114754099E-2</v>
      </c>
      <c r="BE622" s="30">
        <f>VLOOKUP(Inventory[[#This Row],[Nbhd]],Lookups!$M$3:$P$5,4,FALSE)</f>
        <v>0.99970000000000003</v>
      </c>
      <c r="BF622" s="30">
        <f>VLOOKUP(Inventory[[#This Row],[Qlty]],Lookups!$M$8:$P$22,4,FALSE)</f>
        <v>0.99819999999999998</v>
      </c>
      <c r="BG622" s="30">
        <f>VLOOKUP(Inventory[[#This Row],[Cnd]],Lookups!$R$8:$U$17,4,FALSE)</f>
        <v>1.0007999999999999</v>
      </c>
      <c r="BH622" s="30">
        <f>VLOOKUP(Inventory[[#This Row],[LivArea Range]],Lookups!$R$25:$U$43,4,FALSE)</f>
        <v>1.0007999999999999</v>
      </c>
      <c r="BI622" s="30">
        <f>VLOOKUP(Inventory[[#This Row],[Decade]],Lookups!$M$24:$P$40,4,FALSE)</f>
        <v>1.0024</v>
      </c>
      <c r="BJ622" s="30">
        <f>Inventory[[#This Row],[Nbhd Adj]]*0.95</f>
        <v>0.94971499999999998</v>
      </c>
      <c r="BK622" s="30">
        <f>AVERAGE(Inventory[[#This Row],[Nbhd Adj]],Inventory[[#This Row],[Quality Adj]],Inventory[[#This Row],[Condition Adj]],Inventory[[#This Row],[Living Area Adj]],Inventory[[#This Row],[Decade Adj]])*0.95</f>
        <v>0.95036100000000001</v>
      </c>
      <c r="BL622" s="30">
        <f>ROUND((SUM(Inventory[[#This Row],[Mdl Qlty]:[Mdl Garage Area]])+Inventory[[#This Row],[Mdl Res Intercept]])*Inventory[[#This Row],[Res Adj ]],-2)</f>
        <v>325300</v>
      </c>
      <c r="BM622" s="30">
        <f>ROUND(Inventory[[#This Row],[25Det]]*Inventory[[#This Row],[Det/Nbhd Adj]],-2)</f>
        <v>0</v>
      </c>
      <c r="BN622" s="30">
        <f>Inventory[[#This Row],[Adjusted Res]]+Inventory[[#This Row],[Adj Det ]]</f>
        <v>325300</v>
      </c>
      <c r="BO622" s="30">
        <f>ROUND((Inventory[[#This Row],[Mdl Land Intercept]]+Inventory[[#This Row],[Mdl LnAcres]])*Inventory[[#This Row],[Det/Nbhd Adj]],-2)</f>
        <v>64500</v>
      </c>
      <c r="BP622" s="30">
        <f>Inventory[[#This Row],[Adjusted Impr Total]]+Inventory[[#This Row],[Adjusted Land Total]]</f>
        <v>389800</v>
      </c>
      <c r="BQ622" s="30">
        <f>IFERROR((Inventory[[#This Row],[Adjusted Impr Total]]-Inventory[[#This Row],[24Bldg]])/Inventory[[#This Row],[24Bldg]],0)</f>
        <v>-1.5346838551258441E-3</v>
      </c>
      <c r="BR622" s="43">
        <f>(Inventory[[#This Row],[Adjusted Land Total]]-Inventory[[#This Row],[24Lnd]])/Inventory[[#This Row],[24Lnd]]</f>
        <v>-1.5479876160990713E-3</v>
      </c>
      <c r="BS622" s="43">
        <f>(Inventory[[#This Row],[Adjusted Total]]-Inventory[[#This Row],[24Final]])/Inventory[[#This Row],[24Final]]</f>
        <v>-1.5368852459016393E-3</v>
      </c>
    </row>
    <row r="623" spans="1:71">
      <c r="A623" s="30">
        <v>2025</v>
      </c>
      <c r="B623" s="31" t="s">
        <v>1137</v>
      </c>
      <c r="C623" s="31">
        <f>LN(Inventory[[#This Row],[Acres]])</f>
        <v>-1.5141277326297755</v>
      </c>
      <c r="D623" s="30">
        <v>0.22</v>
      </c>
      <c r="E623" s="30">
        <v>9729</v>
      </c>
      <c r="F623" s="31" t="s">
        <v>505</v>
      </c>
      <c r="G623" s="31" t="s">
        <v>155</v>
      </c>
      <c r="H623" s="31" t="s">
        <v>5</v>
      </c>
      <c r="I623" s="31" t="s">
        <v>506</v>
      </c>
      <c r="J623" s="31" t="s">
        <v>507</v>
      </c>
      <c r="K623" s="31" t="s">
        <v>157</v>
      </c>
      <c r="L623" s="31" t="s">
        <v>21</v>
      </c>
      <c r="M623" s="31" t="s">
        <v>22</v>
      </c>
      <c r="N623" s="31">
        <v>10</v>
      </c>
      <c r="O623" s="31">
        <f>2024-Inventory[[#This Row],[YrBlt]]</f>
        <v>17</v>
      </c>
      <c r="P623" s="31">
        <f>2024-Inventory[[#This Row],[EffYr]]</f>
        <v>17</v>
      </c>
      <c r="Q623" s="30">
        <v>2007</v>
      </c>
      <c r="R623" s="30">
        <v>2007</v>
      </c>
      <c r="S623" s="30">
        <v>1116</v>
      </c>
      <c r="T623" s="38">
        <v>1116</v>
      </c>
      <c r="U623" s="32"/>
      <c r="V623" s="32"/>
      <c r="W623" s="32"/>
      <c r="X623" s="32">
        <f>Inventory[[#This Row],[Bsmt Area]]-Inventory[[#This Row],[FnBsmt]]</f>
        <v>0</v>
      </c>
      <c r="Y623" s="32">
        <f>Inventory[[#This Row],[MainFn]]+Inventory[[#This Row],[UpprFn]]+Inventory[[#This Row],[AddFn]]+Inventory[[#This Row],[FnBsmt]]</f>
        <v>2232</v>
      </c>
      <c r="Z623" s="32">
        <v>2500</v>
      </c>
      <c r="AA623" s="31" t="s">
        <v>56</v>
      </c>
      <c r="AB623" s="32"/>
      <c r="AC623" s="30">
        <v>440</v>
      </c>
      <c r="AD623" s="32"/>
      <c r="AE623" s="32"/>
      <c r="AF623" s="32"/>
      <c r="AG623" s="32"/>
      <c r="AH623" s="32"/>
      <c r="AI623" s="30">
        <v>465766</v>
      </c>
      <c r="AJ623" s="30">
        <v>433162</v>
      </c>
      <c r="AK623" s="30">
        <v>0</v>
      </c>
      <c r="AL623" s="30">
        <v>0</v>
      </c>
      <c r="AM623" s="30">
        <v>65300</v>
      </c>
      <c r="AN623" s="30">
        <v>373900</v>
      </c>
      <c r="AO623" s="30">
        <v>439200</v>
      </c>
      <c r="AP623" s="30">
        <f>Lookups!$B$58*0.6</f>
        <v>132535.48800000001</v>
      </c>
      <c r="AQ623" s="30">
        <f>Lookups!$B$58*0.4</f>
        <v>88356.992000000013</v>
      </c>
      <c r="AR623" s="30">
        <f>Lookups!$B$59*Inventory[[#This Row],[LnAcres]]</f>
        <v>-19871.898398035348</v>
      </c>
      <c r="AS623" s="30">
        <f>VLOOKUP(Inventory[[#This Row],[Qlty]],Lookups!$A$66:$E$79,2,FALSE)</f>
        <v>32917.849192000001</v>
      </c>
      <c r="AT623" s="30">
        <f>VLOOKUP(Inventory[[#This Row],[Cnd]],Lookups!$A$80:$E$88,2,FALSE)</f>
        <v>50438.379078999998</v>
      </c>
      <c r="AU623" s="30">
        <f>Inventory[[#This Row],[EffAge]]*Lookups!$B$65</f>
        <v>-1848.5987</v>
      </c>
      <c r="AV623" s="30">
        <f>Inventory[[#This Row],[MainFn]]*Lookups!$B$90</f>
        <v>69649.984080000009</v>
      </c>
      <c r="AW623" s="30">
        <f>Inventory[[#This Row],[UpprFn]]*Lookups!$B$91</f>
        <v>66491.707427999994</v>
      </c>
      <c r="AX623" s="30">
        <f>Inventory[[#This Row],[Bsmt Area]]*Lookups!$B$95</f>
        <v>0</v>
      </c>
      <c r="AY623" s="30">
        <f>Inventory[[#This Row],[AttGar]]*Lookups!$B$93</f>
        <v>15532.453640000002</v>
      </c>
      <c r="AZ623" s="30">
        <f>ROUND(Inventory[[#This Row],[25Det]],-2)</f>
        <v>0</v>
      </c>
      <c r="BA623" s="30">
        <f>ROUND(SUM(Inventory[[#This Row],[Mdl Qlty]:[Mdl Garage Area]])+Inventory[[#This Row],[Mdl Res Intercept]],-2)</f>
        <v>365700</v>
      </c>
      <c r="BB623" s="30">
        <f>ROUND(Inventory[[#This Row],[Mdl Land Intercept]]+Inventory[[#This Row],[Mdl LnAcres]],-2)</f>
        <v>68500</v>
      </c>
      <c r="BC623" s="30">
        <f>Inventory[[#This Row],[Unadj Res Value]]+Inventory[[#This Row],[Unadj Det Value]]+Inventory[[#This Row],[Unadj Land Value]]</f>
        <v>434200</v>
      </c>
      <c r="BD623" s="30">
        <f>(Inventory[[#This Row],[Unadj Total Value]]-Inventory[[#This Row],[24Final]])/Inventory[[#This Row],[24Final]]</f>
        <v>-1.1384335154826957E-2</v>
      </c>
      <c r="BE623" s="30">
        <f>VLOOKUP(Inventory[[#This Row],[Nbhd]],Lookups!$M$3:$P$5,4,FALSE)</f>
        <v>0.99970000000000003</v>
      </c>
      <c r="BF623" s="30">
        <f>VLOOKUP(Inventory[[#This Row],[Qlty]],Lookups!$M$8:$P$22,4,FALSE)</f>
        <v>1.0019</v>
      </c>
      <c r="BG623" s="30">
        <f>VLOOKUP(Inventory[[#This Row],[Cnd]],Lookups!$R$8:$U$17,4,FALSE)</f>
        <v>1.0007999999999999</v>
      </c>
      <c r="BH623" s="30">
        <f>VLOOKUP(Inventory[[#This Row],[LivArea Range]],Lookups!$R$25:$U$43,4,FALSE)</f>
        <v>1.0008999999999999</v>
      </c>
      <c r="BI623" s="30">
        <f>VLOOKUP(Inventory[[#This Row],[Decade]],Lookups!$M$24:$P$40,4,FALSE)</f>
        <v>1.0024</v>
      </c>
      <c r="BJ623" s="30">
        <f>Inventory[[#This Row],[Nbhd Adj]]*0.95</f>
        <v>0.94971499999999998</v>
      </c>
      <c r="BK623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623" s="30">
        <f>ROUND((SUM(Inventory[[#This Row],[Mdl Qlty]:[Mdl Garage Area]])+Inventory[[#This Row],[Mdl Res Intercept]])*Inventory[[#This Row],[Res Adj ]],-2)</f>
        <v>347800</v>
      </c>
      <c r="BM623" s="30">
        <f>ROUND(Inventory[[#This Row],[25Det]]*Inventory[[#This Row],[Det/Nbhd Adj]],-2)</f>
        <v>0</v>
      </c>
      <c r="BN623" s="30">
        <f>Inventory[[#This Row],[Adjusted Res]]+Inventory[[#This Row],[Adj Det ]]</f>
        <v>347800</v>
      </c>
      <c r="BO623" s="30">
        <f>ROUND((Inventory[[#This Row],[Mdl Land Intercept]]+Inventory[[#This Row],[Mdl LnAcres]])*Inventory[[#This Row],[Det/Nbhd Adj]],-2)</f>
        <v>65000</v>
      </c>
      <c r="BP623" s="30">
        <f>Inventory[[#This Row],[Adjusted Impr Total]]+Inventory[[#This Row],[Adjusted Land Total]]</f>
        <v>412800</v>
      </c>
      <c r="BQ623" s="30">
        <f>IFERROR((Inventory[[#This Row],[Adjusted Impr Total]]-Inventory[[#This Row],[24Bldg]])/Inventory[[#This Row],[24Bldg]],0)</f>
        <v>-6.9804760631184806E-2</v>
      </c>
      <c r="BR623" s="43">
        <f>(Inventory[[#This Row],[Adjusted Land Total]]-Inventory[[#This Row],[24Lnd]])/Inventory[[#This Row],[24Lnd]]</f>
        <v>-4.5941807044410417E-3</v>
      </c>
      <c r="BS623" s="43">
        <f>(Inventory[[#This Row],[Adjusted Total]]-Inventory[[#This Row],[24Final]])/Inventory[[#This Row],[24Final]]</f>
        <v>-6.0109289617486336E-2</v>
      </c>
    </row>
    <row r="624" spans="1:71">
      <c r="A624" s="30">
        <v>2025</v>
      </c>
      <c r="B624" s="31" t="s">
        <v>1138</v>
      </c>
      <c r="C624" s="31">
        <f>LN(Inventory[[#This Row],[Acres]])</f>
        <v>-1.4696759700589417</v>
      </c>
      <c r="D624" s="30">
        <v>0.23</v>
      </c>
      <c r="E624" s="30">
        <v>9938</v>
      </c>
      <c r="F624" s="31" t="s">
        <v>505</v>
      </c>
      <c r="G624" s="31" t="s">
        <v>155</v>
      </c>
      <c r="H624" s="31" t="s">
        <v>5</v>
      </c>
      <c r="I624" s="31" t="s">
        <v>506</v>
      </c>
      <c r="J624" s="31" t="s">
        <v>507</v>
      </c>
      <c r="K624" s="31" t="s">
        <v>193</v>
      </c>
      <c r="L624" s="31" t="s">
        <v>19</v>
      </c>
      <c r="M624" s="31" t="s">
        <v>20</v>
      </c>
      <c r="N624" s="31">
        <v>10</v>
      </c>
      <c r="O624" s="31">
        <f>2024-Inventory[[#This Row],[YrBlt]]</f>
        <v>17</v>
      </c>
      <c r="P624" s="31">
        <f>2024-Inventory[[#This Row],[EffYr]]</f>
        <v>17</v>
      </c>
      <c r="Q624" s="30">
        <v>2007</v>
      </c>
      <c r="R624" s="30">
        <v>2007</v>
      </c>
      <c r="S624" s="30">
        <v>1076</v>
      </c>
      <c r="T624" s="32"/>
      <c r="U624" s="32"/>
      <c r="V624" s="32"/>
      <c r="W624" s="32"/>
      <c r="X624" s="32">
        <f>Inventory[[#This Row],[Bsmt Area]]-Inventory[[#This Row],[FnBsmt]]</f>
        <v>0</v>
      </c>
      <c r="Y624" s="32">
        <f>Inventory[[#This Row],[MainFn]]+Inventory[[#This Row],[UpprFn]]+Inventory[[#This Row],[AddFn]]+Inventory[[#This Row],[FnBsmt]]</f>
        <v>1076</v>
      </c>
      <c r="Z624" s="32">
        <v>1500</v>
      </c>
      <c r="AA624" s="31" t="s">
        <v>56</v>
      </c>
      <c r="AB624" s="37"/>
      <c r="AC624" s="30">
        <v>440</v>
      </c>
      <c r="AD624" s="32"/>
      <c r="AE624" s="32"/>
      <c r="AF624" s="32"/>
      <c r="AG624" s="32"/>
      <c r="AH624" s="32"/>
      <c r="AI624" s="30">
        <v>227876</v>
      </c>
      <c r="AJ624" s="30">
        <v>209646</v>
      </c>
      <c r="AK624" s="30">
        <v>0</v>
      </c>
      <c r="AL624" s="30">
        <v>0</v>
      </c>
      <c r="AM624" s="30">
        <v>65900</v>
      </c>
      <c r="AN624" s="30">
        <v>275300</v>
      </c>
      <c r="AO624" s="30">
        <v>341200</v>
      </c>
      <c r="AP624" s="30">
        <f>Lookups!$B$58*0.6</f>
        <v>132535.48800000001</v>
      </c>
      <c r="AQ624" s="30">
        <f>Lookups!$B$58*0.4</f>
        <v>88356.992000000013</v>
      </c>
      <c r="AR624" s="30">
        <f>Lookups!$B$59*Inventory[[#This Row],[LnAcres]]</f>
        <v>-19288.499197039939</v>
      </c>
      <c r="AS624" s="30">
        <f>VLOOKUP(Inventory[[#This Row],[Qlty]],Lookups!$A$66:$E$79,2,FALSE)</f>
        <v>37154.252388000001</v>
      </c>
      <c r="AT624" s="30">
        <f>VLOOKUP(Inventory[[#This Row],[Cnd]],Lookups!$A$80:$E$88,2,FALSE)</f>
        <v>30300.329274</v>
      </c>
      <c r="AU624" s="30">
        <f>Inventory[[#This Row],[EffAge]]*Lookups!$B$65</f>
        <v>-1848.5987</v>
      </c>
      <c r="AV624" s="30">
        <f>Inventory[[#This Row],[MainFn]]*Lookups!$B$90</f>
        <v>67153.568880000006</v>
      </c>
      <c r="AW624" s="30">
        <f>Inventory[[#This Row],[UpprFn]]*Lookups!$B$91</f>
        <v>0</v>
      </c>
      <c r="AX624" s="30">
        <f>Inventory[[#This Row],[Bsmt Area]]*Lookups!$B$95</f>
        <v>0</v>
      </c>
      <c r="AY624" s="30">
        <f>Inventory[[#This Row],[AttGar]]*Lookups!$B$93</f>
        <v>15532.453640000002</v>
      </c>
      <c r="AZ624" s="30">
        <f>ROUND(Inventory[[#This Row],[25Det]],-2)</f>
        <v>0</v>
      </c>
      <c r="BA624" s="30">
        <f>ROUND(SUM(Inventory[[#This Row],[Mdl Qlty]:[Mdl Garage Area]])+Inventory[[#This Row],[Mdl Res Intercept]],-2)</f>
        <v>280800</v>
      </c>
      <c r="BB624" s="30">
        <f>ROUND(Inventory[[#This Row],[Mdl Land Intercept]]+Inventory[[#This Row],[Mdl LnAcres]],-2)</f>
        <v>69100</v>
      </c>
      <c r="BC624" s="30">
        <f>Inventory[[#This Row],[Unadj Res Value]]+Inventory[[#This Row],[Unadj Det Value]]+Inventory[[#This Row],[Unadj Land Value]]</f>
        <v>349900</v>
      </c>
      <c r="BD624" s="30">
        <f>(Inventory[[#This Row],[Unadj Total Value]]-Inventory[[#This Row],[24Final]])/Inventory[[#This Row],[24Final]]</f>
        <v>2.5498241500586168E-2</v>
      </c>
      <c r="BE624" s="30">
        <f>VLOOKUP(Inventory[[#This Row],[Nbhd]],Lookups!$M$3:$P$5,4,FALSE)</f>
        <v>0.99970000000000003</v>
      </c>
      <c r="BF624" s="30">
        <f>VLOOKUP(Inventory[[#This Row],[Qlty]],Lookups!$M$8:$P$22,4,FALSE)</f>
        <v>0.99819999999999998</v>
      </c>
      <c r="BG624" s="30">
        <f>VLOOKUP(Inventory[[#This Row],[Cnd]],Lookups!$R$8:$U$17,4,FALSE)</f>
        <v>0.997</v>
      </c>
      <c r="BH624" s="30">
        <f>VLOOKUP(Inventory[[#This Row],[LivArea Range]],Lookups!$R$25:$U$43,4,FALSE)</f>
        <v>0.99519999999999997</v>
      </c>
      <c r="BI624" s="30">
        <f>VLOOKUP(Inventory[[#This Row],[Decade]],Lookups!$M$24:$P$40,4,FALSE)</f>
        <v>1.0024</v>
      </c>
      <c r="BJ624" s="30">
        <f>Inventory[[#This Row],[Nbhd Adj]]*0.95</f>
        <v>0.94971499999999998</v>
      </c>
      <c r="BK624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624" s="30">
        <f>ROUND((SUM(Inventory[[#This Row],[Mdl Qlty]:[Mdl Garage Area]])+Inventory[[#This Row],[Mdl Res Intercept]])*Inventory[[#This Row],[Res Adj ]],-2)</f>
        <v>266400</v>
      </c>
      <c r="BM624" s="30">
        <f>ROUND(Inventory[[#This Row],[25Det]]*Inventory[[#This Row],[Det/Nbhd Adj]],-2)</f>
        <v>0</v>
      </c>
      <c r="BN624" s="30">
        <f>Inventory[[#This Row],[Adjusted Res]]+Inventory[[#This Row],[Adj Det ]]</f>
        <v>266400</v>
      </c>
      <c r="BO624" s="30">
        <f>ROUND((Inventory[[#This Row],[Mdl Land Intercept]]+Inventory[[#This Row],[Mdl LnAcres]])*Inventory[[#This Row],[Det/Nbhd Adj]],-2)</f>
        <v>65600</v>
      </c>
      <c r="BP624" s="30">
        <f>Inventory[[#This Row],[Adjusted Impr Total]]+Inventory[[#This Row],[Adjusted Land Total]]</f>
        <v>332000</v>
      </c>
      <c r="BQ624" s="30">
        <f>IFERROR((Inventory[[#This Row],[Adjusted Impr Total]]-Inventory[[#This Row],[24Bldg]])/Inventory[[#This Row],[24Bldg]],0)</f>
        <v>-3.2328369051943334E-2</v>
      </c>
      <c r="BR624" s="43">
        <f>(Inventory[[#This Row],[Adjusted Land Total]]-Inventory[[#This Row],[24Lnd]])/Inventory[[#This Row],[24Lnd]]</f>
        <v>-4.552352048558422E-3</v>
      </c>
      <c r="BS624" s="43">
        <f>(Inventory[[#This Row],[Adjusted Total]]-Inventory[[#This Row],[24Final]])/Inventory[[#This Row],[24Final]]</f>
        <v>-2.6963657678780773E-2</v>
      </c>
    </row>
    <row r="625" spans="1:71">
      <c r="A625" s="30">
        <v>2025</v>
      </c>
      <c r="B625" s="31" t="s">
        <v>1139</v>
      </c>
      <c r="C625" s="31">
        <f>LN(Inventory[[#This Row],[Acres]])</f>
        <v>-1.0498221244986778</v>
      </c>
      <c r="D625" s="30">
        <v>0.35</v>
      </c>
      <c r="E625" s="30">
        <v>15367</v>
      </c>
      <c r="F625" s="31" t="s">
        <v>505</v>
      </c>
      <c r="G625" s="31" t="s">
        <v>155</v>
      </c>
      <c r="H625" s="31" t="s">
        <v>5</v>
      </c>
      <c r="I625" s="31" t="s">
        <v>506</v>
      </c>
      <c r="J625" s="31" t="s">
        <v>507</v>
      </c>
      <c r="K625" s="31" t="s">
        <v>330</v>
      </c>
      <c r="L625" s="31" t="s">
        <v>23</v>
      </c>
      <c r="M625" s="31" t="s">
        <v>20</v>
      </c>
      <c r="N625" s="31">
        <v>10</v>
      </c>
      <c r="O625" s="31">
        <f>2024-Inventory[[#This Row],[YrBlt]]</f>
        <v>17</v>
      </c>
      <c r="P625" s="31">
        <f>2024-Inventory[[#This Row],[EffYr]]</f>
        <v>17</v>
      </c>
      <c r="Q625" s="30">
        <v>2007</v>
      </c>
      <c r="R625" s="30">
        <v>2007</v>
      </c>
      <c r="S625" s="30">
        <v>2155</v>
      </c>
      <c r="T625" s="37"/>
      <c r="U625" s="32"/>
      <c r="V625" s="32"/>
      <c r="W625" s="32"/>
      <c r="X625" s="32">
        <f>Inventory[[#This Row],[Bsmt Area]]-Inventory[[#This Row],[FnBsmt]]</f>
        <v>0</v>
      </c>
      <c r="Y625" s="32">
        <f>Inventory[[#This Row],[MainFn]]+Inventory[[#This Row],[UpprFn]]+Inventory[[#This Row],[AddFn]]+Inventory[[#This Row],[FnBsmt]]</f>
        <v>2155</v>
      </c>
      <c r="Z625" s="32">
        <v>2500</v>
      </c>
      <c r="AA625" s="31" t="s">
        <v>55</v>
      </c>
      <c r="AB625" s="30">
        <v>1</v>
      </c>
      <c r="AC625" s="30">
        <v>964</v>
      </c>
      <c r="AD625" s="32"/>
      <c r="AE625" s="32"/>
      <c r="AF625" s="32"/>
      <c r="AG625" s="32"/>
      <c r="AH625" s="32"/>
      <c r="AI625" s="30">
        <v>528804</v>
      </c>
      <c r="AJ625" s="30">
        <v>491788</v>
      </c>
      <c r="AK625" s="30">
        <v>0</v>
      </c>
      <c r="AL625" s="30">
        <v>0</v>
      </c>
      <c r="AM625" s="30">
        <v>71800</v>
      </c>
      <c r="AN625" s="30">
        <v>388600</v>
      </c>
      <c r="AO625" s="30">
        <v>460400</v>
      </c>
      <c r="AP625" s="30">
        <f>Lookups!$B$58*0.6</f>
        <v>132535.48800000001</v>
      </c>
      <c r="AQ625" s="30">
        <f>Lookups!$B$58*0.4</f>
        <v>88356.992000000013</v>
      </c>
      <c r="AR625" s="30">
        <f>Lookups!$B$59*Inventory[[#This Row],[LnAcres]]</f>
        <v>-13778.202554822612</v>
      </c>
      <c r="AS625" s="30">
        <f>VLOOKUP(Inventory[[#This Row],[Qlty]],Lookups!$A$66:$E$79,2,FALSE)</f>
        <v>39366.494398000003</v>
      </c>
      <c r="AT625" s="30">
        <f>VLOOKUP(Inventory[[#This Row],[Cnd]],Lookups!$A$80:$E$88,2,FALSE)</f>
        <v>30300.329274</v>
      </c>
      <c r="AU625" s="30">
        <f>Inventory[[#This Row],[EffAge]]*Lookups!$B$65</f>
        <v>-1848.5987</v>
      </c>
      <c r="AV625" s="30">
        <f>Inventory[[#This Row],[MainFn]]*Lookups!$B$90</f>
        <v>134494.3689</v>
      </c>
      <c r="AW625" s="30">
        <f>Inventory[[#This Row],[UpprFn]]*Lookups!$B$91</f>
        <v>0</v>
      </c>
      <c r="AX625" s="30">
        <f>Inventory[[#This Row],[Bsmt Area]]*Lookups!$B$95</f>
        <v>0</v>
      </c>
      <c r="AY625" s="30">
        <f>Inventory[[#This Row],[AttGar]]*Lookups!$B$93</f>
        <v>34030.193884</v>
      </c>
      <c r="AZ625" s="30">
        <f>ROUND(Inventory[[#This Row],[25Det]],-2)</f>
        <v>0</v>
      </c>
      <c r="BA625" s="30">
        <f>ROUND(SUM(Inventory[[#This Row],[Mdl Qlty]:[Mdl Garage Area]])+Inventory[[#This Row],[Mdl Res Intercept]],-2)</f>
        <v>368900</v>
      </c>
      <c r="BB625" s="30">
        <f>ROUND(Inventory[[#This Row],[Mdl Land Intercept]]+Inventory[[#This Row],[Mdl LnAcres]],-2)</f>
        <v>74600</v>
      </c>
      <c r="BC625" s="30">
        <f>Inventory[[#This Row],[Unadj Res Value]]+Inventory[[#This Row],[Unadj Det Value]]+Inventory[[#This Row],[Unadj Land Value]]</f>
        <v>443500</v>
      </c>
      <c r="BD625" s="30">
        <f>(Inventory[[#This Row],[Unadj Total Value]]-Inventory[[#This Row],[24Final]])/Inventory[[#This Row],[24Final]]</f>
        <v>-3.6707211120764555E-2</v>
      </c>
      <c r="BE625" s="30">
        <f>VLOOKUP(Inventory[[#This Row],[Nbhd]],Lookups!$M$3:$P$5,4,FALSE)</f>
        <v>0.99970000000000003</v>
      </c>
      <c r="BF625" s="30">
        <f>VLOOKUP(Inventory[[#This Row],[Qlty]],Lookups!$M$8:$P$22,4,FALSE)</f>
        <v>0.99980000000000002</v>
      </c>
      <c r="BG625" s="30">
        <f>VLOOKUP(Inventory[[#This Row],[Cnd]],Lookups!$R$8:$U$17,4,FALSE)</f>
        <v>0.997</v>
      </c>
      <c r="BH625" s="30">
        <f>VLOOKUP(Inventory[[#This Row],[LivArea Range]],Lookups!$R$25:$U$43,4,FALSE)</f>
        <v>1.0008999999999999</v>
      </c>
      <c r="BI625" s="30">
        <f>VLOOKUP(Inventory[[#This Row],[Decade]],Lookups!$M$24:$P$40,4,FALSE)</f>
        <v>1.0024</v>
      </c>
      <c r="BJ625" s="30">
        <f>Inventory[[#This Row],[Nbhd Adj]]*0.95</f>
        <v>0.94971499999999998</v>
      </c>
      <c r="BK625" s="30">
        <f>AVERAGE(Inventory[[#This Row],[Nbhd Adj]],Inventory[[#This Row],[Quality Adj]],Inventory[[#This Row],[Condition Adj]],Inventory[[#This Row],[Living Area Adj]],Inventory[[#This Row],[Decade Adj]])*0.95</f>
        <v>0.94996199999999997</v>
      </c>
      <c r="BL625" s="30">
        <f>ROUND((SUM(Inventory[[#This Row],[Mdl Qlty]:[Mdl Garage Area]])+Inventory[[#This Row],[Mdl Res Intercept]])*Inventory[[#This Row],[Res Adj ]],-2)</f>
        <v>350400</v>
      </c>
      <c r="BM625" s="30">
        <f>ROUND(Inventory[[#This Row],[25Det]]*Inventory[[#This Row],[Det/Nbhd Adj]],-2)</f>
        <v>0</v>
      </c>
      <c r="BN625" s="30">
        <f>Inventory[[#This Row],[Adjusted Res]]+Inventory[[#This Row],[Adj Det ]]</f>
        <v>350400</v>
      </c>
      <c r="BO625" s="30">
        <f>ROUND((Inventory[[#This Row],[Mdl Land Intercept]]+Inventory[[#This Row],[Mdl LnAcres]])*Inventory[[#This Row],[Det/Nbhd Adj]],-2)</f>
        <v>70800</v>
      </c>
      <c r="BP625" s="30">
        <f>Inventory[[#This Row],[Adjusted Impr Total]]+Inventory[[#This Row],[Adjusted Land Total]]</f>
        <v>421200</v>
      </c>
      <c r="BQ625" s="30">
        <f>IFERROR((Inventory[[#This Row],[Adjusted Impr Total]]-Inventory[[#This Row],[24Bldg]])/Inventory[[#This Row],[24Bldg]],0)</f>
        <v>-9.8301595470921252E-2</v>
      </c>
      <c r="BR625" s="43">
        <f>(Inventory[[#This Row],[Adjusted Land Total]]-Inventory[[#This Row],[24Lnd]])/Inventory[[#This Row],[24Lnd]]</f>
        <v>-1.3927576601671309E-2</v>
      </c>
      <c r="BS625" s="43">
        <f>(Inventory[[#This Row],[Adjusted Total]]-Inventory[[#This Row],[24Final]])/Inventory[[#This Row],[24Final]]</f>
        <v>-8.5143353605560385E-2</v>
      </c>
    </row>
    <row r="626" spans="1:71">
      <c r="A626" s="30">
        <v>2025</v>
      </c>
      <c r="B626" s="31" t="s">
        <v>1140</v>
      </c>
      <c r="C626" s="31">
        <f>LN(Inventory[[#This Row],[Acres]])</f>
        <v>-0.9942522733438669</v>
      </c>
      <c r="D626" s="30">
        <v>0.37</v>
      </c>
      <c r="E626" s="37"/>
      <c r="F626" s="31" t="s">
        <v>505</v>
      </c>
      <c r="G626" s="31" t="s">
        <v>155</v>
      </c>
      <c r="H626" s="31" t="s">
        <v>5</v>
      </c>
      <c r="I626" s="31" t="s">
        <v>506</v>
      </c>
      <c r="J626" s="31" t="s">
        <v>507</v>
      </c>
      <c r="K626" s="31" t="s">
        <v>193</v>
      </c>
      <c r="L626" s="31" t="s">
        <v>21</v>
      </c>
      <c r="M626" s="31" t="s">
        <v>22</v>
      </c>
      <c r="N626" s="31">
        <v>10</v>
      </c>
      <c r="O626" s="31">
        <f>2024-Inventory[[#This Row],[YrBlt]]</f>
        <v>17</v>
      </c>
      <c r="P626" s="31">
        <f>2024-Inventory[[#This Row],[EffYr]]</f>
        <v>17</v>
      </c>
      <c r="Q626" s="30">
        <v>2007</v>
      </c>
      <c r="R626" s="30">
        <v>2007</v>
      </c>
      <c r="S626" s="30">
        <v>1812</v>
      </c>
      <c r="T626" s="32"/>
      <c r="U626" s="32"/>
      <c r="V626" s="32"/>
      <c r="W626" s="32"/>
      <c r="X626" s="32">
        <f>Inventory[[#This Row],[Bsmt Area]]-Inventory[[#This Row],[FnBsmt]]</f>
        <v>0</v>
      </c>
      <c r="Y626" s="32">
        <f>Inventory[[#This Row],[MainFn]]+Inventory[[#This Row],[UpprFn]]+Inventory[[#This Row],[AddFn]]+Inventory[[#This Row],[FnBsmt]]</f>
        <v>1812</v>
      </c>
      <c r="Z626" s="32">
        <v>2000</v>
      </c>
      <c r="AA626" s="31" t="s">
        <v>56</v>
      </c>
      <c r="AB626" s="37"/>
      <c r="AC626" s="30">
        <v>528</v>
      </c>
      <c r="AD626" s="32"/>
      <c r="AE626" s="32"/>
      <c r="AF626" s="32"/>
      <c r="AG626" s="32"/>
      <c r="AH626" s="32"/>
      <c r="AI626" s="30">
        <v>432786</v>
      </c>
      <c r="AJ626" s="30">
        <v>402491</v>
      </c>
      <c r="AK626" s="30">
        <v>35673</v>
      </c>
      <c r="AL626" s="30">
        <v>0</v>
      </c>
      <c r="AM626" s="30">
        <v>72600</v>
      </c>
      <c r="AN626" s="30">
        <v>371700</v>
      </c>
      <c r="AO626" s="30">
        <v>444300</v>
      </c>
      <c r="AP626" s="30">
        <f>Lookups!$B$58*0.6</f>
        <v>132535.48800000001</v>
      </c>
      <c r="AQ626" s="30">
        <f>Lookups!$B$58*0.4</f>
        <v>88356.992000000013</v>
      </c>
      <c r="AR626" s="30">
        <f>Lookups!$B$59*Inventory[[#This Row],[LnAcres]]</f>
        <v>-13048.885990344652</v>
      </c>
      <c r="AS626" s="30">
        <f>VLOOKUP(Inventory[[#This Row],[Qlty]],Lookups!$A$66:$E$79,2,FALSE)</f>
        <v>32917.849192000001</v>
      </c>
      <c r="AT626" s="30">
        <f>VLOOKUP(Inventory[[#This Row],[Cnd]],Lookups!$A$80:$E$88,2,FALSE)</f>
        <v>50438.379078999998</v>
      </c>
      <c r="AU626" s="30">
        <f>Inventory[[#This Row],[EffAge]]*Lookups!$B$65</f>
        <v>-1848.5987</v>
      </c>
      <c r="AV626" s="30">
        <f>Inventory[[#This Row],[MainFn]]*Lookups!$B$90</f>
        <v>113087.60856000001</v>
      </c>
      <c r="AW626" s="30">
        <f>Inventory[[#This Row],[UpprFn]]*Lookups!$B$91</f>
        <v>0</v>
      </c>
      <c r="AX626" s="30">
        <f>Inventory[[#This Row],[Bsmt Area]]*Lookups!$B$95</f>
        <v>0</v>
      </c>
      <c r="AY626" s="30">
        <f>Inventory[[#This Row],[AttGar]]*Lookups!$B$93</f>
        <v>18638.944368</v>
      </c>
      <c r="AZ626" s="30">
        <f>ROUND(Inventory[[#This Row],[25Det]],-2)</f>
        <v>35700</v>
      </c>
      <c r="BA626" s="30">
        <f>ROUND(SUM(Inventory[[#This Row],[Mdl Qlty]:[Mdl Garage Area]])+Inventory[[#This Row],[Mdl Res Intercept]],-2)</f>
        <v>345800</v>
      </c>
      <c r="BB626" s="30">
        <f>ROUND(Inventory[[#This Row],[Mdl Land Intercept]]+Inventory[[#This Row],[Mdl LnAcres]],-2)</f>
        <v>75300</v>
      </c>
      <c r="BC626" s="30">
        <f>Inventory[[#This Row],[Unadj Res Value]]+Inventory[[#This Row],[Unadj Det Value]]+Inventory[[#This Row],[Unadj Land Value]]</f>
        <v>456800</v>
      </c>
      <c r="BD626" s="30">
        <f>(Inventory[[#This Row],[Unadj Total Value]]-Inventory[[#This Row],[24Final]])/Inventory[[#This Row],[24Final]]</f>
        <v>2.8134143596668916E-2</v>
      </c>
      <c r="BE626" s="30">
        <f>VLOOKUP(Inventory[[#This Row],[Nbhd]],Lookups!$M$3:$P$5,4,FALSE)</f>
        <v>0.99970000000000003</v>
      </c>
      <c r="BF626" s="30">
        <f>VLOOKUP(Inventory[[#This Row],[Qlty]],Lookups!$M$8:$P$22,4,FALSE)</f>
        <v>1.0019</v>
      </c>
      <c r="BG626" s="30">
        <f>VLOOKUP(Inventory[[#This Row],[Cnd]],Lookups!$R$8:$U$17,4,FALSE)</f>
        <v>1.0007999999999999</v>
      </c>
      <c r="BH626" s="30">
        <f>VLOOKUP(Inventory[[#This Row],[LivArea Range]],Lookups!$R$25:$U$43,4,FALSE)</f>
        <v>1.0007999999999999</v>
      </c>
      <c r="BI626" s="30">
        <f>VLOOKUP(Inventory[[#This Row],[Decade]],Lookups!$M$24:$P$40,4,FALSE)</f>
        <v>1.0024</v>
      </c>
      <c r="BJ626" s="30">
        <f>Inventory[[#This Row],[Nbhd Adj]]*0.95</f>
        <v>0.94971499999999998</v>
      </c>
      <c r="BK626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626" s="30">
        <f>ROUND((SUM(Inventory[[#This Row],[Mdl Qlty]:[Mdl Garage Area]])+Inventory[[#This Row],[Mdl Res Intercept]])*Inventory[[#This Row],[Res Adj ]],-2)</f>
        <v>328800</v>
      </c>
      <c r="BM626" s="30">
        <f>ROUND(Inventory[[#This Row],[25Det]]*Inventory[[#This Row],[Det/Nbhd Adj]],-2)</f>
        <v>33900</v>
      </c>
      <c r="BN626" s="30">
        <f>Inventory[[#This Row],[Adjusted Res]]+Inventory[[#This Row],[Adj Det ]]</f>
        <v>362700</v>
      </c>
      <c r="BO626" s="30">
        <f>ROUND((Inventory[[#This Row],[Mdl Land Intercept]]+Inventory[[#This Row],[Mdl LnAcres]])*Inventory[[#This Row],[Det/Nbhd Adj]],-2)</f>
        <v>71500</v>
      </c>
      <c r="BP626" s="30">
        <f>Inventory[[#This Row],[Adjusted Impr Total]]+Inventory[[#This Row],[Adjusted Land Total]]</f>
        <v>434200</v>
      </c>
      <c r="BQ626" s="30">
        <f>IFERROR((Inventory[[#This Row],[Adjusted Impr Total]]-Inventory[[#This Row],[24Bldg]])/Inventory[[#This Row],[24Bldg]],0)</f>
        <v>-2.4213075060532687E-2</v>
      </c>
      <c r="BR626" s="43">
        <f>(Inventory[[#This Row],[Adjusted Land Total]]-Inventory[[#This Row],[24Lnd]])/Inventory[[#This Row],[24Lnd]]</f>
        <v>-1.5151515151515152E-2</v>
      </c>
      <c r="BS626" s="43">
        <f>(Inventory[[#This Row],[Adjusted Total]]-Inventory[[#This Row],[24Final]])/Inventory[[#This Row],[24Final]]</f>
        <v>-2.2732388026108486E-2</v>
      </c>
    </row>
    <row r="627" spans="1:71">
      <c r="A627" s="30">
        <v>2025</v>
      </c>
      <c r="B627" s="31" t="s">
        <v>1141</v>
      </c>
      <c r="C627" s="31">
        <f>LN(Inventory[[#This Row],[Acres]])</f>
        <v>0.69314718055994529</v>
      </c>
      <c r="D627" s="30">
        <v>2</v>
      </c>
      <c r="E627" s="37"/>
      <c r="F627" s="31" t="s">
        <v>505</v>
      </c>
      <c r="G627" s="31" t="s">
        <v>155</v>
      </c>
      <c r="H627" s="31" t="s">
        <v>5</v>
      </c>
      <c r="I627" s="31" t="s">
        <v>506</v>
      </c>
      <c r="J627" s="31" t="s">
        <v>567</v>
      </c>
      <c r="K627" s="31" t="s">
        <v>568</v>
      </c>
      <c r="L627" s="31" t="s">
        <v>27</v>
      </c>
      <c r="M627" s="31" t="s">
        <v>22</v>
      </c>
      <c r="N627" s="31">
        <v>10</v>
      </c>
      <c r="O627" s="31">
        <f>2024-Inventory[[#This Row],[YrBlt]]</f>
        <v>17</v>
      </c>
      <c r="P627" s="31">
        <f>2024-Inventory[[#This Row],[EffYr]]</f>
        <v>17</v>
      </c>
      <c r="Q627" s="30">
        <v>2007</v>
      </c>
      <c r="R627" s="30">
        <v>2007</v>
      </c>
      <c r="S627" s="30">
        <v>2445</v>
      </c>
      <c r="T627" s="30">
        <v>1153</v>
      </c>
      <c r="U627" s="32"/>
      <c r="V627" s="32"/>
      <c r="W627" s="32"/>
      <c r="X627" s="32">
        <f>Inventory[[#This Row],[Bsmt Area]]-Inventory[[#This Row],[FnBsmt]]</f>
        <v>0</v>
      </c>
      <c r="Y627" s="32">
        <f>Inventory[[#This Row],[MainFn]]+Inventory[[#This Row],[UpprFn]]+Inventory[[#This Row],[AddFn]]+Inventory[[#This Row],[FnBsmt]]</f>
        <v>3598</v>
      </c>
      <c r="Z627" s="38">
        <v>4000</v>
      </c>
      <c r="AA627" s="31" t="s">
        <v>57</v>
      </c>
      <c r="AB627" s="32"/>
      <c r="AC627" s="30">
        <v>941</v>
      </c>
      <c r="AD627" s="32"/>
      <c r="AE627" s="32"/>
      <c r="AF627" s="38">
        <v>66</v>
      </c>
      <c r="AG627" s="32"/>
      <c r="AH627" s="32"/>
      <c r="AI627" s="30">
        <v>1122272</v>
      </c>
      <c r="AJ627" s="30">
        <v>707031</v>
      </c>
      <c r="AK627" s="30">
        <v>88848</v>
      </c>
      <c r="AL627" s="30">
        <v>0</v>
      </c>
      <c r="AM627" s="30">
        <v>65000</v>
      </c>
      <c r="AN627" s="30">
        <v>726900</v>
      </c>
      <c r="AO627" s="30">
        <v>791900</v>
      </c>
      <c r="AP627" s="30">
        <f>Lookups!$B$58*0.6</f>
        <v>132535.48800000001</v>
      </c>
      <c r="AQ627" s="30">
        <f>Lookups!$B$58*0.4</f>
        <v>88356.992000000013</v>
      </c>
      <c r="AR627" s="30">
        <f>Lookups!$B$59*Inventory[[#This Row],[LnAcres]]</f>
        <v>9097.0860979136814</v>
      </c>
      <c r="AS627" s="30">
        <f>VLOOKUP(Inventory[[#This Row],[Qlty]],Lookups!$A$66:$E$79,2,FALSE)</f>
        <v>71137.786194647706</v>
      </c>
      <c r="AT627" s="30">
        <f>VLOOKUP(Inventory[[#This Row],[Cnd]],Lookups!$A$80:$E$88,2,FALSE)</f>
        <v>50438.379078999998</v>
      </c>
      <c r="AU627" s="30">
        <f>Inventory[[#This Row],[EffAge]]*Lookups!$B$65</f>
        <v>-1848.5987</v>
      </c>
      <c r="AV627" s="30">
        <f>Inventory[[#This Row],[MainFn]]*Lookups!$B$90</f>
        <v>152593.37910000002</v>
      </c>
      <c r="AW627" s="30">
        <f>Inventory[[#This Row],[UpprFn]]*Lookups!$B$91</f>
        <v>68696.181599000003</v>
      </c>
      <c r="AX627" s="30">
        <f>Inventory[[#This Row],[Bsmt Area]]*Lookups!$B$95</f>
        <v>0</v>
      </c>
      <c r="AY627" s="30">
        <f>Inventory[[#This Row],[AttGar]]*Lookups!$B$93</f>
        <v>33218.270171000004</v>
      </c>
      <c r="AZ627" s="30">
        <f>ROUND(Inventory[[#This Row],[25Det]],-2)</f>
        <v>88800</v>
      </c>
      <c r="BA627" s="30">
        <f>ROUND(SUM(Inventory[[#This Row],[Mdl Qlty]:[Mdl Garage Area]])+Inventory[[#This Row],[Mdl Res Intercept]],-2)</f>
        <v>506800</v>
      </c>
      <c r="BB627" s="30">
        <f>ROUND(Inventory[[#This Row],[Mdl Land Intercept]]+Inventory[[#This Row],[Mdl LnAcres]],-2)</f>
        <v>97500</v>
      </c>
      <c r="BC627" s="30">
        <f>Inventory[[#This Row],[Unadj Res Value]]+Inventory[[#This Row],[Unadj Det Value]]+Inventory[[#This Row],[Unadj Land Value]]</f>
        <v>693100</v>
      </c>
      <c r="BD627" s="30">
        <f>(Inventory[[#This Row],[Unadj Total Value]]-Inventory[[#This Row],[24Final]])/Inventory[[#This Row],[24Final]]</f>
        <v>-0.12476322768026266</v>
      </c>
      <c r="BE627" s="30">
        <f>VLOOKUP(Inventory[[#This Row],[Nbhd]],Lookups!$M$3:$P$5,4,FALSE)</f>
        <v>0.99970000000000003</v>
      </c>
      <c r="BF627" s="30">
        <f>VLOOKUP(Inventory[[#This Row],[Qlty]],Lookups!$M$8:$P$22,4,FALSE)</f>
        <v>1</v>
      </c>
      <c r="BG627" s="30">
        <f>VLOOKUP(Inventory[[#This Row],[Cnd]],Lookups!$R$8:$U$17,4,FALSE)</f>
        <v>1.0007999999999999</v>
      </c>
      <c r="BH627" s="30">
        <f>VLOOKUP(Inventory[[#This Row],[LivArea Range]],Lookups!$R$25:$U$43,4,FALSE)</f>
        <v>1</v>
      </c>
      <c r="BI627" s="30">
        <f>VLOOKUP(Inventory[[#This Row],[Decade]],Lookups!$M$24:$P$40,4,FALSE)</f>
        <v>1.0024</v>
      </c>
      <c r="BJ627" s="30">
        <f>Inventory[[#This Row],[Nbhd Adj]]*0.95</f>
        <v>0.94971499999999998</v>
      </c>
      <c r="BK627" s="30">
        <f>AVERAGE(Inventory[[#This Row],[Nbhd Adj]],Inventory[[#This Row],[Quality Adj]],Inventory[[#This Row],[Condition Adj]],Inventory[[#This Row],[Living Area Adj]],Inventory[[#This Row],[Decade Adj]])*0.95</f>
        <v>0.95055099999999981</v>
      </c>
      <c r="BL627" s="30">
        <f>ROUND((SUM(Inventory[[#This Row],[Mdl Qlty]:[Mdl Garage Area]])+Inventory[[#This Row],[Mdl Res Intercept]])*Inventory[[#This Row],[Res Adj ]],-2)</f>
        <v>481700</v>
      </c>
      <c r="BM627" s="30">
        <f>ROUND(Inventory[[#This Row],[25Det]]*Inventory[[#This Row],[Det/Nbhd Adj]],-2)</f>
        <v>84400</v>
      </c>
      <c r="BN627" s="30">
        <f>Inventory[[#This Row],[Adjusted Res]]+Inventory[[#This Row],[Adj Det ]]</f>
        <v>566100</v>
      </c>
      <c r="BO627" s="30">
        <f>ROUND((Inventory[[#This Row],[Mdl Land Intercept]]+Inventory[[#This Row],[Mdl LnAcres]])*Inventory[[#This Row],[Det/Nbhd Adj]],-2)</f>
        <v>92600</v>
      </c>
      <c r="BP627" s="30">
        <f>Inventory[[#This Row],[Adjusted Impr Total]]+Inventory[[#This Row],[Adjusted Land Total]]</f>
        <v>658700</v>
      </c>
      <c r="BQ627" s="30">
        <f>IFERROR((Inventory[[#This Row],[Adjusted Impr Total]]-Inventory[[#This Row],[24Bldg]])/Inventory[[#This Row],[24Bldg]],0)</f>
        <v>-0.22121337185307471</v>
      </c>
      <c r="BR627" s="43">
        <f>(Inventory[[#This Row],[Adjusted Land Total]]-Inventory[[#This Row],[24Lnd]])/Inventory[[#This Row],[24Lnd]]</f>
        <v>0.42461538461538462</v>
      </c>
      <c r="BS627" s="43">
        <f>(Inventory[[#This Row],[Adjusted Total]]-Inventory[[#This Row],[24Final]])/Inventory[[#This Row],[24Final]]</f>
        <v>-0.16820305594140675</v>
      </c>
    </row>
    <row r="628" spans="1:71">
      <c r="A628" s="30">
        <v>2025</v>
      </c>
      <c r="B628" s="31" t="s">
        <v>1142</v>
      </c>
      <c r="C628" s="31">
        <f>LN(Inventory[[#This Row],[Acres]])</f>
        <v>1.0986122886681098</v>
      </c>
      <c r="D628" s="30">
        <v>3</v>
      </c>
      <c r="E628" s="37"/>
      <c r="F628" s="31" t="s">
        <v>505</v>
      </c>
      <c r="G628" s="31" t="s">
        <v>155</v>
      </c>
      <c r="H628" s="31" t="s">
        <v>5</v>
      </c>
      <c r="I628" s="31" t="s">
        <v>1143</v>
      </c>
      <c r="J628" s="31" t="s">
        <v>567</v>
      </c>
      <c r="K628" s="31" t="s">
        <v>330</v>
      </c>
      <c r="L628" s="31" t="s">
        <v>25</v>
      </c>
      <c r="M628" s="31" t="s">
        <v>20</v>
      </c>
      <c r="N628" s="31">
        <v>10</v>
      </c>
      <c r="O628" s="31">
        <f>2024-Inventory[[#This Row],[YrBlt]]</f>
        <v>17</v>
      </c>
      <c r="P628" s="31">
        <f>2024-Inventory[[#This Row],[EffYr]]</f>
        <v>17</v>
      </c>
      <c r="Q628" s="30">
        <v>2007</v>
      </c>
      <c r="R628" s="30">
        <v>2007</v>
      </c>
      <c r="S628" s="30">
        <v>3143</v>
      </c>
      <c r="T628" s="32"/>
      <c r="U628" s="32"/>
      <c r="V628" s="32"/>
      <c r="W628" s="32"/>
      <c r="X628" s="32">
        <f>Inventory[[#This Row],[Bsmt Area]]-Inventory[[#This Row],[FnBsmt]]</f>
        <v>0</v>
      </c>
      <c r="Y628" s="32">
        <f>Inventory[[#This Row],[MainFn]]+Inventory[[#This Row],[UpprFn]]+Inventory[[#This Row],[AddFn]]+Inventory[[#This Row],[FnBsmt]]</f>
        <v>3143</v>
      </c>
      <c r="Z628" s="32">
        <v>3500</v>
      </c>
      <c r="AA628" s="31" t="s">
        <v>57</v>
      </c>
      <c r="AB628" s="37"/>
      <c r="AC628" s="30">
        <v>999</v>
      </c>
      <c r="AD628" s="32"/>
      <c r="AE628" s="32"/>
      <c r="AF628" s="32"/>
      <c r="AG628" s="32"/>
      <c r="AH628" s="32"/>
      <c r="AI628" s="30">
        <v>768355</v>
      </c>
      <c r="AJ628" s="30">
        <v>722254</v>
      </c>
      <c r="AK628" s="30">
        <v>106556</v>
      </c>
      <c r="AL628" s="30">
        <v>500</v>
      </c>
      <c r="AM628" s="30">
        <v>56600</v>
      </c>
      <c r="AN628" s="30">
        <v>574800</v>
      </c>
      <c r="AO628" s="30">
        <v>631900</v>
      </c>
      <c r="AP628" s="30">
        <f>Lookups!$B$58*0.6</f>
        <v>132535.48800000001</v>
      </c>
      <c r="AQ628" s="30">
        <f>Lookups!$B$58*0.4</f>
        <v>88356.992000000013</v>
      </c>
      <c r="AR628" s="30">
        <f>Lookups!$B$59*Inventory[[#This Row],[LnAcres]]</f>
        <v>14418.540331024935</v>
      </c>
      <c r="AS628" s="30">
        <f>VLOOKUP(Inventory[[#This Row],[Qlty]],Lookups!$A$66:$E$79,2,FALSE)</f>
        <v>53304.018704533402</v>
      </c>
      <c r="AT628" s="30">
        <f>VLOOKUP(Inventory[[#This Row],[Cnd]],Lookups!$A$80:$E$88,2,FALSE)</f>
        <v>30300.329274</v>
      </c>
      <c r="AU628" s="30">
        <f>Inventory[[#This Row],[EffAge]]*Lookups!$B$65</f>
        <v>-1848.5987</v>
      </c>
      <c r="AV628" s="30">
        <f>Inventory[[#This Row],[MainFn]]*Lookups!$B$90</f>
        <v>196155.82434000002</v>
      </c>
      <c r="AW628" s="30">
        <f>Inventory[[#This Row],[UpprFn]]*Lookups!$B$91</f>
        <v>0</v>
      </c>
      <c r="AX628" s="30">
        <f>Inventory[[#This Row],[Bsmt Area]]*Lookups!$B$95</f>
        <v>0</v>
      </c>
      <c r="AY628" s="30">
        <f>Inventory[[#This Row],[AttGar]]*Lookups!$B$93</f>
        <v>35265.729969</v>
      </c>
      <c r="AZ628" s="30">
        <f>ROUND(Inventory[[#This Row],[25Det]],-2)</f>
        <v>106600</v>
      </c>
      <c r="BA628" s="30">
        <f>ROUND(SUM(Inventory[[#This Row],[Mdl Qlty]:[Mdl Garage Area]])+Inventory[[#This Row],[Mdl Res Intercept]],-2)</f>
        <v>445700</v>
      </c>
      <c r="BB628" s="30">
        <f>ROUND(Inventory[[#This Row],[Mdl Land Intercept]]+Inventory[[#This Row],[Mdl LnAcres]],-2)</f>
        <v>102800</v>
      </c>
      <c r="BC628" s="30">
        <f>Inventory[[#This Row],[Unadj Res Value]]+Inventory[[#This Row],[Unadj Det Value]]+Inventory[[#This Row],[Unadj Land Value]]</f>
        <v>655100</v>
      </c>
      <c r="BD628" s="30">
        <f>(Inventory[[#This Row],[Unadj Total Value]]-Inventory[[#This Row],[24Final]])/Inventory[[#This Row],[24Final]]</f>
        <v>3.6714670042728277E-2</v>
      </c>
      <c r="BE628" s="30">
        <f>VLOOKUP(Inventory[[#This Row],[Nbhd]],Lookups!$M$3:$P$5,4,FALSE)</f>
        <v>0.99970000000000003</v>
      </c>
      <c r="BF628" s="30">
        <f>VLOOKUP(Inventory[[#This Row],[Qlty]],Lookups!$M$8:$P$22,4,FALSE)</f>
        <v>1</v>
      </c>
      <c r="BG628" s="30">
        <f>VLOOKUP(Inventory[[#This Row],[Cnd]],Lookups!$R$8:$U$17,4,FALSE)</f>
        <v>0.997</v>
      </c>
      <c r="BH628" s="30">
        <f>VLOOKUP(Inventory[[#This Row],[LivArea Range]],Lookups!$R$25:$U$43,4,FALSE)</f>
        <v>0.98509999999999998</v>
      </c>
      <c r="BI628" s="30">
        <f>VLOOKUP(Inventory[[#This Row],[Decade]],Lookups!$M$24:$P$40,4,FALSE)</f>
        <v>1.0024</v>
      </c>
      <c r="BJ628" s="30">
        <f>Inventory[[#This Row],[Nbhd Adj]]*0.95</f>
        <v>0.94971499999999998</v>
      </c>
      <c r="BK628" s="30">
        <f>AVERAGE(Inventory[[#This Row],[Nbhd Adj]],Inventory[[#This Row],[Quality Adj]],Inventory[[#This Row],[Condition Adj]],Inventory[[#This Row],[Living Area Adj]],Inventory[[#This Row],[Decade Adj]])*0.95</f>
        <v>0.94699800000000001</v>
      </c>
      <c r="BL628" s="30">
        <f>ROUND((SUM(Inventory[[#This Row],[Mdl Qlty]:[Mdl Garage Area]])+Inventory[[#This Row],[Mdl Res Intercept]])*Inventory[[#This Row],[Res Adj ]],-2)</f>
        <v>422100</v>
      </c>
      <c r="BM628" s="30">
        <f>ROUND(Inventory[[#This Row],[25Det]]*Inventory[[#This Row],[Det/Nbhd Adj]],-2)</f>
        <v>101200</v>
      </c>
      <c r="BN628" s="30">
        <f>Inventory[[#This Row],[Adjusted Res]]+Inventory[[#This Row],[Adj Det ]]</f>
        <v>523300</v>
      </c>
      <c r="BO628" s="30">
        <f>ROUND((Inventory[[#This Row],[Mdl Land Intercept]]+Inventory[[#This Row],[Mdl LnAcres]])*Inventory[[#This Row],[Det/Nbhd Adj]],-2)</f>
        <v>97600</v>
      </c>
      <c r="BP628" s="30">
        <f>Inventory[[#This Row],[Adjusted Impr Total]]+Inventory[[#This Row],[Adjusted Land Total]]</f>
        <v>620900</v>
      </c>
      <c r="BQ628" s="30">
        <f>IFERROR((Inventory[[#This Row],[Adjusted Impr Total]]-Inventory[[#This Row],[24Bldg]])/Inventory[[#This Row],[24Bldg]],0)</f>
        <v>-8.9596381350034796E-2</v>
      </c>
      <c r="BR628" s="43">
        <f>(Inventory[[#This Row],[Adjusted Land Total]]-Inventory[[#This Row],[24Lnd]])/Inventory[[#This Row],[24Lnd]]</f>
        <v>0.72438162544169615</v>
      </c>
      <c r="BS628" s="43">
        <f>(Inventory[[#This Row],[Adjusted Total]]-Inventory[[#This Row],[24Final]])/Inventory[[#This Row],[24Final]]</f>
        <v>-1.740781769267289E-2</v>
      </c>
    </row>
    <row r="629" spans="1:71">
      <c r="A629" s="30">
        <v>2025</v>
      </c>
      <c r="B629" s="31" t="s">
        <v>1144</v>
      </c>
      <c r="C629" s="31">
        <f>LN(Inventory[[#This Row],[Acres]])</f>
        <v>-1.8971199848858813</v>
      </c>
      <c r="D629" s="30">
        <v>0.15</v>
      </c>
      <c r="E629" s="30">
        <v>6569</v>
      </c>
      <c r="F629" s="31" t="s">
        <v>505</v>
      </c>
      <c r="G629" s="31" t="s">
        <v>155</v>
      </c>
      <c r="H629" s="31" t="s">
        <v>5</v>
      </c>
      <c r="I629" s="31" t="s">
        <v>506</v>
      </c>
      <c r="J629" s="31" t="s">
        <v>507</v>
      </c>
      <c r="K629" s="31" t="s">
        <v>193</v>
      </c>
      <c r="L629" s="31" t="s">
        <v>19</v>
      </c>
      <c r="M629" s="31" t="s">
        <v>18</v>
      </c>
      <c r="N629" s="31">
        <v>10</v>
      </c>
      <c r="O629" s="31">
        <f>2024-Inventory[[#This Row],[YrBlt]]</f>
        <v>18</v>
      </c>
      <c r="P629" s="31">
        <f>2024-Inventory[[#This Row],[EffYr]]</f>
        <v>18</v>
      </c>
      <c r="Q629" s="30">
        <v>2006</v>
      </c>
      <c r="R629" s="30">
        <v>2006</v>
      </c>
      <c r="S629" s="30">
        <v>1092</v>
      </c>
      <c r="T629" s="37"/>
      <c r="U629" s="32"/>
      <c r="V629" s="32"/>
      <c r="W629" s="32"/>
      <c r="X629" s="32">
        <f>Inventory[[#This Row],[Bsmt Area]]-Inventory[[#This Row],[FnBsmt]]</f>
        <v>0</v>
      </c>
      <c r="Y629" s="32">
        <f>Inventory[[#This Row],[MainFn]]+Inventory[[#This Row],[UpprFn]]+Inventory[[#This Row],[AddFn]]+Inventory[[#This Row],[FnBsmt]]</f>
        <v>1092</v>
      </c>
      <c r="Z629" s="32">
        <v>1500</v>
      </c>
      <c r="AA629" s="31" t="s">
        <v>56</v>
      </c>
      <c r="AB629" s="32"/>
      <c r="AC629" s="30">
        <v>440</v>
      </c>
      <c r="AD629" s="32"/>
      <c r="AE629" s="32"/>
      <c r="AF629" s="32"/>
      <c r="AG629" s="32"/>
      <c r="AH629" s="32"/>
      <c r="AI629" s="30">
        <v>231626</v>
      </c>
      <c r="AJ629" s="30">
        <v>210780</v>
      </c>
      <c r="AK629" s="30">
        <v>0</v>
      </c>
      <c r="AL629" s="30">
        <v>0</v>
      </c>
      <c r="AM629" s="30">
        <v>59900</v>
      </c>
      <c r="AN629" s="30">
        <v>266100</v>
      </c>
      <c r="AO629" s="30">
        <v>326000</v>
      </c>
      <c r="AP629" s="30">
        <f>Lookups!$B$58*0.6</f>
        <v>132535.48800000001</v>
      </c>
      <c r="AQ629" s="30">
        <f>Lookups!$B$58*0.4</f>
        <v>88356.992000000013</v>
      </c>
      <c r="AR629" s="30">
        <f>Lookups!$B$59*Inventory[[#This Row],[LnAcres]]</f>
        <v>-24898.411657157456</v>
      </c>
      <c r="AS629" s="30">
        <f>VLOOKUP(Inventory[[#This Row],[Qlty]],Lookups!$A$66:$E$79,2,FALSE)</f>
        <v>37154.252388000001</v>
      </c>
      <c r="AT629" s="30">
        <f>VLOOKUP(Inventory[[#This Row],[Cnd]],Lookups!$A$80:$E$88,2,FALSE)</f>
        <v>17761.121909000001</v>
      </c>
      <c r="AU629" s="30">
        <f>Inventory[[#This Row],[EffAge]]*Lookups!$B$65</f>
        <v>-1957.3398</v>
      </c>
      <c r="AV629" s="30">
        <f>Inventory[[#This Row],[MainFn]]*Lookups!$B$90</f>
        <v>68152.13496000001</v>
      </c>
      <c r="AW629" s="30">
        <f>Inventory[[#This Row],[UpprFn]]*Lookups!$B$91</f>
        <v>0</v>
      </c>
      <c r="AX629" s="30">
        <f>Inventory[[#This Row],[Bsmt Area]]*Lookups!$B$95</f>
        <v>0</v>
      </c>
      <c r="AY629" s="30">
        <f>Inventory[[#This Row],[AttGar]]*Lookups!$B$93</f>
        <v>15532.453640000002</v>
      </c>
      <c r="AZ629" s="30">
        <f>ROUND(Inventory[[#This Row],[25Det]],-2)</f>
        <v>0</v>
      </c>
      <c r="BA629" s="30">
        <f>ROUND(SUM(Inventory[[#This Row],[Mdl Qlty]:[Mdl Garage Area]])+Inventory[[#This Row],[Mdl Res Intercept]],-2)</f>
        <v>269200</v>
      </c>
      <c r="BB629" s="30">
        <f>ROUND(Inventory[[#This Row],[Mdl Land Intercept]]+Inventory[[#This Row],[Mdl LnAcres]],-2)</f>
        <v>63500</v>
      </c>
      <c r="BC629" s="30">
        <f>Inventory[[#This Row],[Unadj Res Value]]+Inventory[[#This Row],[Unadj Det Value]]+Inventory[[#This Row],[Unadj Land Value]]</f>
        <v>332700</v>
      </c>
      <c r="BD629" s="30">
        <f>(Inventory[[#This Row],[Unadj Total Value]]-Inventory[[#This Row],[24Final]])/Inventory[[#This Row],[24Final]]</f>
        <v>2.0552147239263803E-2</v>
      </c>
      <c r="BE629" s="30">
        <f>VLOOKUP(Inventory[[#This Row],[Nbhd]],Lookups!$M$3:$P$5,4,FALSE)</f>
        <v>0.99970000000000003</v>
      </c>
      <c r="BF629" s="30">
        <f>VLOOKUP(Inventory[[#This Row],[Qlty]],Lookups!$M$8:$P$22,4,FALSE)</f>
        <v>0.99819999999999998</v>
      </c>
      <c r="BG629" s="30">
        <f>VLOOKUP(Inventory[[#This Row],[Cnd]],Lookups!$R$8:$U$17,4,FALSE)</f>
        <v>0.99680000000000002</v>
      </c>
      <c r="BH629" s="30">
        <f>VLOOKUP(Inventory[[#This Row],[LivArea Range]],Lookups!$R$25:$U$43,4,FALSE)</f>
        <v>0.99519999999999997</v>
      </c>
      <c r="BI629" s="30">
        <f>VLOOKUP(Inventory[[#This Row],[Decade]],Lookups!$M$24:$P$40,4,FALSE)</f>
        <v>1.0024</v>
      </c>
      <c r="BJ629" s="30">
        <f>Inventory[[#This Row],[Nbhd Adj]]*0.95</f>
        <v>0.94971499999999998</v>
      </c>
      <c r="BK629" s="30">
        <f>AVERAGE(Inventory[[#This Row],[Nbhd Adj]],Inventory[[#This Row],[Quality Adj]],Inventory[[#This Row],[Condition Adj]],Inventory[[#This Row],[Living Area Adj]],Inventory[[#This Row],[Decade Adj]])*0.95</f>
        <v>0.94853699999999996</v>
      </c>
      <c r="BL629" s="30">
        <f>ROUND((SUM(Inventory[[#This Row],[Mdl Qlty]:[Mdl Garage Area]])+Inventory[[#This Row],[Mdl Res Intercept]])*Inventory[[#This Row],[Res Adj ]],-2)</f>
        <v>255300</v>
      </c>
      <c r="BM629" s="30">
        <f>ROUND(Inventory[[#This Row],[25Det]]*Inventory[[#This Row],[Det/Nbhd Adj]],-2)</f>
        <v>0</v>
      </c>
      <c r="BN629" s="30">
        <f>Inventory[[#This Row],[Adjusted Res]]+Inventory[[#This Row],[Adj Det ]]</f>
        <v>255300</v>
      </c>
      <c r="BO629" s="30">
        <f>ROUND((Inventory[[#This Row],[Mdl Land Intercept]]+Inventory[[#This Row],[Mdl LnAcres]])*Inventory[[#This Row],[Det/Nbhd Adj]],-2)</f>
        <v>60300</v>
      </c>
      <c r="BP629" s="30">
        <f>Inventory[[#This Row],[Adjusted Impr Total]]+Inventory[[#This Row],[Adjusted Land Total]]</f>
        <v>315600</v>
      </c>
      <c r="BQ629" s="30">
        <f>IFERROR((Inventory[[#This Row],[Adjusted Impr Total]]-Inventory[[#This Row],[24Bldg]])/Inventory[[#This Row],[24Bldg]],0)</f>
        <v>-4.0586245772266064E-2</v>
      </c>
      <c r="BR629" s="43">
        <f>(Inventory[[#This Row],[Adjusted Land Total]]-Inventory[[#This Row],[24Lnd]])/Inventory[[#This Row],[24Lnd]]</f>
        <v>6.6777963272120202E-3</v>
      </c>
      <c r="BS629" s="43">
        <f>(Inventory[[#This Row],[Adjusted Total]]-Inventory[[#This Row],[24Final]])/Inventory[[#This Row],[24Final]]</f>
        <v>-3.1901840490797549E-2</v>
      </c>
    </row>
    <row r="630" spans="1:71">
      <c r="A630" s="30">
        <v>2025</v>
      </c>
      <c r="B630" s="31" t="s">
        <v>1145</v>
      </c>
      <c r="C630" s="31">
        <f>LN(Inventory[[#This Row],[Acres]])</f>
        <v>-1.8971199848858813</v>
      </c>
      <c r="D630" s="30">
        <v>0.15</v>
      </c>
      <c r="E630" s="30">
        <v>6701</v>
      </c>
      <c r="F630" s="31" t="s">
        <v>505</v>
      </c>
      <c r="G630" s="31" t="s">
        <v>155</v>
      </c>
      <c r="H630" s="31" t="s">
        <v>5</v>
      </c>
      <c r="I630" s="31" t="s">
        <v>506</v>
      </c>
      <c r="J630" s="31" t="s">
        <v>507</v>
      </c>
      <c r="K630" s="31" t="s">
        <v>193</v>
      </c>
      <c r="L630" s="31" t="s">
        <v>19</v>
      </c>
      <c r="M630" s="31" t="s">
        <v>22</v>
      </c>
      <c r="N630" s="31">
        <v>10</v>
      </c>
      <c r="O630" s="31">
        <f>2024-Inventory[[#This Row],[YrBlt]]</f>
        <v>18</v>
      </c>
      <c r="P630" s="31">
        <f>2024-Inventory[[#This Row],[EffYr]]</f>
        <v>18</v>
      </c>
      <c r="Q630" s="30">
        <v>2006</v>
      </c>
      <c r="R630" s="30">
        <v>2006</v>
      </c>
      <c r="S630" s="30">
        <v>1076</v>
      </c>
      <c r="T630" s="37"/>
      <c r="U630" s="32"/>
      <c r="V630" s="32"/>
      <c r="W630" s="32"/>
      <c r="X630" s="32">
        <f>Inventory[[#This Row],[Bsmt Area]]-Inventory[[#This Row],[FnBsmt]]</f>
        <v>0</v>
      </c>
      <c r="Y630" s="32">
        <f>Inventory[[#This Row],[MainFn]]+Inventory[[#This Row],[UpprFn]]+Inventory[[#This Row],[AddFn]]+Inventory[[#This Row],[FnBsmt]]</f>
        <v>1076</v>
      </c>
      <c r="Z630" s="32">
        <v>1500</v>
      </c>
      <c r="AA630" s="31" t="s">
        <v>56</v>
      </c>
      <c r="AB630" s="37"/>
      <c r="AC630" s="30">
        <v>440</v>
      </c>
      <c r="AD630" s="32"/>
      <c r="AE630" s="32"/>
      <c r="AF630" s="32"/>
      <c r="AG630" s="32"/>
      <c r="AH630" s="32"/>
      <c r="AI630" s="30">
        <v>242018</v>
      </c>
      <c r="AJ630" s="30">
        <v>222657</v>
      </c>
      <c r="AK630" s="30">
        <v>0</v>
      </c>
      <c r="AL630" s="30">
        <v>0</v>
      </c>
      <c r="AM630" s="30">
        <v>59900</v>
      </c>
      <c r="AN630" s="30">
        <v>290100</v>
      </c>
      <c r="AO630" s="30">
        <v>350000</v>
      </c>
      <c r="AP630" s="30">
        <f>Lookups!$B$58*0.6</f>
        <v>132535.48800000001</v>
      </c>
      <c r="AQ630" s="30">
        <f>Lookups!$B$58*0.4</f>
        <v>88356.992000000013</v>
      </c>
      <c r="AR630" s="30">
        <f>Lookups!$B$59*Inventory[[#This Row],[LnAcres]]</f>
        <v>-24898.411657157456</v>
      </c>
      <c r="AS630" s="30">
        <f>VLOOKUP(Inventory[[#This Row],[Qlty]],Lookups!$A$66:$E$79,2,FALSE)</f>
        <v>37154.252388000001</v>
      </c>
      <c r="AT630" s="30">
        <f>VLOOKUP(Inventory[[#This Row],[Cnd]],Lookups!$A$80:$E$88,2,FALSE)</f>
        <v>50438.379078999998</v>
      </c>
      <c r="AU630" s="30">
        <f>Inventory[[#This Row],[EffAge]]*Lookups!$B$65</f>
        <v>-1957.3398</v>
      </c>
      <c r="AV630" s="30">
        <f>Inventory[[#This Row],[MainFn]]*Lookups!$B$90</f>
        <v>67153.568880000006</v>
      </c>
      <c r="AW630" s="30">
        <f>Inventory[[#This Row],[UpprFn]]*Lookups!$B$91</f>
        <v>0</v>
      </c>
      <c r="AX630" s="30">
        <f>Inventory[[#This Row],[Bsmt Area]]*Lookups!$B$95</f>
        <v>0</v>
      </c>
      <c r="AY630" s="30">
        <f>Inventory[[#This Row],[AttGar]]*Lookups!$B$93</f>
        <v>15532.453640000002</v>
      </c>
      <c r="AZ630" s="30">
        <f>ROUND(Inventory[[#This Row],[25Det]],-2)</f>
        <v>0</v>
      </c>
      <c r="BA630" s="30">
        <f>ROUND(SUM(Inventory[[#This Row],[Mdl Qlty]:[Mdl Garage Area]])+Inventory[[#This Row],[Mdl Res Intercept]],-2)</f>
        <v>300900</v>
      </c>
      <c r="BB630" s="30">
        <f>ROUND(Inventory[[#This Row],[Mdl Land Intercept]]+Inventory[[#This Row],[Mdl LnAcres]],-2)</f>
        <v>63500</v>
      </c>
      <c r="BC630" s="30">
        <f>Inventory[[#This Row],[Unadj Res Value]]+Inventory[[#This Row],[Unadj Det Value]]+Inventory[[#This Row],[Unadj Land Value]]</f>
        <v>364400</v>
      </c>
      <c r="BD630" s="30">
        <f>(Inventory[[#This Row],[Unadj Total Value]]-Inventory[[#This Row],[24Final]])/Inventory[[#This Row],[24Final]]</f>
        <v>4.1142857142857141E-2</v>
      </c>
      <c r="BE630" s="30">
        <f>VLOOKUP(Inventory[[#This Row],[Nbhd]],Lookups!$M$3:$P$5,4,FALSE)</f>
        <v>0.99970000000000003</v>
      </c>
      <c r="BF630" s="30">
        <f>VLOOKUP(Inventory[[#This Row],[Qlty]],Lookups!$M$8:$P$22,4,FALSE)</f>
        <v>0.99819999999999998</v>
      </c>
      <c r="BG630" s="30">
        <f>VLOOKUP(Inventory[[#This Row],[Cnd]],Lookups!$R$8:$U$17,4,FALSE)</f>
        <v>1.0007999999999999</v>
      </c>
      <c r="BH630" s="30">
        <f>VLOOKUP(Inventory[[#This Row],[LivArea Range]],Lookups!$R$25:$U$43,4,FALSE)</f>
        <v>0.99519999999999997</v>
      </c>
      <c r="BI630" s="30">
        <f>VLOOKUP(Inventory[[#This Row],[Decade]],Lookups!$M$24:$P$40,4,FALSE)</f>
        <v>1.0024</v>
      </c>
      <c r="BJ630" s="30">
        <f>Inventory[[#This Row],[Nbhd Adj]]*0.95</f>
        <v>0.94971499999999998</v>
      </c>
      <c r="BK630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630" s="30">
        <f>ROUND((SUM(Inventory[[#This Row],[Mdl Qlty]:[Mdl Garage Area]])+Inventory[[#This Row],[Mdl Res Intercept]])*Inventory[[#This Row],[Res Adj ]],-2)</f>
        <v>285600</v>
      </c>
      <c r="BM630" s="30">
        <f>ROUND(Inventory[[#This Row],[25Det]]*Inventory[[#This Row],[Det/Nbhd Adj]],-2)</f>
        <v>0</v>
      </c>
      <c r="BN630" s="30">
        <f>Inventory[[#This Row],[Adjusted Res]]+Inventory[[#This Row],[Adj Det ]]</f>
        <v>285600</v>
      </c>
      <c r="BO630" s="30">
        <f>ROUND((Inventory[[#This Row],[Mdl Land Intercept]]+Inventory[[#This Row],[Mdl LnAcres]])*Inventory[[#This Row],[Det/Nbhd Adj]],-2)</f>
        <v>60300</v>
      </c>
      <c r="BP630" s="30">
        <f>Inventory[[#This Row],[Adjusted Impr Total]]+Inventory[[#This Row],[Adjusted Land Total]]</f>
        <v>345900</v>
      </c>
      <c r="BQ630" s="30">
        <f>IFERROR((Inventory[[#This Row],[Adjusted Impr Total]]-Inventory[[#This Row],[24Bldg]])/Inventory[[#This Row],[24Bldg]],0)</f>
        <v>-1.5511892450879007E-2</v>
      </c>
      <c r="BR630" s="43">
        <f>(Inventory[[#This Row],[Adjusted Land Total]]-Inventory[[#This Row],[24Lnd]])/Inventory[[#This Row],[24Lnd]]</f>
        <v>6.6777963272120202E-3</v>
      </c>
      <c r="BS630" s="43">
        <f>(Inventory[[#This Row],[Adjusted Total]]-Inventory[[#This Row],[24Final]])/Inventory[[#This Row],[24Final]]</f>
        <v>-1.1714285714285714E-2</v>
      </c>
    </row>
    <row r="631" spans="1:71">
      <c r="A631" s="30">
        <v>2025</v>
      </c>
      <c r="B631" s="31" t="s">
        <v>1146</v>
      </c>
      <c r="C631" s="31">
        <f>LN(Inventory[[#This Row],[Acres]])</f>
        <v>-1.8971199848858813</v>
      </c>
      <c r="D631" s="30">
        <v>0.15</v>
      </c>
      <c r="E631" s="30">
        <v>6705</v>
      </c>
      <c r="F631" s="31" t="s">
        <v>505</v>
      </c>
      <c r="G631" s="31" t="s">
        <v>155</v>
      </c>
      <c r="H631" s="31" t="s">
        <v>5</v>
      </c>
      <c r="I631" s="31" t="s">
        <v>506</v>
      </c>
      <c r="J631" s="31" t="s">
        <v>507</v>
      </c>
      <c r="K631" s="31" t="s">
        <v>193</v>
      </c>
      <c r="L631" s="31" t="s">
        <v>19</v>
      </c>
      <c r="M631" s="31" t="s">
        <v>22</v>
      </c>
      <c r="N631" s="31">
        <v>10</v>
      </c>
      <c r="O631" s="31">
        <f>2024-Inventory[[#This Row],[YrBlt]]</f>
        <v>18</v>
      </c>
      <c r="P631" s="31">
        <f>2024-Inventory[[#This Row],[EffYr]]</f>
        <v>18</v>
      </c>
      <c r="Q631" s="30">
        <v>2006</v>
      </c>
      <c r="R631" s="30">
        <v>2006</v>
      </c>
      <c r="S631" s="30">
        <v>1386</v>
      </c>
      <c r="T631" s="37"/>
      <c r="U631" s="32"/>
      <c r="V631" s="32"/>
      <c r="W631" s="32"/>
      <c r="X631" s="32">
        <f>Inventory[[#This Row],[Bsmt Area]]-Inventory[[#This Row],[FnBsmt]]</f>
        <v>0</v>
      </c>
      <c r="Y631" s="32">
        <f>Inventory[[#This Row],[MainFn]]+Inventory[[#This Row],[UpprFn]]+Inventory[[#This Row],[AddFn]]+Inventory[[#This Row],[FnBsmt]]</f>
        <v>1386</v>
      </c>
      <c r="Z631" s="32">
        <v>1500</v>
      </c>
      <c r="AA631" s="31" t="s">
        <v>56</v>
      </c>
      <c r="AB631" s="32"/>
      <c r="AC631" s="30">
        <v>422</v>
      </c>
      <c r="AD631" s="37"/>
      <c r="AE631" s="32"/>
      <c r="AF631" s="32"/>
      <c r="AG631" s="32"/>
      <c r="AH631" s="32"/>
      <c r="AI631" s="30">
        <v>280599</v>
      </c>
      <c r="AJ631" s="30">
        <v>258151</v>
      </c>
      <c r="AK631" s="30">
        <v>0</v>
      </c>
      <c r="AL631" s="30">
        <v>0</v>
      </c>
      <c r="AM631" s="30">
        <v>59900</v>
      </c>
      <c r="AN631" s="30">
        <v>305500</v>
      </c>
      <c r="AO631" s="30">
        <v>365400</v>
      </c>
      <c r="AP631" s="30">
        <f>Lookups!$B$58*0.6</f>
        <v>132535.48800000001</v>
      </c>
      <c r="AQ631" s="30">
        <f>Lookups!$B$58*0.4</f>
        <v>88356.992000000013</v>
      </c>
      <c r="AR631" s="30">
        <f>Lookups!$B$59*Inventory[[#This Row],[LnAcres]]</f>
        <v>-24898.411657157456</v>
      </c>
      <c r="AS631" s="30">
        <f>VLOOKUP(Inventory[[#This Row],[Qlty]],Lookups!$A$66:$E$79,2,FALSE)</f>
        <v>37154.252388000001</v>
      </c>
      <c r="AT631" s="30">
        <f>VLOOKUP(Inventory[[#This Row],[Cnd]],Lookups!$A$80:$E$88,2,FALSE)</f>
        <v>50438.379078999998</v>
      </c>
      <c r="AU631" s="30">
        <f>Inventory[[#This Row],[EffAge]]*Lookups!$B$65</f>
        <v>-1957.3398</v>
      </c>
      <c r="AV631" s="30">
        <f>Inventory[[#This Row],[MainFn]]*Lookups!$B$90</f>
        <v>86500.786680000005</v>
      </c>
      <c r="AW631" s="30">
        <f>Inventory[[#This Row],[UpprFn]]*Lookups!$B$91</f>
        <v>0</v>
      </c>
      <c r="AX631" s="30">
        <f>Inventory[[#This Row],[Bsmt Area]]*Lookups!$B$95</f>
        <v>0</v>
      </c>
      <c r="AY631" s="30">
        <f>Inventory[[#This Row],[AttGar]]*Lookups!$B$93</f>
        <v>14897.035082</v>
      </c>
      <c r="AZ631" s="30">
        <f>ROUND(Inventory[[#This Row],[25Det]],-2)</f>
        <v>0</v>
      </c>
      <c r="BA631" s="30">
        <f>ROUND(SUM(Inventory[[#This Row],[Mdl Qlty]:[Mdl Garage Area]])+Inventory[[#This Row],[Mdl Res Intercept]],-2)</f>
        <v>319600</v>
      </c>
      <c r="BB631" s="30">
        <f>ROUND(Inventory[[#This Row],[Mdl Land Intercept]]+Inventory[[#This Row],[Mdl LnAcres]],-2)</f>
        <v>63500</v>
      </c>
      <c r="BC631" s="30">
        <f>Inventory[[#This Row],[Unadj Res Value]]+Inventory[[#This Row],[Unadj Det Value]]+Inventory[[#This Row],[Unadj Land Value]]</f>
        <v>383100</v>
      </c>
      <c r="BD631" s="30">
        <f>(Inventory[[#This Row],[Unadj Total Value]]-Inventory[[#This Row],[24Final]])/Inventory[[#This Row],[24Final]]</f>
        <v>4.8440065681444995E-2</v>
      </c>
      <c r="BE631" s="30">
        <f>VLOOKUP(Inventory[[#This Row],[Nbhd]],Lookups!$M$3:$P$5,4,FALSE)</f>
        <v>0.99970000000000003</v>
      </c>
      <c r="BF631" s="30">
        <f>VLOOKUP(Inventory[[#This Row],[Qlty]],Lookups!$M$8:$P$22,4,FALSE)</f>
        <v>0.99819999999999998</v>
      </c>
      <c r="BG631" s="30">
        <f>VLOOKUP(Inventory[[#This Row],[Cnd]],Lookups!$R$8:$U$17,4,FALSE)</f>
        <v>1.0007999999999999</v>
      </c>
      <c r="BH631" s="30">
        <f>VLOOKUP(Inventory[[#This Row],[LivArea Range]],Lookups!$R$25:$U$43,4,FALSE)</f>
        <v>0.99519999999999997</v>
      </c>
      <c r="BI631" s="30">
        <f>VLOOKUP(Inventory[[#This Row],[Decade]],Lookups!$M$24:$P$40,4,FALSE)</f>
        <v>1.0024</v>
      </c>
      <c r="BJ631" s="30">
        <f>Inventory[[#This Row],[Nbhd Adj]]*0.95</f>
        <v>0.94971499999999998</v>
      </c>
      <c r="BK631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631" s="30">
        <f>ROUND((SUM(Inventory[[#This Row],[Mdl Qlty]:[Mdl Garage Area]])+Inventory[[#This Row],[Mdl Res Intercept]])*Inventory[[#This Row],[Res Adj ]],-2)</f>
        <v>303400</v>
      </c>
      <c r="BM631" s="30">
        <f>ROUND(Inventory[[#This Row],[25Det]]*Inventory[[#This Row],[Det/Nbhd Adj]],-2)</f>
        <v>0</v>
      </c>
      <c r="BN631" s="30">
        <f>Inventory[[#This Row],[Adjusted Res]]+Inventory[[#This Row],[Adj Det ]]</f>
        <v>303400</v>
      </c>
      <c r="BO631" s="30">
        <f>ROUND((Inventory[[#This Row],[Mdl Land Intercept]]+Inventory[[#This Row],[Mdl LnAcres]])*Inventory[[#This Row],[Det/Nbhd Adj]],-2)</f>
        <v>60300</v>
      </c>
      <c r="BP631" s="30">
        <f>Inventory[[#This Row],[Adjusted Impr Total]]+Inventory[[#This Row],[Adjusted Land Total]]</f>
        <v>363700</v>
      </c>
      <c r="BQ631" s="30">
        <f>IFERROR((Inventory[[#This Row],[Adjusted Impr Total]]-Inventory[[#This Row],[24Bldg]])/Inventory[[#This Row],[24Bldg]],0)</f>
        <v>-6.873977086743044E-3</v>
      </c>
      <c r="BR631" s="43">
        <f>(Inventory[[#This Row],[Adjusted Land Total]]-Inventory[[#This Row],[24Lnd]])/Inventory[[#This Row],[24Lnd]]</f>
        <v>6.6777963272120202E-3</v>
      </c>
      <c r="BS631" s="43">
        <f>(Inventory[[#This Row],[Adjusted Total]]-Inventory[[#This Row],[24Final]])/Inventory[[#This Row],[24Final]]</f>
        <v>-4.6524356869184456E-3</v>
      </c>
    </row>
    <row r="632" spans="1:71">
      <c r="A632" s="30">
        <v>2025</v>
      </c>
      <c r="B632" s="31" t="s">
        <v>1147</v>
      </c>
      <c r="C632" s="31">
        <f>LN(Inventory[[#This Row],[Acres]])</f>
        <v>-1.8325814637483102</v>
      </c>
      <c r="D632" s="30">
        <v>0.16</v>
      </c>
      <c r="E632" s="30">
        <v>7079</v>
      </c>
      <c r="F632" s="31" t="s">
        <v>505</v>
      </c>
      <c r="G632" s="31" t="s">
        <v>155</v>
      </c>
      <c r="H632" s="31" t="s">
        <v>5</v>
      </c>
      <c r="I632" s="31" t="s">
        <v>506</v>
      </c>
      <c r="J632" s="31" t="s">
        <v>507</v>
      </c>
      <c r="K632" s="31" t="s">
        <v>157</v>
      </c>
      <c r="L632" s="31" t="s">
        <v>21</v>
      </c>
      <c r="M632" s="31" t="s">
        <v>20</v>
      </c>
      <c r="N632" s="31">
        <v>10</v>
      </c>
      <c r="O632" s="31">
        <f>2024-Inventory[[#This Row],[YrBlt]]</f>
        <v>18</v>
      </c>
      <c r="P632" s="31">
        <f>2024-Inventory[[#This Row],[EffYr]]</f>
        <v>18</v>
      </c>
      <c r="Q632" s="30">
        <v>2006</v>
      </c>
      <c r="R632" s="30">
        <v>2006</v>
      </c>
      <c r="S632" s="30">
        <v>1158</v>
      </c>
      <c r="T632" s="30">
        <v>1332</v>
      </c>
      <c r="U632" s="32"/>
      <c r="V632" s="32"/>
      <c r="W632" s="32"/>
      <c r="X632" s="32">
        <f>Inventory[[#This Row],[Bsmt Area]]-Inventory[[#This Row],[FnBsmt]]</f>
        <v>0</v>
      </c>
      <c r="Y632" s="32">
        <f>Inventory[[#This Row],[MainFn]]+Inventory[[#This Row],[UpprFn]]+Inventory[[#This Row],[AddFn]]+Inventory[[#This Row],[FnBsmt]]</f>
        <v>2490</v>
      </c>
      <c r="Z632" s="32">
        <v>2500</v>
      </c>
      <c r="AA632" s="31" t="s">
        <v>57</v>
      </c>
      <c r="AB632" s="37"/>
      <c r="AC632" s="37"/>
      <c r="AD632" s="38">
        <v>502</v>
      </c>
      <c r="AE632" s="32"/>
      <c r="AF632" s="32"/>
      <c r="AG632" s="32"/>
      <c r="AH632" s="32"/>
      <c r="AI632" s="30">
        <v>494693</v>
      </c>
      <c r="AJ632" s="30">
        <v>450171</v>
      </c>
      <c r="AK632" s="30">
        <v>0</v>
      </c>
      <c r="AL632" s="30">
        <v>0</v>
      </c>
      <c r="AM632" s="30">
        <v>60800</v>
      </c>
      <c r="AN632" s="30">
        <v>377300</v>
      </c>
      <c r="AO632" s="30">
        <v>438100</v>
      </c>
      <c r="AP632" s="30">
        <f>Lookups!$B$58*0.6</f>
        <v>132535.48800000001</v>
      </c>
      <c r="AQ632" s="30">
        <f>Lookups!$B$58*0.4</f>
        <v>88356.992000000013</v>
      </c>
      <c r="AR632" s="30">
        <f>Lookups!$B$59*Inventory[[#This Row],[LnAcres]]</f>
        <v>-24051.387388882686</v>
      </c>
      <c r="AS632" s="30">
        <f>VLOOKUP(Inventory[[#This Row],[Qlty]],Lookups!$A$66:$E$79,2,FALSE)</f>
        <v>32917.849192000001</v>
      </c>
      <c r="AT632" s="30">
        <f>VLOOKUP(Inventory[[#This Row],[Cnd]],Lookups!$A$80:$E$88,2,FALSE)</f>
        <v>30300.329274</v>
      </c>
      <c r="AU632" s="30">
        <f>Inventory[[#This Row],[EffAge]]*Lookups!$B$65</f>
        <v>-1957.3398</v>
      </c>
      <c r="AV632" s="30">
        <f>Inventory[[#This Row],[MainFn]]*Lookups!$B$90</f>
        <v>72271.22004</v>
      </c>
      <c r="AW632" s="30">
        <f>Inventory[[#This Row],[UpprFn]]*Lookups!$B$91</f>
        <v>79361.070156000002</v>
      </c>
      <c r="AX632" s="30">
        <f>Inventory[[#This Row],[Bsmt Area]]*Lookups!$B$95</f>
        <v>0</v>
      </c>
      <c r="AY632" s="30">
        <f>Inventory[[#This Row],[AttGar]]*Lookups!$B$93</f>
        <v>0</v>
      </c>
      <c r="AZ632" s="30">
        <f>ROUND(Inventory[[#This Row],[25Det]],-2)</f>
        <v>0</v>
      </c>
      <c r="BA632" s="30">
        <f>ROUND(SUM(Inventory[[#This Row],[Mdl Qlty]:[Mdl Garage Area]])+Inventory[[#This Row],[Mdl Res Intercept]],-2)</f>
        <v>345400</v>
      </c>
      <c r="BB632" s="30">
        <f>ROUND(Inventory[[#This Row],[Mdl Land Intercept]]+Inventory[[#This Row],[Mdl LnAcres]],-2)</f>
        <v>64300</v>
      </c>
      <c r="BC632" s="30">
        <f>Inventory[[#This Row],[Unadj Res Value]]+Inventory[[#This Row],[Unadj Det Value]]+Inventory[[#This Row],[Unadj Land Value]]</f>
        <v>409700</v>
      </c>
      <c r="BD632" s="30">
        <f>(Inventory[[#This Row],[Unadj Total Value]]-Inventory[[#This Row],[24Final]])/Inventory[[#This Row],[24Final]]</f>
        <v>-6.4825382332800732E-2</v>
      </c>
      <c r="BE632" s="30">
        <f>VLOOKUP(Inventory[[#This Row],[Nbhd]],Lookups!$M$3:$P$5,4,FALSE)</f>
        <v>0.99970000000000003</v>
      </c>
      <c r="BF632" s="30">
        <f>VLOOKUP(Inventory[[#This Row],[Qlty]],Lookups!$M$8:$P$22,4,FALSE)</f>
        <v>1.0019</v>
      </c>
      <c r="BG632" s="30">
        <f>VLOOKUP(Inventory[[#This Row],[Cnd]],Lookups!$R$8:$U$17,4,FALSE)</f>
        <v>0.997</v>
      </c>
      <c r="BH632" s="30">
        <f>VLOOKUP(Inventory[[#This Row],[LivArea Range]],Lookups!$R$25:$U$43,4,FALSE)</f>
        <v>1.0008999999999999</v>
      </c>
      <c r="BI632" s="30">
        <f>VLOOKUP(Inventory[[#This Row],[Decade]],Lookups!$M$24:$P$40,4,FALSE)</f>
        <v>1.0024</v>
      </c>
      <c r="BJ632" s="30">
        <f>Inventory[[#This Row],[Nbhd Adj]]*0.95</f>
        <v>0.94971499999999998</v>
      </c>
      <c r="BK632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632" s="30">
        <f>ROUND((SUM(Inventory[[#This Row],[Mdl Qlty]:[Mdl Garage Area]])+Inventory[[#This Row],[Mdl Res Intercept]])*Inventory[[#This Row],[Res Adj ]],-2)</f>
        <v>328300</v>
      </c>
      <c r="BM632" s="30">
        <f>ROUND(Inventory[[#This Row],[25Det]]*Inventory[[#This Row],[Det/Nbhd Adj]],-2)</f>
        <v>0</v>
      </c>
      <c r="BN632" s="30">
        <f>Inventory[[#This Row],[Adjusted Res]]+Inventory[[#This Row],[Adj Det ]]</f>
        <v>328300</v>
      </c>
      <c r="BO632" s="30">
        <f>ROUND((Inventory[[#This Row],[Mdl Land Intercept]]+Inventory[[#This Row],[Mdl LnAcres]])*Inventory[[#This Row],[Det/Nbhd Adj]],-2)</f>
        <v>61100</v>
      </c>
      <c r="BP632" s="30">
        <f>Inventory[[#This Row],[Adjusted Impr Total]]+Inventory[[#This Row],[Adjusted Land Total]]</f>
        <v>389400</v>
      </c>
      <c r="BQ632" s="30">
        <f>IFERROR((Inventory[[#This Row],[Adjusted Impr Total]]-Inventory[[#This Row],[24Bldg]])/Inventory[[#This Row],[24Bldg]],0)</f>
        <v>-0.12987012987012986</v>
      </c>
      <c r="BR632" s="43">
        <f>(Inventory[[#This Row],[Adjusted Land Total]]-Inventory[[#This Row],[24Lnd]])/Inventory[[#This Row],[24Lnd]]</f>
        <v>4.9342105263157892E-3</v>
      </c>
      <c r="BS632" s="43">
        <f>(Inventory[[#This Row],[Adjusted Total]]-Inventory[[#This Row],[24Final]])/Inventory[[#This Row],[24Final]]</f>
        <v>-0.11116183519744351</v>
      </c>
    </row>
    <row r="633" spans="1:71">
      <c r="A633" s="30">
        <v>2025</v>
      </c>
      <c r="B633" s="31" t="s">
        <v>1148</v>
      </c>
      <c r="C633" s="31">
        <f>LN(Inventory[[#This Row],[Acres]])</f>
        <v>-1.8325814637483102</v>
      </c>
      <c r="D633" s="30">
        <v>0.16</v>
      </c>
      <c r="E633" s="30">
        <v>7000</v>
      </c>
      <c r="F633" s="31" t="s">
        <v>505</v>
      </c>
      <c r="G633" s="31" t="s">
        <v>155</v>
      </c>
      <c r="H633" s="31" t="s">
        <v>5</v>
      </c>
      <c r="I633" s="31" t="s">
        <v>506</v>
      </c>
      <c r="J633" s="31" t="s">
        <v>507</v>
      </c>
      <c r="K633" s="31" t="s">
        <v>157</v>
      </c>
      <c r="L633" s="31" t="s">
        <v>23</v>
      </c>
      <c r="M633" s="31" t="s">
        <v>20</v>
      </c>
      <c r="N633" s="31">
        <v>10</v>
      </c>
      <c r="O633" s="31">
        <f>2024-Inventory[[#This Row],[YrBlt]]</f>
        <v>18</v>
      </c>
      <c r="P633" s="31">
        <f>2024-Inventory[[#This Row],[EffYr]]</f>
        <v>18</v>
      </c>
      <c r="Q633" s="30">
        <v>2006</v>
      </c>
      <c r="R633" s="30">
        <v>2006</v>
      </c>
      <c r="S633" s="30">
        <v>1374</v>
      </c>
      <c r="T633" s="30">
        <v>1318</v>
      </c>
      <c r="U633" s="32"/>
      <c r="V633" s="32"/>
      <c r="W633" s="32"/>
      <c r="X633" s="32">
        <f>Inventory[[#This Row],[Bsmt Area]]-Inventory[[#This Row],[FnBsmt]]</f>
        <v>0</v>
      </c>
      <c r="Y633" s="32">
        <f>Inventory[[#This Row],[MainFn]]+Inventory[[#This Row],[UpprFn]]+Inventory[[#This Row],[AddFn]]+Inventory[[#This Row],[FnBsmt]]</f>
        <v>2692</v>
      </c>
      <c r="Z633" s="32">
        <v>3000</v>
      </c>
      <c r="AA633" s="31" t="s">
        <v>57</v>
      </c>
      <c r="AB633" s="32"/>
      <c r="AC633" s="30">
        <v>240</v>
      </c>
      <c r="AD633" s="38">
        <v>502</v>
      </c>
      <c r="AE633" s="32"/>
      <c r="AF633" s="32"/>
      <c r="AG633" s="32"/>
      <c r="AH633" s="32"/>
      <c r="AI633" s="30">
        <v>587303</v>
      </c>
      <c r="AJ633" s="30">
        <v>546192</v>
      </c>
      <c r="AK633" s="30">
        <v>0</v>
      </c>
      <c r="AL633" s="30">
        <v>0</v>
      </c>
      <c r="AM633" s="30">
        <v>60800</v>
      </c>
      <c r="AN633" s="30">
        <v>401500</v>
      </c>
      <c r="AO633" s="30">
        <v>462300</v>
      </c>
      <c r="AP633" s="30">
        <f>Lookups!$B$58*0.6</f>
        <v>132535.48800000001</v>
      </c>
      <c r="AQ633" s="30">
        <f>Lookups!$B$58*0.4</f>
        <v>88356.992000000013</v>
      </c>
      <c r="AR633" s="30">
        <f>Lookups!$B$59*Inventory[[#This Row],[LnAcres]]</f>
        <v>-24051.387388882686</v>
      </c>
      <c r="AS633" s="30">
        <f>VLOOKUP(Inventory[[#This Row],[Qlty]],Lookups!$A$66:$E$79,2,FALSE)</f>
        <v>39366.494398000003</v>
      </c>
      <c r="AT633" s="30">
        <f>VLOOKUP(Inventory[[#This Row],[Cnd]],Lookups!$A$80:$E$88,2,FALSE)</f>
        <v>30300.329274</v>
      </c>
      <c r="AU633" s="30">
        <f>Inventory[[#This Row],[EffAge]]*Lookups!$B$65</f>
        <v>-1957.3398</v>
      </c>
      <c r="AV633" s="30">
        <f>Inventory[[#This Row],[MainFn]]*Lookups!$B$90</f>
        <v>85751.862120000005</v>
      </c>
      <c r="AW633" s="30">
        <f>Inventory[[#This Row],[UpprFn]]*Lookups!$B$91</f>
        <v>78526.944793999995</v>
      </c>
      <c r="AX633" s="30">
        <f>Inventory[[#This Row],[Bsmt Area]]*Lookups!$B$95</f>
        <v>0</v>
      </c>
      <c r="AY633" s="30">
        <f>Inventory[[#This Row],[AttGar]]*Lookups!$B$93</f>
        <v>8472.247440000001</v>
      </c>
      <c r="AZ633" s="30">
        <f>ROUND(Inventory[[#This Row],[25Det]],-2)</f>
        <v>0</v>
      </c>
      <c r="BA633" s="30">
        <f>ROUND(SUM(Inventory[[#This Row],[Mdl Qlty]:[Mdl Garage Area]])+Inventory[[#This Row],[Mdl Res Intercept]],-2)</f>
        <v>373000</v>
      </c>
      <c r="BB633" s="30">
        <f>ROUND(Inventory[[#This Row],[Mdl Land Intercept]]+Inventory[[#This Row],[Mdl LnAcres]],-2)</f>
        <v>64300</v>
      </c>
      <c r="BC633" s="30">
        <f>Inventory[[#This Row],[Unadj Res Value]]+Inventory[[#This Row],[Unadj Det Value]]+Inventory[[#This Row],[Unadj Land Value]]</f>
        <v>437300</v>
      </c>
      <c r="BD633" s="30">
        <f>(Inventory[[#This Row],[Unadj Total Value]]-Inventory[[#This Row],[24Final]])/Inventory[[#This Row],[24Final]]</f>
        <v>-5.4077438892494049E-2</v>
      </c>
      <c r="BE633" s="30">
        <f>VLOOKUP(Inventory[[#This Row],[Nbhd]],Lookups!$M$3:$P$5,4,FALSE)</f>
        <v>0.99970000000000003</v>
      </c>
      <c r="BF633" s="30">
        <f>VLOOKUP(Inventory[[#This Row],[Qlty]],Lookups!$M$8:$P$22,4,FALSE)</f>
        <v>0.99980000000000002</v>
      </c>
      <c r="BG633" s="30">
        <f>VLOOKUP(Inventory[[#This Row],[Cnd]],Lookups!$R$8:$U$17,4,FALSE)</f>
        <v>0.997</v>
      </c>
      <c r="BH633" s="30">
        <f>VLOOKUP(Inventory[[#This Row],[LivArea Range]],Lookups!$R$25:$U$43,4,FALSE)</f>
        <v>1.0099</v>
      </c>
      <c r="BI633" s="30">
        <f>VLOOKUP(Inventory[[#This Row],[Decade]],Lookups!$M$24:$P$40,4,FALSE)</f>
        <v>1.0024</v>
      </c>
      <c r="BJ633" s="30">
        <f>Inventory[[#This Row],[Nbhd Adj]]*0.95</f>
        <v>0.94971499999999998</v>
      </c>
      <c r="BK633" s="30">
        <f>AVERAGE(Inventory[[#This Row],[Nbhd Adj]],Inventory[[#This Row],[Quality Adj]],Inventory[[#This Row],[Condition Adj]],Inventory[[#This Row],[Living Area Adj]],Inventory[[#This Row],[Decade Adj]])*0.95</f>
        <v>0.95167199999999996</v>
      </c>
      <c r="BL633" s="30">
        <f>ROUND((SUM(Inventory[[#This Row],[Mdl Qlty]:[Mdl Garage Area]])+Inventory[[#This Row],[Mdl Res Intercept]])*Inventory[[#This Row],[Res Adj ]],-2)</f>
        <v>355000</v>
      </c>
      <c r="BM633" s="30">
        <f>ROUND(Inventory[[#This Row],[25Det]]*Inventory[[#This Row],[Det/Nbhd Adj]],-2)</f>
        <v>0</v>
      </c>
      <c r="BN633" s="30">
        <f>Inventory[[#This Row],[Adjusted Res]]+Inventory[[#This Row],[Adj Det ]]</f>
        <v>355000</v>
      </c>
      <c r="BO633" s="30">
        <f>ROUND((Inventory[[#This Row],[Mdl Land Intercept]]+Inventory[[#This Row],[Mdl LnAcres]])*Inventory[[#This Row],[Det/Nbhd Adj]],-2)</f>
        <v>61100</v>
      </c>
      <c r="BP633" s="30">
        <f>Inventory[[#This Row],[Adjusted Impr Total]]+Inventory[[#This Row],[Adjusted Land Total]]</f>
        <v>416100</v>
      </c>
      <c r="BQ633" s="30">
        <f>IFERROR((Inventory[[#This Row],[Adjusted Impr Total]]-Inventory[[#This Row],[24Bldg]])/Inventory[[#This Row],[24Bldg]],0)</f>
        <v>-0.11581569115815692</v>
      </c>
      <c r="BR633" s="43">
        <f>(Inventory[[#This Row],[Adjusted Land Total]]-Inventory[[#This Row],[24Lnd]])/Inventory[[#This Row],[24Lnd]]</f>
        <v>4.9342105263157892E-3</v>
      </c>
      <c r="BS633" s="43">
        <f>(Inventory[[#This Row],[Adjusted Total]]-Inventory[[#This Row],[24Final]])/Inventory[[#This Row],[24Final]]</f>
        <v>-9.9935107073329005E-2</v>
      </c>
    </row>
    <row r="634" spans="1:71">
      <c r="A634" s="30">
        <v>2025</v>
      </c>
      <c r="B634" s="31" t="s">
        <v>1149</v>
      </c>
      <c r="C634" s="31">
        <f>LN(Inventory[[#This Row],[Acres]])</f>
        <v>-1.8325814637483102</v>
      </c>
      <c r="D634" s="30">
        <v>0.16</v>
      </c>
      <c r="E634" s="30">
        <v>6799</v>
      </c>
      <c r="F634" s="31" t="s">
        <v>505</v>
      </c>
      <c r="G634" s="31" t="s">
        <v>155</v>
      </c>
      <c r="H634" s="31" t="s">
        <v>5</v>
      </c>
      <c r="I634" s="31" t="s">
        <v>506</v>
      </c>
      <c r="J634" s="31" t="s">
        <v>507</v>
      </c>
      <c r="K634" s="31" t="s">
        <v>157</v>
      </c>
      <c r="L634" s="31" t="s">
        <v>21</v>
      </c>
      <c r="M634" s="31" t="s">
        <v>20</v>
      </c>
      <c r="N634" s="31">
        <v>10</v>
      </c>
      <c r="O634" s="31">
        <f>2024-Inventory[[#This Row],[YrBlt]]</f>
        <v>18</v>
      </c>
      <c r="P634" s="31">
        <f>2024-Inventory[[#This Row],[EffYr]]</f>
        <v>18</v>
      </c>
      <c r="Q634" s="30">
        <v>2006</v>
      </c>
      <c r="R634" s="30">
        <v>2006</v>
      </c>
      <c r="S634" s="30">
        <v>1158</v>
      </c>
      <c r="T634" s="38">
        <v>1332</v>
      </c>
      <c r="U634" s="32"/>
      <c r="V634" s="32"/>
      <c r="W634" s="32"/>
      <c r="X634" s="32">
        <f>Inventory[[#This Row],[Bsmt Area]]-Inventory[[#This Row],[FnBsmt]]</f>
        <v>0</v>
      </c>
      <c r="Y634" s="32">
        <f>Inventory[[#This Row],[MainFn]]+Inventory[[#This Row],[UpprFn]]+Inventory[[#This Row],[AddFn]]+Inventory[[#This Row],[FnBsmt]]</f>
        <v>2490</v>
      </c>
      <c r="Z634" s="32">
        <v>2500</v>
      </c>
      <c r="AA634" s="31" t="s">
        <v>57</v>
      </c>
      <c r="AB634" s="38">
        <v>1</v>
      </c>
      <c r="AC634" s="30">
        <v>300</v>
      </c>
      <c r="AD634" s="38">
        <v>502</v>
      </c>
      <c r="AE634" s="32"/>
      <c r="AF634" s="32"/>
      <c r="AG634" s="32"/>
      <c r="AH634" s="32"/>
      <c r="AI634" s="30">
        <v>504681</v>
      </c>
      <c r="AJ634" s="30">
        <v>459260</v>
      </c>
      <c r="AK634" s="30">
        <v>0</v>
      </c>
      <c r="AL634" s="30">
        <v>0</v>
      </c>
      <c r="AM634" s="30">
        <v>60800</v>
      </c>
      <c r="AN634" s="30">
        <v>365600</v>
      </c>
      <c r="AO634" s="30">
        <v>426400</v>
      </c>
      <c r="AP634" s="30">
        <f>Lookups!$B$58*0.6</f>
        <v>132535.48800000001</v>
      </c>
      <c r="AQ634" s="30">
        <f>Lookups!$B$58*0.4</f>
        <v>88356.992000000013</v>
      </c>
      <c r="AR634" s="30">
        <f>Lookups!$B$59*Inventory[[#This Row],[LnAcres]]</f>
        <v>-24051.387388882686</v>
      </c>
      <c r="AS634" s="30">
        <f>VLOOKUP(Inventory[[#This Row],[Qlty]],Lookups!$A$66:$E$79,2,FALSE)</f>
        <v>32917.849192000001</v>
      </c>
      <c r="AT634" s="30">
        <f>VLOOKUP(Inventory[[#This Row],[Cnd]],Lookups!$A$80:$E$88,2,FALSE)</f>
        <v>30300.329274</v>
      </c>
      <c r="AU634" s="30">
        <f>Inventory[[#This Row],[EffAge]]*Lookups!$B$65</f>
        <v>-1957.3398</v>
      </c>
      <c r="AV634" s="30">
        <f>Inventory[[#This Row],[MainFn]]*Lookups!$B$90</f>
        <v>72271.22004</v>
      </c>
      <c r="AW634" s="30">
        <f>Inventory[[#This Row],[UpprFn]]*Lookups!$B$91</f>
        <v>79361.070156000002</v>
      </c>
      <c r="AX634" s="30">
        <f>Inventory[[#This Row],[Bsmt Area]]*Lookups!$B$95</f>
        <v>0</v>
      </c>
      <c r="AY634" s="30">
        <f>Inventory[[#This Row],[AttGar]]*Lookups!$B$93</f>
        <v>10590.309300000001</v>
      </c>
      <c r="AZ634" s="30">
        <f>ROUND(Inventory[[#This Row],[25Det]],-2)</f>
        <v>0</v>
      </c>
      <c r="BA634" s="30">
        <f>ROUND(SUM(Inventory[[#This Row],[Mdl Qlty]:[Mdl Garage Area]])+Inventory[[#This Row],[Mdl Res Intercept]],-2)</f>
        <v>356000</v>
      </c>
      <c r="BB634" s="30">
        <f>ROUND(Inventory[[#This Row],[Mdl Land Intercept]]+Inventory[[#This Row],[Mdl LnAcres]],-2)</f>
        <v>64300</v>
      </c>
      <c r="BC634" s="30">
        <f>Inventory[[#This Row],[Unadj Res Value]]+Inventory[[#This Row],[Unadj Det Value]]+Inventory[[#This Row],[Unadj Land Value]]</f>
        <v>420300</v>
      </c>
      <c r="BD634" s="30">
        <f>(Inventory[[#This Row],[Unadj Total Value]]-Inventory[[#This Row],[24Final]])/Inventory[[#This Row],[24Final]]</f>
        <v>-1.4305816135084427E-2</v>
      </c>
      <c r="BE634" s="30">
        <f>VLOOKUP(Inventory[[#This Row],[Nbhd]],Lookups!$M$3:$P$5,4,FALSE)</f>
        <v>0.99970000000000003</v>
      </c>
      <c r="BF634" s="30">
        <f>VLOOKUP(Inventory[[#This Row],[Qlty]],Lookups!$M$8:$P$22,4,FALSE)</f>
        <v>1.0019</v>
      </c>
      <c r="BG634" s="30">
        <f>VLOOKUP(Inventory[[#This Row],[Cnd]],Lookups!$R$8:$U$17,4,FALSE)</f>
        <v>0.997</v>
      </c>
      <c r="BH634" s="30">
        <f>VLOOKUP(Inventory[[#This Row],[LivArea Range]],Lookups!$R$25:$U$43,4,FALSE)</f>
        <v>1.0008999999999999</v>
      </c>
      <c r="BI634" s="30">
        <f>VLOOKUP(Inventory[[#This Row],[Decade]],Lookups!$M$24:$P$40,4,FALSE)</f>
        <v>1.0024</v>
      </c>
      <c r="BJ634" s="30">
        <f>Inventory[[#This Row],[Nbhd Adj]]*0.95</f>
        <v>0.94971499999999998</v>
      </c>
      <c r="BK634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634" s="30">
        <f>ROUND((SUM(Inventory[[#This Row],[Mdl Qlty]:[Mdl Garage Area]])+Inventory[[#This Row],[Mdl Res Intercept]])*Inventory[[#This Row],[Res Adj ]],-2)</f>
        <v>338300</v>
      </c>
      <c r="BM634" s="30">
        <f>ROUND(Inventory[[#This Row],[25Det]]*Inventory[[#This Row],[Det/Nbhd Adj]],-2)</f>
        <v>0</v>
      </c>
      <c r="BN634" s="30">
        <f>Inventory[[#This Row],[Adjusted Res]]+Inventory[[#This Row],[Adj Det ]]</f>
        <v>338300</v>
      </c>
      <c r="BO634" s="30">
        <f>ROUND((Inventory[[#This Row],[Mdl Land Intercept]]+Inventory[[#This Row],[Mdl LnAcres]])*Inventory[[#This Row],[Det/Nbhd Adj]],-2)</f>
        <v>61100</v>
      </c>
      <c r="BP634" s="30">
        <f>Inventory[[#This Row],[Adjusted Impr Total]]+Inventory[[#This Row],[Adjusted Land Total]]</f>
        <v>399400</v>
      </c>
      <c r="BQ634" s="30">
        <f>IFERROR((Inventory[[#This Row],[Adjusted Impr Total]]-Inventory[[#This Row],[24Bldg]])/Inventory[[#This Row],[24Bldg]],0)</f>
        <v>-7.4671772428884023E-2</v>
      </c>
      <c r="BR634" s="43">
        <f>(Inventory[[#This Row],[Adjusted Land Total]]-Inventory[[#This Row],[24Lnd]])/Inventory[[#This Row],[24Lnd]]</f>
        <v>4.9342105263157892E-3</v>
      </c>
      <c r="BS634" s="43">
        <f>(Inventory[[#This Row],[Adjusted Total]]-Inventory[[#This Row],[24Final]])/Inventory[[#This Row],[24Final]]</f>
        <v>-6.3320825515947463E-2</v>
      </c>
    </row>
    <row r="635" spans="1:71">
      <c r="A635" s="30">
        <v>2025</v>
      </c>
      <c r="B635" s="31" t="s">
        <v>1150</v>
      </c>
      <c r="C635" s="31">
        <f>LN(Inventory[[#This Row],[Acres]])</f>
        <v>-1.8325814637483102</v>
      </c>
      <c r="D635" s="30">
        <v>0.16</v>
      </c>
      <c r="E635" s="30">
        <v>7002</v>
      </c>
      <c r="F635" s="31" t="s">
        <v>505</v>
      </c>
      <c r="G635" s="31" t="s">
        <v>155</v>
      </c>
      <c r="H635" s="31" t="s">
        <v>5</v>
      </c>
      <c r="I635" s="31" t="s">
        <v>506</v>
      </c>
      <c r="J635" s="31" t="s">
        <v>507</v>
      </c>
      <c r="K635" s="31" t="s">
        <v>157</v>
      </c>
      <c r="L635" s="31" t="s">
        <v>21</v>
      </c>
      <c r="M635" s="31" t="s">
        <v>22</v>
      </c>
      <c r="N635" s="31">
        <v>10</v>
      </c>
      <c r="O635" s="31">
        <f>2024-Inventory[[#This Row],[YrBlt]]</f>
        <v>18</v>
      </c>
      <c r="P635" s="31">
        <f>2024-Inventory[[#This Row],[EffYr]]</f>
        <v>18</v>
      </c>
      <c r="Q635" s="30">
        <v>2006</v>
      </c>
      <c r="R635" s="30">
        <v>2006</v>
      </c>
      <c r="S635" s="30">
        <v>1158</v>
      </c>
      <c r="T635" s="38">
        <v>1332</v>
      </c>
      <c r="U635" s="32"/>
      <c r="V635" s="32"/>
      <c r="W635" s="32"/>
      <c r="X635" s="32">
        <f>Inventory[[#This Row],[Bsmt Area]]-Inventory[[#This Row],[FnBsmt]]</f>
        <v>0</v>
      </c>
      <c r="Y635" s="32">
        <f>Inventory[[#This Row],[MainFn]]+Inventory[[#This Row],[UpprFn]]+Inventory[[#This Row],[AddFn]]+Inventory[[#This Row],[FnBsmt]]</f>
        <v>2490</v>
      </c>
      <c r="Z635" s="32">
        <v>2500</v>
      </c>
      <c r="AA635" s="31" t="s">
        <v>57</v>
      </c>
      <c r="AB635" s="38">
        <v>1</v>
      </c>
      <c r="AC635" s="37"/>
      <c r="AD635" s="38">
        <v>502</v>
      </c>
      <c r="AE635" s="32"/>
      <c r="AF635" s="32"/>
      <c r="AG635" s="32"/>
      <c r="AH635" s="32"/>
      <c r="AI635" s="30">
        <v>487677</v>
      </c>
      <c r="AJ635" s="30">
        <v>448663</v>
      </c>
      <c r="AK635" s="30">
        <v>0</v>
      </c>
      <c r="AL635" s="30">
        <v>0</v>
      </c>
      <c r="AM635" s="30">
        <v>60800</v>
      </c>
      <c r="AN635" s="30">
        <v>375900</v>
      </c>
      <c r="AO635" s="30">
        <v>436700</v>
      </c>
      <c r="AP635" s="30">
        <f>Lookups!$B$58*0.6</f>
        <v>132535.48800000001</v>
      </c>
      <c r="AQ635" s="30">
        <f>Lookups!$B$58*0.4</f>
        <v>88356.992000000013</v>
      </c>
      <c r="AR635" s="30">
        <f>Lookups!$B$59*Inventory[[#This Row],[LnAcres]]</f>
        <v>-24051.387388882686</v>
      </c>
      <c r="AS635" s="30">
        <f>VLOOKUP(Inventory[[#This Row],[Qlty]],Lookups!$A$66:$E$79,2,FALSE)</f>
        <v>32917.849192000001</v>
      </c>
      <c r="AT635" s="30">
        <f>VLOOKUP(Inventory[[#This Row],[Cnd]],Lookups!$A$80:$E$88,2,FALSE)</f>
        <v>50438.379078999998</v>
      </c>
      <c r="AU635" s="30">
        <f>Inventory[[#This Row],[EffAge]]*Lookups!$B$65</f>
        <v>-1957.3398</v>
      </c>
      <c r="AV635" s="30">
        <f>Inventory[[#This Row],[MainFn]]*Lookups!$B$90</f>
        <v>72271.22004</v>
      </c>
      <c r="AW635" s="30">
        <f>Inventory[[#This Row],[UpprFn]]*Lookups!$B$91</f>
        <v>79361.070156000002</v>
      </c>
      <c r="AX635" s="30">
        <f>Inventory[[#This Row],[Bsmt Area]]*Lookups!$B$95</f>
        <v>0</v>
      </c>
      <c r="AY635" s="30">
        <f>Inventory[[#This Row],[AttGar]]*Lookups!$B$93</f>
        <v>0</v>
      </c>
      <c r="AZ635" s="30">
        <f>ROUND(Inventory[[#This Row],[25Det]],-2)</f>
        <v>0</v>
      </c>
      <c r="BA635" s="30">
        <f>ROUND(SUM(Inventory[[#This Row],[Mdl Qlty]:[Mdl Garage Area]])+Inventory[[#This Row],[Mdl Res Intercept]],-2)</f>
        <v>365600</v>
      </c>
      <c r="BB635" s="30">
        <f>ROUND(Inventory[[#This Row],[Mdl Land Intercept]]+Inventory[[#This Row],[Mdl LnAcres]],-2)</f>
        <v>64300</v>
      </c>
      <c r="BC635" s="30">
        <f>Inventory[[#This Row],[Unadj Res Value]]+Inventory[[#This Row],[Unadj Det Value]]+Inventory[[#This Row],[Unadj Land Value]]</f>
        <v>429900</v>
      </c>
      <c r="BD635" s="30">
        <f>(Inventory[[#This Row],[Unadj Total Value]]-Inventory[[#This Row],[24Final]])/Inventory[[#This Row],[24Final]]</f>
        <v>-1.5571330432791391E-2</v>
      </c>
      <c r="BE635" s="30">
        <f>VLOOKUP(Inventory[[#This Row],[Nbhd]],Lookups!$M$3:$P$5,4,FALSE)</f>
        <v>0.99970000000000003</v>
      </c>
      <c r="BF635" s="30">
        <f>VLOOKUP(Inventory[[#This Row],[Qlty]],Lookups!$M$8:$P$22,4,FALSE)</f>
        <v>1.0019</v>
      </c>
      <c r="BG635" s="30">
        <f>VLOOKUP(Inventory[[#This Row],[Cnd]],Lookups!$R$8:$U$17,4,FALSE)</f>
        <v>1.0007999999999999</v>
      </c>
      <c r="BH635" s="30">
        <f>VLOOKUP(Inventory[[#This Row],[LivArea Range]],Lookups!$R$25:$U$43,4,FALSE)</f>
        <v>1.0008999999999999</v>
      </c>
      <c r="BI635" s="30">
        <f>VLOOKUP(Inventory[[#This Row],[Decade]],Lookups!$M$24:$P$40,4,FALSE)</f>
        <v>1.0024</v>
      </c>
      <c r="BJ635" s="30">
        <f>Inventory[[#This Row],[Nbhd Adj]]*0.95</f>
        <v>0.94971499999999998</v>
      </c>
      <c r="BK635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635" s="30">
        <f>ROUND((SUM(Inventory[[#This Row],[Mdl Qlty]:[Mdl Garage Area]])+Inventory[[#This Row],[Mdl Res Intercept]])*Inventory[[#This Row],[Res Adj ]],-2)</f>
        <v>347700</v>
      </c>
      <c r="BM635" s="30">
        <f>ROUND(Inventory[[#This Row],[25Det]]*Inventory[[#This Row],[Det/Nbhd Adj]],-2)</f>
        <v>0</v>
      </c>
      <c r="BN635" s="30">
        <f>Inventory[[#This Row],[Adjusted Res]]+Inventory[[#This Row],[Adj Det ]]</f>
        <v>347700</v>
      </c>
      <c r="BO635" s="30">
        <f>ROUND((Inventory[[#This Row],[Mdl Land Intercept]]+Inventory[[#This Row],[Mdl LnAcres]])*Inventory[[#This Row],[Det/Nbhd Adj]],-2)</f>
        <v>61100</v>
      </c>
      <c r="BP635" s="30">
        <f>Inventory[[#This Row],[Adjusted Impr Total]]+Inventory[[#This Row],[Adjusted Land Total]]</f>
        <v>408800</v>
      </c>
      <c r="BQ635" s="30">
        <f>IFERROR((Inventory[[#This Row],[Adjusted Impr Total]]-Inventory[[#This Row],[24Bldg]])/Inventory[[#This Row],[24Bldg]],0)</f>
        <v>-7.5019952114924182E-2</v>
      </c>
      <c r="BR635" s="43">
        <f>(Inventory[[#This Row],[Adjusted Land Total]]-Inventory[[#This Row],[24Lnd]])/Inventory[[#This Row],[24Lnd]]</f>
        <v>4.9342105263157892E-3</v>
      </c>
      <c r="BS635" s="43">
        <f>(Inventory[[#This Row],[Adjusted Total]]-Inventory[[#This Row],[24Final]])/Inventory[[#This Row],[24Final]]</f>
        <v>-6.3888252805129386E-2</v>
      </c>
    </row>
    <row r="636" spans="1:71">
      <c r="A636" s="30">
        <v>2025</v>
      </c>
      <c r="B636" s="31" t="s">
        <v>1151</v>
      </c>
      <c r="C636" s="31">
        <f>LN(Inventory[[#This Row],[Acres]])</f>
        <v>-1.8325814637483102</v>
      </c>
      <c r="D636" s="30">
        <v>0.16</v>
      </c>
      <c r="E636" s="30">
        <v>7095</v>
      </c>
      <c r="F636" s="31" t="s">
        <v>505</v>
      </c>
      <c r="G636" s="31" t="s">
        <v>155</v>
      </c>
      <c r="H636" s="31" t="s">
        <v>5</v>
      </c>
      <c r="I636" s="31" t="s">
        <v>506</v>
      </c>
      <c r="J636" s="31" t="s">
        <v>507</v>
      </c>
      <c r="K636" s="31" t="s">
        <v>157</v>
      </c>
      <c r="L636" s="31" t="s">
        <v>21</v>
      </c>
      <c r="M636" s="31" t="s">
        <v>20</v>
      </c>
      <c r="N636" s="31">
        <v>10</v>
      </c>
      <c r="O636" s="31">
        <f>2024-Inventory[[#This Row],[YrBlt]]</f>
        <v>18</v>
      </c>
      <c r="P636" s="31">
        <f>2024-Inventory[[#This Row],[EffYr]]</f>
        <v>18</v>
      </c>
      <c r="Q636" s="30">
        <v>2006</v>
      </c>
      <c r="R636" s="30">
        <v>2006</v>
      </c>
      <c r="S636" s="30">
        <v>1374</v>
      </c>
      <c r="T636" s="38">
        <v>1332</v>
      </c>
      <c r="U636" s="32"/>
      <c r="V636" s="32"/>
      <c r="W636" s="32"/>
      <c r="X636" s="32">
        <f>Inventory[[#This Row],[Bsmt Area]]-Inventory[[#This Row],[FnBsmt]]</f>
        <v>0</v>
      </c>
      <c r="Y636" s="32">
        <f>Inventory[[#This Row],[MainFn]]+Inventory[[#This Row],[UpprFn]]+Inventory[[#This Row],[AddFn]]+Inventory[[#This Row],[FnBsmt]]</f>
        <v>2706</v>
      </c>
      <c r="Z636" s="32">
        <v>3000</v>
      </c>
      <c r="AA636" s="31" t="s">
        <v>57</v>
      </c>
      <c r="AB636" s="38">
        <v>1</v>
      </c>
      <c r="AC636" s="30">
        <v>240</v>
      </c>
      <c r="AD636" s="38">
        <v>502</v>
      </c>
      <c r="AE636" s="32"/>
      <c r="AF636" s="32"/>
      <c r="AG636" s="32"/>
      <c r="AH636" s="32"/>
      <c r="AI636" s="30">
        <v>532281</v>
      </c>
      <c r="AJ636" s="30">
        <v>484376</v>
      </c>
      <c r="AK636" s="30">
        <v>0</v>
      </c>
      <c r="AL636" s="30">
        <v>0</v>
      </c>
      <c r="AM636" s="30">
        <v>60800</v>
      </c>
      <c r="AN636" s="30">
        <v>375500</v>
      </c>
      <c r="AO636" s="30">
        <v>436300</v>
      </c>
      <c r="AP636" s="30">
        <f>Lookups!$B$58*0.6</f>
        <v>132535.48800000001</v>
      </c>
      <c r="AQ636" s="30">
        <f>Lookups!$B$58*0.4</f>
        <v>88356.992000000013</v>
      </c>
      <c r="AR636" s="30">
        <f>Lookups!$B$59*Inventory[[#This Row],[LnAcres]]</f>
        <v>-24051.387388882686</v>
      </c>
      <c r="AS636" s="30">
        <f>VLOOKUP(Inventory[[#This Row],[Qlty]],Lookups!$A$66:$E$79,2,FALSE)</f>
        <v>32917.849192000001</v>
      </c>
      <c r="AT636" s="30">
        <f>VLOOKUP(Inventory[[#This Row],[Cnd]],Lookups!$A$80:$E$88,2,FALSE)</f>
        <v>30300.329274</v>
      </c>
      <c r="AU636" s="30">
        <f>Inventory[[#This Row],[EffAge]]*Lookups!$B$65</f>
        <v>-1957.3398</v>
      </c>
      <c r="AV636" s="30">
        <f>Inventory[[#This Row],[MainFn]]*Lookups!$B$90</f>
        <v>85751.862120000005</v>
      </c>
      <c r="AW636" s="30">
        <f>Inventory[[#This Row],[UpprFn]]*Lookups!$B$91</f>
        <v>79361.070156000002</v>
      </c>
      <c r="AX636" s="30">
        <f>Inventory[[#This Row],[Bsmt Area]]*Lookups!$B$95</f>
        <v>0</v>
      </c>
      <c r="AY636" s="30">
        <f>Inventory[[#This Row],[AttGar]]*Lookups!$B$93</f>
        <v>8472.247440000001</v>
      </c>
      <c r="AZ636" s="30">
        <f>ROUND(Inventory[[#This Row],[25Det]],-2)</f>
        <v>0</v>
      </c>
      <c r="BA636" s="30">
        <f>ROUND(SUM(Inventory[[#This Row],[Mdl Qlty]:[Mdl Garage Area]])+Inventory[[#This Row],[Mdl Res Intercept]],-2)</f>
        <v>367400</v>
      </c>
      <c r="BB636" s="30">
        <f>ROUND(Inventory[[#This Row],[Mdl Land Intercept]]+Inventory[[#This Row],[Mdl LnAcres]],-2)</f>
        <v>64300</v>
      </c>
      <c r="BC636" s="30">
        <f>Inventory[[#This Row],[Unadj Res Value]]+Inventory[[#This Row],[Unadj Det Value]]+Inventory[[#This Row],[Unadj Land Value]]</f>
        <v>431700</v>
      </c>
      <c r="BD636" s="30">
        <f>(Inventory[[#This Row],[Unadj Total Value]]-Inventory[[#This Row],[24Final]])/Inventory[[#This Row],[24Final]]</f>
        <v>-1.0543204217281686E-2</v>
      </c>
      <c r="BE636" s="30">
        <f>VLOOKUP(Inventory[[#This Row],[Nbhd]],Lookups!$M$3:$P$5,4,FALSE)</f>
        <v>0.99970000000000003</v>
      </c>
      <c r="BF636" s="30">
        <f>VLOOKUP(Inventory[[#This Row],[Qlty]],Lookups!$M$8:$P$22,4,FALSE)</f>
        <v>1.0019</v>
      </c>
      <c r="BG636" s="30">
        <f>VLOOKUP(Inventory[[#This Row],[Cnd]],Lookups!$R$8:$U$17,4,FALSE)</f>
        <v>0.997</v>
      </c>
      <c r="BH636" s="30">
        <f>VLOOKUP(Inventory[[#This Row],[LivArea Range]],Lookups!$R$25:$U$43,4,FALSE)</f>
        <v>1.0099</v>
      </c>
      <c r="BI636" s="30">
        <f>VLOOKUP(Inventory[[#This Row],[Decade]],Lookups!$M$24:$P$40,4,FALSE)</f>
        <v>1.0024</v>
      </c>
      <c r="BJ636" s="30">
        <f>Inventory[[#This Row],[Nbhd Adj]]*0.95</f>
        <v>0.94971499999999998</v>
      </c>
      <c r="BK636" s="30">
        <f>AVERAGE(Inventory[[#This Row],[Nbhd Adj]],Inventory[[#This Row],[Quality Adj]],Inventory[[#This Row],[Condition Adj]],Inventory[[#This Row],[Living Area Adj]],Inventory[[#This Row],[Decade Adj]])*0.95</f>
        <v>0.95207099999999978</v>
      </c>
      <c r="BL636" s="30">
        <f>ROUND((SUM(Inventory[[#This Row],[Mdl Qlty]:[Mdl Garage Area]])+Inventory[[#This Row],[Mdl Res Intercept]])*Inventory[[#This Row],[Res Adj ]],-2)</f>
        <v>349800</v>
      </c>
      <c r="BM636" s="30">
        <f>ROUND(Inventory[[#This Row],[25Det]]*Inventory[[#This Row],[Det/Nbhd Adj]],-2)</f>
        <v>0</v>
      </c>
      <c r="BN636" s="30">
        <f>Inventory[[#This Row],[Adjusted Res]]+Inventory[[#This Row],[Adj Det ]]</f>
        <v>349800</v>
      </c>
      <c r="BO636" s="30">
        <f>ROUND((Inventory[[#This Row],[Mdl Land Intercept]]+Inventory[[#This Row],[Mdl LnAcres]])*Inventory[[#This Row],[Det/Nbhd Adj]],-2)</f>
        <v>61100</v>
      </c>
      <c r="BP636" s="30">
        <f>Inventory[[#This Row],[Adjusted Impr Total]]+Inventory[[#This Row],[Adjusted Land Total]]</f>
        <v>410900</v>
      </c>
      <c r="BQ636" s="30">
        <f>IFERROR((Inventory[[#This Row],[Adjusted Impr Total]]-Inventory[[#This Row],[24Bldg]])/Inventory[[#This Row],[24Bldg]],0)</f>
        <v>-6.8442077230359527E-2</v>
      </c>
      <c r="BR636" s="43">
        <f>(Inventory[[#This Row],[Adjusted Land Total]]-Inventory[[#This Row],[24Lnd]])/Inventory[[#This Row],[24Lnd]]</f>
        <v>4.9342105263157892E-3</v>
      </c>
      <c r="BS636" s="43">
        <f>(Inventory[[#This Row],[Adjusted Total]]-Inventory[[#This Row],[24Final]])/Inventory[[#This Row],[24Final]]</f>
        <v>-5.8216823286729315E-2</v>
      </c>
    </row>
    <row r="637" spans="1:71">
      <c r="A637" s="30">
        <v>2025</v>
      </c>
      <c r="B637" s="31" t="s">
        <v>1152</v>
      </c>
      <c r="C637" s="31">
        <f>LN(Inventory[[#This Row],[Acres]])</f>
        <v>-1.8325814637483102</v>
      </c>
      <c r="D637" s="30">
        <v>0.16</v>
      </c>
      <c r="E637" s="30">
        <v>7000</v>
      </c>
      <c r="F637" s="31" t="s">
        <v>505</v>
      </c>
      <c r="G637" s="31" t="s">
        <v>155</v>
      </c>
      <c r="H637" s="31" t="s">
        <v>5</v>
      </c>
      <c r="I637" s="31" t="s">
        <v>506</v>
      </c>
      <c r="J637" s="31" t="s">
        <v>507</v>
      </c>
      <c r="K637" s="31" t="s">
        <v>157</v>
      </c>
      <c r="L637" s="31" t="s">
        <v>21</v>
      </c>
      <c r="M637" s="31" t="s">
        <v>22</v>
      </c>
      <c r="N637" s="31">
        <v>10</v>
      </c>
      <c r="O637" s="31">
        <f>2024-Inventory[[#This Row],[YrBlt]]</f>
        <v>18</v>
      </c>
      <c r="P637" s="31">
        <f>2024-Inventory[[#This Row],[EffYr]]</f>
        <v>18</v>
      </c>
      <c r="Q637" s="30">
        <v>2006</v>
      </c>
      <c r="R637" s="30">
        <v>2006</v>
      </c>
      <c r="S637" s="30">
        <v>1374</v>
      </c>
      <c r="T637" s="38">
        <v>1332</v>
      </c>
      <c r="U637" s="32"/>
      <c r="V637" s="32"/>
      <c r="W637" s="32"/>
      <c r="X637" s="32">
        <f>Inventory[[#This Row],[Bsmt Area]]-Inventory[[#This Row],[FnBsmt]]</f>
        <v>0</v>
      </c>
      <c r="Y637" s="32">
        <f>Inventory[[#This Row],[MainFn]]+Inventory[[#This Row],[UpprFn]]+Inventory[[#This Row],[AddFn]]+Inventory[[#This Row],[FnBsmt]]</f>
        <v>2706</v>
      </c>
      <c r="Z637" s="32">
        <v>3000</v>
      </c>
      <c r="AA637" s="31" t="s">
        <v>57</v>
      </c>
      <c r="AB637" s="32"/>
      <c r="AC637" s="30">
        <v>240</v>
      </c>
      <c r="AD637" s="38">
        <v>502</v>
      </c>
      <c r="AE637" s="32"/>
      <c r="AF637" s="32"/>
      <c r="AG637" s="32"/>
      <c r="AH637" s="32"/>
      <c r="AI637" s="30">
        <v>536435</v>
      </c>
      <c r="AJ637" s="30">
        <v>493520</v>
      </c>
      <c r="AK637" s="30">
        <v>0</v>
      </c>
      <c r="AL637" s="30">
        <v>0</v>
      </c>
      <c r="AM637" s="30">
        <v>60800</v>
      </c>
      <c r="AN637" s="30">
        <v>389100</v>
      </c>
      <c r="AO637" s="30">
        <v>449900</v>
      </c>
      <c r="AP637" s="30">
        <f>Lookups!$B$58*0.6</f>
        <v>132535.48800000001</v>
      </c>
      <c r="AQ637" s="30">
        <f>Lookups!$B$58*0.4</f>
        <v>88356.992000000013</v>
      </c>
      <c r="AR637" s="30">
        <f>Lookups!$B$59*Inventory[[#This Row],[LnAcres]]</f>
        <v>-24051.387388882686</v>
      </c>
      <c r="AS637" s="30">
        <f>VLOOKUP(Inventory[[#This Row],[Qlty]],Lookups!$A$66:$E$79,2,FALSE)</f>
        <v>32917.849192000001</v>
      </c>
      <c r="AT637" s="30">
        <f>VLOOKUP(Inventory[[#This Row],[Cnd]],Lookups!$A$80:$E$88,2,FALSE)</f>
        <v>50438.379078999998</v>
      </c>
      <c r="AU637" s="30">
        <f>Inventory[[#This Row],[EffAge]]*Lookups!$B$65</f>
        <v>-1957.3398</v>
      </c>
      <c r="AV637" s="30">
        <f>Inventory[[#This Row],[MainFn]]*Lookups!$B$90</f>
        <v>85751.862120000005</v>
      </c>
      <c r="AW637" s="30">
        <f>Inventory[[#This Row],[UpprFn]]*Lookups!$B$91</f>
        <v>79361.070156000002</v>
      </c>
      <c r="AX637" s="30">
        <f>Inventory[[#This Row],[Bsmt Area]]*Lookups!$B$95</f>
        <v>0</v>
      </c>
      <c r="AY637" s="30">
        <f>Inventory[[#This Row],[AttGar]]*Lookups!$B$93</f>
        <v>8472.247440000001</v>
      </c>
      <c r="AZ637" s="30">
        <f>ROUND(Inventory[[#This Row],[25Det]],-2)</f>
        <v>0</v>
      </c>
      <c r="BA637" s="30">
        <f>ROUND(SUM(Inventory[[#This Row],[Mdl Qlty]:[Mdl Garage Area]])+Inventory[[#This Row],[Mdl Res Intercept]],-2)</f>
        <v>387500</v>
      </c>
      <c r="BB637" s="30">
        <f>ROUND(Inventory[[#This Row],[Mdl Land Intercept]]+Inventory[[#This Row],[Mdl LnAcres]],-2)</f>
        <v>64300</v>
      </c>
      <c r="BC637" s="30">
        <f>Inventory[[#This Row],[Unadj Res Value]]+Inventory[[#This Row],[Unadj Det Value]]+Inventory[[#This Row],[Unadj Land Value]]</f>
        <v>451800</v>
      </c>
      <c r="BD637" s="30">
        <f>(Inventory[[#This Row],[Unadj Total Value]]-Inventory[[#This Row],[24Final]])/Inventory[[#This Row],[24Final]]</f>
        <v>4.2231607023783067E-3</v>
      </c>
      <c r="BE637" s="30">
        <f>VLOOKUP(Inventory[[#This Row],[Nbhd]],Lookups!$M$3:$P$5,4,FALSE)</f>
        <v>0.99970000000000003</v>
      </c>
      <c r="BF637" s="30">
        <f>VLOOKUP(Inventory[[#This Row],[Qlty]],Lookups!$M$8:$P$22,4,FALSE)</f>
        <v>1.0019</v>
      </c>
      <c r="BG637" s="30">
        <f>VLOOKUP(Inventory[[#This Row],[Cnd]],Lookups!$R$8:$U$17,4,FALSE)</f>
        <v>1.0007999999999999</v>
      </c>
      <c r="BH637" s="30">
        <f>VLOOKUP(Inventory[[#This Row],[LivArea Range]],Lookups!$R$25:$U$43,4,FALSE)</f>
        <v>1.0099</v>
      </c>
      <c r="BI637" s="30">
        <f>VLOOKUP(Inventory[[#This Row],[Decade]],Lookups!$M$24:$P$40,4,FALSE)</f>
        <v>1.0024</v>
      </c>
      <c r="BJ637" s="30">
        <f>Inventory[[#This Row],[Nbhd Adj]]*0.95</f>
        <v>0.94971499999999998</v>
      </c>
      <c r="BK637" s="30">
        <f>AVERAGE(Inventory[[#This Row],[Nbhd Adj]],Inventory[[#This Row],[Quality Adj]],Inventory[[#This Row],[Condition Adj]],Inventory[[#This Row],[Living Area Adj]],Inventory[[#This Row],[Decade Adj]])*0.95</f>
        <v>0.95279299999999989</v>
      </c>
      <c r="BL637" s="30">
        <f>ROUND((SUM(Inventory[[#This Row],[Mdl Qlty]:[Mdl Garage Area]])+Inventory[[#This Row],[Mdl Res Intercept]])*Inventory[[#This Row],[Res Adj ]],-2)</f>
        <v>369200</v>
      </c>
      <c r="BM637" s="30">
        <f>ROUND(Inventory[[#This Row],[25Det]]*Inventory[[#This Row],[Det/Nbhd Adj]],-2)</f>
        <v>0</v>
      </c>
      <c r="BN637" s="30">
        <f>Inventory[[#This Row],[Adjusted Res]]+Inventory[[#This Row],[Adj Det ]]</f>
        <v>369200</v>
      </c>
      <c r="BO637" s="30">
        <f>ROUND((Inventory[[#This Row],[Mdl Land Intercept]]+Inventory[[#This Row],[Mdl LnAcres]])*Inventory[[#This Row],[Det/Nbhd Adj]],-2)</f>
        <v>61100</v>
      </c>
      <c r="BP637" s="30">
        <f>Inventory[[#This Row],[Adjusted Impr Total]]+Inventory[[#This Row],[Adjusted Land Total]]</f>
        <v>430300</v>
      </c>
      <c r="BQ637" s="30">
        <f>IFERROR((Inventory[[#This Row],[Adjusted Impr Total]]-Inventory[[#This Row],[24Bldg]])/Inventory[[#This Row],[24Bldg]],0)</f>
        <v>-5.1143664867643282E-2</v>
      </c>
      <c r="BR637" s="43">
        <f>(Inventory[[#This Row],[Adjusted Land Total]]-Inventory[[#This Row],[24Lnd]])/Inventory[[#This Row],[24Lnd]]</f>
        <v>4.9342105263157892E-3</v>
      </c>
      <c r="BS637" s="43">
        <f>(Inventory[[#This Row],[Adjusted Total]]-Inventory[[#This Row],[24Final]])/Inventory[[#This Row],[24Final]]</f>
        <v>-4.3565236719270949E-2</v>
      </c>
    </row>
    <row r="638" spans="1:71">
      <c r="A638" s="30">
        <v>2025</v>
      </c>
      <c r="B638" s="31" t="s">
        <v>1153</v>
      </c>
      <c r="C638" s="31">
        <f>LN(Inventory[[#This Row],[Acres]])</f>
        <v>-1.8325814637483102</v>
      </c>
      <c r="D638" s="30">
        <v>0.16</v>
      </c>
      <c r="E638" s="30">
        <v>7031</v>
      </c>
      <c r="F638" s="31" t="s">
        <v>505</v>
      </c>
      <c r="G638" s="31" t="s">
        <v>155</v>
      </c>
      <c r="H638" s="31" t="s">
        <v>5</v>
      </c>
      <c r="I638" s="31" t="s">
        <v>506</v>
      </c>
      <c r="J638" s="31" t="s">
        <v>507</v>
      </c>
      <c r="K638" s="31" t="s">
        <v>157</v>
      </c>
      <c r="L638" s="31" t="s">
        <v>21</v>
      </c>
      <c r="M638" s="31" t="s">
        <v>20</v>
      </c>
      <c r="N638" s="31">
        <v>10</v>
      </c>
      <c r="O638" s="31">
        <f>2024-Inventory[[#This Row],[YrBlt]]</f>
        <v>18</v>
      </c>
      <c r="P638" s="31">
        <f>2024-Inventory[[#This Row],[EffYr]]</f>
        <v>18</v>
      </c>
      <c r="Q638" s="30">
        <v>2006</v>
      </c>
      <c r="R638" s="30">
        <v>2006</v>
      </c>
      <c r="S638" s="30">
        <v>1116</v>
      </c>
      <c r="T638" s="38">
        <v>1116</v>
      </c>
      <c r="U638" s="32"/>
      <c r="V638" s="32"/>
      <c r="W638" s="32"/>
      <c r="X638" s="32">
        <f>Inventory[[#This Row],[Bsmt Area]]-Inventory[[#This Row],[FnBsmt]]</f>
        <v>0</v>
      </c>
      <c r="Y638" s="32">
        <f>Inventory[[#This Row],[MainFn]]+Inventory[[#This Row],[UpprFn]]+Inventory[[#This Row],[AddFn]]+Inventory[[#This Row],[FnBsmt]]</f>
        <v>2232</v>
      </c>
      <c r="Z638" s="32">
        <v>2500</v>
      </c>
      <c r="AA638" s="31" t="s">
        <v>57</v>
      </c>
      <c r="AB638" s="30">
        <v>1</v>
      </c>
      <c r="AC638" s="30">
        <v>440</v>
      </c>
      <c r="AD638" s="32"/>
      <c r="AE638" s="32"/>
      <c r="AF638" s="32"/>
      <c r="AG638" s="32"/>
      <c r="AH638" s="32"/>
      <c r="AI638" s="30">
        <v>454336</v>
      </c>
      <c r="AJ638" s="30">
        <v>413446</v>
      </c>
      <c r="AK638" s="30">
        <v>0</v>
      </c>
      <c r="AL638" s="30">
        <v>0</v>
      </c>
      <c r="AM638" s="30">
        <v>60800</v>
      </c>
      <c r="AN638" s="30">
        <v>335400</v>
      </c>
      <c r="AO638" s="30">
        <v>396200</v>
      </c>
      <c r="AP638" s="30">
        <f>Lookups!$B$58*0.6</f>
        <v>132535.48800000001</v>
      </c>
      <c r="AQ638" s="30">
        <f>Lookups!$B$58*0.4</f>
        <v>88356.992000000013</v>
      </c>
      <c r="AR638" s="30">
        <f>Lookups!$B$59*Inventory[[#This Row],[LnAcres]]</f>
        <v>-24051.387388882686</v>
      </c>
      <c r="AS638" s="30">
        <f>VLOOKUP(Inventory[[#This Row],[Qlty]],Lookups!$A$66:$E$79,2,FALSE)</f>
        <v>32917.849192000001</v>
      </c>
      <c r="AT638" s="30">
        <f>VLOOKUP(Inventory[[#This Row],[Cnd]],Lookups!$A$80:$E$88,2,FALSE)</f>
        <v>30300.329274</v>
      </c>
      <c r="AU638" s="30">
        <f>Inventory[[#This Row],[EffAge]]*Lookups!$B$65</f>
        <v>-1957.3398</v>
      </c>
      <c r="AV638" s="30">
        <f>Inventory[[#This Row],[MainFn]]*Lookups!$B$90</f>
        <v>69649.984080000009</v>
      </c>
      <c r="AW638" s="30">
        <f>Inventory[[#This Row],[UpprFn]]*Lookups!$B$91</f>
        <v>66491.707427999994</v>
      </c>
      <c r="AX638" s="30">
        <f>Inventory[[#This Row],[Bsmt Area]]*Lookups!$B$95</f>
        <v>0</v>
      </c>
      <c r="AY638" s="30">
        <f>Inventory[[#This Row],[AttGar]]*Lookups!$B$93</f>
        <v>15532.453640000002</v>
      </c>
      <c r="AZ638" s="30">
        <f>ROUND(Inventory[[#This Row],[25Det]],-2)</f>
        <v>0</v>
      </c>
      <c r="BA638" s="30">
        <f>ROUND(SUM(Inventory[[#This Row],[Mdl Qlty]:[Mdl Garage Area]])+Inventory[[#This Row],[Mdl Res Intercept]],-2)</f>
        <v>345500</v>
      </c>
      <c r="BB638" s="30">
        <f>ROUND(Inventory[[#This Row],[Mdl Land Intercept]]+Inventory[[#This Row],[Mdl LnAcres]],-2)</f>
        <v>64300</v>
      </c>
      <c r="BC638" s="30">
        <f>Inventory[[#This Row],[Unadj Res Value]]+Inventory[[#This Row],[Unadj Det Value]]+Inventory[[#This Row],[Unadj Land Value]]</f>
        <v>409800</v>
      </c>
      <c r="BD638" s="30">
        <f>(Inventory[[#This Row],[Unadj Total Value]]-Inventory[[#This Row],[24Final]])/Inventory[[#This Row],[24Final]]</f>
        <v>3.4326097930338216E-2</v>
      </c>
      <c r="BE638" s="30">
        <f>VLOOKUP(Inventory[[#This Row],[Nbhd]],Lookups!$M$3:$P$5,4,FALSE)</f>
        <v>0.99970000000000003</v>
      </c>
      <c r="BF638" s="30">
        <f>VLOOKUP(Inventory[[#This Row],[Qlty]],Lookups!$M$8:$P$22,4,FALSE)</f>
        <v>1.0019</v>
      </c>
      <c r="BG638" s="30">
        <f>VLOOKUP(Inventory[[#This Row],[Cnd]],Lookups!$R$8:$U$17,4,FALSE)</f>
        <v>0.997</v>
      </c>
      <c r="BH638" s="30">
        <f>VLOOKUP(Inventory[[#This Row],[LivArea Range]],Lookups!$R$25:$U$43,4,FALSE)</f>
        <v>1.0008999999999999</v>
      </c>
      <c r="BI638" s="30">
        <f>VLOOKUP(Inventory[[#This Row],[Decade]],Lookups!$M$24:$P$40,4,FALSE)</f>
        <v>1.0024</v>
      </c>
      <c r="BJ638" s="30">
        <f>Inventory[[#This Row],[Nbhd Adj]]*0.95</f>
        <v>0.94971499999999998</v>
      </c>
      <c r="BK638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638" s="30">
        <f>ROUND((SUM(Inventory[[#This Row],[Mdl Qlty]:[Mdl Garage Area]])+Inventory[[#This Row],[Mdl Res Intercept]])*Inventory[[#This Row],[Res Adj ]],-2)</f>
        <v>328300</v>
      </c>
      <c r="BM638" s="30">
        <f>ROUND(Inventory[[#This Row],[25Det]]*Inventory[[#This Row],[Det/Nbhd Adj]],-2)</f>
        <v>0</v>
      </c>
      <c r="BN638" s="30">
        <f>Inventory[[#This Row],[Adjusted Res]]+Inventory[[#This Row],[Adj Det ]]</f>
        <v>328300</v>
      </c>
      <c r="BO638" s="30">
        <f>ROUND((Inventory[[#This Row],[Mdl Land Intercept]]+Inventory[[#This Row],[Mdl LnAcres]])*Inventory[[#This Row],[Det/Nbhd Adj]],-2)</f>
        <v>61100</v>
      </c>
      <c r="BP638" s="30">
        <f>Inventory[[#This Row],[Adjusted Impr Total]]+Inventory[[#This Row],[Adjusted Land Total]]</f>
        <v>389400</v>
      </c>
      <c r="BQ638" s="30">
        <f>IFERROR((Inventory[[#This Row],[Adjusted Impr Total]]-Inventory[[#This Row],[24Bldg]])/Inventory[[#This Row],[24Bldg]],0)</f>
        <v>-2.1168753726893263E-2</v>
      </c>
      <c r="BR638" s="43">
        <f>(Inventory[[#This Row],[Adjusted Land Total]]-Inventory[[#This Row],[24Lnd]])/Inventory[[#This Row],[24Lnd]]</f>
        <v>4.9342105263157892E-3</v>
      </c>
      <c r="BS638" s="43">
        <f>(Inventory[[#This Row],[Adjusted Total]]-Inventory[[#This Row],[24Final]])/Inventory[[#This Row],[24Final]]</f>
        <v>-1.7163048965169108E-2</v>
      </c>
    </row>
    <row r="639" spans="1:71">
      <c r="A639" s="30">
        <v>2025</v>
      </c>
      <c r="B639" s="31" t="s">
        <v>1154</v>
      </c>
      <c r="C639" s="31">
        <f>LN(Inventory[[#This Row],[Acres]])</f>
        <v>-1.8325814637483102</v>
      </c>
      <c r="D639" s="30">
        <v>0.16</v>
      </c>
      <c r="E639" s="38">
        <v>7078</v>
      </c>
      <c r="F639" s="31" t="s">
        <v>505</v>
      </c>
      <c r="G639" s="31" t="s">
        <v>155</v>
      </c>
      <c r="H639" s="31" t="s">
        <v>5</v>
      </c>
      <c r="I639" s="31" t="s">
        <v>506</v>
      </c>
      <c r="J639" s="31" t="s">
        <v>507</v>
      </c>
      <c r="K639" s="31" t="s">
        <v>157</v>
      </c>
      <c r="L639" s="31" t="s">
        <v>21</v>
      </c>
      <c r="M639" s="31" t="s">
        <v>22</v>
      </c>
      <c r="N639" s="31">
        <v>10</v>
      </c>
      <c r="O639" s="31">
        <f>2024-Inventory[[#This Row],[YrBlt]]</f>
        <v>18</v>
      </c>
      <c r="P639" s="31">
        <f>2024-Inventory[[#This Row],[EffYr]]</f>
        <v>18</v>
      </c>
      <c r="Q639" s="30">
        <v>2006</v>
      </c>
      <c r="R639" s="30">
        <v>2006</v>
      </c>
      <c r="S639" s="30">
        <v>1116</v>
      </c>
      <c r="T639" s="30">
        <v>1116</v>
      </c>
      <c r="U639" s="32"/>
      <c r="V639" s="32"/>
      <c r="W639" s="32"/>
      <c r="X639" s="32">
        <f>Inventory[[#This Row],[Bsmt Area]]-Inventory[[#This Row],[FnBsmt]]</f>
        <v>0</v>
      </c>
      <c r="Y639" s="32">
        <f>Inventory[[#This Row],[MainFn]]+Inventory[[#This Row],[UpprFn]]+Inventory[[#This Row],[AddFn]]+Inventory[[#This Row],[FnBsmt]]</f>
        <v>2232</v>
      </c>
      <c r="Z639" s="32">
        <v>2500</v>
      </c>
      <c r="AA639" s="31" t="s">
        <v>57</v>
      </c>
      <c r="AB639" s="30">
        <v>1</v>
      </c>
      <c r="AC639" s="38">
        <v>716</v>
      </c>
      <c r="AD639" s="37"/>
      <c r="AE639" s="32"/>
      <c r="AF639" s="32"/>
      <c r="AG639" s="32"/>
      <c r="AH639" s="32"/>
      <c r="AI639" s="30">
        <v>468920</v>
      </c>
      <c r="AJ639" s="30">
        <v>431406</v>
      </c>
      <c r="AK639" s="30">
        <v>0</v>
      </c>
      <c r="AL639" s="30">
        <v>0</v>
      </c>
      <c r="AM639" s="30">
        <v>60800</v>
      </c>
      <c r="AN639" s="30">
        <v>362800</v>
      </c>
      <c r="AO639" s="30">
        <v>423600</v>
      </c>
      <c r="AP639" s="30">
        <f>Lookups!$B$58*0.6</f>
        <v>132535.48800000001</v>
      </c>
      <c r="AQ639" s="30">
        <f>Lookups!$B$58*0.4</f>
        <v>88356.992000000013</v>
      </c>
      <c r="AR639" s="30">
        <f>Lookups!$B$59*Inventory[[#This Row],[LnAcres]]</f>
        <v>-24051.387388882686</v>
      </c>
      <c r="AS639" s="30">
        <f>VLOOKUP(Inventory[[#This Row],[Qlty]],Lookups!$A$66:$E$79,2,FALSE)</f>
        <v>32917.849192000001</v>
      </c>
      <c r="AT639" s="30">
        <f>VLOOKUP(Inventory[[#This Row],[Cnd]],Lookups!$A$80:$E$88,2,FALSE)</f>
        <v>50438.379078999998</v>
      </c>
      <c r="AU639" s="30">
        <f>Inventory[[#This Row],[EffAge]]*Lookups!$B$65</f>
        <v>-1957.3398</v>
      </c>
      <c r="AV639" s="30">
        <f>Inventory[[#This Row],[MainFn]]*Lookups!$B$90</f>
        <v>69649.984080000009</v>
      </c>
      <c r="AW639" s="30">
        <f>Inventory[[#This Row],[UpprFn]]*Lookups!$B$91</f>
        <v>66491.707427999994</v>
      </c>
      <c r="AX639" s="30">
        <f>Inventory[[#This Row],[Bsmt Area]]*Lookups!$B$95</f>
        <v>0</v>
      </c>
      <c r="AY639" s="30">
        <f>Inventory[[#This Row],[AttGar]]*Lookups!$B$93</f>
        <v>25275.538196000001</v>
      </c>
      <c r="AZ639" s="30">
        <f>ROUND(Inventory[[#This Row],[25Det]],-2)</f>
        <v>0</v>
      </c>
      <c r="BA639" s="30">
        <f>ROUND(SUM(Inventory[[#This Row],[Mdl Qlty]:[Mdl Garage Area]])+Inventory[[#This Row],[Mdl Res Intercept]],-2)</f>
        <v>375400</v>
      </c>
      <c r="BB639" s="30">
        <f>ROUND(Inventory[[#This Row],[Mdl Land Intercept]]+Inventory[[#This Row],[Mdl LnAcres]],-2)</f>
        <v>64300</v>
      </c>
      <c r="BC639" s="30">
        <f>Inventory[[#This Row],[Unadj Res Value]]+Inventory[[#This Row],[Unadj Det Value]]+Inventory[[#This Row],[Unadj Land Value]]</f>
        <v>439700</v>
      </c>
      <c r="BD639" s="30">
        <f>(Inventory[[#This Row],[Unadj Total Value]]-Inventory[[#This Row],[24Final]])/Inventory[[#This Row],[24Final]]</f>
        <v>3.8007554296506138E-2</v>
      </c>
      <c r="BE639" s="30">
        <f>VLOOKUP(Inventory[[#This Row],[Nbhd]],Lookups!$M$3:$P$5,4,FALSE)</f>
        <v>0.99970000000000003</v>
      </c>
      <c r="BF639" s="30">
        <f>VLOOKUP(Inventory[[#This Row],[Qlty]],Lookups!$M$8:$P$22,4,FALSE)</f>
        <v>1.0019</v>
      </c>
      <c r="BG639" s="30">
        <f>VLOOKUP(Inventory[[#This Row],[Cnd]],Lookups!$R$8:$U$17,4,FALSE)</f>
        <v>1.0007999999999999</v>
      </c>
      <c r="BH639" s="30">
        <f>VLOOKUP(Inventory[[#This Row],[LivArea Range]],Lookups!$R$25:$U$43,4,FALSE)</f>
        <v>1.0008999999999999</v>
      </c>
      <c r="BI639" s="30">
        <f>VLOOKUP(Inventory[[#This Row],[Decade]],Lookups!$M$24:$P$40,4,FALSE)</f>
        <v>1.0024</v>
      </c>
      <c r="BJ639" s="30">
        <f>Inventory[[#This Row],[Nbhd Adj]]*0.95</f>
        <v>0.94971499999999998</v>
      </c>
      <c r="BK639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639" s="30">
        <f>ROUND((SUM(Inventory[[#This Row],[Mdl Qlty]:[Mdl Garage Area]])+Inventory[[#This Row],[Mdl Res Intercept]])*Inventory[[#This Row],[Res Adj ]],-2)</f>
        <v>357000</v>
      </c>
      <c r="BM639" s="30">
        <f>ROUND(Inventory[[#This Row],[25Det]]*Inventory[[#This Row],[Det/Nbhd Adj]],-2)</f>
        <v>0</v>
      </c>
      <c r="BN639" s="30">
        <f>Inventory[[#This Row],[Adjusted Res]]+Inventory[[#This Row],[Adj Det ]]</f>
        <v>357000</v>
      </c>
      <c r="BO639" s="30">
        <f>ROUND((Inventory[[#This Row],[Mdl Land Intercept]]+Inventory[[#This Row],[Mdl LnAcres]])*Inventory[[#This Row],[Det/Nbhd Adj]],-2)</f>
        <v>61100</v>
      </c>
      <c r="BP639" s="30">
        <f>Inventory[[#This Row],[Adjusted Impr Total]]+Inventory[[#This Row],[Adjusted Land Total]]</f>
        <v>418100</v>
      </c>
      <c r="BQ639" s="30">
        <f>IFERROR((Inventory[[#This Row],[Adjusted Impr Total]]-Inventory[[#This Row],[24Bldg]])/Inventory[[#This Row],[24Bldg]],0)</f>
        <v>-1.5986769570011026E-2</v>
      </c>
      <c r="BR639" s="43">
        <f>(Inventory[[#This Row],[Adjusted Land Total]]-Inventory[[#This Row],[24Lnd]])/Inventory[[#This Row],[24Lnd]]</f>
        <v>4.9342105263157892E-3</v>
      </c>
      <c r="BS639" s="43">
        <f>(Inventory[[#This Row],[Adjusted Total]]-Inventory[[#This Row],[24Final]])/Inventory[[#This Row],[24Final]]</f>
        <v>-1.2983947119924457E-2</v>
      </c>
    </row>
    <row r="640" spans="1:71">
      <c r="A640" s="30">
        <v>2025</v>
      </c>
      <c r="B640" s="31" t="s">
        <v>1155</v>
      </c>
      <c r="C640" s="31">
        <f>LN(Inventory[[#This Row],[Acres]])</f>
        <v>-1.8325814637483102</v>
      </c>
      <c r="D640" s="30">
        <v>0.16</v>
      </c>
      <c r="E640" s="30">
        <v>7078</v>
      </c>
      <c r="F640" s="31" t="s">
        <v>505</v>
      </c>
      <c r="G640" s="31" t="s">
        <v>155</v>
      </c>
      <c r="H640" s="31" t="s">
        <v>5</v>
      </c>
      <c r="I640" s="31" t="s">
        <v>506</v>
      </c>
      <c r="J640" s="31" t="s">
        <v>507</v>
      </c>
      <c r="K640" s="31" t="s">
        <v>157</v>
      </c>
      <c r="L640" s="31" t="s">
        <v>21</v>
      </c>
      <c r="M640" s="31" t="s">
        <v>22</v>
      </c>
      <c r="N640" s="31">
        <v>10</v>
      </c>
      <c r="O640" s="31">
        <f>2024-Inventory[[#This Row],[YrBlt]]</f>
        <v>18</v>
      </c>
      <c r="P640" s="31">
        <f>2024-Inventory[[#This Row],[EffYr]]</f>
        <v>18</v>
      </c>
      <c r="Q640" s="30">
        <v>2006</v>
      </c>
      <c r="R640" s="30">
        <v>2006</v>
      </c>
      <c r="S640" s="30">
        <v>1116</v>
      </c>
      <c r="T640" s="38">
        <v>1116</v>
      </c>
      <c r="U640" s="32"/>
      <c r="V640" s="32"/>
      <c r="W640" s="32"/>
      <c r="X640" s="32">
        <f>Inventory[[#This Row],[Bsmt Area]]-Inventory[[#This Row],[FnBsmt]]</f>
        <v>0</v>
      </c>
      <c r="Y640" s="32">
        <f>Inventory[[#This Row],[MainFn]]+Inventory[[#This Row],[UpprFn]]+Inventory[[#This Row],[AddFn]]+Inventory[[#This Row],[FnBsmt]]</f>
        <v>2232</v>
      </c>
      <c r="Z640" s="32">
        <v>2500</v>
      </c>
      <c r="AA640" s="31" t="s">
        <v>57</v>
      </c>
      <c r="AB640" s="30">
        <v>1</v>
      </c>
      <c r="AC640" s="30">
        <v>440</v>
      </c>
      <c r="AD640" s="32"/>
      <c r="AE640" s="32"/>
      <c r="AF640" s="32"/>
      <c r="AG640" s="32"/>
      <c r="AH640" s="32"/>
      <c r="AI640" s="30">
        <v>447641</v>
      </c>
      <c r="AJ640" s="30">
        <v>411830</v>
      </c>
      <c r="AK640" s="30">
        <v>0</v>
      </c>
      <c r="AL640" s="30">
        <v>0</v>
      </c>
      <c r="AM640" s="30">
        <v>60800</v>
      </c>
      <c r="AN640" s="30">
        <v>350900</v>
      </c>
      <c r="AO640" s="30">
        <v>411700</v>
      </c>
      <c r="AP640" s="30">
        <f>Lookups!$B$58*0.6</f>
        <v>132535.48800000001</v>
      </c>
      <c r="AQ640" s="30">
        <f>Lookups!$B$58*0.4</f>
        <v>88356.992000000013</v>
      </c>
      <c r="AR640" s="30">
        <f>Lookups!$B$59*Inventory[[#This Row],[LnAcres]]</f>
        <v>-24051.387388882686</v>
      </c>
      <c r="AS640" s="30">
        <f>VLOOKUP(Inventory[[#This Row],[Qlty]],Lookups!$A$66:$E$79,2,FALSE)</f>
        <v>32917.849192000001</v>
      </c>
      <c r="AT640" s="30">
        <f>VLOOKUP(Inventory[[#This Row],[Cnd]],Lookups!$A$80:$E$88,2,FALSE)</f>
        <v>50438.379078999998</v>
      </c>
      <c r="AU640" s="30">
        <f>Inventory[[#This Row],[EffAge]]*Lookups!$B$65</f>
        <v>-1957.3398</v>
      </c>
      <c r="AV640" s="30">
        <f>Inventory[[#This Row],[MainFn]]*Lookups!$B$90</f>
        <v>69649.984080000009</v>
      </c>
      <c r="AW640" s="30">
        <f>Inventory[[#This Row],[UpprFn]]*Lookups!$B$91</f>
        <v>66491.707427999994</v>
      </c>
      <c r="AX640" s="30">
        <f>Inventory[[#This Row],[Bsmt Area]]*Lookups!$B$95</f>
        <v>0</v>
      </c>
      <c r="AY640" s="30">
        <f>Inventory[[#This Row],[AttGar]]*Lookups!$B$93</f>
        <v>15532.453640000002</v>
      </c>
      <c r="AZ640" s="30">
        <f>ROUND(Inventory[[#This Row],[25Det]],-2)</f>
        <v>0</v>
      </c>
      <c r="BA640" s="30">
        <f>ROUND(SUM(Inventory[[#This Row],[Mdl Qlty]:[Mdl Garage Area]])+Inventory[[#This Row],[Mdl Res Intercept]],-2)</f>
        <v>365600</v>
      </c>
      <c r="BB640" s="30">
        <f>ROUND(Inventory[[#This Row],[Mdl Land Intercept]]+Inventory[[#This Row],[Mdl LnAcres]],-2)</f>
        <v>64300</v>
      </c>
      <c r="BC640" s="30">
        <f>Inventory[[#This Row],[Unadj Res Value]]+Inventory[[#This Row],[Unadj Det Value]]+Inventory[[#This Row],[Unadj Land Value]]</f>
        <v>429900</v>
      </c>
      <c r="BD640" s="30">
        <f>(Inventory[[#This Row],[Unadj Total Value]]-Inventory[[#This Row],[24Final]])/Inventory[[#This Row],[24Final]]</f>
        <v>4.4206946805926649E-2</v>
      </c>
      <c r="BE640" s="30">
        <f>VLOOKUP(Inventory[[#This Row],[Nbhd]],Lookups!$M$3:$P$5,4,FALSE)</f>
        <v>0.99970000000000003</v>
      </c>
      <c r="BF640" s="30">
        <f>VLOOKUP(Inventory[[#This Row],[Qlty]],Lookups!$M$8:$P$22,4,FALSE)</f>
        <v>1.0019</v>
      </c>
      <c r="BG640" s="30">
        <f>VLOOKUP(Inventory[[#This Row],[Cnd]],Lookups!$R$8:$U$17,4,FALSE)</f>
        <v>1.0007999999999999</v>
      </c>
      <c r="BH640" s="30">
        <f>VLOOKUP(Inventory[[#This Row],[LivArea Range]],Lookups!$R$25:$U$43,4,FALSE)</f>
        <v>1.0008999999999999</v>
      </c>
      <c r="BI640" s="30">
        <f>VLOOKUP(Inventory[[#This Row],[Decade]],Lookups!$M$24:$P$40,4,FALSE)</f>
        <v>1.0024</v>
      </c>
      <c r="BJ640" s="30">
        <f>Inventory[[#This Row],[Nbhd Adj]]*0.95</f>
        <v>0.94971499999999998</v>
      </c>
      <c r="BK640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640" s="30">
        <f>ROUND((SUM(Inventory[[#This Row],[Mdl Qlty]:[Mdl Garage Area]])+Inventory[[#This Row],[Mdl Res Intercept]])*Inventory[[#This Row],[Res Adj ]],-2)</f>
        <v>347700</v>
      </c>
      <c r="BM640" s="30">
        <f>ROUND(Inventory[[#This Row],[25Det]]*Inventory[[#This Row],[Det/Nbhd Adj]],-2)</f>
        <v>0</v>
      </c>
      <c r="BN640" s="30">
        <f>Inventory[[#This Row],[Adjusted Res]]+Inventory[[#This Row],[Adj Det ]]</f>
        <v>347700</v>
      </c>
      <c r="BO640" s="30">
        <f>ROUND((Inventory[[#This Row],[Mdl Land Intercept]]+Inventory[[#This Row],[Mdl LnAcres]])*Inventory[[#This Row],[Det/Nbhd Adj]],-2)</f>
        <v>61100</v>
      </c>
      <c r="BP640" s="30">
        <f>Inventory[[#This Row],[Adjusted Impr Total]]+Inventory[[#This Row],[Adjusted Land Total]]</f>
        <v>408800</v>
      </c>
      <c r="BQ640" s="30">
        <f>IFERROR((Inventory[[#This Row],[Adjusted Impr Total]]-Inventory[[#This Row],[24Bldg]])/Inventory[[#This Row],[24Bldg]],0)</f>
        <v>-9.119407238529496E-3</v>
      </c>
      <c r="BR640" s="43">
        <f>(Inventory[[#This Row],[Adjusted Land Total]]-Inventory[[#This Row],[24Lnd]])/Inventory[[#This Row],[24Lnd]]</f>
        <v>4.9342105263157892E-3</v>
      </c>
      <c r="BS640" s="43">
        <f>(Inventory[[#This Row],[Adjusted Total]]-Inventory[[#This Row],[24Final]])/Inventory[[#This Row],[24Final]]</f>
        <v>-7.0439640514938064E-3</v>
      </c>
    </row>
    <row r="641" spans="1:71">
      <c r="A641" s="30">
        <v>2025</v>
      </c>
      <c r="B641" s="31" t="s">
        <v>1156</v>
      </c>
      <c r="C641" s="31">
        <f>LN(Inventory[[#This Row],[Acres]])</f>
        <v>-1.8325814637483102</v>
      </c>
      <c r="D641" s="30">
        <v>0.16</v>
      </c>
      <c r="E641" s="30">
        <v>7096</v>
      </c>
      <c r="F641" s="31" t="s">
        <v>505</v>
      </c>
      <c r="G641" s="31" t="s">
        <v>155</v>
      </c>
      <c r="H641" s="31" t="s">
        <v>5</v>
      </c>
      <c r="I641" s="31" t="s">
        <v>506</v>
      </c>
      <c r="J641" s="31" t="s">
        <v>507</v>
      </c>
      <c r="K641" s="31" t="s">
        <v>157</v>
      </c>
      <c r="L641" s="31" t="s">
        <v>21</v>
      </c>
      <c r="M641" s="31" t="s">
        <v>22</v>
      </c>
      <c r="N641" s="31">
        <v>10</v>
      </c>
      <c r="O641" s="31">
        <f>2024-Inventory[[#This Row],[YrBlt]]</f>
        <v>18</v>
      </c>
      <c r="P641" s="31">
        <f>2024-Inventory[[#This Row],[EffYr]]</f>
        <v>18</v>
      </c>
      <c r="Q641" s="30">
        <v>2006</v>
      </c>
      <c r="R641" s="30">
        <v>2006</v>
      </c>
      <c r="S641" s="30">
        <v>1116</v>
      </c>
      <c r="T641" s="38">
        <v>1116</v>
      </c>
      <c r="U641" s="32"/>
      <c r="V641" s="32"/>
      <c r="W641" s="32"/>
      <c r="X641" s="32">
        <f>Inventory[[#This Row],[Bsmt Area]]-Inventory[[#This Row],[FnBsmt]]</f>
        <v>0</v>
      </c>
      <c r="Y641" s="32">
        <f>Inventory[[#This Row],[MainFn]]+Inventory[[#This Row],[UpprFn]]+Inventory[[#This Row],[AddFn]]+Inventory[[#This Row],[FnBsmt]]</f>
        <v>2232</v>
      </c>
      <c r="Z641" s="32">
        <v>2500</v>
      </c>
      <c r="AA641" s="31" t="s">
        <v>57</v>
      </c>
      <c r="AB641" s="38">
        <v>1</v>
      </c>
      <c r="AC641" s="30">
        <v>440</v>
      </c>
      <c r="AD641" s="32"/>
      <c r="AE641" s="32"/>
      <c r="AF641" s="32"/>
      <c r="AG641" s="32"/>
      <c r="AH641" s="32"/>
      <c r="AI641" s="30">
        <v>444722</v>
      </c>
      <c r="AJ641" s="30">
        <v>409144</v>
      </c>
      <c r="AK641" s="30">
        <v>0</v>
      </c>
      <c r="AL641" s="30">
        <v>0</v>
      </c>
      <c r="AM641" s="30">
        <v>60800</v>
      </c>
      <c r="AN641" s="30">
        <v>350900</v>
      </c>
      <c r="AO641" s="30">
        <v>411700</v>
      </c>
      <c r="AP641" s="30">
        <f>Lookups!$B$58*0.6</f>
        <v>132535.48800000001</v>
      </c>
      <c r="AQ641" s="30">
        <f>Lookups!$B$58*0.4</f>
        <v>88356.992000000013</v>
      </c>
      <c r="AR641" s="30">
        <f>Lookups!$B$59*Inventory[[#This Row],[LnAcres]]</f>
        <v>-24051.387388882686</v>
      </c>
      <c r="AS641" s="30">
        <f>VLOOKUP(Inventory[[#This Row],[Qlty]],Lookups!$A$66:$E$79,2,FALSE)</f>
        <v>32917.849192000001</v>
      </c>
      <c r="AT641" s="30">
        <f>VLOOKUP(Inventory[[#This Row],[Cnd]],Lookups!$A$80:$E$88,2,FALSE)</f>
        <v>50438.379078999998</v>
      </c>
      <c r="AU641" s="30">
        <f>Inventory[[#This Row],[EffAge]]*Lookups!$B$65</f>
        <v>-1957.3398</v>
      </c>
      <c r="AV641" s="30">
        <f>Inventory[[#This Row],[MainFn]]*Lookups!$B$90</f>
        <v>69649.984080000009</v>
      </c>
      <c r="AW641" s="30">
        <f>Inventory[[#This Row],[UpprFn]]*Lookups!$B$91</f>
        <v>66491.707427999994</v>
      </c>
      <c r="AX641" s="30">
        <f>Inventory[[#This Row],[Bsmt Area]]*Lookups!$B$95</f>
        <v>0</v>
      </c>
      <c r="AY641" s="30">
        <f>Inventory[[#This Row],[AttGar]]*Lookups!$B$93</f>
        <v>15532.453640000002</v>
      </c>
      <c r="AZ641" s="30">
        <f>ROUND(Inventory[[#This Row],[25Det]],-2)</f>
        <v>0</v>
      </c>
      <c r="BA641" s="30">
        <f>ROUND(SUM(Inventory[[#This Row],[Mdl Qlty]:[Mdl Garage Area]])+Inventory[[#This Row],[Mdl Res Intercept]],-2)</f>
        <v>365600</v>
      </c>
      <c r="BB641" s="30">
        <f>ROUND(Inventory[[#This Row],[Mdl Land Intercept]]+Inventory[[#This Row],[Mdl LnAcres]],-2)</f>
        <v>64300</v>
      </c>
      <c r="BC641" s="30">
        <f>Inventory[[#This Row],[Unadj Res Value]]+Inventory[[#This Row],[Unadj Det Value]]+Inventory[[#This Row],[Unadj Land Value]]</f>
        <v>429900</v>
      </c>
      <c r="BD641" s="30">
        <f>(Inventory[[#This Row],[Unadj Total Value]]-Inventory[[#This Row],[24Final]])/Inventory[[#This Row],[24Final]]</f>
        <v>4.4206946805926649E-2</v>
      </c>
      <c r="BE641" s="30">
        <f>VLOOKUP(Inventory[[#This Row],[Nbhd]],Lookups!$M$3:$P$5,4,FALSE)</f>
        <v>0.99970000000000003</v>
      </c>
      <c r="BF641" s="30">
        <f>VLOOKUP(Inventory[[#This Row],[Qlty]],Lookups!$M$8:$P$22,4,FALSE)</f>
        <v>1.0019</v>
      </c>
      <c r="BG641" s="30">
        <f>VLOOKUP(Inventory[[#This Row],[Cnd]],Lookups!$R$8:$U$17,4,FALSE)</f>
        <v>1.0007999999999999</v>
      </c>
      <c r="BH641" s="30">
        <f>VLOOKUP(Inventory[[#This Row],[LivArea Range]],Lookups!$R$25:$U$43,4,FALSE)</f>
        <v>1.0008999999999999</v>
      </c>
      <c r="BI641" s="30">
        <f>VLOOKUP(Inventory[[#This Row],[Decade]],Lookups!$M$24:$P$40,4,FALSE)</f>
        <v>1.0024</v>
      </c>
      <c r="BJ641" s="30">
        <f>Inventory[[#This Row],[Nbhd Adj]]*0.95</f>
        <v>0.94971499999999998</v>
      </c>
      <c r="BK641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641" s="30">
        <f>ROUND((SUM(Inventory[[#This Row],[Mdl Qlty]:[Mdl Garage Area]])+Inventory[[#This Row],[Mdl Res Intercept]])*Inventory[[#This Row],[Res Adj ]],-2)</f>
        <v>347700</v>
      </c>
      <c r="BM641" s="30">
        <f>ROUND(Inventory[[#This Row],[25Det]]*Inventory[[#This Row],[Det/Nbhd Adj]],-2)</f>
        <v>0</v>
      </c>
      <c r="BN641" s="30">
        <f>Inventory[[#This Row],[Adjusted Res]]+Inventory[[#This Row],[Adj Det ]]</f>
        <v>347700</v>
      </c>
      <c r="BO641" s="30">
        <f>ROUND((Inventory[[#This Row],[Mdl Land Intercept]]+Inventory[[#This Row],[Mdl LnAcres]])*Inventory[[#This Row],[Det/Nbhd Adj]],-2)</f>
        <v>61100</v>
      </c>
      <c r="BP641" s="30">
        <f>Inventory[[#This Row],[Adjusted Impr Total]]+Inventory[[#This Row],[Adjusted Land Total]]</f>
        <v>408800</v>
      </c>
      <c r="BQ641" s="30">
        <f>IFERROR((Inventory[[#This Row],[Adjusted Impr Total]]-Inventory[[#This Row],[24Bldg]])/Inventory[[#This Row],[24Bldg]],0)</f>
        <v>-9.119407238529496E-3</v>
      </c>
      <c r="BR641" s="43">
        <f>(Inventory[[#This Row],[Adjusted Land Total]]-Inventory[[#This Row],[24Lnd]])/Inventory[[#This Row],[24Lnd]]</f>
        <v>4.9342105263157892E-3</v>
      </c>
      <c r="BS641" s="43">
        <f>(Inventory[[#This Row],[Adjusted Total]]-Inventory[[#This Row],[24Final]])/Inventory[[#This Row],[24Final]]</f>
        <v>-7.0439640514938064E-3</v>
      </c>
    </row>
    <row r="642" spans="1:71">
      <c r="A642" s="30">
        <v>2025</v>
      </c>
      <c r="B642" s="31" t="s">
        <v>1157</v>
      </c>
      <c r="C642" s="31">
        <f>LN(Inventory[[#This Row],[Acres]])</f>
        <v>-1.8325814637483102</v>
      </c>
      <c r="D642" s="30">
        <v>0.16</v>
      </c>
      <c r="E642" s="30">
        <v>7002</v>
      </c>
      <c r="F642" s="31" t="s">
        <v>505</v>
      </c>
      <c r="G642" s="31" t="s">
        <v>155</v>
      </c>
      <c r="H642" s="31" t="s">
        <v>5</v>
      </c>
      <c r="I642" s="31" t="s">
        <v>506</v>
      </c>
      <c r="J642" s="31" t="s">
        <v>507</v>
      </c>
      <c r="K642" s="31" t="s">
        <v>157</v>
      </c>
      <c r="L642" s="31" t="s">
        <v>23</v>
      </c>
      <c r="M642" s="31" t="s">
        <v>22</v>
      </c>
      <c r="N642" s="31">
        <v>10</v>
      </c>
      <c r="O642" s="31">
        <f>2024-Inventory[[#This Row],[YrBlt]]</f>
        <v>18</v>
      </c>
      <c r="P642" s="31">
        <f>2024-Inventory[[#This Row],[EffYr]]</f>
        <v>18</v>
      </c>
      <c r="Q642" s="30">
        <v>2006</v>
      </c>
      <c r="R642" s="30">
        <v>2006</v>
      </c>
      <c r="S642" s="30">
        <v>1374</v>
      </c>
      <c r="T642" s="38">
        <v>1332</v>
      </c>
      <c r="U642" s="32"/>
      <c r="V642" s="32"/>
      <c r="W642" s="32"/>
      <c r="X642" s="32">
        <f>Inventory[[#This Row],[Bsmt Area]]-Inventory[[#This Row],[FnBsmt]]</f>
        <v>0</v>
      </c>
      <c r="Y642" s="32">
        <f>Inventory[[#This Row],[MainFn]]+Inventory[[#This Row],[UpprFn]]+Inventory[[#This Row],[AddFn]]+Inventory[[#This Row],[FnBsmt]]</f>
        <v>2706</v>
      </c>
      <c r="Z642" s="32">
        <v>3000</v>
      </c>
      <c r="AA642" s="31" t="s">
        <v>55</v>
      </c>
      <c r="AB642" s="38">
        <v>1</v>
      </c>
      <c r="AC642" s="30">
        <v>240</v>
      </c>
      <c r="AD642" s="38">
        <v>502</v>
      </c>
      <c r="AE642" s="32"/>
      <c r="AF642" s="32"/>
      <c r="AG642" s="32"/>
      <c r="AH642" s="32"/>
      <c r="AI642" s="30">
        <v>622883</v>
      </c>
      <c r="AJ642" s="30">
        <v>585510</v>
      </c>
      <c r="AK642" s="30">
        <v>0</v>
      </c>
      <c r="AL642" s="30">
        <v>0</v>
      </c>
      <c r="AM642" s="30">
        <v>60800</v>
      </c>
      <c r="AN642" s="30">
        <v>446800</v>
      </c>
      <c r="AO642" s="30">
        <v>507600</v>
      </c>
      <c r="AP642" s="30">
        <f>Lookups!$B$58*0.6</f>
        <v>132535.48800000001</v>
      </c>
      <c r="AQ642" s="30">
        <f>Lookups!$B$58*0.4</f>
        <v>88356.992000000013</v>
      </c>
      <c r="AR642" s="30">
        <f>Lookups!$B$59*Inventory[[#This Row],[LnAcres]]</f>
        <v>-24051.387388882686</v>
      </c>
      <c r="AS642" s="30">
        <f>VLOOKUP(Inventory[[#This Row],[Qlty]],Lookups!$A$66:$E$79,2,FALSE)</f>
        <v>39366.494398000003</v>
      </c>
      <c r="AT642" s="30">
        <f>VLOOKUP(Inventory[[#This Row],[Cnd]],Lookups!$A$80:$E$88,2,FALSE)</f>
        <v>50438.379078999998</v>
      </c>
      <c r="AU642" s="30">
        <f>Inventory[[#This Row],[EffAge]]*Lookups!$B$65</f>
        <v>-1957.3398</v>
      </c>
      <c r="AV642" s="30">
        <f>Inventory[[#This Row],[MainFn]]*Lookups!$B$90</f>
        <v>85751.862120000005</v>
      </c>
      <c r="AW642" s="30">
        <f>Inventory[[#This Row],[UpprFn]]*Lookups!$B$91</f>
        <v>79361.070156000002</v>
      </c>
      <c r="AX642" s="30">
        <f>Inventory[[#This Row],[Bsmt Area]]*Lookups!$B$95</f>
        <v>0</v>
      </c>
      <c r="AY642" s="30">
        <f>Inventory[[#This Row],[AttGar]]*Lookups!$B$93</f>
        <v>8472.247440000001</v>
      </c>
      <c r="AZ642" s="30">
        <f>ROUND(Inventory[[#This Row],[25Det]],-2)</f>
        <v>0</v>
      </c>
      <c r="BA642" s="30">
        <f>ROUND(SUM(Inventory[[#This Row],[Mdl Qlty]:[Mdl Garage Area]])+Inventory[[#This Row],[Mdl Res Intercept]],-2)</f>
        <v>394000</v>
      </c>
      <c r="BB642" s="30">
        <f>ROUND(Inventory[[#This Row],[Mdl Land Intercept]]+Inventory[[#This Row],[Mdl LnAcres]],-2)</f>
        <v>64300</v>
      </c>
      <c r="BC642" s="30">
        <f>Inventory[[#This Row],[Unadj Res Value]]+Inventory[[#This Row],[Unadj Det Value]]+Inventory[[#This Row],[Unadj Land Value]]</f>
        <v>458300</v>
      </c>
      <c r="BD642" s="30">
        <f>(Inventory[[#This Row],[Unadj Total Value]]-Inventory[[#This Row],[24Final]])/Inventory[[#This Row],[24Final]]</f>
        <v>-9.7123719464144997E-2</v>
      </c>
      <c r="BE642" s="30">
        <f>VLOOKUP(Inventory[[#This Row],[Nbhd]],Lookups!$M$3:$P$5,4,FALSE)</f>
        <v>0.99970000000000003</v>
      </c>
      <c r="BF642" s="30">
        <f>VLOOKUP(Inventory[[#This Row],[Qlty]],Lookups!$M$8:$P$22,4,FALSE)</f>
        <v>0.99980000000000002</v>
      </c>
      <c r="BG642" s="30">
        <f>VLOOKUP(Inventory[[#This Row],[Cnd]],Lookups!$R$8:$U$17,4,FALSE)</f>
        <v>1.0007999999999999</v>
      </c>
      <c r="BH642" s="30">
        <f>VLOOKUP(Inventory[[#This Row],[LivArea Range]],Lookups!$R$25:$U$43,4,FALSE)</f>
        <v>1.0099</v>
      </c>
      <c r="BI642" s="30">
        <f>VLOOKUP(Inventory[[#This Row],[Decade]],Lookups!$M$24:$P$40,4,FALSE)</f>
        <v>1.0024</v>
      </c>
      <c r="BJ642" s="30">
        <f>Inventory[[#This Row],[Nbhd Adj]]*0.95</f>
        <v>0.94971499999999998</v>
      </c>
      <c r="BK642" s="30">
        <f>AVERAGE(Inventory[[#This Row],[Nbhd Adj]],Inventory[[#This Row],[Quality Adj]],Inventory[[#This Row],[Condition Adj]],Inventory[[#This Row],[Living Area Adj]],Inventory[[#This Row],[Decade Adj]])*0.95</f>
        <v>0.95239400000000007</v>
      </c>
      <c r="BL642" s="30">
        <f>ROUND((SUM(Inventory[[#This Row],[Mdl Qlty]:[Mdl Garage Area]])+Inventory[[#This Row],[Mdl Res Intercept]])*Inventory[[#This Row],[Res Adj ]],-2)</f>
        <v>375200</v>
      </c>
      <c r="BM642" s="30">
        <f>ROUND(Inventory[[#This Row],[25Det]]*Inventory[[#This Row],[Det/Nbhd Adj]],-2)</f>
        <v>0</v>
      </c>
      <c r="BN642" s="30">
        <f>Inventory[[#This Row],[Adjusted Res]]+Inventory[[#This Row],[Adj Det ]]</f>
        <v>375200</v>
      </c>
      <c r="BO642" s="30">
        <f>ROUND((Inventory[[#This Row],[Mdl Land Intercept]]+Inventory[[#This Row],[Mdl LnAcres]])*Inventory[[#This Row],[Det/Nbhd Adj]],-2)</f>
        <v>61100</v>
      </c>
      <c r="BP642" s="30">
        <f>Inventory[[#This Row],[Adjusted Impr Total]]+Inventory[[#This Row],[Adjusted Land Total]]</f>
        <v>436300</v>
      </c>
      <c r="BQ642" s="30">
        <f>IFERROR((Inventory[[#This Row],[Adjusted Impr Total]]-Inventory[[#This Row],[24Bldg]])/Inventory[[#This Row],[24Bldg]],0)</f>
        <v>-0.16025067144136079</v>
      </c>
      <c r="BR642" s="43">
        <f>(Inventory[[#This Row],[Adjusted Land Total]]-Inventory[[#This Row],[24Lnd]])/Inventory[[#This Row],[24Lnd]]</f>
        <v>4.9342105263157892E-3</v>
      </c>
      <c r="BS642" s="43">
        <f>(Inventory[[#This Row],[Adjusted Total]]-Inventory[[#This Row],[24Final]])/Inventory[[#This Row],[24Final]]</f>
        <v>-0.14046493301812452</v>
      </c>
    </row>
    <row r="643" spans="1:71">
      <c r="A643" s="30">
        <v>2025</v>
      </c>
      <c r="B643" s="31" t="s">
        <v>1158</v>
      </c>
      <c r="C643" s="31">
        <f>LN(Inventory[[#This Row],[Acres]])</f>
        <v>-1.8325814637483102</v>
      </c>
      <c r="D643" s="30">
        <v>0.16</v>
      </c>
      <c r="E643" s="30">
        <v>6813</v>
      </c>
      <c r="F643" s="31" t="s">
        <v>505</v>
      </c>
      <c r="G643" s="31" t="s">
        <v>155</v>
      </c>
      <c r="H643" s="31" t="s">
        <v>5</v>
      </c>
      <c r="I643" s="31" t="s">
        <v>506</v>
      </c>
      <c r="J643" s="31" t="s">
        <v>507</v>
      </c>
      <c r="K643" s="31" t="s">
        <v>157</v>
      </c>
      <c r="L643" s="31" t="s">
        <v>21</v>
      </c>
      <c r="M643" s="31" t="s">
        <v>22</v>
      </c>
      <c r="N643" s="31">
        <v>10</v>
      </c>
      <c r="O643" s="31">
        <f>2024-Inventory[[#This Row],[YrBlt]]</f>
        <v>18</v>
      </c>
      <c r="P643" s="31">
        <f>2024-Inventory[[#This Row],[EffYr]]</f>
        <v>18</v>
      </c>
      <c r="Q643" s="30">
        <v>2006</v>
      </c>
      <c r="R643" s="30">
        <v>2006</v>
      </c>
      <c r="S643" s="30">
        <v>1158</v>
      </c>
      <c r="T643" s="38">
        <v>1332</v>
      </c>
      <c r="U643" s="32"/>
      <c r="V643" s="32"/>
      <c r="W643" s="32"/>
      <c r="X643" s="32">
        <f>Inventory[[#This Row],[Bsmt Area]]-Inventory[[#This Row],[FnBsmt]]</f>
        <v>0</v>
      </c>
      <c r="Y643" s="32">
        <f>Inventory[[#This Row],[MainFn]]+Inventory[[#This Row],[UpprFn]]+Inventory[[#This Row],[AddFn]]+Inventory[[#This Row],[FnBsmt]]</f>
        <v>2490</v>
      </c>
      <c r="Z643" s="32">
        <v>2500</v>
      </c>
      <c r="AA643" s="31" t="s">
        <v>55</v>
      </c>
      <c r="AB643" s="38">
        <v>1</v>
      </c>
      <c r="AC643" s="30">
        <v>300</v>
      </c>
      <c r="AD643" s="38">
        <v>502</v>
      </c>
      <c r="AE643" s="32"/>
      <c r="AF643" s="32"/>
      <c r="AG643" s="32"/>
      <c r="AH643" s="32"/>
      <c r="AI643" s="30">
        <v>512529</v>
      </c>
      <c r="AJ643" s="30">
        <v>471527</v>
      </c>
      <c r="AK643" s="30">
        <v>0</v>
      </c>
      <c r="AL643" s="30">
        <v>0</v>
      </c>
      <c r="AM643" s="30">
        <v>60800</v>
      </c>
      <c r="AN643" s="30">
        <v>394300</v>
      </c>
      <c r="AO643" s="30">
        <v>455100</v>
      </c>
      <c r="AP643" s="30">
        <f>Lookups!$B$58*0.6</f>
        <v>132535.48800000001</v>
      </c>
      <c r="AQ643" s="30">
        <f>Lookups!$B$58*0.4</f>
        <v>88356.992000000013</v>
      </c>
      <c r="AR643" s="30">
        <f>Lookups!$B$59*Inventory[[#This Row],[LnAcres]]</f>
        <v>-24051.387388882686</v>
      </c>
      <c r="AS643" s="30">
        <f>VLOOKUP(Inventory[[#This Row],[Qlty]],Lookups!$A$66:$E$79,2,FALSE)</f>
        <v>32917.849192000001</v>
      </c>
      <c r="AT643" s="30">
        <f>VLOOKUP(Inventory[[#This Row],[Cnd]],Lookups!$A$80:$E$88,2,FALSE)</f>
        <v>50438.379078999998</v>
      </c>
      <c r="AU643" s="30">
        <f>Inventory[[#This Row],[EffAge]]*Lookups!$B$65</f>
        <v>-1957.3398</v>
      </c>
      <c r="AV643" s="30">
        <f>Inventory[[#This Row],[MainFn]]*Lookups!$B$90</f>
        <v>72271.22004</v>
      </c>
      <c r="AW643" s="30">
        <f>Inventory[[#This Row],[UpprFn]]*Lookups!$B$91</f>
        <v>79361.070156000002</v>
      </c>
      <c r="AX643" s="30">
        <f>Inventory[[#This Row],[Bsmt Area]]*Lookups!$B$95</f>
        <v>0</v>
      </c>
      <c r="AY643" s="30">
        <f>Inventory[[#This Row],[AttGar]]*Lookups!$B$93</f>
        <v>10590.309300000001</v>
      </c>
      <c r="AZ643" s="30">
        <f>ROUND(Inventory[[#This Row],[25Det]],-2)</f>
        <v>0</v>
      </c>
      <c r="BA643" s="30">
        <f>ROUND(SUM(Inventory[[#This Row],[Mdl Qlty]:[Mdl Garage Area]])+Inventory[[#This Row],[Mdl Res Intercept]],-2)</f>
        <v>376200</v>
      </c>
      <c r="BB643" s="30">
        <f>ROUND(Inventory[[#This Row],[Mdl Land Intercept]]+Inventory[[#This Row],[Mdl LnAcres]],-2)</f>
        <v>64300</v>
      </c>
      <c r="BC643" s="30">
        <f>Inventory[[#This Row],[Unadj Res Value]]+Inventory[[#This Row],[Unadj Det Value]]+Inventory[[#This Row],[Unadj Land Value]]</f>
        <v>440500</v>
      </c>
      <c r="BD643" s="30">
        <f>(Inventory[[#This Row],[Unadj Total Value]]-Inventory[[#This Row],[24Final]])/Inventory[[#This Row],[24Final]]</f>
        <v>-3.2080861349154034E-2</v>
      </c>
      <c r="BE643" s="30">
        <f>VLOOKUP(Inventory[[#This Row],[Nbhd]],Lookups!$M$3:$P$5,4,FALSE)</f>
        <v>0.99970000000000003</v>
      </c>
      <c r="BF643" s="30">
        <f>VLOOKUP(Inventory[[#This Row],[Qlty]],Lookups!$M$8:$P$22,4,FALSE)</f>
        <v>1.0019</v>
      </c>
      <c r="BG643" s="30">
        <f>VLOOKUP(Inventory[[#This Row],[Cnd]],Lookups!$R$8:$U$17,4,FALSE)</f>
        <v>1.0007999999999999</v>
      </c>
      <c r="BH643" s="30">
        <f>VLOOKUP(Inventory[[#This Row],[LivArea Range]],Lookups!$R$25:$U$43,4,FALSE)</f>
        <v>1.0008999999999999</v>
      </c>
      <c r="BI643" s="30">
        <f>VLOOKUP(Inventory[[#This Row],[Decade]],Lookups!$M$24:$P$40,4,FALSE)</f>
        <v>1.0024</v>
      </c>
      <c r="BJ643" s="30">
        <f>Inventory[[#This Row],[Nbhd Adj]]*0.95</f>
        <v>0.94971499999999998</v>
      </c>
      <c r="BK643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643" s="30">
        <f>ROUND((SUM(Inventory[[#This Row],[Mdl Qlty]:[Mdl Garage Area]])+Inventory[[#This Row],[Mdl Res Intercept]])*Inventory[[#This Row],[Res Adj ]],-2)</f>
        <v>357800</v>
      </c>
      <c r="BM643" s="30">
        <f>ROUND(Inventory[[#This Row],[25Det]]*Inventory[[#This Row],[Det/Nbhd Adj]],-2)</f>
        <v>0</v>
      </c>
      <c r="BN643" s="30">
        <f>Inventory[[#This Row],[Adjusted Res]]+Inventory[[#This Row],[Adj Det ]]</f>
        <v>357800</v>
      </c>
      <c r="BO643" s="30">
        <f>ROUND((Inventory[[#This Row],[Mdl Land Intercept]]+Inventory[[#This Row],[Mdl LnAcres]])*Inventory[[#This Row],[Det/Nbhd Adj]],-2)</f>
        <v>61100</v>
      </c>
      <c r="BP643" s="30">
        <f>Inventory[[#This Row],[Adjusted Impr Total]]+Inventory[[#This Row],[Adjusted Land Total]]</f>
        <v>418900</v>
      </c>
      <c r="BQ643" s="30">
        <f>IFERROR((Inventory[[#This Row],[Adjusted Impr Total]]-Inventory[[#This Row],[24Bldg]])/Inventory[[#This Row],[24Bldg]],0)</f>
        <v>-9.2569109814861786E-2</v>
      </c>
      <c r="BR643" s="43">
        <f>(Inventory[[#This Row],[Adjusted Land Total]]-Inventory[[#This Row],[24Lnd]])/Inventory[[#This Row],[24Lnd]]</f>
        <v>4.9342105263157892E-3</v>
      </c>
      <c r="BS643" s="43">
        <f>(Inventory[[#This Row],[Adjusted Total]]-Inventory[[#This Row],[24Final]])/Inventory[[#This Row],[24Final]]</f>
        <v>-7.9542957591738073E-2</v>
      </c>
    </row>
    <row r="644" spans="1:71">
      <c r="A644" s="30">
        <v>2025</v>
      </c>
      <c r="B644" s="31" t="s">
        <v>1159</v>
      </c>
      <c r="C644" s="31">
        <f>LN(Inventory[[#This Row],[Acres]])</f>
        <v>-1.8325814637483102</v>
      </c>
      <c r="D644" s="30">
        <v>0.16</v>
      </c>
      <c r="E644" s="30">
        <v>7004</v>
      </c>
      <c r="F644" s="31" t="s">
        <v>505</v>
      </c>
      <c r="G644" s="31" t="s">
        <v>155</v>
      </c>
      <c r="H644" s="31" t="s">
        <v>5</v>
      </c>
      <c r="I644" s="31" t="s">
        <v>506</v>
      </c>
      <c r="J644" s="31" t="s">
        <v>507</v>
      </c>
      <c r="K644" s="31" t="s">
        <v>157</v>
      </c>
      <c r="L644" s="31" t="s">
        <v>21</v>
      </c>
      <c r="M644" s="31" t="s">
        <v>18</v>
      </c>
      <c r="N644" s="31">
        <v>10</v>
      </c>
      <c r="O644" s="31">
        <f>2024-Inventory[[#This Row],[YrBlt]]</f>
        <v>18</v>
      </c>
      <c r="P644" s="31">
        <f>2024-Inventory[[#This Row],[EffYr]]</f>
        <v>18</v>
      </c>
      <c r="Q644" s="30">
        <v>2006</v>
      </c>
      <c r="R644" s="30">
        <v>2006</v>
      </c>
      <c r="S644" s="30">
        <v>1116</v>
      </c>
      <c r="T644" s="38">
        <v>1116</v>
      </c>
      <c r="U644" s="32"/>
      <c r="V644" s="32"/>
      <c r="W644" s="32"/>
      <c r="X644" s="32">
        <f>Inventory[[#This Row],[Bsmt Area]]-Inventory[[#This Row],[FnBsmt]]</f>
        <v>0</v>
      </c>
      <c r="Y644" s="32">
        <f>Inventory[[#This Row],[MainFn]]+Inventory[[#This Row],[UpprFn]]+Inventory[[#This Row],[AddFn]]+Inventory[[#This Row],[FnBsmt]]</f>
        <v>2232</v>
      </c>
      <c r="Z644" s="32">
        <v>2500</v>
      </c>
      <c r="AA644" s="31" t="s">
        <v>55</v>
      </c>
      <c r="AB644" s="32"/>
      <c r="AC644" s="30">
        <v>440</v>
      </c>
      <c r="AD644" s="32"/>
      <c r="AE644" s="32"/>
      <c r="AF644" s="32"/>
      <c r="AG644" s="32"/>
      <c r="AH644" s="32"/>
      <c r="AI644" s="30">
        <v>452988</v>
      </c>
      <c r="AJ644" s="30">
        <v>412219</v>
      </c>
      <c r="AK644" s="30">
        <v>0</v>
      </c>
      <c r="AL644" s="30">
        <v>0</v>
      </c>
      <c r="AM644" s="30">
        <v>60800</v>
      </c>
      <c r="AN644" s="30">
        <v>330200</v>
      </c>
      <c r="AO644" s="30">
        <v>391000</v>
      </c>
      <c r="AP644" s="30">
        <f>Lookups!$B$58*0.6</f>
        <v>132535.48800000001</v>
      </c>
      <c r="AQ644" s="30">
        <f>Lookups!$B$58*0.4</f>
        <v>88356.992000000013</v>
      </c>
      <c r="AR644" s="30">
        <f>Lookups!$B$59*Inventory[[#This Row],[LnAcres]]</f>
        <v>-24051.387388882686</v>
      </c>
      <c r="AS644" s="30">
        <f>VLOOKUP(Inventory[[#This Row],[Qlty]],Lookups!$A$66:$E$79,2,FALSE)</f>
        <v>32917.849192000001</v>
      </c>
      <c r="AT644" s="30">
        <f>VLOOKUP(Inventory[[#This Row],[Cnd]],Lookups!$A$80:$E$88,2,FALSE)</f>
        <v>17761.121909000001</v>
      </c>
      <c r="AU644" s="30">
        <f>Inventory[[#This Row],[EffAge]]*Lookups!$B$65</f>
        <v>-1957.3398</v>
      </c>
      <c r="AV644" s="30">
        <f>Inventory[[#This Row],[MainFn]]*Lookups!$B$90</f>
        <v>69649.984080000009</v>
      </c>
      <c r="AW644" s="30">
        <f>Inventory[[#This Row],[UpprFn]]*Lookups!$B$91</f>
        <v>66491.707427999994</v>
      </c>
      <c r="AX644" s="30">
        <f>Inventory[[#This Row],[Bsmt Area]]*Lookups!$B$95</f>
        <v>0</v>
      </c>
      <c r="AY644" s="30">
        <f>Inventory[[#This Row],[AttGar]]*Lookups!$B$93</f>
        <v>15532.453640000002</v>
      </c>
      <c r="AZ644" s="30">
        <f>ROUND(Inventory[[#This Row],[25Det]],-2)</f>
        <v>0</v>
      </c>
      <c r="BA644" s="30">
        <f>ROUND(SUM(Inventory[[#This Row],[Mdl Qlty]:[Mdl Garage Area]])+Inventory[[#This Row],[Mdl Res Intercept]],-2)</f>
        <v>332900</v>
      </c>
      <c r="BB644" s="30">
        <f>ROUND(Inventory[[#This Row],[Mdl Land Intercept]]+Inventory[[#This Row],[Mdl LnAcres]],-2)</f>
        <v>64300</v>
      </c>
      <c r="BC644" s="30">
        <f>Inventory[[#This Row],[Unadj Res Value]]+Inventory[[#This Row],[Unadj Det Value]]+Inventory[[#This Row],[Unadj Land Value]]</f>
        <v>397200</v>
      </c>
      <c r="BD644" s="30">
        <f>(Inventory[[#This Row],[Unadj Total Value]]-Inventory[[#This Row],[24Final]])/Inventory[[#This Row],[24Final]]</f>
        <v>1.5856777493606138E-2</v>
      </c>
      <c r="BE644" s="30">
        <f>VLOOKUP(Inventory[[#This Row],[Nbhd]],Lookups!$M$3:$P$5,4,FALSE)</f>
        <v>0.99970000000000003</v>
      </c>
      <c r="BF644" s="30">
        <f>VLOOKUP(Inventory[[#This Row],[Qlty]],Lookups!$M$8:$P$22,4,FALSE)</f>
        <v>1.0019</v>
      </c>
      <c r="BG644" s="30">
        <f>VLOOKUP(Inventory[[#This Row],[Cnd]],Lookups!$R$8:$U$17,4,FALSE)</f>
        <v>0.99680000000000002</v>
      </c>
      <c r="BH644" s="30">
        <f>VLOOKUP(Inventory[[#This Row],[LivArea Range]],Lookups!$R$25:$U$43,4,FALSE)</f>
        <v>1.0008999999999999</v>
      </c>
      <c r="BI644" s="30">
        <f>VLOOKUP(Inventory[[#This Row],[Decade]],Lookups!$M$24:$P$40,4,FALSE)</f>
        <v>1.0024</v>
      </c>
      <c r="BJ644" s="30">
        <f>Inventory[[#This Row],[Nbhd Adj]]*0.95</f>
        <v>0.94971499999999998</v>
      </c>
      <c r="BK644" s="30">
        <f>AVERAGE(Inventory[[#This Row],[Nbhd Adj]],Inventory[[#This Row],[Quality Adj]],Inventory[[#This Row],[Condition Adj]],Inventory[[#This Row],[Living Area Adj]],Inventory[[#This Row],[Decade Adj]])*0.95</f>
        <v>0.95032299999999992</v>
      </c>
      <c r="BL644" s="30">
        <f>ROUND((SUM(Inventory[[#This Row],[Mdl Qlty]:[Mdl Garage Area]])+Inventory[[#This Row],[Mdl Res Intercept]])*Inventory[[#This Row],[Res Adj ]],-2)</f>
        <v>316400</v>
      </c>
      <c r="BM644" s="30">
        <f>ROUND(Inventory[[#This Row],[25Det]]*Inventory[[#This Row],[Det/Nbhd Adj]],-2)</f>
        <v>0</v>
      </c>
      <c r="BN644" s="30">
        <f>Inventory[[#This Row],[Adjusted Res]]+Inventory[[#This Row],[Adj Det ]]</f>
        <v>316400</v>
      </c>
      <c r="BO644" s="30">
        <f>ROUND((Inventory[[#This Row],[Mdl Land Intercept]]+Inventory[[#This Row],[Mdl LnAcres]])*Inventory[[#This Row],[Det/Nbhd Adj]],-2)</f>
        <v>61100</v>
      </c>
      <c r="BP644" s="30">
        <f>Inventory[[#This Row],[Adjusted Impr Total]]+Inventory[[#This Row],[Adjusted Land Total]]</f>
        <v>377500</v>
      </c>
      <c r="BQ644" s="30">
        <f>IFERROR((Inventory[[#This Row],[Adjusted Impr Total]]-Inventory[[#This Row],[24Bldg]])/Inventory[[#This Row],[24Bldg]],0)</f>
        <v>-4.1792852816474865E-2</v>
      </c>
      <c r="BR644" s="43">
        <f>(Inventory[[#This Row],[Adjusted Land Total]]-Inventory[[#This Row],[24Lnd]])/Inventory[[#This Row],[24Lnd]]</f>
        <v>4.9342105263157892E-3</v>
      </c>
      <c r="BS644" s="43">
        <f>(Inventory[[#This Row],[Adjusted Total]]-Inventory[[#This Row],[24Final]])/Inventory[[#This Row],[24Final]]</f>
        <v>-3.4526854219948847E-2</v>
      </c>
    </row>
    <row r="645" spans="1:71">
      <c r="A645" s="30">
        <v>2025</v>
      </c>
      <c r="B645" s="31" t="s">
        <v>1160</v>
      </c>
      <c r="C645" s="31">
        <f>LN(Inventory[[#This Row],[Acres]])</f>
        <v>-1.8325814637483102</v>
      </c>
      <c r="D645" s="30">
        <v>0.16</v>
      </c>
      <c r="E645" s="30">
        <v>7020</v>
      </c>
      <c r="F645" s="31" t="s">
        <v>505</v>
      </c>
      <c r="G645" s="31" t="s">
        <v>155</v>
      </c>
      <c r="H645" s="31" t="s">
        <v>5</v>
      </c>
      <c r="I645" s="31" t="s">
        <v>506</v>
      </c>
      <c r="J645" s="31" t="s">
        <v>507</v>
      </c>
      <c r="K645" s="31" t="s">
        <v>157</v>
      </c>
      <c r="L645" s="31" t="s">
        <v>21</v>
      </c>
      <c r="M645" s="31" t="s">
        <v>20</v>
      </c>
      <c r="N645" s="31">
        <v>10</v>
      </c>
      <c r="O645" s="31">
        <f>2024-Inventory[[#This Row],[YrBlt]]</f>
        <v>18</v>
      </c>
      <c r="P645" s="31">
        <f>2024-Inventory[[#This Row],[EffYr]]</f>
        <v>18</v>
      </c>
      <c r="Q645" s="30">
        <v>2006</v>
      </c>
      <c r="R645" s="30">
        <v>2006</v>
      </c>
      <c r="S645" s="30">
        <v>1116</v>
      </c>
      <c r="T645" s="30">
        <v>1116</v>
      </c>
      <c r="U645" s="32"/>
      <c r="V645" s="32"/>
      <c r="W645" s="32"/>
      <c r="X645" s="32">
        <f>Inventory[[#This Row],[Bsmt Area]]-Inventory[[#This Row],[FnBsmt]]</f>
        <v>0</v>
      </c>
      <c r="Y645" s="32">
        <f>Inventory[[#This Row],[MainFn]]+Inventory[[#This Row],[UpprFn]]+Inventory[[#This Row],[AddFn]]+Inventory[[#This Row],[FnBsmt]]</f>
        <v>2232</v>
      </c>
      <c r="Z645" s="32">
        <v>2500</v>
      </c>
      <c r="AA645" s="31" t="s">
        <v>55</v>
      </c>
      <c r="AB645" s="32"/>
      <c r="AC645" s="30">
        <v>440</v>
      </c>
      <c r="AD645" s="32"/>
      <c r="AE645" s="32"/>
      <c r="AF645" s="32"/>
      <c r="AG645" s="32"/>
      <c r="AH645" s="32"/>
      <c r="AI645" s="30">
        <v>448191</v>
      </c>
      <c r="AJ645" s="30">
        <v>407854</v>
      </c>
      <c r="AK645" s="30">
        <v>0</v>
      </c>
      <c r="AL645" s="30">
        <v>0</v>
      </c>
      <c r="AM645" s="30">
        <v>60800</v>
      </c>
      <c r="AN645" s="30">
        <v>335400</v>
      </c>
      <c r="AO645" s="30">
        <v>396200</v>
      </c>
      <c r="AP645" s="30">
        <f>Lookups!$B$58*0.6</f>
        <v>132535.48800000001</v>
      </c>
      <c r="AQ645" s="30">
        <f>Lookups!$B$58*0.4</f>
        <v>88356.992000000013</v>
      </c>
      <c r="AR645" s="30">
        <f>Lookups!$B$59*Inventory[[#This Row],[LnAcres]]</f>
        <v>-24051.387388882686</v>
      </c>
      <c r="AS645" s="30">
        <f>VLOOKUP(Inventory[[#This Row],[Qlty]],Lookups!$A$66:$E$79,2,FALSE)</f>
        <v>32917.849192000001</v>
      </c>
      <c r="AT645" s="30">
        <f>VLOOKUP(Inventory[[#This Row],[Cnd]],Lookups!$A$80:$E$88,2,FALSE)</f>
        <v>30300.329274</v>
      </c>
      <c r="AU645" s="30">
        <f>Inventory[[#This Row],[EffAge]]*Lookups!$B$65</f>
        <v>-1957.3398</v>
      </c>
      <c r="AV645" s="30">
        <f>Inventory[[#This Row],[MainFn]]*Lookups!$B$90</f>
        <v>69649.984080000009</v>
      </c>
      <c r="AW645" s="30">
        <f>Inventory[[#This Row],[UpprFn]]*Lookups!$B$91</f>
        <v>66491.707427999994</v>
      </c>
      <c r="AX645" s="30">
        <f>Inventory[[#This Row],[Bsmt Area]]*Lookups!$B$95</f>
        <v>0</v>
      </c>
      <c r="AY645" s="30">
        <f>Inventory[[#This Row],[AttGar]]*Lookups!$B$93</f>
        <v>15532.453640000002</v>
      </c>
      <c r="AZ645" s="30">
        <f>ROUND(Inventory[[#This Row],[25Det]],-2)</f>
        <v>0</v>
      </c>
      <c r="BA645" s="30">
        <f>ROUND(SUM(Inventory[[#This Row],[Mdl Qlty]:[Mdl Garage Area]])+Inventory[[#This Row],[Mdl Res Intercept]],-2)</f>
        <v>345500</v>
      </c>
      <c r="BB645" s="30">
        <f>ROUND(Inventory[[#This Row],[Mdl Land Intercept]]+Inventory[[#This Row],[Mdl LnAcres]],-2)</f>
        <v>64300</v>
      </c>
      <c r="BC645" s="30">
        <f>Inventory[[#This Row],[Unadj Res Value]]+Inventory[[#This Row],[Unadj Det Value]]+Inventory[[#This Row],[Unadj Land Value]]</f>
        <v>409800</v>
      </c>
      <c r="BD645" s="30">
        <f>(Inventory[[#This Row],[Unadj Total Value]]-Inventory[[#This Row],[24Final]])/Inventory[[#This Row],[24Final]]</f>
        <v>3.4326097930338216E-2</v>
      </c>
      <c r="BE645" s="30">
        <f>VLOOKUP(Inventory[[#This Row],[Nbhd]],Lookups!$M$3:$P$5,4,FALSE)</f>
        <v>0.99970000000000003</v>
      </c>
      <c r="BF645" s="30">
        <f>VLOOKUP(Inventory[[#This Row],[Qlty]],Lookups!$M$8:$P$22,4,FALSE)</f>
        <v>1.0019</v>
      </c>
      <c r="BG645" s="30">
        <f>VLOOKUP(Inventory[[#This Row],[Cnd]],Lookups!$R$8:$U$17,4,FALSE)</f>
        <v>0.997</v>
      </c>
      <c r="BH645" s="30">
        <f>VLOOKUP(Inventory[[#This Row],[LivArea Range]],Lookups!$R$25:$U$43,4,FALSE)</f>
        <v>1.0008999999999999</v>
      </c>
      <c r="BI645" s="30">
        <f>VLOOKUP(Inventory[[#This Row],[Decade]],Lookups!$M$24:$P$40,4,FALSE)</f>
        <v>1.0024</v>
      </c>
      <c r="BJ645" s="30">
        <f>Inventory[[#This Row],[Nbhd Adj]]*0.95</f>
        <v>0.94971499999999998</v>
      </c>
      <c r="BK645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645" s="30">
        <f>ROUND((SUM(Inventory[[#This Row],[Mdl Qlty]:[Mdl Garage Area]])+Inventory[[#This Row],[Mdl Res Intercept]])*Inventory[[#This Row],[Res Adj ]],-2)</f>
        <v>328300</v>
      </c>
      <c r="BM645" s="30">
        <f>ROUND(Inventory[[#This Row],[25Det]]*Inventory[[#This Row],[Det/Nbhd Adj]],-2)</f>
        <v>0</v>
      </c>
      <c r="BN645" s="30">
        <f>Inventory[[#This Row],[Adjusted Res]]+Inventory[[#This Row],[Adj Det ]]</f>
        <v>328300</v>
      </c>
      <c r="BO645" s="30">
        <f>ROUND((Inventory[[#This Row],[Mdl Land Intercept]]+Inventory[[#This Row],[Mdl LnAcres]])*Inventory[[#This Row],[Det/Nbhd Adj]],-2)</f>
        <v>61100</v>
      </c>
      <c r="BP645" s="30">
        <f>Inventory[[#This Row],[Adjusted Impr Total]]+Inventory[[#This Row],[Adjusted Land Total]]</f>
        <v>389400</v>
      </c>
      <c r="BQ645" s="30">
        <f>IFERROR((Inventory[[#This Row],[Adjusted Impr Total]]-Inventory[[#This Row],[24Bldg]])/Inventory[[#This Row],[24Bldg]],0)</f>
        <v>-2.1168753726893263E-2</v>
      </c>
      <c r="BR645" s="43">
        <f>(Inventory[[#This Row],[Adjusted Land Total]]-Inventory[[#This Row],[24Lnd]])/Inventory[[#This Row],[24Lnd]]</f>
        <v>4.9342105263157892E-3</v>
      </c>
      <c r="BS645" s="43">
        <f>(Inventory[[#This Row],[Adjusted Total]]-Inventory[[#This Row],[24Final]])/Inventory[[#This Row],[24Final]]</f>
        <v>-1.7163048965169108E-2</v>
      </c>
    </row>
    <row r="646" spans="1:71">
      <c r="A646" s="30">
        <v>2025</v>
      </c>
      <c r="B646" s="31" t="s">
        <v>1161</v>
      </c>
      <c r="C646" s="31">
        <f>LN(Inventory[[#This Row],[Acres]])</f>
        <v>-1.8325814637483102</v>
      </c>
      <c r="D646" s="30">
        <v>0.16</v>
      </c>
      <c r="E646" s="30">
        <v>6841</v>
      </c>
      <c r="F646" s="31" t="s">
        <v>505</v>
      </c>
      <c r="G646" s="31" t="s">
        <v>155</v>
      </c>
      <c r="H646" s="31" t="s">
        <v>5</v>
      </c>
      <c r="I646" s="31" t="s">
        <v>506</v>
      </c>
      <c r="J646" s="31" t="s">
        <v>507</v>
      </c>
      <c r="K646" s="31" t="s">
        <v>157</v>
      </c>
      <c r="L646" s="31" t="s">
        <v>21</v>
      </c>
      <c r="M646" s="31" t="s">
        <v>22</v>
      </c>
      <c r="N646" s="31">
        <v>10</v>
      </c>
      <c r="O646" s="31">
        <f>2024-Inventory[[#This Row],[YrBlt]]</f>
        <v>18</v>
      </c>
      <c r="P646" s="31">
        <f>2024-Inventory[[#This Row],[EffYr]]</f>
        <v>18</v>
      </c>
      <c r="Q646" s="30">
        <v>2006</v>
      </c>
      <c r="R646" s="30">
        <v>2006</v>
      </c>
      <c r="S646" s="30">
        <v>1158</v>
      </c>
      <c r="T646" s="38">
        <v>1332</v>
      </c>
      <c r="U646" s="32"/>
      <c r="V646" s="32"/>
      <c r="W646" s="32"/>
      <c r="X646" s="32">
        <f>Inventory[[#This Row],[Bsmt Area]]-Inventory[[#This Row],[FnBsmt]]</f>
        <v>0</v>
      </c>
      <c r="Y646" s="32">
        <f>Inventory[[#This Row],[MainFn]]+Inventory[[#This Row],[UpprFn]]+Inventory[[#This Row],[AddFn]]+Inventory[[#This Row],[FnBsmt]]</f>
        <v>2490</v>
      </c>
      <c r="Z646" s="32">
        <v>2500</v>
      </c>
      <c r="AA646" s="31" t="s">
        <v>56</v>
      </c>
      <c r="AB646" s="38">
        <v>1</v>
      </c>
      <c r="AC646" s="30">
        <v>300</v>
      </c>
      <c r="AD646" s="38">
        <v>502</v>
      </c>
      <c r="AE646" s="32"/>
      <c r="AF646" s="32"/>
      <c r="AG646" s="32"/>
      <c r="AH646" s="32"/>
      <c r="AI646" s="30">
        <v>521188</v>
      </c>
      <c r="AJ646" s="30">
        <v>479493</v>
      </c>
      <c r="AK646" s="30">
        <v>0</v>
      </c>
      <c r="AL646" s="30">
        <v>0</v>
      </c>
      <c r="AM646" s="30">
        <v>60800</v>
      </c>
      <c r="AN646" s="30">
        <v>405200</v>
      </c>
      <c r="AO646" s="30">
        <v>466000</v>
      </c>
      <c r="AP646" s="30">
        <f>Lookups!$B$58*0.6</f>
        <v>132535.48800000001</v>
      </c>
      <c r="AQ646" s="30">
        <f>Lookups!$B$58*0.4</f>
        <v>88356.992000000013</v>
      </c>
      <c r="AR646" s="30">
        <f>Lookups!$B$59*Inventory[[#This Row],[LnAcres]]</f>
        <v>-24051.387388882686</v>
      </c>
      <c r="AS646" s="30">
        <f>VLOOKUP(Inventory[[#This Row],[Qlty]],Lookups!$A$66:$E$79,2,FALSE)</f>
        <v>32917.849192000001</v>
      </c>
      <c r="AT646" s="30">
        <f>VLOOKUP(Inventory[[#This Row],[Cnd]],Lookups!$A$80:$E$88,2,FALSE)</f>
        <v>50438.379078999998</v>
      </c>
      <c r="AU646" s="30">
        <f>Inventory[[#This Row],[EffAge]]*Lookups!$B$65</f>
        <v>-1957.3398</v>
      </c>
      <c r="AV646" s="30">
        <f>Inventory[[#This Row],[MainFn]]*Lookups!$B$90</f>
        <v>72271.22004</v>
      </c>
      <c r="AW646" s="30">
        <f>Inventory[[#This Row],[UpprFn]]*Lookups!$B$91</f>
        <v>79361.070156000002</v>
      </c>
      <c r="AX646" s="30">
        <f>Inventory[[#This Row],[Bsmt Area]]*Lookups!$B$95</f>
        <v>0</v>
      </c>
      <c r="AY646" s="30">
        <f>Inventory[[#This Row],[AttGar]]*Lookups!$B$93</f>
        <v>10590.309300000001</v>
      </c>
      <c r="AZ646" s="30">
        <f>ROUND(Inventory[[#This Row],[25Det]],-2)</f>
        <v>0</v>
      </c>
      <c r="BA646" s="30">
        <f>ROUND(SUM(Inventory[[#This Row],[Mdl Qlty]:[Mdl Garage Area]])+Inventory[[#This Row],[Mdl Res Intercept]],-2)</f>
        <v>376200</v>
      </c>
      <c r="BB646" s="30">
        <f>ROUND(Inventory[[#This Row],[Mdl Land Intercept]]+Inventory[[#This Row],[Mdl LnAcres]],-2)</f>
        <v>64300</v>
      </c>
      <c r="BC646" s="30">
        <f>Inventory[[#This Row],[Unadj Res Value]]+Inventory[[#This Row],[Unadj Det Value]]+Inventory[[#This Row],[Unadj Land Value]]</f>
        <v>440500</v>
      </c>
      <c r="BD646" s="30">
        <f>(Inventory[[#This Row],[Unadj Total Value]]-Inventory[[#This Row],[24Final]])/Inventory[[#This Row],[24Final]]</f>
        <v>-5.4721030042918457E-2</v>
      </c>
      <c r="BE646" s="30">
        <f>VLOOKUP(Inventory[[#This Row],[Nbhd]],Lookups!$M$3:$P$5,4,FALSE)</f>
        <v>0.99970000000000003</v>
      </c>
      <c r="BF646" s="30">
        <f>VLOOKUP(Inventory[[#This Row],[Qlty]],Lookups!$M$8:$P$22,4,FALSE)</f>
        <v>1.0019</v>
      </c>
      <c r="BG646" s="30">
        <f>VLOOKUP(Inventory[[#This Row],[Cnd]],Lookups!$R$8:$U$17,4,FALSE)</f>
        <v>1.0007999999999999</v>
      </c>
      <c r="BH646" s="30">
        <f>VLOOKUP(Inventory[[#This Row],[LivArea Range]],Lookups!$R$25:$U$43,4,FALSE)</f>
        <v>1.0008999999999999</v>
      </c>
      <c r="BI646" s="30">
        <f>VLOOKUP(Inventory[[#This Row],[Decade]],Lookups!$M$24:$P$40,4,FALSE)</f>
        <v>1.0024</v>
      </c>
      <c r="BJ646" s="30">
        <f>Inventory[[#This Row],[Nbhd Adj]]*0.95</f>
        <v>0.94971499999999998</v>
      </c>
      <c r="BK646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646" s="30">
        <f>ROUND((SUM(Inventory[[#This Row],[Mdl Qlty]:[Mdl Garage Area]])+Inventory[[#This Row],[Mdl Res Intercept]])*Inventory[[#This Row],[Res Adj ]],-2)</f>
        <v>357800</v>
      </c>
      <c r="BM646" s="30">
        <f>ROUND(Inventory[[#This Row],[25Det]]*Inventory[[#This Row],[Det/Nbhd Adj]],-2)</f>
        <v>0</v>
      </c>
      <c r="BN646" s="30">
        <f>Inventory[[#This Row],[Adjusted Res]]+Inventory[[#This Row],[Adj Det ]]</f>
        <v>357800</v>
      </c>
      <c r="BO646" s="30">
        <f>ROUND((Inventory[[#This Row],[Mdl Land Intercept]]+Inventory[[#This Row],[Mdl LnAcres]])*Inventory[[#This Row],[Det/Nbhd Adj]],-2)</f>
        <v>61100</v>
      </c>
      <c r="BP646" s="30">
        <f>Inventory[[#This Row],[Adjusted Impr Total]]+Inventory[[#This Row],[Adjusted Land Total]]</f>
        <v>418900</v>
      </c>
      <c r="BQ646" s="30">
        <f>IFERROR((Inventory[[#This Row],[Adjusted Impr Total]]-Inventory[[#This Row],[24Bldg]])/Inventory[[#This Row],[24Bldg]],0)</f>
        <v>-0.11697926949654491</v>
      </c>
      <c r="BR646" s="43">
        <f>(Inventory[[#This Row],[Adjusted Land Total]]-Inventory[[#This Row],[24Lnd]])/Inventory[[#This Row],[24Lnd]]</f>
        <v>4.9342105263157892E-3</v>
      </c>
      <c r="BS646" s="43">
        <f>(Inventory[[#This Row],[Adjusted Total]]-Inventory[[#This Row],[24Final]])/Inventory[[#This Row],[24Final]]</f>
        <v>-0.10107296137339056</v>
      </c>
    </row>
    <row r="647" spans="1:71">
      <c r="A647" s="30">
        <v>2025</v>
      </c>
      <c r="B647" s="31" t="s">
        <v>1162</v>
      </c>
      <c r="C647" s="31">
        <f>LN(Inventory[[#This Row],[Acres]])</f>
        <v>-1.8325814637483102</v>
      </c>
      <c r="D647" s="30">
        <v>0.16</v>
      </c>
      <c r="E647" s="30">
        <v>6805</v>
      </c>
      <c r="F647" s="31" t="s">
        <v>505</v>
      </c>
      <c r="G647" s="31" t="s">
        <v>155</v>
      </c>
      <c r="H647" s="31" t="s">
        <v>5</v>
      </c>
      <c r="I647" s="31" t="s">
        <v>506</v>
      </c>
      <c r="J647" s="31" t="s">
        <v>507</v>
      </c>
      <c r="K647" s="31" t="s">
        <v>193</v>
      </c>
      <c r="L647" s="31" t="s">
        <v>21</v>
      </c>
      <c r="M647" s="31" t="s">
        <v>18</v>
      </c>
      <c r="N647" s="31">
        <v>10</v>
      </c>
      <c r="O647" s="31">
        <f>2024-Inventory[[#This Row],[YrBlt]]</f>
        <v>18</v>
      </c>
      <c r="P647" s="31">
        <f>2024-Inventory[[#This Row],[EffYr]]</f>
        <v>18</v>
      </c>
      <c r="Q647" s="30">
        <v>2006</v>
      </c>
      <c r="R647" s="30">
        <v>2006</v>
      </c>
      <c r="S647" s="30">
        <v>1092</v>
      </c>
      <c r="T647" s="37"/>
      <c r="U647" s="32"/>
      <c r="V647" s="32"/>
      <c r="W647" s="32"/>
      <c r="X647" s="32">
        <f>Inventory[[#This Row],[Bsmt Area]]-Inventory[[#This Row],[FnBsmt]]</f>
        <v>0</v>
      </c>
      <c r="Y647" s="32">
        <f>Inventory[[#This Row],[MainFn]]+Inventory[[#This Row],[UpprFn]]+Inventory[[#This Row],[AddFn]]+Inventory[[#This Row],[FnBsmt]]</f>
        <v>1092</v>
      </c>
      <c r="Z647" s="32">
        <v>1500</v>
      </c>
      <c r="AA647" s="31" t="s">
        <v>56</v>
      </c>
      <c r="AB647" s="32"/>
      <c r="AC647" s="30">
        <v>680</v>
      </c>
      <c r="AD647" s="32"/>
      <c r="AE647" s="32"/>
      <c r="AF647" s="32"/>
      <c r="AG647" s="32"/>
      <c r="AH647" s="32"/>
      <c r="AI647" s="30">
        <v>285594</v>
      </c>
      <c r="AJ647" s="30">
        <v>259891</v>
      </c>
      <c r="AK647" s="30">
        <v>0</v>
      </c>
      <c r="AL647" s="30">
        <v>0</v>
      </c>
      <c r="AM647" s="30">
        <v>60800</v>
      </c>
      <c r="AN647" s="30">
        <v>285000</v>
      </c>
      <c r="AO647" s="30">
        <v>345800</v>
      </c>
      <c r="AP647" s="30">
        <f>Lookups!$B$58*0.6</f>
        <v>132535.48800000001</v>
      </c>
      <c r="AQ647" s="30">
        <f>Lookups!$B$58*0.4</f>
        <v>88356.992000000013</v>
      </c>
      <c r="AR647" s="30">
        <f>Lookups!$B$59*Inventory[[#This Row],[LnAcres]]</f>
        <v>-24051.387388882686</v>
      </c>
      <c r="AS647" s="30">
        <f>VLOOKUP(Inventory[[#This Row],[Qlty]],Lookups!$A$66:$E$79,2,FALSE)</f>
        <v>32917.849192000001</v>
      </c>
      <c r="AT647" s="30">
        <f>VLOOKUP(Inventory[[#This Row],[Cnd]],Lookups!$A$80:$E$88,2,FALSE)</f>
        <v>17761.121909000001</v>
      </c>
      <c r="AU647" s="30">
        <f>Inventory[[#This Row],[EffAge]]*Lookups!$B$65</f>
        <v>-1957.3398</v>
      </c>
      <c r="AV647" s="30">
        <f>Inventory[[#This Row],[MainFn]]*Lookups!$B$90</f>
        <v>68152.13496000001</v>
      </c>
      <c r="AW647" s="30">
        <f>Inventory[[#This Row],[UpprFn]]*Lookups!$B$91</f>
        <v>0</v>
      </c>
      <c r="AX647" s="30">
        <f>Inventory[[#This Row],[Bsmt Area]]*Lookups!$B$95</f>
        <v>0</v>
      </c>
      <c r="AY647" s="30">
        <f>Inventory[[#This Row],[AttGar]]*Lookups!$B$93</f>
        <v>24004.701080000003</v>
      </c>
      <c r="AZ647" s="30">
        <f>ROUND(Inventory[[#This Row],[25Det]],-2)</f>
        <v>0</v>
      </c>
      <c r="BA647" s="30">
        <f>ROUND(SUM(Inventory[[#This Row],[Mdl Qlty]:[Mdl Garage Area]])+Inventory[[#This Row],[Mdl Res Intercept]],-2)</f>
        <v>273400</v>
      </c>
      <c r="BB647" s="30">
        <f>ROUND(Inventory[[#This Row],[Mdl Land Intercept]]+Inventory[[#This Row],[Mdl LnAcres]],-2)</f>
        <v>64300</v>
      </c>
      <c r="BC647" s="30">
        <f>Inventory[[#This Row],[Unadj Res Value]]+Inventory[[#This Row],[Unadj Det Value]]+Inventory[[#This Row],[Unadj Land Value]]</f>
        <v>337700</v>
      </c>
      <c r="BD647" s="30">
        <f>(Inventory[[#This Row],[Unadj Total Value]]-Inventory[[#This Row],[24Final]])/Inventory[[#This Row],[24Final]]</f>
        <v>-2.3423944476576055E-2</v>
      </c>
      <c r="BE647" s="30">
        <f>VLOOKUP(Inventory[[#This Row],[Nbhd]],Lookups!$M$3:$P$5,4,FALSE)</f>
        <v>0.99970000000000003</v>
      </c>
      <c r="BF647" s="30">
        <f>VLOOKUP(Inventory[[#This Row],[Qlty]],Lookups!$M$8:$P$22,4,FALSE)</f>
        <v>1.0019</v>
      </c>
      <c r="BG647" s="30">
        <f>VLOOKUP(Inventory[[#This Row],[Cnd]],Lookups!$R$8:$U$17,4,FALSE)</f>
        <v>0.99680000000000002</v>
      </c>
      <c r="BH647" s="30">
        <f>VLOOKUP(Inventory[[#This Row],[LivArea Range]],Lookups!$R$25:$U$43,4,FALSE)</f>
        <v>0.99519999999999997</v>
      </c>
      <c r="BI647" s="30">
        <f>VLOOKUP(Inventory[[#This Row],[Decade]],Lookups!$M$24:$P$40,4,FALSE)</f>
        <v>1.0024</v>
      </c>
      <c r="BJ647" s="30">
        <f>Inventory[[#This Row],[Nbhd Adj]]*0.95</f>
        <v>0.94971499999999998</v>
      </c>
      <c r="BK647" s="30">
        <f>AVERAGE(Inventory[[#This Row],[Nbhd Adj]],Inventory[[#This Row],[Quality Adj]],Inventory[[#This Row],[Condition Adj]],Inventory[[#This Row],[Living Area Adj]],Inventory[[#This Row],[Decade Adj]])*0.95</f>
        <v>0.94923999999999986</v>
      </c>
      <c r="BL647" s="30">
        <f>ROUND((SUM(Inventory[[#This Row],[Mdl Qlty]:[Mdl Garage Area]])+Inventory[[#This Row],[Mdl Res Intercept]])*Inventory[[#This Row],[Res Adj ]],-2)</f>
        <v>259500</v>
      </c>
      <c r="BM647" s="30">
        <f>ROUND(Inventory[[#This Row],[25Det]]*Inventory[[#This Row],[Det/Nbhd Adj]],-2)</f>
        <v>0</v>
      </c>
      <c r="BN647" s="30">
        <f>Inventory[[#This Row],[Adjusted Res]]+Inventory[[#This Row],[Adj Det ]]</f>
        <v>259500</v>
      </c>
      <c r="BO647" s="30">
        <f>ROUND((Inventory[[#This Row],[Mdl Land Intercept]]+Inventory[[#This Row],[Mdl LnAcres]])*Inventory[[#This Row],[Det/Nbhd Adj]],-2)</f>
        <v>61100</v>
      </c>
      <c r="BP647" s="30">
        <f>Inventory[[#This Row],[Adjusted Impr Total]]+Inventory[[#This Row],[Adjusted Land Total]]</f>
        <v>320600</v>
      </c>
      <c r="BQ647" s="30">
        <f>IFERROR((Inventory[[#This Row],[Adjusted Impr Total]]-Inventory[[#This Row],[24Bldg]])/Inventory[[#This Row],[24Bldg]],0)</f>
        <v>-8.9473684210526316E-2</v>
      </c>
      <c r="BR647" s="43">
        <f>(Inventory[[#This Row],[Adjusted Land Total]]-Inventory[[#This Row],[24Lnd]])/Inventory[[#This Row],[24Lnd]]</f>
        <v>4.9342105263157892E-3</v>
      </c>
      <c r="BS647" s="43">
        <f>(Inventory[[#This Row],[Adjusted Total]]-Inventory[[#This Row],[24Final]])/Inventory[[#This Row],[24Final]]</f>
        <v>-7.28744939271255E-2</v>
      </c>
    </row>
    <row r="648" spans="1:71">
      <c r="A648" s="30">
        <v>2025</v>
      </c>
      <c r="B648" s="31" t="s">
        <v>1163</v>
      </c>
      <c r="C648" s="31">
        <f>LN(Inventory[[#This Row],[Acres]])</f>
        <v>-1.8325814637483102</v>
      </c>
      <c r="D648" s="30">
        <v>0.16</v>
      </c>
      <c r="E648" s="30">
        <v>7082</v>
      </c>
      <c r="F648" s="31" t="s">
        <v>505</v>
      </c>
      <c r="G648" s="31" t="s">
        <v>155</v>
      </c>
      <c r="H648" s="31" t="s">
        <v>5</v>
      </c>
      <c r="I648" s="31" t="s">
        <v>506</v>
      </c>
      <c r="J648" s="31" t="s">
        <v>507</v>
      </c>
      <c r="K648" s="31" t="s">
        <v>193</v>
      </c>
      <c r="L648" s="31" t="s">
        <v>19</v>
      </c>
      <c r="M648" s="31" t="s">
        <v>22</v>
      </c>
      <c r="N648" s="31">
        <v>10</v>
      </c>
      <c r="O648" s="31">
        <f>2024-Inventory[[#This Row],[YrBlt]]</f>
        <v>18</v>
      </c>
      <c r="P648" s="31">
        <f>2024-Inventory[[#This Row],[EffYr]]</f>
        <v>18</v>
      </c>
      <c r="Q648" s="30">
        <v>2006</v>
      </c>
      <c r="R648" s="30">
        <v>2006</v>
      </c>
      <c r="S648" s="30">
        <v>1076</v>
      </c>
      <c r="T648" s="32"/>
      <c r="U648" s="32"/>
      <c r="V648" s="32"/>
      <c r="W648" s="32"/>
      <c r="X648" s="32">
        <f>Inventory[[#This Row],[Bsmt Area]]-Inventory[[#This Row],[FnBsmt]]</f>
        <v>0</v>
      </c>
      <c r="Y648" s="32">
        <f>Inventory[[#This Row],[MainFn]]+Inventory[[#This Row],[UpprFn]]+Inventory[[#This Row],[AddFn]]+Inventory[[#This Row],[FnBsmt]]</f>
        <v>1076</v>
      </c>
      <c r="Z648" s="32">
        <v>1500</v>
      </c>
      <c r="AA648" s="31" t="s">
        <v>56</v>
      </c>
      <c r="AB648" s="32"/>
      <c r="AC648" s="30">
        <v>440</v>
      </c>
      <c r="AD648" s="32"/>
      <c r="AE648" s="32"/>
      <c r="AF648" s="32"/>
      <c r="AG648" s="32"/>
      <c r="AH648" s="32"/>
      <c r="AI648" s="30">
        <v>240092</v>
      </c>
      <c r="AJ648" s="30">
        <v>220885</v>
      </c>
      <c r="AK648" s="30">
        <v>0</v>
      </c>
      <c r="AL648" s="30">
        <v>0</v>
      </c>
      <c r="AM648" s="30">
        <v>60800</v>
      </c>
      <c r="AN648" s="30">
        <v>311500</v>
      </c>
      <c r="AO648" s="30">
        <v>372300</v>
      </c>
      <c r="AP648" s="30">
        <f>Lookups!$B$58*0.6</f>
        <v>132535.48800000001</v>
      </c>
      <c r="AQ648" s="30">
        <f>Lookups!$B$58*0.4</f>
        <v>88356.992000000013</v>
      </c>
      <c r="AR648" s="30">
        <f>Lookups!$B$59*Inventory[[#This Row],[LnAcres]]</f>
        <v>-24051.387388882686</v>
      </c>
      <c r="AS648" s="30">
        <f>VLOOKUP(Inventory[[#This Row],[Qlty]],Lookups!$A$66:$E$79,2,FALSE)</f>
        <v>37154.252388000001</v>
      </c>
      <c r="AT648" s="30">
        <f>VLOOKUP(Inventory[[#This Row],[Cnd]],Lookups!$A$80:$E$88,2,FALSE)</f>
        <v>50438.379078999998</v>
      </c>
      <c r="AU648" s="30">
        <f>Inventory[[#This Row],[EffAge]]*Lookups!$B$65</f>
        <v>-1957.3398</v>
      </c>
      <c r="AV648" s="30">
        <f>Inventory[[#This Row],[MainFn]]*Lookups!$B$90</f>
        <v>67153.568880000006</v>
      </c>
      <c r="AW648" s="30">
        <f>Inventory[[#This Row],[UpprFn]]*Lookups!$B$91</f>
        <v>0</v>
      </c>
      <c r="AX648" s="30">
        <f>Inventory[[#This Row],[Bsmt Area]]*Lookups!$B$95</f>
        <v>0</v>
      </c>
      <c r="AY648" s="30">
        <f>Inventory[[#This Row],[AttGar]]*Lookups!$B$93</f>
        <v>15532.453640000002</v>
      </c>
      <c r="AZ648" s="30">
        <f>ROUND(Inventory[[#This Row],[25Det]],-2)</f>
        <v>0</v>
      </c>
      <c r="BA648" s="30">
        <f>ROUND(SUM(Inventory[[#This Row],[Mdl Qlty]:[Mdl Garage Area]])+Inventory[[#This Row],[Mdl Res Intercept]],-2)</f>
        <v>300900</v>
      </c>
      <c r="BB648" s="30">
        <f>ROUND(Inventory[[#This Row],[Mdl Land Intercept]]+Inventory[[#This Row],[Mdl LnAcres]],-2)</f>
        <v>64300</v>
      </c>
      <c r="BC648" s="30">
        <f>Inventory[[#This Row],[Unadj Res Value]]+Inventory[[#This Row],[Unadj Det Value]]+Inventory[[#This Row],[Unadj Land Value]]</f>
        <v>365200</v>
      </c>
      <c r="BD648" s="30">
        <f>(Inventory[[#This Row],[Unadj Total Value]]-Inventory[[#This Row],[24Final]])/Inventory[[#This Row],[24Final]]</f>
        <v>-1.9070641955412301E-2</v>
      </c>
      <c r="BE648" s="30">
        <f>VLOOKUP(Inventory[[#This Row],[Nbhd]],Lookups!$M$3:$P$5,4,FALSE)</f>
        <v>0.99970000000000003</v>
      </c>
      <c r="BF648" s="30">
        <f>VLOOKUP(Inventory[[#This Row],[Qlty]],Lookups!$M$8:$P$22,4,FALSE)</f>
        <v>0.99819999999999998</v>
      </c>
      <c r="BG648" s="30">
        <f>VLOOKUP(Inventory[[#This Row],[Cnd]],Lookups!$R$8:$U$17,4,FALSE)</f>
        <v>1.0007999999999999</v>
      </c>
      <c r="BH648" s="30">
        <f>VLOOKUP(Inventory[[#This Row],[LivArea Range]],Lookups!$R$25:$U$43,4,FALSE)</f>
        <v>0.99519999999999997</v>
      </c>
      <c r="BI648" s="30">
        <f>VLOOKUP(Inventory[[#This Row],[Decade]],Lookups!$M$24:$P$40,4,FALSE)</f>
        <v>1.0024</v>
      </c>
      <c r="BJ648" s="30">
        <f>Inventory[[#This Row],[Nbhd Adj]]*0.95</f>
        <v>0.94971499999999998</v>
      </c>
      <c r="BK648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648" s="30">
        <f>ROUND((SUM(Inventory[[#This Row],[Mdl Qlty]:[Mdl Garage Area]])+Inventory[[#This Row],[Mdl Res Intercept]])*Inventory[[#This Row],[Res Adj ]],-2)</f>
        <v>285600</v>
      </c>
      <c r="BM648" s="30">
        <f>ROUND(Inventory[[#This Row],[25Det]]*Inventory[[#This Row],[Det/Nbhd Adj]],-2)</f>
        <v>0</v>
      </c>
      <c r="BN648" s="30">
        <f>Inventory[[#This Row],[Adjusted Res]]+Inventory[[#This Row],[Adj Det ]]</f>
        <v>285600</v>
      </c>
      <c r="BO648" s="30">
        <f>ROUND((Inventory[[#This Row],[Mdl Land Intercept]]+Inventory[[#This Row],[Mdl LnAcres]])*Inventory[[#This Row],[Det/Nbhd Adj]],-2)</f>
        <v>61100</v>
      </c>
      <c r="BP648" s="30">
        <f>Inventory[[#This Row],[Adjusted Impr Total]]+Inventory[[#This Row],[Adjusted Land Total]]</f>
        <v>346700</v>
      </c>
      <c r="BQ648" s="30">
        <f>IFERROR((Inventory[[#This Row],[Adjusted Impr Total]]-Inventory[[#This Row],[24Bldg]])/Inventory[[#This Row],[24Bldg]],0)</f>
        <v>-8.3146067415730343E-2</v>
      </c>
      <c r="BR648" s="43">
        <f>(Inventory[[#This Row],[Adjusted Land Total]]-Inventory[[#This Row],[24Lnd]])/Inventory[[#This Row],[24Lnd]]</f>
        <v>4.9342105263157892E-3</v>
      </c>
      <c r="BS648" s="43">
        <f>(Inventory[[#This Row],[Adjusted Total]]-Inventory[[#This Row],[24Final]])/Inventory[[#This Row],[24Final]]</f>
        <v>-6.8761751275852809E-2</v>
      </c>
    </row>
    <row r="649" spans="1:71">
      <c r="A649" s="30">
        <v>2025</v>
      </c>
      <c r="B649" s="31" t="s">
        <v>1164</v>
      </c>
      <c r="C649" s="31">
        <f>LN(Inventory[[#This Row],[Acres]])</f>
        <v>-1.8325814637483102</v>
      </c>
      <c r="D649" s="30">
        <v>0.16</v>
      </c>
      <c r="E649" s="30">
        <v>7000</v>
      </c>
      <c r="F649" s="31" t="s">
        <v>505</v>
      </c>
      <c r="G649" s="31" t="s">
        <v>155</v>
      </c>
      <c r="H649" s="31" t="s">
        <v>5</v>
      </c>
      <c r="I649" s="31" t="s">
        <v>506</v>
      </c>
      <c r="J649" s="31" t="s">
        <v>507</v>
      </c>
      <c r="K649" s="31" t="s">
        <v>157</v>
      </c>
      <c r="L649" s="31" t="s">
        <v>21</v>
      </c>
      <c r="M649" s="31" t="s">
        <v>22</v>
      </c>
      <c r="N649" s="31">
        <v>10</v>
      </c>
      <c r="O649" s="31">
        <f>2024-Inventory[[#This Row],[YrBlt]]</f>
        <v>18</v>
      </c>
      <c r="P649" s="31">
        <f>2024-Inventory[[#This Row],[EffYr]]</f>
        <v>18</v>
      </c>
      <c r="Q649" s="30">
        <v>2006</v>
      </c>
      <c r="R649" s="30">
        <v>2006</v>
      </c>
      <c r="S649" s="30">
        <v>1158</v>
      </c>
      <c r="T649" s="38">
        <v>1332</v>
      </c>
      <c r="U649" s="32"/>
      <c r="V649" s="32"/>
      <c r="W649" s="32"/>
      <c r="X649" s="32">
        <f>Inventory[[#This Row],[Bsmt Area]]-Inventory[[#This Row],[FnBsmt]]</f>
        <v>0</v>
      </c>
      <c r="Y649" s="32">
        <f>Inventory[[#This Row],[MainFn]]+Inventory[[#This Row],[UpprFn]]+Inventory[[#This Row],[AddFn]]+Inventory[[#This Row],[FnBsmt]]</f>
        <v>2490</v>
      </c>
      <c r="Z649" s="32">
        <v>2500</v>
      </c>
      <c r="AA649" s="31" t="s">
        <v>56</v>
      </c>
      <c r="AB649" s="38">
        <v>1</v>
      </c>
      <c r="AC649" s="37"/>
      <c r="AD649" s="38">
        <v>802</v>
      </c>
      <c r="AE649" s="32"/>
      <c r="AF649" s="32"/>
      <c r="AG649" s="32"/>
      <c r="AH649" s="32"/>
      <c r="AI649" s="30">
        <v>515498</v>
      </c>
      <c r="AJ649" s="30">
        <v>474258</v>
      </c>
      <c r="AK649" s="30">
        <v>0</v>
      </c>
      <c r="AL649" s="30">
        <v>0</v>
      </c>
      <c r="AM649" s="30">
        <v>60800</v>
      </c>
      <c r="AN649" s="30">
        <v>379900</v>
      </c>
      <c r="AO649" s="30">
        <v>440700</v>
      </c>
      <c r="AP649" s="30">
        <f>Lookups!$B$58*0.6</f>
        <v>132535.48800000001</v>
      </c>
      <c r="AQ649" s="30">
        <f>Lookups!$B$58*0.4</f>
        <v>88356.992000000013</v>
      </c>
      <c r="AR649" s="30">
        <f>Lookups!$B$59*Inventory[[#This Row],[LnAcres]]</f>
        <v>-24051.387388882686</v>
      </c>
      <c r="AS649" s="30">
        <f>VLOOKUP(Inventory[[#This Row],[Qlty]],Lookups!$A$66:$E$79,2,FALSE)</f>
        <v>32917.849192000001</v>
      </c>
      <c r="AT649" s="30">
        <f>VLOOKUP(Inventory[[#This Row],[Cnd]],Lookups!$A$80:$E$88,2,FALSE)</f>
        <v>50438.379078999998</v>
      </c>
      <c r="AU649" s="30">
        <f>Inventory[[#This Row],[EffAge]]*Lookups!$B$65</f>
        <v>-1957.3398</v>
      </c>
      <c r="AV649" s="30">
        <f>Inventory[[#This Row],[MainFn]]*Lookups!$B$90</f>
        <v>72271.22004</v>
      </c>
      <c r="AW649" s="30">
        <f>Inventory[[#This Row],[UpprFn]]*Lookups!$B$91</f>
        <v>79361.070156000002</v>
      </c>
      <c r="AX649" s="30">
        <f>Inventory[[#This Row],[Bsmt Area]]*Lookups!$B$95</f>
        <v>0</v>
      </c>
      <c r="AY649" s="30">
        <f>Inventory[[#This Row],[AttGar]]*Lookups!$B$93</f>
        <v>0</v>
      </c>
      <c r="AZ649" s="30">
        <f>ROUND(Inventory[[#This Row],[25Det]],-2)</f>
        <v>0</v>
      </c>
      <c r="BA649" s="30">
        <f>ROUND(SUM(Inventory[[#This Row],[Mdl Qlty]:[Mdl Garage Area]])+Inventory[[#This Row],[Mdl Res Intercept]],-2)</f>
        <v>365600</v>
      </c>
      <c r="BB649" s="30">
        <f>ROUND(Inventory[[#This Row],[Mdl Land Intercept]]+Inventory[[#This Row],[Mdl LnAcres]],-2)</f>
        <v>64300</v>
      </c>
      <c r="BC649" s="30">
        <f>Inventory[[#This Row],[Unadj Res Value]]+Inventory[[#This Row],[Unadj Det Value]]+Inventory[[#This Row],[Unadj Land Value]]</f>
        <v>429900</v>
      </c>
      <c r="BD649" s="30">
        <f>(Inventory[[#This Row],[Unadj Total Value]]-Inventory[[#This Row],[24Final]])/Inventory[[#This Row],[24Final]]</f>
        <v>-2.4506466984343091E-2</v>
      </c>
      <c r="BE649" s="30">
        <f>VLOOKUP(Inventory[[#This Row],[Nbhd]],Lookups!$M$3:$P$5,4,FALSE)</f>
        <v>0.99970000000000003</v>
      </c>
      <c r="BF649" s="30">
        <f>VLOOKUP(Inventory[[#This Row],[Qlty]],Lookups!$M$8:$P$22,4,FALSE)</f>
        <v>1.0019</v>
      </c>
      <c r="BG649" s="30">
        <f>VLOOKUP(Inventory[[#This Row],[Cnd]],Lookups!$R$8:$U$17,4,FALSE)</f>
        <v>1.0007999999999999</v>
      </c>
      <c r="BH649" s="30">
        <f>VLOOKUP(Inventory[[#This Row],[LivArea Range]],Lookups!$R$25:$U$43,4,FALSE)</f>
        <v>1.0008999999999999</v>
      </c>
      <c r="BI649" s="30">
        <f>VLOOKUP(Inventory[[#This Row],[Decade]],Lookups!$M$24:$P$40,4,FALSE)</f>
        <v>1.0024</v>
      </c>
      <c r="BJ649" s="30">
        <f>Inventory[[#This Row],[Nbhd Adj]]*0.95</f>
        <v>0.94971499999999998</v>
      </c>
      <c r="BK649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649" s="30">
        <f>ROUND((SUM(Inventory[[#This Row],[Mdl Qlty]:[Mdl Garage Area]])+Inventory[[#This Row],[Mdl Res Intercept]])*Inventory[[#This Row],[Res Adj ]],-2)</f>
        <v>347700</v>
      </c>
      <c r="BM649" s="30">
        <f>ROUND(Inventory[[#This Row],[25Det]]*Inventory[[#This Row],[Det/Nbhd Adj]],-2)</f>
        <v>0</v>
      </c>
      <c r="BN649" s="30">
        <f>Inventory[[#This Row],[Adjusted Res]]+Inventory[[#This Row],[Adj Det ]]</f>
        <v>347700</v>
      </c>
      <c r="BO649" s="30">
        <f>ROUND((Inventory[[#This Row],[Mdl Land Intercept]]+Inventory[[#This Row],[Mdl LnAcres]])*Inventory[[#This Row],[Det/Nbhd Adj]],-2)</f>
        <v>61100</v>
      </c>
      <c r="BP649" s="30">
        <f>Inventory[[#This Row],[Adjusted Impr Total]]+Inventory[[#This Row],[Adjusted Land Total]]</f>
        <v>408800</v>
      </c>
      <c r="BQ649" s="30">
        <f>IFERROR((Inventory[[#This Row],[Adjusted Impr Total]]-Inventory[[#This Row],[24Bldg]])/Inventory[[#This Row],[24Bldg]],0)</f>
        <v>-8.4759147143985261E-2</v>
      </c>
      <c r="BR649" s="43">
        <f>(Inventory[[#This Row],[Adjusted Land Total]]-Inventory[[#This Row],[24Lnd]])/Inventory[[#This Row],[24Lnd]]</f>
        <v>4.9342105263157892E-3</v>
      </c>
      <c r="BS649" s="43">
        <f>(Inventory[[#This Row],[Adjusted Total]]-Inventory[[#This Row],[24Final]])/Inventory[[#This Row],[24Final]]</f>
        <v>-7.2384842296346716E-2</v>
      </c>
    </row>
    <row r="650" spans="1:71">
      <c r="A650" s="30">
        <v>2025</v>
      </c>
      <c r="B650" s="31" t="s">
        <v>1165</v>
      </c>
      <c r="C650" s="31">
        <f>LN(Inventory[[#This Row],[Acres]])</f>
        <v>-1.8325814637483102</v>
      </c>
      <c r="D650" s="30">
        <v>0.16</v>
      </c>
      <c r="E650" s="30">
        <v>7002</v>
      </c>
      <c r="F650" s="31" t="s">
        <v>505</v>
      </c>
      <c r="G650" s="31" t="s">
        <v>155</v>
      </c>
      <c r="H650" s="31" t="s">
        <v>5</v>
      </c>
      <c r="I650" s="31" t="s">
        <v>506</v>
      </c>
      <c r="J650" s="31" t="s">
        <v>507</v>
      </c>
      <c r="K650" s="31" t="s">
        <v>157</v>
      </c>
      <c r="L650" s="31" t="s">
        <v>21</v>
      </c>
      <c r="M650" s="31" t="s">
        <v>20</v>
      </c>
      <c r="N650" s="31">
        <v>10</v>
      </c>
      <c r="O650" s="31">
        <f>2024-Inventory[[#This Row],[YrBlt]]</f>
        <v>18</v>
      </c>
      <c r="P650" s="31">
        <f>2024-Inventory[[#This Row],[EffYr]]</f>
        <v>18</v>
      </c>
      <c r="Q650" s="30">
        <v>2006</v>
      </c>
      <c r="R650" s="30">
        <v>2006</v>
      </c>
      <c r="S650" s="30">
        <v>1158</v>
      </c>
      <c r="T650" s="38">
        <v>1332</v>
      </c>
      <c r="U650" s="32"/>
      <c r="V650" s="32"/>
      <c r="W650" s="32"/>
      <c r="X650" s="32">
        <f>Inventory[[#This Row],[Bsmt Area]]-Inventory[[#This Row],[FnBsmt]]</f>
        <v>0</v>
      </c>
      <c r="Y650" s="32">
        <f>Inventory[[#This Row],[MainFn]]+Inventory[[#This Row],[UpprFn]]+Inventory[[#This Row],[AddFn]]+Inventory[[#This Row],[FnBsmt]]</f>
        <v>2490</v>
      </c>
      <c r="Z650" s="32">
        <v>2500</v>
      </c>
      <c r="AA650" s="31" t="s">
        <v>56</v>
      </c>
      <c r="AB650" s="38">
        <v>1</v>
      </c>
      <c r="AC650" s="37"/>
      <c r="AD650" s="38">
        <v>502</v>
      </c>
      <c r="AE650" s="32"/>
      <c r="AF650" s="32"/>
      <c r="AG650" s="32"/>
      <c r="AH650" s="32"/>
      <c r="AI650" s="30">
        <v>485288</v>
      </c>
      <c r="AJ650" s="30">
        <v>441612</v>
      </c>
      <c r="AK650" s="30">
        <v>0</v>
      </c>
      <c r="AL650" s="30">
        <v>0</v>
      </c>
      <c r="AM650" s="30">
        <v>60800</v>
      </c>
      <c r="AN650" s="30">
        <v>352700</v>
      </c>
      <c r="AO650" s="30">
        <v>413500</v>
      </c>
      <c r="AP650" s="30">
        <f>Lookups!$B$58*0.6</f>
        <v>132535.48800000001</v>
      </c>
      <c r="AQ650" s="30">
        <f>Lookups!$B$58*0.4</f>
        <v>88356.992000000013</v>
      </c>
      <c r="AR650" s="30">
        <f>Lookups!$B$59*Inventory[[#This Row],[LnAcres]]</f>
        <v>-24051.387388882686</v>
      </c>
      <c r="AS650" s="30">
        <f>VLOOKUP(Inventory[[#This Row],[Qlty]],Lookups!$A$66:$E$79,2,FALSE)</f>
        <v>32917.849192000001</v>
      </c>
      <c r="AT650" s="30">
        <f>VLOOKUP(Inventory[[#This Row],[Cnd]],Lookups!$A$80:$E$88,2,FALSE)</f>
        <v>30300.329274</v>
      </c>
      <c r="AU650" s="30">
        <f>Inventory[[#This Row],[EffAge]]*Lookups!$B$65</f>
        <v>-1957.3398</v>
      </c>
      <c r="AV650" s="30">
        <f>Inventory[[#This Row],[MainFn]]*Lookups!$B$90</f>
        <v>72271.22004</v>
      </c>
      <c r="AW650" s="30">
        <f>Inventory[[#This Row],[UpprFn]]*Lookups!$B$91</f>
        <v>79361.070156000002</v>
      </c>
      <c r="AX650" s="30">
        <f>Inventory[[#This Row],[Bsmt Area]]*Lookups!$B$95</f>
        <v>0</v>
      </c>
      <c r="AY650" s="30">
        <f>Inventory[[#This Row],[AttGar]]*Lookups!$B$93</f>
        <v>0</v>
      </c>
      <c r="AZ650" s="30">
        <f>ROUND(Inventory[[#This Row],[25Det]],-2)</f>
        <v>0</v>
      </c>
      <c r="BA650" s="30">
        <f>ROUND(SUM(Inventory[[#This Row],[Mdl Qlty]:[Mdl Garage Area]])+Inventory[[#This Row],[Mdl Res Intercept]],-2)</f>
        <v>345400</v>
      </c>
      <c r="BB650" s="30">
        <f>ROUND(Inventory[[#This Row],[Mdl Land Intercept]]+Inventory[[#This Row],[Mdl LnAcres]],-2)</f>
        <v>64300</v>
      </c>
      <c r="BC650" s="30">
        <f>Inventory[[#This Row],[Unadj Res Value]]+Inventory[[#This Row],[Unadj Det Value]]+Inventory[[#This Row],[Unadj Land Value]]</f>
        <v>409700</v>
      </c>
      <c r="BD650" s="30">
        <f>(Inventory[[#This Row],[Unadj Total Value]]-Inventory[[#This Row],[24Final]])/Inventory[[#This Row],[24Final]]</f>
        <v>-9.1898428053204355E-3</v>
      </c>
      <c r="BE650" s="30">
        <f>VLOOKUP(Inventory[[#This Row],[Nbhd]],Lookups!$M$3:$P$5,4,FALSE)</f>
        <v>0.99970000000000003</v>
      </c>
      <c r="BF650" s="30">
        <f>VLOOKUP(Inventory[[#This Row],[Qlty]],Lookups!$M$8:$P$22,4,FALSE)</f>
        <v>1.0019</v>
      </c>
      <c r="BG650" s="30">
        <f>VLOOKUP(Inventory[[#This Row],[Cnd]],Lookups!$R$8:$U$17,4,FALSE)</f>
        <v>0.997</v>
      </c>
      <c r="BH650" s="30">
        <f>VLOOKUP(Inventory[[#This Row],[LivArea Range]],Lookups!$R$25:$U$43,4,FALSE)</f>
        <v>1.0008999999999999</v>
      </c>
      <c r="BI650" s="30">
        <f>VLOOKUP(Inventory[[#This Row],[Decade]],Lookups!$M$24:$P$40,4,FALSE)</f>
        <v>1.0024</v>
      </c>
      <c r="BJ650" s="30">
        <f>Inventory[[#This Row],[Nbhd Adj]]*0.95</f>
        <v>0.94971499999999998</v>
      </c>
      <c r="BK650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650" s="30">
        <f>ROUND((SUM(Inventory[[#This Row],[Mdl Qlty]:[Mdl Garage Area]])+Inventory[[#This Row],[Mdl Res Intercept]])*Inventory[[#This Row],[Res Adj ]],-2)</f>
        <v>328300</v>
      </c>
      <c r="BM650" s="30">
        <f>ROUND(Inventory[[#This Row],[25Det]]*Inventory[[#This Row],[Det/Nbhd Adj]],-2)</f>
        <v>0</v>
      </c>
      <c r="BN650" s="30">
        <f>Inventory[[#This Row],[Adjusted Res]]+Inventory[[#This Row],[Adj Det ]]</f>
        <v>328300</v>
      </c>
      <c r="BO650" s="30">
        <f>ROUND((Inventory[[#This Row],[Mdl Land Intercept]]+Inventory[[#This Row],[Mdl LnAcres]])*Inventory[[#This Row],[Det/Nbhd Adj]],-2)</f>
        <v>61100</v>
      </c>
      <c r="BP650" s="30">
        <f>Inventory[[#This Row],[Adjusted Impr Total]]+Inventory[[#This Row],[Adjusted Land Total]]</f>
        <v>389400</v>
      </c>
      <c r="BQ650" s="30">
        <f>IFERROR((Inventory[[#This Row],[Adjusted Impr Total]]-Inventory[[#This Row],[24Bldg]])/Inventory[[#This Row],[24Bldg]],0)</f>
        <v>-6.9180606747944434E-2</v>
      </c>
      <c r="BR650" s="43">
        <f>(Inventory[[#This Row],[Adjusted Land Total]]-Inventory[[#This Row],[24Lnd]])/Inventory[[#This Row],[24Lnd]]</f>
        <v>4.9342105263157892E-3</v>
      </c>
      <c r="BS650" s="43">
        <f>(Inventory[[#This Row],[Adjusted Total]]-Inventory[[#This Row],[24Final]])/Inventory[[#This Row],[24Final]]</f>
        <v>-5.8282950423216448E-2</v>
      </c>
    </row>
    <row r="651" spans="1:71">
      <c r="A651" s="30">
        <v>2025</v>
      </c>
      <c r="B651" s="31" t="s">
        <v>1166</v>
      </c>
      <c r="C651" s="31">
        <f>LN(Inventory[[#This Row],[Acres]])</f>
        <v>-1.8325814637483102</v>
      </c>
      <c r="D651" s="30">
        <v>0.16</v>
      </c>
      <c r="E651" s="30">
        <v>7089</v>
      </c>
      <c r="F651" s="31" t="s">
        <v>505</v>
      </c>
      <c r="G651" s="31" t="s">
        <v>155</v>
      </c>
      <c r="H651" s="31" t="s">
        <v>5</v>
      </c>
      <c r="I651" s="31" t="s">
        <v>506</v>
      </c>
      <c r="J651" s="31" t="s">
        <v>507</v>
      </c>
      <c r="K651" s="31" t="s">
        <v>193</v>
      </c>
      <c r="L651" s="31" t="s">
        <v>21</v>
      </c>
      <c r="M651" s="31" t="s">
        <v>20</v>
      </c>
      <c r="N651" s="31">
        <v>10</v>
      </c>
      <c r="O651" s="31">
        <f>2024-Inventory[[#This Row],[YrBlt]]</f>
        <v>18</v>
      </c>
      <c r="P651" s="31">
        <f>2024-Inventory[[#This Row],[EffYr]]</f>
        <v>18</v>
      </c>
      <c r="Q651" s="30">
        <v>2006</v>
      </c>
      <c r="R651" s="30">
        <v>2006</v>
      </c>
      <c r="S651" s="30">
        <v>2154</v>
      </c>
      <c r="T651" s="37"/>
      <c r="U651" s="32"/>
      <c r="V651" s="32"/>
      <c r="W651" s="32"/>
      <c r="X651" s="32">
        <f>Inventory[[#This Row],[Bsmt Area]]-Inventory[[#This Row],[FnBsmt]]</f>
        <v>0</v>
      </c>
      <c r="Y651" s="32">
        <f>Inventory[[#This Row],[MainFn]]+Inventory[[#This Row],[UpprFn]]+Inventory[[#This Row],[AddFn]]+Inventory[[#This Row],[FnBsmt]]</f>
        <v>2154</v>
      </c>
      <c r="Z651" s="32">
        <v>2500</v>
      </c>
      <c r="AA651" s="31" t="s">
        <v>56</v>
      </c>
      <c r="AB651" s="37"/>
      <c r="AC651" s="30">
        <v>730</v>
      </c>
      <c r="AD651" s="32"/>
      <c r="AE651" s="32"/>
      <c r="AF651" s="32"/>
      <c r="AG651" s="32"/>
      <c r="AH651" s="32"/>
      <c r="AI651" s="30">
        <v>475212</v>
      </c>
      <c r="AJ651" s="30">
        <v>432443</v>
      </c>
      <c r="AK651" s="30">
        <v>0</v>
      </c>
      <c r="AL651" s="30">
        <v>0</v>
      </c>
      <c r="AM651" s="30">
        <v>60800</v>
      </c>
      <c r="AN651" s="30">
        <v>360700</v>
      </c>
      <c r="AO651" s="30">
        <v>421500</v>
      </c>
      <c r="AP651" s="30">
        <f>Lookups!$B$58*0.6</f>
        <v>132535.48800000001</v>
      </c>
      <c r="AQ651" s="30">
        <f>Lookups!$B$58*0.4</f>
        <v>88356.992000000013</v>
      </c>
      <c r="AR651" s="30">
        <f>Lookups!$B$59*Inventory[[#This Row],[LnAcres]]</f>
        <v>-24051.387388882686</v>
      </c>
      <c r="AS651" s="30">
        <f>VLOOKUP(Inventory[[#This Row],[Qlty]],Lookups!$A$66:$E$79,2,FALSE)</f>
        <v>32917.849192000001</v>
      </c>
      <c r="AT651" s="30">
        <f>VLOOKUP(Inventory[[#This Row],[Cnd]],Lookups!$A$80:$E$88,2,FALSE)</f>
        <v>30300.329274</v>
      </c>
      <c r="AU651" s="30">
        <f>Inventory[[#This Row],[EffAge]]*Lookups!$B$65</f>
        <v>-1957.3398</v>
      </c>
      <c r="AV651" s="30">
        <f>Inventory[[#This Row],[MainFn]]*Lookups!$B$90</f>
        <v>134431.95852000001</v>
      </c>
      <c r="AW651" s="30">
        <f>Inventory[[#This Row],[UpprFn]]*Lookups!$B$91</f>
        <v>0</v>
      </c>
      <c r="AX651" s="30">
        <f>Inventory[[#This Row],[Bsmt Area]]*Lookups!$B$95</f>
        <v>0</v>
      </c>
      <c r="AY651" s="30">
        <f>Inventory[[#This Row],[AttGar]]*Lookups!$B$93</f>
        <v>25769.752630000003</v>
      </c>
      <c r="AZ651" s="30">
        <f>ROUND(Inventory[[#This Row],[25Det]],-2)</f>
        <v>0</v>
      </c>
      <c r="BA651" s="30">
        <f>ROUND(SUM(Inventory[[#This Row],[Mdl Qlty]:[Mdl Garage Area]])+Inventory[[#This Row],[Mdl Res Intercept]],-2)</f>
        <v>354000</v>
      </c>
      <c r="BB651" s="30">
        <f>ROUND(Inventory[[#This Row],[Mdl Land Intercept]]+Inventory[[#This Row],[Mdl LnAcres]],-2)</f>
        <v>64300</v>
      </c>
      <c r="BC651" s="30">
        <f>Inventory[[#This Row],[Unadj Res Value]]+Inventory[[#This Row],[Unadj Det Value]]+Inventory[[#This Row],[Unadj Land Value]]</f>
        <v>418300</v>
      </c>
      <c r="BD651" s="30">
        <f>(Inventory[[#This Row],[Unadj Total Value]]-Inventory[[#This Row],[24Final]])/Inventory[[#This Row],[24Final]]</f>
        <v>-7.5919335705812571E-3</v>
      </c>
      <c r="BE651" s="30">
        <f>VLOOKUP(Inventory[[#This Row],[Nbhd]],Lookups!$M$3:$P$5,4,FALSE)</f>
        <v>0.99970000000000003</v>
      </c>
      <c r="BF651" s="30">
        <f>VLOOKUP(Inventory[[#This Row],[Qlty]],Lookups!$M$8:$P$22,4,FALSE)</f>
        <v>1.0019</v>
      </c>
      <c r="BG651" s="30">
        <f>VLOOKUP(Inventory[[#This Row],[Cnd]],Lookups!$R$8:$U$17,4,FALSE)</f>
        <v>0.997</v>
      </c>
      <c r="BH651" s="30">
        <f>VLOOKUP(Inventory[[#This Row],[LivArea Range]],Lookups!$R$25:$U$43,4,FALSE)</f>
        <v>1.0008999999999999</v>
      </c>
      <c r="BI651" s="30">
        <f>VLOOKUP(Inventory[[#This Row],[Decade]],Lookups!$M$24:$P$40,4,FALSE)</f>
        <v>1.0024</v>
      </c>
      <c r="BJ651" s="30">
        <f>Inventory[[#This Row],[Nbhd Adj]]*0.95</f>
        <v>0.94971499999999998</v>
      </c>
      <c r="BK651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651" s="30">
        <f>ROUND((SUM(Inventory[[#This Row],[Mdl Qlty]:[Mdl Garage Area]])+Inventory[[#This Row],[Mdl Res Intercept]])*Inventory[[#This Row],[Res Adj ]],-2)</f>
        <v>336400</v>
      </c>
      <c r="BM651" s="30">
        <f>ROUND(Inventory[[#This Row],[25Det]]*Inventory[[#This Row],[Det/Nbhd Adj]],-2)</f>
        <v>0</v>
      </c>
      <c r="BN651" s="30">
        <f>Inventory[[#This Row],[Adjusted Res]]+Inventory[[#This Row],[Adj Det ]]</f>
        <v>336400</v>
      </c>
      <c r="BO651" s="30">
        <f>ROUND((Inventory[[#This Row],[Mdl Land Intercept]]+Inventory[[#This Row],[Mdl LnAcres]])*Inventory[[#This Row],[Det/Nbhd Adj]],-2)</f>
        <v>61100</v>
      </c>
      <c r="BP651" s="30">
        <f>Inventory[[#This Row],[Adjusted Impr Total]]+Inventory[[#This Row],[Adjusted Land Total]]</f>
        <v>397500</v>
      </c>
      <c r="BQ651" s="30">
        <f>IFERROR((Inventory[[#This Row],[Adjusted Impr Total]]-Inventory[[#This Row],[24Bldg]])/Inventory[[#This Row],[24Bldg]],0)</f>
        <v>-6.7369004713057942E-2</v>
      </c>
      <c r="BR651" s="43">
        <f>(Inventory[[#This Row],[Adjusted Land Total]]-Inventory[[#This Row],[24Lnd]])/Inventory[[#This Row],[24Lnd]]</f>
        <v>4.9342105263157892E-3</v>
      </c>
      <c r="BS651" s="43">
        <f>(Inventory[[#This Row],[Adjusted Total]]-Inventory[[#This Row],[24Final]])/Inventory[[#This Row],[24Final]]</f>
        <v>-5.6939501779359428E-2</v>
      </c>
    </row>
    <row r="652" spans="1:71">
      <c r="A652" s="30">
        <v>2025</v>
      </c>
      <c r="B652" s="31" t="s">
        <v>1167</v>
      </c>
      <c r="C652" s="31">
        <f>LN(Inventory[[#This Row],[Acres]])</f>
        <v>-1.8325814637483102</v>
      </c>
      <c r="D652" s="30">
        <v>0.16</v>
      </c>
      <c r="E652" s="30">
        <v>7000</v>
      </c>
      <c r="F652" s="31" t="s">
        <v>505</v>
      </c>
      <c r="G652" s="31" t="s">
        <v>155</v>
      </c>
      <c r="H652" s="31" t="s">
        <v>5</v>
      </c>
      <c r="I652" s="31" t="s">
        <v>506</v>
      </c>
      <c r="J652" s="31" t="s">
        <v>507</v>
      </c>
      <c r="K652" s="31" t="s">
        <v>157</v>
      </c>
      <c r="L652" s="31" t="s">
        <v>21</v>
      </c>
      <c r="M652" s="31" t="s">
        <v>22</v>
      </c>
      <c r="N652" s="31">
        <v>10</v>
      </c>
      <c r="O652" s="31">
        <f>2024-Inventory[[#This Row],[YrBlt]]</f>
        <v>18</v>
      </c>
      <c r="P652" s="31">
        <f>2024-Inventory[[#This Row],[EffYr]]</f>
        <v>18</v>
      </c>
      <c r="Q652" s="30">
        <v>2006</v>
      </c>
      <c r="R652" s="30">
        <v>2006</v>
      </c>
      <c r="S652" s="30">
        <v>1374</v>
      </c>
      <c r="T652" s="38">
        <v>1332</v>
      </c>
      <c r="U652" s="32"/>
      <c r="V652" s="32"/>
      <c r="W652" s="32"/>
      <c r="X652" s="32">
        <f>Inventory[[#This Row],[Bsmt Area]]-Inventory[[#This Row],[FnBsmt]]</f>
        <v>0</v>
      </c>
      <c r="Y652" s="32">
        <f>Inventory[[#This Row],[MainFn]]+Inventory[[#This Row],[UpprFn]]+Inventory[[#This Row],[AddFn]]+Inventory[[#This Row],[FnBsmt]]</f>
        <v>2706</v>
      </c>
      <c r="Z652" s="32">
        <v>3000</v>
      </c>
      <c r="AA652" s="31" t="s">
        <v>56</v>
      </c>
      <c r="AB652" s="32"/>
      <c r="AC652" s="37"/>
      <c r="AD652" s="38">
        <v>742</v>
      </c>
      <c r="AE652" s="32"/>
      <c r="AF652" s="32"/>
      <c r="AG652" s="32"/>
      <c r="AH652" s="32"/>
      <c r="AI652" s="30">
        <v>516191</v>
      </c>
      <c r="AJ652" s="30">
        <v>474896</v>
      </c>
      <c r="AK652" s="30">
        <v>0</v>
      </c>
      <c r="AL652" s="30">
        <v>0</v>
      </c>
      <c r="AM652" s="30">
        <v>60800</v>
      </c>
      <c r="AN652" s="30">
        <v>388100</v>
      </c>
      <c r="AO652" s="30">
        <v>448900</v>
      </c>
      <c r="AP652" s="30">
        <f>Lookups!$B$58*0.6</f>
        <v>132535.48800000001</v>
      </c>
      <c r="AQ652" s="30">
        <f>Lookups!$B$58*0.4</f>
        <v>88356.992000000013</v>
      </c>
      <c r="AR652" s="30">
        <f>Lookups!$B$59*Inventory[[#This Row],[LnAcres]]</f>
        <v>-24051.387388882686</v>
      </c>
      <c r="AS652" s="30">
        <f>VLOOKUP(Inventory[[#This Row],[Qlty]],Lookups!$A$66:$E$79,2,FALSE)</f>
        <v>32917.849192000001</v>
      </c>
      <c r="AT652" s="30">
        <f>VLOOKUP(Inventory[[#This Row],[Cnd]],Lookups!$A$80:$E$88,2,FALSE)</f>
        <v>50438.379078999998</v>
      </c>
      <c r="AU652" s="30">
        <f>Inventory[[#This Row],[EffAge]]*Lookups!$B$65</f>
        <v>-1957.3398</v>
      </c>
      <c r="AV652" s="30">
        <f>Inventory[[#This Row],[MainFn]]*Lookups!$B$90</f>
        <v>85751.862120000005</v>
      </c>
      <c r="AW652" s="30">
        <f>Inventory[[#This Row],[UpprFn]]*Lookups!$B$91</f>
        <v>79361.070156000002</v>
      </c>
      <c r="AX652" s="30">
        <f>Inventory[[#This Row],[Bsmt Area]]*Lookups!$B$95</f>
        <v>0</v>
      </c>
      <c r="AY652" s="30">
        <f>Inventory[[#This Row],[AttGar]]*Lookups!$B$93</f>
        <v>0</v>
      </c>
      <c r="AZ652" s="30">
        <f>ROUND(Inventory[[#This Row],[25Det]],-2)</f>
        <v>0</v>
      </c>
      <c r="BA652" s="30">
        <f>ROUND(SUM(Inventory[[#This Row],[Mdl Qlty]:[Mdl Garage Area]])+Inventory[[#This Row],[Mdl Res Intercept]],-2)</f>
        <v>379000</v>
      </c>
      <c r="BB652" s="30">
        <f>ROUND(Inventory[[#This Row],[Mdl Land Intercept]]+Inventory[[#This Row],[Mdl LnAcres]],-2)</f>
        <v>64300</v>
      </c>
      <c r="BC652" s="30">
        <f>Inventory[[#This Row],[Unadj Res Value]]+Inventory[[#This Row],[Unadj Det Value]]+Inventory[[#This Row],[Unadj Land Value]]</f>
        <v>443300</v>
      </c>
      <c r="BD652" s="30">
        <f>(Inventory[[#This Row],[Unadj Total Value]]-Inventory[[#This Row],[24Final]])/Inventory[[#This Row],[24Final]]</f>
        <v>-1.247493873914012E-2</v>
      </c>
      <c r="BE652" s="30">
        <f>VLOOKUP(Inventory[[#This Row],[Nbhd]],Lookups!$M$3:$P$5,4,FALSE)</f>
        <v>0.99970000000000003</v>
      </c>
      <c r="BF652" s="30">
        <f>VLOOKUP(Inventory[[#This Row],[Qlty]],Lookups!$M$8:$P$22,4,FALSE)</f>
        <v>1.0019</v>
      </c>
      <c r="BG652" s="30">
        <f>VLOOKUP(Inventory[[#This Row],[Cnd]],Lookups!$R$8:$U$17,4,FALSE)</f>
        <v>1.0007999999999999</v>
      </c>
      <c r="BH652" s="30">
        <f>VLOOKUP(Inventory[[#This Row],[LivArea Range]],Lookups!$R$25:$U$43,4,FALSE)</f>
        <v>1.0099</v>
      </c>
      <c r="BI652" s="30">
        <f>VLOOKUP(Inventory[[#This Row],[Decade]],Lookups!$M$24:$P$40,4,FALSE)</f>
        <v>1.0024</v>
      </c>
      <c r="BJ652" s="30">
        <f>Inventory[[#This Row],[Nbhd Adj]]*0.95</f>
        <v>0.94971499999999998</v>
      </c>
      <c r="BK652" s="30">
        <f>AVERAGE(Inventory[[#This Row],[Nbhd Adj]],Inventory[[#This Row],[Quality Adj]],Inventory[[#This Row],[Condition Adj]],Inventory[[#This Row],[Living Area Adj]],Inventory[[#This Row],[Decade Adj]])*0.95</f>
        <v>0.95279299999999989</v>
      </c>
      <c r="BL652" s="30">
        <f>ROUND((SUM(Inventory[[#This Row],[Mdl Qlty]:[Mdl Garage Area]])+Inventory[[#This Row],[Mdl Res Intercept]])*Inventory[[#This Row],[Res Adj ]],-2)</f>
        <v>361200</v>
      </c>
      <c r="BM652" s="30">
        <f>ROUND(Inventory[[#This Row],[25Det]]*Inventory[[#This Row],[Det/Nbhd Adj]],-2)</f>
        <v>0</v>
      </c>
      <c r="BN652" s="30">
        <f>Inventory[[#This Row],[Adjusted Res]]+Inventory[[#This Row],[Adj Det ]]</f>
        <v>361200</v>
      </c>
      <c r="BO652" s="30">
        <f>ROUND((Inventory[[#This Row],[Mdl Land Intercept]]+Inventory[[#This Row],[Mdl LnAcres]])*Inventory[[#This Row],[Det/Nbhd Adj]],-2)</f>
        <v>61100</v>
      </c>
      <c r="BP652" s="30">
        <f>Inventory[[#This Row],[Adjusted Impr Total]]+Inventory[[#This Row],[Adjusted Land Total]]</f>
        <v>422300</v>
      </c>
      <c r="BQ652" s="30">
        <f>IFERROR((Inventory[[#This Row],[Adjusted Impr Total]]-Inventory[[#This Row],[24Bldg]])/Inventory[[#This Row],[24Bldg]],0)</f>
        <v>-6.9312032981190416E-2</v>
      </c>
      <c r="BR652" s="43">
        <f>(Inventory[[#This Row],[Adjusted Land Total]]-Inventory[[#This Row],[24Lnd]])/Inventory[[#This Row],[24Lnd]]</f>
        <v>4.9342105263157892E-3</v>
      </c>
      <c r="BS652" s="43">
        <f>(Inventory[[#This Row],[Adjusted Total]]-Inventory[[#This Row],[24Final]])/Inventory[[#This Row],[24Final]]</f>
        <v>-5.9255959010915571E-2</v>
      </c>
    </row>
    <row r="653" spans="1:71">
      <c r="A653" s="30">
        <v>2025</v>
      </c>
      <c r="B653" s="31" t="s">
        <v>1168</v>
      </c>
      <c r="C653" s="31">
        <f>LN(Inventory[[#This Row],[Acres]])</f>
        <v>-1.8325814637483102</v>
      </c>
      <c r="D653" s="30">
        <v>0.16</v>
      </c>
      <c r="E653" s="30">
        <v>7061</v>
      </c>
      <c r="F653" s="31" t="s">
        <v>505</v>
      </c>
      <c r="G653" s="31" t="s">
        <v>155</v>
      </c>
      <c r="H653" s="31" t="s">
        <v>5</v>
      </c>
      <c r="I653" s="31" t="s">
        <v>506</v>
      </c>
      <c r="J653" s="31" t="s">
        <v>507</v>
      </c>
      <c r="K653" s="31" t="s">
        <v>193</v>
      </c>
      <c r="L653" s="31" t="s">
        <v>19</v>
      </c>
      <c r="M653" s="31" t="s">
        <v>22</v>
      </c>
      <c r="N653" s="31">
        <v>10</v>
      </c>
      <c r="O653" s="31">
        <f>2024-Inventory[[#This Row],[YrBlt]]</f>
        <v>18</v>
      </c>
      <c r="P653" s="31">
        <f>2024-Inventory[[#This Row],[EffYr]]</f>
        <v>18</v>
      </c>
      <c r="Q653" s="30">
        <v>2006</v>
      </c>
      <c r="R653" s="30">
        <v>2006</v>
      </c>
      <c r="S653" s="30">
        <v>1380</v>
      </c>
      <c r="T653" s="32"/>
      <c r="U653" s="32"/>
      <c r="V653" s="32"/>
      <c r="W653" s="32"/>
      <c r="X653" s="32">
        <f>Inventory[[#This Row],[Bsmt Area]]-Inventory[[#This Row],[FnBsmt]]</f>
        <v>0</v>
      </c>
      <c r="Y653" s="32">
        <f>Inventory[[#This Row],[MainFn]]+Inventory[[#This Row],[UpprFn]]+Inventory[[#This Row],[AddFn]]+Inventory[[#This Row],[FnBsmt]]</f>
        <v>1380</v>
      </c>
      <c r="Z653" s="32">
        <v>1500</v>
      </c>
      <c r="AA653" s="31" t="s">
        <v>56</v>
      </c>
      <c r="AB653" s="32"/>
      <c r="AC653" s="30">
        <v>428</v>
      </c>
      <c r="AD653" s="32"/>
      <c r="AE653" s="32"/>
      <c r="AF653" s="32"/>
      <c r="AG653" s="32"/>
      <c r="AH653" s="32"/>
      <c r="AI653" s="30">
        <v>284968</v>
      </c>
      <c r="AJ653" s="30">
        <v>262171</v>
      </c>
      <c r="AK653" s="30">
        <v>0</v>
      </c>
      <c r="AL653" s="30">
        <v>0</v>
      </c>
      <c r="AM653" s="30">
        <v>60800</v>
      </c>
      <c r="AN653" s="30">
        <v>323700</v>
      </c>
      <c r="AO653" s="30">
        <v>384500</v>
      </c>
      <c r="AP653" s="30">
        <f>Lookups!$B$58*0.6</f>
        <v>132535.48800000001</v>
      </c>
      <c r="AQ653" s="30">
        <f>Lookups!$B$58*0.4</f>
        <v>88356.992000000013</v>
      </c>
      <c r="AR653" s="30">
        <f>Lookups!$B$59*Inventory[[#This Row],[LnAcres]]</f>
        <v>-24051.387388882686</v>
      </c>
      <c r="AS653" s="30">
        <f>VLOOKUP(Inventory[[#This Row],[Qlty]],Lookups!$A$66:$E$79,2,FALSE)</f>
        <v>37154.252388000001</v>
      </c>
      <c r="AT653" s="30">
        <f>VLOOKUP(Inventory[[#This Row],[Cnd]],Lookups!$A$80:$E$88,2,FALSE)</f>
        <v>50438.379078999998</v>
      </c>
      <c r="AU653" s="30">
        <f>Inventory[[#This Row],[EffAge]]*Lookups!$B$65</f>
        <v>-1957.3398</v>
      </c>
      <c r="AV653" s="30">
        <f>Inventory[[#This Row],[MainFn]]*Lookups!$B$90</f>
        <v>86126.324399999998</v>
      </c>
      <c r="AW653" s="30">
        <f>Inventory[[#This Row],[UpprFn]]*Lookups!$B$91</f>
        <v>0</v>
      </c>
      <c r="AX653" s="30">
        <f>Inventory[[#This Row],[Bsmt Area]]*Lookups!$B$95</f>
        <v>0</v>
      </c>
      <c r="AY653" s="30">
        <f>Inventory[[#This Row],[AttGar]]*Lookups!$B$93</f>
        <v>15108.841268</v>
      </c>
      <c r="AZ653" s="30">
        <f>ROUND(Inventory[[#This Row],[25Det]],-2)</f>
        <v>0</v>
      </c>
      <c r="BA653" s="30">
        <f>ROUND(SUM(Inventory[[#This Row],[Mdl Qlty]:[Mdl Garage Area]])+Inventory[[#This Row],[Mdl Res Intercept]],-2)</f>
        <v>319400</v>
      </c>
      <c r="BB653" s="30">
        <f>ROUND(Inventory[[#This Row],[Mdl Land Intercept]]+Inventory[[#This Row],[Mdl LnAcres]],-2)</f>
        <v>64300</v>
      </c>
      <c r="BC653" s="30">
        <f>Inventory[[#This Row],[Unadj Res Value]]+Inventory[[#This Row],[Unadj Det Value]]+Inventory[[#This Row],[Unadj Land Value]]</f>
        <v>383700</v>
      </c>
      <c r="BD653" s="30">
        <f>(Inventory[[#This Row],[Unadj Total Value]]-Inventory[[#This Row],[24Final]])/Inventory[[#This Row],[24Final]]</f>
        <v>-2.0806241872561768E-3</v>
      </c>
      <c r="BE653" s="30">
        <f>VLOOKUP(Inventory[[#This Row],[Nbhd]],Lookups!$M$3:$P$5,4,FALSE)</f>
        <v>0.99970000000000003</v>
      </c>
      <c r="BF653" s="30">
        <f>VLOOKUP(Inventory[[#This Row],[Qlty]],Lookups!$M$8:$P$22,4,FALSE)</f>
        <v>0.99819999999999998</v>
      </c>
      <c r="BG653" s="30">
        <f>VLOOKUP(Inventory[[#This Row],[Cnd]],Lookups!$R$8:$U$17,4,FALSE)</f>
        <v>1.0007999999999999</v>
      </c>
      <c r="BH653" s="30">
        <f>VLOOKUP(Inventory[[#This Row],[LivArea Range]],Lookups!$R$25:$U$43,4,FALSE)</f>
        <v>0.99519999999999997</v>
      </c>
      <c r="BI653" s="30">
        <f>VLOOKUP(Inventory[[#This Row],[Decade]],Lookups!$M$24:$P$40,4,FALSE)</f>
        <v>1.0024</v>
      </c>
      <c r="BJ653" s="30">
        <f>Inventory[[#This Row],[Nbhd Adj]]*0.95</f>
        <v>0.94971499999999998</v>
      </c>
      <c r="BK653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653" s="30">
        <f>ROUND((SUM(Inventory[[#This Row],[Mdl Qlty]:[Mdl Garage Area]])+Inventory[[#This Row],[Mdl Res Intercept]])*Inventory[[#This Row],[Res Adj ]],-2)</f>
        <v>303200</v>
      </c>
      <c r="BM653" s="30">
        <f>ROUND(Inventory[[#This Row],[25Det]]*Inventory[[#This Row],[Det/Nbhd Adj]],-2)</f>
        <v>0</v>
      </c>
      <c r="BN653" s="30">
        <f>Inventory[[#This Row],[Adjusted Res]]+Inventory[[#This Row],[Adj Det ]]</f>
        <v>303200</v>
      </c>
      <c r="BO653" s="30">
        <f>ROUND((Inventory[[#This Row],[Mdl Land Intercept]]+Inventory[[#This Row],[Mdl LnAcres]])*Inventory[[#This Row],[Det/Nbhd Adj]],-2)</f>
        <v>61100</v>
      </c>
      <c r="BP653" s="30">
        <f>Inventory[[#This Row],[Adjusted Impr Total]]+Inventory[[#This Row],[Adjusted Land Total]]</f>
        <v>364300</v>
      </c>
      <c r="BQ653" s="30">
        <f>IFERROR((Inventory[[#This Row],[Adjusted Impr Total]]-Inventory[[#This Row],[24Bldg]])/Inventory[[#This Row],[24Bldg]],0)</f>
        <v>-6.3330244053135615E-2</v>
      </c>
      <c r="BR653" s="43">
        <f>(Inventory[[#This Row],[Adjusted Land Total]]-Inventory[[#This Row],[24Lnd]])/Inventory[[#This Row],[24Lnd]]</f>
        <v>4.9342105263157892E-3</v>
      </c>
      <c r="BS653" s="43">
        <f>(Inventory[[#This Row],[Adjusted Total]]-Inventory[[#This Row],[24Final]])/Inventory[[#This Row],[24Final]]</f>
        <v>-5.2535760728218465E-2</v>
      </c>
    </row>
    <row r="654" spans="1:71">
      <c r="A654" s="30">
        <v>2025</v>
      </c>
      <c r="B654" s="31" t="s">
        <v>1169</v>
      </c>
      <c r="C654" s="31">
        <f>LN(Inventory[[#This Row],[Acres]])</f>
        <v>-1.8325814637483102</v>
      </c>
      <c r="D654" s="30">
        <v>0.16</v>
      </c>
      <c r="E654" s="30">
        <v>7028</v>
      </c>
      <c r="F654" s="31" t="s">
        <v>505</v>
      </c>
      <c r="G654" s="31" t="s">
        <v>155</v>
      </c>
      <c r="H654" s="31" t="s">
        <v>5</v>
      </c>
      <c r="I654" s="31" t="s">
        <v>506</v>
      </c>
      <c r="J654" s="31" t="s">
        <v>507</v>
      </c>
      <c r="K654" s="31" t="s">
        <v>157</v>
      </c>
      <c r="L654" s="31" t="s">
        <v>21</v>
      </c>
      <c r="M654" s="31" t="s">
        <v>20</v>
      </c>
      <c r="N654" s="31">
        <v>10</v>
      </c>
      <c r="O654" s="31">
        <f>2024-Inventory[[#This Row],[YrBlt]]</f>
        <v>18</v>
      </c>
      <c r="P654" s="31">
        <f>2024-Inventory[[#This Row],[EffYr]]</f>
        <v>18</v>
      </c>
      <c r="Q654" s="30">
        <v>2006</v>
      </c>
      <c r="R654" s="30">
        <v>2006</v>
      </c>
      <c r="S654" s="30">
        <v>1374</v>
      </c>
      <c r="T654" s="30">
        <v>1332</v>
      </c>
      <c r="U654" s="32"/>
      <c r="V654" s="32"/>
      <c r="W654" s="32"/>
      <c r="X654" s="32">
        <f>Inventory[[#This Row],[Bsmt Area]]-Inventory[[#This Row],[FnBsmt]]</f>
        <v>0</v>
      </c>
      <c r="Y654" s="32">
        <f>Inventory[[#This Row],[MainFn]]+Inventory[[#This Row],[UpprFn]]+Inventory[[#This Row],[AddFn]]+Inventory[[#This Row],[FnBsmt]]</f>
        <v>2706</v>
      </c>
      <c r="Z654" s="32">
        <v>3000</v>
      </c>
      <c r="AA654" s="31" t="s">
        <v>56</v>
      </c>
      <c r="AB654" s="37"/>
      <c r="AC654" s="30">
        <v>240</v>
      </c>
      <c r="AD654" s="30">
        <v>502</v>
      </c>
      <c r="AE654" s="32"/>
      <c r="AF654" s="32"/>
      <c r="AG654" s="32"/>
      <c r="AH654" s="32"/>
      <c r="AI654" s="30">
        <v>536435</v>
      </c>
      <c r="AJ654" s="30">
        <v>488156</v>
      </c>
      <c r="AK654" s="30">
        <v>0</v>
      </c>
      <c r="AL654" s="30">
        <v>0</v>
      </c>
      <c r="AM654" s="30">
        <v>60800</v>
      </c>
      <c r="AN654" s="30">
        <v>373600</v>
      </c>
      <c r="AO654" s="30">
        <v>434400</v>
      </c>
      <c r="AP654" s="30">
        <f>Lookups!$B$58*0.6</f>
        <v>132535.48800000001</v>
      </c>
      <c r="AQ654" s="30">
        <f>Lookups!$B$58*0.4</f>
        <v>88356.992000000013</v>
      </c>
      <c r="AR654" s="30">
        <f>Lookups!$B$59*Inventory[[#This Row],[LnAcres]]</f>
        <v>-24051.387388882686</v>
      </c>
      <c r="AS654" s="30">
        <f>VLOOKUP(Inventory[[#This Row],[Qlty]],Lookups!$A$66:$E$79,2,FALSE)</f>
        <v>32917.849192000001</v>
      </c>
      <c r="AT654" s="30">
        <f>VLOOKUP(Inventory[[#This Row],[Cnd]],Lookups!$A$80:$E$88,2,FALSE)</f>
        <v>30300.329274</v>
      </c>
      <c r="AU654" s="30">
        <f>Inventory[[#This Row],[EffAge]]*Lookups!$B$65</f>
        <v>-1957.3398</v>
      </c>
      <c r="AV654" s="30">
        <f>Inventory[[#This Row],[MainFn]]*Lookups!$B$90</f>
        <v>85751.862120000005</v>
      </c>
      <c r="AW654" s="30">
        <f>Inventory[[#This Row],[UpprFn]]*Lookups!$B$91</f>
        <v>79361.070156000002</v>
      </c>
      <c r="AX654" s="30">
        <f>Inventory[[#This Row],[Bsmt Area]]*Lookups!$B$95</f>
        <v>0</v>
      </c>
      <c r="AY654" s="30">
        <f>Inventory[[#This Row],[AttGar]]*Lookups!$B$93</f>
        <v>8472.247440000001</v>
      </c>
      <c r="AZ654" s="30">
        <f>ROUND(Inventory[[#This Row],[25Det]],-2)</f>
        <v>0</v>
      </c>
      <c r="BA654" s="30">
        <f>ROUND(SUM(Inventory[[#This Row],[Mdl Qlty]:[Mdl Garage Area]])+Inventory[[#This Row],[Mdl Res Intercept]],-2)</f>
        <v>367400</v>
      </c>
      <c r="BB654" s="30">
        <f>ROUND(Inventory[[#This Row],[Mdl Land Intercept]]+Inventory[[#This Row],[Mdl LnAcres]],-2)</f>
        <v>64300</v>
      </c>
      <c r="BC654" s="30">
        <f>Inventory[[#This Row],[Unadj Res Value]]+Inventory[[#This Row],[Unadj Det Value]]+Inventory[[#This Row],[Unadj Land Value]]</f>
        <v>431700</v>
      </c>
      <c r="BD654" s="30">
        <f>(Inventory[[#This Row],[Unadj Total Value]]-Inventory[[#This Row],[24Final]])/Inventory[[#This Row],[24Final]]</f>
        <v>-6.2154696132596682E-3</v>
      </c>
      <c r="BE654" s="30">
        <f>VLOOKUP(Inventory[[#This Row],[Nbhd]],Lookups!$M$3:$P$5,4,FALSE)</f>
        <v>0.99970000000000003</v>
      </c>
      <c r="BF654" s="30">
        <f>VLOOKUP(Inventory[[#This Row],[Qlty]],Lookups!$M$8:$P$22,4,FALSE)</f>
        <v>1.0019</v>
      </c>
      <c r="BG654" s="30">
        <f>VLOOKUP(Inventory[[#This Row],[Cnd]],Lookups!$R$8:$U$17,4,FALSE)</f>
        <v>0.997</v>
      </c>
      <c r="BH654" s="30">
        <f>VLOOKUP(Inventory[[#This Row],[LivArea Range]],Lookups!$R$25:$U$43,4,FALSE)</f>
        <v>1.0099</v>
      </c>
      <c r="BI654" s="30">
        <f>VLOOKUP(Inventory[[#This Row],[Decade]],Lookups!$M$24:$P$40,4,FALSE)</f>
        <v>1.0024</v>
      </c>
      <c r="BJ654" s="30">
        <f>Inventory[[#This Row],[Nbhd Adj]]*0.95</f>
        <v>0.94971499999999998</v>
      </c>
      <c r="BK654" s="30">
        <f>AVERAGE(Inventory[[#This Row],[Nbhd Adj]],Inventory[[#This Row],[Quality Adj]],Inventory[[#This Row],[Condition Adj]],Inventory[[#This Row],[Living Area Adj]],Inventory[[#This Row],[Decade Adj]])*0.95</f>
        <v>0.95207099999999978</v>
      </c>
      <c r="BL654" s="30">
        <f>ROUND((SUM(Inventory[[#This Row],[Mdl Qlty]:[Mdl Garage Area]])+Inventory[[#This Row],[Mdl Res Intercept]])*Inventory[[#This Row],[Res Adj ]],-2)</f>
        <v>349800</v>
      </c>
      <c r="BM654" s="30">
        <f>ROUND(Inventory[[#This Row],[25Det]]*Inventory[[#This Row],[Det/Nbhd Adj]],-2)</f>
        <v>0</v>
      </c>
      <c r="BN654" s="30">
        <f>Inventory[[#This Row],[Adjusted Res]]+Inventory[[#This Row],[Adj Det ]]</f>
        <v>349800</v>
      </c>
      <c r="BO654" s="30">
        <f>ROUND((Inventory[[#This Row],[Mdl Land Intercept]]+Inventory[[#This Row],[Mdl LnAcres]])*Inventory[[#This Row],[Det/Nbhd Adj]],-2)</f>
        <v>61100</v>
      </c>
      <c r="BP654" s="30">
        <f>Inventory[[#This Row],[Adjusted Impr Total]]+Inventory[[#This Row],[Adjusted Land Total]]</f>
        <v>410900</v>
      </c>
      <c r="BQ654" s="30">
        <f>IFERROR((Inventory[[#This Row],[Adjusted Impr Total]]-Inventory[[#This Row],[24Bldg]])/Inventory[[#This Row],[24Bldg]],0)</f>
        <v>-6.3704496788008561E-2</v>
      </c>
      <c r="BR654" s="43">
        <f>(Inventory[[#This Row],[Adjusted Land Total]]-Inventory[[#This Row],[24Lnd]])/Inventory[[#This Row],[24Lnd]]</f>
        <v>4.9342105263157892E-3</v>
      </c>
      <c r="BS654" s="43">
        <f>(Inventory[[#This Row],[Adjusted Total]]-Inventory[[#This Row],[24Final]])/Inventory[[#This Row],[24Final]]</f>
        <v>-5.4097605893186004E-2</v>
      </c>
    </row>
    <row r="655" spans="1:71">
      <c r="A655" s="30">
        <v>2025</v>
      </c>
      <c r="B655" s="31" t="s">
        <v>1170</v>
      </c>
      <c r="C655" s="31">
        <f>LN(Inventory[[#This Row],[Acres]])</f>
        <v>-1.8325814637483102</v>
      </c>
      <c r="D655" s="30">
        <v>0.16</v>
      </c>
      <c r="E655" s="30">
        <v>7074</v>
      </c>
      <c r="F655" s="31" t="s">
        <v>505</v>
      </c>
      <c r="G655" s="31" t="s">
        <v>155</v>
      </c>
      <c r="H655" s="31" t="s">
        <v>5</v>
      </c>
      <c r="I655" s="31" t="s">
        <v>506</v>
      </c>
      <c r="J655" s="31" t="s">
        <v>507</v>
      </c>
      <c r="K655" s="31" t="s">
        <v>157</v>
      </c>
      <c r="L655" s="31" t="s">
        <v>21</v>
      </c>
      <c r="M655" s="31" t="s">
        <v>22</v>
      </c>
      <c r="N655" s="31">
        <v>10</v>
      </c>
      <c r="O655" s="31">
        <f>2024-Inventory[[#This Row],[YrBlt]]</f>
        <v>18</v>
      </c>
      <c r="P655" s="31">
        <f>2024-Inventory[[#This Row],[EffYr]]</f>
        <v>18</v>
      </c>
      <c r="Q655" s="30">
        <v>2006</v>
      </c>
      <c r="R655" s="30">
        <v>2006</v>
      </c>
      <c r="S655" s="30">
        <v>1158</v>
      </c>
      <c r="T655" s="30">
        <v>1332</v>
      </c>
      <c r="U655" s="32"/>
      <c r="V655" s="32"/>
      <c r="W655" s="32"/>
      <c r="X655" s="32">
        <f>Inventory[[#This Row],[Bsmt Area]]-Inventory[[#This Row],[FnBsmt]]</f>
        <v>0</v>
      </c>
      <c r="Y655" s="32">
        <f>Inventory[[#This Row],[MainFn]]+Inventory[[#This Row],[UpprFn]]+Inventory[[#This Row],[AddFn]]+Inventory[[#This Row],[FnBsmt]]</f>
        <v>2490</v>
      </c>
      <c r="Z655" s="32">
        <v>2500</v>
      </c>
      <c r="AA655" s="31" t="s">
        <v>56</v>
      </c>
      <c r="AB655" s="37"/>
      <c r="AC655" s="37"/>
      <c r="AD655" s="30">
        <v>502</v>
      </c>
      <c r="AE655" s="32"/>
      <c r="AF655" s="32"/>
      <c r="AG655" s="32"/>
      <c r="AH655" s="32"/>
      <c r="AI655" s="30">
        <v>477884</v>
      </c>
      <c r="AJ655" s="30">
        <v>439653</v>
      </c>
      <c r="AK655" s="30">
        <v>0</v>
      </c>
      <c r="AL655" s="30">
        <v>0</v>
      </c>
      <c r="AM655" s="30">
        <v>60800</v>
      </c>
      <c r="AN655" s="30">
        <v>368200</v>
      </c>
      <c r="AO655" s="30">
        <v>429000</v>
      </c>
      <c r="AP655" s="30">
        <f>Lookups!$B$58*0.6</f>
        <v>132535.48800000001</v>
      </c>
      <c r="AQ655" s="30">
        <f>Lookups!$B$58*0.4</f>
        <v>88356.992000000013</v>
      </c>
      <c r="AR655" s="30">
        <f>Lookups!$B$59*Inventory[[#This Row],[LnAcres]]</f>
        <v>-24051.387388882686</v>
      </c>
      <c r="AS655" s="30">
        <f>VLOOKUP(Inventory[[#This Row],[Qlty]],Lookups!$A$66:$E$79,2,FALSE)</f>
        <v>32917.849192000001</v>
      </c>
      <c r="AT655" s="30">
        <f>VLOOKUP(Inventory[[#This Row],[Cnd]],Lookups!$A$80:$E$88,2,FALSE)</f>
        <v>50438.379078999998</v>
      </c>
      <c r="AU655" s="30">
        <f>Inventory[[#This Row],[EffAge]]*Lookups!$B$65</f>
        <v>-1957.3398</v>
      </c>
      <c r="AV655" s="30">
        <f>Inventory[[#This Row],[MainFn]]*Lookups!$B$90</f>
        <v>72271.22004</v>
      </c>
      <c r="AW655" s="30">
        <f>Inventory[[#This Row],[UpprFn]]*Lookups!$B$91</f>
        <v>79361.070156000002</v>
      </c>
      <c r="AX655" s="30">
        <f>Inventory[[#This Row],[Bsmt Area]]*Lookups!$B$95</f>
        <v>0</v>
      </c>
      <c r="AY655" s="30">
        <f>Inventory[[#This Row],[AttGar]]*Lookups!$B$93</f>
        <v>0</v>
      </c>
      <c r="AZ655" s="30">
        <f>ROUND(Inventory[[#This Row],[25Det]],-2)</f>
        <v>0</v>
      </c>
      <c r="BA655" s="30">
        <f>ROUND(SUM(Inventory[[#This Row],[Mdl Qlty]:[Mdl Garage Area]])+Inventory[[#This Row],[Mdl Res Intercept]],-2)</f>
        <v>365600</v>
      </c>
      <c r="BB655" s="30">
        <f>ROUND(Inventory[[#This Row],[Mdl Land Intercept]]+Inventory[[#This Row],[Mdl LnAcres]],-2)</f>
        <v>64300</v>
      </c>
      <c r="BC655" s="30">
        <f>Inventory[[#This Row],[Unadj Res Value]]+Inventory[[#This Row],[Unadj Det Value]]+Inventory[[#This Row],[Unadj Land Value]]</f>
        <v>429900</v>
      </c>
      <c r="BD655" s="30">
        <f>(Inventory[[#This Row],[Unadj Total Value]]-Inventory[[#This Row],[24Final]])/Inventory[[#This Row],[24Final]]</f>
        <v>2.0979020979020979E-3</v>
      </c>
      <c r="BE655" s="30">
        <f>VLOOKUP(Inventory[[#This Row],[Nbhd]],Lookups!$M$3:$P$5,4,FALSE)</f>
        <v>0.99970000000000003</v>
      </c>
      <c r="BF655" s="30">
        <f>VLOOKUP(Inventory[[#This Row],[Qlty]],Lookups!$M$8:$P$22,4,FALSE)</f>
        <v>1.0019</v>
      </c>
      <c r="BG655" s="30">
        <f>VLOOKUP(Inventory[[#This Row],[Cnd]],Lookups!$R$8:$U$17,4,FALSE)</f>
        <v>1.0007999999999999</v>
      </c>
      <c r="BH655" s="30">
        <f>VLOOKUP(Inventory[[#This Row],[LivArea Range]],Lookups!$R$25:$U$43,4,FALSE)</f>
        <v>1.0008999999999999</v>
      </c>
      <c r="BI655" s="30">
        <f>VLOOKUP(Inventory[[#This Row],[Decade]],Lookups!$M$24:$P$40,4,FALSE)</f>
        <v>1.0024</v>
      </c>
      <c r="BJ655" s="30">
        <f>Inventory[[#This Row],[Nbhd Adj]]*0.95</f>
        <v>0.94971499999999998</v>
      </c>
      <c r="BK655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655" s="30">
        <f>ROUND((SUM(Inventory[[#This Row],[Mdl Qlty]:[Mdl Garage Area]])+Inventory[[#This Row],[Mdl Res Intercept]])*Inventory[[#This Row],[Res Adj ]],-2)</f>
        <v>347700</v>
      </c>
      <c r="BM655" s="30">
        <f>ROUND(Inventory[[#This Row],[25Det]]*Inventory[[#This Row],[Det/Nbhd Adj]],-2)</f>
        <v>0</v>
      </c>
      <c r="BN655" s="30">
        <f>Inventory[[#This Row],[Adjusted Res]]+Inventory[[#This Row],[Adj Det ]]</f>
        <v>347700</v>
      </c>
      <c r="BO655" s="30">
        <f>ROUND((Inventory[[#This Row],[Mdl Land Intercept]]+Inventory[[#This Row],[Mdl LnAcres]])*Inventory[[#This Row],[Det/Nbhd Adj]],-2)</f>
        <v>61100</v>
      </c>
      <c r="BP655" s="30">
        <f>Inventory[[#This Row],[Adjusted Impr Total]]+Inventory[[#This Row],[Adjusted Land Total]]</f>
        <v>408800</v>
      </c>
      <c r="BQ655" s="30">
        <f>IFERROR((Inventory[[#This Row],[Adjusted Impr Total]]-Inventory[[#This Row],[24Bldg]])/Inventory[[#This Row],[24Bldg]],0)</f>
        <v>-5.5676262900597503E-2</v>
      </c>
      <c r="BR655" s="43">
        <f>(Inventory[[#This Row],[Adjusted Land Total]]-Inventory[[#This Row],[24Lnd]])/Inventory[[#This Row],[24Lnd]]</f>
        <v>4.9342105263157892E-3</v>
      </c>
      <c r="BS655" s="43">
        <f>(Inventory[[#This Row],[Adjusted Total]]-Inventory[[#This Row],[24Final]])/Inventory[[#This Row],[24Final]]</f>
        <v>-4.7086247086247084E-2</v>
      </c>
    </row>
    <row r="656" spans="1:71">
      <c r="A656" s="30">
        <v>2025</v>
      </c>
      <c r="B656" s="31" t="s">
        <v>1171</v>
      </c>
      <c r="C656" s="31">
        <f>LN(Inventory[[#This Row],[Acres]])</f>
        <v>-1.8325814637483102</v>
      </c>
      <c r="D656" s="30">
        <v>0.16</v>
      </c>
      <c r="E656" s="30">
        <v>7015</v>
      </c>
      <c r="F656" s="31" t="s">
        <v>505</v>
      </c>
      <c r="G656" s="31" t="s">
        <v>155</v>
      </c>
      <c r="H656" s="31" t="s">
        <v>5</v>
      </c>
      <c r="I656" s="31" t="s">
        <v>506</v>
      </c>
      <c r="J656" s="31" t="s">
        <v>507</v>
      </c>
      <c r="K656" s="31" t="s">
        <v>157</v>
      </c>
      <c r="L656" s="31" t="s">
        <v>21</v>
      </c>
      <c r="M656" s="31" t="s">
        <v>22</v>
      </c>
      <c r="N656" s="31">
        <v>10</v>
      </c>
      <c r="O656" s="31">
        <f>2024-Inventory[[#This Row],[YrBlt]]</f>
        <v>18</v>
      </c>
      <c r="P656" s="31">
        <f>2024-Inventory[[#This Row],[EffYr]]</f>
        <v>18</v>
      </c>
      <c r="Q656" s="30">
        <v>2006</v>
      </c>
      <c r="R656" s="30">
        <v>2006</v>
      </c>
      <c r="S656" s="30">
        <v>1374</v>
      </c>
      <c r="T656" s="38">
        <v>1332</v>
      </c>
      <c r="U656" s="32"/>
      <c r="V656" s="32"/>
      <c r="W656" s="32"/>
      <c r="X656" s="32">
        <f>Inventory[[#This Row],[Bsmt Area]]-Inventory[[#This Row],[FnBsmt]]</f>
        <v>0</v>
      </c>
      <c r="Y656" s="32">
        <f>Inventory[[#This Row],[MainFn]]+Inventory[[#This Row],[UpprFn]]+Inventory[[#This Row],[AddFn]]+Inventory[[#This Row],[FnBsmt]]</f>
        <v>2706</v>
      </c>
      <c r="Z656" s="32">
        <v>3000</v>
      </c>
      <c r="AA656" s="31" t="s">
        <v>56</v>
      </c>
      <c r="AB656" s="37"/>
      <c r="AC656" s="30">
        <v>240</v>
      </c>
      <c r="AD656" s="38">
        <v>502</v>
      </c>
      <c r="AE656" s="32"/>
      <c r="AF656" s="32"/>
      <c r="AG656" s="32"/>
      <c r="AH656" s="32"/>
      <c r="AI656" s="30">
        <v>536435</v>
      </c>
      <c r="AJ656" s="30">
        <v>493520</v>
      </c>
      <c r="AK656" s="30">
        <v>0</v>
      </c>
      <c r="AL656" s="30">
        <v>0</v>
      </c>
      <c r="AM656" s="30">
        <v>60800</v>
      </c>
      <c r="AN656" s="30">
        <v>389100</v>
      </c>
      <c r="AO656" s="30">
        <v>449900</v>
      </c>
      <c r="AP656" s="30">
        <f>Lookups!$B$58*0.6</f>
        <v>132535.48800000001</v>
      </c>
      <c r="AQ656" s="30">
        <f>Lookups!$B$58*0.4</f>
        <v>88356.992000000013</v>
      </c>
      <c r="AR656" s="30">
        <f>Lookups!$B$59*Inventory[[#This Row],[LnAcres]]</f>
        <v>-24051.387388882686</v>
      </c>
      <c r="AS656" s="30">
        <f>VLOOKUP(Inventory[[#This Row],[Qlty]],Lookups!$A$66:$E$79,2,FALSE)</f>
        <v>32917.849192000001</v>
      </c>
      <c r="AT656" s="30">
        <f>VLOOKUP(Inventory[[#This Row],[Cnd]],Lookups!$A$80:$E$88,2,FALSE)</f>
        <v>50438.379078999998</v>
      </c>
      <c r="AU656" s="30">
        <f>Inventory[[#This Row],[EffAge]]*Lookups!$B$65</f>
        <v>-1957.3398</v>
      </c>
      <c r="AV656" s="30">
        <f>Inventory[[#This Row],[MainFn]]*Lookups!$B$90</f>
        <v>85751.862120000005</v>
      </c>
      <c r="AW656" s="30">
        <f>Inventory[[#This Row],[UpprFn]]*Lookups!$B$91</f>
        <v>79361.070156000002</v>
      </c>
      <c r="AX656" s="30">
        <f>Inventory[[#This Row],[Bsmt Area]]*Lookups!$B$95</f>
        <v>0</v>
      </c>
      <c r="AY656" s="30">
        <f>Inventory[[#This Row],[AttGar]]*Lookups!$B$93</f>
        <v>8472.247440000001</v>
      </c>
      <c r="AZ656" s="30">
        <f>ROUND(Inventory[[#This Row],[25Det]],-2)</f>
        <v>0</v>
      </c>
      <c r="BA656" s="30">
        <f>ROUND(SUM(Inventory[[#This Row],[Mdl Qlty]:[Mdl Garage Area]])+Inventory[[#This Row],[Mdl Res Intercept]],-2)</f>
        <v>387500</v>
      </c>
      <c r="BB656" s="30">
        <f>ROUND(Inventory[[#This Row],[Mdl Land Intercept]]+Inventory[[#This Row],[Mdl LnAcres]],-2)</f>
        <v>64300</v>
      </c>
      <c r="BC656" s="30">
        <f>Inventory[[#This Row],[Unadj Res Value]]+Inventory[[#This Row],[Unadj Det Value]]+Inventory[[#This Row],[Unadj Land Value]]</f>
        <v>451800</v>
      </c>
      <c r="BD656" s="30">
        <f>(Inventory[[#This Row],[Unadj Total Value]]-Inventory[[#This Row],[24Final]])/Inventory[[#This Row],[24Final]]</f>
        <v>4.2231607023783067E-3</v>
      </c>
      <c r="BE656" s="30">
        <f>VLOOKUP(Inventory[[#This Row],[Nbhd]],Lookups!$M$3:$P$5,4,FALSE)</f>
        <v>0.99970000000000003</v>
      </c>
      <c r="BF656" s="30">
        <f>VLOOKUP(Inventory[[#This Row],[Qlty]],Lookups!$M$8:$P$22,4,FALSE)</f>
        <v>1.0019</v>
      </c>
      <c r="BG656" s="30">
        <f>VLOOKUP(Inventory[[#This Row],[Cnd]],Lookups!$R$8:$U$17,4,FALSE)</f>
        <v>1.0007999999999999</v>
      </c>
      <c r="BH656" s="30">
        <f>VLOOKUP(Inventory[[#This Row],[LivArea Range]],Lookups!$R$25:$U$43,4,FALSE)</f>
        <v>1.0099</v>
      </c>
      <c r="BI656" s="30">
        <f>VLOOKUP(Inventory[[#This Row],[Decade]],Lookups!$M$24:$P$40,4,FALSE)</f>
        <v>1.0024</v>
      </c>
      <c r="BJ656" s="30">
        <f>Inventory[[#This Row],[Nbhd Adj]]*0.95</f>
        <v>0.94971499999999998</v>
      </c>
      <c r="BK656" s="30">
        <f>AVERAGE(Inventory[[#This Row],[Nbhd Adj]],Inventory[[#This Row],[Quality Adj]],Inventory[[#This Row],[Condition Adj]],Inventory[[#This Row],[Living Area Adj]],Inventory[[#This Row],[Decade Adj]])*0.95</f>
        <v>0.95279299999999989</v>
      </c>
      <c r="BL656" s="30">
        <f>ROUND((SUM(Inventory[[#This Row],[Mdl Qlty]:[Mdl Garage Area]])+Inventory[[#This Row],[Mdl Res Intercept]])*Inventory[[#This Row],[Res Adj ]],-2)</f>
        <v>369200</v>
      </c>
      <c r="BM656" s="30">
        <f>ROUND(Inventory[[#This Row],[25Det]]*Inventory[[#This Row],[Det/Nbhd Adj]],-2)</f>
        <v>0</v>
      </c>
      <c r="BN656" s="30">
        <f>Inventory[[#This Row],[Adjusted Res]]+Inventory[[#This Row],[Adj Det ]]</f>
        <v>369200</v>
      </c>
      <c r="BO656" s="30">
        <f>ROUND((Inventory[[#This Row],[Mdl Land Intercept]]+Inventory[[#This Row],[Mdl LnAcres]])*Inventory[[#This Row],[Det/Nbhd Adj]],-2)</f>
        <v>61100</v>
      </c>
      <c r="BP656" s="30">
        <f>Inventory[[#This Row],[Adjusted Impr Total]]+Inventory[[#This Row],[Adjusted Land Total]]</f>
        <v>430300</v>
      </c>
      <c r="BQ656" s="30">
        <f>IFERROR((Inventory[[#This Row],[Adjusted Impr Total]]-Inventory[[#This Row],[24Bldg]])/Inventory[[#This Row],[24Bldg]],0)</f>
        <v>-5.1143664867643282E-2</v>
      </c>
      <c r="BR656" s="43">
        <f>(Inventory[[#This Row],[Adjusted Land Total]]-Inventory[[#This Row],[24Lnd]])/Inventory[[#This Row],[24Lnd]]</f>
        <v>4.9342105263157892E-3</v>
      </c>
      <c r="BS656" s="43">
        <f>(Inventory[[#This Row],[Adjusted Total]]-Inventory[[#This Row],[24Final]])/Inventory[[#This Row],[24Final]]</f>
        <v>-4.3565236719270949E-2</v>
      </c>
    </row>
    <row r="657" spans="1:71">
      <c r="A657" s="30">
        <v>2025</v>
      </c>
      <c r="B657" s="31" t="s">
        <v>1172</v>
      </c>
      <c r="C657" s="31">
        <f>LN(Inventory[[#This Row],[Acres]])</f>
        <v>-1.8325814637483102</v>
      </c>
      <c r="D657" s="30">
        <v>0.16</v>
      </c>
      <c r="E657" s="30">
        <v>6805</v>
      </c>
      <c r="F657" s="31" t="s">
        <v>505</v>
      </c>
      <c r="G657" s="31" t="s">
        <v>155</v>
      </c>
      <c r="H657" s="31" t="s">
        <v>5</v>
      </c>
      <c r="I657" s="31" t="s">
        <v>506</v>
      </c>
      <c r="J657" s="31" t="s">
        <v>507</v>
      </c>
      <c r="K657" s="31" t="s">
        <v>193</v>
      </c>
      <c r="L657" s="31" t="s">
        <v>19</v>
      </c>
      <c r="M657" s="31" t="s">
        <v>20</v>
      </c>
      <c r="N657" s="31">
        <v>10</v>
      </c>
      <c r="O657" s="31">
        <f>2024-Inventory[[#This Row],[YrBlt]]</f>
        <v>18</v>
      </c>
      <c r="P657" s="31">
        <f>2024-Inventory[[#This Row],[EffYr]]</f>
        <v>18</v>
      </c>
      <c r="Q657" s="30">
        <v>2006</v>
      </c>
      <c r="R657" s="30">
        <v>2006</v>
      </c>
      <c r="S657" s="30">
        <v>1092</v>
      </c>
      <c r="T657" s="32"/>
      <c r="U657" s="32"/>
      <c r="V657" s="32"/>
      <c r="W657" s="32"/>
      <c r="X657" s="32">
        <f>Inventory[[#This Row],[Bsmt Area]]-Inventory[[#This Row],[FnBsmt]]</f>
        <v>0</v>
      </c>
      <c r="Y657" s="32">
        <f>Inventory[[#This Row],[MainFn]]+Inventory[[#This Row],[UpprFn]]+Inventory[[#This Row],[AddFn]]+Inventory[[#This Row],[FnBsmt]]</f>
        <v>1092</v>
      </c>
      <c r="Z657" s="32">
        <v>1500</v>
      </c>
      <c r="AA657" s="31" t="s">
        <v>56</v>
      </c>
      <c r="AB657" s="32"/>
      <c r="AC657" s="30">
        <v>440</v>
      </c>
      <c r="AD657" s="32"/>
      <c r="AE657" s="32"/>
      <c r="AF657" s="32"/>
      <c r="AG657" s="32"/>
      <c r="AH657" s="32"/>
      <c r="AI657" s="30">
        <v>231626</v>
      </c>
      <c r="AJ657" s="30">
        <v>210780</v>
      </c>
      <c r="AK657" s="30">
        <v>0</v>
      </c>
      <c r="AL657" s="30">
        <v>0</v>
      </c>
      <c r="AM657" s="30">
        <v>60800</v>
      </c>
      <c r="AN657" s="30">
        <v>277600</v>
      </c>
      <c r="AO657" s="30">
        <v>338400</v>
      </c>
      <c r="AP657" s="30">
        <f>Lookups!$B$58*0.6</f>
        <v>132535.48800000001</v>
      </c>
      <c r="AQ657" s="30">
        <f>Lookups!$B$58*0.4</f>
        <v>88356.992000000013</v>
      </c>
      <c r="AR657" s="30">
        <f>Lookups!$B$59*Inventory[[#This Row],[LnAcres]]</f>
        <v>-24051.387388882686</v>
      </c>
      <c r="AS657" s="30">
        <f>VLOOKUP(Inventory[[#This Row],[Qlty]],Lookups!$A$66:$E$79,2,FALSE)</f>
        <v>37154.252388000001</v>
      </c>
      <c r="AT657" s="30">
        <f>VLOOKUP(Inventory[[#This Row],[Cnd]],Lookups!$A$80:$E$88,2,FALSE)</f>
        <v>30300.329274</v>
      </c>
      <c r="AU657" s="30">
        <f>Inventory[[#This Row],[EffAge]]*Lookups!$B$65</f>
        <v>-1957.3398</v>
      </c>
      <c r="AV657" s="30">
        <f>Inventory[[#This Row],[MainFn]]*Lookups!$B$90</f>
        <v>68152.13496000001</v>
      </c>
      <c r="AW657" s="30">
        <f>Inventory[[#This Row],[UpprFn]]*Lookups!$B$91</f>
        <v>0</v>
      </c>
      <c r="AX657" s="30">
        <f>Inventory[[#This Row],[Bsmt Area]]*Lookups!$B$95</f>
        <v>0</v>
      </c>
      <c r="AY657" s="30">
        <f>Inventory[[#This Row],[AttGar]]*Lookups!$B$93</f>
        <v>15532.453640000002</v>
      </c>
      <c r="AZ657" s="30">
        <f>ROUND(Inventory[[#This Row],[25Det]],-2)</f>
        <v>0</v>
      </c>
      <c r="BA657" s="30">
        <f>ROUND(SUM(Inventory[[#This Row],[Mdl Qlty]:[Mdl Garage Area]])+Inventory[[#This Row],[Mdl Res Intercept]],-2)</f>
        <v>281700</v>
      </c>
      <c r="BB657" s="30">
        <f>ROUND(Inventory[[#This Row],[Mdl Land Intercept]]+Inventory[[#This Row],[Mdl LnAcres]],-2)</f>
        <v>64300</v>
      </c>
      <c r="BC657" s="30">
        <f>Inventory[[#This Row],[Unadj Res Value]]+Inventory[[#This Row],[Unadj Det Value]]+Inventory[[#This Row],[Unadj Land Value]]</f>
        <v>346000</v>
      </c>
      <c r="BD657" s="30">
        <f>(Inventory[[#This Row],[Unadj Total Value]]-Inventory[[#This Row],[24Final]])/Inventory[[#This Row],[24Final]]</f>
        <v>2.2458628841607566E-2</v>
      </c>
      <c r="BE657" s="30">
        <f>VLOOKUP(Inventory[[#This Row],[Nbhd]],Lookups!$M$3:$P$5,4,FALSE)</f>
        <v>0.99970000000000003</v>
      </c>
      <c r="BF657" s="30">
        <f>VLOOKUP(Inventory[[#This Row],[Qlty]],Lookups!$M$8:$P$22,4,FALSE)</f>
        <v>0.99819999999999998</v>
      </c>
      <c r="BG657" s="30">
        <f>VLOOKUP(Inventory[[#This Row],[Cnd]],Lookups!$R$8:$U$17,4,FALSE)</f>
        <v>0.997</v>
      </c>
      <c r="BH657" s="30">
        <f>VLOOKUP(Inventory[[#This Row],[LivArea Range]],Lookups!$R$25:$U$43,4,FALSE)</f>
        <v>0.99519999999999997</v>
      </c>
      <c r="BI657" s="30">
        <f>VLOOKUP(Inventory[[#This Row],[Decade]],Lookups!$M$24:$P$40,4,FALSE)</f>
        <v>1.0024</v>
      </c>
      <c r="BJ657" s="30">
        <f>Inventory[[#This Row],[Nbhd Adj]]*0.95</f>
        <v>0.94971499999999998</v>
      </c>
      <c r="BK657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657" s="30">
        <f>ROUND((SUM(Inventory[[#This Row],[Mdl Qlty]:[Mdl Garage Area]])+Inventory[[#This Row],[Mdl Res Intercept]])*Inventory[[#This Row],[Res Adj ]],-2)</f>
        <v>267200</v>
      </c>
      <c r="BM657" s="30">
        <f>ROUND(Inventory[[#This Row],[25Det]]*Inventory[[#This Row],[Det/Nbhd Adj]],-2)</f>
        <v>0</v>
      </c>
      <c r="BN657" s="30">
        <f>Inventory[[#This Row],[Adjusted Res]]+Inventory[[#This Row],[Adj Det ]]</f>
        <v>267200</v>
      </c>
      <c r="BO657" s="30">
        <f>ROUND((Inventory[[#This Row],[Mdl Land Intercept]]+Inventory[[#This Row],[Mdl LnAcres]])*Inventory[[#This Row],[Det/Nbhd Adj]],-2)</f>
        <v>61100</v>
      </c>
      <c r="BP657" s="30">
        <f>Inventory[[#This Row],[Adjusted Impr Total]]+Inventory[[#This Row],[Adjusted Land Total]]</f>
        <v>328300</v>
      </c>
      <c r="BQ657" s="30">
        <f>IFERROR((Inventory[[#This Row],[Adjusted Impr Total]]-Inventory[[#This Row],[24Bldg]])/Inventory[[#This Row],[24Bldg]],0)</f>
        <v>-3.7463976945244955E-2</v>
      </c>
      <c r="BR657" s="43">
        <f>(Inventory[[#This Row],[Adjusted Land Total]]-Inventory[[#This Row],[24Lnd]])/Inventory[[#This Row],[24Lnd]]</f>
        <v>4.9342105263157892E-3</v>
      </c>
      <c r="BS657" s="43">
        <f>(Inventory[[#This Row],[Adjusted Total]]-Inventory[[#This Row],[24Final]])/Inventory[[#This Row],[24Final]]</f>
        <v>-2.9846335697399529E-2</v>
      </c>
    </row>
    <row r="658" spans="1:71">
      <c r="A658" s="30">
        <v>2025</v>
      </c>
      <c r="B658" s="31" t="s">
        <v>1173</v>
      </c>
      <c r="C658" s="31">
        <f>LN(Inventory[[#This Row],[Acres]])</f>
        <v>-1.8325814637483102</v>
      </c>
      <c r="D658" s="30">
        <v>0.16</v>
      </c>
      <c r="E658" s="30">
        <v>6805</v>
      </c>
      <c r="F658" s="31" t="s">
        <v>505</v>
      </c>
      <c r="G658" s="31" t="s">
        <v>155</v>
      </c>
      <c r="H658" s="31" t="s">
        <v>5</v>
      </c>
      <c r="I658" s="31" t="s">
        <v>506</v>
      </c>
      <c r="J658" s="31" t="s">
        <v>507</v>
      </c>
      <c r="K658" s="31" t="s">
        <v>193</v>
      </c>
      <c r="L658" s="31" t="s">
        <v>19</v>
      </c>
      <c r="M658" s="31" t="s">
        <v>20</v>
      </c>
      <c r="N658" s="31">
        <v>10</v>
      </c>
      <c r="O658" s="31">
        <f>2024-Inventory[[#This Row],[YrBlt]]</f>
        <v>18</v>
      </c>
      <c r="P658" s="31">
        <f>2024-Inventory[[#This Row],[EffYr]]</f>
        <v>18</v>
      </c>
      <c r="Q658" s="30">
        <v>2006</v>
      </c>
      <c r="R658" s="30">
        <v>2006</v>
      </c>
      <c r="S658" s="30">
        <v>1092</v>
      </c>
      <c r="T658" s="32"/>
      <c r="U658" s="32"/>
      <c r="V658" s="32"/>
      <c r="W658" s="32"/>
      <c r="X658" s="32">
        <f>Inventory[[#This Row],[Bsmt Area]]-Inventory[[#This Row],[FnBsmt]]</f>
        <v>0</v>
      </c>
      <c r="Y658" s="32">
        <f>Inventory[[#This Row],[MainFn]]+Inventory[[#This Row],[UpprFn]]+Inventory[[#This Row],[AddFn]]+Inventory[[#This Row],[FnBsmt]]</f>
        <v>1092</v>
      </c>
      <c r="Z658" s="32">
        <v>1500</v>
      </c>
      <c r="AA658" s="31" t="s">
        <v>56</v>
      </c>
      <c r="AB658" s="32"/>
      <c r="AC658" s="30">
        <v>440</v>
      </c>
      <c r="AD658" s="32"/>
      <c r="AE658" s="32"/>
      <c r="AF658" s="32"/>
      <c r="AG658" s="32"/>
      <c r="AH658" s="32"/>
      <c r="AI658" s="30">
        <v>232884</v>
      </c>
      <c r="AJ658" s="30">
        <v>211924</v>
      </c>
      <c r="AK658" s="30">
        <v>0</v>
      </c>
      <c r="AL658" s="30">
        <v>0</v>
      </c>
      <c r="AM658" s="30">
        <v>60800</v>
      </c>
      <c r="AN658" s="30">
        <v>277600</v>
      </c>
      <c r="AO658" s="30">
        <v>338400</v>
      </c>
      <c r="AP658" s="30">
        <f>Lookups!$B$58*0.6</f>
        <v>132535.48800000001</v>
      </c>
      <c r="AQ658" s="30">
        <f>Lookups!$B$58*0.4</f>
        <v>88356.992000000013</v>
      </c>
      <c r="AR658" s="30">
        <f>Lookups!$B$59*Inventory[[#This Row],[LnAcres]]</f>
        <v>-24051.387388882686</v>
      </c>
      <c r="AS658" s="30">
        <f>VLOOKUP(Inventory[[#This Row],[Qlty]],Lookups!$A$66:$E$79,2,FALSE)</f>
        <v>37154.252388000001</v>
      </c>
      <c r="AT658" s="30">
        <f>VLOOKUP(Inventory[[#This Row],[Cnd]],Lookups!$A$80:$E$88,2,FALSE)</f>
        <v>30300.329274</v>
      </c>
      <c r="AU658" s="30">
        <f>Inventory[[#This Row],[EffAge]]*Lookups!$B$65</f>
        <v>-1957.3398</v>
      </c>
      <c r="AV658" s="30">
        <f>Inventory[[#This Row],[MainFn]]*Lookups!$B$90</f>
        <v>68152.13496000001</v>
      </c>
      <c r="AW658" s="30">
        <f>Inventory[[#This Row],[UpprFn]]*Lookups!$B$91</f>
        <v>0</v>
      </c>
      <c r="AX658" s="30">
        <f>Inventory[[#This Row],[Bsmt Area]]*Lookups!$B$95</f>
        <v>0</v>
      </c>
      <c r="AY658" s="30">
        <f>Inventory[[#This Row],[AttGar]]*Lookups!$B$93</f>
        <v>15532.453640000002</v>
      </c>
      <c r="AZ658" s="30">
        <f>ROUND(Inventory[[#This Row],[25Det]],-2)</f>
        <v>0</v>
      </c>
      <c r="BA658" s="30">
        <f>ROUND(SUM(Inventory[[#This Row],[Mdl Qlty]:[Mdl Garage Area]])+Inventory[[#This Row],[Mdl Res Intercept]],-2)</f>
        <v>281700</v>
      </c>
      <c r="BB658" s="30">
        <f>ROUND(Inventory[[#This Row],[Mdl Land Intercept]]+Inventory[[#This Row],[Mdl LnAcres]],-2)</f>
        <v>64300</v>
      </c>
      <c r="BC658" s="30">
        <f>Inventory[[#This Row],[Unadj Res Value]]+Inventory[[#This Row],[Unadj Det Value]]+Inventory[[#This Row],[Unadj Land Value]]</f>
        <v>346000</v>
      </c>
      <c r="BD658" s="30">
        <f>(Inventory[[#This Row],[Unadj Total Value]]-Inventory[[#This Row],[24Final]])/Inventory[[#This Row],[24Final]]</f>
        <v>2.2458628841607566E-2</v>
      </c>
      <c r="BE658" s="30">
        <f>VLOOKUP(Inventory[[#This Row],[Nbhd]],Lookups!$M$3:$P$5,4,FALSE)</f>
        <v>0.99970000000000003</v>
      </c>
      <c r="BF658" s="30">
        <f>VLOOKUP(Inventory[[#This Row],[Qlty]],Lookups!$M$8:$P$22,4,FALSE)</f>
        <v>0.99819999999999998</v>
      </c>
      <c r="BG658" s="30">
        <f>VLOOKUP(Inventory[[#This Row],[Cnd]],Lookups!$R$8:$U$17,4,FALSE)</f>
        <v>0.997</v>
      </c>
      <c r="BH658" s="30">
        <f>VLOOKUP(Inventory[[#This Row],[LivArea Range]],Lookups!$R$25:$U$43,4,FALSE)</f>
        <v>0.99519999999999997</v>
      </c>
      <c r="BI658" s="30">
        <f>VLOOKUP(Inventory[[#This Row],[Decade]],Lookups!$M$24:$P$40,4,FALSE)</f>
        <v>1.0024</v>
      </c>
      <c r="BJ658" s="30">
        <f>Inventory[[#This Row],[Nbhd Adj]]*0.95</f>
        <v>0.94971499999999998</v>
      </c>
      <c r="BK658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658" s="30">
        <f>ROUND((SUM(Inventory[[#This Row],[Mdl Qlty]:[Mdl Garage Area]])+Inventory[[#This Row],[Mdl Res Intercept]])*Inventory[[#This Row],[Res Adj ]],-2)</f>
        <v>267200</v>
      </c>
      <c r="BM658" s="30">
        <f>ROUND(Inventory[[#This Row],[25Det]]*Inventory[[#This Row],[Det/Nbhd Adj]],-2)</f>
        <v>0</v>
      </c>
      <c r="BN658" s="30">
        <f>Inventory[[#This Row],[Adjusted Res]]+Inventory[[#This Row],[Adj Det ]]</f>
        <v>267200</v>
      </c>
      <c r="BO658" s="30">
        <f>ROUND((Inventory[[#This Row],[Mdl Land Intercept]]+Inventory[[#This Row],[Mdl LnAcres]])*Inventory[[#This Row],[Det/Nbhd Adj]],-2)</f>
        <v>61100</v>
      </c>
      <c r="BP658" s="30">
        <f>Inventory[[#This Row],[Adjusted Impr Total]]+Inventory[[#This Row],[Adjusted Land Total]]</f>
        <v>328300</v>
      </c>
      <c r="BQ658" s="30">
        <f>IFERROR((Inventory[[#This Row],[Adjusted Impr Total]]-Inventory[[#This Row],[24Bldg]])/Inventory[[#This Row],[24Bldg]],0)</f>
        <v>-3.7463976945244955E-2</v>
      </c>
      <c r="BR658" s="43">
        <f>(Inventory[[#This Row],[Adjusted Land Total]]-Inventory[[#This Row],[24Lnd]])/Inventory[[#This Row],[24Lnd]]</f>
        <v>4.9342105263157892E-3</v>
      </c>
      <c r="BS658" s="43">
        <f>(Inventory[[#This Row],[Adjusted Total]]-Inventory[[#This Row],[24Final]])/Inventory[[#This Row],[24Final]]</f>
        <v>-2.9846335697399529E-2</v>
      </c>
    </row>
    <row r="659" spans="1:71">
      <c r="A659" s="30">
        <v>2025</v>
      </c>
      <c r="B659" s="31" t="s">
        <v>1174</v>
      </c>
      <c r="C659" s="31">
        <f>LN(Inventory[[#This Row],[Acres]])</f>
        <v>-1.8325814637483102</v>
      </c>
      <c r="D659" s="30">
        <v>0.16</v>
      </c>
      <c r="E659" s="30">
        <v>7117</v>
      </c>
      <c r="F659" s="31" t="s">
        <v>505</v>
      </c>
      <c r="G659" s="31" t="s">
        <v>155</v>
      </c>
      <c r="H659" s="31" t="s">
        <v>5</v>
      </c>
      <c r="I659" s="31" t="s">
        <v>506</v>
      </c>
      <c r="J659" s="31" t="s">
        <v>507</v>
      </c>
      <c r="K659" s="31" t="s">
        <v>157</v>
      </c>
      <c r="L659" s="31" t="s">
        <v>19</v>
      </c>
      <c r="M659" s="31" t="s">
        <v>20</v>
      </c>
      <c r="N659" s="31">
        <v>10</v>
      </c>
      <c r="O659" s="31">
        <f>2024-Inventory[[#This Row],[YrBlt]]</f>
        <v>18</v>
      </c>
      <c r="P659" s="31">
        <f>2024-Inventory[[#This Row],[EffYr]]</f>
        <v>18</v>
      </c>
      <c r="Q659" s="30">
        <v>2006</v>
      </c>
      <c r="R659" s="30">
        <v>2006</v>
      </c>
      <c r="S659" s="30">
        <v>1040</v>
      </c>
      <c r="T659" s="30">
        <v>1040</v>
      </c>
      <c r="U659" s="32"/>
      <c r="V659" s="32"/>
      <c r="W659" s="32"/>
      <c r="X659" s="32">
        <f>Inventory[[#This Row],[Bsmt Area]]-Inventory[[#This Row],[FnBsmt]]</f>
        <v>0</v>
      </c>
      <c r="Y659" s="32">
        <f>Inventory[[#This Row],[MainFn]]+Inventory[[#This Row],[UpprFn]]+Inventory[[#This Row],[AddFn]]+Inventory[[#This Row],[FnBsmt]]</f>
        <v>2080</v>
      </c>
      <c r="Z659" s="32">
        <v>2500</v>
      </c>
      <c r="AA659" s="31" t="s">
        <v>56</v>
      </c>
      <c r="AB659" s="32"/>
      <c r="AC659" s="30">
        <v>400</v>
      </c>
      <c r="AD659" s="32"/>
      <c r="AE659" s="32"/>
      <c r="AF659" s="32"/>
      <c r="AG659" s="32"/>
      <c r="AH659" s="32"/>
      <c r="AI659" s="30">
        <v>365369</v>
      </c>
      <c r="AJ659" s="30">
        <v>332486</v>
      </c>
      <c r="AK659" s="30">
        <v>0</v>
      </c>
      <c r="AL659" s="30">
        <v>0</v>
      </c>
      <c r="AM659" s="30">
        <v>60800</v>
      </c>
      <c r="AN659" s="30">
        <v>332300</v>
      </c>
      <c r="AO659" s="30">
        <v>393100</v>
      </c>
      <c r="AP659" s="30">
        <f>Lookups!$B$58*0.6</f>
        <v>132535.48800000001</v>
      </c>
      <c r="AQ659" s="30">
        <f>Lookups!$B$58*0.4</f>
        <v>88356.992000000013</v>
      </c>
      <c r="AR659" s="30">
        <f>Lookups!$B$59*Inventory[[#This Row],[LnAcres]]</f>
        <v>-24051.387388882686</v>
      </c>
      <c r="AS659" s="30">
        <f>VLOOKUP(Inventory[[#This Row],[Qlty]],Lookups!$A$66:$E$79,2,FALSE)</f>
        <v>37154.252388000001</v>
      </c>
      <c r="AT659" s="30">
        <f>VLOOKUP(Inventory[[#This Row],[Cnd]],Lookups!$A$80:$E$88,2,FALSE)</f>
        <v>30300.329274</v>
      </c>
      <c r="AU659" s="30">
        <f>Inventory[[#This Row],[EffAge]]*Lookups!$B$65</f>
        <v>-1957.3398</v>
      </c>
      <c r="AV659" s="30">
        <f>Inventory[[#This Row],[MainFn]]*Lookups!$B$90</f>
        <v>64906.7952</v>
      </c>
      <c r="AW659" s="30">
        <f>Inventory[[#This Row],[UpprFn]]*Lookups!$B$91</f>
        <v>61963.598319999997</v>
      </c>
      <c r="AX659" s="30">
        <f>Inventory[[#This Row],[Bsmt Area]]*Lookups!$B$95</f>
        <v>0</v>
      </c>
      <c r="AY659" s="30">
        <f>Inventory[[#This Row],[AttGar]]*Lookups!$B$93</f>
        <v>14120.412400000001</v>
      </c>
      <c r="AZ659" s="30">
        <f>ROUND(Inventory[[#This Row],[25Det]],-2)</f>
        <v>0</v>
      </c>
      <c r="BA659" s="30">
        <f>ROUND(SUM(Inventory[[#This Row],[Mdl Qlty]:[Mdl Garage Area]])+Inventory[[#This Row],[Mdl Res Intercept]],-2)</f>
        <v>339000</v>
      </c>
      <c r="BB659" s="30">
        <f>ROUND(Inventory[[#This Row],[Mdl Land Intercept]]+Inventory[[#This Row],[Mdl LnAcres]],-2)</f>
        <v>64300</v>
      </c>
      <c r="BC659" s="30">
        <f>Inventory[[#This Row],[Unadj Res Value]]+Inventory[[#This Row],[Unadj Det Value]]+Inventory[[#This Row],[Unadj Land Value]]</f>
        <v>403300</v>
      </c>
      <c r="BD659" s="30">
        <f>(Inventory[[#This Row],[Unadj Total Value]]-Inventory[[#This Row],[24Final]])/Inventory[[#This Row],[24Final]]</f>
        <v>2.5947596031544135E-2</v>
      </c>
      <c r="BE659" s="30">
        <f>VLOOKUP(Inventory[[#This Row],[Nbhd]],Lookups!$M$3:$P$5,4,FALSE)</f>
        <v>0.99970000000000003</v>
      </c>
      <c r="BF659" s="30">
        <f>VLOOKUP(Inventory[[#This Row],[Qlty]],Lookups!$M$8:$P$22,4,FALSE)</f>
        <v>0.99819999999999998</v>
      </c>
      <c r="BG659" s="30">
        <f>VLOOKUP(Inventory[[#This Row],[Cnd]],Lookups!$R$8:$U$17,4,FALSE)</f>
        <v>0.997</v>
      </c>
      <c r="BH659" s="30">
        <f>VLOOKUP(Inventory[[#This Row],[LivArea Range]],Lookups!$R$25:$U$43,4,FALSE)</f>
        <v>1.0008999999999999</v>
      </c>
      <c r="BI659" s="30">
        <f>VLOOKUP(Inventory[[#This Row],[Decade]],Lookups!$M$24:$P$40,4,FALSE)</f>
        <v>1.0024</v>
      </c>
      <c r="BJ659" s="30">
        <f>Inventory[[#This Row],[Nbhd Adj]]*0.95</f>
        <v>0.94971499999999998</v>
      </c>
      <c r="BK659" s="30">
        <f>AVERAGE(Inventory[[#This Row],[Nbhd Adj]],Inventory[[#This Row],[Quality Adj]],Inventory[[#This Row],[Condition Adj]],Inventory[[#This Row],[Living Area Adj]],Inventory[[#This Row],[Decade Adj]])*0.95</f>
        <v>0.94965799999999989</v>
      </c>
      <c r="BL659" s="30">
        <f>ROUND((SUM(Inventory[[#This Row],[Mdl Qlty]:[Mdl Garage Area]])+Inventory[[#This Row],[Mdl Res Intercept]])*Inventory[[#This Row],[Res Adj ]],-2)</f>
        <v>322000</v>
      </c>
      <c r="BM659" s="30">
        <f>ROUND(Inventory[[#This Row],[25Det]]*Inventory[[#This Row],[Det/Nbhd Adj]],-2)</f>
        <v>0</v>
      </c>
      <c r="BN659" s="30">
        <f>Inventory[[#This Row],[Adjusted Res]]+Inventory[[#This Row],[Adj Det ]]</f>
        <v>322000</v>
      </c>
      <c r="BO659" s="30">
        <f>ROUND((Inventory[[#This Row],[Mdl Land Intercept]]+Inventory[[#This Row],[Mdl LnAcres]])*Inventory[[#This Row],[Det/Nbhd Adj]],-2)</f>
        <v>61100</v>
      </c>
      <c r="BP659" s="30">
        <f>Inventory[[#This Row],[Adjusted Impr Total]]+Inventory[[#This Row],[Adjusted Land Total]]</f>
        <v>383100</v>
      </c>
      <c r="BQ659" s="30">
        <f>IFERROR((Inventory[[#This Row],[Adjusted Impr Total]]-Inventory[[#This Row],[24Bldg]])/Inventory[[#This Row],[24Bldg]],0)</f>
        <v>-3.0996087872404453E-2</v>
      </c>
      <c r="BR659" s="43">
        <f>(Inventory[[#This Row],[Adjusted Land Total]]-Inventory[[#This Row],[24Lnd]])/Inventory[[#This Row],[24Lnd]]</f>
        <v>4.9342105263157892E-3</v>
      </c>
      <c r="BS659" s="43">
        <f>(Inventory[[#This Row],[Adjusted Total]]-Inventory[[#This Row],[24Final]])/Inventory[[#This Row],[24Final]]</f>
        <v>-2.5438819638768762E-2</v>
      </c>
    </row>
    <row r="660" spans="1:71">
      <c r="A660" s="30">
        <v>2025</v>
      </c>
      <c r="B660" s="31" t="s">
        <v>1175</v>
      </c>
      <c r="C660" s="31">
        <f>LN(Inventory[[#This Row],[Acres]])</f>
        <v>-1.8325814637483102</v>
      </c>
      <c r="D660" s="30">
        <v>0.16</v>
      </c>
      <c r="E660" s="30">
        <v>7078</v>
      </c>
      <c r="F660" s="31" t="s">
        <v>505</v>
      </c>
      <c r="G660" s="31" t="s">
        <v>155</v>
      </c>
      <c r="H660" s="31" t="s">
        <v>5</v>
      </c>
      <c r="I660" s="31" t="s">
        <v>506</v>
      </c>
      <c r="J660" s="31" t="s">
        <v>507</v>
      </c>
      <c r="K660" s="31" t="s">
        <v>193</v>
      </c>
      <c r="L660" s="31" t="s">
        <v>19</v>
      </c>
      <c r="M660" s="31" t="s">
        <v>22</v>
      </c>
      <c r="N660" s="31">
        <v>10</v>
      </c>
      <c r="O660" s="31">
        <f>2024-Inventory[[#This Row],[YrBlt]]</f>
        <v>18</v>
      </c>
      <c r="P660" s="31">
        <f>2024-Inventory[[#This Row],[EffYr]]</f>
        <v>18</v>
      </c>
      <c r="Q660" s="30">
        <v>2006</v>
      </c>
      <c r="R660" s="30">
        <v>2006</v>
      </c>
      <c r="S660" s="30">
        <v>1092</v>
      </c>
      <c r="T660" s="32"/>
      <c r="U660" s="32"/>
      <c r="V660" s="32"/>
      <c r="W660" s="32"/>
      <c r="X660" s="32">
        <f>Inventory[[#This Row],[Bsmt Area]]-Inventory[[#This Row],[FnBsmt]]</f>
        <v>0</v>
      </c>
      <c r="Y660" s="32">
        <f>Inventory[[#This Row],[MainFn]]+Inventory[[#This Row],[UpprFn]]+Inventory[[#This Row],[AddFn]]+Inventory[[#This Row],[FnBsmt]]</f>
        <v>1092</v>
      </c>
      <c r="Z660" s="32">
        <v>1500</v>
      </c>
      <c r="AA660" s="31" t="s">
        <v>56</v>
      </c>
      <c r="AB660" s="32"/>
      <c r="AC660" s="30">
        <v>440</v>
      </c>
      <c r="AD660" s="32"/>
      <c r="AE660" s="32"/>
      <c r="AF660" s="32"/>
      <c r="AG660" s="32"/>
      <c r="AH660" s="32"/>
      <c r="AI660" s="30">
        <v>232775</v>
      </c>
      <c r="AJ660" s="30">
        <v>214153</v>
      </c>
      <c r="AK660" s="30">
        <v>0</v>
      </c>
      <c r="AL660" s="30">
        <v>0</v>
      </c>
      <c r="AM660" s="30">
        <v>60800</v>
      </c>
      <c r="AN660" s="30">
        <v>293300</v>
      </c>
      <c r="AO660" s="30">
        <v>354100</v>
      </c>
      <c r="AP660" s="30">
        <f>Lookups!$B$58*0.6</f>
        <v>132535.48800000001</v>
      </c>
      <c r="AQ660" s="30">
        <f>Lookups!$B$58*0.4</f>
        <v>88356.992000000013</v>
      </c>
      <c r="AR660" s="30">
        <f>Lookups!$B$59*Inventory[[#This Row],[LnAcres]]</f>
        <v>-24051.387388882686</v>
      </c>
      <c r="AS660" s="30">
        <f>VLOOKUP(Inventory[[#This Row],[Qlty]],Lookups!$A$66:$E$79,2,FALSE)</f>
        <v>37154.252388000001</v>
      </c>
      <c r="AT660" s="30">
        <f>VLOOKUP(Inventory[[#This Row],[Cnd]],Lookups!$A$80:$E$88,2,FALSE)</f>
        <v>50438.379078999998</v>
      </c>
      <c r="AU660" s="30">
        <f>Inventory[[#This Row],[EffAge]]*Lookups!$B$65</f>
        <v>-1957.3398</v>
      </c>
      <c r="AV660" s="30">
        <f>Inventory[[#This Row],[MainFn]]*Lookups!$B$90</f>
        <v>68152.13496000001</v>
      </c>
      <c r="AW660" s="30">
        <f>Inventory[[#This Row],[UpprFn]]*Lookups!$B$91</f>
        <v>0</v>
      </c>
      <c r="AX660" s="30">
        <f>Inventory[[#This Row],[Bsmt Area]]*Lookups!$B$95</f>
        <v>0</v>
      </c>
      <c r="AY660" s="30">
        <f>Inventory[[#This Row],[AttGar]]*Lookups!$B$93</f>
        <v>15532.453640000002</v>
      </c>
      <c r="AZ660" s="30">
        <f>ROUND(Inventory[[#This Row],[25Det]],-2)</f>
        <v>0</v>
      </c>
      <c r="BA660" s="30">
        <f>ROUND(SUM(Inventory[[#This Row],[Mdl Qlty]:[Mdl Garage Area]])+Inventory[[#This Row],[Mdl Res Intercept]],-2)</f>
        <v>301900</v>
      </c>
      <c r="BB660" s="30">
        <f>ROUND(Inventory[[#This Row],[Mdl Land Intercept]]+Inventory[[#This Row],[Mdl LnAcres]],-2)</f>
        <v>64300</v>
      </c>
      <c r="BC660" s="30">
        <f>Inventory[[#This Row],[Unadj Res Value]]+Inventory[[#This Row],[Unadj Det Value]]+Inventory[[#This Row],[Unadj Land Value]]</f>
        <v>366200</v>
      </c>
      <c r="BD660" s="30">
        <f>(Inventory[[#This Row],[Unadj Total Value]]-Inventory[[#This Row],[24Final]])/Inventory[[#This Row],[24Final]]</f>
        <v>3.4171138096582884E-2</v>
      </c>
      <c r="BE660" s="30">
        <f>VLOOKUP(Inventory[[#This Row],[Nbhd]],Lookups!$M$3:$P$5,4,FALSE)</f>
        <v>0.99970000000000003</v>
      </c>
      <c r="BF660" s="30">
        <f>VLOOKUP(Inventory[[#This Row],[Qlty]],Lookups!$M$8:$P$22,4,FALSE)</f>
        <v>0.99819999999999998</v>
      </c>
      <c r="BG660" s="30">
        <f>VLOOKUP(Inventory[[#This Row],[Cnd]],Lookups!$R$8:$U$17,4,FALSE)</f>
        <v>1.0007999999999999</v>
      </c>
      <c r="BH660" s="30">
        <f>VLOOKUP(Inventory[[#This Row],[LivArea Range]],Lookups!$R$25:$U$43,4,FALSE)</f>
        <v>0.99519999999999997</v>
      </c>
      <c r="BI660" s="30">
        <f>VLOOKUP(Inventory[[#This Row],[Decade]],Lookups!$M$24:$P$40,4,FALSE)</f>
        <v>1.0024</v>
      </c>
      <c r="BJ660" s="30">
        <f>Inventory[[#This Row],[Nbhd Adj]]*0.95</f>
        <v>0.94971499999999998</v>
      </c>
      <c r="BK660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660" s="30">
        <f>ROUND((SUM(Inventory[[#This Row],[Mdl Qlty]:[Mdl Garage Area]])+Inventory[[#This Row],[Mdl Res Intercept]])*Inventory[[#This Row],[Res Adj ]],-2)</f>
        <v>286600</v>
      </c>
      <c r="BM660" s="30">
        <f>ROUND(Inventory[[#This Row],[25Det]]*Inventory[[#This Row],[Det/Nbhd Adj]],-2)</f>
        <v>0</v>
      </c>
      <c r="BN660" s="30">
        <f>Inventory[[#This Row],[Adjusted Res]]+Inventory[[#This Row],[Adj Det ]]</f>
        <v>286600</v>
      </c>
      <c r="BO660" s="30">
        <f>ROUND((Inventory[[#This Row],[Mdl Land Intercept]]+Inventory[[#This Row],[Mdl LnAcres]])*Inventory[[#This Row],[Det/Nbhd Adj]],-2)</f>
        <v>61100</v>
      </c>
      <c r="BP660" s="30">
        <f>Inventory[[#This Row],[Adjusted Impr Total]]+Inventory[[#This Row],[Adjusted Land Total]]</f>
        <v>347700</v>
      </c>
      <c r="BQ660" s="30">
        <f>IFERROR((Inventory[[#This Row],[Adjusted Impr Total]]-Inventory[[#This Row],[24Bldg]])/Inventory[[#This Row],[24Bldg]],0)</f>
        <v>-2.2843504943743608E-2</v>
      </c>
      <c r="BR660" s="43">
        <f>(Inventory[[#This Row],[Adjusted Land Total]]-Inventory[[#This Row],[24Lnd]])/Inventory[[#This Row],[24Lnd]]</f>
        <v>4.9342105263157892E-3</v>
      </c>
      <c r="BS660" s="43">
        <f>(Inventory[[#This Row],[Adjusted Total]]-Inventory[[#This Row],[24Final]])/Inventory[[#This Row],[24Final]]</f>
        <v>-1.8073990398192602E-2</v>
      </c>
    </row>
    <row r="661" spans="1:71">
      <c r="A661" s="30">
        <v>2025</v>
      </c>
      <c r="B661" s="31" t="s">
        <v>1176</v>
      </c>
      <c r="C661" s="31">
        <f>LN(Inventory[[#This Row],[Acres]])</f>
        <v>-1.8325814637483102</v>
      </c>
      <c r="D661" s="30">
        <v>0.16</v>
      </c>
      <c r="E661" s="30">
        <v>6778</v>
      </c>
      <c r="F661" s="31" t="s">
        <v>505</v>
      </c>
      <c r="G661" s="31" t="s">
        <v>155</v>
      </c>
      <c r="H661" s="31" t="s">
        <v>5</v>
      </c>
      <c r="I661" s="31" t="s">
        <v>506</v>
      </c>
      <c r="J661" s="31" t="s">
        <v>507</v>
      </c>
      <c r="K661" s="31" t="s">
        <v>157</v>
      </c>
      <c r="L661" s="31" t="s">
        <v>21</v>
      </c>
      <c r="M661" s="31" t="s">
        <v>20</v>
      </c>
      <c r="N661" s="31">
        <v>10</v>
      </c>
      <c r="O661" s="31">
        <f>2024-Inventory[[#This Row],[YrBlt]]</f>
        <v>18</v>
      </c>
      <c r="P661" s="31">
        <f>2024-Inventory[[#This Row],[EffYr]]</f>
        <v>18</v>
      </c>
      <c r="Q661" s="30">
        <v>2006</v>
      </c>
      <c r="R661" s="30">
        <v>2006</v>
      </c>
      <c r="S661" s="30">
        <v>1116</v>
      </c>
      <c r="T661" s="30">
        <v>1116</v>
      </c>
      <c r="U661" s="32"/>
      <c r="V661" s="32"/>
      <c r="W661" s="32"/>
      <c r="X661" s="32">
        <f>Inventory[[#This Row],[Bsmt Area]]-Inventory[[#This Row],[FnBsmt]]</f>
        <v>0</v>
      </c>
      <c r="Y661" s="32">
        <f>Inventory[[#This Row],[MainFn]]+Inventory[[#This Row],[UpprFn]]+Inventory[[#This Row],[AddFn]]+Inventory[[#This Row],[FnBsmt]]</f>
        <v>2232</v>
      </c>
      <c r="Z661" s="32">
        <v>2500</v>
      </c>
      <c r="AA661" s="31" t="s">
        <v>56</v>
      </c>
      <c r="AB661" s="37"/>
      <c r="AC661" s="30">
        <v>716</v>
      </c>
      <c r="AD661" s="32"/>
      <c r="AE661" s="32"/>
      <c r="AF661" s="32"/>
      <c r="AG661" s="32"/>
      <c r="AH661" s="32"/>
      <c r="AI661" s="30">
        <v>454315</v>
      </c>
      <c r="AJ661" s="30">
        <v>413427</v>
      </c>
      <c r="AK661" s="30">
        <v>0</v>
      </c>
      <c r="AL661" s="30">
        <v>0</v>
      </c>
      <c r="AM661" s="30">
        <v>60800</v>
      </c>
      <c r="AN661" s="30">
        <v>347300</v>
      </c>
      <c r="AO661" s="30">
        <v>408100</v>
      </c>
      <c r="AP661" s="30">
        <f>Lookups!$B$58*0.6</f>
        <v>132535.48800000001</v>
      </c>
      <c r="AQ661" s="30">
        <f>Lookups!$B$58*0.4</f>
        <v>88356.992000000013</v>
      </c>
      <c r="AR661" s="30">
        <f>Lookups!$B$59*Inventory[[#This Row],[LnAcres]]</f>
        <v>-24051.387388882686</v>
      </c>
      <c r="AS661" s="30">
        <f>VLOOKUP(Inventory[[#This Row],[Qlty]],Lookups!$A$66:$E$79,2,FALSE)</f>
        <v>32917.849192000001</v>
      </c>
      <c r="AT661" s="30">
        <f>VLOOKUP(Inventory[[#This Row],[Cnd]],Lookups!$A$80:$E$88,2,FALSE)</f>
        <v>30300.329274</v>
      </c>
      <c r="AU661" s="30">
        <f>Inventory[[#This Row],[EffAge]]*Lookups!$B$65</f>
        <v>-1957.3398</v>
      </c>
      <c r="AV661" s="30">
        <f>Inventory[[#This Row],[MainFn]]*Lookups!$B$90</f>
        <v>69649.984080000009</v>
      </c>
      <c r="AW661" s="30">
        <f>Inventory[[#This Row],[UpprFn]]*Lookups!$B$91</f>
        <v>66491.707427999994</v>
      </c>
      <c r="AX661" s="30">
        <f>Inventory[[#This Row],[Bsmt Area]]*Lookups!$B$95</f>
        <v>0</v>
      </c>
      <c r="AY661" s="30">
        <f>Inventory[[#This Row],[AttGar]]*Lookups!$B$93</f>
        <v>25275.538196000001</v>
      </c>
      <c r="AZ661" s="30">
        <f>ROUND(Inventory[[#This Row],[25Det]],-2)</f>
        <v>0</v>
      </c>
      <c r="BA661" s="30">
        <f>ROUND(SUM(Inventory[[#This Row],[Mdl Qlty]:[Mdl Garage Area]])+Inventory[[#This Row],[Mdl Res Intercept]],-2)</f>
        <v>355200</v>
      </c>
      <c r="BB661" s="30">
        <f>ROUND(Inventory[[#This Row],[Mdl Land Intercept]]+Inventory[[#This Row],[Mdl LnAcres]],-2)</f>
        <v>64300</v>
      </c>
      <c r="BC661" s="30">
        <f>Inventory[[#This Row],[Unadj Res Value]]+Inventory[[#This Row],[Unadj Det Value]]+Inventory[[#This Row],[Unadj Land Value]]</f>
        <v>419500</v>
      </c>
      <c r="BD661" s="30">
        <f>(Inventory[[#This Row],[Unadj Total Value]]-Inventory[[#This Row],[24Final]])/Inventory[[#This Row],[24Final]]</f>
        <v>2.7934329821122275E-2</v>
      </c>
      <c r="BE661" s="30">
        <f>VLOOKUP(Inventory[[#This Row],[Nbhd]],Lookups!$M$3:$P$5,4,FALSE)</f>
        <v>0.99970000000000003</v>
      </c>
      <c r="BF661" s="30">
        <f>VLOOKUP(Inventory[[#This Row],[Qlty]],Lookups!$M$8:$P$22,4,FALSE)</f>
        <v>1.0019</v>
      </c>
      <c r="BG661" s="30">
        <f>VLOOKUP(Inventory[[#This Row],[Cnd]],Lookups!$R$8:$U$17,4,FALSE)</f>
        <v>0.997</v>
      </c>
      <c r="BH661" s="30">
        <f>VLOOKUP(Inventory[[#This Row],[LivArea Range]],Lookups!$R$25:$U$43,4,FALSE)</f>
        <v>1.0008999999999999</v>
      </c>
      <c r="BI661" s="30">
        <f>VLOOKUP(Inventory[[#This Row],[Decade]],Lookups!$M$24:$P$40,4,FALSE)</f>
        <v>1.0024</v>
      </c>
      <c r="BJ661" s="30">
        <f>Inventory[[#This Row],[Nbhd Adj]]*0.95</f>
        <v>0.94971499999999998</v>
      </c>
      <c r="BK661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661" s="30">
        <f>ROUND((SUM(Inventory[[#This Row],[Mdl Qlty]:[Mdl Garage Area]])+Inventory[[#This Row],[Mdl Res Intercept]])*Inventory[[#This Row],[Res Adj ]],-2)</f>
        <v>337600</v>
      </c>
      <c r="BM661" s="30">
        <f>ROUND(Inventory[[#This Row],[25Det]]*Inventory[[#This Row],[Det/Nbhd Adj]],-2)</f>
        <v>0</v>
      </c>
      <c r="BN661" s="30">
        <f>Inventory[[#This Row],[Adjusted Res]]+Inventory[[#This Row],[Adj Det ]]</f>
        <v>337600</v>
      </c>
      <c r="BO661" s="30">
        <f>ROUND((Inventory[[#This Row],[Mdl Land Intercept]]+Inventory[[#This Row],[Mdl LnAcres]])*Inventory[[#This Row],[Det/Nbhd Adj]],-2)</f>
        <v>61100</v>
      </c>
      <c r="BP661" s="30">
        <f>Inventory[[#This Row],[Adjusted Impr Total]]+Inventory[[#This Row],[Adjusted Land Total]]</f>
        <v>398700</v>
      </c>
      <c r="BQ661" s="30">
        <f>IFERROR((Inventory[[#This Row],[Adjusted Impr Total]]-Inventory[[#This Row],[24Bldg]])/Inventory[[#This Row],[24Bldg]],0)</f>
        <v>-2.7929743737402823E-2</v>
      </c>
      <c r="BR661" s="43">
        <f>(Inventory[[#This Row],[Adjusted Land Total]]-Inventory[[#This Row],[24Lnd]])/Inventory[[#This Row],[24Lnd]]</f>
        <v>4.9342105263157892E-3</v>
      </c>
      <c r="BS661" s="43">
        <f>(Inventory[[#This Row],[Adjusted Total]]-Inventory[[#This Row],[24Final]])/Inventory[[#This Row],[24Final]]</f>
        <v>-2.3033570203381523E-2</v>
      </c>
    </row>
    <row r="662" spans="1:71">
      <c r="A662" s="30">
        <v>2025</v>
      </c>
      <c r="B662" s="31" t="s">
        <v>1177</v>
      </c>
      <c r="C662" s="31">
        <f>LN(Inventory[[#This Row],[Acres]])</f>
        <v>-1.8325814637483102</v>
      </c>
      <c r="D662" s="30">
        <v>0.16</v>
      </c>
      <c r="E662" s="30">
        <v>6866</v>
      </c>
      <c r="F662" s="31" t="s">
        <v>505</v>
      </c>
      <c r="G662" s="31" t="s">
        <v>155</v>
      </c>
      <c r="H662" s="31" t="s">
        <v>5</v>
      </c>
      <c r="I662" s="31" t="s">
        <v>506</v>
      </c>
      <c r="J662" s="31" t="s">
        <v>507</v>
      </c>
      <c r="K662" s="31" t="s">
        <v>157</v>
      </c>
      <c r="L662" s="31" t="s">
        <v>21</v>
      </c>
      <c r="M662" s="31" t="s">
        <v>20</v>
      </c>
      <c r="N662" s="31">
        <v>10</v>
      </c>
      <c r="O662" s="31">
        <f>2024-Inventory[[#This Row],[YrBlt]]</f>
        <v>18</v>
      </c>
      <c r="P662" s="31">
        <f>2024-Inventory[[#This Row],[EffYr]]</f>
        <v>18</v>
      </c>
      <c r="Q662" s="30">
        <v>2006</v>
      </c>
      <c r="R662" s="30">
        <v>2006</v>
      </c>
      <c r="S662" s="30">
        <v>1116</v>
      </c>
      <c r="T662" s="38">
        <v>1116</v>
      </c>
      <c r="U662" s="32"/>
      <c r="V662" s="32"/>
      <c r="W662" s="32"/>
      <c r="X662" s="32">
        <f>Inventory[[#This Row],[Bsmt Area]]-Inventory[[#This Row],[FnBsmt]]</f>
        <v>0</v>
      </c>
      <c r="Y662" s="32">
        <f>Inventory[[#This Row],[MainFn]]+Inventory[[#This Row],[UpprFn]]+Inventory[[#This Row],[AddFn]]+Inventory[[#This Row],[FnBsmt]]</f>
        <v>2232</v>
      </c>
      <c r="Z662" s="32">
        <v>2500</v>
      </c>
      <c r="AA662" s="31" t="s">
        <v>56</v>
      </c>
      <c r="AB662" s="38">
        <v>1</v>
      </c>
      <c r="AC662" s="30">
        <v>704</v>
      </c>
      <c r="AD662" s="32"/>
      <c r="AE662" s="32"/>
      <c r="AF662" s="32"/>
      <c r="AG662" s="32"/>
      <c r="AH662" s="32"/>
      <c r="AI662" s="30">
        <v>452629</v>
      </c>
      <c r="AJ662" s="30">
        <v>411892</v>
      </c>
      <c r="AK662" s="30">
        <v>0</v>
      </c>
      <c r="AL662" s="30">
        <v>0</v>
      </c>
      <c r="AM662" s="30">
        <v>60800</v>
      </c>
      <c r="AN662" s="30">
        <v>346800</v>
      </c>
      <c r="AO662" s="30">
        <v>407600</v>
      </c>
      <c r="AP662" s="30">
        <f>Lookups!$B$58*0.6</f>
        <v>132535.48800000001</v>
      </c>
      <c r="AQ662" s="30">
        <f>Lookups!$B$58*0.4</f>
        <v>88356.992000000013</v>
      </c>
      <c r="AR662" s="30">
        <f>Lookups!$B$59*Inventory[[#This Row],[LnAcres]]</f>
        <v>-24051.387388882686</v>
      </c>
      <c r="AS662" s="30">
        <f>VLOOKUP(Inventory[[#This Row],[Qlty]],Lookups!$A$66:$E$79,2,FALSE)</f>
        <v>32917.849192000001</v>
      </c>
      <c r="AT662" s="30">
        <f>VLOOKUP(Inventory[[#This Row],[Cnd]],Lookups!$A$80:$E$88,2,FALSE)</f>
        <v>30300.329274</v>
      </c>
      <c r="AU662" s="30">
        <f>Inventory[[#This Row],[EffAge]]*Lookups!$B$65</f>
        <v>-1957.3398</v>
      </c>
      <c r="AV662" s="30">
        <f>Inventory[[#This Row],[MainFn]]*Lookups!$B$90</f>
        <v>69649.984080000009</v>
      </c>
      <c r="AW662" s="30">
        <f>Inventory[[#This Row],[UpprFn]]*Lookups!$B$91</f>
        <v>66491.707427999994</v>
      </c>
      <c r="AX662" s="30">
        <f>Inventory[[#This Row],[Bsmt Area]]*Lookups!$B$95</f>
        <v>0</v>
      </c>
      <c r="AY662" s="30">
        <f>Inventory[[#This Row],[AttGar]]*Lookups!$B$93</f>
        <v>24851.925824000002</v>
      </c>
      <c r="AZ662" s="30">
        <f>ROUND(Inventory[[#This Row],[25Det]],-2)</f>
        <v>0</v>
      </c>
      <c r="BA662" s="30">
        <f>ROUND(SUM(Inventory[[#This Row],[Mdl Qlty]:[Mdl Garage Area]])+Inventory[[#This Row],[Mdl Res Intercept]],-2)</f>
        <v>354800</v>
      </c>
      <c r="BB662" s="30">
        <f>ROUND(Inventory[[#This Row],[Mdl Land Intercept]]+Inventory[[#This Row],[Mdl LnAcres]],-2)</f>
        <v>64300</v>
      </c>
      <c r="BC662" s="30">
        <f>Inventory[[#This Row],[Unadj Res Value]]+Inventory[[#This Row],[Unadj Det Value]]+Inventory[[#This Row],[Unadj Land Value]]</f>
        <v>419100</v>
      </c>
      <c r="BD662" s="30">
        <f>(Inventory[[#This Row],[Unadj Total Value]]-Inventory[[#This Row],[24Final]])/Inventory[[#This Row],[24Final]]</f>
        <v>2.8213935230618253E-2</v>
      </c>
      <c r="BE662" s="30">
        <f>VLOOKUP(Inventory[[#This Row],[Nbhd]],Lookups!$M$3:$P$5,4,FALSE)</f>
        <v>0.99970000000000003</v>
      </c>
      <c r="BF662" s="30">
        <f>VLOOKUP(Inventory[[#This Row],[Qlty]],Lookups!$M$8:$P$22,4,FALSE)</f>
        <v>1.0019</v>
      </c>
      <c r="BG662" s="30">
        <f>VLOOKUP(Inventory[[#This Row],[Cnd]],Lookups!$R$8:$U$17,4,FALSE)</f>
        <v>0.997</v>
      </c>
      <c r="BH662" s="30">
        <f>VLOOKUP(Inventory[[#This Row],[LivArea Range]],Lookups!$R$25:$U$43,4,FALSE)</f>
        <v>1.0008999999999999</v>
      </c>
      <c r="BI662" s="30">
        <f>VLOOKUP(Inventory[[#This Row],[Decade]],Lookups!$M$24:$P$40,4,FALSE)</f>
        <v>1.0024</v>
      </c>
      <c r="BJ662" s="30">
        <f>Inventory[[#This Row],[Nbhd Adj]]*0.95</f>
        <v>0.94971499999999998</v>
      </c>
      <c r="BK662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662" s="30">
        <f>ROUND((SUM(Inventory[[#This Row],[Mdl Qlty]:[Mdl Garage Area]])+Inventory[[#This Row],[Mdl Res Intercept]])*Inventory[[#This Row],[Res Adj ]],-2)</f>
        <v>337200</v>
      </c>
      <c r="BM662" s="30">
        <f>ROUND(Inventory[[#This Row],[25Det]]*Inventory[[#This Row],[Det/Nbhd Adj]],-2)</f>
        <v>0</v>
      </c>
      <c r="BN662" s="30">
        <f>Inventory[[#This Row],[Adjusted Res]]+Inventory[[#This Row],[Adj Det ]]</f>
        <v>337200</v>
      </c>
      <c r="BO662" s="30">
        <f>ROUND((Inventory[[#This Row],[Mdl Land Intercept]]+Inventory[[#This Row],[Mdl LnAcres]])*Inventory[[#This Row],[Det/Nbhd Adj]],-2)</f>
        <v>61100</v>
      </c>
      <c r="BP662" s="30">
        <f>Inventory[[#This Row],[Adjusted Impr Total]]+Inventory[[#This Row],[Adjusted Land Total]]</f>
        <v>398300</v>
      </c>
      <c r="BQ662" s="30">
        <f>IFERROR((Inventory[[#This Row],[Adjusted Impr Total]]-Inventory[[#This Row],[24Bldg]])/Inventory[[#This Row],[24Bldg]],0)</f>
        <v>-2.768166089965398E-2</v>
      </c>
      <c r="BR662" s="43">
        <f>(Inventory[[#This Row],[Adjusted Land Total]]-Inventory[[#This Row],[24Lnd]])/Inventory[[#This Row],[24Lnd]]</f>
        <v>4.9342105263157892E-3</v>
      </c>
      <c r="BS662" s="43">
        <f>(Inventory[[#This Row],[Adjusted Total]]-Inventory[[#This Row],[24Final]])/Inventory[[#This Row],[24Final]]</f>
        <v>-2.2816486751717369E-2</v>
      </c>
    </row>
    <row r="663" spans="1:71">
      <c r="A663" s="30">
        <v>2025</v>
      </c>
      <c r="B663" s="31" t="s">
        <v>1178</v>
      </c>
      <c r="C663" s="31">
        <f>LN(Inventory[[#This Row],[Acres]])</f>
        <v>-1.8325814637483102</v>
      </c>
      <c r="D663" s="30">
        <v>0.16</v>
      </c>
      <c r="E663" s="30">
        <v>7004</v>
      </c>
      <c r="F663" s="31" t="s">
        <v>505</v>
      </c>
      <c r="G663" s="31" t="s">
        <v>155</v>
      </c>
      <c r="H663" s="31" t="s">
        <v>5</v>
      </c>
      <c r="I663" s="31" t="s">
        <v>506</v>
      </c>
      <c r="J663" s="31" t="s">
        <v>507</v>
      </c>
      <c r="K663" s="31" t="s">
        <v>193</v>
      </c>
      <c r="L663" s="31" t="s">
        <v>19</v>
      </c>
      <c r="M663" s="31" t="s">
        <v>22</v>
      </c>
      <c r="N663" s="31">
        <v>10</v>
      </c>
      <c r="O663" s="31">
        <f>2024-Inventory[[#This Row],[YrBlt]]</f>
        <v>18</v>
      </c>
      <c r="P663" s="31">
        <f>2024-Inventory[[#This Row],[EffYr]]</f>
        <v>18</v>
      </c>
      <c r="Q663" s="30">
        <v>2006</v>
      </c>
      <c r="R663" s="30">
        <v>2006</v>
      </c>
      <c r="S663" s="30">
        <v>1420</v>
      </c>
      <c r="T663" s="32"/>
      <c r="U663" s="32"/>
      <c r="V663" s="32"/>
      <c r="W663" s="32"/>
      <c r="X663" s="32">
        <f>Inventory[[#This Row],[Bsmt Area]]-Inventory[[#This Row],[FnBsmt]]</f>
        <v>0</v>
      </c>
      <c r="Y663" s="32">
        <f>Inventory[[#This Row],[MainFn]]+Inventory[[#This Row],[UpprFn]]+Inventory[[#This Row],[AddFn]]+Inventory[[#This Row],[FnBsmt]]</f>
        <v>1420</v>
      </c>
      <c r="Z663" s="32">
        <v>1500</v>
      </c>
      <c r="AA663" s="31" t="s">
        <v>56</v>
      </c>
      <c r="AB663" s="37"/>
      <c r="AC663" s="30">
        <v>400</v>
      </c>
      <c r="AD663" s="32"/>
      <c r="AE663" s="32"/>
      <c r="AF663" s="32"/>
      <c r="AG663" s="32"/>
      <c r="AH663" s="32"/>
      <c r="AI663" s="30">
        <v>292551</v>
      </c>
      <c r="AJ663" s="30">
        <v>269147</v>
      </c>
      <c r="AK663" s="30">
        <v>0</v>
      </c>
      <c r="AL663" s="30">
        <v>0</v>
      </c>
      <c r="AM663" s="30">
        <v>60800</v>
      </c>
      <c r="AN663" s="30">
        <v>312100</v>
      </c>
      <c r="AO663" s="30">
        <v>372900</v>
      </c>
      <c r="AP663" s="30">
        <f>Lookups!$B$58*0.6</f>
        <v>132535.48800000001</v>
      </c>
      <c r="AQ663" s="30">
        <f>Lookups!$B$58*0.4</f>
        <v>88356.992000000013</v>
      </c>
      <c r="AR663" s="30">
        <f>Lookups!$B$59*Inventory[[#This Row],[LnAcres]]</f>
        <v>-24051.387388882686</v>
      </c>
      <c r="AS663" s="30">
        <f>VLOOKUP(Inventory[[#This Row],[Qlty]],Lookups!$A$66:$E$79,2,FALSE)</f>
        <v>37154.252388000001</v>
      </c>
      <c r="AT663" s="30">
        <f>VLOOKUP(Inventory[[#This Row],[Cnd]],Lookups!$A$80:$E$88,2,FALSE)</f>
        <v>50438.379078999998</v>
      </c>
      <c r="AU663" s="30">
        <f>Inventory[[#This Row],[EffAge]]*Lookups!$B$65</f>
        <v>-1957.3398</v>
      </c>
      <c r="AV663" s="30">
        <f>Inventory[[#This Row],[MainFn]]*Lookups!$B$90</f>
        <v>88622.739600000001</v>
      </c>
      <c r="AW663" s="30">
        <f>Inventory[[#This Row],[UpprFn]]*Lookups!$B$91</f>
        <v>0</v>
      </c>
      <c r="AX663" s="30">
        <f>Inventory[[#This Row],[Bsmt Area]]*Lookups!$B$95</f>
        <v>0</v>
      </c>
      <c r="AY663" s="30">
        <f>Inventory[[#This Row],[AttGar]]*Lookups!$B$93</f>
        <v>14120.412400000001</v>
      </c>
      <c r="AZ663" s="30">
        <f>ROUND(Inventory[[#This Row],[25Det]],-2)</f>
        <v>0</v>
      </c>
      <c r="BA663" s="30">
        <f>ROUND(SUM(Inventory[[#This Row],[Mdl Qlty]:[Mdl Garage Area]])+Inventory[[#This Row],[Mdl Res Intercept]],-2)</f>
        <v>320900</v>
      </c>
      <c r="BB663" s="30">
        <f>ROUND(Inventory[[#This Row],[Mdl Land Intercept]]+Inventory[[#This Row],[Mdl LnAcres]],-2)</f>
        <v>64300</v>
      </c>
      <c r="BC663" s="30">
        <f>Inventory[[#This Row],[Unadj Res Value]]+Inventory[[#This Row],[Unadj Det Value]]+Inventory[[#This Row],[Unadj Land Value]]</f>
        <v>385200</v>
      </c>
      <c r="BD663" s="30">
        <f>(Inventory[[#This Row],[Unadj Total Value]]-Inventory[[#This Row],[24Final]])/Inventory[[#This Row],[24Final]]</f>
        <v>3.2984714400643607E-2</v>
      </c>
      <c r="BE663" s="30">
        <f>VLOOKUP(Inventory[[#This Row],[Nbhd]],Lookups!$M$3:$P$5,4,FALSE)</f>
        <v>0.99970000000000003</v>
      </c>
      <c r="BF663" s="30">
        <f>VLOOKUP(Inventory[[#This Row],[Qlty]],Lookups!$M$8:$P$22,4,FALSE)</f>
        <v>0.99819999999999998</v>
      </c>
      <c r="BG663" s="30">
        <f>VLOOKUP(Inventory[[#This Row],[Cnd]],Lookups!$R$8:$U$17,4,FALSE)</f>
        <v>1.0007999999999999</v>
      </c>
      <c r="BH663" s="30">
        <f>VLOOKUP(Inventory[[#This Row],[LivArea Range]],Lookups!$R$25:$U$43,4,FALSE)</f>
        <v>0.99519999999999997</v>
      </c>
      <c r="BI663" s="30">
        <f>VLOOKUP(Inventory[[#This Row],[Decade]],Lookups!$M$24:$P$40,4,FALSE)</f>
        <v>1.0024</v>
      </c>
      <c r="BJ663" s="30">
        <f>Inventory[[#This Row],[Nbhd Adj]]*0.95</f>
        <v>0.94971499999999998</v>
      </c>
      <c r="BK663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663" s="30">
        <f>ROUND((SUM(Inventory[[#This Row],[Mdl Qlty]:[Mdl Garage Area]])+Inventory[[#This Row],[Mdl Res Intercept]])*Inventory[[#This Row],[Res Adj ]],-2)</f>
        <v>304600</v>
      </c>
      <c r="BM663" s="30">
        <f>ROUND(Inventory[[#This Row],[25Det]]*Inventory[[#This Row],[Det/Nbhd Adj]],-2)</f>
        <v>0</v>
      </c>
      <c r="BN663" s="30">
        <f>Inventory[[#This Row],[Adjusted Res]]+Inventory[[#This Row],[Adj Det ]]</f>
        <v>304600</v>
      </c>
      <c r="BO663" s="30">
        <f>ROUND((Inventory[[#This Row],[Mdl Land Intercept]]+Inventory[[#This Row],[Mdl LnAcres]])*Inventory[[#This Row],[Det/Nbhd Adj]],-2)</f>
        <v>61100</v>
      </c>
      <c r="BP663" s="30">
        <f>Inventory[[#This Row],[Adjusted Impr Total]]+Inventory[[#This Row],[Adjusted Land Total]]</f>
        <v>365700</v>
      </c>
      <c r="BQ663" s="30">
        <f>IFERROR((Inventory[[#This Row],[Adjusted Impr Total]]-Inventory[[#This Row],[24Bldg]])/Inventory[[#This Row],[24Bldg]],0)</f>
        <v>-2.4030759371996155E-2</v>
      </c>
      <c r="BR663" s="43">
        <f>(Inventory[[#This Row],[Adjusted Land Total]]-Inventory[[#This Row],[24Lnd]])/Inventory[[#This Row],[24Lnd]]</f>
        <v>4.9342105263157892E-3</v>
      </c>
      <c r="BS663" s="43">
        <f>(Inventory[[#This Row],[Adjusted Total]]-Inventory[[#This Row],[24Final]])/Inventory[[#This Row],[24Final]]</f>
        <v>-1.9308125502815767E-2</v>
      </c>
    </row>
    <row r="664" spans="1:71">
      <c r="A664" s="30">
        <v>2025</v>
      </c>
      <c r="B664" s="31" t="s">
        <v>1179</v>
      </c>
      <c r="C664" s="31">
        <f>LN(Inventory[[#This Row],[Acres]])</f>
        <v>-1.8325814637483102</v>
      </c>
      <c r="D664" s="30">
        <v>0.16</v>
      </c>
      <c r="E664" s="30">
        <v>7085</v>
      </c>
      <c r="F664" s="31" t="s">
        <v>505</v>
      </c>
      <c r="G664" s="31" t="s">
        <v>155</v>
      </c>
      <c r="H664" s="31" t="s">
        <v>5</v>
      </c>
      <c r="I664" s="31" t="s">
        <v>506</v>
      </c>
      <c r="J664" s="31" t="s">
        <v>507</v>
      </c>
      <c r="K664" s="31" t="s">
        <v>193</v>
      </c>
      <c r="L664" s="31" t="s">
        <v>19</v>
      </c>
      <c r="M664" s="31" t="s">
        <v>20</v>
      </c>
      <c r="N664" s="31">
        <v>10</v>
      </c>
      <c r="O664" s="31">
        <f>2024-Inventory[[#This Row],[YrBlt]]</f>
        <v>18</v>
      </c>
      <c r="P664" s="31">
        <f>2024-Inventory[[#This Row],[EffYr]]</f>
        <v>18</v>
      </c>
      <c r="Q664" s="30">
        <v>2006</v>
      </c>
      <c r="R664" s="30">
        <v>2006</v>
      </c>
      <c r="S664" s="30">
        <v>1380</v>
      </c>
      <c r="T664" s="32"/>
      <c r="U664" s="32"/>
      <c r="V664" s="32"/>
      <c r="W664" s="32"/>
      <c r="X664" s="32">
        <f>Inventory[[#This Row],[Bsmt Area]]-Inventory[[#This Row],[FnBsmt]]</f>
        <v>0</v>
      </c>
      <c r="Y664" s="32">
        <f>Inventory[[#This Row],[MainFn]]+Inventory[[#This Row],[UpprFn]]+Inventory[[#This Row],[AddFn]]+Inventory[[#This Row],[FnBsmt]]</f>
        <v>1380</v>
      </c>
      <c r="Z664" s="32">
        <v>1500</v>
      </c>
      <c r="AA664" s="31" t="s">
        <v>56</v>
      </c>
      <c r="AB664" s="32"/>
      <c r="AC664" s="30">
        <v>428</v>
      </c>
      <c r="AD664" s="32"/>
      <c r="AE664" s="32"/>
      <c r="AF664" s="32"/>
      <c r="AG664" s="32"/>
      <c r="AH664" s="32"/>
      <c r="AI664" s="30">
        <v>275698</v>
      </c>
      <c r="AJ664" s="30">
        <v>250885</v>
      </c>
      <c r="AK664" s="30">
        <v>0</v>
      </c>
      <c r="AL664" s="30">
        <v>0</v>
      </c>
      <c r="AM664" s="30">
        <v>60800</v>
      </c>
      <c r="AN664" s="30">
        <v>289800</v>
      </c>
      <c r="AO664" s="30">
        <v>350600</v>
      </c>
      <c r="AP664" s="30">
        <f>Lookups!$B$58*0.6</f>
        <v>132535.48800000001</v>
      </c>
      <c r="AQ664" s="30">
        <f>Lookups!$B$58*0.4</f>
        <v>88356.992000000013</v>
      </c>
      <c r="AR664" s="30">
        <f>Lookups!$B$59*Inventory[[#This Row],[LnAcres]]</f>
        <v>-24051.387388882686</v>
      </c>
      <c r="AS664" s="30">
        <f>VLOOKUP(Inventory[[#This Row],[Qlty]],Lookups!$A$66:$E$79,2,FALSE)</f>
        <v>37154.252388000001</v>
      </c>
      <c r="AT664" s="30">
        <f>VLOOKUP(Inventory[[#This Row],[Cnd]],Lookups!$A$80:$E$88,2,FALSE)</f>
        <v>30300.329274</v>
      </c>
      <c r="AU664" s="30">
        <f>Inventory[[#This Row],[EffAge]]*Lookups!$B$65</f>
        <v>-1957.3398</v>
      </c>
      <c r="AV664" s="30">
        <f>Inventory[[#This Row],[MainFn]]*Lookups!$B$90</f>
        <v>86126.324399999998</v>
      </c>
      <c r="AW664" s="30">
        <f>Inventory[[#This Row],[UpprFn]]*Lookups!$B$91</f>
        <v>0</v>
      </c>
      <c r="AX664" s="30">
        <f>Inventory[[#This Row],[Bsmt Area]]*Lookups!$B$95</f>
        <v>0</v>
      </c>
      <c r="AY664" s="30">
        <f>Inventory[[#This Row],[AttGar]]*Lookups!$B$93</f>
        <v>15108.841268</v>
      </c>
      <c r="AZ664" s="30">
        <f>ROUND(Inventory[[#This Row],[25Det]],-2)</f>
        <v>0</v>
      </c>
      <c r="BA664" s="30">
        <f>ROUND(SUM(Inventory[[#This Row],[Mdl Qlty]:[Mdl Garage Area]])+Inventory[[#This Row],[Mdl Res Intercept]],-2)</f>
        <v>299300</v>
      </c>
      <c r="BB664" s="30">
        <f>ROUND(Inventory[[#This Row],[Mdl Land Intercept]]+Inventory[[#This Row],[Mdl LnAcres]],-2)</f>
        <v>64300</v>
      </c>
      <c r="BC664" s="30">
        <f>Inventory[[#This Row],[Unadj Res Value]]+Inventory[[#This Row],[Unadj Det Value]]+Inventory[[#This Row],[Unadj Land Value]]</f>
        <v>363600</v>
      </c>
      <c r="BD664" s="30">
        <f>(Inventory[[#This Row],[Unadj Total Value]]-Inventory[[#This Row],[24Final]])/Inventory[[#This Row],[24Final]]</f>
        <v>3.7079292641186534E-2</v>
      </c>
      <c r="BE664" s="30">
        <f>VLOOKUP(Inventory[[#This Row],[Nbhd]],Lookups!$M$3:$P$5,4,FALSE)</f>
        <v>0.99970000000000003</v>
      </c>
      <c r="BF664" s="30">
        <f>VLOOKUP(Inventory[[#This Row],[Qlty]],Lookups!$M$8:$P$22,4,FALSE)</f>
        <v>0.99819999999999998</v>
      </c>
      <c r="BG664" s="30">
        <f>VLOOKUP(Inventory[[#This Row],[Cnd]],Lookups!$R$8:$U$17,4,FALSE)</f>
        <v>0.997</v>
      </c>
      <c r="BH664" s="30">
        <f>VLOOKUP(Inventory[[#This Row],[LivArea Range]],Lookups!$R$25:$U$43,4,FALSE)</f>
        <v>0.99519999999999997</v>
      </c>
      <c r="BI664" s="30">
        <f>VLOOKUP(Inventory[[#This Row],[Decade]],Lookups!$M$24:$P$40,4,FALSE)</f>
        <v>1.0024</v>
      </c>
      <c r="BJ664" s="30">
        <f>Inventory[[#This Row],[Nbhd Adj]]*0.95</f>
        <v>0.94971499999999998</v>
      </c>
      <c r="BK664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664" s="30">
        <f>ROUND((SUM(Inventory[[#This Row],[Mdl Qlty]:[Mdl Garage Area]])+Inventory[[#This Row],[Mdl Res Intercept]])*Inventory[[#This Row],[Res Adj ]],-2)</f>
        <v>283900</v>
      </c>
      <c r="BM664" s="30">
        <f>ROUND(Inventory[[#This Row],[25Det]]*Inventory[[#This Row],[Det/Nbhd Adj]],-2)</f>
        <v>0</v>
      </c>
      <c r="BN664" s="30">
        <f>Inventory[[#This Row],[Adjusted Res]]+Inventory[[#This Row],[Adj Det ]]</f>
        <v>283900</v>
      </c>
      <c r="BO664" s="30">
        <f>ROUND((Inventory[[#This Row],[Mdl Land Intercept]]+Inventory[[#This Row],[Mdl LnAcres]])*Inventory[[#This Row],[Det/Nbhd Adj]],-2)</f>
        <v>61100</v>
      </c>
      <c r="BP664" s="30">
        <f>Inventory[[#This Row],[Adjusted Impr Total]]+Inventory[[#This Row],[Adjusted Land Total]]</f>
        <v>345000</v>
      </c>
      <c r="BQ664" s="30">
        <f>IFERROR((Inventory[[#This Row],[Adjusted Impr Total]]-Inventory[[#This Row],[24Bldg]])/Inventory[[#This Row],[24Bldg]],0)</f>
        <v>-2.035886818495514E-2</v>
      </c>
      <c r="BR664" s="43">
        <f>(Inventory[[#This Row],[Adjusted Land Total]]-Inventory[[#This Row],[24Lnd]])/Inventory[[#This Row],[24Lnd]]</f>
        <v>4.9342105263157892E-3</v>
      </c>
      <c r="BS664" s="43">
        <f>(Inventory[[#This Row],[Adjusted Total]]-Inventory[[#This Row],[24Final]])/Inventory[[#This Row],[24Final]]</f>
        <v>-1.5972618368511125E-2</v>
      </c>
    </row>
    <row r="665" spans="1:71">
      <c r="A665" s="30">
        <v>2025</v>
      </c>
      <c r="B665" s="31" t="s">
        <v>1180</v>
      </c>
      <c r="C665" s="31">
        <f>LN(Inventory[[#This Row],[Acres]])</f>
        <v>-1.8325814637483102</v>
      </c>
      <c r="D665" s="30">
        <v>0.16</v>
      </c>
      <c r="E665" s="30">
        <v>7018</v>
      </c>
      <c r="F665" s="31" t="s">
        <v>505</v>
      </c>
      <c r="G665" s="31" t="s">
        <v>155</v>
      </c>
      <c r="H665" s="31" t="s">
        <v>5</v>
      </c>
      <c r="I665" s="31" t="s">
        <v>506</v>
      </c>
      <c r="J665" s="31" t="s">
        <v>507</v>
      </c>
      <c r="K665" s="31" t="s">
        <v>157</v>
      </c>
      <c r="L665" s="31" t="s">
        <v>19</v>
      </c>
      <c r="M665" s="31" t="s">
        <v>22</v>
      </c>
      <c r="N665" s="31">
        <v>10</v>
      </c>
      <c r="O665" s="31">
        <f>2024-Inventory[[#This Row],[YrBlt]]</f>
        <v>18</v>
      </c>
      <c r="P665" s="31">
        <f>2024-Inventory[[#This Row],[EffYr]]</f>
        <v>18</v>
      </c>
      <c r="Q665" s="30">
        <v>2006</v>
      </c>
      <c r="R665" s="30">
        <v>2006</v>
      </c>
      <c r="S665" s="30">
        <v>1040</v>
      </c>
      <c r="T665" s="38">
        <v>1040</v>
      </c>
      <c r="U665" s="32"/>
      <c r="V665" s="32"/>
      <c r="W665" s="32"/>
      <c r="X665" s="32">
        <f>Inventory[[#This Row],[Bsmt Area]]-Inventory[[#This Row],[FnBsmt]]</f>
        <v>0</v>
      </c>
      <c r="Y665" s="32">
        <f>Inventory[[#This Row],[MainFn]]+Inventory[[#This Row],[UpprFn]]+Inventory[[#This Row],[AddFn]]+Inventory[[#This Row],[FnBsmt]]</f>
        <v>2080</v>
      </c>
      <c r="Z665" s="32">
        <v>2500</v>
      </c>
      <c r="AA665" s="31" t="s">
        <v>56</v>
      </c>
      <c r="AB665" s="32"/>
      <c r="AC665" s="30">
        <v>440</v>
      </c>
      <c r="AD665" s="32"/>
      <c r="AE665" s="32"/>
      <c r="AF665" s="32"/>
      <c r="AG665" s="32"/>
      <c r="AH665" s="32"/>
      <c r="AI665" s="30">
        <v>370173</v>
      </c>
      <c r="AJ665" s="30">
        <v>340559</v>
      </c>
      <c r="AK665" s="30">
        <v>0</v>
      </c>
      <c r="AL665" s="30">
        <v>0</v>
      </c>
      <c r="AM665" s="30">
        <v>60800</v>
      </c>
      <c r="AN665" s="30">
        <v>352000</v>
      </c>
      <c r="AO665" s="30">
        <v>412800</v>
      </c>
      <c r="AP665" s="30">
        <f>Lookups!$B$58*0.6</f>
        <v>132535.48800000001</v>
      </c>
      <c r="AQ665" s="30">
        <f>Lookups!$B$58*0.4</f>
        <v>88356.992000000013</v>
      </c>
      <c r="AR665" s="30">
        <f>Lookups!$B$59*Inventory[[#This Row],[LnAcres]]</f>
        <v>-24051.387388882686</v>
      </c>
      <c r="AS665" s="30">
        <f>VLOOKUP(Inventory[[#This Row],[Qlty]],Lookups!$A$66:$E$79,2,FALSE)</f>
        <v>37154.252388000001</v>
      </c>
      <c r="AT665" s="30">
        <f>VLOOKUP(Inventory[[#This Row],[Cnd]],Lookups!$A$80:$E$88,2,FALSE)</f>
        <v>50438.379078999998</v>
      </c>
      <c r="AU665" s="30">
        <f>Inventory[[#This Row],[EffAge]]*Lookups!$B$65</f>
        <v>-1957.3398</v>
      </c>
      <c r="AV665" s="30">
        <f>Inventory[[#This Row],[MainFn]]*Lookups!$B$90</f>
        <v>64906.7952</v>
      </c>
      <c r="AW665" s="30">
        <f>Inventory[[#This Row],[UpprFn]]*Lookups!$B$91</f>
        <v>61963.598319999997</v>
      </c>
      <c r="AX665" s="30">
        <f>Inventory[[#This Row],[Bsmt Area]]*Lookups!$B$95</f>
        <v>0</v>
      </c>
      <c r="AY665" s="30">
        <f>Inventory[[#This Row],[AttGar]]*Lookups!$B$93</f>
        <v>15532.453640000002</v>
      </c>
      <c r="AZ665" s="30">
        <f>ROUND(Inventory[[#This Row],[25Det]],-2)</f>
        <v>0</v>
      </c>
      <c r="BA665" s="30">
        <f>ROUND(SUM(Inventory[[#This Row],[Mdl Qlty]:[Mdl Garage Area]])+Inventory[[#This Row],[Mdl Res Intercept]],-2)</f>
        <v>360600</v>
      </c>
      <c r="BB665" s="30">
        <f>ROUND(Inventory[[#This Row],[Mdl Land Intercept]]+Inventory[[#This Row],[Mdl LnAcres]],-2)</f>
        <v>64300</v>
      </c>
      <c r="BC665" s="30">
        <f>Inventory[[#This Row],[Unadj Res Value]]+Inventory[[#This Row],[Unadj Det Value]]+Inventory[[#This Row],[Unadj Land Value]]</f>
        <v>424900</v>
      </c>
      <c r="BD665" s="30">
        <f>(Inventory[[#This Row],[Unadj Total Value]]-Inventory[[#This Row],[24Final]])/Inventory[[#This Row],[24Final]]</f>
        <v>2.9312015503875969E-2</v>
      </c>
      <c r="BE665" s="30">
        <f>VLOOKUP(Inventory[[#This Row],[Nbhd]],Lookups!$M$3:$P$5,4,FALSE)</f>
        <v>0.99970000000000003</v>
      </c>
      <c r="BF665" s="30">
        <f>VLOOKUP(Inventory[[#This Row],[Qlty]],Lookups!$M$8:$P$22,4,FALSE)</f>
        <v>0.99819999999999998</v>
      </c>
      <c r="BG665" s="30">
        <f>VLOOKUP(Inventory[[#This Row],[Cnd]],Lookups!$R$8:$U$17,4,FALSE)</f>
        <v>1.0007999999999999</v>
      </c>
      <c r="BH665" s="30">
        <f>VLOOKUP(Inventory[[#This Row],[LivArea Range]],Lookups!$R$25:$U$43,4,FALSE)</f>
        <v>1.0008999999999999</v>
      </c>
      <c r="BI665" s="30">
        <f>VLOOKUP(Inventory[[#This Row],[Decade]],Lookups!$M$24:$P$40,4,FALSE)</f>
        <v>1.0024</v>
      </c>
      <c r="BJ665" s="30">
        <f>Inventory[[#This Row],[Nbhd Adj]]*0.95</f>
        <v>0.94971499999999998</v>
      </c>
      <c r="BK665" s="30">
        <f>AVERAGE(Inventory[[#This Row],[Nbhd Adj]],Inventory[[#This Row],[Quality Adj]],Inventory[[#This Row],[Condition Adj]],Inventory[[#This Row],[Living Area Adj]],Inventory[[#This Row],[Decade Adj]])*0.95</f>
        <v>0.95037999999999989</v>
      </c>
      <c r="BL665" s="30">
        <f>ROUND((SUM(Inventory[[#This Row],[Mdl Qlty]:[Mdl Garage Area]])+Inventory[[#This Row],[Mdl Res Intercept]])*Inventory[[#This Row],[Res Adj ]],-2)</f>
        <v>342700</v>
      </c>
      <c r="BM665" s="30">
        <f>ROUND(Inventory[[#This Row],[25Det]]*Inventory[[#This Row],[Det/Nbhd Adj]],-2)</f>
        <v>0</v>
      </c>
      <c r="BN665" s="30">
        <f>Inventory[[#This Row],[Adjusted Res]]+Inventory[[#This Row],[Adj Det ]]</f>
        <v>342700</v>
      </c>
      <c r="BO665" s="30">
        <f>ROUND((Inventory[[#This Row],[Mdl Land Intercept]]+Inventory[[#This Row],[Mdl LnAcres]])*Inventory[[#This Row],[Det/Nbhd Adj]],-2)</f>
        <v>61100</v>
      </c>
      <c r="BP665" s="30">
        <f>Inventory[[#This Row],[Adjusted Impr Total]]+Inventory[[#This Row],[Adjusted Land Total]]</f>
        <v>403800</v>
      </c>
      <c r="BQ665" s="30">
        <f>IFERROR((Inventory[[#This Row],[Adjusted Impr Total]]-Inventory[[#This Row],[24Bldg]])/Inventory[[#This Row],[24Bldg]],0)</f>
        <v>-2.6420454545454546E-2</v>
      </c>
      <c r="BR665" s="43">
        <f>(Inventory[[#This Row],[Adjusted Land Total]]-Inventory[[#This Row],[24Lnd]])/Inventory[[#This Row],[24Lnd]]</f>
        <v>4.9342105263157892E-3</v>
      </c>
      <c r="BS665" s="43">
        <f>(Inventory[[#This Row],[Adjusted Total]]-Inventory[[#This Row],[24Final]])/Inventory[[#This Row],[24Final]]</f>
        <v>-2.1802325581395349E-2</v>
      </c>
    </row>
    <row r="666" spans="1:71">
      <c r="A666" s="30">
        <v>2025</v>
      </c>
      <c r="B666" s="31" t="s">
        <v>1181</v>
      </c>
      <c r="C666" s="31">
        <f>LN(Inventory[[#This Row],[Acres]])</f>
        <v>-1.8325814637483102</v>
      </c>
      <c r="D666" s="30">
        <v>0.16</v>
      </c>
      <c r="E666" s="30">
        <v>7106</v>
      </c>
      <c r="F666" s="31" t="s">
        <v>505</v>
      </c>
      <c r="G666" s="31" t="s">
        <v>155</v>
      </c>
      <c r="H666" s="31" t="s">
        <v>5</v>
      </c>
      <c r="I666" s="31" t="s">
        <v>506</v>
      </c>
      <c r="J666" s="31" t="s">
        <v>507</v>
      </c>
      <c r="K666" s="31" t="s">
        <v>193</v>
      </c>
      <c r="L666" s="31" t="s">
        <v>21</v>
      </c>
      <c r="M666" s="31" t="s">
        <v>20</v>
      </c>
      <c r="N666" s="31">
        <v>10</v>
      </c>
      <c r="O666" s="31">
        <f>2024-Inventory[[#This Row],[YrBlt]]</f>
        <v>18</v>
      </c>
      <c r="P666" s="31">
        <f>2024-Inventory[[#This Row],[EffYr]]</f>
        <v>18</v>
      </c>
      <c r="Q666" s="30">
        <v>2006</v>
      </c>
      <c r="R666" s="30">
        <v>2006</v>
      </c>
      <c r="S666" s="30">
        <v>1382</v>
      </c>
      <c r="T666" s="37"/>
      <c r="U666" s="32"/>
      <c r="V666" s="32"/>
      <c r="W666" s="32"/>
      <c r="X666" s="32">
        <f>Inventory[[#This Row],[Bsmt Area]]-Inventory[[#This Row],[FnBsmt]]</f>
        <v>0</v>
      </c>
      <c r="Y666" s="32">
        <f>Inventory[[#This Row],[MainFn]]+Inventory[[#This Row],[UpprFn]]+Inventory[[#This Row],[AddFn]]+Inventory[[#This Row],[FnBsmt]]</f>
        <v>1382</v>
      </c>
      <c r="Z666" s="32">
        <v>1500</v>
      </c>
      <c r="AA666" s="31" t="s">
        <v>56</v>
      </c>
      <c r="AB666" s="37"/>
      <c r="AC666" s="30">
        <v>426</v>
      </c>
      <c r="AD666" s="37"/>
      <c r="AE666" s="32"/>
      <c r="AF666" s="32"/>
      <c r="AG666" s="32"/>
      <c r="AH666" s="32"/>
      <c r="AI666" s="30">
        <v>324528</v>
      </c>
      <c r="AJ666" s="30">
        <v>295320</v>
      </c>
      <c r="AK666" s="30">
        <v>0</v>
      </c>
      <c r="AL666" s="30">
        <v>0</v>
      </c>
      <c r="AM666" s="30">
        <v>60800</v>
      </c>
      <c r="AN666" s="30">
        <v>285500</v>
      </c>
      <c r="AO666" s="30">
        <v>346300</v>
      </c>
      <c r="AP666" s="30">
        <f>Lookups!$B$58*0.6</f>
        <v>132535.48800000001</v>
      </c>
      <c r="AQ666" s="30">
        <f>Lookups!$B$58*0.4</f>
        <v>88356.992000000013</v>
      </c>
      <c r="AR666" s="30">
        <f>Lookups!$B$59*Inventory[[#This Row],[LnAcres]]</f>
        <v>-24051.387388882686</v>
      </c>
      <c r="AS666" s="30">
        <f>VLOOKUP(Inventory[[#This Row],[Qlty]],Lookups!$A$66:$E$79,2,FALSE)</f>
        <v>32917.849192000001</v>
      </c>
      <c r="AT666" s="30">
        <f>VLOOKUP(Inventory[[#This Row],[Cnd]],Lookups!$A$80:$E$88,2,FALSE)</f>
        <v>30300.329274</v>
      </c>
      <c r="AU666" s="30">
        <f>Inventory[[#This Row],[EffAge]]*Lookups!$B$65</f>
        <v>-1957.3398</v>
      </c>
      <c r="AV666" s="30">
        <f>Inventory[[#This Row],[MainFn]]*Lookups!$B$90</f>
        <v>86251.14516</v>
      </c>
      <c r="AW666" s="30">
        <f>Inventory[[#This Row],[UpprFn]]*Lookups!$B$91</f>
        <v>0</v>
      </c>
      <c r="AX666" s="30">
        <f>Inventory[[#This Row],[Bsmt Area]]*Lookups!$B$95</f>
        <v>0</v>
      </c>
      <c r="AY666" s="30">
        <f>Inventory[[#This Row],[AttGar]]*Lookups!$B$93</f>
        <v>15038.239206</v>
      </c>
      <c r="AZ666" s="30">
        <f>ROUND(Inventory[[#This Row],[25Det]],-2)</f>
        <v>0</v>
      </c>
      <c r="BA666" s="30">
        <f>ROUND(SUM(Inventory[[#This Row],[Mdl Qlty]:[Mdl Garage Area]])+Inventory[[#This Row],[Mdl Res Intercept]],-2)</f>
        <v>295100</v>
      </c>
      <c r="BB666" s="30">
        <f>ROUND(Inventory[[#This Row],[Mdl Land Intercept]]+Inventory[[#This Row],[Mdl LnAcres]],-2)</f>
        <v>64300</v>
      </c>
      <c r="BC666" s="30">
        <f>Inventory[[#This Row],[Unadj Res Value]]+Inventory[[#This Row],[Unadj Det Value]]+Inventory[[#This Row],[Unadj Land Value]]</f>
        <v>359400</v>
      </c>
      <c r="BD666" s="30">
        <f>(Inventory[[#This Row],[Unadj Total Value]]-Inventory[[#This Row],[24Final]])/Inventory[[#This Row],[24Final]]</f>
        <v>3.782847242275484E-2</v>
      </c>
      <c r="BE666" s="30">
        <f>VLOOKUP(Inventory[[#This Row],[Nbhd]],Lookups!$M$3:$P$5,4,FALSE)</f>
        <v>0.99970000000000003</v>
      </c>
      <c r="BF666" s="30">
        <f>VLOOKUP(Inventory[[#This Row],[Qlty]],Lookups!$M$8:$P$22,4,FALSE)</f>
        <v>1.0019</v>
      </c>
      <c r="BG666" s="30">
        <f>VLOOKUP(Inventory[[#This Row],[Cnd]],Lookups!$R$8:$U$17,4,FALSE)</f>
        <v>0.997</v>
      </c>
      <c r="BH666" s="30">
        <f>VLOOKUP(Inventory[[#This Row],[LivArea Range]],Lookups!$R$25:$U$43,4,FALSE)</f>
        <v>0.99519999999999997</v>
      </c>
      <c r="BI666" s="30">
        <f>VLOOKUP(Inventory[[#This Row],[Decade]],Lookups!$M$24:$P$40,4,FALSE)</f>
        <v>1.0024</v>
      </c>
      <c r="BJ666" s="30">
        <f>Inventory[[#This Row],[Nbhd Adj]]*0.95</f>
        <v>0.94971499999999998</v>
      </c>
      <c r="BK666" s="30">
        <f>AVERAGE(Inventory[[#This Row],[Nbhd Adj]],Inventory[[#This Row],[Quality Adj]],Inventory[[#This Row],[Condition Adj]],Inventory[[#This Row],[Living Area Adj]],Inventory[[#This Row],[Decade Adj]])*0.95</f>
        <v>0.94927799999999996</v>
      </c>
      <c r="BL666" s="30">
        <f>ROUND((SUM(Inventory[[#This Row],[Mdl Qlty]:[Mdl Garage Area]])+Inventory[[#This Row],[Mdl Res Intercept]])*Inventory[[#This Row],[Res Adj ]],-2)</f>
        <v>280100</v>
      </c>
      <c r="BM666" s="30">
        <f>ROUND(Inventory[[#This Row],[25Det]]*Inventory[[#This Row],[Det/Nbhd Adj]],-2)</f>
        <v>0</v>
      </c>
      <c r="BN666" s="30">
        <f>Inventory[[#This Row],[Adjusted Res]]+Inventory[[#This Row],[Adj Det ]]</f>
        <v>280100</v>
      </c>
      <c r="BO666" s="30">
        <f>ROUND((Inventory[[#This Row],[Mdl Land Intercept]]+Inventory[[#This Row],[Mdl LnAcres]])*Inventory[[#This Row],[Det/Nbhd Adj]],-2)</f>
        <v>61100</v>
      </c>
      <c r="BP666" s="30">
        <f>Inventory[[#This Row],[Adjusted Impr Total]]+Inventory[[#This Row],[Adjusted Land Total]]</f>
        <v>341200</v>
      </c>
      <c r="BQ666" s="30">
        <f>IFERROR((Inventory[[#This Row],[Adjusted Impr Total]]-Inventory[[#This Row],[24Bldg]])/Inventory[[#This Row],[24Bldg]],0)</f>
        <v>-1.8914185639229423E-2</v>
      </c>
      <c r="BR666" s="43">
        <f>(Inventory[[#This Row],[Adjusted Land Total]]-Inventory[[#This Row],[24Lnd]])/Inventory[[#This Row],[24Lnd]]</f>
        <v>4.9342105263157892E-3</v>
      </c>
      <c r="BS666" s="43">
        <f>(Inventory[[#This Row],[Adjusted Total]]-Inventory[[#This Row],[24Final]])/Inventory[[#This Row],[24Final]]</f>
        <v>-1.4727115218019058E-2</v>
      </c>
    </row>
    <row r="667" spans="1:71">
      <c r="A667" s="30">
        <v>2025</v>
      </c>
      <c r="B667" s="31" t="s">
        <v>1182</v>
      </c>
      <c r="C667" s="31">
        <f>LN(Inventory[[#This Row],[Acres]])</f>
        <v>-1.8325814637483102</v>
      </c>
      <c r="D667" s="30">
        <v>0.16</v>
      </c>
      <c r="E667" s="30">
        <v>7000</v>
      </c>
      <c r="F667" s="31" t="s">
        <v>505</v>
      </c>
      <c r="G667" s="31" t="s">
        <v>155</v>
      </c>
      <c r="H667" s="31" t="s">
        <v>5</v>
      </c>
      <c r="I667" s="31" t="s">
        <v>506</v>
      </c>
      <c r="J667" s="31" t="s">
        <v>507</v>
      </c>
      <c r="K667" s="31" t="s">
        <v>193</v>
      </c>
      <c r="L667" s="31" t="s">
        <v>19</v>
      </c>
      <c r="M667" s="31" t="s">
        <v>20</v>
      </c>
      <c r="N667" s="31">
        <v>10</v>
      </c>
      <c r="O667" s="31">
        <f>2024-Inventory[[#This Row],[YrBlt]]</f>
        <v>18</v>
      </c>
      <c r="P667" s="31">
        <f>2024-Inventory[[#This Row],[EffYr]]</f>
        <v>18</v>
      </c>
      <c r="Q667" s="30">
        <v>2006</v>
      </c>
      <c r="R667" s="30">
        <v>2006</v>
      </c>
      <c r="S667" s="30">
        <v>1380</v>
      </c>
      <c r="T667" s="37"/>
      <c r="U667" s="32"/>
      <c r="V667" s="32"/>
      <c r="W667" s="32"/>
      <c r="X667" s="32">
        <f>Inventory[[#This Row],[Bsmt Area]]-Inventory[[#This Row],[FnBsmt]]</f>
        <v>0</v>
      </c>
      <c r="Y667" s="32">
        <f>Inventory[[#This Row],[MainFn]]+Inventory[[#This Row],[UpprFn]]+Inventory[[#This Row],[AddFn]]+Inventory[[#This Row],[FnBsmt]]</f>
        <v>1380</v>
      </c>
      <c r="Z667" s="32">
        <v>1500</v>
      </c>
      <c r="AA667" s="31" t="s">
        <v>56</v>
      </c>
      <c r="AB667" s="32"/>
      <c r="AC667" s="30">
        <v>428</v>
      </c>
      <c r="AD667" s="32"/>
      <c r="AE667" s="32"/>
      <c r="AF667" s="32"/>
      <c r="AG667" s="32"/>
      <c r="AH667" s="32"/>
      <c r="AI667" s="30">
        <v>273487</v>
      </c>
      <c r="AJ667" s="30">
        <v>248873</v>
      </c>
      <c r="AK667" s="30">
        <v>0</v>
      </c>
      <c r="AL667" s="30">
        <v>0</v>
      </c>
      <c r="AM667" s="30">
        <v>60800</v>
      </c>
      <c r="AN667" s="30">
        <v>288500</v>
      </c>
      <c r="AO667" s="30">
        <v>349300</v>
      </c>
      <c r="AP667" s="30">
        <f>Lookups!$B$58*0.6</f>
        <v>132535.48800000001</v>
      </c>
      <c r="AQ667" s="30">
        <f>Lookups!$B$58*0.4</f>
        <v>88356.992000000013</v>
      </c>
      <c r="AR667" s="30">
        <f>Lookups!$B$59*Inventory[[#This Row],[LnAcres]]</f>
        <v>-24051.387388882686</v>
      </c>
      <c r="AS667" s="30">
        <f>VLOOKUP(Inventory[[#This Row],[Qlty]],Lookups!$A$66:$E$79,2,FALSE)</f>
        <v>37154.252388000001</v>
      </c>
      <c r="AT667" s="30">
        <f>VLOOKUP(Inventory[[#This Row],[Cnd]],Lookups!$A$80:$E$88,2,FALSE)</f>
        <v>30300.329274</v>
      </c>
      <c r="AU667" s="30">
        <f>Inventory[[#This Row],[EffAge]]*Lookups!$B$65</f>
        <v>-1957.3398</v>
      </c>
      <c r="AV667" s="30">
        <f>Inventory[[#This Row],[MainFn]]*Lookups!$B$90</f>
        <v>86126.324399999998</v>
      </c>
      <c r="AW667" s="30">
        <f>Inventory[[#This Row],[UpprFn]]*Lookups!$B$91</f>
        <v>0</v>
      </c>
      <c r="AX667" s="30">
        <f>Inventory[[#This Row],[Bsmt Area]]*Lookups!$B$95</f>
        <v>0</v>
      </c>
      <c r="AY667" s="30">
        <f>Inventory[[#This Row],[AttGar]]*Lookups!$B$93</f>
        <v>15108.841268</v>
      </c>
      <c r="AZ667" s="30">
        <f>ROUND(Inventory[[#This Row],[25Det]],-2)</f>
        <v>0</v>
      </c>
      <c r="BA667" s="30">
        <f>ROUND(SUM(Inventory[[#This Row],[Mdl Qlty]:[Mdl Garage Area]])+Inventory[[#This Row],[Mdl Res Intercept]],-2)</f>
        <v>299300</v>
      </c>
      <c r="BB667" s="30">
        <f>ROUND(Inventory[[#This Row],[Mdl Land Intercept]]+Inventory[[#This Row],[Mdl LnAcres]],-2)</f>
        <v>64300</v>
      </c>
      <c r="BC667" s="30">
        <f>Inventory[[#This Row],[Unadj Res Value]]+Inventory[[#This Row],[Unadj Det Value]]+Inventory[[#This Row],[Unadj Land Value]]</f>
        <v>363600</v>
      </c>
      <c r="BD667" s="30">
        <f>(Inventory[[#This Row],[Unadj Total Value]]-Inventory[[#This Row],[24Final]])/Inventory[[#This Row],[24Final]]</f>
        <v>4.0939020898940741E-2</v>
      </c>
      <c r="BE667" s="30">
        <f>VLOOKUP(Inventory[[#This Row],[Nbhd]],Lookups!$M$3:$P$5,4,FALSE)</f>
        <v>0.99970000000000003</v>
      </c>
      <c r="BF667" s="30">
        <f>VLOOKUP(Inventory[[#This Row],[Qlty]],Lookups!$M$8:$P$22,4,FALSE)</f>
        <v>0.99819999999999998</v>
      </c>
      <c r="BG667" s="30">
        <f>VLOOKUP(Inventory[[#This Row],[Cnd]],Lookups!$R$8:$U$17,4,FALSE)</f>
        <v>0.997</v>
      </c>
      <c r="BH667" s="30">
        <f>VLOOKUP(Inventory[[#This Row],[LivArea Range]],Lookups!$R$25:$U$43,4,FALSE)</f>
        <v>0.99519999999999997</v>
      </c>
      <c r="BI667" s="30">
        <f>VLOOKUP(Inventory[[#This Row],[Decade]],Lookups!$M$24:$P$40,4,FALSE)</f>
        <v>1.0024</v>
      </c>
      <c r="BJ667" s="30">
        <f>Inventory[[#This Row],[Nbhd Adj]]*0.95</f>
        <v>0.94971499999999998</v>
      </c>
      <c r="BK667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667" s="30">
        <f>ROUND((SUM(Inventory[[#This Row],[Mdl Qlty]:[Mdl Garage Area]])+Inventory[[#This Row],[Mdl Res Intercept]])*Inventory[[#This Row],[Res Adj ]],-2)</f>
        <v>283900</v>
      </c>
      <c r="BM667" s="30">
        <f>ROUND(Inventory[[#This Row],[25Det]]*Inventory[[#This Row],[Det/Nbhd Adj]],-2)</f>
        <v>0</v>
      </c>
      <c r="BN667" s="30">
        <f>Inventory[[#This Row],[Adjusted Res]]+Inventory[[#This Row],[Adj Det ]]</f>
        <v>283900</v>
      </c>
      <c r="BO667" s="30">
        <f>ROUND((Inventory[[#This Row],[Mdl Land Intercept]]+Inventory[[#This Row],[Mdl LnAcres]])*Inventory[[#This Row],[Det/Nbhd Adj]],-2)</f>
        <v>61100</v>
      </c>
      <c r="BP667" s="30">
        <f>Inventory[[#This Row],[Adjusted Impr Total]]+Inventory[[#This Row],[Adjusted Land Total]]</f>
        <v>345000</v>
      </c>
      <c r="BQ667" s="30">
        <f>IFERROR((Inventory[[#This Row],[Adjusted Impr Total]]-Inventory[[#This Row],[24Bldg]])/Inventory[[#This Row],[24Bldg]],0)</f>
        <v>-1.5944540727902946E-2</v>
      </c>
      <c r="BR667" s="43">
        <f>(Inventory[[#This Row],[Adjusted Land Total]]-Inventory[[#This Row],[24Lnd]])/Inventory[[#This Row],[24Lnd]]</f>
        <v>4.9342105263157892E-3</v>
      </c>
      <c r="BS667" s="43">
        <f>(Inventory[[#This Row],[Adjusted Total]]-Inventory[[#This Row],[24Final]])/Inventory[[#This Row],[24Final]]</f>
        <v>-1.2310334955625536E-2</v>
      </c>
    </row>
    <row r="668" spans="1:71">
      <c r="A668" s="30">
        <v>2025</v>
      </c>
      <c r="B668" s="31" t="s">
        <v>1183</v>
      </c>
      <c r="C668" s="31">
        <f>LN(Inventory[[#This Row],[Acres]])</f>
        <v>-1.8325814637483102</v>
      </c>
      <c r="D668" s="30">
        <v>0.16</v>
      </c>
      <c r="E668" s="30">
        <v>6998</v>
      </c>
      <c r="F668" s="31" t="s">
        <v>505</v>
      </c>
      <c r="G668" s="31" t="s">
        <v>155</v>
      </c>
      <c r="H668" s="31" t="s">
        <v>5</v>
      </c>
      <c r="I668" s="31" t="s">
        <v>506</v>
      </c>
      <c r="J668" s="31" t="s">
        <v>507</v>
      </c>
      <c r="K668" s="31" t="s">
        <v>193</v>
      </c>
      <c r="L668" s="31" t="s">
        <v>19</v>
      </c>
      <c r="M668" s="31" t="s">
        <v>20</v>
      </c>
      <c r="N668" s="31">
        <v>10</v>
      </c>
      <c r="O668" s="31">
        <f>2024-Inventory[[#This Row],[YrBlt]]</f>
        <v>18</v>
      </c>
      <c r="P668" s="31">
        <f>2024-Inventory[[#This Row],[EffYr]]</f>
        <v>18</v>
      </c>
      <c r="Q668" s="30">
        <v>2006</v>
      </c>
      <c r="R668" s="30">
        <v>2006</v>
      </c>
      <c r="S668" s="30">
        <v>1436</v>
      </c>
      <c r="T668" s="32"/>
      <c r="U668" s="32"/>
      <c r="V668" s="32"/>
      <c r="W668" s="32"/>
      <c r="X668" s="32">
        <f>Inventory[[#This Row],[Bsmt Area]]-Inventory[[#This Row],[FnBsmt]]</f>
        <v>0</v>
      </c>
      <c r="Y668" s="32">
        <f>Inventory[[#This Row],[MainFn]]+Inventory[[#This Row],[UpprFn]]+Inventory[[#This Row],[AddFn]]+Inventory[[#This Row],[FnBsmt]]</f>
        <v>1436</v>
      </c>
      <c r="Z668" s="32">
        <v>1500</v>
      </c>
      <c r="AA668" s="31" t="s">
        <v>56</v>
      </c>
      <c r="AB668" s="32"/>
      <c r="AC668" s="30">
        <v>400</v>
      </c>
      <c r="AD668" s="32"/>
      <c r="AE668" s="32"/>
      <c r="AF668" s="32"/>
      <c r="AG668" s="32"/>
      <c r="AH668" s="32"/>
      <c r="AI668" s="30">
        <v>280937</v>
      </c>
      <c r="AJ668" s="30">
        <v>255653</v>
      </c>
      <c r="AK668" s="30">
        <v>0</v>
      </c>
      <c r="AL668" s="30">
        <v>0</v>
      </c>
      <c r="AM668" s="30">
        <v>60800</v>
      </c>
      <c r="AN668" s="30">
        <v>290300</v>
      </c>
      <c r="AO668" s="30">
        <v>351100</v>
      </c>
      <c r="AP668" s="30">
        <f>Lookups!$B$58*0.6</f>
        <v>132535.48800000001</v>
      </c>
      <c r="AQ668" s="30">
        <f>Lookups!$B$58*0.4</f>
        <v>88356.992000000013</v>
      </c>
      <c r="AR668" s="30">
        <f>Lookups!$B$59*Inventory[[#This Row],[LnAcres]]</f>
        <v>-24051.387388882686</v>
      </c>
      <c r="AS668" s="30">
        <f>VLOOKUP(Inventory[[#This Row],[Qlty]],Lookups!$A$66:$E$79,2,FALSE)</f>
        <v>37154.252388000001</v>
      </c>
      <c r="AT668" s="30">
        <f>VLOOKUP(Inventory[[#This Row],[Cnd]],Lookups!$A$80:$E$88,2,FALSE)</f>
        <v>30300.329274</v>
      </c>
      <c r="AU668" s="30">
        <f>Inventory[[#This Row],[EffAge]]*Lookups!$B$65</f>
        <v>-1957.3398</v>
      </c>
      <c r="AV668" s="30">
        <f>Inventory[[#This Row],[MainFn]]*Lookups!$B$90</f>
        <v>89621.305680000005</v>
      </c>
      <c r="AW668" s="30">
        <f>Inventory[[#This Row],[UpprFn]]*Lookups!$B$91</f>
        <v>0</v>
      </c>
      <c r="AX668" s="30">
        <f>Inventory[[#This Row],[Bsmt Area]]*Lookups!$B$95</f>
        <v>0</v>
      </c>
      <c r="AY668" s="30">
        <f>Inventory[[#This Row],[AttGar]]*Lookups!$B$93</f>
        <v>14120.412400000001</v>
      </c>
      <c r="AZ668" s="30">
        <f>ROUND(Inventory[[#This Row],[25Det]],-2)</f>
        <v>0</v>
      </c>
      <c r="BA668" s="30">
        <f>ROUND(SUM(Inventory[[#This Row],[Mdl Qlty]:[Mdl Garage Area]])+Inventory[[#This Row],[Mdl Res Intercept]],-2)</f>
        <v>301800</v>
      </c>
      <c r="BB668" s="30">
        <f>ROUND(Inventory[[#This Row],[Mdl Land Intercept]]+Inventory[[#This Row],[Mdl LnAcres]],-2)</f>
        <v>64300</v>
      </c>
      <c r="BC668" s="30">
        <f>Inventory[[#This Row],[Unadj Res Value]]+Inventory[[#This Row],[Unadj Det Value]]+Inventory[[#This Row],[Unadj Land Value]]</f>
        <v>366100</v>
      </c>
      <c r="BD668" s="30">
        <f>(Inventory[[#This Row],[Unadj Total Value]]-Inventory[[#This Row],[24Final]])/Inventory[[#This Row],[24Final]]</f>
        <v>4.2722870976929651E-2</v>
      </c>
      <c r="BE668" s="30">
        <f>VLOOKUP(Inventory[[#This Row],[Nbhd]],Lookups!$M$3:$P$5,4,FALSE)</f>
        <v>0.99970000000000003</v>
      </c>
      <c r="BF668" s="30">
        <f>VLOOKUP(Inventory[[#This Row],[Qlty]],Lookups!$M$8:$P$22,4,FALSE)</f>
        <v>0.99819999999999998</v>
      </c>
      <c r="BG668" s="30">
        <f>VLOOKUP(Inventory[[#This Row],[Cnd]],Lookups!$R$8:$U$17,4,FALSE)</f>
        <v>0.997</v>
      </c>
      <c r="BH668" s="30">
        <f>VLOOKUP(Inventory[[#This Row],[LivArea Range]],Lookups!$R$25:$U$43,4,FALSE)</f>
        <v>0.99519999999999997</v>
      </c>
      <c r="BI668" s="30">
        <f>VLOOKUP(Inventory[[#This Row],[Decade]],Lookups!$M$24:$P$40,4,FALSE)</f>
        <v>1.0024</v>
      </c>
      <c r="BJ668" s="30">
        <f>Inventory[[#This Row],[Nbhd Adj]]*0.95</f>
        <v>0.94971499999999998</v>
      </c>
      <c r="BK668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668" s="30">
        <f>ROUND((SUM(Inventory[[#This Row],[Mdl Qlty]:[Mdl Garage Area]])+Inventory[[#This Row],[Mdl Res Intercept]])*Inventory[[#This Row],[Res Adj ]],-2)</f>
        <v>286300</v>
      </c>
      <c r="BM668" s="30">
        <f>ROUND(Inventory[[#This Row],[25Det]]*Inventory[[#This Row],[Det/Nbhd Adj]],-2)</f>
        <v>0</v>
      </c>
      <c r="BN668" s="30">
        <f>Inventory[[#This Row],[Adjusted Res]]+Inventory[[#This Row],[Adj Det ]]</f>
        <v>286300</v>
      </c>
      <c r="BO668" s="30">
        <f>ROUND((Inventory[[#This Row],[Mdl Land Intercept]]+Inventory[[#This Row],[Mdl LnAcres]])*Inventory[[#This Row],[Det/Nbhd Adj]],-2)</f>
        <v>61100</v>
      </c>
      <c r="BP668" s="30">
        <f>Inventory[[#This Row],[Adjusted Impr Total]]+Inventory[[#This Row],[Adjusted Land Total]]</f>
        <v>347400</v>
      </c>
      <c r="BQ668" s="30">
        <f>IFERROR((Inventory[[#This Row],[Adjusted Impr Total]]-Inventory[[#This Row],[24Bldg]])/Inventory[[#This Row],[24Bldg]],0)</f>
        <v>-1.3778849466069583E-2</v>
      </c>
      <c r="BR668" s="43">
        <f>(Inventory[[#This Row],[Adjusted Land Total]]-Inventory[[#This Row],[24Lnd]])/Inventory[[#This Row],[24Lnd]]</f>
        <v>4.9342105263157892E-3</v>
      </c>
      <c r="BS668" s="43">
        <f>(Inventory[[#This Row],[Adjusted Total]]-Inventory[[#This Row],[24Final]])/Inventory[[#This Row],[24Final]]</f>
        <v>-1.0538308174309313E-2</v>
      </c>
    </row>
    <row r="669" spans="1:71">
      <c r="A669" s="30">
        <v>2025</v>
      </c>
      <c r="B669" s="31" t="s">
        <v>1184</v>
      </c>
      <c r="C669" s="31">
        <f>LN(Inventory[[#This Row],[Acres]])</f>
        <v>-1.8325814637483102</v>
      </c>
      <c r="D669" s="30">
        <v>0.16</v>
      </c>
      <c r="E669" s="30">
        <v>7055</v>
      </c>
      <c r="F669" s="31" t="s">
        <v>505</v>
      </c>
      <c r="G669" s="31" t="s">
        <v>155</v>
      </c>
      <c r="H669" s="31" t="s">
        <v>5</v>
      </c>
      <c r="I669" s="31" t="s">
        <v>506</v>
      </c>
      <c r="J669" s="31" t="s">
        <v>507</v>
      </c>
      <c r="K669" s="31" t="s">
        <v>193</v>
      </c>
      <c r="L669" s="31" t="s">
        <v>21</v>
      </c>
      <c r="M669" s="31" t="s">
        <v>22</v>
      </c>
      <c r="N669" s="31">
        <v>10</v>
      </c>
      <c r="O669" s="31">
        <f>2024-Inventory[[#This Row],[YrBlt]]</f>
        <v>18</v>
      </c>
      <c r="P669" s="31">
        <f>2024-Inventory[[#This Row],[EffYr]]</f>
        <v>18</v>
      </c>
      <c r="Q669" s="30">
        <v>2006</v>
      </c>
      <c r="R669" s="30">
        <v>2006</v>
      </c>
      <c r="S669" s="30">
        <v>1302</v>
      </c>
      <c r="T669" s="37"/>
      <c r="U669" s="32"/>
      <c r="V669" s="32"/>
      <c r="W669" s="32"/>
      <c r="X669" s="32">
        <f>Inventory[[#This Row],[Bsmt Area]]-Inventory[[#This Row],[FnBsmt]]</f>
        <v>0</v>
      </c>
      <c r="Y669" s="32">
        <f>Inventory[[#This Row],[MainFn]]+Inventory[[#This Row],[UpprFn]]+Inventory[[#This Row],[AddFn]]+Inventory[[#This Row],[FnBsmt]]</f>
        <v>1302</v>
      </c>
      <c r="Z669" s="32">
        <v>1500</v>
      </c>
      <c r="AA669" s="31" t="s">
        <v>56</v>
      </c>
      <c r="AB669" s="32"/>
      <c r="AC669" s="38">
        <v>440</v>
      </c>
      <c r="AD669" s="37"/>
      <c r="AE669" s="32"/>
      <c r="AF669" s="32"/>
      <c r="AG669" s="32"/>
      <c r="AH669" s="32"/>
      <c r="AI669" s="30">
        <v>306694</v>
      </c>
      <c r="AJ669" s="30">
        <v>282158</v>
      </c>
      <c r="AK669" s="30">
        <v>0</v>
      </c>
      <c r="AL669" s="30">
        <v>0</v>
      </c>
      <c r="AM669" s="30">
        <v>60800</v>
      </c>
      <c r="AN669" s="30">
        <v>299700</v>
      </c>
      <c r="AO669" s="30">
        <v>360500</v>
      </c>
      <c r="AP669" s="30">
        <f>Lookups!$B$58*0.6</f>
        <v>132535.48800000001</v>
      </c>
      <c r="AQ669" s="30">
        <f>Lookups!$B$58*0.4</f>
        <v>88356.992000000013</v>
      </c>
      <c r="AR669" s="30">
        <f>Lookups!$B$59*Inventory[[#This Row],[LnAcres]]</f>
        <v>-24051.387388882686</v>
      </c>
      <c r="AS669" s="30">
        <f>VLOOKUP(Inventory[[#This Row],[Qlty]],Lookups!$A$66:$E$79,2,FALSE)</f>
        <v>32917.849192000001</v>
      </c>
      <c r="AT669" s="30">
        <f>VLOOKUP(Inventory[[#This Row],[Cnd]],Lookups!$A$80:$E$88,2,FALSE)</f>
        <v>50438.379078999998</v>
      </c>
      <c r="AU669" s="30">
        <f>Inventory[[#This Row],[EffAge]]*Lookups!$B$65</f>
        <v>-1957.3398</v>
      </c>
      <c r="AV669" s="30">
        <f>Inventory[[#This Row],[MainFn]]*Lookups!$B$90</f>
        <v>81258.314760000008</v>
      </c>
      <c r="AW669" s="30">
        <f>Inventory[[#This Row],[UpprFn]]*Lookups!$B$91</f>
        <v>0</v>
      </c>
      <c r="AX669" s="30">
        <f>Inventory[[#This Row],[Bsmt Area]]*Lookups!$B$95</f>
        <v>0</v>
      </c>
      <c r="AY669" s="30">
        <f>Inventory[[#This Row],[AttGar]]*Lookups!$B$93</f>
        <v>15532.453640000002</v>
      </c>
      <c r="AZ669" s="30">
        <f>ROUND(Inventory[[#This Row],[25Det]],-2)</f>
        <v>0</v>
      </c>
      <c r="BA669" s="30">
        <f>ROUND(SUM(Inventory[[#This Row],[Mdl Qlty]:[Mdl Garage Area]])+Inventory[[#This Row],[Mdl Res Intercept]],-2)</f>
        <v>310700</v>
      </c>
      <c r="BB669" s="30">
        <f>ROUND(Inventory[[#This Row],[Mdl Land Intercept]]+Inventory[[#This Row],[Mdl LnAcres]],-2)</f>
        <v>64300</v>
      </c>
      <c r="BC669" s="30">
        <f>Inventory[[#This Row],[Unadj Res Value]]+Inventory[[#This Row],[Unadj Det Value]]+Inventory[[#This Row],[Unadj Land Value]]</f>
        <v>375000</v>
      </c>
      <c r="BD669" s="30">
        <f>(Inventory[[#This Row],[Unadj Total Value]]-Inventory[[#This Row],[24Final]])/Inventory[[#This Row],[24Final]]</f>
        <v>4.0221914008321778E-2</v>
      </c>
      <c r="BE669" s="30">
        <f>VLOOKUP(Inventory[[#This Row],[Nbhd]],Lookups!$M$3:$P$5,4,FALSE)</f>
        <v>0.99970000000000003</v>
      </c>
      <c r="BF669" s="30">
        <f>VLOOKUP(Inventory[[#This Row],[Qlty]],Lookups!$M$8:$P$22,4,FALSE)</f>
        <v>1.0019</v>
      </c>
      <c r="BG669" s="30">
        <f>VLOOKUP(Inventory[[#This Row],[Cnd]],Lookups!$R$8:$U$17,4,FALSE)</f>
        <v>1.0007999999999999</v>
      </c>
      <c r="BH669" s="30">
        <f>VLOOKUP(Inventory[[#This Row],[LivArea Range]],Lookups!$R$25:$U$43,4,FALSE)</f>
        <v>0.99519999999999997</v>
      </c>
      <c r="BI669" s="30">
        <f>VLOOKUP(Inventory[[#This Row],[Decade]],Lookups!$M$24:$P$40,4,FALSE)</f>
        <v>1.0024</v>
      </c>
      <c r="BJ669" s="30">
        <f>Inventory[[#This Row],[Nbhd Adj]]*0.95</f>
        <v>0.94971499999999998</v>
      </c>
      <c r="BK669" s="30">
        <f>AVERAGE(Inventory[[#This Row],[Nbhd Adj]],Inventory[[#This Row],[Quality Adj]],Inventory[[#This Row],[Condition Adj]],Inventory[[#This Row],[Living Area Adj]],Inventory[[#This Row],[Decade Adj]])*0.95</f>
        <v>0.95</v>
      </c>
      <c r="BL669" s="30">
        <f>ROUND((SUM(Inventory[[#This Row],[Mdl Qlty]:[Mdl Garage Area]])+Inventory[[#This Row],[Mdl Res Intercept]])*Inventory[[#This Row],[Res Adj ]],-2)</f>
        <v>295200</v>
      </c>
      <c r="BM669" s="30">
        <f>ROUND(Inventory[[#This Row],[25Det]]*Inventory[[#This Row],[Det/Nbhd Adj]],-2)</f>
        <v>0</v>
      </c>
      <c r="BN669" s="30">
        <f>Inventory[[#This Row],[Adjusted Res]]+Inventory[[#This Row],[Adj Det ]]</f>
        <v>295200</v>
      </c>
      <c r="BO669" s="30">
        <f>ROUND((Inventory[[#This Row],[Mdl Land Intercept]]+Inventory[[#This Row],[Mdl LnAcres]])*Inventory[[#This Row],[Det/Nbhd Adj]],-2)</f>
        <v>61100</v>
      </c>
      <c r="BP669" s="30">
        <f>Inventory[[#This Row],[Adjusted Impr Total]]+Inventory[[#This Row],[Adjusted Land Total]]</f>
        <v>356300</v>
      </c>
      <c r="BQ669" s="30">
        <f>IFERROR((Inventory[[#This Row],[Adjusted Impr Total]]-Inventory[[#This Row],[24Bldg]])/Inventory[[#This Row],[24Bldg]],0)</f>
        <v>-1.5015015015015015E-2</v>
      </c>
      <c r="BR669" s="43">
        <f>(Inventory[[#This Row],[Adjusted Land Total]]-Inventory[[#This Row],[24Lnd]])/Inventory[[#This Row],[24Lnd]]</f>
        <v>4.9342105263157892E-3</v>
      </c>
      <c r="BS669" s="43">
        <f>(Inventory[[#This Row],[Adjusted Total]]-Inventory[[#This Row],[24Final]])/Inventory[[#This Row],[24Final]]</f>
        <v>-1.1650485436893204E-2</v>
      </c>
    </row>
    <row r="670" spans="1:71">
      <c r="A670" s="30">
        <v>2025</v>
      </c>
      <c r="B670" s="31" t="s">
        <v>1185</v>
      </c>
      <c r="C670" s="31">
        <f>LN(Inventory[[#This Row],[Acres]])</f>
        <v>-1.8325814637483102</v>
      </c>
      <c r="D670" s="30">
        <v>0.16</v>
      </c>
      <c r="E670" s="30">
        <v>7000</v>
      </c>
      <c r="F670" s="31" t="s">
        <v>505</v>
      </c>
      <c r="G670" s="31" t="s">
        <v>155</v>
      </c>
      <c r="H670" s="31" t="s">
        <v>5</v>
      </c>
      <c r="I670" s="31" t="s">
        <v>506</v>
      </c>
      <c r="J670" s="31" t="s">
        <v>507</v>
      </c>
      <c r="K670" s="31" t="s">
        <v>193</v>
      </c>
      <c r="L670" s="31" t="s">
        <v>19</v>
      </c>
      <c r="M670" s="31" t="s">
        <v>22</v>
      </c>
      <c r="N670" s="31">
        <v>10</v>
      </c>
      <c r="O670" s="31">
        <f>2024-Inventory[[#This Row],[YrBlt]]</f>
        <v>18</v>
      </c>
      <c r="P670" s="31">
        <f>2024-Inventory[[#This Row],[EffYr]]</f>
        <v>18</v>
      </c>
      <c r="Q670" s="30">
        <v>2006</v>
      </c>
      <c r="R670" s="30">
        <v>2006</v>
      </c>
      <c r="S670" s="30">
        <v>1380</v>
      </c>
      <c r="T670" s="37"/>
      <c r="U670" s="32"/>
      <c r="V670" s="32"/>
      <c r="W670" s="32"/>
      <c r="X670" s="32">
        <f>Inventory[[#This Row],[Bsmt Area]]-Inventory[[#This Row],[FnBsmt]]</f>
        <v>0</v>
      </c>
      <c r="Y670" s="32">
        <f>Inventory[[#This Row],[MainFn]]+Inventory[[#This Row],[UpprFn]]+Inventory[[#This Row],[AddFn]]+Inventory[[#This Row],[FnBsmt]]</f>
        <v>1380</v>
      </c>
      <c r="Z670" s="32">
        <v>1500</v>
      </c>
      <c r="AA670" s="31" t="s">
        <v>56</v>
      </c>
      <c r="AB670" s="37"/>
      <c r="AC670" s="30">
        <v>428</v>
      </c>
      <c r="AD670" s="32"/>
      <c r="AE670" s="32"/>
      <c r="AF670" s="32"/>
      <c r="AG670" s="32"/>
      <c r="AH670" s="32"/>
      <c r="AI670" s="30">
        <v>275531</v>
      </c>
      <c r="AJ670" s="30">
        <v>253489</v>
      </c>
      <c r="AK670" s="30">
        <v>0</v>
      </c>
      <c r="AL670" s="30">
        <v>0</v>
      </c>
      <c r="AM670" s="30">
        <v>60800</v>
      </c>
      <c r="AN670" s="30">
        <v>306900</v>
      </c>
      <c r="AO670" s="30">
        <v>367700</v>
      </c>
      <c r="AP670" s="30">
        <f>Lookups!$B$58*0.6</f>
        <v>132535.48800000001</v>
      </c>
      <c r="AQ670" s="30">
        <f>Lookups!$B$58*0.4</f>
        <v>88356.992000000013</v>
      </c>
      <c r="AR670" s="30">
        <f>Lookups!$B$59*Inventory[[#This Row],[LnAcres]]</f>
        <v>-24051.387388882686</v>
      </c>
      <c r="AS670" s="30">
        <f>VLOOKUP(Inventory[[#This Row],[Qlty]],Lookups!$A$66:$E$79,2,FALSE)</f>
        <v>37154.252388000001</v>
      </c>
      <c r="AT670" s="30">
        <f>VLOOKUP(Inventory[[#This Row],[Cnd]],Lookups!$A$80:$E$88,2,FALSE)</f>
        <v>50438.379078999998</v>
      </c>
      <c r="AU670" s="30">
        <f>Inventory[[#This Row],[EffAge]]*Lookups!$B$65</f>
        <v>-1957.3398</v>
      </c>
      <c r="AV670" s="30">
        <f>Inventory[[#This Row],[MainFn]]*Lookups!$B$90</f>
        <v>86126.324399999998</v>
      </c>
      <c r="AW670" s="30">
        <f>Inventory[[#This Row],[UpprFn]]*Lookups!$B$91</f>
        <v>0</v>
      </c>
      <c r="AX670" s="30">
        <f>Inventory[[#This Row],[Bsmt Area]]*Lookups!$B$95</f>
        <v>0</v>
      </c>
      <c r="AY670" s="30">
        <f>Inventory[[#This Row],[AttGar]]*Lookups!$B$93</f>
        <v>15108.841268</v>
      </c>
      <c r="AZ670" s="30">
        <f>ROUND(Inventory[[#This Row],[25Det]],-2)</f>
        <v>0</v>
      </c>
      <c r="BA670" s="30">
        <f>ROUND(SUM(Inventory[[#This Row],[Mdl Qlty]:[Mdl Garage Area]])+Inventory[[#This Row],[Mdl Res Intercept]],-2)</f>
        <v>319400</v>
      </c>
      <c r="BB670" s="30">
        <f>ROUND(Inventory[[#This Row],[Mdl Land Intercept]]+Inventory[[#This Row],[Mdl LnAcres]],-2)</f>
        <v>64300</v>
      </c>
      <c r="BC670" s="30">
        <f>Inventory[[#This Row],[Unadj Res Value]]+Inventory[[#This Row],[Unadj Det Value]]+Inventory[[#This Row],[Unadj Land Value]]</f>
        <v>383700</v>
      </c>
      <c r="BD670" s="30">
        <f>(Inventory[[#This Row],[Unadj Total Value]]-Inventory[[#This Row],[24Final]])/Inventory[[#This Row],[24Final]]</f>
        <v>4.3513734022300792E-2</v>
      </c>
      <c r="BE670" s="30">
        <f>VLOOKUP(Inventory[[#This Row],[Nbhd]],Lookups!$M$3:$P$5,4,FALSE)</f>
        <v>0.99970000000000003</v>
      </c>
      <c r="BF670" s="30">
        <f>VLOOKUP(Inventory[[#This Row],[Qlty]],Lookups!$M$8:$P$22,4,FALSE)</f>
        <v>0.99819999999999998</v>
      </c>
      <c r="BG670" s="30">
        <f>VLOOKUP(Inventory[[#This Row],[Cnd]],Lookups!$R$8:$U$17,4,FALSE)</f>
        <v>1.0007999999999999</v>
      </c>
      <c r="BH670" s="30">
        <f>VLOOKUP(Inventory[[#This Row],[LivArea Range]],Lookups!$R$25:$U$43,4,FALSE)</f>
        <v>0.99519999999999997</v>
      </c>
      <c r="BI670" s="30">
        <f>VLOOKUP(Inventory[[#This Row],[Decade]],Lookups!$M$24:$P$40,4,FALSE)</f>
        <v>1.0024</v>
      </c>
      <c r="BJ670" s="30">
        <f>Inventory[[#This Row],[Nbhd Adj]]*0.95</f>
        <v>0.94971499999999998</v>
      </c>
      <c r="BK670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670" s="30">
        <f>ROUND((SUM(Inventory[[#This Row],[Mdl Qlty]:[Mdl Garage Area]])+Inventory[[#This Row],[Mdl Res Intercept]])*Inventory[[#This Row],[Res Adj ]],-2)</f>
        <v>303200</v>
      </c>
      <c r="BM670" s="30">
        <f>ROUND(Inventory[[#This Row],[25Det]]*Inventory[[#This Row],[Det/Nbhd Adj]],-2)</f>
        <v>0</v>
      </c>
      <c r="BN670" s="30">
        <f>Inventory[[#This Row],[Adjusted Res]]+Inventory[[#This Row],[Adj Det ]]</f>
        <v>303200</v>
      </c>
      <c r="BO670" s="30">
        <f>ROUND((Inventory[[#This Row],[Mdl Land Intercept]]+Inventory[[#This Row],[Mdl LnAcres]])*Inventory[[#This Row],[Det/Nbhd Adj]],-2)</f>
        <v>61100</v>
      </c>
      <c r="BP670" s="30">
        <f>Inventory[[#This Row],[Adjusted Impr Total]]+Inventory[[#This Row],[Adjusted Land Total]]</f>
        <v>364300</v>
      </c>
      <c r="BQ670" s="30">
        <f>IFERROR((Inventory[[#This Row],[Adjusted Impr Total]]-Inventory[[#This Row],[24Bldg]])/Inventory[[#This Row],[24Bldg]],0)</f>
        <v>-1.2056044314108831E-2</v>
      </c>
      <c r="BR670" s="43">
        <f>(Inventory[[#This Row],[Adjusted Land Total]]-Inventory[[#This Row],[24Lnd]])/Inventory[[#This Row],[24Lnd]]</f>
        <v>4.9342105263157892E-3</v>
      </c>
      <c r="BS670" s="43">
        <f>(Inventory[[#This Row],[Adjusted Total]]-Inventory[[#This Row],[24Final]])/Inventory[[#This Row],[24Final]]</f>
        <v>-9.2466684797389183E-3</v>
      </c>
    </row>
    <row r="671" spans="1:71">
      <c r="A671" s="30">
        <v>2025</v>
      </c>
      <c r="B671" s="31" t="s">
        <v>1186</v>
      </c>
      <c r="C671" s="31">
        <f>LN(Inventory[[#This Row],[Acres]])</f>
        <v>-1.8325814637483102</v>
      </c>
      <c r="D671" s="30">
        <v>0.16</v>
      </c>
      <c r="E671" s="30">
        <v>6805</v>
      </c>
      <c r="F671" s="31" t="s">
        <v>505</v>
      </c>
      <c r="G671" s="31" t="s">
        <v>155</v>
      </c>
      <c r="H671" s="31" t="s">
        <v>5</v>
      </c>
      <c r="I671" s="31" t="s">
        <v>506</v>
      </c>
      <c r="J671" s="31" t="s">
        <v>507</v>
      </c>
      <c r="K671" s="31" t="s">
        <v>193</v>
      </c>
      <c r="L671" s="31" t="s">
        <v>19</v>
      </c>
      <c r="M671" s="31" t="s">
        <v>20</v>
      </c>
      <c r="N671" s="31">
        <v>10</v>
      </c>
      <c r="O671" s="31">
        <f>2024-Inventory[[#This Row],[YrBlt]]</f>
        <v>18</v>
      </c>
      <c r="P671" s="31">
        <f>2024-Inventory[[#This Row],[EffYr]]</f>
        <v>18</v>
      </c>
      <c r="Q671" s="30">
        <v>2006</v>
      </c>
      <c r="R671" s="30">
        <v>2006</v>
      </c>
      <c r="S671" s="30">
        <v>1543</v>
      </c>
      <c r="T671" s="37"/>
      <c r="U671" s="32"/>
      <c r="V671" s="32"/>
      <c r="W671" s="32"/>
      <c r="X671" s="32">
        <f>Inventory[[#This Row],[Bsmt Area]]-Inventory[[#This Row],[FnBsmt]]</f>
        <v>0</v>
      </c>
      <c r="Y671" s="32">
        <f>Inventory[[#This Row],[MainFn]]+Inventory[[#This Row],[UpprFn]]+Inventory[[#This Row],[AddFn]]+Inventory[[#This Row],[FnBsmt]]</f>
        <v>1543</v>
      </c>
      <c r="Z671" s="32">
        <v>2000</v>
      </c>
      <c r="AA671" s="31" t="s">
        <v>56</v>
      </c>
      <c r="AB671" s="37"/>
      <c r="AC671" s="30">
        <v>433</v>
      </c>
      <c r="AD671" s="32"/>
      <c r="AE671" s="32"/>
      <c r="AF671" s="32"/>
      <c r="AG671" s="32"/>
      <c r="AH671" s="32"/>
      <c r="AI671" s="30">
        <v>298175</v>
      </c>
      <c r="AJ671" s="30">
        <v>271339</v>
      </c>
      <c r="AK671" s="30">
        <v>0</v>
      </c>
      <c r="AL671" s="30">
        <v>0</v>
      </c>
      <c r="AM671" s="30">
        <v>60800</v>
      </c>
      <c r="AN671" s="30">
        <v>297300</v>
      </c>
      <c r="AO671" s="30">
        <v>358100</v>
      </c>
      <c r="AP671" s="30">
        <f>Lookups!$B$58*0.6</f>
        <v>132535.48800000001</v>
      </c>
      <c r="AQ671" s="30">
        <f>Lookups!$B$58*0.4</f>
        <v>88356.992000000013</v>
      </c>
      <c r="AR671" s="30">
        <f>Lookups!$B$59*Inventory[[#This Row],[LnAcres]]</f>
        <v>-24051.387388882686</v>
      </c>
      <c r="AS671" s="30">
        <f>VLOOKUP(Inventory[[#This Row],[Qlty]],Lookups!$A$66:$E$79,2,FALSE)</f>
        <v>37154.252388000001</v>
      </c>
      <c r="AT671" s="30">
        <f>VLOOKUP(Inventory[[#This Row],[Cnd]],Lookups!$A$80:$E$88,2,FALSE)</f>
        <v>30300.329274</v>
      </c>
      <c r="AU671" s="30">
        <f>Inventory[[#This Row],[EffAge]]*Lookups!$B$65</f>
        <v>-1957.3398</v>
      </c>
      <c r="AV671" s="30">
        <f>Inventory[[#This Row],[MainFn]]*Lookups!$B$90</f>
        <v>96299.216339999999</v>
      </c>
      <c r="AW671" s="30">
        <f>Inventory[[#This Row],[UpprFn]]*Lookups!$B$91</f>
        <v>0</v>
      </c>
      <c r="AX671" s="30">
        <f>Inventory[[#This Row],[Bsmt Area]]*Lookups!$B$95</f>
        <v>0</v>
      </c>
      <c r="AY671" s="30">
        <f>Inventory[[#This Row],[AttGar]]*Lookups!$B$93</f>
        <v>15285.346423000001</v>
      </c>
      <c r="AZ671" s="30">
        <f>ROUND(Inventory[[#This Row],[25Det]],-2)</f>
        <v>0</v>
      </c>
      <c r="BA671" s="30">
        <f>ROUND(SUM(Inventory[[#This Row],[Mdl Qlty]:[Mdl Garage Area]])+Inventory[[#This Row],[Mdl Res Intercept]],-2)</f>
        <v>309600</v>
      </c>
      <c r="BB671" s="30">
        <f>ROUND(Inventory[[#This Row],[Mdl Land Intercept]]+Inventory[[#This Row],[Mdl LnAcres]],-2)</f>
        <v>64300</v>
      </c>
      <c r="BC671" s="30">
        <f>Inventory[[#This Row],[Unadj Res Value]]+Inventory[[#This Row],[Unadj Det Value]]+Inventory[[#This Row],[Unadj Land Value]]</f>
        <v>373900</v>
      </c>
      <c r="BD671" s="30">
        <f>(Inventory[[#This Row],[Unadj Total Value]]-Inventory[[#This Row],[24Final]])/Inventory[[#This Row],[24Final]]</f>
        <v>4.4121753700083775E-2</v>
      </c>
      <c r="BE671" s="30">
        <f>VLOOKUP(Inventory[[#This Row],[Nbhd]],Lookups!$M$3:$P$5,4,FALSE)</f>
        <v>0.99970000000000003</v>
      </c>
      <c r="BF671" s="30">
        <f>VLOOKUP(Inventory[[#This Row],[Qlty]],Lookups!$M$8:$P$22,4,FALSE)</f>
        <v>0.99819999999999998</v>
      </c>
      <c r="BG671" s="30">
        <f>VLOOKUP(Inventory[[#This Row],[Cnd]],Lookups!$R$8:$U$17,4,FALSE)</f>
        <v>0.997</v>
      </c>
      <c r="BH671" s="30">
        <f>VLOOKUP(Inventory[[#This Row],[LivArea Range]],Lookups!$R$25:$U$43,4,FALSE)</f>
        <v>1.0007999999999999</v>
      </c>
      <c r="BI671" s="30">
        <f>VLOOKUP(Inventory[[#This Row],[Decade]],Lookups!$M$24:$P$40,4,FALSE)</f>
        <v>1.0024</v>
      </c>
      <c r="BJ671" s="30">
        <f>Inventory[[#This Row],[Nbhd Adj]]*0.95</f>
        <v>0.94971499999999998</v>
      </c>
      <c r="BK671" s="30">
        <f>AVERAGE(Inventory[[#This Row],[Nbhd Adj]],Inventory[[#This Row],[Quality Adj]],Inventory[[#This Row],[Condition Adj]],Inventory[[#This Row],[Living Area Adj]],Inventory[[#This Row],[Decade Adj]])*0.95</f>
        <v>0.9496389999999999</v>
      </c>
      <c r="BL671" s="30">
        <f>ROUND((SUM(Inventory[[#This Row],[Mdl Qlty]:[Mdl Garage Area]])+Inventory[[#This Row],[Mdl Res Intercept]])*Inventory[[#This Row],[Res Adj ]],-2)</f>
        <v>294000</v>
      </c>
      <c r="BM671" s="30">
        <f>ROUND(Inventory[[#This Row],[25Det]]*Inventory[[#This Row],[Det/Nbhd Adj]],-2)</f>
        <v>0</v>
      </c>
      <c r="BN671" s="30">
        <f>Inventory[[#This Row],[Adjusted Res]]+Inventory[[#This Row],[Adj Det ]]</f>
        <v>294000</v>
      </c>
      <c r="BO671" s="30">
        <f>ROUND((Inventory[[#This Row],[Mdl Land Intercept]]+Inventory[[#This Row],[Mdl LnAcres]])*Inventory[[#This Row],[Det/Nbhd Adj]],-2)</f>
        <v>61100</v>
      </c>
      <c r="BP671" s="30">
        <f>Inventory[[#This Row],[Adjusted Impr Total]]+Inventory[[#This Row],[Adjusted Land Total]]</f>
        <v>355100</v>
      </c>
      <c r="BQ671" s="30">
        <f>IFERROR((Inventory[[#This Row],[Adjusted Impr Total]]-Inventory[[#This Row],[24Bldg]])/Inventory[[#This Row],[24Bldg]],0)</f>
        <v>-1.1099899091826439E-2</v>
      </c>
      <c r="BR671" s="43">
        <f>(Inventory[[#This Row],[Adjusted Land Total]]-Inventory[[#This Row],[24Lnd]])/Inventory[[#This Row],[24Lnd]]</f>
        <v>4.9342105263157892E-3</v>
      </c>
      <c r="BS671" s="43">
        <f>(Inventory[[#This Row],[Adjusted Total]]-Inventory[[#This Row],[24Final]])/Inventory[[#This Row],[24Final]]</f>
        <v>-8.3775481709019821E-3</v>
      </c>
    </row>
    <row r="672" spans="1:71">
      <c r="A672" s="30">
        <v>2025</v>
      </c>
      <c r="B672" s="31" t="s">
        <v>1187</v>
      </c>
      <c r="C672" s="31">
        <f>LN(Inventory[[#This Row],[Acres]])</f>
        <v>-1.8325814637483102</v>
      </c>
      <c r="D672" s="30">
        <v>0.16</v>
      </c>
      <c r="E672" s="30">
        <v>7078</v>
      </c>
      <c r="F672" s="31" t="s">
        <v>505</v>
      </c>
      <c r="G672" s="31" t="s">
        <v>155</v>
      </c>
      <c r="H672" s="31" t="s">
        <v>5</v>
      </c>
      <c r="I672" s="31" t="s">
        <v>506</v>
      </c>
      <c r="J672" s="31" t="s">
        <v>507</v>
      </c>
      <c r="K672" s="31" t="s">
        <v>157</v>
      </c>
      <c r="L672" s="31" t="s">
        <v>21</v>
      </c>
      <c r="M672" s="31" t="s">
        <v>22</v>
      </c>
      <c r="N672" s="31">
        <v>10</v>
      </c>
      <c r="O672" s="31">
        <f>2024-Inventory[[#This Row],[YrBlt]]</f>
        <v>18</v>
      </c>
      <c r="P672" s="31">
        <f>2024-Inventory[[#This Row],[EffYr]]</f>
        <v>18</v>
      </c>
      <c r="Q672" s="30">
        <v>2006</v>
      </c>
      <c r="R672" s="30">
        <v>2006</v>
      </c>
      <c r="S672" s="30">
        <v>1116</v>
      </c>
      <c r="T672" s="38">
        <v>1116</v>
      </c>
      <c r="U672" s="32"/>
      <c r="V672" s="32"/>
      <c r="W672" s="32"/>
      <c r="X672" s="32">
        <f>Inventory[[#This Row],[Bsmt Area]]-Inventory[[#This Row],[FnBsmt]]</f>
        <v>0</v>
      </c>
      <c r="Y672" s="32">
        <f>Inventory[[#This Row],[MainFn]]+Inventory[[#This Row],[UpprFn]]+Inventory[[#This Row],[AddFn]]+Inventory[[#This Row],[FnBsmt]]</f>
        <v>2232</v>
      </c>
      <c r="Z672" s="32">
        <v>2500</v>
      </c>
      <c r="AA672" s="31" t="s">
        <v>56</v>
      </c>
      <c r="AB672" s="32"/>
      <c r="AC672" s="30">
        <v>736</v>
      </c>
      <c r="AD672" s="32"/>
      <c r="AE672" s="32"/>
      <c r="AF672" s="32"/>
      <c r="AG672" s="32"/>
      <c r="AH672" s="32"/>
      <c r="AI672" s="30">
        <v>452252</v>
      </c>
      <c r="AJ672" s="30">
        <v>416072</v>
      </c>
      <c r="AK672" s="30">
        <v>0</v>
      </c>
      <c r="AL672" s="30">
        <v>0</v>
      </c>
      <c r="AM672" s="30">
        <v>60800</v>
      </c>
      <c r="AN672" s="30">
        <v>363700</v>
      </c>
      <c r="AO672" s="30">
        <v>424500</v>
      </c>
      <c r="AP672" s="30">
        <f>Lookups!$B$58*0.6</f>
        <v>132535.48800000001</v>
      </c>
      <c r="AQ672" s="30">
        <f>Lookups!$B$58*0.4</f>
        <v>88356.992000000013</v>
      </c>
      <c r="AR672" s="30">
        <f>Lookups!$B$59*Inventory[[#This Row],[LnAcres]]</f>
        <v>-24051.387388882686</v>
      </c>
      <c r="AS672" s="30">
        <f>VLOOKUP(Inventory[[#This Row],[Qlty]],Lookups!$A$66:$E$79,2,FALSE)</f>
        <v>32917.849192000001</v>
      </c>
      <c r="AT672" s="30">
        <f>VLOOKUP(Inventory[[#This Row],[Cnd]],Lookups!$A$80:$E$88,2,FALSE)</f>
        <v>50438.379078999998</v>
      </c>
      <c r="AU672" s="30">
        <f>Inventory[[#This Row],[EffAge]]*Lookups!$B$65</f>
        <v>-1957.3398</v>
      </c>
      <c r="AV672" s="30">
        <f>Inventory[[#This Row],[MainFn]]*Lookups!$B$90</f>
        <v>69649.984080000009</v>
      </c>
      <c r="AW672" s="30">
        <f>Inventory[[#This Row],[UpprFn]]*Lookups!$B$91</f>
        <v>66491.707427999994</v>
      </c>
      <c r="AX672" s="30">
        <f>Inventory[[#This Row],[Bsmt Area]]*Lookups!$B$95</f>
        <v>0</v>
      </c>
      <c r="AY672" s="30">
        <f>Inventory[[#This Row],[AttGar]]*Lookups!$B$93</f>
        <v>25981.558816000001</v>
      </c>
      <c r="AZ672" s="30">
        <f>ROUND(Inventory[[#This Row],[25Det]],-2)</f>
        <v>0</v>
      </c>
      <c r="BA672" s="30">
        <f>ROUND(SUM(Inventory[[#This Row],[Mdl Qlty]:[Mdl Garage Area]])+Inventory[[#This Row],[Mdl Res Intercept]],-2)</f>
        <v>376100</v>
      </c>
      <c r="BB672" s="30">
        <f>ROUND(Inventory[[#This Row],[Mdl Land Intercept]]+Inventory[[#This Row],[Mdl LnAcres]],-2)</f>
        <v>64300</v>
      </c>
      <c r="BC672" s="30">
        <f>Inventory[[#This Row],[Unadj Res Value]]+Inventory[[#This Row],[Unadj Det Value]]+Inventory[[#This Row],[Unadj Land Value]]</f>
        <v>440400</v>
      </c>
      <c r="BD672" s="30">
        <f>(Inventory[[#This Row],[Unadj Total Value]]-Inventory[[#This Row],[24Final]])/Inventory[[#This Row],[24Final]]</f>
        <v>3.7455830388692581E-2</v>
      </c>
      <c r="BE672" s="30">
        <f>VLOOKUP(Inventory[[#This Row],[Nbhd]],Lookups!$M$3:$P$5,4,FALSE)</f>
        <v>0.99970000000000003</v>
      </c>
      <c r="BF672" s="30">
        <f>VLOOKUP(Inventory[[#This Row],[Qlty]],Lookups!$M$8:$P$22,4,FALSE)</f>
        <v>1.0019</v>
      </c>
      <c r="BG672" s="30">
        <f>VLOOKUP(Inventory[[#This Row],[Cnd]],Lookups!$R$8:$U$17,4,FALSE)</f>
        <v>1.0007999999999999</v>
      </c>
      <c r="BH672" s="30">
        <f>VLOOKUP(Inventory[[#This Row],[LivArea Range]],Lookups!$R$25:$U$43,4,FALSE)</f>
        <v>1.0008999999999999</v>
      </c>
      <c r="BI672" s="30">
        <f>VLOOKUP(Inventory[[#This Row],[Decade]],Lookups!$M$24:$P$40,4,FALSE)</f>
        <v>1.0024</v>
      </c>
      <c r="BJ672" s="30">
        <f>Inventory[[#This Row],[Nbhd Adj]]*0.95</f>
        <v>0.94971499999999998</v>
      </c>
      <c r="BK672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672" s="30">
        <f>ROUND((SUM(Inventory[[#This Row],[Mdl Qlty]:[Mdl Garage Area]])+Inventory[[#This Row],[Mdl Res Intercept]])*Inventory[[#This Row],[Res Adj ]],-2)</f>
        <v>357700</v>
      </c>
      <c r="BM672" s="30">
        <f>ROUND(Inventory[[#This Row],[25Det]]*Inventory[[#This Row],[Det/Nbhd Adj]],-2)</f>
        <v>0</v>
      </c>
      <c r="BN672" s="30">
        <f>Inventory[[#This Row],[Adjusted Res]]+Inventory[[#This Row],[Adj Det ]]</f>
        <v>357700</v>
      </c>
      <c r="BO672" s="30">
        <f>ROUND((Inventory[[#This Row],[Mdl Land Intercept]]+Inventory[[#This Row],[Mdl LnAcres]])*Inventory[[#This Row],[Det/Nbhd Adj]],-2)</f>
        <v>61100</v>
      </c>
      <c r="BP672" s="30">
        <f>Inventory[[#This Row],[Adjusted Impr Total]]+Inventory[[#This Row],[Adjusted Land Total]]</f>
        <v>418800</v>
      </c>
      <c r="BQ672" s="30">
        <f>IFERROR((Inventory[[#This Row],[Adjusted Impr Total]]-Inventory[[#This Row],[24Bldg]])/Inventory[[#This Row],[24Bldg]],0)</f>
        <v>-1.6497113005224086E-2</v>
      </c>
      <c r="BR672" s="43">
        <f>(Inventory[[#This Row],[Adjusted Land Total]]-Inventory[[#This Row],[24Lnd]])/Inventory[[#This Row],[24Lnd]]</f>
        <v>4.9342105263157892E-3</v>
      </c>
      <c r="BS672" s="43">
        <f>(Inventory[[#This Row],[Adjusted Total]]-Inventory[[#This Row],[24Final]])/Inventory[[#This Row],[24Final]]</f>
        <v>-1.342756183745583E-2</v>
      </c>
    </row>
    <row r="673" spans="1:71">
      <c r="A673" s="30">
        <v>2025</v>
      </c>
      <c r="B673" s="31" t="s">
        <v>1188</v>
      </c>
      <c r="C673" s="31">
        <f>LN(Inventory[[#This Row],[Acres]])</f>
        <v>-1.8325814637483102</v>
      </c>
      <c r="D673" s="30">
        <v>0.16</v>
      </c>
      <c r="E673" s="30">
        <v>7119</v>
      </c>
      <c r="F673" s="31" t="s">
        <v>505</v>
      </c>
      <c r="G673" s="31" t="s">
        <v>155</v>
      </c>
      <c r="H673" s="31" t="s">
        <v>5</v>
      </c>
      <c r="I673" s="31" t="s">
        <v>506</v>
      </c>
      <c r="J673" s="31" t="s">
        <v>507</v>
      </c>
      <c r="K673" s="31" t="s">
        <v>157</v>
      </c>
      <c r="L673" s="31" t="s">
        <v>21</v>
      </c>
      <c r="M673" s="31" t="s">
        <v>22</v>
      </c>
      <c r="N673" s="31">
        <v>10</v>
      </c>
      <c r="O673" s="31">
        <f>2024-Inventory[[#This Row],[YrBlt]]</f>
        <v>18</v>
      </c>
      <c r="P673" s="31">
        <f>2024-Inventory[[#This Row],[EffYr]]</f>
        <v>18</v>
      </c>
      <c r="Q673" s="30">
        <v>2006</v>
      </c>
      <c r="R673" s="30">
        <v>2006</v>
      </c>
      <c r="S673" s="30">
        <v>1116</v>
      </c>
      <c r="T673" s="30">
        <v>1116</v>
      </c>
      <c r="U673" s="32"/>
      <c r="V673" s="32"/>
      <c r="W673" s="32"/>
      <c r="X673" s="32">
        <f>Inventory[[#This Row],[Bsmt Area]]-Inventory[[#This Row],[FnBsmt]]</f>
        <v>0</v>
      </c>
      <c r="Y673" s="32">
        <f>Inventory[[#This Row],[MainFn]]+Inventory[[#This Row],[UpprFn]]+Inventory[[#This Row],[AddFn]]+Inventory[[#This Row],[FnBsmt]]</f>
        <v>2232</v>
      </c>
      <c r="Z673" s="32">
        <v>2500</v>
      </c>
      <c r="AA673" s="31" t="s">
        <v>56</v>
      </c>
      <c r="AB673" s="37"/>
      <c r="AC673" s="30">
        <v>716</v>
      </c>
      <c r="AD673" s="32"/>
      <c r="AE673" s="32"/>
      <c r="AF673" s="32"/>
      <c r="AG673" s="32"/>
      <c r="AH673" s="32"/>
      <c r="AI673" s="30">
        <v>454582</v>
      </c>
      <c r="AJ673" s="30">
        <v>418215</v>
      </c>
      <c r="AK673" s="30">
        <v>0</v>
      </c>
      <c r="AL673" s="30">
        <v>0</v>
      </c>
      <c r="AM673" s="30">
        <v>60800</v>
      </c>
      <c r="AN673" s="30">
        <v>362800</v>
      </c>
      <c r="AO673" s="30">
        <v>423600</v>
      </c>
      <c r="AP673" s="30">
        <f>Lookups!$B$58*0.6</f>
        <v>132535.48800000001</v>
      </c>
      <c r="AQ673" s="30">
        <f>Lookups!$B$58*0.4</f>
        <v>88356.992000000013</v>
      </c>
      <c r="AR673" s="30">
        <f>Lookups!$B$59*Inventory[[#This Row],[LnAcres]]</f>
        <v>-24051.387388882686</v>
      </c>
      <c r="AS673" s="30">
        <f>VLOOKUP(Inventory[[#This Row],[Qlty]],Lookups!$A$66:$E$79,2,FALSE)</f>
        <v>32917.849192000001</v>
      </c>
      <c r="AT673" s="30">
        <f>VLOOKUP(Inventory[[#This Row],[Cnd]],Lookups!$A$80:$E$88,2,FALSE)</f>
        <v>50438.379078999998</v>
      </c>
      <c r="AU673" s="30">
        <f>Inventory[[#This Row],[EffAge]]*Lookups!$B$65</f>
        <v>-1957.3398</v>
      </c>
      <c r="AV673" s="30">
        <f>Inventory[[#This Row],[MainFn]]*Lookups!$B$90</f>
        <v>69649.984080000009</v>
      </c>
      <c r="AW673" s="30">
        <f>Inventory[[#This Row],[UpprFn]]*Lookups!$B$91</f>
        <v>66491.707427999994</v>
      </c>
      <c r="AX673" s="30">
        <f>Inventory[[#This Row],[Bsmt Area]]*Lookups!$B$95</f>
        <v>0</v>
      </c>
      <c r="AY673" s="30">
        <f>Inventory[[#This Row],[AttGar]]*Lookups!$B$93</f>
        <v>25275.538196000001</v>
      </c>
      <c r="AZ673" s="30">
        <f>ROUND(Inventory[[#This Row],[25Det]],-2)</f>
        <v>0</v>
      </c>
      <c r="BA673" s="30">
        <f>ROUND(SUM(Inventory[[#This Row],[Mdl Qlty]:[Mdl Garage Area]])+Inventory[[#This Row],[Mdl Res Intercept]],-2)</f>
        <v>375400</v>
      </c>
      <c r="BB673" s="30">
        <f>ROUND(Inventory[[#This Row],[Mdl Land Intercept]]+Inventory[[#This Row],[Mdl LnAcres]],-2)</f>
        <v>64300</v>
      </c>
      <c r="BC673" s="30">
        <f>Inventory[[#This Row],[Unadj Res Value]]+Inventory[[#This Row],[Unadj Det Value]]+Inventory[[#This Row],[Unadj Land Value]]</f>
        <v>439700</v>
      </c>
      <c r="BD673" s="30">
        <f>(Inventory[[#This Row],[Unadj Total Value]]-Inventory[[#This Row],[24Final]])/Inventory[[#This Row],[24Final]]</f>
        <v>3.8007554296506138E-2</v>
      </c>
      <c r="BE673" s="30">
        <f>VLOOKUP(Inventory[[#This Row],[Nbhd]],Lookups!$M$3:$P$5,4,FALSE)</f>
        <v>0.99970000000000003</v>
      </c>
      <c r="BF673" s="30">
        <f>VLOOKUP(Inventory[[#This Row],[Qlty]],Lookups!$M$8:$P$22,4,FALSE)</f>
        <v>1.0019</v>
      </c>
      <c r="BG673" s="30">
        <f>VLOOKUP(Inventory[[#This Row],[Cnd]],Lookups!$R$8:$U$17,4,FALSE)</f>
        <v>1.0007999999999999</v>
      </c>
      <c r="BH673" s="30">
        <f>VLOOKUP(Inventory[[#This Row],[LivArea Range]],Lookups!$R$25:$U$43,4,FALSE)</f>
        <v>1.0008999999999999</v>
      </c>
      <c r="BI673" s="30">
        <f>VLOOKUP(Inventory[[#This Row],[Decade]],Lookups!$M$24:$P$40,4,FALSE)</f>
        <v>1.0024</v>
      </c>
      <c r="BJ673" s="30">
        <f>Inventory[[#This Row],[Nbhd Adj]]*0.95</f>
        <v>0.94971499999999998</v>
      </c>
      <c r="BK673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673" s="30">
        <f>ROUND((SUM(Inventory[[#This Row],[Mdl Qlty]:[Mdl Garage Area]])+Inventory[[#This Row],[Mdl Res Intercept]])*Inventory[[#This Row],[Res Adj ]],-2)</f>
        <v>357000</v>
      </c>
      <c r="BM673" s="30">
        <f>ROUND(Inventory[[#This Row],[25Det]]*Inventory[[#This Row],[Det/Nbhd Adj]],-2)</f>
        <v>0</v>
      </c>
      <c r="BN673" s="30">
        <f>Inventory[[#This Row],[Adjusted Res]]+Inventory[[#This Row],[Adj Det ]]</f>
        <v>357000</v>
      </c>
      <c r="BO673" s="30">
        <f>ROUND((Inventory[[#This Row],[Mdl Land Intercept]]+Inventory[[#This Row],[Mdl LnAcres]])*Inventory[[#This Row],[Det/Nbhd Adj]],-2)</f>
        <v>61100</v>
      </c>
      <c r="BP673" s="30">
        <f>Inventory[[#This Row],[Adjusted Impr Total]]+Inventory[[#This Row],[Adjusted Land Total]]</f>
        <v>418100</v>
      </c>
      <c r="BQ673" s="30">
        <f>IFERROR((Inventory[[#This Row],[Adjusted Impr Total]]-Inventory[[#This Row],[24Bldg]])/Inventory[[#This Row],[24Bldg]],0)</f>
        <v>-1.5986769570011026E-2</v>
      </c>
      <c r="BR673" s="43">
        <f>(Inventory[[#This Row],[Adjusted Land Total]]-Inventory[[#This Row],[24Lnd]])/Inventory[[#This Row],[24Lnd]]</f>
        <v>4.9342105263157892E-3</v>
      </c>
      <c r="BS673" s="43">
        <f>(Inventory[[#This Row],[Adjusted Total]]-Inventory[[#This Row],[24Final]])/Inventory[[#This Row],[24Final]]</f>
        <v>-1.2983947119924457E-2</v>
      </c>
    </row>
    <row r="674" spans="1:71">
      <c r="A674" s="30">
        <v>2025</v>
      </c>
      <c r="B674" s="31" t="s">
        <v>1189</v>
      </c>
      <c r="C674" s="31">
        <f>LN(Inventory[[#This Row],[Acres]])</f>
        <v>-1.8325814637483102</v>
      </c>
      <c r="D674" s="30">
        <v>0.16</v>
      </c>
      <c r="E674" s="30">
        <v>6827</v>
      </c>
      <c r="F674" s="31" t="s">
        <v>505</v>
      </c>
      <c r="G674" s="31" t="s">
        <v>155</v>
      </c>
      <c r="H674" s="31" t="s">
        <v>5</v>
      </c>
      <c r="I674" s="31" t="s">
        <v>506</v>
      </c>
      <c r="J674" s="31" t="s">
        <v>507</v>
      </c>
      <c r="K674" s="31" t="s">
        <v>193</v>
      </c>
      <c r="L674" s="31" t="s">
        <v>19</v>
      </c>
      <c r="M674" s="31" t="s">
        <v>22</v>
      </c>
      <c r="N674" s="31">
        <v>10</v>
      </c>
      <c r="O674" s="31">
        <f>2024-Inventory[[#This Row],[YrBlt]]</f>
        <v>18</v>
      </c>
      <c r="P674" s="31">
        <f>2024-Inventory[[#This Row],[EffYr]]</f>
        <v>18</v>
      </c>
      <c r="Q674" s="30">
        <v>2006</v>
      </c>
      <c r="R674" s="30">
        <v>2006</v>
      </c>
      <c r="S674" s="30">
        <v>1380</v>
      </c>
      <c r="T674" s="37"/>
      <c r="U674" s="32"/>
      <c r="V674" s="32"/>
      <c r="W674" s="32"/>
      <c r="X674" s="32">
        <f>Inventory[[#This Row],[Bsmt Area]]-Inventory[[#This Row],[FnBsmt]]</f>
        <v>0</v>
      </c>
      <c r="Y674" s="32">
        <f>Inventory[[#This Row],[MainFn]]+Inventory[[#This Row],[UpprFn]]+Inventory[[#This Row],[AddFn]]+Inventory[[#This Row],[FnBsmt]]</f>
        <v>1380</v>
      </c>
      <c r="Z674" s="32">
        <v>1500</v>
      </c>
      <c r="AA674" s="31" t="s">
        <v>56</v>
      </c>
      <c r="AB674" s="32"/>
      <c r="AC674" s="30">
        <v>428</v>
      </c>
      <c r="AD674" s="32"/>
      <c r="AE674" s="32"/>
      <c r="AF674" s="32"/>
      <c r="AG674" s="32"/>
      <c r="AH674" s="32"/>
      <c r="AI674" s="30">
        <v>275546</v>
      </c>
      <c r="AJ674" s="30">
        <v>253502</v>
      </c>
      <c r="AK674" s="30">
        <v>0</v>
      </c>
      <c r="AL674" s="30">
        <v>0</v>
      </c>
      <c r="AM674" s="30">
        <v>60800</v>
      </c>
      <c r="AN674" s="30">
        <v>305500</v>
      </c>
      <c r="AO674" s="30">
        <v>366300</v>
      </c>
      <c r="AP674" s="30">
        <f>Lookups!$B$58*0.6</f>
        <v>132535.48800000001</v>
      </c>
      <c r="AQ674" s="30">
        <f>Lookups!$B$58*0.4</f>
        <v>88356.992000000013</v>
      </c>
      <c r="AR674" s="30">
        <f>Lookups!$B$59*Inventory[[#This Row],[LnAcres]]</f>
        <v>-24051.387388882686</v>
      </c>
      <c r="AS674" s="30">
        <f>VLOOKUP(Inventory[[#This Row],[Qlty]],Lookups!$A$66:$E$79,2,FALSE)</f>
        <v>37154.252388000001</v>
      </c>
      <c r="AT674" s="30">
        <f>VLOOKUP(Inventory[[#This Row],[Cnd]],Lookups!$A$80:$E$88,2,FALSE)</f>
        <v>50438.379078999998</v>
      </c>
      <c r="AU674" s="30">
        <f>Inventory[[#This Row],[EffAge]]*Lookups!$B$65</f>
        <v>-1957.3398</v>
      </c>
      <c r="AV674" s="30">
        <f>Inventory[[#This Row],[MainFn]]*Lookups!$B$90</f>
        <v>86126.324399999998</v>
      </c>
      <c r="AW674" s="30">
        <f>Inventory[[#This Row],[UpprFn]]*Lookups!$B$91</f>
        <v>0</v>
      </c>
      <c r="AX674" s="30">
        <f>Inventory[[#This Row],[Bsmt Area]]*Lookups!$B$95</f>
        <v>0</v>
      </c>
      <c r="AY674" s="30">
        <f>Inventory[[#This Row],[AttGar]]*Lookups!$B$93</f>
        <v>15108.841268</v>
      </c>
      <c r="AZ674" s="30">
        <f>ROUND(Inventory[[#This Row],[25Det]],-2)</f>
        <v>0</v>
      </c>
      <c r="BA674" s="30">
        <f>ROUND(SUM(Inventory[[#This Row],[Mdl Qlty]:[Mdl Garage Area]])+Inventory[[#This Row],[Mdl Res Intercept]],-2)</f>
        <v>319400</v>
      </c>
      <c r="BB674" s="30">
        <f>ROUND(Inventory[[#This Row],[Mdl Land Intercept]]+Inventory[[#This Row],[Mdl LnAcres]],-2)</f>
        <v>64300</v>
      </c>
      <c r="BC674" s="30">
        <f>Inventory[[#This Row],[Unadj Res Value]]+Inventory[[#This Row],[Unadj Det Value]]+Inventory[[#This Row],[Unadj Land Value]]</f>
        <v>383700</v>
      </c>
      <c r="BD674" s="30">
        <f>(Inventory[[#This Row],[Unadj Total Value]]-Inventory[[#This Row],[24Final]])/Inventory[[#This Row],[24Final]]</f>
        <v>4.7502047502047499E-2</v>
      </c>
      <c r="BE674" s="30">
        <f>VLOOKUP(Inventory[[#This Row],[Nbhd]],Lookups!$M$3:$P$5,4,FALSE)</f>
        <v>0.99970000000000003</v>
      </c>
      <c r="BF674" s="30">
        <f>VLOOKUP(Inventory[[#This Row],[Qlty]],Lookups!$M$8:$P$22,4,FALSE)</f>
        <v>0.99819999999999998</v>
      </c>
      <c r="BG674" s="30">
        <f>VLOOKUP(Inventory[[#This Row],[Cnd]],Lookups!$R$8:$U$17,4,FALSE)</f>
        <v>1.0007999999999999</v>
      </c>
      <c r="BH674" s="30">
        <f>VLOOKUP(Inventory[[#This Row],[LivArea Range]],Lookups!$R$25:$U$43,4,FALSE)</f>
        <v>0.99519999999999997</v>
      </c>
      <c r="BI674" s="30">
        <f>VLOOKUP(Inventory[[#This Row],[Decade]],Lookups!$M$24:$P$40,4,FALSE)</f>
        <v>1.0024</v>
      </c>
      <c r="BJ674" s="30">
        <f>Inventory[[#This Row],[Nbhd Adj]]*0.95</f>
        <v>0.94971499999999998</v>
      </c>
      <c r="BK674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674" s="30">
        <f>ROUND((SUM(Inventory[[#This Row],[Mdl Qlty]:[Mdl Garage Area]])+Inventory[[#This Row],[Mdl Res Intercept]])*Inventory[[#This Row],[Res Adj ]],-2)</f>
        <v>303200</v>
      </c>
      <c r="BM674" s="30">
        <f>ROUND(Inventory[[#This Row],[25Det]]*Inventory[[#This Row],[Det/Nbhd Adj]],-2)</f>
        <v>0</v>
      </c>
      <c r="BN674" s="30">
        <f>Inventory[[#This Row],[Adjusted Res]]+Inventory[[#This Row],[Adj Det ]]</f>
        <v>303200</v>
      </c>
      <c r="BO674" s="30">
        <f>ROUND((Inventory[[#This Row],[Mdl Land Intercept]]+Inventory[[#This Row],[Mdl LnAcres]])*Inventory[[#This Row],[Det/Nbhd Adj]],-2)</f>
        <v>61100</v>
      </c>
      <c r="BP674" s="30">
        <f>Inventory[[#This Row],[Adjusted Impr Total]]+Inventory[[#This Row],[Adjusted Land Total]]</f>
        <v>364300</v>
      </c>
      <c r="BQ674" s="30">
        <f>IFERROR((Inventory[[#This Row],[Adjusted Impr Total]]-Inventory[[#This Row],[24Bldg]])/Inventory[[#This Row],[24Bldg]],0)</f>
        <v>-7.5286415711947625E-3</v>
      </c>
      <c r="BR674" s="43">
        <f>(Inventory[[#This Row],[Adjusted Land Total]]-Inventory[[#This Row],[24Lnd]])/Inventory[[#This Row],[24Lnd]]</f>
        <v>4.9342105263157892E-3</v>
      </c>
      <c r="BS674" s="43">
        <f>(Inventory[[#This Row],[Adjusted Total]]-Inventory[[#This Row],[24Final]])/Inventory[[#This Row],[24Final]]</f>
        <v>-5.4600054600054604E-3</v>
      </c>
    </row>
    <row r="675" spans="1:71">
      <c r="A675" s="30">
        <v>2025</v>
      </c>
      <c r="B675" s="31" t="s">
        <v>1190</v>
      </c>
      <c r="C675" s="31">
        <f>LN(Inventory[[#This Row],[Acres]])</f>
        <v>-1.8325814637483102</v>
      </c>
      <c r="D675" s="30">
        <v>0.16</v>
      </c>
      <c r="E675" s="30">
        <v>7057</v>
      </c>
      <c r="F675" s="31" t="s">
        <v>505</v>
      </c>
      <c r="G675" s="31" t="s">
        <v>155</v>
      </c>
      <c r="H675" s="31" t="s">
        <v>5</v>
      </c>
      <c r="I675" s="31" t="s">
        <v>506</v>
      </c>
      <c r="J675" s="31" t="s">
        <v>507</v>
      </c>
      <c r="K675" s="31" t="s">
        <v>193</v>
      </c>
      <c r="L675" s="31" t="s">
        <v>19</v>
      </c>
      <c r="M675" s="31" t="s">
        <v>22</v>
      </c>
      <c r="N675" s="31">
        <v>10</v>
      </c>
      <c r="O675" s="31">
        <f>2024-Inventory[[#This Row],[YrBlt]]</f>
        <v>18</v>
      </c>
      <c r="P675" s="31">
        <f>2024-Inventory[[#This Row],[EffYr]]</f>
        <v>18</v>
      </c>
      <c r="Q675" s="30">
        <v>2006</v>
      </c>
      <c r="R675" s="30">
        <v>2006</v>
      </c>
      <c r="S675" s="30">
        <v>1380</v>
      </c>
      <c r="T675" s="37"/>
      <c r="U675" s="32"/>
      <c r="V675" s="32"/>
      <c r="W675" s="32"/>
      <c r="X675" s="32">
        <f>Inventory[[#This Row],[Bsmt Area]]-Inventory[[#This Row],[FnBsmt]]</f>
        <v>0</v>
      </c>
      <c r="Y675" s="32">
        <f>Inventory[[#This Row],[MainFn]]+Inventory[[#This Row],[UpprFn]]+Inventory[[#This Row],[AddFn]]+Inventory[[#This Row],[FnBsmt]]</f>
        <v>1380</v>
      </c>
      <c r="Z675" s="32">
        <v>1500</v>
      </c>
      <c r="AA675" s="31" t="s">
        <v>56</v>
      </c>
      <c r="AB675" s="37"/>
      <c r="AC675" s="38">
        <v>428</v>
      </c>
      <c r="AD675" s="37"/>
      <c r="AE675" s="32"/>
      <c r="AF675" s="32"/>
      <c r="AG675" s="32"/>
      <c r="AH675" s="32"/>
      <c r="AI675" s="30">
        <v>274549</v>
      </c>
      <c r="AJ675" s="30">
        <v>252585</v>
      </c>
      <c r="AK675" s="30">
        <v>0</v>
      </c>
      <c r="AL675" s="30">
        <v>0</v>
      </c>
      <c r="AM675" s="30">
        <v>60800</v>
      </c>
      <c r="AN675" s="30">
        <v>305500</v>
      </c>
      <c r="AO675" s="30">
        <v>366300</v>
      </c>
      <c r="AP675" s="30">
        <f>Lookups!$B$58*0.6</f>
        <v>132535.48800000001</v>
      </c>
      <c r="AQ675" s="30">
        <f>Lookups!$B$58*0.4</f>
        <v>88356.992000000013</v>
      </c>
      <c r="AR675" s="30">
        <f>Lookups!$B$59*Inventory[[#This Row],[LnAcres]]</f>
        <v>-24051.387388882686</v>
      </c>
      <c r="AS675" s="30">
        <f>VLOOKUP(Inventory[[#This Row],[Qlty]],Lookups!$A$66:$E$79,2,FALSE)</f>
        <v>37154.252388000001</v>
      </c>
      <c r="AT675" s="30">
        <f>VLOOKUP(Inventory[[#This Row],[Cnd]],Lookups!$A$80:$E$88,2,FALSE)</f>
        <v>50438.379078999998</v>
      </c>
      <c r="AU675" s="30">
        <f>Inventory[[#This Row],[EffAge]]*Lookups!$B$65</f>
        <v>-1957.3398</v>
      </c>
      <c r="AV675" s="30">
        <f>Inventory[[#This Row],[MainFn]]*Lookups!$B$90</f>
        <v>86126.324399999998</v>
      </c>
      <c r="AW675" s="30">
        <f>Inventory[[#This Row],[UpprFn]]*Lookups!$B$91</f>
        <v>0</v>
      </c>
      <c r="AX675" s="30">
        <f>Inventory[[#This Row],[Bsmt Area]]*Lookups!$B$95</f>
        <v>0</v>
      </c>
      <c r="AY675" s="30">
        <f>Inventory[[#This Row],[AttGar]]*Lookups!$B$93</f>
        <v>15108.841268</v>
      </c>
      <c r="AZ675" s="30">
        <f>ROUND(Inventory[[#This Row],[25Det]],-2)</f>
        <v>0</v>
      </c>
      <c r="BA675" s="30">
        <f>ROUND(SUM(Inventory[[#This Row],[Mdl Qlty]:[Mdl Garage Area]])+Inventory[[#This Row],[Mdl Res Intercept]],-2)</f>
        <v>319400</v>
      </c>
      <c r="BB675" s="30">
        <f>ROUND(Inventory[[#This Row],[Mdl Land Intercept]]+Inventory[[#This Row],[Mdl LnAcres]],-2)</f>
        <v>64300</v>
      </c>
      <c r="BC675" s="30">
        <f>Inventory[[#This Row],[Unadj Res Value]]+Inventory[[#This Row],[Unadj Det Value]]+Inventory[[#This Row],[Unadj Land Value]]</f>
        <v>383700</v>
      </c>
      <c r="BD675" s="30">
        <f>(Inventory[[#This Row],[Unadj Total Value]]-Inventory[[#This Row],[24Final]])/Inventory[[#This Row],[24Final]]</f>
        <v>4.7502047502047499E-2</v>
      </c>
      <c r="BE675" s="30">
        <f>VLOOKUP(Inventory[[#This Row],[Nbhd]],Lookups!$M$3:$P$5,4,FALSE)</f>
        <v>0.99970000000000003</v>
      </c>
      <c r="BF675" s="30">
        <f>VLOOKUP(Inventory[[#This Row],[Qlty]],Lookups!$M$8:$P$22,4,FALSE)</f>
        <v>0.99819999999999998</v>
      </c>
      <c r="BG675" s="30">
        <f>VLOOKUP(Inventory[[#This Row],[Cnd]],Lookups!$R$8:$U$17,4,FALSE)</f>
        <v>1.0007999999999999</v>
      </c>
      <c r="BH675" s="30">
        <f>VLOOKUP(Inventory[[#This Row],[LivArea Range]],Lookups!$R$25:$U$43,4,FALSE)</f>
        <v>0.99519999999999997</v>
      </c>
      <c r="BI675" s="30">
        <f>VLOOKUP(Inventory[[#This Row],[Decade]],Lookups!$M$24:$P$40,4,FALSE)</f>
        <v>1.0024</v>
      </c>
      <c r="BJ675" s="30">
        <f>Inventory[[#This Row],[Nbhd Adj]]*0.95</f>
        <v>0.94971499999999998</v>
      </c>
      <c r="BK675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675" s="30">
        <f>ROUND((SUM(Inventory[[#This Row],[Mdl Qlty]:[Mdl Garage Area]])+Inventory[[#This Row],[Mdl Res Intercept]])*Inventory[[#This Row],[Res Adj ]],-2)</f>
        <v>303200</v>
      </c>
      <c r="BM675" s="30">
        <f>ROUND(Inventory[[#This Row],[25Det]]*Inventory[[#This Row],[Det/Nbhd Adj]],-2)</f>
        <v>0</v>
      </c>
      <c r="BN675" s="30">
        <f>Inventory[[#This Row],[Adjusted Res]]+Inventory[[#This Row],[Adj Det ]]</f>
        <v>303200</v>
      </c>
      <c r="BO675" s="30">
        <f>ROUND((Inventory[[#This Row],[Mdl Land Intercept]]+Inventory[[#This Row],[Mdl LnAcres]])*Inventory[[#This Row],[Det/Nbhd Adj]],-2)</f>
        <v>61100</v>
      </c>
      <c r="BP675" s="30">
        <f>Inventory[[#This Row],[Adjusted Impr Total]]+Inventory[[#This Row],[Adjusted Land Total]]</f>
        <v>364300</v>
      </c>
      <c r="BQ675" s="30">
        <f>IFERROR((Inventory[[#This Row],[Adjusted Impr Total]]-Inventory[[#This Row],[24Bldg]])/Inventory[[#This Row],[24Bldg]],0)</f>
        <v>-7.5286415711947625E-3</v>
      </c>
      <c r="BR675" s="43">
        <f>(Inventory[[#This Row],[Adjusted Land Total]]-Inventory[[#This Row],[24Lnd]])/Inventory[[#This Row],[24Lnd]]</f>
        <v>4.9342105263157892E-3</v>
      </c>
      <c r="BS675" s="43">
        <f>(Inventory[[#This Row],[Adjusted Total]]-Inventory[[#This Row],[24Final]])/Inventory[[#This Row],[24Final]]</f>
        <v>-5.4600054600054604E-3</v>
      </c>
    </row>
    <row r="676" spans="1:71">
      <c r="A676" s="30">
        <v>2025</v>
      </c>
      <c r="B676" s="31" t="s">
        <v>1191</v>
      </c>
      <c r="C676" s="31">
        <f>LN(Inventory[[#This Row],[Acres]])</f>
        <v>-1.8325814637483102</v>
      </c>
      <c r="D676" s="30">
        <v>0.16</v>
      </c>
      <c r="E676" s="30">
        <v>7000</v>
      </c>
      <c r="F676" s="31" t="s">
        <v>505</v>
      </c>
      <c r="G676" s="31" t="s">
        <v>155</v>
      </c>
      <c r="H676" s="31" t="s">
        <v>5</v>
      </c>
      <c r="I676" s="31" t="s">
        <v>506</v>
      </c>
      <c r="J676" s="31" t="s">
        <v>507</v>
      </c>
      <c r="K676" s="31" t="s">
        <v>193</v>
      </c>
      <c r="L676" s="31" t="s">
        <v>19</v>
      </c>
      <c r="M676" s="31" t="s">
        <v>22</v>
      </c>
      <c r="N676" s="31">
        <v>10</v>
      </c>
      <c r="O676" s="31">
        <f>2024-Inventory[[#This Row],[YrBlt]]</f>
        <v>18</v>
      </c>
      <c r="P676" s="31">
        <f>2024-Inventory[[#This Row],[EffYr]]</f>
        <v>18</v>
      </c>
      <c r="Q676" s="30">
        <v>2006</v>
      </c>
      <c r="R676" s="30">
        <v>2006</v>
      </c>
      <c r="S676" s="30">
        <v>1732</v>
      </c>
      <c r="T676" s="37"/>
      <c r="U676" s="32"/>
      <c r="V676" s="32"/>
      <c r="W676" s="32"/>
      <c r="X676" s="32">
        <f>Inventory[[#This Row],[Bsmt Area]]-Inventory[[#This Row],[FnBsmt]]</f>
        <v>0</v>
      </c>
      <c r="Y676" s="32">
        <f>Inventory[[#This Row],[MainFn]]+Inventory[[#This Row],[UpprFn]]+Inventory[[#This Row],[AddFn]]+Inventory[[#This Row],[FnBsmt]]</f>
        <v>1732</v>
      </c>
      <c r="Z676" s="32">
        <v>2000</v>
      </c>
      <c r="AA676" s="31" t="s">
        <v>56</v>
      </c>
      <c r="AB676" s="37"/>
      <c r="AC676" s="30">
        <v>468</v>
      </c>
      <c r="AD676" s="32"/>
      <c r="AE676" s="32"/>
      <c r="AF676" s="32"/>
      <c r="AG676" s="32"/>
      <c r="AH676" s="32"/>
      <c r="AI676" s="30">
        <v>330466</v>
      </c>
      <c r="AJ676" s="30">
        <v>304029</v>
      </c>
      <c r="AK676" s="30">
        <v>0</v>
      </c>
      <c r="AL676" s="30">
        <v>0</v>
      </c>
      <c r="AM676" s="30">
        <v>60800</v>
      </c>
      <c r="AN676" s="30">
        <v>328900</v>
      </c>
      <c r="AO676" s="30">
        <v>389700</v>
      </c>
      <c r="AP676" s="30">
        <f>Lookups!$B$58*0.6</f>
        <v>132535.48800000001</v>
      </c>
      <c r="AQ676" s="30">
        <f>Lookups!$B$58*0.4</f>
        <v>88356.992000000013</v>
      </c>
      <c r="AR676" s="30">
        <f>Lookups!$B$59*Inventory[[#This Row],[LnAcres]]</f>
        <v>-24051.387388882686</v>
      </c>
      <c r="AS676" s="30">
        <f>VLOOKUP(Inventory[[#This Row],[Qlty]],Lookups!$A$66:$E$79,2,FALSE)</f>
        <v>37154.252388000001</v>
      </c>
      <c r="AT676" s="30">
        <f>VLOOKUP(Inventory[[#This Row],[Cnd]],Lookups!$A$80:$E$88,2,FALSE)</f>
        <v>50438.379078999998</v>
      </c>
      <c r="AU676" s="30">
        <f>Inventory[[#This Row],[EffAge]]*Lookups!$B$65</f>
        <v>-1957.3398</v>
      </c>
      <c r="AV676" s="30">
        <f>Inventory[[#This Row],[MainFn]]*Lookups!$B$90</f>
        <v>108094.77816</v>
      </c>
      <c r="AW676" s="30">
        <f>Inventory[[#This Row],[UpprFn]]*Lookups!$B$91</f>
        <v>0</v>
      </c>
      <c r="AX676" s="30">
        <f>Inventory[[#This Row],[Bsmt Area]]*Lookups!$B$95</f>
        <v>0</v>
      </c>
      <c r="AY676" s="30">
        <f>Inventory[[#This Row],[AttGar]]*Lookups!$B$93</f>
        <v>16520.882508000002</v>
      </c>
      <c r="AZ676" s="30">
        <f>ROUND(Inventory[[#This Row],[25Det]],-2)</f>
        <v>0</v>
      </c>
      <c r="BA676" s="30">
        <f>ROUND(SUM(Inventory[[#This Row],[Mdl Qlty]:[Mdl Garage Area]])+Inventory[[#This Row],[Mdl Res Intercept]],-2)</f>
        <v>342800</v>
      </c>
      <c r="BB676" s="30">
        <f>ROUND(Inventory[[#This Row],[Mdl Land Intercept]]+Inventory[[#This Row],[Mdl LnAcres]],-2)</f>
        <v>64300</v>
      </c>
      <c r="BC676" s="30">
        <f>Inventory[[#This Row],[Unadj Res Value]]+Inventory[[#This Row],[Unadj Det Value]]+Inventory[[#This Row],[Unadj Land Value]]</f>
        <v>407100</v>
      </c>
      <c r="BD676" s="30">
        <f>(Inventory[[#This Row],[Unadj Total Value]]-Inventory[[#This Row],[24Final]])/Inventory[[#This Row],[24Final]]</f>
        <v>4.4649730561970746E-2</v>
      </c>
      <c r="BE676" s="30">
        <f>VLOOKUP(Inventory[[#This Row],[Nbhd]],Lookups!$M$3:$P$5,4,FALSE)</f>
        <v>0.99970000000000003</v>
      </c>
      <c r="BF676" s="30">
        <f>VLOOKUP(Inventory[[#This Row],[Qlty]],Lookups!$M$8:$P$22,4,FALSE)</f>
        <v>0.99819999999999998</v>
      </c>
      <c r="BG676" s="30">
        <f>VLOOKUP(Inventory[[#This Row],[Cnd]],Lookups!$R$8:$U$17,4,FALSE)</f>
        <v>1.0007999999999999</v>
      </c>
      <c r="BH676" s="30">
        <f>VLOOKUP(Inventory[[#This Row],[LivArea Range]],Lookups!$R$25:$U$43,4,FALSE)</f>
        <v>1.0007999999999999</v>
      </c>
      <c r="BI676" s="30">
        <f>VLOOKUP(Inventory[[#This Row],[Decade]],Lookups!$M$24:$P$40,4,FALSE)</f>
        <v>1.0024</v>
      </c>
      <c r="BJ676" s="30">
        <f>Inventory[[#This Row],[Nbhd Adj]]*0.95</f>
        <v>0.94971499999999998</v>
      </c>
      <c r="BK676" s="30">
        <f>AVERAGE(Inventory[[#This Row],[Nbhd Adj]],Inventory[[#This Row],[Quality Adj]],Inventory[[#This Row],[Condition Adj]],Inventory[[#This Row],[Living Area Adj]],Inventory[[#This Row],[Decade Adj]])*0.95</f>
        <v>0.95036100000000001</v>
      </c>
      <c r="BL676" s="30">
        <f>ROUND((SUM(Inventory[[#This Row],[Mdl Qlty]:[Mdl Garage Area]])+Inventory[[#This Row],[Mdl Res Intercept]])*Inventory[[#This Row],[Res Adj ]],-2)</f>
        <v>325800</v>
      </c>
      <c r="BM676" s="30">
        <f>ROUND(Inventory[[#This Row],[25Det]]*Inventory[[#This Row],[Det/Nbhd Adj]],-2)</f>
        <v>0</v>
      </c>
      <c r="BN676" s="30">
        <f>Inventory[[#This Row],[Adjusted Res]]+Inventory[[#This Row],[Adj Det ]]</f>
        <v>325800</v>
      </c>
      <c r="BO676" s="30">
        <f>ROUND((Inventory[[#This Row],[Mdl Land Intercept]]+Inventory[[#This Row],[Mdl LnAcres]])*Inventory[[#This Row],[Det/Nbhd Adj]],-2)</f>
        <v>61100</v>
      </c>
      <c r="BP676" s="30">
        <f>Inventory[[#This Row],[Adjusted Impr Total]]+Inventory[[#This Row],[Adjusted Land Total]]</f>
        <v>386900</v>
      </c>
      <c r="BQ676" s="30">
        <f>IFERROR((Inventory[[#This Row],[Adjusted Impr Total]]-Inventory[[#This Row],[24Bldg]])/Inventory[[#This Row],[24Bldg]],0)</f>
        <v>-9.425357251444208E-3</v>
      </c>
      <c r="BR676" s="43">
        <f>(Inventory[[#This Row],[Adjusted Land Total]]-Inventory[[#This Row],[24Lnd]])/Inventory[[#This Row],[24Lnd]]</f>
        <v>4.9342105263157892E-3</v>
      </c>
      <c r="BS676" s="43">
        <f>(Inventory[[#This Row],[Adjusted Total]]-Inventory[[#This Row],[24Final]])/Inventory[[#This Row],[24Final]]</f>
        <v>-7.1850141134205802E-3</v>
      </c>
    </row>
    <row r="677" spans="1:71">
      <c r="A677" s="30">
        <v>2025</v>
      </c>
      <c r="B677" s="31" t="s">
        <v>1192</v>
      </c>
      <c r="C677" s="31">
        <f>LN(Inventory[[#This Row],[Acres]])</f>
        <v>-1.8325814637483102</v>
      </c>
      <c r="D677" s="30">
        <v>0.16</v>
      </c>
      <c r="E677" s="30">
        <v>7002</v>
      </c>
      <c r="F677" s="31" t="s">
        <v>505</v>
      </c>
      <c r="G677" s="31" t="s">
        <v>155</v>
      </c>
      <c r="H677" s="31" t="s">
        <v>5</v>
      </c>
      <c r="I677" s="31" t="s">
        <v>506</v>
      </c>
      <c r="J677" s="31" t="s">
        <v>507</v>
      </c>
      <c r="K677" s="31" t="s">
        <v>157</v>
      </c>
      <c r="L677" s="31" t="s">
        <v>21</v>
      </c>
      <c r="M677" s="31" t="s">
        <v>22</v>
      </c>
      <c r="N677" s="31">
        <v>10</v>
      </c>
      <c r="O677" s="31">
        <f>2024-Inventory[[#This Row],[YrBlt]]</f>
        <v>18</v>
      </c>
      <c r="P677" s="31">
        <f>2024-Inventory[[#This Row],[EffYr]]</f>
        <v>18</v>
      </c>
      <c r="Q677" s="30">
        <v>2006</v>
      </c>
      <c r="R677" s="30">
        <v>2006</v>
      </c>
      <c r="S677" s="30">
        <v>1116</v>
      </c>
      <c r="T677" s="38">
        <v>1116</v>
      </c>
      <c r="U677" s="32"/>
      <c r="V677" s="32"/>
      <c r="W677" s="32"/>
      <c r="X677" s="32">
        <f>Inventory[[#This Row],[Bsmt Area]]-Inventory[[#This Row],[FnBsmt]]</f>
        <v>0</v>
      </c>
      <c r="Y677" s="32">
        <f>Inventory[[#This Row],[MainFn]]+Inventory[[#This Row],[UpprFn]]+Inventory[[#This Row],[AddFn]]+Inventory[[#This Row],[FnBsmt]]</f>
        <v>2232</v>
      </c>
      <c r="Z677" s="32">
        <v>2500</v>
      </c>
      <c r="AA677" s="31" t="s">
        <v>56</v>
      </c>
      <c r="AB677" s="32"/>
      <c r="AC677" s="30">
        <v>440</v>
      </c>
      <c r="AD677" s="32"/>
      <c r="AE677" s="32"/>
      <c r="AF677" s="32"/>
      <c r="AG677" s="32"/>
      <c r="AH677" s="32"/>
      <c r="AI677" s="30">
        <v>439327</v>
      </c>
      <c r="AJ677" s="30">
        <v>404181</v>
      </c>
      <c r="AK677" s="30">
        <v>0</v>
      </c>
      <c r="AL677" s="30">
        <v>0</v>
      </c>
      <c r="AM677" s="30">
        <v>60800</v>
      </c>
      <c r="AN677" s="30">
        <v>350900</v>
      </c>
      <c r="AO677" s="30">
        <v>411700</v>
      </c>
      <c r="AP677" s="30">
        <f>Lookups!$B$58*0.6</f>
        <v>132535.48800000001</v>
      </c>
      <c r="AQ677" s="30">
        <f>Lookups!$B$58*0.4</f>
        <v>88356.992000000013</v>
      </c>
      <c r="AR677" s="30">
        <f>Lookups!$B$59*Inventory[[#This Row],[LnAcres]]</f>
        <v>-24051.387388882686</v>
      </c>
      <c r="AS677" s="30">
        <f>VLOOKUP(Inventory[[#This Row],[Qlty]],Lookups!$A$66:$E$79,2,FALSE)</f>
        <v>32917.849192000001</v>
      </c>
      <c r="AT677" s="30">
        <f>VLOOKUP(Inventory[[#This Row],[Cnd]],Lookups!$A$80:$E$88,2,FALSE)</f>
        <v>50438.379078999998</v>
      </c>
      <c r="AU677" s="30">
        <f>Inventory[[#This Row],[EffAge]]*Lookups!$B$65</f>
        <v>-1957.3398</v>
      </c>
      <c r="AV677" s="30">
        <f>Inventory[[#This Row],[MainFn]]*Lookups!$B$90</f>
        <v>69649.984080000009</v>
      </c>
      <c r="AW677" s="30">
        <f>Inventory[[#This Row],[UpprFn]]*Lookups!$B$91</f>
        <v>66491.707427999994</v>
      </c>
      <c r="AX677" s="30">
        <f>Inventory[[#This Row],[Bsmt Area]]*Lookups!$B$95</f>
        <v>0</v>
      </c>
      <c r="AY677" s="30">
        <f>Inventory[[#This Row],[AttGar]]*Lookups!$B$93</f>
        <v>15532.453640000002</v>
      </c>
      <c r="AZ677" s="30">
        <f>ROUND(Inventory[[#This Row],[25Det]],-2)</f>
        <v>0</v>
      </c>
      <c r="BA677" s="30">
        <f>ROUND(SUM(Inventory[[#This Row],[Mdl Qlty]:[Mdl Garage Area]])+Inventory[[#This Row],[Mdl Res Intercept]],-2)</f>
        <v>365600</v>
      </c>
      <c r="BB677" s="30">
        <f>ROUND(Inventory[[#This Row],[Mdl Land Intercept]]+Inventory[[#This Row],[Mdl LnAcres]],-2)</f>
        <v>64300</v>
      </c>
      <c r="BC677" s="30">
        <f>Inventory[[#This Row],[Unadj Res Value]]+Inventory[[#This Row],[Unadj Det Value]]+Inventory[[#This Row],[Unadj Land Value]]</f>
        <v>429900</v>
      </c>
      <c r="BD677" s="30">
        <f>(Inventory[[#This Row],[Unadj Total Value]]-Inventory[[#This Row],[24Final]])/Inventory[[#This Row],[24Final]]</f>
        <v>4.4206946805926649E-2</v>
      </c>
      <c r="BE677" s="30">
        <f>VLOOKUP(Inventory[[#This Row],[Nbhd]],Lookups!$M$3:$P$5,4,FALSE)</f>
        <v>0.99970000000000003</v>
      </c>
      <c r="BF677" s="30">
        <f>VLOOKUP(Inventory[[#This Row],[Qlty]],Lookups!$M$8:$P$22,4,FALSE)</f>
        <v>1.0019</v>
      </c>
      <c r="BG677" s="30">
        <f>VLOOKUP(Inventory[[#This Row],[Cnd]],Lookups!$R$8:$U$17,4,FALSE)</f>
        <v>1.0007999999999999</v>
      </c>
      <c r="BH677" s="30">
        <f>VLOOKUP(Inventory[[#This Row],[LivArea Range]],Lookups!$R$25:$U$43,4,FALSE)</f>
        <v>1.0008999999999999</v>
      </c>
      <c r="BI677" s="30">
        <f>VLOOKUP(Inventory[[#This Row],[Decade]],Lookups!$M$24:$P$40,4,FALSE)</f>
        <v>1.0024</v>
      </c>
      <c r="BJ677" s="30">
        <f>Inventory[[#This Row],[Nbhd Adj]]*0.95</f>
        <v>0.94971499999999998</v>
      </c>
      <c r="BK677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677" s="30">
        <f>ROUND((SUM(Inventory[[#This Row],[Mdl Qlty]:[Mdl Garage Area]])+Inventory[[#This Row],[Mdl Res Intercept]])*Inventory[[#This Row],[Res Adj ]],-2)</f>
        <v>347700</v>
      </c>
      <c r="BM677" s="30">
        <f>ROUND(Inventory[[#This Row],[25Det]]*Inventory[[#This Row],[Det/Nbhd Adj]],-2)</f>
        <v>0</v>
      </c>
      <c r="BN677" s="30">
        <f>Inventory[[#This Row],[Adjusted Res]]+Inventory[[#This Row],[Adj Det ]]</f>
        <v>347700</v>
      </c>
      <c r="BO677" s="30">
        <f>ROUND((Inventory[[#This Row],[Mdl Land Intercept]]+Inventory[[#This Row],[Mdl LnAcres]])*Inventory[[#This Row],[Det/Nbhd Adj]],-2)</f>
        <v>61100</v>
      </c>
      <c r="BP677" s="30">
        <f>Inventory[[#This Row],[Adjusted Impr Total]]+Inventory[[#This Row],[Adjusted Land Total]]</f>
        <v>408800</v>
      </c>
      <c r="BQ677" s="30">
        <f>IFERROR((Inventory[[#This Row],[Adjusted Impr Total]]-Inventory[[#This Row],[24Bldg]])/Inventory[[#This Row],[24Bldg]],0)</f>
        <v>-9.119407238529496E-3</v>
      </c>
      <c r="BR677" s="43">
        <f>(Inventory[[#This Row],[Adjusted Land Total]]-Inventory[[#This Row],[24Lnd]])/Inventory[[#This Row],[24Lnd]]</f>
        <v>4.9342105263157892E-3</v>
      </c>
      <c r="BS677" s="43">
        <f>(Inventory[[#This Row],[Adjusted Total]]-Inventory[[#This Row],[24Final]])/Inventory[[#This Row],[24Final]]</f>
        <v>-7.0439640514938064E-3</v>
      </c>
    </row>
    <row r="678" spans="1:71">
      <c r="A678" s="30">
        <v>2025</v>
      </c>
      <c r="B678" s="31" t="s">
        <v>1193</v>
      </c>
      <c r="C678" s="31">
        <f>LN(Inventory[[#This Row],[Acres]])</f>
        <v>-1.8325814637483102</v>
      </c>
      <c r="D678" s="30">
        <v>0.16</v>
      </c>
      <c r="E678" s="30">
        <v>7053</v>
      </c>
      <c r="F678" s="31" t="s">
        <v>505</v>
      </c>
      <c r="G678" s="31" t="s">
        <v>155</v>
      </c>
      <c r="H678" s="31" t="s">
        <v>5</v>
      </c>
      <c r="I678" s="31" t="s">
        <v>506</v>
      </c>
      <c r="J678" s="31" t="s">
        <v>507</v>
      </c>
      <c r="K678" s="31" t="s">
        <v>157</v>
      </c>
      <c r="L678" s="31" t="s">
        <v>21</v>
      </c>
      <c r="M678" s="31" t="s">
        <v>22</v>
      </c>
      <c r="N678" s="31">
        <v>10</v>
      </c>
      <c r="O678" s="31">
        <f>2024-Inventory[[#This Row],[YrBlt]]</f>
        <v>18</v>
      </c>
      <c r="P678" s="31">
        <f>2024-Inventory[[#This Row],[EffYr]]</f>
        <v>18</v>
      </c>
      <c r="Q678" s="30">
        <v>2006</v>
      </c>
      <c r="R678" s="30">
        <v>2006</v>
      </c>
      <c r="S678" s="30">
        <v>1116</v>
      </c>
      <c r="T678" s="38">
        <v>1116</v>
      </c>
      <c r="U678" s="32"/>
      <c r="V678" s="32"/>
      <c r="W678" s="32"/>
      <c r="X678" s="32">
        <f>Inventory[[#This Row],[Bsmt Area]]-Inventory[[#This Row],[FnBsmt]]</f>
        <v>0</v>
      </c>
      <c r="Y678" s="32">
        <f>Inventory[[#This Row],[MainFn]]+Inventory[[#This Row],[UpprFn]]+Inventory[[#This Row],[AddFn]]+Inventory[[#This Row],[FnBsmt]]</f>
        <v>2232</v>
      </c>
      <c r="Z678" s="32">
        <v>2500</v>
      </c>
      <c r="AA678" s="31" t="s">
        <v>56</v>
      </c>
      <c r="AB678" s="30">
        <v>1</v>
      </c>
      <c r="AC678" s="30">
        <v>440</v>
      </c>
      <c r="AD678" s="32"/>
      <c r="AE678" s="32"/>
      <c r="AF678" s="32"/>
      <c r="AG678" s="32"/>
      <c r="AH678" s="32"/>
      <c r="AI678" s="30">
        <v>451113</v>
      </c>
      <c r="AJ678" s="30">
        <v>415024</v>
      </c>
      <c r="AK678" s="30">
        <v>0</v>
      </c>
      <c r="AL678" s="30">
        <v>0</v>
      </c>
      <c r="AM678" s="30">
        <v>60800</v>
      </c>
      <c r="AN678" s="30">
        <v>350900</v>
      </c>
      <c r="AO678" s="30">
        <v>411700</v>
      </c>
      <c r="AP678" s="30">
        <f>Lookups!$B$58*0.6</f>
        <v>132535.48800000001</v>
      </c>
      <c r="AQ678" s="30">
        <f>Lookups!$B$58*0.4</f>
        <v>88356.992000000013</v>
      </c>
      <c r="AR678" s="30">
        <f>Lookups!$B$59*Inventory[[#This Row],[LnAcres]]</f>
        <v>-24051.387388882686</v>
      </c>
      <c r="AS678" s="30">
        <f>VLOOKUP(Inventory[[#This Row],[Qlty]],Lookups!$A$66:$E$79,2,FALSE)</f>
        <v>32917.849192000001</v>
      </c>
      <c r="AT678" s="30">
        <f>VLOOKUP(Inventory[[#This Row],[Cnd]],Lookups!$A$80:$E$88,2,FALSE)</f>
        <v>50438.379078999998</v>
      </c>
      <c r="AU678" s="30">
        <f>Inventory[[#This Row],[EffAge]]*Lookups!$B$65</f>
        <v>-1957.3398</v>
      </c>
      <c r="AV678" s="30">
        <f>Inventory[[#This Row],[MainFn]]*Lookups!$B$90</f>
        <v>69649.984080000009</v>
      </c>
      <c r="AW678" s="30">
        <f>Inventory[[#This Row],[UpprFn]]*Lookups!$B$91</f>
        <v>66491.707427999994</v>
      </c>
      <c r="AX678" s="30">
        <f>Inventory[[#This Row],[Bsmt Area]]*Lookups!$B$95</f>
        <v>0</v>
      </c>
      <c r="AY678" s="30">
        <f>Inventory[[#This Row],[AttGar]]*Lookups!$B$93</f>
        <v>15532.453640000002</v>
      </c>
      <c r="AZ678" s="30">
        <f>ROUND(Inventory[[#This Row],[25Det]],-2)</f>
        <v>0</v>
      </c>
      <c r="BA678" s="30">
        <f>ROUND(SUM(Inventory[[#This Row],[Mdl Qlty]:[Mdl Garage Area]])+Inventory[[#This Row],[Mdl Res Intercept]],-2)</f>
        <v>365600</v>
      </c>
      <c r="BB678" s="30">
        <f>ROUND(Inventory[[#This Row],[Mdl Land Intercept]]+Inventory[[#This Row],[Mdl LnAcres]],-2)</f>
        <v>64300</v>
      </c>
      <c r="BC678" s="30">
        <f>Inventory[[#This Row],[Unadj Res Value]]+Inventory[[#This Row],[Unadj Det Value]]+Inventory[[#This Row],[Unadj Land Value]]</f>
        <v>429900</v>
      </c>
      <c r="BD678" s="30">
        <f>(Inventory[[#This Row],[Unadj Total Value]]-Inventory[[#This Row],[24Final]])/Inventory[[#This Row],[24Final]]</f>
        <v>4.4206946805926649E-2</v>
      </c>
      <c r="BE678" s="30">
        <f>VLOOKUP(Inventory[[#This Row],[Nbhd]],Lookups!$M$3:$P$5,4,FALSE)</f>
        <v>0.99970000000000003</v>
      </c>
      <c r="BF678" s="30">
        <f>VLOOKUP(Inventory[[#This Row],[Qlty]],Lookups!$M$8:$P$22,4,FALSE)</f>
        <v>1.0019</v>
      </c>
      <c r="BG678" s="30">
        <f>VLOOKUP(Inventory[[#This Row],[Cnd]],Lookups!$R$8:$U$17,4,FALSE)</f>
        <v>1.0007999999999999</v>
      </c>
      <c r="BH678" s="30">
        <f>VLOOKUP(Inventory[[#This Row],[LivArea Range]],Lookups!$R$25:$U$43,4,FALSE)</f>
        <v>1.0008999999999999</v>
      </c>
      <c r="BI678" s="30">
        <f>VLOOKUP(Inventory[[#This Row],[Decade]],Lookups!$M$24:$P$40,4,FALSE)</f>
        <v>1.0024</v>
      </c>
      <c r="BJ678" s="30">
        <f>Inventory[[#This Row],[Nbhd Adj]]*0.95</f>
        <v>0.94971499999999998</v>
      </c>
      <c r="BK678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678" s="30">
        <f>ROUND((SUM(Inventory[[#This Row],[Mdl Qlty]:[Mdl Garage Area]])+Inventory[[#This Row],[Mdl Res Intercept]])*Inventory[[#This Row],[Res Adj ]],-2)</f>
        <v>347700</v>
      </c>
      <c r="BM678" s="30">
        <f>ROUND(Inventory[[#This Row],[25Det]]*Inventory[[#This Row],[Det/Nbhd Adj]],-2)</f>
        <v>0</v>
      </c>
      <c r="BN678" s="30">
        <f>Inventory[[#This Row],[Adjusted Res]]+Inventory[[#This Row],[Adj Det ]]</f>
        <v>347700</v>
      </c>
      <c r="BO678" s="30">
        <f>ROUND((Inventory[[#This Row],[Mdl Land Intercept]]+Inventory[[#This Row],[Mdl LnAcres]])*Inventory[[#This Row],[Det/Nbhd Adj]],-2)</f>
        <v>61100</v>
      </c>
      <c r="BP678" s="30">
        <f>Inventory[[#This Row],[Adjusted Impr Total]]+Inventory[[#This Row],[Adjusted Land Total]]</f>
        <v>408800</v>
      </c>
      <c r="BQ678" s="30">
        <f>IFERROR((Inventory[[#This Row],[Adjusted Impr Total]]-Inventory[[#This Row],[24Bldg]])/Inventory[[#This Row],[24Bldg]],0)</f>
        <v>-9.119407238529496E-3</v>
      </c>
      <c r="BR678" s="43">
        <f>(Inventory[[#This Row],[Adjusted Land Total]]-Inventory[[#This Row],[24Lnd]])/Inventory[[#This Row],[24Lnd]]</f>
        <v>4.9342105263157892E-3</v>
      </c>
      <c r="BS678" s="43">
        <f>(Inventory[[#This Row],[Adjusted Total]]-Inventory[[#This Row],[24Final]])/Inventory[[#This Row],[24Final]]</f>
        <v>-7.0439640514938064E-3</v>
      </c>
    </row>
    <row r="679" spans="1:71">
      <c r="A679" s="30">
        <v>2025</v>
      </c>
      <c r="B679" s="31" t="s">
        <v>1194</v>
      </c>
      <c r="C679" s="31">
        <f>LN(Inventory[[#This Row],[Acres]])</f>
        <v>-1.8325814637483102</v>
      </c>
      <c r="D679" s="30">
        <v>0.16</v>
      </c>
      <c r="E679" s="38">
        <v>7078</v>
      </c>
      <c r="F679" s="31" t="s">
        <v>505</v>
      </c>
      <c r="G679" s="31" t="s">
        <v>155</v>
      </c>
      <c r="H679" s="31" t="s">
        <v>5</v>
      </c>
      <c r="I679" s="31" t="s">
        <v>506</v>
      </c>
      <c r="J679" s="31" t="s">
        <v>507</v>
      </c>
      <c r="K679" s="31" t="s">
        <v>157</v>
      </c>
      <c r="L679" s="31" t="s">
        <v>21</v>
      </c>
      <c r="M679" s="31" t="s">
        <v>22</v>
      </c>
      <c r="N679" s="31">
        <v>10</v>
      </c>
      <c r="O679" s="31">
        <f>2024-Inventory[[#This Row],[YrBlt]]</f>
        <v>18</v>
      </c>
      <c r="P679" s="31">
        <f>2024-Inventory[[#This Row],[EffYr]]</f>
        <v>18</v>
      </c>
      <c r="Q679" s="30">
        <v>2006</v>
      </c>
      <c r="R679" s="30">
        <v>2006</v>
      </c>
      <c r="S679" s="30">
        <v>1116</v>
      </c>
      <c r="T679" s="30">
        <v>1116</v>
      </c>
      <c r="U679" s="37"/>
      <c r="V679" s="32"/>
      <c r="W679" s="37"/>
      <c r="X679" s="37">
        <f>Inventory[[#This Row],[Bsmt Area]]-Inventory[[#This Row],[FnBsmt]]</f>
        <v>0</v>
      </c>
      <c r="Y679" s="37">
        <f>Inventory[[#This Row],[MainFn]]+Inventory[[#This Row],[UpprFn]]+Inventory[[#This Row],[AddFn]]+Inventory[[#This Row],[FnBsmt]]</f>
        <v>2232</v>
      </c>
      <c r="Z679" s="32">
        <v>2500</v>
      </c>
      <c r="AA679" s="31" t="s">
        <v>56</v>
      </c>
      <c r="AB679" s="32"/>
      <c r="AC679" s="38">
        <v>440</v>
      </c>
      <c r="AD679" s="32"/>
      <c r="AE679" s="32"/>
      <c r="AF679" s="37"/>
      <c r="AG679" s="32"/>
      <c r="AH679" s="32"/>
      <c r="AI679" s="30">
        <v>440579</v>
      </c>
      <c r="AJ679" s="30">
        <v>405333</v>
      </c>
      <c r="AK679" s="30">
        <v>0</v>
      </c>
      <c r="AL679" s="30">
        <v>0</v>
      </c>
      <c r="AM679" s="30">
        <v>60800</v>
      </c>
      <c r="AN679" s="30">
        <v>350900</v>
      </c>
      <c r="AO679" s="30">
        <v>411700</v>
      </c>
      <c r="AP679" s="30">
        <f>Lookups!$B$58*0.6</f>
        <v>132535.48800000001</v>
      </c>
      <c r="AQ679" s="30">
        <f>Lookups!$B$58*0.4</f>
        <v>88356.992000000013</v>
      </c>
      <c r="AR679" s="30">
        <f>Lookups!$B$59*Inventory[[#This Row],[LnAcres]]</f>
        <v>-24051.387388882686</v>
      </c>
      <c r="AS679" s="30">
        <f>VLOOKUP(Inventory[[#This Row],[Qlty]],Lookups!$A$66:$E$79,2,FALSE)</f>
        <v>32917.849192000001</v>
      </c>
      <c r="AT679" s="30">
        <f>VLOOKUP(Inventory[[#This Row],[Cnd]],Lookups!$A$80:$E$88,2,FALSE)</f>
        <v>50438.379078999998</v>
      </c>
      <c r="AU679" s="30">
        <f>Inventory[[#This Row],[EffAge]]*Lookups!$B$65</f>
        <v>-1957.3398</v>
      </c>
      <c r="AV679" s="30">
        <f>Inventory[[#This Row],[MainFn]]*Lookups!$B$90</f>
        <v>69649.984080000009</v>
      </c>
      <c r="AW679" s="30">
        <f>Inventory[[#This Row],[UpprFn]]*Lookups!$B$91</f>
        <v>66491.707427999994</v>
      </c>
      <c r="AX679" s="30">
        <f>Inventory[[#This Row],[Bsmt Area]]*Lookups!$B$95</f>
        <v>0</v>
      </c>
      <c r="AY679" s="30">
        <f>Inventory[[#This Row],[AttGar]]*Lookups!$B$93</f>
        <v>15532.453640000002</v>
      </c>
      <c r="AZ679" s="30">
        <f>ROUND(Inventory[[#This Row],[25Det]],-2)</f>
        <v>0</v>
      </c>
      <c r="BA679" s="30">
        <f>ROUND(SUM(Inventory[[#This Row],[Mdl Qlty]:[Mdl Garage Area]])+Inventory[[#This Row],[Mdl Res Intercept]],-2)</f>
        <v>365600</v>
      </c>
      <c r="BB679" s="30">
        <f>ROUND(Inventory[[#This Row],[Mdl Land Intercept]]+Inventory[[#This Row],[Mdl LnAcres]],-2)</f>
        <v>64300</v>
      </c>
      <c r="BC679" s="30">
        <f>Inventory[[#This Row],[Unadj Res Value]]+Inventory[[#This Row],[Unadj Det Value]]+Inventory[[#This Row],[Unadj Land Value]]</f>
        <v>429900</v>
      </c>
      <c r="BD679" s="30">
        <f>(Inventory[[#This Row],[Unadj Total Value]]-Inventory[[#This Row],[24Final]])/Inventory[[#This Row],[24Final]]</f>
        <v>4.4206946805926649E-2</v>
      </c>
      <c r="BE679" s="30">
        <f>VLOOKUP(Inventory[[#This Row],[Nbhd]],Lookups!$M$3:$P$5,4,FALSE)</f>
        <v>0.99970000000000003</v>
      </c>
      <c r="BF679" s="30">
        <f>VLOOKUP(Inventory[[#This Row],[Qlty]],Lookups!$M$8:$P$22,4,FALSE)</f>
        <v>1.0019</v>
      </c>
      <c r="BG679" s="30">
        <f>VLOOKUP(Inventory[[#This Row],[Cnd]],Lookups!$R$8:$U$17,4,FALSE)</f>
        <v>1.0007999999999999</v>
      </c>
      <c r="BH679" s="30">
        <f>VLOOKUP(Inventory[[#This Row],[LivArea Range]],Lookups!$R$25:$U$43,4,FALSE)</f>
        <v>1.0008999999999999</v>
      </c>
      <c r="BI679" s="30">
        <f>VLOOKUP(Inventory[[#This Row],[Decade]],Lookups!$M$24:$P$40,4,FALSE)</f>
        <v>1.0024</v>
      </c>
      <c r="BJ679" s="30">
        <f>Inventory[[#This Row],[Nbhd Adj]]*0.95</f>
        <v>0.94971499999999998</v>
      </c>
      <c r="BK679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679" s="30">
        <f>ROUND((SUM(Inventory[[#This Row],[Mdl Qlty]:[Mdl Garage Area]])+Inventory[[#This Row],[Mdl Res Intercept]])*Inventory[[#This Row],[Res Adj ]],-2)</f>
        <v>347700</v>
      </c>
      <c r="BM679" s="30">
        <f>ROUND(Inventory[[#This Row],[25Det]]*Inventory[[#This Row],[Det/Nbhd Adj]],-2)</f>
        <v>0</v>
      </c>
      <c r="BN679" s="30">
        <f>Inventory[[#This Row],[Adjusted Res]]+Inventory[[#This Row],[Adj Det ]]</f>
        <v>347700</v>
      </c>
      <c r="BO679" s="30">
        <f>ROUND((Inventory[[#This Row],[Mdl Land Intercept]]+Inventory[[#This Row],[Mdl LnAcres]])*Inventory[[#This Row],[Det/Nbhd Adj]],-2)</f>
        <v>61100</v>
      </c>
      <c r="BP679" s="30">
        <f>Inventory[[#This Row],[Adjusted Impr Total]]+Inventory[[#This Row],[Adjusted Land Total]]</f>
        <v>408800</v>
      </c>
      <c r="BQ679" s="30">
        <f>IFERROR((Inventory[[#This Row],[Adjusted Impr Total]]-Inventory[[#This Row],[24Bldg]])/Inventory[[#This Row],[24Bldg]],0)</f>
        <v>-9.119407238529496E-3</v>
      </c>
      <c r="BR679" s="43">
        <f>(Inventory[[#This Row],[Adjusted Land Total]]-Inventory[[#This Row],[24Lnd]])/Inventory[[#This Row],[24Lnd]]</f>
        <v>4.9342105263157892E-3</v>
      </c>
      <c r="BS679" s="43">
        <f>(Inventory[[#This Row],[Adjusted Total]]-Inventory[[#This Row],[24Final]])/Inventory[[#This Row],[24Final]]</f>
        <v>-7.0439640514938064E-3</v>
      </c>
    </row>
    <row r="680" spans="1:71">
      <c r="A680" s="30">
        <v>2025</v>
      </c>
      <c r="B680" s="31" t="s">
        <v>1195</v>
      </c>
      <c r="C680" s="31">
        <f>LN(Inventory[[#This Row],[Acres]])</f>
        <v>-1.8325814637483102</v>
      </c>
      <c r="D680" s="30">
        <v>0.16</v>
      </c>
      <c r="E680" s="38">
        <v>7000</v>
      </c>
      <c r="F680" s="31" t="s">
        <v>505</v>
      </c>
      <c r="G680" s="31" t="s">
        <v>155</v>
      </c>
      <c r="H680" s="31" t="s">
        <v>5</v>
      </c>
      <c r="I680" s="31" t="s">
        <v>506</v>
      </c>
      <c r="J680" s="31" t="s">
        <v>507</v>
      </c>
      <c r="K680" s="31" t="s">
        <v>193</v>
      </c>
      <c r="L680" s="31" t="s">
        <v>19</v>
      </c>
      <c r="M680" s="31" t="s">
        <v>22</v>
      </c>
      <c r="N680" s="31">
        <v>10</v>
      </c>
      <c r="O680" s="31">
        <f>2024-Inventory[[#This Row],[YrBlt]]</f>
        <v>18</v>
      </c>
      <c r="P680" s="31">
        <f>2024-Inventory[[#This Row],[EffYr]]</f>
        <v>18</v>
      </c>
      <c r="Q680" s="30">
        <v>2006</v>
      </c>
      <c r="R680" s="30">
        <v>2006</v>
      </c>
      <c r="S680" s="30">
        <v>1420</v>
      </c>
      <c r="T680" s="37"/>
      <c r="U680" s="32"/>
      <c r="V680" s="32"/>
      <c r="W680" s="32"/>
      <c r="X680" s="32">
        <f>Inventory[[#This Row],[Bsmt Area]]-Inventory[[#This Row],[FnBsmt]]</f>
        <v>0</v>
      </c>
      <c r="Y680" s="32">
        <f>Inventory[[#This Row],[MainFn]]+Inventory[[#This Row],[UpprFn]]+Inventory[[#This Row],[AddFn]]+Inventory[[#This Row],[FnBsmt]]</f>
        <v>1420</v>
      </c>
      <c r="Z680" s="32">
        <v>1500</v>
      </c>
      <c r="AA680" s="31" t="s">
        <v>56</v>
      </c>
      <c r="AB680" s="32"/>
      <c r="AC680" s="38">
        <v>400</v>
      </c>
      <c r="AD680" s="32"/>
      <c r="AE680" s="32"/>
      <c r="AF680" s="32"/>
      <c r="AG680" s="32"/>
      <c r="AH680" s="32"/>
      <c r="AI680" s="30">
        <v>287529</v>
      </c>
      <c r="AJ680" s="30">
        <v>264527</v>
      </c>
      <c r="AK680" s="30">
        <v>0</v>
      </c>
      <c r="AL680" s="30">
        <v>0</v>
      </c>
      <c r="AM680" s="30">
        <v>60800</v>
      </c>
      <c r="AN680" s="30">
        <v>305200</v>
      </c>
      <c r="AO680" s="30">
        <v>366000</v>
      </c>
      <c r="AP680" s="30">
        <f>Lookups!$B$58*0.6</f>
        <v>132535.48800000001</v>
      </c>
      <c r="AQ680" s="30">
        <f>Lookups!$B$58*0.4</f>
        <v>88356.992000000013</v>
      </c>
      <c r="AR680" s="30">
        <f>Lookups!$B$59*Inventory[[#This Row],[LnAcres]]</f>
        <v>-24051.387388882686</v>
      </c>
      <c r="AS680" s="30">
        <f>VLOOKUP(Inventory[[#This Row],[Qlty]],Lookups!$A$66:$E$79,2,FALSE)</f>
        <v>37154.252388000001</v>
      </c>
      <c r="AT680" s="30">
        <f>VLOOKUP(Inventory[[#This Row],[Cnd]],Lookups!$A$80:$E$88,2,FALSE)</f>
        <v>50438.379078999998</v>
      </c>
      <c r="AU680" s="30">
        <f>Inventory[[#This Row],[EffAge]]*Lookups!$B$65</f>
        <v>-1957.3398</v>
      </c>
      <c r="AV680" s="30">
        <f>Inventory[[#This Row],[MainFn]]*Lookups!$B$90</f>
        <v>88622.739600000001</v>
      </c>
      <c r="AW680" s="30">
        <f>Inventory[[#This Row],[UpprFn]]*Lookups!$B$91</f>
        <v>0</v>
      </c>
      <c r="AX680" s="30">
        <f>Inventory[[#This Row],[Bsmt Area]]*Lookups!$B$95</f>
        <v>0</v>
      </c>
      <c r="AY680" s="30">
        <f>Inventory[[#This Row],[AttGar]]*Lookups!$B$93</f>
        <v>14120.412400000001</v>
      </c>
      <c r="AZ680" s="30">
        <f>ROUND(Inventory[[#This Row],[25Det]],-2)</f>
        <v>0</v>
      </c>
      <c r="BA680" s="30">
        <f>ROUND(SUM(Inventory[[#This Row],[Mdl Qlty]:[Mdl Garage Area]])+Inventory[[#This Row],[Mdl Res Intercept]],-2)</f>
        <v>320900</v>
      </c>
      <c r="BB680" s="30">
        <f>ROUND(Inventory[[#This Row],[Mdl Land Intercept]]+Inventory[[#This Row],[Mdl LnAcres]],-2)</f>
        <v>64300</v>
      </c>
      <c r="BC680" s="30">
        <f>Inventory[[#This Row],[Unadj Res Value]]+Inventory[[#This Row],[Unadj Det Value]]+Inventory[[#This Row],[Unadj Land Value]]</f>
        <v>385200</v>
      </c>
      <c r="BD680" s="30">
        <f>(Inventory[[#This Row],[Unadj Total Value]]-Inventory[[#This Row],[24Final]])/Inventory[[#This Row],[24Final]]</f>
        <v>5.2459016393442623E-2</v>
      </c>
      <c r="BE680" s="30">
        <f>VLOOKUP(Inventory[[#This Row],[Nbhd]],Lookups!$M$3:$P$5,4,FALSE)</f>
        <v>0.99970000000000003</v>
      </c>
      <c r="BF680" s="30">
        <f>VLOOKUP(Inventory[[#This Row],[Qlty]],Lookups!$M$8:$P$22,4,FALSE)</f>
        <v>0.99819999999999998</v>
      </c>
      <c r="BG680" s="30">
        <f>VLOOKUP(Inventory[[#This Row],[Cnd]],Lookups!$R$8:$U$17,4,FALSE)</f>
        <v>1.0007999999999999</v>
      </c>
      <c r="BH680" s="30">
        <f>VLOOKUP(Inventory[[#This Row],[LivArea Range]],Lookups!$R$25:$U$43,4,FALSE)</f>
        <v>0.99519999999999997</v>
      </c>
      <c r="BI680" s="30">
        <f>VLOOKUP(Inventory[[#This Row],[Decade]],Lookups!$M$24:$P$40,4,FALSE)</f>
        <v>1.0024</v>
      </c>
      <c r="BJ680" s="30">
        <f>Inventory[[#This Row],[Nbhd Adj]]*0.95</f>
        <v>0.94971499999999998</v>
      </c>
      <c r="BK680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680" s="30">
        <f>ROUND((SUM(Inventory[[#This Row],[Mdl Qlty]:[Mdl Garage Area]])+Inventory[[#This Row],[Mdl Res Intercept]])*Inventory[[#This Row],[Res Adj ]],-2)</f>
        <v>304600</v>
      </c>
      <c r="BM680" s="30">
        <f>ROUND(Inventory[[#This Row],[25Det]]*Inventory[[#This Row],[Det/Nbhd Adj]],-2)</f>
        <v>0</v>
      </c>
      <c r="BN680" s="30">
        <f>Inventory[[#This Row],[Adjusted Res]]+Inventory[[#This Row],[Adj Det ]]</f>
        <v>304600</v>
      </c>
      <c r="BO680" s="30">
        <f>ROUND((Inventory[[#This Row],[Mdl Land Intercept]]+Inventory[[#This Row],[Mdl LnAcres]])*Inventory[[#This Row],[Det/Nbhd Adj]],-2)</f>
        <v>61100</v>
      </c>
      <c r="BP680" s="30">
        <f>Inventory[[#This Row],[Adjusted Impr Total]]+Inventory[[#This Row],[Adjusted Land Total]]</f>
        <v>365700</v>
      </c>
      <c r="BQ680" s="30">
        <f>IFERROR((Inventory[[#This Row],[Adjusted Impr Total]]-Inventory[[#This Row],[24Bldg]])/Inventory[[#This Row],[24Bldg]],0)</f>
        <v>-1.9659239842726079E-3</v>
      </c>
      <c r="BR680" s="43">
        <f>(Inventory[[#This Row],[Adjusted Land Total]]-Inventory[[#This Row],[24Lnd]])/Inventory[[#This Row],[24Lnd]]</f>
        <v>4.9342105263157892E-3</v>
      </c>
      <c r="BS680" s="43">
        <f>(Inventory[[#This Row],[Adjusted Total]]-Inventory[[#This Row],[24Final]])/Inventory[[#This Row],[24Final]]</f>
        <v>-8.1967213114754098E-4</v>
      </c>
    </row>
    <row r="681" spans="1:71">
      <c r="A681" s="30">
        <v>2025</v>
      </c>
      <c r="B681" s="31" t="s">
        <v>1196</v>
      </c>
      <c r="C681" s="31">
        <f>LN(Inventory[[#This Row],[Acres]])</f>
        <v>-1.8325814637483102</v>
      </c>
      <c r="D681" s="30">
        <v>0.16</v>
      </c>
      <c r="E681" s="30">
        <v>7096</v>
      </c>
      <c r="F681" s="31" t="s">
        <v>505</v>
      </c>
      <c r="G681" s="31" t="s">
        <v>155</v>
      </c>
      <c r="H681" s="31" t="s">
        <v>5</v>
      </c>
      <c r="I681" s="31" t="s">
        <v>506</v>
      </c>
      <c r="J681" s="31" t="s">
        <v>507</v>
      </c>
      <c r="K681" s="31" t="s">
        <v>330</v>
      </c>
      <c r="L681" s="31" t="s">
        <v>19</v>
      </c>
      <c r="M681" s="31" t="s">
        <v>20</v>
      </c>
      <c r="N681" s="31">
        <v>10</v>
      </c>
      <c r="O681" s="31">
        <f>2024-Inventory[[#This Row],[YrBlt]]</f>
        <v>18</v>
      </c>
      <c r="P681" s="31">
        <f>2024-Inventory[[#This Row],[EffYr]]</f>
        <v>18</v>
      </c>
      <c r="Q681" s="30">
        <v>2006</v>
      </c>
      <c r="R681" s="30">
        <v>2006</v>
      </c>
      <c r="S681" s="30">
        <v>1420</v>
      </c>
      <c r="T681" s="32"/>
      <c r="U681" s="32"/>
      <c r="V681" s="32"/>
      <c r="W681" s="32"/>
      <c r="X681" s="32">
        <f>Inventory[[#This Row],[Bsmt Area]]-Inventory[[#This Row],[FnBsmt]]</f>
        <v>0</v>
      </c>
      <c r="Y681" s="32">
        <f>Inventory[[#This Row],[MainFn]]+Inventory[[#This Row],[UpprFn]]+Inventory[[#This Row],[AddFn]]+Inventory[[#This Row],[FnBsmt]]</f>
        <v>1420</v>
      </c>
      <c r="Z681" s="32">
        <v>1500</v>
      </c>
      <c r="AA681" s="31" t="s">
        <v>56</v>
      </c>
      <c r="AB681" s="37"/>
      <c r="AC681" s="30">
        <v>400</v>
      </c>
      <c r="AD681" s="32"/>
      <c r="AE681" s="32"/>
      <c r="AF681" s="32"/>
      <c r="AG681" s="32"/>
      <c r="AH681" s="32"/>
      <c r="AI681" s="30">
        <v>274378</v>
      </c>
      <c r="AJ681" s="30">
        <v>249684</v>
      </c>
      <c r="AK681" s="30">
        <v>0</v>
      </c>
      <c r="AL681" s="30">
        <v>0</v>
      </c>
      <c r="AM681" s="30">
        <v>60800</v>
      </c>
      <c r="AN681" s="30">
        <v>284900</v>
      </c>
      <c r="AO681" s="30">
        <v>345700</v>
      </c>
      <c r="AP681" s="30">
        <f>Lookups!$B$58*0.6</f>
        <v>132535.48800000001</v>
      </c>
      <c r="AQ681" s="30">
        <f>Lookups!$B$58*0.4</f>
        <v>88356.992000000013</v>
      </c>
      <c r="AR681" s="30">
        <f>Lookups!$B$59*Inventory[[#This Row],[LnAcres]]</f>
        <v>-24051.387388882686</v>
      </c>
      <c r="AS681" s="30">
        <f>VLOOKUP(Inventory[[#This Row],[Qlty]],Lookups!$A$66:$E$79,2,FALSE)</f>
        <v>37154.252388000001</v>
      </c>
      <c r="AT681" s="30">
        <f>VLOOKUP(Inventory[[#This Row],[Cnd]],Lookups!$A$80:$E$88,2,FALSE)</f>
        <v>30300.329274</v>
      </c>
      <c r="AU681" s="30">
        <f>Inventory[[#This Row],[EffAge]]*Lookups!$B$65</f>
        <v>-1957.3398</v>
      </c>
      <c r="AV681" s="30">
        <f>Inventory[[#This Row],[MainFn]]*Lookups!$B$90</f>
        <v>88622.739600000001</v>
      </c>
      <c r="AW681" s="30">
        <f>Inventory[[#This Row],[UpprFn]]*Lookups!$B$91</f>
        <v>0</v>
      </c>
      <c r="AX681" s="30">
        <f>Inventory[[#This Row],[Bsmt Area]]*Lookups!$B$95</f>
        <v>0</v>
      </c>
      <c r="AY681" s="30">
        <f>Inventory[[#This Row],[AttGar]]*Lookups!$B$93</f>
        <v>14120.412400000001</v>
      </c>
      <c r="AZ681" s="30">
        <f>ROUND(Inventory[[#This Row],[25Det]],-2)</f>
        <v>0</v>
      </c>
      <c r="BA681" s="30">
        <f>ROUND(SUM(Inventory[[#This Row],[Mdl Qlty]:[Mdl Garage Area]])+Inventory[[#This Row],[Mdl Res Intercept]],-2)</f>
        <v>300800</v>
      </c>
      <c r="BB681" s="30">
        <f>ROUND(Inventory[[#This Row],[Mdl Land Intercept]]+Inventory[[#This Row],[Mdl LnAcres]],-2)</f>
        <v>64300</v>
      </c>
      <c r="BC681" s="30">
        <f>Inventory[[#This Row],[Unadj Res Value]]+Inventory[[#This Row],[Unadj Det Value]]+Inventory[[#This Row],[Unadj Land Value]]</f>
        <v>365100</v>
      </c>
      <c r="BD681" s="30">
        <f>(Inventory[[#This Row],[Unadj Total Value]]-Inventory[[#This Row],[24Final]])/Inventory[[#This Row],[24Final]]</f>
        <v>5.6118021405843217E-2</v>
      </c>
      <c r="BE681" s="30">
        <f>VLOOKUP(Inventory[[#This Row],[Nbhd]],Lookups!$M$3:$P$5,4,FALSE)</f>
        <v>0.99970000000000003</v>
      </c>
      <c r="BF681" s="30">
        <f>VLOOKUP(Inventory[[#This Row],[Qlty]],Lookups!$M$8:$P$22,4,FALSE)</f>
        <v>0.99819999999999998</v>
      </c>
      <c r="BG681" s="30">
        <f>VLOOKUP(Inventory[[#This Row],[Cnd]],Lookups!$R$8:$U$17,4,FALSE)</f>
        <v>0.997</v>
      </c>
      <c r="BH681" s="30">
        <f>VLOOKUP(Inventory[[#This Row],[LivArea Range]],Lookups!$R$25:$U$43,4,FALSE)</f>
        <v>0.99519999999999997</v>
      </c>
      <c r="BI681" s="30">
        <f>VLOOKUP(Inventory[[#This Row],[Decade]],Lookups!$M$24:$P$40,4,FALSE)</f>
        <v>1.0024</v>
      </c>
      <c r="BJ681" s="30">
        <f>Inventory[[#This Row],[Nbhd Adj]]*0.95</f>
        <v>0.94971499999999998</v>
      </c>
      <c r="BK681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681" s="30">
        <f>ROUND((SUM(Inventory[[#This Row],[Mdl Qlty]:[Mdl Garage Area]])+Inventory[[#This Row],[Mdl Res Intercept]])*Inventory[[#This Row],[Res Adj ]],-2)</f>
        <v>285300</v>
      </c>
      <c r="BM681" s="30">
        <f>ROUND(Inventory[[#This Row],[25Det]]*Inventory[[#This Row],[Det/Nbhd Adj]],-2)</f>
        <v>0</v>
      </c>
      <c r="BN681" s="30">
        <f>Inventory[[#This Row],[Adjusted Res]]+Inventory[[#This Row],[Adj Det ]]</f>
        <v>285300</v>
      </c>
      <c r="BO681" s="30">
        <f>ROUND((Inventory[[#This Row],[Mdl Land Intercept]]+Inventory[[#This Row],[Mdl LnAcres]])*Inventory[[#This Row],[Det/Nbhd Adj]],-2)</f>
        <v>61100</v>
      </c>
      <c r="BP681" s="30">
        <f>Inventory[[#This Row],[Adjusted Impr Total]]+Inventory[[#This Row],[Adjusted Land Total]]</f>
        <v>346400</v>
      </c>
      <c r="BQ681" s="30">
        <f>IFERROR((Inventory[[#This Row],[Adjusted Impr Total]]-Inventory[[#This Row],[24Bldg]])/Inventory[[#This Row],[24Bldg]],0)</f>
        <v>1.4040014040014039E-3</v>
      </c>
      <c r="BR681" s="43">
        <f>(Inventory[[#This Row],[Adjusted Land Total]]-Inventory[[#This Row],[24Lnd]])/Inventory[[#This Row],[24Lnd]]</f>
        <v>4.9342105263157892E-3</v>
      </c>
      <c r="BS681" s="43">
        <f>(Inventory[[#This Row],[Adjusted Total]]-Inventory[[#This Row],[24Final]])/Inventory[[#This Row],[24Final]]</f>
        <v>2.0248770610355798E-3</v>
      </c>
    </row>
    <row r="682" spans="1:71">
      <c r="A682" s="30">
        <v>2025</v>
      </c>
      <c r="B682" s="31" t="s">
        <v>1197</v>
      </c>
      <c r="C682" s="31">
        <f>LN(Inventory[[#This Row],[Acres]])</f>
        <v>-1.8325814637483102</v>
      </c>
      <c r="D682" s="30">
        <v>0.16</v>
      </c>
      <c r="E682" s="30">
        <v>7000</v>
      </c>
      <c r="F682" s="31" t="s">
        <v>505</v>
      </c>
      <c r="G682" s="31" t="s">
        <v>155</v>
      </c>
      <c r="H682" s="31" t="s">
        <v>5</v>
      </c>
      <c r="I682" s="31" t="s">
        <v>506</v>
      </c>
      <c r="J682" s="31" t="s">
        <v>507</v>
      </c>
      <c r="K682" s="31" t="s">
        <v>330</v>
      </c>
      <c r="L682" s="31" t="s">
        <v>19</v>
      </c>
      <c r="M682" s="31" t="s">
        <v>22</v>
      </c>
      <c r="N682" s="31">
        <v>10</v>
      </c>
      <c r="O682" s="31">
        <f>2024-Inventory[[#This Row],[YrBlt]]</f>
        <v>18</v>
      </c>
      <c r="P682" s="31">
        <f>2024-Inventory[[#This Row],[EffYr]]</f>
        <v>18</v>
      </c>
      <c r="Q682" s="30">
        <v>2006</v>
      </c>
      <c r="R682" s="30">
        <v>2006</v>
      </c>
      <c r="S682" s="30">
        <v>1420</v>
      </c>
      <c r="T682" s="37"/>
      <c r="U682" s="32"/>
      <c r="V682" s="32"/>
      <c r="W682" s="32"/>
      <c r="X682" s="32">
        <f>Inventory[[#This Row],[Bsmt Area]]-Inventory[[#This Row],[FnBsmt]]</f>
        <v>0</v>
      </c>
      <c r="Y682" s="32">
        <f>Inventory[[#This Row],[MainFn]]+Inventory[[#This Row],[UpprFn]]+Inventory[[#This Row],[AddFn]]+Inventory[[#This Row],[FnBsmt]]</f>
        <v>1420</v>
      </c>
      <c r="Z682" s="32">
        <v>1500</v>
      </c>
      <c r="AA682" s="31" t="s">
        <v>56</v>
      </c>
      <c r="AB682" s="32"/>
      <c r="AC682" s="38">
        <v>400</v>
      </c>
      <c r="AD682" s="37"/>
      <c r="AE682" s="32"/>
      <c r="AF682" s="32"/>
      <c r="AG682" s="32"/>
      <c r="AH682" s="32"/>
      <c r="AI682" s="30">
        <v>283332</v>
      </c>
      <c r="AJ682" s="30">
        <v>260665</v>
      </c>
      <c r="AK682" s="30">
        <v>0</v>
      </c>
      <c r="AL682" s="30">
        <v>0</v>
      </c>
      <c r="AM682" s="30">
        <v>60800</v>
      </c>
      <c r="AN682" s="30">
        <v>300600</v>
      </c>
      <c r="AO682" s="30">
        <v>361400</v>
      </c>
      <c r="AP682" s="30">
        <f>Lookups!$B$58*0.6</f>
        <v>132535.48800000001</v>
      </c>
      <c r="AQ682" s="30">
        <f>Lookups!$B$58*0.4</f>
        <v>88356.992000000013</v>
      </c>
      <c r="AR682" s="30">
        <f>Lookups!$B$59*Inventory[[#This Row],[LnAcres]]</f>
        <v>-24051.387388882686</v>
      </c>
      <c r="AS682" s="30">
        <f>VLOOKUP(Inventory[[#This Row],[Qlty]],Lookups!$A$66:$E$79,2,FALSE)</f>
        <v>37154.252388000001</v>
      </c>
      <c r="AT682" s="30">
        <f>VLOOKUP(Inventory[[#This Row],[Cnd]],Lookups!$A$80:$E$88,2,FALSE)</f>
        <v>50438.379078999998</v>
      </c>
      <c r="AU682" s="30">
        <f>Inventory[[#This Row],[EffAge]]*Lookups!$B$65</f>
        <v>-1957.3398</v>
      </c>
      <c r="AV682" s="30">
        <f>Inventory[[#This Row],[MainFn]]*Lookups!$B$90</f>
        <v>88622.739600000001</v>
      </c>
      <c r="AW682" s="30">
        <f>Inventory[[#This Row],[UpprFn]]*Lookups!$B$91</f>
        <v>0</v>
      </c>
      <c r="AX682" s="30">
        <f>Inventory[[#This Row],[Bsmt Area]]*Lookups!$B$95</f>
        <v>0</v>
      </c>
      <c r="AY682" s="30">
        <f>Inventory[[#This Row],[AttGar]]*Lookups!$B$93</f>
        <v>14120.412400000001</v>
      </c>
      <c r="AZ682" s="30">
        <f>ROUND(Inventory[[#This Row],[25Det]],-2)</f>
        <v>0</v>
      </c>
      <c r="BA682" s="30">
        <f>ROUND(SUM(Inventory[[#This Row],[Mdl Qlty]:[Mdl Garage Area]])+Inventory[[#This Row],[Mdl Res Intercept]],-2)</f>
        <v>320900</v>
      </c>
      <c r="BB682" s="30">
        <f>ROUND(Inventory[[#This Row],[Mdl Land Intercept]]+Inventory[[#This Row],[Mdl LnAcres]],-2)</f>
        <v>64300</v>
      </c>
      <c r="BC682" s="30">
        <f>Inventory[[#This Row],[Unadj Res Value]]+Inventory[[#This Row],[Unadj Det Value]]+Inventory[[#This Row],[Unadj Land Value]]</f>
        <v>385200</v>
      </c>
      <c r="BD682" s="30">
        <f>(Inventory[[#This Row],[Unadj Total Value]]-Inventory[[#This Row],[24Final]])/Inventory[[#This Row],[24Final]]</f>
        <v>6.5855008301051468E-2</v>
      </c>
      <c r="BE682" s="30">
        <f>VLOOKUP(Inventory[[#This Row],[Nbhd]],Lookups!$M$3:$P$5,4,FALSE)</f>
        <v>0.99970000000000003</v>
      </c>
      <c r="BF682" s="30">
        <f>VLOOKUP(Inventory[[#This Row],[Qlty]],Lookups!$M$8:$P$22,4,FALSE)</f>
        <v>0.99819999999999998</v>
      </c>
      <c r="BG682" s="30">
        <f>VLOOKUP(Inventory[[#This Row],[Cnd]],Lookups!$R$8:$U$17,4,FALSE)</f>
        <v>1.0007999999999999</v>
      </c>
      <c r="BH682" s="30">
        <f>VLOOKUP(Inventory[[#This Row],[LivArea Range]],Lookups!$R$25:$U$43,4,FALSE)</f>
        <v>0.99519999999999997</v>
      </c>
      <c r="BI682" s="30">
        <f>VLOOKUP(Inventory[[#This Row],[Decade]],Lookups!$M$24:$P$40,4,FALSE)</f>
        <v>1.0024</v>
      </c>
      <c r="BJ682" s="30">
        <f>Inventory[[#This Row],[Nbhd Adj]]*0.95</f>
        <v>0.94971499999999998</v>
      </c>
      <c r="BK682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682" s="30">
        <f>ROUND((SUM(Inventory[[#This Row],[Mdl Qlty]:[Mdl Garage Area]])+Inventory[[#This Row],[Mdl Res Intercept]])*Inventory[[#This Row],[Res Adj ]],-2)</f>
        <v>304600</v>
      </c>
      <c r="BM682" s="30">
        <f>ROUND(Inventory[[#This Row],[25Det]]*Inventory[[#This Row],[Det/Nbhd Adj]],-2)</f>
        <v>0</v>
      </c>
      <c r="BN682" s="30">
        <f>Inventory[[#This Row],[Adjusted Res]]+Inventory[[#This Row],[Adj Det ]]</f>
        <v>304600</v>
      </c>
      <c r="BO682" s="30">
        <f>ROUND((Inventory[[#This Row],[Mdl Land Intercept]]+Inventory[[#This Row],[Mdl LnAcres]])*Inventory[[#This Row],[Det/Nbhd Adj]],-2)</f>
        <v>61100</v>
      </c>
      <c r="BP682" s="30">
        <f>Inventory[[#This Row],[Adjusted Impr Total]]+Inventory[[#This Row],[Adjusted Land Total]]</f>
        <v>365700</v>
      </c>
      <c r="BQ682" s="30">
        <f>IFERROR((Inventory[[#This Row],[Adjusted Impr Total]]-Inventory[[#This Row],[24Bldg]])/Inventory[[#This Row],[24Bldg]],0)</f>
        <v>1.330671989354624E-2</v>
      </c>
      <c r="BR682" s="43">
        <f>(Inventory[[#This Row],[Adjusted Land Total]]-Inventory[[#This Row],[24Lnd]])/Inventory[[#This Row],[24Lnd]]</f>
        <v>4.9342105263157892E-3</v>
      </c>
      <c r="BS682" s="43">
        <f>(Inventory[[#This Row],[Adjusted Total]]-Inventory[[#This Row],[24Final]])/Inventory[[#This Row],[24Final]]</f>
        <v>1.1898173768677366E-2</v>
      </c>
    </row>
    <row r="683" spans="1:71">
      <c r="A683" s="30">
        <v>2025</v>
      </c>
      <c r="B683" s="31" t="s">
        <v>1198</v>
      </c>
      <c r="C683" s="31">
        <f>LN(Inventory[[#This Row],[Acres]])</f>
        <v>-1.8325814637483102</v>
      </c>
      <c r="D683" s="30">
        <v>0.16</v>
      </c>
      <c r="E683" s="30">
        <v>6805</v>
      </c>
      <c r="F683" s="31" t="s">
        <v>505</v>
      </c>
      <c r="G683" s="31" t="s">
        <v>155</v>
      </c>
      <c r="H683" s="31" t="s">
        <v>5</v>
      </c>
      <c r="I683" s="31" t="s">
        <v>506</v>
      </c>
      <c r="J683" s="31" t="s">
        <v>507</v>
      </c>
      <c r="K683" s="31" t="s">
        <v>193</v>
      </c>
      <c r="L683" s="31" t="s">
        <v>21</v>
      </c>
      <c r="M683" s="31" t="s">
        <v>18</v>
      </c>
      <c r="N683" s="31">
        <v>10</v>
      </c>
      <c r="O683" s="31">
        <f>2024-Inventory[[#This Row],[YrBlt]]</f>
        <v>18</v>
      </c>
      <c r="P683" s="31">
        <f>2024-Inventory[[#This Row],[EffYr]]</f>
        <v>18</v>
      </c>
      <c r="Q683" s="30">
        <v>2006</v>
      </c>
      <c r="R683" s="30">
        <v>2006</v>
      </c>
      <c r="S683" s="30">
        <v>2150</v>
      </c>
      <c r="T683" s="32"/>
      <c r="U683" s="32"/>
      <c r="V683" s="32"/>
      <c r="W683" s="32"/>
      <c r="X683" s="32">
        <f>Inventory[[#This Row],[Bsmt Area]]-Inventory[[#This Row],[FnBsmt]]</f>
        <v>0</v>
      </c>
      <c r="Y683" s="32">
        <f>Inventory[[#This Row],[MainFn]]+Inventory[[#This Row],[UpprFn]]+Inventory[[#This Row],[AddFn]]+Inventory[[#This Row],[FnBsmt]]</f>
        <v>2150</v>
      </c>
      <c r="Z683" s="32">
        <v>2500</v>
      </c>
      <c r="AA683" s="31" t="s">
        <v>56</v>
      </c>
      <c r="AB683" s="32"/>
      <c r="AC683" s="30">
        <v>734</v>
      </c>
      <c r="AD683" s="32"/>
      <c r="AE683" s="32"/>
      <c r="AF683" s="32"/>
      <c r="AG683" s="32"/>
      <c r="AH683" s="32"/>
      <c r="AI683" s="30">
        <v>443590</v>
      </c>
      <c r="AJ683" s="30">
        <v>403667</v>
      </c>
      <c r="AK683" s="30">
        <v>0</v>
      </c>
      <c r="AL683" s="30">
        <v>0</v>
      </c>
      <c r="AM683" s="30">
        <v>60800</v>
      </c>
      <c r="AN683" s="30">
        <v>321000</v>
      </c>
      <c r="AO683" s="30">
        <v>381800</v>
      </c>
      <c r="AP683" s="30">
        <f>Lookups!$B$58*0.6</f>
        <v>132535.48800000001</v>
      </c>
      <c r="AQ683" s="30">
        <f>Lookups!$B$58*0.4</f>
        <v>88356.992000000013</v>
      </c>
      <c r="AR683" s="30">
        <f>Lookups!$B$59*Inventory[[#This Row],[LnAcres]]</f>
        <v>-24051.387388882686</v>
      </c>
      <c r="AS683" s="30">
        <f>VLOOKUP(Inventory[[#This Row],[Qlty]],Lookups!$A$66:$E$79,2,FALSE)</f>
        <v>32917.849192000001</v>
      </c>
      <c r="AT683" s="30">
        <f>VLOOKUP(Inventory[[#This Row],[Cnd]],Lookups!$A$80:$E$88,2,FALSE)</f>
        <v>17761.121909000001</v>
      </c>
      <c r="AU683" s="30">
        <f>Inventory[[#This Row],[EffAge]]*Lookups!$B$65</f>
        <v>-1957.3398</v>
      </c>
      <c r="AV683" s="30">
        <f>Inventory[[#This Row],[MainFn]]*Lookups!$B$90</f>
        <v>134182.31700000001</v>
      </c>
      <c r="AW683" s="30">
        <f>Inventory[[#This Row],[UpprFn]]*Lookups!$B$91</f>
        <v>0</v>
      </c>
      <c r="AX683" s="30">
        <f>Inventory[[#This Row],[Bsmt Area]]*Lookups!$B$95</f>
        <v>0</v>
      </c>
      <c r="AY683" s="30">
        <f>Inventory[[#This Row],[AttGar]]*Lookups!$B$93</f>
        <v>25910.956754000003</v>
      </c>
      <c r="AZ683" s="30">
        <f>ROUND(Inventory[[#This Row],[25Det]],-2)</f>
        <v>0</v>
      </c>
      <c r="BA683" s="30">
        <f>ROUND(SUM(Inventory[[#This Row],[Mdl Qlty]:[Mdl Garage Area]])+Inventory[[#This Row],[Mdl Res Intercept]],-2)</f>
        <v>341400</v>
      </c>
      <c r="BB683" s="30">
        <f>ROUND(Inventory[[#This Row],[Mdl Land Intercept]]+Inventory[[#This Row],[Mdl LnAcres]],-2)</f>
        <v>64300</v>
      </c>
      <c r="BC683" s="30">
        <f>Inventory[[#This Row],[Unadj Res Value]]+Inventory[[#This Row],[Unadj Det Value]]+Inventory[[#This Row],[Unadj Land Value]]</f>
        <v>405700</v>
      </c>
      <c r="BD683" s="30">
        <f>(Inventory[[#This Row],[Unadj Total Value]]-Inventory[[#This Row],[24Final]])/Inventory[[#This Row],[24Final]]</f>
        <v>6.2598218962807747E-2</v>
      </c>
      <c r="BE683" s="30">
        <f>VLOOKUP(Inventory[[#This Row],[Nbhd]],Lookups!$M$3:$P$5,4,FALSE)</f>
        <v>0.99970000000000003</v>
      </c>
      <c r="BF683" s="30">
        <f>VLOOKUP(Inventory[[#This Row],[Qlty]],Lookups!$M$8:$P$22,4,FALSE)</f>
        <v>1.0019</v>
      </c>
      <c r="BG683" s="30">
        <f>VLOOKUP(Inventory[[#This Row],[Cnd]],Lookups!$R$8:$U$17,4,FALSE)</f>
        <v>0.99680000000000002</v>
      </c>
      <c r="BH683" s="30">
        <f>VLOOKUP(Inventory[[#This Row],[LivArea Range]],Lookups!$R$25:$U$43,4,FALSE)</f>
        <v>1.0008999999999999</v>
      </c>
      <c r="BI683" s="30">
        <f>VLOOKUP(Inventory[[#This Row],[Decade]],Lookups!$M$24:$P$40,4,FALSE)</f>
        <v>1.0024</v>
      </c>
      <c r="BJ683" s="30">
        <f>Inventory[[#This Row],[Nbhd Adj]]*0.95</f>
        <v>0.94971499999999998</v>
      </c>
      <c r="BK683" s="30">
        <f>AVERAGE(Inventory[[#This Row],[Nbhd Adj]],Inventory[[#This Row],[Quality Adj]],Inventory[[#This Row],[Condition Adj]],Inventory[[#This Row],[Living Area Adj]],Inventory[[#This Row],[Decade Adj]])*0.95</f>
        <v>0.95032299999999992</v>
      </c>
      <c r="BL683" s="30">
        <f>ROUND((SUM(Inventory[[#This Row],[Mdl Qlty]:[Mdl Garage Area]])+Inventory[[#This Row],[Mdl Res Intercept]])*Inventory[[#This Row],[Res Adj ]],-2)</f>
        <v>324400</v>
      </c>
      <c r="BM683" s="30">
        <f>ROUND(Inventory[[#This Row],[25Det]]*Inventory[[#This Row],[Det/Nbhd Adj]],-2)</f>
        <v>0</v>
      </c>
      <c r="BN683" s="30">
        <f>Inventory[[#This Row],[Adjusted Res]]+Inventory[[#This Row],[Adj Det ]]</f>
        <v>324400</v>
      </c>
      <c r="BO683" s="30">
        <f>ROUND((Inventory[[#This Row],[Mdl Land Intercept]]+Inventory[[#This Row],[Mdl LnAcres]])*Inventory[[#This Row],[Det/Nbhd Adj]],-2)</f>
        <v>61100</v>
      </c>
      <c r="BP683" s="30">
        <f>Inventory[[#This Row],[Adjusted Impr Total]]+Inventory[[#This Row],[Adjusted Land Total]]</f>
        <v>385500</v>
      </c>
      <c r="BQ683" s="30">
        <f>IFERROR((Inventory[[#This Row],[Adjusted Impr Total]]-Inventory[[#This Row],[24Bldg]])/Inventory[[#This Row],[24Bldg]],0)</f>
        <v>1.059190031152648E-2</v>
      </c>
      <c r="BR683" s="43">
        <f>(Inventory[[#This Row],[Adjusted Land Total]]-Inventory[[#This Row],[24Lnd]])/Inventory[[#This Row],[24Lnd]]</f>
        <v>4.9342105263157892E-3</v>
      </c>
      <c r="BS683" s="43">
        <f>(Inventory[[#This Row],[Adjusted Total]]-Inventory[[#This Row],[24Final]])/Inventory[[#This Row],[24Final]]</f>
        <v>9.6909376636982719E-3</v>
      </c>
    </row>
    <row r="684" spans="1:71">
      <c r="A684" s="30">
        <v>2025</v>
      </c>
      <c r="B684" s="31" t="s">
        <v>1199</v>
      </c>
      <c r="C684" s="31">
        <f>LN(Inventory[[#This Row],[Acres]])</f>
        <v>-1.8325814637483102</v>
      </c>
      <c r="D684" s="30">
        <v>0.16</v>
      </c>
      <c r="E684" s="30">
        <v>6855</v>
      </c>
      <c r="F684" s="31" t="s">
        <v>505</v>
      </c>
      <c r="G684" s="31" t="s">
        <v>155</v>
      </c>
      <c r="H684" s="31" t="s">
        <v>5</v>
      </c>
      <c r="I684" s="31" t="s">
        <v>506</v>
      </c>
      <c r="J684" s="31" t="s">
        <v>507</v>
      </c>
      <c r="K684" s="31" t="s">
        <v>330</v>
      </c>
      <c r="L684" s="31" t="s">
        <v>21</v>
      </c>
      <c r="M684" s="31" t="s">
        <v>20</v>
      </c>
      <c r="N684" s="31">
        <v>10</v>
      </c>
      <c r="O684" s="31">
        <f>2024-Inventory[[#This Row],[YrBlt]]</f>
        <v>18</v>
      </c>
      <c r="P684" s="31">
        <f>2024-Inventory[[#This Row],[EffYr]]</f>
        <v>18</v>
      </c>
      <c r="Q684" s="30">
        <v>2006</v>
      </c>
      <c r="R684" s="30">
        <v>2006</v>
      </c>
      <c r="S684" s="30">
        <v>2154</v>
      </c>
      <c r="T684" s="37"/>
      <c r="U684" s="32"/>
      <c r="V684" s="32"/>
      <c r="W684" s="32"/>
      <c r="X684" s="32">
        <f>Inventory[[#This Row],[Bsmt Area]]-Inventory[[#This Row],[FnBsmt]]</f>
        <v>0</v>
      </c>
      <c r="Y684" s="32">
        <f>Inventory[[#This Row],[MainFn]]+Inventory[[#This Row],[UpprFn]]+Inventory[[#This Row],[AddFn]]+Inventory[[#This Row],[FnBsmt]]</f>
        <v>2154</v>
      </c>
      <c r="Z684" s="32">
        <v>2500</v>
      </c>
      <c r="AA684" s="31" t="s">
        <v>56</v>
      </c>
      <c r="AB684" s="37"/>
      <c r="AC684" s="38">
        <v>730</v>
      </c>
      <c r="AD684" s="37"/>
      <c r="AE684" s="32"/>
      <c r="AF684" s="32"/>
      <c r="AG684" s="32"/>
      <c r="AH684" s="32"/>
      <c r="AI684" s="30">
        <v>472994</v>
      </c>
      <c r="AJ684" s="30">
        <v>430425</v>
      </c>
      <c r="AK684" s="30">
        <v>0</v>
      </c>
      <c r="AL684" s="30">
        <v>0</v>
      </c>
      <c r="AM684" s="30">
        <v>60800</v>
      </c>
      <c r="AN684" s="30">
        <v>332600</v>
      </c>
      <c r="AO684" s="30">
        <v>393400</v>
      </c>
      <c r="AP684" s="30">
        <f>Lookups!$B$58*0.6</f>
        <v>132535.48800000001</v>
      </c>
      <c r="AQ684" s="30">
        <f>Lookups!$B$58*0.4</f>
        <v>88356.992000000013</v>
      </c>
      <c r="AR684" s="30">
        <f>Lookups!$B$59*Inventory[[#This Row],[LnAcres]]</f>
        <v>-24051.387388882686</v>
      </c>
      <c r="AS684" s="30">
        <f>VLOOKUP(Inventory[[#This Row],[Qlty]],Lookups!$A$66:$E$79,2,FALSE)</f>
        <v>32917.849192000001</v>
      </c>
      <c r="AT684" s="30">
        <f>VLOOKUP(Inventory[[#This Row],[Cnd]],Lookups!$A$80:$E$88,2,FALSE)</f>
        <v>30300.329274</v>
      </c>
      <c r="AU684" s="30">
        <f>Inventory[[#This Row],[EffAge]]*Lookups!$B$65</f>
        <v>-1957.3398</v>
      </c>
      <c r="AV684" s="30">
        <f>Inventory[[#This Row],[MainFn]]*Lookups!$B$90</f>
        <v>134431.95852000001</v>
      </c>
      <c r="AW684" s="30">
        <f>Inventory[[#This Row],[UpprFn]]*Lookups!$B$91</f>
        <v>0</v>
      </c>
      <c r="AX684" s="30">
        <f>Inventory[[#This Row],[Bsmt Area]]*Lookups!$B$95</f>
        <v>0</v>
      </c>
      <c r="AY684" s="30">
        <f>Inventory[[#This Row],[AttGar]]*Lookups!$B$93</f>
        <v>25769.752630000003</v>
      </c>
      <c r="AZ684" s="30">
        <f>ROUND(Inventory[[#This Row],[25Det]],-2)</f>
        <v>0</v>
      </c>
      <c r="BA684" s="30">
        <f>ROUND(SUM(Inventory[[#This Row],[Mdl Qlty]:[Mdl Garage Area]])+Inventory[[#This Row],[Mdl Res Intercept]],-2)</f>
        <v>354000</v>
      </c>
      <c r="BB684" s="30">
        <f>ROUND(Inventory[[#This Row],[Mdl Land Intercept]]+Inventory[[#This Row],[Mdl LnAcres]],-2)</f>
        <v>64300</v>
      </c>
      <c r="BC684" s="30">
        <f>Inventory[[#This Row],[Unadj Res Value]]+Inventory[[#This Row],[Unadj Det Value]]+Inventory[[#This Row],[Unadj Land Value]]</f>
        <v>418300</v>
      </c>
      <c r="BD684" s="30">
        <f>(Inventory[[#This Row],[Unadj Total Value]]-Inventory[[#This Row],[24Final]])/Inventory[[#This Row],[24Final]]</f>
        <v>6.3294356888662945E-2</v>
      </c>
      <c r="BE684" s="30">
        <f>VLOOKUP(Inventory[[#This Row],[Nbhd]],Lookups!$M$3:$P$5,4,FALSE)</f>
        <v>0.99970000000000003</v>
      </c>
      <c r="BF684" s="30">
        <f>VLOOKUP(Inventory[[#This Row],[Qlty]],Lookups!$M$8:$P$22,4,FALSE)</f>
        <v>1.0019</v>
      </c>
      <c r="BG684" s="30">
        <f>VLOOKUP(Inventory[[#This Row],[Cnd]],Lookups!$R$8:$U$17,4,FALSE)</f>
        <v>0.997</v>
      </c>
      <c r="BH684" s="30">
        <f>VLOOKUP(Inventory[[#This Row],[LivArea Range]],Lookups!$R$25:$U$43,4,FALSE)</f>
        <v>1.0008999999999999</v>
      </c>
      <c r="BI684" s="30">
        <f>VLOOKUP(Inventory[[#This Row],[Decade]],Lookups!$M$24:$P$40,4,FALSE)</f>
        <v>1.0024</v>
      </c>
      <c r="BJ684" s="30">
        <f>Inventory[[#This Row],[Nbhd Adj]]*0.95</f>
        <v>0.94971499999999998</v>
      </c>
      <c r="BK684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684" s="30">
        <f>ROUND((SUM(Inventory[[#This Row],[Mdl Qlty]:[Mdl Garage Area]])+Inventory[[#This Row],[Mdl Res Intercept]])*Inventory[[#This Row],[Res Adj ]],-2)</f>
        <v>336400</v>
      </c>
      <c r="BM684" s="30">
        <f>ROUND(Inventory[[#This Row],[25Det]]*Inventory[[#This Row],[Det/Nbhd Adj]],-2)</f>
        <v>0</v>
      </c>
      <c r="BN684" s="30">
        <f>Inventory[[#This Row],[Adjusted Res]]+Inventory[[#This Row],[Adj Det ]]</f>
        <v>336400</v>
      </c>
      <c r="BO684" s="30">
        <f>ROUND((Inventory[[#This Row],[Mdl Land Intercept]]+Inventory[[#This Row],[Mdl LnAcres]])*Inventory[[#This Row],[Det/Nbhd Adj]],-2)</f>
        <v>61100</v>
      </c>
      <c r="BP684" s="30">
        <f>Inventory[[#This Row],[Adjusted Impr Total]]+Inventory[[#This Row],[Adjusted Land Total]]</f>
        <v>397500</v>
      </c>
      <c r="BQ684" s="30">
        <f>IFERROR((Inventory[[#This Row],[Adjusted Impr Total]]-Inventory[[#This Row],[24Bldg]])/Inventory[[#This Row],[24Bldg]],0)</f>
        <v>1.1425135297654841E-2</v>
      </c>
      <c r="BR684" s="43">
        <f>(Inventory[[#This Row],[Adjusted Land Total]]-Inventory[[#This Row],[24Lnd]])/Inventory[[#This Row],[24Lnd]]</f>
        <v>4.9342105263157892E-3</v>
      </c>
      <c r="BS684" s="43">
        <f>(Inventory[[#This Row],[Adjusted Total]]-Inventory[[#This Row],[24Final]])/Inventory[[#This Row],[24Final]]</f>
        <v>1.0421962379257754E-2</v>
      </c>
    </row>
    <row r="685" spans="1:71">
      <c r="A685" s="30">
        <v>2025</v>
      </c>
      <c r="B685" s="31" t="s">
        <v>1200</v>
      </c>
      <c r="C685" s="31">
        <f>LN(Inventory[[#This Row],[Acres]])</f>
        <v>-1.8325814637483102</v>
      </c>
      <c r="D685" s="30">
        <v>0.16</v>
      </c>
      <c r="E685" s="30">
        <v>7085</v>
      </c>
      <c r="F685" s="31" t="s">
        <v>505</v>
      </c>
      <c r="G685" s="31" t="s">
        <v>155</v>
      </c>
      <c r="H685" s="31" t="s">
        <v>5</v>
      </c>
      <c r="I685" s="31" t="s">
        <v>506</v>
      </c>
      <c r="J685" s="31" t="s">
        <v>507</v>
      </c>
      <c r="K685" s="31" t="s">
        <v>193</v>
      </c>
      <c r="L685" s="31" t="s">
        <v>21</v>
      </c>
      <c r="M685" s="31" t="s">
        <v>20</v>
      </c>
      <c r="N685" s="31">
        <v>10</v>
      </c>
      <c r="O685" s="31">
        <f>2024-Inventory[[#This Row],[YrBlt]]</f>
        <v>18</v>
      </c>
      <c r="P685" s="31">
        <f>2024-Inventory[[#This Row],[EffYr]]</f>
        <v>18</v>
      </c>
      <c r="Q685" s="30">
        <v>2006</v>
      </c>
      <c r="R685" s="30">
        <v>2006</v>
      </c>
      <c r="S685" s="30">
        <v>2154</v>
      </c>
      <c r="T685" s="32"/>
      <c r="U685" s="32"/>
      <c r="V685" s="32"/>
      <c r="W685" s="32"/>
      <c r="X685" s="32">
        <f>Inventory[[#This Row],[Bsmt Area]]-Inventory[[#This Row],[FnBsmt]]</f>
        <v>0</v>
      </c>
      <c r="Y685" s="32">
        <f>Inventory[[#This Row],[MainFn]]+Inventory[[#This Row],[UpprFn]]+Inventory[[#This Row],[AddFn]]+Inventory[[#This Row],[FnBsmt]]</f>
        <v>2154</v>
      </c>
      <c r="Z685" s="32">
        <v>2500</v>
      </c>
      <c r="AA685" s="31" t="s">
        <v>56</v>
      </c>
      <c r="AB685" s="32"/>
      <c r="AC685" s="30">
        <v>730</v>
      </c>
      <c r="AD685" s="32"/>
      <c r="AE685" s="32"/>
      <c r="AF685" s="32"/>
      <c r="AG685" s="32"/>
      <c r="AH685" s="32"/>
      <c r="AI685" s="30">
        <v>463259</v>
      </c>
      <c r="AJ685" s="30">
        <v>421566</v>
      </c>
      <c r="AK685" s="30">
        <v>0</v>
      </c>
      <c r="AL685" s="30">
        <v>0</v>
      </c>
      <c r="AM685" s="30">
        <v>60800</v>
      </c>
      <c r="AN685" s="30">
        <v>332600</v>
      </c>
      <c r="AO685" s="30">
        <v>393400</v>
      </c>
      <c r="AP685" s="30">
        <f>Lookups!$B$58*0.6</f>
        <v>132535.48800000001</v>
      </c>
      <c r="AQ685" s="30">
        <f>Lookups!$B$58*0.4</f>
        <v>88356.992000000013</v>
      </c>
      <c r="AR685" s="30">
        <f>Lookups!$B$59*Inventory[[#This Row],[LnAcres]]</f>
        <v>-24051.387388882686</v>
      </c>
      <c r="AS685" s="30">
        <f>VLOOKUP(Inventory[[#This Row],[Qlty]],Lookups!$A$66:$E$79,2,FALSE)</f>
        <v>32917.849192000001</v>
      </c>
      <c r="AT685" s="30">
        <f>VLOOKUP(Inventory[[#This Row],[Cnd]],Lookups!$A$80:$E$88,2,FALSE)</f>
        <v>30300.329274</v>
      </c>
      <c r="AU685" s="30">
        <f>Inventory[[#This Row],[EffAge]]*Lookups!$B$65</f>
        <v>-1957.3398</v>
      </c>
      <c r="AV685" s="30">
        <f>Inventory[[#This Row],[MainFn]]*Lookups!$B$90</f>
        <v>134431.95852000001</v>
      </c>
      <c r="AW685" s="30">
        <f>Inventory[[#This Row],[UpprFn]]*Lookups!$B$91</f>
        <v>0</v>
      </c>
      <c r="AX685" s="30">
        <f>Inventory[[#This Row],[Bsmt Area]]*Lookups!$B$95</f>
        <v>0</v>
      </c>
      <c r="AY685" s="30">
        <f>Inventory[[#This Row],[AttGar]]*Lookups!$B$93</f>
        <v>25769.752630000003</v>
      </c>
      <c r="AZ685" s="30">
        <f>ROUND(Inventory[[#This Row],[25Det]],-2)</f>
        <v>0</v>
      </c>
      <c r="BA685" s="30">
        <f>ROUND(SUM(Inventory[[#This Row],[Mdl Qlty]:[Mdl Garage Area]])+Inventory[[#This Row],[Mdl Res Intercept]],-2)</f>
        <v>354000</v>
      </c>
      <c r="BB685" s="30">
        <f>ROUND(Inventory[[#This Row],[Mdl Land Intercept]]+Inventory[[#This Row],[Mdl LnAcres]],-2)</f>
        <v>64300</v>
      </c>
      <c r="BC685" s="30">
        <f>Inventory[[#This Row],[Unadj Res Value]]+Inventory[[#This Row],[Unadj Det Value]]+Inventory[[#This Row],[Unadj Land Value]]</f>
        <v>418300</v>
      </c>
      <c r="BD685" s="30">
        <f>(Inventory[[#This Row],[Unadj Total Value]]-Inventory[[#This Row],[24Final]])/Inventory[[#This Row],[24Final]]</f>
        <v>6.3294356888662945E-2</v>
      </c>
      <c r="BE685" s="30">
        <f>VLOOKUP(Inventory[[#This Row],[Nbhd]],Lookups!$M$3:$P$5,4,FALSE)</f>
        <v>0.99970000000000003</v>
      </c>
      <c r="BF685" s="30">
        <f>VLOOKUP(Inventory[[#This Row],[Qlty]],Lookups!$M$8:$P$22,4,FALSE)</f>
        <v>1.0019</v>
      </c>
      <c r="BG685" s="30">
        <f>VLOOKUP(Inventory[[#This Row],[Cnd]],Lookups!$R$8:$U$17,4,FALSE)</f>
        <v>0.997</v>
      </c>
      <c r="BH685" s="30">
        <f>VLOOKUP(Inventory[[#This Row],[LivArea Range]],Lookups!$R$25:$U$43,4,FALSE)</f>
        <v>1.0008999999999999</v>
      </c>
      <c r="BI685" s="30">
        <f>VLOOKUP(Inventory[[#This Row],[Decade]],Lookups!$M$24:$P$40,4,FALSE)</f>
        <v>1.0024</v>
      </c>
      <c r="BJ685" s="30">
        <f>Inventory[[#This Row],[Nbhd Adj]]*0.95</f>
        <v>0.94971499999999998</v>
      </c>
      <c r="BK685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685" s="30">
        <f>ROUND((SUM(Inventory[[#This Row],[Mdl Qlty]:[Mdl Garage Area]])+Inventory[[#This Row],[Mdl Res Intercept]])*Inventory[[#This Row],[Res Adj ]],-2)</f>
        <v>336400</v>
      </c>
      <c r="BM685" s="30">
        <f>ROUND(Inventory[[#This Row],[25Det]]*Inventory[[#This Row],[Det/Nbhd Adj]],-2)</f>
        <v>0</v>
      </c>
      <c r="BN685" s="30">
        <f>Inventory[[#This Row],[Adjusted Res]]+Inventory[[#This Row],[Adj Det ]]</f>
        <v>336400</v>
      </c>
      <c r="BO685" s="30">
        <f>ROUND((Inventory[[#This Row],[Mdl Land Intercept]]+Inventory[[#This Row],[Mdl LnAcres]])*Inventory[[#This Row],[Det/Nbhd Adj]],-2)</f>
        <v>61100</v>
      </c>
      <c r="BP685" s="30">
        <f>Inventory[[#This Row],[Adjusted Impr Total]]+Inventory[[#This Row],[Adjusted Land Total]]</f>
        <v>397500</v>
      </c>
      <c r="BQ685" s="30">
        <f>IFERROR((Inventory[[#This Row],[Adjusted Impr Total]]-Inventory[[#This Row],[24Bldg]])/Inventory[[#This Row],[24Bldg]],0)</f>
        <v>1.1425135297654841E-2</v>
      </c>
      <c r="BR685" s="43">
        <f>(Inventory[[#This Row],[Adjusted Land Total]]-Inventory[[#This Row],[24Lnd]])/Inventory[[#This Row],[24Lnd]]</f>
        <v>4.9342105263157892E-3</v>
      </c>
      <c r="BS685" s="43">
        <f>(Inventory[[#This Row],[Adjusted Total]]-Inventory[[#This Row],[24Final]])/Inventory[[#This Row],[24Final]]</f>
        <v>1.0421962379257754E-2</v>
      </c>
    </row>
    <row r="686" spans="1:71">
      <c r="A686" s="30">
        <v>2025</v>
      </c>
      <c r="B686" s="31" t="s">
        <v>1201</v>
      </c>
      <c r="C686" s="31">
        <f>LN(Inventory[[#This Row],[Acres]])</f>
        <v>-1.8325814637483102</v>
      </c>
      <c r="D686" s="30">
        <v>0.16</v>
      </c>
      <c r="E686" s="30">
        <v>7002</v>
      </c>
      <c r="F686" s="31" t="s">
        <v>505</v>
      </c>
      <c r="G686" s="31" t="s">
        <v>155</v>
      </c>
      <c r="H686" s="31" t="s">
        <v>5</v>
      </c>
      <c r="I686" s="31" t="s">
        <v>506</v>
      </c>
      <c r="J686" s="31" t="s">
        <v>507</v>
      </c>
      <c r="K686" s="31" t="s">
        <v>193</v>
      </c>
      <c r="L686" s="31" t="s">
        <v>19</v>
      </c>
      <c r="M686" s="31" t="s">
        <v>22</v>
      </c>
      <c r="N686" s="31">
        <v>10</v>
      </c>
      <c r="O686" s="31">
        <f>2024-Inventory[[#This Row],[YrBlt]]</f>
        <v>18</v>
      </c>
      <c r="P686" s="31">
        <f>2024-Inventory[[#This Row],[EffYr]]</f>
        <v>18</v>
      </c>
      <c r="Q686" s="30">
        <v>2006</v>
      </c>
      <c r="R686" s="30">
        <v>2006</v>
      </c>
      <c r="S686" s="30">
        <v>2120</v>
      </c>
      <c r="T686" s="37"/>
      <c r="U686" s="32"/>
      <c r="V686" s="32"/>
      <c r="W686" s="32"/>
      <c r="X686" s="32">
        <f>Inventory[[#This Row],[Bsmt Area]]-Inventory[[#This Row],[FnBsmt]]</f>
        <v>0</v>
      </c>
      <c r="Y686" s="32">
        <f>Inventory[[#This Row],[MainFn]]+Inventory[[#This Row],[UpprFn]]+Inventory[[#This Row],[AddFn]]+Inventory[[#This Row],[FnBsmt]]</f>
        <v>2120</v>
      </c>
      <c r="Z686" s="32">
        <v>2500</v>
      </c>
      <c r="AA686" s="31" t="s">
        <v>56</v>
      </c>
      <c r="AB686" s="30">
        <v>1</v>
      </c>
      <c r="AC686" s="30">
        <v>748</v>
      </c>
      <c r="AD686" s="37"/>
      <c r="AE686" s="32"/>
      <c r="AF686" s="32"/>
      <c r="AG686" s="32"/>
      <c r="AH686" s="32"/>
      <c r="AI686" s="30">
        <v>413561</v>
      </c>
      <c r="AJ686" s="30">
        <v>380476</v>
      </c>
      <c r="AK686" s="30">
        <v>0</v>
      </c>
      <c r="AL686" s="30">
        <v>0</v>
      </c>
      <c r="AM686" s="30">
        <v>60800</v>
      </c>
      <c r="AN686" s="30">
        <v>351600</v>
      </c>
      <c r="AO686" s="30">
        <v>412400</v>
      </c>
      <c r="AP686" s="30">
        <f>Lookups!$B$58*0.6</f>
        <v>132535.48800000001</v>
      </c>
      <c r="AQ686" s="30">
        <f>Lookups!$B$58*0.4</f>
        <v>88356.992000000013</v>
      </c>
      <c r="AR686" s="30">
        <f>Lookups!$B$59*Inventory[[#This Row],[LnAcres]]</f>
        <v>-24051.387388882686</v>
      </c>
      <c r="AS686" s="30">
        <f>VLOOKUP(Inventory[[#This Row],[Qlty]],Lookups!$A$66:$E$79,2,FALSE)</f>
        <v>37154.252388000001</v>
      </c>
      <c r="AT686" s="30">
        <f>VLOOKUP(Inventory[[#This Row],[Cnd]],Lookups!$A$80:$E$88,2,FALSE)</f>
        <v>50438.379078999998</v>
      </c>
      <c r="AU686" s="30">
        <f>Inventory[[#This Row],[EffAge]]*Lookups!$B$65</f>
        <v>-1957.3398</v>
      </c>
      <c r="AV686" s="30">
        <f>Inventory[[#This Row],[MainFn]]*Lookups!$B$90</f>
        <v>132310.0056</v>
      </c>
      <c r="AW686" s="30">
        <f>Inventory[[#This Row],[UpprFn]]*Lookups!$B$91</f>
        <v>0</v>
      </c>
      <c r="AX686" s="30">
        <f>Inventory[[#This Row],[Bsmt Area]]*Lookups!$B$95</f>
        <v>0</v>
      </c>
      <c r="AY686" s="30">
        <f>Inventory[[#This Row],[AttGar]]*Lookups!$B$93</f>
        <v>26405.171188</v>
      </c>
      <c r="AZ686" s="30">
        <f>ROUND(Inventory[[#This Row],[25Det]],-2)</f>
        <v>0</v>
      </c>
      <c r="BA686" s="30">
        <f>ROUND(SUM(Inventory[[#This Row],[Mdl Qlty]:[Mdl Garage Area]])+Inventory[[#This Row],[Mdl Res Intercept]],-2)</f>
        <v>376900</v>
      </c>
      <c r="BB686" s="30">
        <f>ROUND(Inventory[[#This Row],[Mdl Land Intercept]]+Inventory[[#This Row],[Mdl LnAcres]],-2)</f>
        <v>64300</v>
      </c>
      <c r="BC686" s="30">
        <f>Inventory[[#This Row],[Unadj Res Value]]+Inventory[[#This Row],[Unadj Det Value]]+Inventory[[#This Row],[Unadj Land Value]]</f>
        <v>441200</v>
      </c>
      <c r="BD686" s="30">
        <f>(Inventory[[#This Row],[Unadj Total Value]]-Inventory[[#This Row],[24Final]])/Inventory[[#This Row],[24Final]]</f>
        <v>6.9835111542192047E-2</v>
      </c>
      <c r="BE686" s="30">
        <f>VLOOKUP(Inventory[[#This Row],[Nbhd]],Lookups!$M$3:$P$5,4,FALSE)</f>
        <v>0.99970000000000003</v>
      </c>
      <c r="BF686" s="30">
        <f>VLOOKUP(Inventory[[#This Row],[Qlty]],Lookups!$M$8:$P$22,4,FALSE)</f>
        <v>0.99819999999999998</v>
      </c>
      <c r="BG686" s="30">
        <f>VLOOKUP(Inventory[[#This Row],[Cnd]],Lookups!$R$8:$U$17,4,FALSE)</f>
        <v>1.0007999999999999</v>
      </c>
      <c r="BH686" s="30">
        <f>VLOOKUP(Inventory[[#This Row],[LivArea Range]],Lookups!$R$25:$U$43,4,FALSE)</f>
        <v>1.0008999999999999</v>
      </c>
      <c r="BI686" s="30">
        <f>VLOOKUP(Inventory[[#This Row],[Decade]],Lookups!$M$24:$P$40,4,FALSE)</f>
        <v>1.0024</v>
      </c>
      <c r="BJ686" s="30">
        <f>Inventory[[#This Row],[Nbhd Adj]]*0.95</f>
        <v>0.94971499999999998</v>
      </c>
      <c r="BK686" s="30">
        <f>AVERAGE(Inventory[[#This Row],[Nbhd Adj]],Inventory[[#This Row],[Quality Adj]],Inventory[[#This Row],[Condition Adj]],Inventory[[#This Row],[Living Area Adj]],Inventory[[#This Row],[Decade Adj]])*0.95</f>
        <v>0.95037999999999989</v>
      </c>
      <c r="BL686" s="30">
        <f>ROUND((SUM(Inventory[[#This Row],[Mdl Qlty]:[Mdl Garage Area]])+Inventory[[#This Row],[Mdl Res Intercept]])*Inventory[[#This Row],[Res Adj ]],-2)</f>
        <v>358200</v>
      </c>
      <c r="BM686" s="30">
        <f>ROUND(Inventory[[#This Row],[25Det]]*Inventory[[#This Row],[Det/Nbhd Adj]],-2)</f>
        <v>0</v>
      </c>
      <c r="BN686" s="30">
        <f>Inventory[[#This Row],[Adjusted Res]]+Inventory[[#This Row],[Adj Det ]]</f>
        <v>358200</v>
      </c>
      <c r="BO686" s="30">
        <f>ROUND((Inventory[[#This Row],[Mdl Land Intercept]]+Inventory[[#This Row],[Mdl LnAcres]])*Inventory[[#This Row],[Det/Nbhd Adj]],-2)</f>
        <v>61100</v>
      </c>
      <c r="BP686" s="30">
        <f>Inventory[[#This Row],[Adjusted Impr Total]]+Inventory[[#This Row],[Adjusted Land Total]]</f>
        <v>419300</v>
      </c>
      <c r="BQ686" s="30">
        <f>IFERROR((Inventory[[#This Row],[Adjusted Impr Total]]-Inventory[[#This Row],[24Bldg]])/Inventory[[#This Row],[24Bldg]],0)</f>
        <v>1.877133105802048E-2</v>
      </c>
      <c r="BR686" s="43">
        <f>(Inventory[[#This Row],[Adjusted Land Total]]-Inventory[[#This Row],[24Lnd]])/Inventory[[#This Row],[24Lnd]]</f>
        <v>4.9342105263157892E-3</v>
      </c>
      <c r="BS686" s="43">
        <f>(Inventory[[#This Row],[Adjusted Total]]-Inventory[[#This Row],[24Final]])/Inventory[[#This Row],[24Final]]</f>
        <v>1.6731328806983511E-2</v>
      </c>
    </row>
    <row r="687" spans="1:71">
      <c r="A687" s="30">
        <v>2025</v>
      </c>
      <c r="B687" s="31" t="s">
        <v>1202</v>
      </c>
      <c r="C687" s="31">
        <f>LN(Inventory[[#This Row],[Acres]])</f>
        <v>-1.7719568419318752</v>
      </c>
      <c r="D687" s="30">
        <v>0.17</v>
      </c>
      <c r="E687" s="30">
        <v>7275</v>
      </c>
      <c r="F687" s="31" t="s">
        <v>505</v>
      </c>
      <c r="G687" s="31" t="s">
        <v>155</v>
      </c>
      <c r="H687" s="31" t="s">
        <v>5</v>
      </c>
      <c r="I687" s="31" t="s">
        <v>506</v>
      </c>
      <c r="J687" s="31" t="s">
        <v>507</v>
      </c>
      <c r="K687" s="31" t="s">
        <v>157</v>
      </c>
      <c r="L687" s="31" t="s">
        <v>21</v>
      </c>
      <c r="M687" s="31" t="s">
        <v>20</v>
      </c>
      <c r="N687" s="31">
        <v>10</v>
      </c>
      <c r="O687" s="31">
        <f>2024-Inventory[[#This Row],[YrBlt]]</f>
        <v>18</v>
      </c>
      <c r="P687" s="31">
        <f>2024-Inventory[[#This Row],[EffYr]]</f>
        <v>18</v>
      </c>
      <c r="Q687" s="30">
        <v>2006</v>
      </c>
      <c r="R687" s="30">
        <v>2006</v>
      </c>
      <c r="S687" s="30">
        <v>1158</v>
      </c>
      <c r="T687" s="38">
        <v>1332</v>
      </c>
      <c r="U687" s="32"/>
      <c r="V687" s="32"/>
      <c r="W687" s="32"/>
      <c r="X687" s="32">
        <f>Inventory[[#This Row],[Bsmt Area]]-Inventory[[#This Row],[FnBsmt]]</f>
        <v>0</v>
      </c>
      <c r="Y687" s="32">
        <f>Inventory[[#This Row],[MainFn]]+Inventory[[#This Row],[UpprFn]]+Inventory[[#This Row],[AddFn]]+Inventory[[#This Row],[FnBsmt]]</f>
        <v>2490</v>
      </c>
      <c r="Z687" s="32">
        <v>2500</v>
      </c>
      <c r="AA687" s="31" t="s">
        <v>56</v>
      </c>
      <c r="AB687" s="32"/>
      <c r="AC687" s="30">
        <v>240</v>
      </c>
      <c r="AD687" s="38">
        <v>502</v>
      </c>
      <c r="AE687" s="32"/>
      <c r="AF687" s="32"/>
      <c r="AG687" s="32"/>
      <c r="AH687" s="32"/>
      <c r="AI687" s="30">
        <v>496785</v>
      </c>
      <c r="AJ687" s="30">
        <v>452074</v>
      </c>
      <c r="AK687" s="30">
        <v>0</v>
      </c>
      <c r="AL687" s="30">
        <v>0</v>
      </c>
      <c r="AM687" s="30">
        <v>61700</v>
      </c>
      <c r="AN687" s="30">
        <v>363100</v>
      </c>
      <c r="AO687" s="30">
        <v>424800</v>
      </c>
      <c r="AP687" s="30">
        <f>Lookups!$B$58*0.6</f>
        <v>132535.48800000001</v>
      </c>
      <c r="AQ687" s="30">
        <f>Lookups!$B$58*0.4</f>
        <v>88356.992000000013</v>
      </c>
      <c r="AR687" s="30">
        <f>Lookups!$B$59*Inventory[[#This Row],[LnAcres]]</f>
        <v>-23255.730391660189</v>
      </c>
      <c r="AS687" s="30">
        <f>VLOOKUP(Inventory[[#This Row],[Qlty]],Lookups!$A$66:$E$79,2,FALSE)</f>
        <v>32917.849192000001</v>
      </c>
      <c r="AT687" s="30">
        <f>VLOOKUP(Inventory[[#This Row],[Cnd]],Lookups!$A$80:$E$88,2,FALSE)</f>
        <v>30300.329274</v>
      </c>
      <c r="AU687" s="30">
        <f>Inventory[[#This Row],[EffAge]]*Lookups!$B$65</f>
        <v>-1957.3398</v>
      </c>
      <c r="AV687" s="30">
        <f>Inventory[[#This Row],[MainFn]]*Lookups!$B$90</f>
        <v>72271.22004</v>
      </c>
      <c r="AW687" s="30">
        <f>Inventory[[#This Row],[UpprFn]]*Lookups!$B$91</f>
        <v>79361.070156000002</v>
      </c>
      <c r="AX687" s="30">
        <f>Inventory[[#This Row],[Bsmt Area]]*Lookups!$B$95</f>
        <v>0</v>
      </c>
      <c r="AY687" s="30">
        <f>Inventory[[#This Row],[AttGar]]*Lookups!$B$93</f>
        <v>8472.247440000001</v>
      </c>
      <c r="AZ687" s="30">
        <f>ROUND(Inventory[[#This Row],[25Det]],-2)</f>
        <v>0</v>
      </c>
      <c r="BA687" s="30">
        <f>ROUND(SUM(Inventory[[#This Row],[Mdl Qlty]:[Mdl Garage Area]])+Inventory[[#This Row],[Mdl Res Intercept]],-2)</f>
        <v>353900</v>
      </c>
      <c r="BB687" s="30">
        <f>ROUND(Inventory[[#This Row],[Mdl Land Intercept]]+Inventory[[#This Row],[Mdl LnAcres]],-2)</f>
        <v>65100</v>
      </c>
      <c r="BC687" s="30">
        <f>Inventory[[#This Row],[Unadj Res Value]]+Inventory[[#This Row],[Unadj Det Value]]+Inventory[[#This Row],[Unadj Land Value]]</f>
        <v>419000</v>
      </c>
      <c r="BD687" s="30">
        <f>(Inventory[[#This Row],[Unadj Total Value]]-Inventory[[#This Row],[24Final]])/Inventory[[#This Row],[24Final]]</f>
        <v>-1.3653483992467044E-2</v>
      </c>
      <c r="BE687" s="30">
        <f>VLOOKUP(Inventory[[#This Row],[Nbhd]],Lookups!$M$3:$P$5,4,FALSE)</f>
        <v>0.99970000000000003</v>
      </c>
      <c r="BF687" s="30">
        <f>VLOOKUP(Inventory[[#This Row],[Qlty]],Lookups!$M$8:$P$22,4,FALSE)</f>
        <v>1.0019</v>
      </c>
      <c r="BG687" s="30">
        <f>VLOOKUP(Inventory[[#This Row],[Cnd]],Lookups!$R$8:$U$17,4,FALSE)</f>
        <v>0.997</v>
      </c>
      <c r="BH687" s="30">
        <f>VLOOKUP(Inventory[[#This Row],[LivArea Range]],Lookups!$R$25:$U$43,4,FALSE)</f>
        <v>1.0008999999999999</v>
      </c>
      <c r="BI687" s="30">
        <f>VLOOKUP(Inventory[[#This Row],[Decade]],Lookups!$M$24:$P$40,4,FALSE)</f>
        <v>1.0024</v>
      </c>
      <c r="BJ687" s="30">
        <f>Inventory[[#This Row],[Nbhd Adj]]*0.95</f>
        <v>0.94971499999999998</v>
      </c>
      <c r="BK687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687" s="30">
        <f>ROUND((SUM(Inventory[[#This Row],[Mdl Qlty]:[Mdl Garage Area]])+Inventory[[#This Row],[Mdl Res Intercept]])*Inventory[[#This Row],[Res Adj ]],-2)</f>
        <v>336300</v>
      </c>
      <c r="BM687" s="30">
        <f>ROUND(Inventory[[#This Row],[25Det]]*Inventory[[#This Row],[Det/Nbhd Adj]],-2)</f>
        <v>0</v>
      </c>
      <c r="BN687" s="30">
        <f>Inventory[[#This Row],[Adjusted Res]]+Inventory[[#This Row],[Adj Det ]]</f>
        <v>336300</v>
      </c>
      <c r="BO687" s="30">
        <f>ROUND((Inventory[[#This Row],[Mdl Land Intercept]]+Inventory[[#This Row],[Mdl LnAcres]])*Inventory[[#This Row],[Det/Nbhd Adj]],-2)</f>
        <v>61800</v>
      </c>
      <c r="BP687" s="30">
        <f>Inventory[[#This Row],[Adjusted Impr Total]]+Inventory[[#This Row],[Adjusted Land Total]]</f>
        <v>398100</v>
      </c>
      <c r="BQ687" s="30">
        <f>IFERROR((Inventory[[#This Row],[Adjusted Impr Total]]-Inventory[[#This Row],[24Bldg]])/Inventory[[#This Row],[24Bldg]],0)</f>
        <v>-7.3808868080418616E-2</v>
      </c>
      <c r="BR687" s="43">
        <f>(Inventory[[#This Row],[Adjusted Land Total]]-Inventory[[#This Row],[24Lnd]])/Inventory[[#This Row],[24Lnd]]</f>
        <v>1.6207455429497568E-3</v>
      </c>
      <c r="BS687" s="43">
        <f>(Inventory[[#This Row],[Adjusted Total]]-Inventory[[#This Row],[24Final]])/Inventory[[#This Row],[24Final]]</f>
        <v>-6.2853107344632772E-2</v>
      </c>
    </row>
    <row r="688" spans="1:71">
      <c r="A688" s="30">
        <v>2025</v>
      </c>
      <c r="B688" s="31" t="s">
        <v>1203</v>
      </c>
      <c r="C688" s="31">
        <f>LN(Inventory[[#This Row],[Acres]])</f>
        <v>-1.7719568419318752</v>
      </c>
      <c r="D688" s="30">
        <v>0.17</v>
      </c>
      <c r="E688" s="30">
        <v>7520</v>
      </c>
      <c r="F688" s="31" t="s">
        <v>505</v>
      </c>
      <c r="G688" s="31" t="s">
        <v>155</v>
      </c>
      <c r="H688" s="31" t="s">
        <v>5</v>
      </c>
      <c r="I688" s="31" t="s">
        <v>506</v>
      </c>
      <c r="J688" s="31" t="s">
        <v>507</v>
      </c>
      <c r="K688" s="31" t="s">
        <v>157</v>
      </c>
      <c r="L688" s="31" t="s">
        <v>21</v>
      </c>
      <c r="M688" s="31" t="s">
        <v>20</v>
      </c>
      <c r="N688" s="31">
        <v>10</v>
      </c>
      <c r="O688" s="31">
        <f>2024-Inventory[[#This Row],[YrBlt]]</f>
        <v>18</v>
      </c>
      <c r="P688" s="31">
        <f>2024-Inventory[[#This Row],[EffYr]]</f>
        <v>18</v>
      </c>
      <c r="Q688" s="30">
        <v>2006</v>
      </c>
      <c r="R688" s="30">
        <v>2006</v>
      </c>
      <c r="S688" s="30">
        <v>1158</v>
      </c>
      <c r="T688" s="30">
        <v>1332</v>
      </c>
      <c r="U688" s="32"/>
      <c r="V688" s="32"/>
      <c r="W688" s="32"/>
      <c r="X688" s="32">
        <f>Inventory[[#This Row],[Bsmt Area]]-Inventory[[#This Row],[FnBsmt]]</f>
        <v>0</v>
      </c>
      <c r="Y688" s="32">
        <f>Inventory[[#This Row],[MainFn]]+Inventory[[#This Row],[UpprFn]]+Inventory[[#This Row],[AddFn]]+Inventory[[#This Row],[FnBsmt]]</f>
        <v>2490</v>
      </c>
      <c r="Z688" s="32">
        <v>2500</v>
      </c>
      <c r="AA688" s="31" t="s">
        <v>56</v>
      </c>
      <c r="AB688" s="30">
        <v>1</v>
      </c>
      <c r="AC688" s="32"/>
      <c r="AD688" s="30">
        <v>502</v>
      </c>
      <c r="AE688" s="32"/>
      <c r="AF688" s="32"/>
      <c r="AG688" s="32"/>
      <c r="AH688" s="32"/>
      <c r="AI688" s="30">
        <v>483279</v>
      </c>
      <c r="AJ688" s="30">
        <v>439784</v>
      </c>
      <c r="AK688" s="30">
        <v>0</v>
      </c>
      <c r="AL688" s="30">
        <v>0</v>
      </c>
      <c r="AM688" s="30">
        <v>61700</v>
      </c>
      <c r="AN688" s="30">
        <v>352700</v>
      </c>
      <c r="AO688" s="30">
        <v>414400</v>
      </c>
      <c r="AP688" s="30">
        <f>Lookups!$B$58*0.6</f>
        <v>132535.48800000001</v>
      </c>
      <c r="AQ688" s="30">
        <f>Lookups!$B$58*0.4</f>
        <v>88356.992000000013</v>
      </c>
      <c r="AR688" s="30">
        <f>Lookups!$B$59*Inventory[[#This Row],[LnAcres]]</f>
        <v>-23255.730391660189</v>
      </c>
      <c r="AS688" s="30">
        <f>VLOOKUP(Inventory[[#This Row],[Qlty]],Lookups!$A$66:$E$79,2,FALSE)</f>
        <v>32917.849192000001</v>
      </c>
      <c r="AT688" s="30">
        <f>VLOOKUP(Inventory[[#This Row],[Cnd]],Lookups!$A$80:$E$88,2,FALSE)</f>
        <v>30300.329274</v>
      </c>
      <c r="AU688" s="30">
        <f>Inventory[[#This Row],[EffAge]]*Lookups!$B$65</f>
        <v>-1957.3398</v>
      </c>
      <c r="AV688" s="30">
        <f>Inventory[[#This Row],[MainFn]]*Lookups!$B$90</f>
        <v>72271.22004</v>
      </c>
      <c r="AW688" s="30">
        <f>Inventory[[#This Row],[UpprFn]]*Lookups!$B$91</f>
        <v>79361.070156000002</v>
      </c>
      <c r="AX688" s="30">
        <f>Inventory[[#This Row],[Bsmt Area]]*Lookups!$B$95</f>
        <v>0</v>
      </c>
      <c r="AY688" s="30">
        <f>Inventory[[#This Row],[AttGar]]*Lookups!$B$93</f>
        <v>0</v>
      </c>
      <c r="AZ688" s="30">
        <f>ROUND(Inventory[[#This Row],[25Det]],-2)</f>
        <v>0</v>
      </c>
      <c r="BA688" s="30">
        <f>ROUND(SUM(Inventory[[#This Row],[Mdl Qlty]:[Mdl Garage Area]])+Inventory[[#This Row],[Mdl Res Intercept]],-2)</f>
        <v>345400</v>
      </c>
      <c r="BB688" s="30">
        <f>ROUND(Inventory[[#This Row],[Mdl Land Intercept]]+Inventory[[#This Row],[Mdl LnAcres]],-2)</f>
        <v>65100</v>
      </c>
      <c r="BC688" s="30">
        <f>Inventory[[#This Row],[Unadj Res Value]]+Inventory[[#This Row],[Unadj Det Value]]+Inventory[[#This Row],[Unadj Land Value]]</f>
        <v>410500</v>
      </c>
      <c r="BD688" s="30">
        <f>(Inventory[[#This Row],[Unadj Total Value]]-Inventory[[#This Row],[24Final]])/Inventory[[#This Row],[24Final]]</f>
        <v>-9.4111969111969115E-3</v>
      </c>
      <c r="BE688" s="30">
        <f>VLOOKUP(Inventory[[#This Row],[Nbhd]],Lookups!$M$3:$P$5,4,FALSE)</f>
        <v>0.99970000000000003</v>
      </c>
      <c r="BF688" s="30">
        <f>VLOOKUP(Inventory[[#This Row],[Qlty]],Lookups!$M$8:$P$22,4,FALSE)</f>
        <v>1.0019</v>
      </c>
      <c r="BG688" s="30">
        <f>VLOOKUP(Inventory[[#This Row],[Cnd]],Lookups!$R$8:$U$17,4,FALSE)</f>
        <v>0.997</v>
      </c>
      <c r="BH688" s="30">
        <f>VLOOKUP(Inventory[[#This Row],[LivArea Range]],Lookups!$R$25:$U$43,4,FALSE)</f>
        <v>1.0008999999999999</v>
      </c>
      <c r="BI688" s="30">
        <f>VLOOKUP(Inventory[[#This Row],[Decade]],Lookups!$M$24:$P$40,4,FALSE)</f>
        <v>1.0024</v>
      </c>
      <c r="BJ688" s="30">
        <f>Inventory[[#This Row],[Nbhd Adj]]*0.95</f>
        <v>0.94971499999999998</v>
      </c>
      <c r="BK688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688" s="30">
        <f>ROUND((SUM(Inventory[[#This Row],[Mdl Qlty]:[Mdl Garage Area]])+Inventory[[#This Row],[Mdl Res Intercept]])*Inventory[[#This Row],[Res Adj ]],-2)</f>
        <v>328300</v>
      </c>
      <c r="BM688" s="30">
        <f>ROUND(Inventory[[#This Row],[25Det]]*Inventory[[#This Row],[Det/Nbhd Adj]],-2)</f>
        <v>0</v>
      </c>
      <c r="BN688" s="30">
        <f>Inventory[[#This Row],[Adjusted Res]]+Inventory[[#This Row],[Adj Det ]]</f>
        <v>328300</v>
      </c>
      <c r="BO688" s="30">
        <f>ROUND((Inventory[[#This Row],[Mdl Land Intercept]]+Inventory[[#This Row],[Mdl LnAcres]])*Inventory[[#This Row],[Det/Nbhd Adj]],-2)</f>
        <v>61800</v>
      </c>
      <c r="BP688" s="30">
        <f>Inventory[[#This Row],[Adjusted Impr Total]]+Inventory[[#This Row],[Adjusted Land Total]]</f>
        <v>390100</v>
      </c>
      <c r="BQ688" s="30">
        <f>IFERROR((Inventory[[#This Row],[Adjusted Impr Total]]-Inventory[[#This Row],[24Bldg]])/Inventory[[#This Row],[24Bldg]],0)</f>
        <v>-6.9180606747944434E-2</v>
      </c>
      <c r="BR688" s="43">
        <f>(Inventory[[#This Row],[Adjusted Land Total]]-Inventory[[#This Row],[24Lnd]])/Inventory[[#This Row],[24Lnd]]</f>
        <v>1.6207455429497568E-3</v>
      </c>
      <c r="BS688" s="43">
        <f>(Inventory[[#This Row],[Adjusted Total]]-Inventory[[#This Row],[24Final]])/Inventory[[#This Row],[24Final]]</f>
        <v>-5.863899613899614E-2</v>
      </c>
    </row>
    <row r="689" spans="1:71">
      <c r="A689" s="30">
        <v>2025</v>
      </c>
      <c r="B689" s="31" t="s">
        <v>1204</v>
      </c>
      <c r="C689" s="31">
        <f>LN(Inventory[[#This Row],[Acres]])</f>
        <v>-1.7719568419318752</v>
      </c>
      <c r="D689" s="30">
        <v>0.17</v>
      </c>
      <c r="E689" s="30">
        <v>7460</v>
      </c>
      <c r="F689" s="31" t="s">
        <v>505</v>
      </c>
      <c r="G689" s="31" t="s">
        <v>155</v>
      </c>
      <c r="H689" s="31" t="s">
        <v>5</v>
      </c>
      <c r="I689" s="31" t="s">
        <v>506</v>
      </c>
      <c r="J689" s="31" t="s">
        <v>507</v>
      </c>
      <c r="K689" s="31" t="s">
        <v>157</v>
      </c>
      <c r="L689" s="31" t="s">
        <v>21</v>
      </c>
      <c r="M689" s="31" t="s">
        <v>22</v>
      </c>
      <c r="N689" s="31">
        <v>10</v>
      </c>
      <c r="O689" s="31">
        <f>2024-Inventory[[#This Row],[YrBlt]]</f>
        <v>18</v>
      </c>
      <c r="P689" s="31">
        <f>2024-Inventory[[#This Row],[EffYr]]</f>
        <v>18</v>
      </c>
      <c r="Q689" s="30">
        <v>2006</v>
      </c>
      <c r="R689" s="30">
        <v>2006</v>
      </c>
      <c r="S689" s="30">
        <v>1116</v>
      </c>
      <c r="T689" s="30">
        <v>1116</v>
      </c>
      <c r="U689" s="32"/>
      <c r="V689" s="32"/>
      <c r="W689" s="32"/>
      <c r="X689" s="32">
        <f>Inventory[[#This Row],[Bsmt Area]]-Inventory[[#This Row],[FnBsmt]]</f>
        <v>0</v>
      </c>
      <c r="Y689" s="32">
        <f>Inventory[[#This Row],[MainFn]]+Inventory[[#This Row],[UpprFn]]+Inventory[[#This Row],[AddFn]]+Inventory[[#This Row],[FnBsmt]]</f>
        <v>2232</v>
      </c>
      <c r="Z689" s="32">
        <v>2500</v>
      </c>
      <c r="AA689" s="31" t="s">
        <v>56</v>
      </c>
      <c r="AB689" s="32"/>
      <c r="AC689" s="30">
        <v>440</v>
      </c>
      <c r="AD689" s="32"/>
      <c r="AE689" s="32"/>
      <c r="AF689" s="32"/>
      <c r="AG689" s="32"/>
      <c r="AH689" s="32"/>
      <c r="AI689" s="30">
        <v>455016</v>
      </c>
      <c r="AJ689" s="30">
        <v>418615</v>
      </c>
      <c r="AK689" s="30">
        <v>0</v>
      </c>
      <c r="AL689" s="30">
        <v>0</v>
      </c>
      <c r="AM689" s="30">
        <v>61700</v>
      </c>
      <c r="AN689" s="30">
        <v>373900</v>
      </c>
      <c r="AO689" s="30">
        <v>435600</v>
      </c>
      <c r="AP689" s="30">
        <f>Lookups!$B$58*0.6</f>
        <v>132535.48800000001</v>
      </c>
      <c r="AQ689" s="30">
        <f>Lookups!$B$58*0.4</f>
        <v>88356.992000000013</v>
      </c>
      <c r="AR689" s="30">
        <f>Lookups!$B$59*Inventory[[#This Row],[LnAcres]]</f>
        <v>-23255.730391660189</v>
      </c>
      <c r="AS689" s="30">
        <f>VLOOKUP(Inventory[[#This Row],[Qlty]],Lookups!$A$66:$E$79,2,FALSE)</f>
        <v>32917.849192000001</v>
      </c>
      <c r="AT689" s="30">
        <f>VLOOKUP(Inventory[[#This Row],[Cnd]],Lookups!$A$80:$E$88,2,FALSE)</f>
        <v>50438.379078999998</v>
      </c>
      <c r="AU689" s="30">
        <f>Inventory[[#This Row],[EffAge]]*Lookups!$B$65</f>
        <v>-1957.3398</v>
      </c>
      <c r="AV689" s="30">
        <f>Inventory[[#This Row],[MainFn]]*Lookups!$B$90</f>
        <v>69649.984080000009</v>
      </c>
      <c r="AW689" s="30">
        <f>Inventory[[#This Row],[UpprFn]]*Lookups!$B$91</f>
        <v>66491.707427999994</v>
      </c>
      <c r="AX689" s="30">
        <f>Inventory[[#This Row],[Bsmt Area]]*Lookups!$B$95</f>
        <v>0</v>
      </c>
      <c r="AY689" s="30">
        <f>Inventory[[#This Row],[AttGar]]*Lookups!$B$93</f>
        <v>15532.453640000002</v>
      </c>
      <c r="AZ689" s="30">
        <f>ROUND(Inventory[[#This Row],[25Det]],-2)</f>
        <v>0</v>
      </c>
      <c r="BA689" s="30">
        <f>ROUND(SUM(Inventory[[#This Row],[Mdl Qlty]:[Mdl Garage Area]])+Inventory[[#This Row],[Mdl Res Intercept]],-2)</f>
        <v>365600</v>
      </c>
      <c r="BB689" s="30">
        <f>ROUND(Inventory[[#This Row],[Mdl Land Intercept]]+Inventory[[#This Row],[Mdl LnAcres]],-2)</f>
        <v>65100</v>
      </c>
      <c r="BC689" s="30">
        <f>Inventory[[#This Row],[Unadj Res Value]]+Inventory[[#This Row],[Unadj Det Value]]+Inventory[[#This Row],[Unadj Land Value]]</f>
        <v>430700</v>
      </c>
      <c r="BD689" s="30">
        <f>(Inventory[[#This Row],[Unadj Total Value]]-Inventory[[#This Row],[24Final]])/Inventory[[#This Row],[24Final]]</f>
        <v>-1.1248852157943067E-2</v>
      </c>
      <c r="BE689" s="30">
        <f>VLOOKUP(Inventory[[#This Row],[Nbhd]],Lookups!$M$3:$P$5,4,FALSE)</f>
        <v>0.99970000000000003</v>
      </c>
      <c r="BF689" s="30">
        <f>VLOOKUP(Inventory[[#This Row],[Qlty]],Lookups!$M$8:$P$22,4,FALSE)</f>
        <v>1.0019</v>
      </c>
      <c r="BG689" s="30">
        <f>VLOOKUP(Inventory[[#This Row],[Cnd]],Lookups!$R$8:$U$17,4,FALSE)</f>
        <v>1.0007999999999999</v>
      </c>
      <c r="BH689" s="30">
        <f>VLOOKUP(Inventory[[#This Row],[LivArea Range]],Lookups!$R$25:$U$43,4,FALSE)</f>
        <v>1.0008999999999999</v>
      </c>
      <c r="BI689" s="30">
        <f>VLOOKUP(Inventory[[#This Row],[Decade]],Lookups!$M$24:$P$40,4,FALSE)</f>
        <v>1.0024</v>
      </c>
      <c r="BJ689" s="30">
        <f>Inventory[[#This Row],[Nbhd Adj]]*0.95</f>
        <v>0.94971499999999998</v>
      </c>
      <c r="BK689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689" s="30">
        <f>ROUND((SUM(Inventory[[#This Row],[Mdl Qlty]:[Mdl Garage Area]])+Inventory[[#This Row],[Mdl Res Intercept]])*Inventory[[#This Row],[Res Adj ]],-2)</f>
        <v>347700</v>
      </c>
      <c r="BM689" s="30">
        <f>ROUND(Inventory[[#This Row],[25Det]]*Inventory[[#This Row],[Det/Nbhd Adj]],-2)</f>
        <v>0</v>
      </c>
      <c r="BN689" s="30">
        <f>Inventory[[#This Row],[Adjusted Res]]+Inventory[[#This Row],[Adj Det ]]</f>
        <v>347700</v>
      </c>
      <c r="BO689" s="30">
        <f>ROUND((Inventory[[#This Row],[Mdl Land Intercept]]+Inventory[[#This Row],[Mdl LnAcres]])*Inventory[[#This Row],[Det/Nbhd Adj]],-2)</f>
        <v>61800</v>
      </c>
      <c r="BP689" s="30">
        <f>Inventory[[#This Row],[Adjusted Impr Total]]+Inventory[[#This Row],[Adjusted Land Total]]</f>
        <v>409500</v>
      </c>
      <c r="BQ689" s="30">
        <f>IFERROR((Inventory[[#This Row],[Adjusted Impr Total]]-Inventory[[#This Row],[24Bldg]])/Inventory[[#This Row],[24Bldg]],0)</f>
        <v>-7.00722118213426E-2</v>
      </c>
      <c r="BR689" s="43">
        <f>(Inventory[[#This Row],[Adjusted Land Total]]-Inventory[[#This Row],[24Lnd]])/Inventory[[#This Row],[24Lnd]]</f>
        <v>1.6207455429497568E-3</v>
      </c>
      <c r="BS689" s="43">
        <f>(Inventory[[#This Row],[Adjusted Total]]-Inventory[[#This Row],[24Final]])/Inventory[[#This Row],[24Final]]</f>
        <v>-5.9917355371900828E-2</v>
      </c>
    </row>
    <row r="690" spans="1:71">
      <c r="A690" s="30">
        <v>2025</v>
      </c>
      <c r="B690" s="31" t="s">
        <v>1205</v>
      </c>
      <c r="C690" s="31">
        <f>LN(Inventory[[#This Row],[Acres]])</f>
        <v>-1.7719568419318752</v>
      </c>
      <c r="D690" s="30">
        <v>0.17</v>
      </c>
      <c r="E690" s="30">
        <v>7393</v>
      </c>
      <c r="F690" s="31" t="s">
        <v>505</v>
      </c>
      <c r="G690" s="31" t="s">
        <v>155</v>
      </c>
      <c r="H690" s="31" t="s">
        <v>5</v>
      </c>
      <c r="I690" s="31" t="s">
        <v>506</v>
      </c>
      <c r="J690" s="31" t="s">
        <v>507</v>
      </c>
      <c r="K690" s="31" t="s">
        <v>157</v>
      </c>
      <c r="L690" s="31" t="s">
        <v>21</v>
      </c>
      <c r="M690" s="31" t="s">
        <v>22</v>
      </c>
      <c r="N690" s="31">
        <v>10</v>
      </c>
      <c r="O690" s="31">
        <f>2024-Inventory[[#This Row],[YrBlt]]</f>
        <v>18</v>
      </c>
      <c r="P690" s="31">
        <f>2024-Inventory[[#This Row],[EffYr]]</f>
        <v>18</v>
      </c>
      <c r="Q690" s="30">
        <v>2006</v>
      </c>
      <c r="R690" s="30">
        <v>2006</v>
      </c>
      <c r="S690" s="30">
        <v>1158</v>
      </c>
      <c r="T690" s="38">
        <v>1332</v>
      </c>
      <c r="U690" s="32"/>
      <c r="V690" s="32"/>
      <c r="W690" s="32"/>
      <c r="X690" s="32">
        <f>Inventory[[#This Row],[Bsmt Area]]-Inventory[[#This Row],[FnBsmt]]</f>
        <v>0</v>
      </c>
      <c r="Y690" s="32">
        <f>Inventory[[#This Row],[MainFn]]+Inventory[[#This Row],[UpprFn]]+Inventory[[#This Row],[AddFn]]+Inventory[[#This Row],[FnBsmt]]</f>
        <v>2490</v>
      </c>
      <c r="Z690" s="32">
        <v>2500</v>
      </c>
      <c r="AA690" s="31" t="s">
        <v>56</v>
      </c>
      <c r="AB690" s="32"/>
      <c r="AC690" s="37"/>
      <c r="AD690" s="38">
        <v>502</v>
      </c>
      <c r="AE690" s="32"/>
      <c r="AF690" s="32"/>
      <c r="AG690" s="32"/>
      <c r="AH690" s="32"/>
      <c r="AI690" s="30">
        <v>492443</v>
      </c>
      <c r="AJ690" s="30">
        <v>453048</v>
      </c>
      <c r="AK690" s="30">
        <v>0</v>
      </c>
      <c r="AL690" s="30">
        <v>0</v>
      </c>
      <c r="AM690" s="30">
        <v>61700</v>
      </c>
      <c r="AN690" s="30">
        <v>368200</v>
      </c>
      <c r="AO690" s="30">
        <v>429900</v>
      </c>
      <c r="AP690" s="30">
        <f>Lookups!$B$58*0.6</f>
        <v>132535.48800000001</v>
      </c>
      <c r="AQ690" s="30">
        <f>Lookups!$B$58*0.4</f>
        <v>88356.992000000013</v>
      </c>
      <c r="AR690" s="30">
        <f>Lookups!$B$59*Inventory[[#This Row],[LnAcres]]</f>
        <v>-23255.730391660189</v>
      </c>
      <c r="AS690" s="30">
        <f>VLOOKUP(Inventory[[#This Row],[Qlty]],Lookups!$A$66:$E$79,2,FALSE)</f>
        <v>32917.849192000001</v>
      </c>
      <c r="AT690" s="30">
        <f>VLOOKUP(Inventory[[#This Row],[Cnd]],Lookups!$A$80:$E$88,2,FALSE)</f>
        <v>50438.379078999998</v>
      </c>
      <c r="AU690" s="30">
        <f>Inventory[[#This Row],[EffAge]]*Lookups!$B$65</f>
        <v>-1957.3398</v>
      </c>
      <c r="AV690" s="30">
        <f>Inventory[[#This Row],[MainFn]]*Lookups!$B$90</f>
        <v>72271.22004</v>
      </c>
      <c r="AW690" s="30">
        <f>Inventory[[#This Row],[UpprFn]]*Lookups!$B$91</f>
        <v>79361.070156000002</v>
      </c>
      <c r="AX690" s="30">
        <f>Inventory[[#This Row],[Bsmt Area]]*Lookups!$B$95</f>
        <v>0</v>
      </c>
      <c r="AY690" s="30">
        <f>Inventory[[#This Row],[AttGar]]*Lookups!$B$93</f>
        <v>0</v>
      </c>
      <c r="AZ690" s="30">
        <f>ROUND(Inventory[[#This Row],[25Det]],-2)</f>
        <v>0</v>
      </c>
      <c r="BA690" s="30">
        <f>ROUND(SUM(Inventory[[#This Row],[Mdl Qlty]:[Mdl Garage Area]])+Inventory[[#This Row],[Mdl Res Intercept]],-2)</f>
        <v>365600</v>
      </c>
      <c r="BB690" s="30">
        <f>ROUND(Inventory[[#This Row],[Mdl Land Intercept]]+Inventory[[#This Row],[Mdl LnAcres]],-2)</f>
        <v>65100</v>
      </c>
      <c r="BC690" s="30">
        <f>Inventory[[#This Row],[Unadj Res Value]]+Inventory[[#This Row],[Unadj Det Value]]+Inventory[[#This Row],[Unadj Land Value]]</f>
        <v>430700</v>
      </c>
      <c r="BD690" s="30">
        <f>(Inventory[[#This Row],[Unadj Total Value]]-Inventory[[#This Row],[24Final]])/Inventory[[#This Row],[24Final]]</f>
        <v>1.8608978832286578E-3</v>
      </c>
      <c r="BE690" s="30">
        <f>VLOOKUP(Inventory[[#This Row],[Nbhd]],Lookups!$M$3:$P$5,4,FALSE)</f>
        <v>0.99970000000000003</v>
      </c>
      <c r="BF690" s="30">
        <f>VLOOKUP(Inventory[[#This Row],[Qlty]],Lookups!$M$8:$P$22,4,FALSE)</f>
        <v>1.0019</v>
      </c>
      <c r="BG690" s="30">
        <f>VLOOKUP(Inventory[[#This Row],[Cnd]],Lookups!$R$8:$U$17,4,FALSE)</f>
        <v>1.0007999999999999</v>
      </c>
      <c r="BH690" s="30">
        <f>VLOOKUP(Inventory[[#This Row],[LivArea Range]],Lookups!$R$25:$U$43,4,FALSE)</f>
        <v>1.0008999999999999</v>
      </c>
      <c r="BI690" s="30">
        <f>VLOOKUP(Inventory[[#This Row],[Decade]],Lookups!$M$24:$P$40,4,FALSE)</f>
        <v>1.0024</v>
      </c>
      <c r="BJ690" s="30">
        <f>Inventory[[#This Row],[Nbhd Adj]]*0.95</f>
        <v>0.94971499999999998</v>
      </c>
      <c r="BK690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690" s="30">
        <f>ROUND((SUM(Inventory[[#This Row],[Mdl Qlty]:[Mdl Garage Area]])+Inventory[[#This Row],[Mdl Res Intercept]])*Inventory[[#This Row],[Res Adj ]],-2)</f>
        <v>347700</v>
      </c>
      <c r="BM690" s="30">
        <f>ROUND(Inventory[[#This Row],[25Det]]*Inventory[[#This Row],[Det/Nbhd Adj]],-2)</f>
        <v>0</v>
      </c>
      <c r="BN690" s="30">
        <f>Inventory[[#This Row],[Adjusted Res]]+Inventory[[#This Row],[Adj Det ]]</f>
        <v>347700</v>
      </c>
      <c r="BO690" s="30">
        <f>ROUND((Inventory[[#This Row],[Mdl Land Intercept]]+Inventory[[#This Row],[Mdl LnAcres]])*Inventory[[#This Row],[Det/Nbhd Adj]],-2)</f>
        <v>61800</v>
      </c>
      <c r="BP690" s="30">
        <f>Inventory[[#This Row],[Adjusted Impr Total]]+Inventory[[#This Row],[Adjusted Land Total]]</f>
        <v>409500</v>
      </c>
      <c r="BQ690" s="30">
        <f>IFERROR((Inventory[[#This Row],[Adjusted Impr Total]]-Inventory[[#This Row],[24Bldg]])/Inventory[[#This Row],[24Bldg]],0)</f>
        <v>-5.5676262900597503E-2</v>
      </c>
      <c r="BR690" s="43">
        <f>(Inventory[[#This Row],[Adjusted Land Total]]-Inventory[[#This Row],[24Lnd]])/Inventory[[#This Row],[24Lnd]]</f>
        <v>1.6207455429497568E-3</v>
      </c>
      <c r="BS690" s="43">
        <f>(Inventory[[#This Row],[Adjusted Total]]-Inventory[[#This Row],[24Final]])/Inventory[[#This Row],[24Final]]</f>
        <v>-4.7452896022330777E-2</v>
      </c>
    </row>
    <row r="691" spans="1:71">
      <c r="A691" s="30">
        <v>2025</v>
      </c>
      <c r="B691" s="31" t="s">
        <v>1206</v>
      </c>
      <c r="C691" s="31">
        <f>LN(Inventory[[#This Row],[Acres]])</f>
        <v>-1.7719568419318752</v>
      </c>
      <c r="D691" s="30">
        <v>0.17</v>
      </c>
      <c r="E691" s="30">
        <v>7275</v>
      </c>
      <c r="F691" s="31" t="s">
        <v>505</v>
      </c>
      <c r="G691" s="31" t="s">
        <v>155</v>
      </c>
      <c r="H691" s="31" t="s">
        <v>5</v>
      </c>
      <c r="I691" s="31" t="s">
        <v>506</v>
      </c>
      <c r="J691" s="31" t="s">
        <v>507</v>
      </c>
      <c r="K691" s="31" t="s">
        <v>157</v>
      </c>
      <c r="L691" s="31" t="s">
        <v>21</v>
      </c>
      <c r="M691" s="31" t="s">
        <v>22</v>
      </c>
      <c r="N691" s="31">
        <v>10</v>
      </c>
      <c r="O691" s="31">
        <f>2024-Inventory[[#This Row],[YrBlt]]</f>
        <v>18</v>
      </c>
      <c r="P691" s="31">
        <f>2024-Inventory[[#This Row],[EffYr]]</f>
        <v>18</v>
      </c>
      <c r="Q691" s="30">
        <v>2006</v>
      </c>
      <c r="R691" s="30">
        <v>2006</v>
      </c>
      <c r="S691" s="30">
        <v>1374</v>
      </c>
      <c r="T691" s="30">
        <v>1332</v>
      </c>
      <c r="U691" s="32"/>
      <c r="V691" s="32"/>
      <c r="W691" s="32"/>
      <c r="X691" s="32">
        <f>Inventory[[#This Row],[Bsmt Area]]-Inventory[[#This Row],[FnBsmt]]</f>
        <v>0</v>
      </c>
      <c r="Y691" s="32">
        <f>Inventory[[#This Row],[MainFn]]+Inventory[[#This Row],[UpprFn]]+Inventory[[#This Row],[AddFn]]+Inventory[[#This Row],[FnBsmt]]</f>
        <v>2706</v>
      </c>
      <c r="Z691" s="32">
        <v>3000</v>
      </c>
      <c r="AA691" s="31" t="s">
        <v>56</v>
      </c>
      <c r="AB691" s="37"/>
      <c r="AC691" s="30">
        <v>240</v>
      </c>
      <c r="AD691" s="38">
        <v>502</v>
      </c>
      <c r="AE691" s="32"/>
      <c r="AF691" s="32"/>
      <c r="AG691" s="32"/>
      <c r="AH691" s="32"/>
      <c r="AI691" s="30">
        <v>525982</v>
      </c>
      <c r="AJ691" s="30">
        <v>483903</v>
      </c>
      <c r="AK691" s="30">
        <v>0</v>
      </c>
      <c r="AL691" s="30">
        <v>0</v>
      </c>
      <c r="AM691" s="30">
        <v>61700</v>
      </c>
      <c r="AN691" s="30">
        <v>389100</v>
      </c>
      <c r="AO691" s="30">
        <v>450800</v>
      </c>
      <c r="AP691" s="30">
        <f>Lookups!$B$58*0.6</f>
        <v>132535.48800000001</v>
      </c>
      <c r="AQ691" s="30">
        <f>Lookups!$B$58*0.4</f>
        <v>88356.992000000013</v>
      </c>
      <c r="AR691" s="30">
        <f>Lookups!$B$59*Inventory[[#This Row],[LnAcres]]</f>
        <v>-23255.730391660189</v>
      </c>
      <c r="AS691" s="30">
        <f>VLOOKUP(Inventory[[#This Row],[Qlty]],Lookups!$A$66:$E$79,2,FALSE)</f>
        <v>32917.849192000001</v>
      </c>
      <c r="AT691" s="30">
        <f>VLOOKUP(Inventory[[#This Row],[Cnd]],Lookups!$A$80:$E$88,2,FALSE)</f>
        <v>50438.379078999998</v>
      </c>
      <c r="AU691" s="30">
        <f>Inventory[[#This Row],[EffAge]]*Lookups!$B$65</f>
        <v>-1957.3398</v>
      </c>
      <c r="AV691" s="30">
        <f>Inventory[[#This Row],[MainFn]]*Lookups!$B$90</f>
        <v>85751.862120000005</v>
      </c>
      <c r="AW691" s="30">
        <f>Inventory[[#This Row],[UpprFn]]*Lookups!$B$91</f>
        <v>79361.070156000002</v>
      </c>
      <c r="AX691" s="30">
        <f>Inventory[[#This Row],[Bsmt Area]]*Lookups!$B$95</f>
        <v>0</v>
      </c>
      <c r="AY691" s="30">
        <f>Inventory[[#This Row],[AttGar]]*Lookups!$B$93</f>
        <v>8472.247440000001</v>
      </c>
      <c r="AZ691" s="30">
        <f>ROUND(Inventory[[#This Row],[25Det]],-2)</f>
        <v>0</v>
      </c>
      <c r="BA691" s="30">
        <f>ROUND(SUM(Inventory[[#This Row],[Mdl Qlty]:[Mdl Garage Area]])+Inventory[[#This Row],[Mdl Res Intercept]],-2)</f>
        <v>387500</v>
      </c>
      <c r="BB691" s="30">
        <f>ROUND(Inventory[[#This Row],[Mdl Land Intercept]]+Inventory[[#This Row],[Mdl LnAcres]],-2)</f>
        <v>65100</v>
      </c>
      <c r="BC691" s="30">
        <f>Inventory[[#This Row],[Unadj Res Value]]+Inventory[[#This Row],[Unadj Det Value]]+Inventory[[#This Row],[Unadj Land Value]]</f>
        <v>452600</v>
      </c>
      <c r="BD691" s="30">
        <f>(Inventory[[#This Row],[Unadj Total Value]]-Inventory[[#This Row],[24Final]])/Inventory[[#This Row],[24Final]]</f>
        <v>3.9929015084294583E-3</v>
      </c>
      <c r="BE691" s="30">
        <f>VLOOKUP(Inventory[[#This Row],[Nbhd]],Lookups!$M$3:$P$5,4,FALSE)</f>
        <v>0.99970000000000003</v>
      </c>
      <c r="BF691" s="30">
        <f>VLOOKUP(Inventory[[#This Row],[Qlty]],Lookups!$M$8:$P$22,4,FALSE)</f>
        <v>1.0019</v>
      </c>
      <c r="BG691" s="30">
        <f>VLOOKUP(Inventory[[#This Row],[Cnd]],Lookups!$R$8:$U$17,4,FALSE)</f>
        <v>1.0007999999999999</v>
      </c>
      <c r="BH691" s="30">
        <f>VLOOKUP(Inventory[[#This Row],[LivArea Range]],Lookups!$R$25:$U$43,4,FALSE)</f>
        <v>1.0099</v>
      </c>
      <c r="BI691" s="30">
        <f>VLOOKUP(Inventory[[#This Row],[Decade]],Lookups!$M$24:$P$40,4,FALSE)</f>
        <v>1.0024</v>
      </c>
      <c r="BJ691" s="30">
        <f>Inventory[[#This Row],[Nbhd Adj]]*0.95</f>
        <v>0.94971499999999998</v>
      </c>
      <c r="BK691" s="30">
        <f>AVERAGE(Inventory[[#This Row],[Nbhd Adj]],Inventory[[#This Row],[Quality Adj]],Inventory[[#This Row],[Condition Adj]],Inventory[[#This Row],[Living Area Adj]],Inventory[[#This Row],[Decade Adj]])*0.95</f>
        <v>0.95279299999999989</v>
      </c>
      <c r="BL691" s="30">
        <f>ROUND((SUM(Inventory[[#This Row],[Mdl Qlty]:[Mdl Garage Area]])+Inventory[[#This Row],[Mdl Res Intercept]])*Inventory[[#This Row],[Res Adj ]],-2)</f>
        <v>369200</v>
      </c>
      <c r="BM691" s="30">
        <f>ROUND(Inventory[[#This Row],[25Det]]*Inventory[[#This Row],[Det/Nbhd Adj]],-2)</f>
        <v>0</v>
      </c>
      <c r="BN691" s="30">
        <f>Inventory[[#This Row],[Adjusted Res]]+Inventory[[#This Row],[Adj Det ]]</f>
        <v>369200</v>
      </c>
      <c r="BO691" s="30">
        <f>ROUND((Inventory[[#This Row],[Mdl Land Intercept]]+Inventory[[#This Row],[Mdl LnAcres]])*Inventory[[#This Row],[Det/Nbhd Adj]],-2)</f>
        <v>61800</v>
      </c>
      <c r="BP691" s="30">
        <f>Inventory[[#This Row],[Adjusted Impr Total]]+Inventory[[#This Row],[Adjusted Land Total]]</f>
        <v>431000</v>
      </c>
      <c r="BQ691" s="30">
        <f>IFERROR((Inventory[[#This Row],[Adjusted Impr Total]]-Inventory[[#This Row],[24Bldg]])/Inventory[[#This Row],[24Bldg]],0)</f>
        <v>-5.1143664867643282E-2</v>
      </c>
      <c r="BR691" s="43">
        <f>(Inventory[[#This Row],[Adjusted Land Total]]-Inventory[[#This Row],[24Lnd]])/Inventory[[#This Row],[24Lnd]]</f>
        <v>1.6207455429497568E-3</v>
      </c>
      <c r="BS691" s="43">
        <f>(Inventory[[#This Row],[Adjusted Total]]-Inventory[[#This Row],[24Final]])/Inventory[[#This Row],[24Final]]</f>
        <v>-4.3921916592724049E-2</v>
      </c>
    </row>
    <row r="692" spans="1:71">
      <c r="A692" s="30">
        <v>2025</v>
      </c>
      <c r="B692" s="31" t="s">
        <v>1207</v>
      </c>
      <c r="C692" s="31">
        <f>LN(Inventory[[#This Row],[Acres]])</f>
        <v>-1.7719568419318752</v>
      </c>
      <c r="D692" s="30">
        <v>0.17</v>
      </c>
      <c r="E692" s="30">
        <v>7275</v>
      </c>
      <c r="F692" s="31" t="s">
        <v>505</v>
      </c>
      <c r="G692" s="31" t="s">
        <v>155</v>
      </c>
      <c r="H692" s="31" t="s">
        <v>5</v>
      </c>
      <c r="I692" s="31" t="s">
        <v>506</v>
      </c>
      <c r="J692" s="31" t="s">
        <v>507</v>
      </c>
      <c r="K692" s="31" t="s">
        <v>157</v>
      </c>
      <c r="L692" s="31" t="s">
        <v>21</v>
      </c>
      <c r="M692" s="31" t="s">
        <v>22</v>
      </c>
      <c r="N692" s="31">
        <v>10</v>
      </c>
      <c r="O692" s="31">
        <f>2024-Inventory[[#This Row],[YrBlt]]</f>
        <v>18</v>
      </c>
      <c r="P692" s="31">
        <f>2024-Inventory[[#This Row],[EffYr]]</f>
        <v>18</v>
      </c>
      <c r="Q692" s="30">
        <v>2006</v>
      </c>
      <c r="R692" s="30">
        <v>2006</v>
      </c>
      <c r="S692" s="30">
        <v>1374</v>
      </c>
      <c r="T692" s="38">
        <v>1332</v>
      </c>
      <c r="U692" s="32"/>
      <c r="V692" s="32"/>
      <c r="W692" s="32"/>
      <c r="X692" s="32">
        <f>Inventory[[#This Row],[Bsmt Area]]-Inventory[[#This Row],[FnBsmt]]</f>
        <v>0</v>
      </c>
      <c r="Y692" s="32">
        <f>Inventory[[#This Row],[MainFn]]+Inventory[[#This Row],[UpprFn]]+Inventory[[#This Row],[AddFn]]+Inventory[[#This Row],[FnBsmt]]</f>
        <v>2706</v>
      </c>
      <c r="Z692" s="32">
        <v>3000</v>
      </c>
      <c r="AA692" s="31" t="s">
        <v>56</v>
      </c>
      <c r="AB692" s="32"/>
      <c r="AC692" s="30">
        <v>240</v>
      </c>
      <c r="AD692" s="38">
        <v>502</v>
      </c>
      <c r="AE692" s="32"/>
      <c r="AF692" s="32"/>
      <c r="AG692" s="32"/>
      <c r="AH692" s="32"/>
      <c r="AI692" s="30">
        <v>543135</v>
      </c>
      <c r="AJ692" s="30">
        <v>499684</v>
      </c>
      <c r="AK692" s="30">
        <v>0</v>
      </c>
      <c r="AL692" s="30">
        <v>0</v>
      </c>
      <c r="AM692" s="30">
        <v>61700</v>
      </c>
      <c r="AN692" s="30">
        <v>389100</v>
      </c>
      <c r="AO692" s="30">
        <v>450800</v>
      </c>
      <c r="AP692" s="30">
        <f>Lookups!$B$58*0.6</f>
        <v>132535.48800000001</v>
      </c>
      <c r="AQ692" s="30">
        <f>Lookups!$B$58*0.4</f>
        <v>88356.992000000013</v>
      </c>
      <c r="AR692" s="30">
        <f>Lookups!$B$59*Inventory[[#This Row],[LnAcres]]</f>
        <v>-23255.730391660189</v>
      </c>
      <c r="AS692" s="30">
        <f>VLOOKUP(Inventory[[#This Row],[Qlty]],Lookups!$A$66:$E$79,2,FALSE)</f>
        <v>32917.849192000001</v>
      </c>
      <c r="AT692" s="30">
        <f>VLOOKUP(Inventory[[#This Row],[Cnd]],Lookups!$A$80:$E$88,2,FALSE)</f>
        <v>50438.379078999998</v>
      </c>
      <c r="AU692" s="30">
        <f>Inventory[[#This Row],[EffAge]]*Lookups!$B$65</f>
        <v>-1957.3398</v>
      </c>
      <c r="AV692" s="30">
        <f>Inventory[[#This Row],[MainFn]]*Lookups!$B$90</f>
        <v>85751.862120000005</v>
      </c>
      <c r="AW692" s="30">
        <f>Inventory[[#This Row],[UpprFn]]*Lookups!$B$91</f>
        <v>79361.070156000002</v>
      </c>
      <c r="AX692" s="30">
        <f>Inventory[[#This Row],[Bsmt Area]]*Lookups!$B$95</f>
        <v>0</v>
      </c>
      <c r="AY692" s="30">
        <f>Inventory[[#This Row],[AttGar]]*Lookups!$B$93</f>
        <v>8472.247440000001</v>
      </c>
      <c r="AZ692" s="30">
        <f>ROUND(Inventory[[#This Row],[25Det]],-2)</f>
        <v>0</v>
      </c>
      <c r="BA692" s="30">
        <f>ROUND(SUM(Inventory[[#This Row],[Mdl Qlty]:[Mdl Garage Area]])+Inventory[[#This Row],[Mdl Res Intercept]],-2)</f>
        <v>387500</v>
      </c>
      <c r="BB692" s="30">
        <f>ROUND(Inventory[[#This Row],[Mdl Land Intercept]]+Inventory[[#This Row],[Mdl LnAcres]],-2)</f>
        <v>65100</v>
      </c>
      <c r="BC692" s="30">
        <f>Inventory[[#This Row],[Unadj Res Value]]+Inventory[[#This Row],[Unadj Det Value]]+Inventory[[#This Row],[Unadj Land Value]]</f>
        <v>452600</v>
      </c>
      <c r="BD692" s="30">
        <f>(Inventory[[#This Row],[Unadj Total Value]]-Inventory[[#This Row],[24Final]])/Inventory[[#This Row],[24Final]]</f>
        <v>3.9929015084294583E-3</v>
      </c>
      <c r="BE692" s="30">
        <f>VLOOKUP(Inventory[[#This Row],[Nbhd]],Lookups!$M$3:$P$5,4,FALSE)</f>
        <v>0.99970000000000003</v>
      </c>
      <c r="BF692" s="30">
        <f>VLOOKUP(Inventory[[#This Row],[Qlty]],Lookups!$M$8:$P$22,4,FALSE)</f>
        <v>1.0019</v>
      </c>
      <c r="BG692" s="30">
        <f>VLOOKUP(Inventory[[#This Row],[Cnd]],Lookups!$R$8:$U$17,4,FALSE)</f>
        <v>1.0007999999999999</v>
      </c>
      <c r="BH692" s="30">
        <f>VLOOKUP(Inventory[[#This Row],[LivArea Range]],Lookups!$R$25:$U$43,4,FALSE)</f>
        <v>1.0099</v>
      </c>
      <c r="BI692" s="30">
        <f>VLOOKUP(Inventory[[#This Row],[Decade]],Lookups!$M$24:$P$40,4,FALSE)</f>
        <v>1.0024</v>
      </c>
      <c r="BJ692" s="30">
        <f>Inventory[[#This Row],[Nbhd Adj]]*0.95</f>
        <v>0.94971499999999998</v>
      </c>
      <c r="BK692" s="30">
        <f>AVERAGE(Inventory[[#This Row],[Nbhd Adj]],Inventory[[#This Row],[Quality Adj]],Inventory[[#This Row],[Condition Adj]],Inventory[[#This Row],[Living Area Adj]],Inventory[[#This Row],[Decade Adj]])*0.95</f>
        <v>0.95279299999999989</v>
      </c>
      <c r="BL692" s="30">
        <f>ROUND((SUM(Inventory[[#This Row],[Mdl Qlty]:[Mdl Garage Area]])+Inventory[[#This Row],[Mdl Res Intercept]])*Inventory[[#This Row],[Res Adj ]],-2)</f>
        <v>369200</v>
      </c>
      <c r="BM692" s="30">
        <f>ROUND(Inventory[[#This Row],[25Det]]*Inventory[[#This Row],[Det/Nbhd Adj]],-2)</f>
        <v>0</v>
      </c>
      <c r="BN692" s="30">
        <f>Inventory[[#This Row],[Adjusted Res]]+Inventory[[#This Row],[Adj Det ]]</f>
        <v>369200</v>
      </c>
      <c r="BO692" s="30">
        <f>ROUND((Inventory[[#This Row],[Mdl Land Intercept]]+Inventory[[#This Row],[Mdl LnAcres]])*Inventory[[#This Row],[Det/Nbhd Adj]],-2)</f>
        <v>61800</v>
      </c>
      <c r="BP692" s="30">
        <f>Inventory[[#This Row],[Adjusted Impr Total]]+Inventory[[#This Row],[Adjusted Land Total]]</f>
        <v>431000</v>
      </c>
      <c r="BQ692" s="30">
        <f>IFERROR((Inventory[[#This Row],[Adjusted Impr Total]]-Inventory[[#This Row],[24Bldg]])/Inventory[[#This Row],[24Bldg]],0)</f>
        <v>-5.1143664867643282E-2</v>
      </c>
      <c r="BR692" s="43">
        <f>(Inventory[[#This Row],[Adjusted Land Total]]-Inventory[[#This Row],[24Lnd]])/Inventory[[#This Row],[24Lnd]]</f>
        <v>1.6207455429497568E-3</v>
      </c>
      <c r="BS692" s="43">
        <f>(Inventory[[#This Row],[Adjusted Total]]-Inventory[[#This Row],[24Final]])/Inventory[[#This Row],[24Final]]</f>
        <v>-4.3921916592724049E-2</v>
      </c>
    </row>
    <row r="693" spans="1:71">
      <c r="A693" s="30">
        <v>2025</v>
      </c>
      <c r="B693" s="31" t="s">
        <v>1208</v>
      </c>
      <c r="C693" s="31">
        <f>LN(Inventory[[#This Row],[Acres]])</f>
        <v>-1.7719568419318752</v>
      </c>
      <c r="D693" s="30">
        <v>0.17</v>
      </c>
      <c r="E693" s="30">
        <v>7521</v>
      </c>
      <c r="F693" s="31" t="s">
        <v>505</v>
      </c>
      <c r="G693" s="31" t="s">
        <v>155</v>
      </c>
      <c r="H693" s="31" t="s">
        <v>5</v>
      </c>
      <c r="I693" s="31" t="s">
        <v>506</v>
      </c>
      <c r="J693" s="31" t="s">
        <v>507</v>
      </c>
      <c r="K693" s="31" t="s">
        <v>157</v>
      </c>
      <c r="L693" s="31" t="s">
        <v>21</v>
      </c>
      <c r="M693" s="31" t="s">
        <v>20</v>
      </c>
      <c r="N693" s="31">
        <v>10</v>
      </c>
      <c r="O693" s="31">
        <f>2024-Inventory[[#This Row],[YrBlt]]</f>
        <v>18</v>
      </c>
      <c r="P693" s="31">
        <f>2024-Inventory[[#This Row],[EffYr]]</f>
        <v>18</v>
      </c>
      <c r="Q693" s="30">
        <v>2006</v>
      </c>
      <c r="R693" s="30">
        <v>2006</v>
      </c>
      <c r="S693" s="30">
        <v>1040</v>
      </c>
      <c r="T693" s="30">
        <v>1040</v>
      </c>
      <c r="U693" s="32"/>
      <c r="V693" s="32"/>
      <c r="W693" s="32"/>
      <c r="X693" s="32">
        <f>Inventory[[#This Row],[Bsmt Area]]-Inventory[[#This Row],[FnBsmt]]</f>
        <v>0</v>
      </c>
      <c r="Y693" s="32">
        <f>Inventory[[#This Row],[MainFn]]+Inventory[[#This Row],[UpprFn]]+Inventory[[#This Row],[AddFn]]+Inventory[[#This Row],[FnBsmt]]</f>
        <v>2080</v>
      </c>
      <c r="Z693" s="32">
        <v>2500</v>
      </c>
      <c r="AA693" s="31" t="s">
        <v>56</v>
      </c>
      <c r="AB693" s="32"/>
      <c r="AC693" s="30">
        <v>716</v>
      </c>
      <c r="AD693" s="32"/>
      <c r="AE693" s="32"/>
      <c r="AF693" s="32"/>
      <c r="AG693" s="32"/>
      <c r="AH693" s="32"/>
      <c r="AI693" s="30">
        <v>439631</v>
      </c>
      <c r="AJ693" s="30">
        <v>400064</v>
      </c>
      <c r="AK693" s="30">
        <v>0</v>
      </c>
      <c r="AL693" s="30">
        <v>0</v>
      </c>
      <c r="AM693" s="30">
        <v>61700</v>
      </c>
      <c r="AN693" s="30">
        <v>344000</v>
      </c>
      <c r="AO693" s="30">
        <v>405700</v>
      </c>
      <c r="AP693" s="30">
        <f>Lookups!$B$58*0.6</f>
        <v>132535.48800000001</v>
      </c>
      <c r="AQ693" s="30">
        <f>Lookups!$B$58*0.4</f>
        <v>88356.992000000013</v>
      </c>
      <c r="AR693" s="30">
        <f>Lookups!$B$59*Inventory[[#This Row],[LnAcres]]</f>
        <v>-23255.730391660189</v>
      </c>
      <c r="AS693" s="30">
        <f>VLOOKUP(Inventory[[#This Row],[Qlty]],Lookups!$A$66:$E$79,2,FALSE)</f>
        <v>32917.849192000001</v>
      </c>
      <c r="AT693" s="30">
        <f>VLOOKUP(Inventory[[#This Row],[Cnd]],Lookups!$A$80:$E$88,2,FALSE)</f>
        <v>30300.329274</v>
      </c>
      <c r="AU693" s="30">
        <f>Inventory[[#This Row],[EffAge]]*Lookups!$B$65</f>
        <v>-1957.3398</v>
      </c>
      <c r="AV693" s="30">
        <f>Inventory[[#This Row],[MainFn]]*Lookups!$B$90</f>
        <v>64906.7952</v>
      </c>
      <c r="AW693" s="30">
        <f>Inventory[[#This Row],[UpprFn]]*Lookups!$B$91</f>
        <v>61963.598319999997</v>
      </c>
      <c r="AX693" s="30">
        <f>Inventory[[#This Row],[Bsmt Area]]*Lookups!$B$95</f>
        <v>0</v>
      </c>
      <c r="AY693" s="30">
        <f>Inventory[[#This Row],[AttGar]]*Lookups!$B$93</f>
        <v>25275.538196000001</v>
      </c>
      <c r="AZ693" s="30">
        <f>ROUND(Inventory[[#This Row],[25Det]],-2)</f>
        <v>0</v>
      </c>
      <c r="BA693" s="30">
        <f>ROUND(SUM(Inventory[[#This Row],[Mdl Qlty]:[Mdl Garage Area]])+Inventory[[#This Row],[Mdl Res Intercept]],-2)</f>
        <v>345900</v>
      </c>
      <c r="BB693" s="30">
        <f>ROUND(Inventory[[#This Row],[Mdl Land Intercept]]+Inventory[[#This Row],[Mdl LnAcres]],-2)</f>
        <v>65100</v>
      </c>
      <c r="BC693" s="30">
        <f>Inventory[[#This Row],[Unadj Res Value]]+Inventory[[#This Row],[Unadj Det Value]]+Inventory[[#This Row],[Unadj Land Value]]</f>
        <v>411000</v>
      </c>
      <c r="BD693" s="30">
        <f>(Inventory[[#This Row],[Unadj Total Value]]-Inventory[[#This Row],[24Final]])/Inventory[[#This Row],[24Final]]</f>
        <v>1.3063840276066059E-2</v>
      </c>
      <c r="BE693" s="30">
        <f>VLOOKUP(Inventory[[#This Row],[Nbhd]],Lookups!$M$3:$P$5,4,FALSE)</f>
        <v>0.99970000000000003</v>
      </c>
      <c r="BF693" s="30">
        <f>VLOOKUP(Inventory[[#This Row],[Qlty]],Lookups!$M$8:$P$22,4,FALSE)</f>
        <v>1.0019</v>
      </c>
      <c r="BG693" s="30">
        <f>VLOOKUP(Inventory[[#This Row],[Cnd]],Lookups!$R$8:$U$17,4,FALSE)</f>
        <v>0.997</v>
      </c>
      <c r="BH693" s="30">
        <f>VLOOKUP(Inventory[[#This Row],[LivArea Range]],Lookups!$R$25:$U$43,4,FALSE)</f>
        <v>1.0008999999999999</v>
      </c>
      <c r="BI693" s="30">
        <f>VLOOKUP(Inventory[[#This Row],[Decade]],Lookups!$M$24:$P$40,4,FALSE)</f>
        <v>1.0024</v>
      </c>
      <c r="BJ693" s="30">
        <f>Inventory[[#This Row],[Nbhd Adj]]*0.95</f>
        <v>0.94971499999999998</v>
      </c>
      <c r="BK693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693" s="30">
        <f>ROUND((SUM(Inventory[[#This Row],[Mdl Qlty]:[Mdl Garage Area]])+Inventory[[#This Row],[Mdl Res Intercept]])*Inventory[[#This Row],[Res Adj ]],-2)</f>
        <v>328800</v>
      </c>
      <c r="BM693" s="30">
        <f>ROUND(Inventory[[#This Row],[25Det]]*Inventory[[#This Row],[Det/Nbhd Adj]],-2)</f>
        <v>0</v>
      </c>
      <c r="BN693" s="30">
        <f>Inventory[[#This Row],[Adjusted Res]]+Inventory[[#This Row],[Adj Det ]]</f>
        <v>328800</v>
      </c>
      <c r="BO693" s="30">
        <f>ROUND((Inventory[[#This Row],[Mdl Land Intercept]]+Inventory[[#This Row],[Mdl LnAcres]])*Inventory[[#This Row],[Det/Nbhd Adj]],-2)</f>
        <v>61800</v>
      </c>
      <c r="BP693" s="30">
        <f>Inventory[[#This Row],[Adjusted Impr Total]]+Inventory[[#This Row],[Adjusted Land Total]]</f>
        <v>390600</v>
      </c>
      <c r="BQ693" s="30">
        <f>IFERROR((Inventory[[#This Row],[Adjusted Impr Total]]-Inventory[[#This Row],[24Bldg]])/Inventory[[#This Row],[24Bldg]],0)</f>
        <v>-4.4186046511627906E-2</v>
      </c>
      <c r="BR693" s="43">
        <f>(Inventory[[#This Row],[Adjusted Land Total]]-Inventory[[#This Row],[24Lnd]])/Inventory[[#This Row],[24Lnd]]</f>
        <v>1.6207455429497568E-3</v>
      </c>
      <c r="BS693" s="43">
        <f>(Inventory[[#This Row],[Adjusted Total]]-Inventory[[#This Row],[24Final]])/Inventory[[#This Row],[24Final]]</f>
        <v>-3.7219620409169339E-2</v>
      </c>
    </row>
    <row r="694" spans="1:71">
      <c r="A694" s="30">
        <v>2025</v>
      </c>
      <c r="B694" s="31" t="s">
        <v>1209</v>
      </c>
      <c r="C694" s="31">
        <f>LN(Inventory[[#This Row],[Acres]])</f>
        <v>-1.7147984280919266</v>
      </c>
      <c r="D694" s="30">
        <v>0.18</v>
      </c>
      <c r="E694" s="30">
        <v>7630</v>
      </c>
      <c r="F694" s="31" t="s">
        <v>505</v>
      </c>
      <c r="G694" s="31" t="s">
        <v>155</v>
      </c>
      <c r="H694" s="31" t="s">
        <v>5</v>
      </c>
      <c r="I694" s="31" t="s">
        <v>506</v>
      </c>
      <c r="J694" s="31" t="s">
        <v>507</v>
      </c>
      <c r="K694" s="31" t="s">
        <v>157</v>
      </c>
      <c r="L694" s="31" t="s">
        <v>21</v>
      </c>
      <c r="M694" s="31" t="s">
        <v>22</v>
      </c>
      <c r="N694" s="31">
        <v>10</v>
      </c>
      <c r="O694" s="31">
        <f>2024-Inventory[[#This Row],[YrBlt]]</f>
        <v>18</v>
      </c>
      <c r="P694" s="31">
        <f>2024-Inventory[[#This Row],[EffYr]]</f>
        <v>18</v>
      </c>
      <c r="Q694" s="30">
        <v>2006</v>
      </c>
      <c r="R694" s="30">
        <v>2006</v>
      </c>
      <c r="S694" s="30">
        <v>1374</v>
      </c>
      <c r="T694" s="38">
        <v>1332</v>
      </c>
      <c r="U694" s="32"/>
      <c r="V694" s="32"/>
      <c r="W694" s="32"/>
      <c r="X694" s="32">
        <f>Inventory[[#This Row],[Bsmt Area]]-Inventory[[#This Row],[FnBsmt]]</f>
        <v>0</v>
      </c>
      <c r="Y694" s="32">
        <f>Inventory[[#This Row],[MainFn]]+Inventory[[#This Row],[UpprFn]]+Inventory[[#This Row],[AddFn]]+Inventory[[#This Row],[FnBsmt]]</f>
        <v>2706</v>
      </c>
      <c r="Z694" s="32">
        <v>3000</v>
      </c>
      <c r="AA694" s="31" t="s">
        <v>56</v>
      </c>
      <c r="AB694" s="32"/>
      <c r="AC694" s="30">
        <v>240</v>
      </c>
      <c r="AD694" s="38">
        <v>502</v>
      </c>
      <c r="AE694" s="32"/>
      <c r="AF694" s="32"/>
      <c r="AG694" s="32"/>
      <c r="AH694" s="32"/>
      <c r="AI694" s="30">
        <v>525422</v>
      </c>
      <c r="AJ694" s="30">
        <v>483388</v>
      </c>
      <c r="AK694" s="30">
        <v>0</v>
      </c>
      <c r="AL694" s="30">
        <v>0</v>
      </c>
      <c r="AM694" s="30">
        <v>62500</v>
      </c>
      <c r="AN694" s="30">
        <v>389100</v>
      </c>
      <c r="AO694" s="30">
        <v>451600</v>
      </c>
      <c r="AP694" s="30">
        <f>Lookups!$B$58*0.6</f>
        <v>132535.48800000001</v>
      </c>
      <c r="AQ694" s="30">
        <f>Lookups!$B$58*0.4</f>
        <v>88356.992000000013</v>
      </c>
      <c r="AR694" s="30">
        <f>Lookups!$B$59*Inventory[[#This Row],[LnAcres]]</f>
        <v>-22505.565020573864</v>
      </c>
      <c r="AS694" s="30">
        <f>VLOOKUP(Inventory[[#This Row],[Qlty]],Lookups!$A$66:$E$79,2,FALSE)</f>
        <v>32917.849192000001</v>
      </c>
      <c r="AT694" s="30">
        <f>VLOOKUP(Inventory[[#This Row],[Cnd]],Lookups!$A$80:$E$88,2,FALSE)</f>
        <v>50438.379078999998</v>
      </c>
      <c r="AU694" s="30">
        <f>Inventory[[#This Row],[EffAge]]*Lookups!$B$65</f>
        <v>-1957.3398</v>
      </c>
      <c r="AV694" s="30">
        <f>Inventory[[#This Row],[MainFn]]*Lookups!$B$90</f>
        <v>85751.862120000005</v>
      </c>
      <c r="AW694" s="30">
        <f>Inventory[[#This Row],[UpprFn]]*Lookups!$B$91</f>
        <v>79361.070156000002</v>
      </c>
      <c r="AX694" s="30">
        <f>Inventory[[#This Row],[Bsmt Area]]*Lookups!$B$95</f>
        <v>0</v>
      </c>
      <c r="AY694" s="30">
        <f>Inventory[[#This Row],[AttGar]]*Lookups!$B$93</f>
        <v>8472.247440000001</v>
      </c>
      <c r="AZ694" s="30">
        <f>ROUND(Inventory[[#This Row],[25Det]],-2)</f>
        <v>0</v>
      </c>
      <c r="BA694" s="30">
        <f>ROUND(SUM(Inventory[[#This Row],[Mdl Qlty]:[Mdl Garage Area]])+Inventory[[#This Row],[Mdl Res Intercept]],-2)</f>
        <v>387500</v>
      </c>
      <c r="BB694" s="30">
        <f>ROUND(Inventory[[#This Row],[Mdl Land Intercept]]+Inventory[[#This Row],[Mdl LnAcres]],-2)</f>
        <v>65900</v>
      </c>
      <c r="BC694" s="30">
        <f>Inventory[[#This Row],[Unadj Res Value]]+Inventory[[#This Row],[Unadj Det Value]]+Inventory[[#This Row],[Unadj Land Value]]</f>
        <v>453400</v>
      </c>
      <c r="BD694" s="30">
        <f>(Inventory[[#This Row],[Unadj Total Value]]-Inventory[[#This Row],[24Final]])/Inventory[[#This Row],[24Final]]</f>
        <v>3.9858281665190436E-3</v>
      </c>
      <c r="BE694" s="30">
        <f>VLOOKUP(Inventory[[#This Row],[Nbhd]],Lookups!$M$3:$P$5,4,FALSE)</f>
        <v>0.99970000000000003</v>
      </c>
      <c r="BF694" s="30">
        <f>VLOOKUP(Inventory[[#This Row],[Qlty]],Lookups!$M$8:$P$22,4,FALSE)</f>
        <v>1.0019</v>
      </c>
      <c r="BG694" s="30">
        <f>VLOOKUP(Inventory[[#This Row],[Cnd]],Lookups!$R$8:$U$17,4,FALSE)</f>
        <v>1.0007999999999999</v>
      </c>
      <c r="BH694" s="30">
        <f>VLOOKUP(Inventory[[#This Row],[LivArea Range]],Lookups!$R$25:$U$43,4,FALSE)</f>
        <v>1.0099</v>
      </c>
      <c r="BI694" s="30">
        <f>VLOOKUP(Inventory[[#This Row],[Decade]],Lookups!$M$24:$P$40,4,FALSE)</f>
        <v>1.0024</v>
      </c>
      <c r="BJ694" s="30">
        <f>Inventory[[#This Row],[Nbhd Adj]]*0.95</f>
        <v>0.94971499999999998</v>
      </c>
      <c r="BK694" s="30">
        <f>AVERAGE(Inventory[[#This Row],[Nbhd Adj]],Inventory[[#This Row],[Quality Adj]],Inventory[[#This Row],[Condition Adj]],Inventory[[#This Row],[Living Area Adj]],Inventory[[#This Row],[Decade Adj]])*0.95</f>
        <v>0.95279299999999989</v>
      </c>
      <c r="BL694" s="30">
        <f>ROUND((SUM(Inventory[[#This Row],[Mdl Qlty]:[Mdl Garage Area]])+Inventory[[#This Row],[Mdl Res Intercept]])*Inventory[[#This Row],[Res Adj ]],-2)</f>
        <v>369200</v>
      </c>
      <c r="BM694" s="30">
        <f>ROUND(Inventory[[#This Row],[25Det]]*Inventory[[#This Row],[Det/Nbhd Adj]],-2)</f>
        <v>0</v>
      </c>
      <c r="BN694" s="30">
        <f>Inventory[[#This Row],[Adjusted Res]]+Inventory[[#This Row],[Adj Det ]]</f>
        <v>369200</v>
      </c>
      <c r="BO694" s="30">
        <f>ROUND((Inventory[[#This Row],[Mdl Land Intercept]]+Inventory[[#This Row],[Mdl LnAcres]])*Inventory[[#This Row],[Det/Nbhd Adj]],-2)</f>
        <v>62500</v>
      </c>
      <c r="BP694" s="30">
        <f>Inventory[[#This Row],[Adjusted Impr Total]]+Inventory[[#This Row],[Adjusted Land Total]]</f>
        <v>431700</v>
      </c>
      <c r="BQ694" s="30">
        <f>IFERROR((Inventory[[#This Row],[Adjusted Impr Total]]-Inventory[[#This Row],[24Bldg]])/Inventory[[#This Row],[24Bldg]],0)</f>
        <v>-5.1143664867643282E-2</v>
      </c>
      <c r="BR694" s="43">
        <f>(Inventory[[#This Row],[Adjusted Land Total]]-Inventory[[#This Row],[24Lnd]])/Inventory[[#This Row],[24Lnd]]</f>
        <v>0</v>
      </c>
      <c r="BS694" s="43">
        <f>(Inventory[[#This Row],[Adjusted Total]]-Inventory[[#This Row],[24Final]])/Inventory[[#This Row],[24Final]]</f>
        <v>-4.4065544729849422E-2</v>
      </c>
    </row>
    <row r="695" spans="1:71">
      <c r="A695" s="30">
        <v>2025</v>
      </c>
      <c r="B695" s="31" t="s">
        <v>1210</v>
      </c>
      <c r="C695" s="31">
        <f>LN(Inventory[[#This Row],[Acres]])</f>
        <v>-1.7147984280919266</v>
      </c>
      <c r="D695" s="30">
        <v>0.18</v>
      </c>
      <c r="E695" s="30">
        <v>7825</v>
      </c>
      <c r="F695" s="31" t="s">
        <v>505</v>
      </c>
      <c r="G695" s="31" t="s">
        <v>155</v>
      </c>
      <c r="H695" s="31" t="s">
        <v>5</v>
      </c>
      <c r="I695" s="31" t="s">
        <v>506</v>
      </c>
      <c r="J695" s="31" t="s">
        <v>507</v>
      </c>
      <c r="K695" s="31" t="s">
        <v>157</v>
      </c>
      <c r="L695" s="31" t="s">
        <v>21</v>
      </c>
      <c r="M695" s="31" t="s">
        <v>20</v>
      </c>
      <c r="N695" s="31">
        <v>10</v>
      </c>
      <c r="O695" s="31">
        <f>2024-Inventory[[#This Row],[YrBlt]]</f>
        <v>18</v>
      </c>
      <c r="P695" s="31">
        <f>2024-Inventory[[#This Row],[EffYr]]</f>
        <v>18</v>
      </c>
      <c r="Q695" s="30">
        <v>2006</v>
      </c>
      <c r="R695" s="30">
        <v>2006</v>
      </c>
      <c r="S695" s="30">
        <v>1116</v>
      </c>
      <c r="T695" s="38">
        <v>1116</v>
      </c>
      <c r="U695" s="32"/>
      <c r="V695" s="32"/>
      <c r="W695" s="32"/>
      <c r="X695" s="32">
        <f>Inventory[[#This Row],[Bsmt Area]]-Inventory[[#This Row],[FnBsmt]]</f>
        <v>0</v>
      </c>
      <c r="Y695" s="32">
        <f>Inventory[[#This Row],[MainFn]]+Inventory[[#This Row],[UpprFn]]+Inventory[[#This Row],[AddFn]]+Inventory[[#This Row],[FnBsmt]]</f>
        <v>2232</v>
      </c>
      <c r="Z695" s="32">
        <v>2500</v>
      </c>
      <c r="AA695" s="31" t="s">
        <v>56</v>
      </c>
      <c r="AB695" s="32"/>
      <c r="AC695" s="30">
        <v>440</v>
      </c>
      <c r="AD695" s="32"/>
      <c r="AE695" s="32"/>
      <c r="AF695" s="32"/>
      <c r="AG695" s="32"/>
      <c r="AH695" s="32"/>
      <c r="AI695" s="30">
        <v>438884</v>
      </c>
      <c r="AJ695" s="30">
        <v>399384</v>
      </c>
      <c r="AK695" s="30">
        <v>0</v>
      </c>
      <c r="AL695" s="30">
        <v>0</v>
      </c>
      <c r="AM695" s="30">
        <v>62500</v>
      </c>
      <c r="AN695" s="30">
        <v>332600</v>
      </c>
      <c r="AO695" s="30">
        <v>395100</v>
      </c>
      <c r="AP695" s="30">
        <f>Lookups!$B$58*0.6</f>
        <v>132535.48800000001</v>
      </c>
      <c r="AQ695" s="30">
        <f>Lookups!$B$58*0.4</f>
        <v>88356.992000000013</v>
      </c>
      <c r="AR695" s="30">
        <f>Lookups!$B$59*Inventory[[#This Row],[LnAcres]]</f>
        <v>-22505.565020573864</v>
      </c>
      <c r="AS695" s="30">
        <f>VLOOKUP(Inventory[[#This Row],[Qlty]],Lookups!$A$66:$E$79,2,FALSE)</f>
        <v>32917.849192000001</v>
      </c>
      <c r="AT695" s="30">
        <f>VLOOKUP(Inventory[[#This Row],[Cnd]],Lookups!$A$80:$E$88,2,FALSE)</f>
        <v>30300.329274</v>
      </c>
      <c r="AU695" s="30">
        <f>Inventory[[#This Row],[EffAge]]*Lookups!$B$65</f>
        <v>-1957.3398</v>
      </c>
      <c r="AV695" s="30">
        <f>Inventory[[#This Row],[MainFn]]*Lookups!$B$90</f>
        <v>69649.984080000009</v>
      </c>
      <c r="AW695" s="30">
        <f>Inventory[[#This Row],[UpprFn]]*Lookups!$B$91</f>
        <v>66491.707427999994</v>
      </c>
      <c r="AX695" s="30">
        <f>Inventory[[#This Row],[Bsmt Area]]*Lookups!$B$95</f>
        <v>0</v>
      </c>
      <c r="AY695" s="30">
        <f>Inventory[[#This Row],[AttGar]]*Lookups!$B$93</f>
        <v>15532.453640000002</v>
      </c>
      <c r="AZ695" s="30">
        <f>ROUND(Inventory[[#This Row],[25Det]],-2)</f>
        <v>0</v>
      </c>
      <c r="BA695" s="30">
        <f>ROUND(SUM(Inventory[[#This Row],[Mdl Qlty]:[Mdl Garage Area]])+Inventory[[#This Row],[Mdl Res Intercept]],-2)</f>
        <v>345500</v>
      </c>
      <c r="BB695" s="30">
        <f>ROUND(Inventory[[#This Row],[Mdl Land Intercept]]+Inventory[[#This Row],[Mdl LnAcres]],-2)</f>
        <v>65900</v>
      </c>
      <c r="BC695" s="30">
        <f>Inventory[[#This Row],[Unadj Res Value]]+Inventory[[#This Row],[Unadj Det Value]]+Inventory[[#This Row],[Unadj Land Value]]</f>
        <v>411400</v>
      </c>
      <c r="BD695" s="30">
        <f>(Inventory[[#This Row],[Unadj Total Value]]-Inventory[[#This Row],[24Final]])/Inventory[[#This Row],[24Final]]</f>
        <v>4.1255378385218928E-2</v>
      </c>
      <c r="BE695" s="30">
        <f>VLOOKUP(Inventory[[#This Row],[Nbhd]],Lookups!$M$3:$P$5,4,FALSE)</f>
        <v>0.99970000000000003</v>
      </c>
      <c r="BF695" s="30">
        <f>VLOOKUP(Inventory[[#This Row],[Qlty]],Lookups!$M$8:$P$22,4,FALSE)</f>
        <v>1.0019</v>
      </c>
      <c r="BG695" s="30">
        <f>VLOOKUP(Inventory[[#This Row],[Cnd]],Lookups!$R$8:$U$17,4,FALSE)</f>
        <v>0.997</v>
      </c>
      <c r="BH695" s="30">
        <f>VLOOKUP(Inventory[[#This Row],[LivArea Range]],Lookups!$R$25:$U$43,4,FALSE)</f>
        <v>1.0008999999999999</v>
      </c>
      <c r="BI695" s="30">
        <f>VLOOKUP(Inventory[[#This Row],[Decade]],Lookups!$M$24:$P$40,4,FALSE)</f>
        <v>1.0024</v>
      </c>
      <c r="BJ695" s="30">
        <f>Inventory[[#This Row],[Nbhd Adj]]*0.95</f>
        <v>0.94971499999999998</v>
      </c>
      <c r="BK695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695" s="30">
        <f>ROUND((SUM(Inventory[[#This Row],[Mdl Qlty]:[Mdl Garage Area]])+Inventory[[#This Row],[Mdl Res Intercept]])*Inventory[[#This Row],[Res Adj ]],-2)</f>
        <v>328300</v>
      </c>
      <c r="BM695" s="30">
        <f>ROUND(Inventory[[#This Row],[25Det]]*Inventory[[#This Row],[Det/Nbhd Adj]],-2)</f>
        <v>0</v>
      </c>
      <c r="BN695" s="30">
        <f>Inventory[[#This Row],[Adjusted Res]]+Inventory[[#This Row],[Adj Det ]]</f>
        <v>328300</v>
      </c>
      <c r="BO695" s="30">
        <f>ROUND((Inventory[[#This Row],[Mdl Land Intercept]]+Inventory[[#This Row],[Mdl LnAcres]])*Inventory[[#This Row],[Det/Nbhd Adj]],-2)</f>
        <v>62500</v>
      </c>
      <c r="BP695" s="30">
        <f>Inventory[[#This Row],[Adjusted Impr Total]]+Inventory[[#This Row],[Adjusted Land Total]]</f>
        <v>390800</v>
      </c>
      <c r="BQ695" s="30">
        <f>IFERROR((Inventory[[#This Row],[Adjusted Impr Total]]-Inventory[[#This Row],[24Bldg]])/Inventory[[#This Row],[24Bldg]],0)</f>
        <v>-1.2928442573662057E-2</v>
      </c>
      <c r="BR695" s="43">
        <f>(Inventory[[#This Row],[Adjusted Land Total]]-Inventory[[#This Row],[24Lnd]])/Inventory[[#This Row],[24Lnd]]</f>
        <v>0</v>
      </c>
      <c r="BS695" s="43">
        <f>(Inventory[[#This Row],[Adjusted Total]]-Inventory[[#This Row],[24Final]])/Inventory[[#This Row],[24Final]]</f>
        <v>-1.0883320678309289E-2</v>
      </c>
    </row>
    <row r="696" spans="1:71">
      <c r="A696" s="30">
        <v>2025</v>
      </c>
      <c r="B696" s="31" t="s">
        <v>1211</v>
      </c>
      <c r="C696" s="31">
        <f>LN(Inventory[[#This Row],[Acres]])</f>
        <v>-1.7147984280919266</v>
      </c>
      <c r="D696" s="30">
        <v>0.18</v>
      </c>
      <c r="E696" s="30">
        <v>7630</v>
      </c>
      <c r="F696" s="31" t="s">
        <v>505</v>
      </c>
      <c r="G696" s="31" t="s">
        <v>155</v>
      </c>
      <c r="H696" s="31" t="s">
        <v>5</v>
      </c>
      <c r="I696" s="31" t="s">
        <v>506</v>
      </c>
      <c r="J696" s="31" t="s">
        <v>507</v>
      </c>
      <c r="K696" s="31" t="s">
        <v>193</v>
      </c>
      <c r="L696" s="31" t="s">
        <v>21</v>
      </c>
      <c r="M696" s="31" t="s">
        <v>20</v>
      </c>
      <c r="N696" s="31">
        <v>10</v>
      </c>
      <c r="O696" s="31">
        <f>2024-Inventory[[#This Row],[YrBlt]]</f>
        <v>18</v>
      </c>
      <c r="P696" s="31">
        <f>2024-Inventory[[#This Row],[EffYr]]</f>
        <v>18</v>
      </c>
      <c r="Q696" s="30">
        <v>2006</v>
      </c>
      <c r="R696" s="30">
        <v>2006</v>
      </c>
      <c r="S696" s="30">
        <v>2154</v>
      </c>
      <c r="T696" s="37"/>
      <c r="U696" s="32"/>
      <c r="V696" s="32"/>
      <c r="W696" s="32"/>
      <c r="X696" s="32">
        <f>Inventory[[#This Row],[Bsmt Area]]-Inventory[[#This Row],[FnBsmt]]</f>
        <v>0</v>
      </c>
      <c r="Y696" s="32">
        <f>Inventory[[#This Row],[MainFn]]+Inventory[[#This Row],[UpprFn]]+Inventory[[#This Row],[AddFn]]+Inventory[[#This Row],[FnBsmt]]</f>
        <v>2154</v>
      </c>
      <c r="Z696" s="32">
        <v>2500</v>
      </c>
      <c r="AA696" s="31" t="s">
        <v>56</v>
      </c>
      <c r="AB696" s="37"/>
      <c r="AC696" s="30">
        <v>730</v>
      </c>
      <c r="AD696" s="37"/>
      <c r="AE696" s="32"/>
      <c r="AF696" s="32"/>
      <c r="AG696" s="32"/>
      <c r="AH696" s="32"/>
      <c r="AI696" s="30">
        <v>455082</v>
      </c>
      <c r="AJ696" s="30">
        <v>414125</v>
      </c>
      <c r="AK696" s="30">
        <v>0</v>
      </c>
      <c r="AL696" s="30">
        <v>0</v>
      </c>
      <c r="AM696" s="30">
        <v>62500</v>
      </c>
      <c r="AN696" s="30">
        <v>332600</v>
      </c>
      <c r="AO696" s="30">
        <v>395100</v>
      </c>
      <c r="AP696" s="30">
        <f>Lookups!$B$58*0.6</f>
        <v>132535.48800000001</v>
      </c>
      <c r="AQ696" s="30">
        <f>Lookups!$B$58*0.4</f>
        <v>88356.992000000013</v>
      </c>
      <c r="AR696" s="30">
        <f>Lookups!$B$59*Inventory[[#This Row],[LnAcres]]</f>
        <v>-22505.565020573864</v>
      </c>
      <c r="AS696" s="30">
        <f>VLOOKUP(Inventory[[#This Row],[Qlty]],Lookups!$A$66:$E$79,2,FALSE)</f>
        <v>32917.849192000001</v>
      </c>
      <c r="AT696" s="30">
        <f>VLOOKUP(Inventory[[#This Row],[Cnd]],Lookups!$A$80:$E$88,2,FALSE)</f>
        <v>30300.329274</v>
      </c>
      <c r="AU696" s="30">
        <f>Inventory[[#This Row],[EffAge]]*Lookups!$B$65</f>
        <v>-1957.3398</v>
      </c>
      <c r="AV696" s="30">
        <f>Inventory[[#This Row],[MainFn]]*Lookups!$B$90</f>
        <v>134431.95852000001</v>
      </c>
      <c r="AW696" s="30">
        <f>Inventory[[#This Row],[UpprFn]]*Lookups!$B$91</f>
        <v>0</v>
      </c>
      <c r="AX696" s="30">
        <f>Inventory[[#This Row],[Bsmt Area]]*Lookups!$B$95</f>
        <v>0</v>
      </c>
      <c r="AY696" s="30">
        <f>Inventory[[#This Row],[AttGar]]*Lookups!$B$93</f>
        <v>25769.752630000003</v>
      </c>
      <c r="AZ696" s="30">
        <f>ROUND(Inventory[[#This Row],[25Det]],-2)</f>
        <v>0</v>
      </c>
      <c r="BA696" s="30">
        <f>ROUND(SUM(Inventory[[#This Row],[Mdl Qlty]:[Mdl Garage Area]])+Inventory[[#This Row],[Mdl Res Intercept]],-2)</f>
        <v>354000</v>
      </c>
      <c r="BB696" s="30">
        <f>ROUND(Inventory[[#This Row],[Mdl Land Intercept]]+Inventory[[#This Row],[Mdl LnAcres]],-2)</f>
        <v>65900</v>
      </c>
      <c r="BC696" s="30">
        <f>Inventory[[#This Row],[Unadj Res Value]]+Inventory[[#This Row],[Unadj Det Value]]+Inventory[[#This Row],[Unadj Land Value]]</f>
        <v>419900</v>
      </c>
      <c r="BD696" s="30">
        <f>(Inventory[[#This Row],[Unadj Total Value]]-Inventory[[#This Row],[24Final]])/Inventory[[#This Row],[24Final]]</f>
        <v>6.276891926094659E-2</v>
      </c>
      <c r="BE696" s="30">
        <f>VLOOKUP(Inventory[[#This Row],[Nbhd]],Lookups!$M$3:$P$5,4,FALSE)</f>
        <v>0.99970000000000003</v>
      </c>
      <c r="BF696" s="30">
        <f>VLOOKUP(Inventory[[#This Row],[Qlty]],Lookups!$M$8:$P$22,4,FALSE)</f>
        <v>1.0019</v>
      </c>
      <c r="BG696" s="30">
        <f>VLOOKUP(Inventory[[#This Row],[Cnd]],Lookups!$R$8:$U$17,4,FALSE)</f>
        <v>0.997</v>
      </c>
      <c r="BH696" s="30">
        <f>VLOOKUP(Inventory[[#This Row],[LivArea Range]],Lookups!$R$25:$U$43,4,FALSE)</f>
        <v>1.0008999999999999</v>
      </c>
      <c r="BI696" s="30">
        <f>VLOOKUP(Inventory[[#This Row],[Decade]],Lookups!$M$24:$P$40,4,FALSE)</f>
        <v>1.0024</v>
      </c>
      <c r="BJ696" s="30">
        <f>Inventory[[#This Row],[Nbhd Adj]]*0.95</f>
        <v>0.94971499999999998</v>
      </c>
      <c r="BK696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696" s="30">
        <f>ROUND((SUM(Inventory[[#This Row],[Mdl Qlty]:[Mdl Garage Area]])+Inventory[[#This Row],[Mdl Res Intercept]])*Inventory[[#This Row],[Res Adj ]],-2)</f>
        <v>336400</v>
      </c>
      <c r="BM696" s="30">
        <f>ROUND(Inventory[[#This Row],[25Det]]*Inventory[[#This Row],[Det/Nbhd Adj]],-2)</f>
        <v>0</v>
      </c>
      <c r="BN696" s="30">
        <f>Inventory[[#This Row],[Adjusted Res]]+Inventory[[#This Row],[Adj Det ]]</f>
        <v>336400</v>
      </c>
      <c r="BO696" s="30">
        <f>ROUND((Inventory[[#This Row],[Mdl Land Intercept]]+Inventory[[#This Row],[Mdl LnAcres]])*Inventory[[#This Row],[Det/Nbhd Adj]],-2)</f>
        <v>62500</v>
      </c>
      <c r="BP696" s="30">
        <f>Inventory[[#This Row],[Adjusted Impr Total]]+Inventory[[#This Row],[Adjusted Land Total]]</f>
        <v>398900</v>
      </c>
      <c r="BQ696" s="30">
        <f>IFERROR((Inventory[[#This Row],[Adjusted Impr Total]]-Inventory[[#This Row],[24Bldg]])/Inventory[[#This Row],[24Bldg]],0)</f>
        <v>1.1425135297654841E-2</v>
      </c>
      <c r="BR696" s="43">
        <f>(Inventory[[#This Row],[Adjusted Land Total]]-Inventory[[#This Row],[24Lnd]])/Inventory[[#This Row],[24Lnd]]</f>
        <v>0</v>
      </c>
      <c r="BS696" s="43">
        <f>(Inventory[[#This Row],[Adjusted Total]]-Inventory[[#This Row],[24Final]])/Inventory[[#This Row],[24Final]]</f>
        <v>9.6178182738547204E-3</v>
      </c>
    </row>
    <row r="697" spans="1:71">
      <c r="A697" s="30">
        <v>2025</v>
      </c>
      <c r="B697" s="31" t="s">
        <v>1212</v>
      </c>
      <c r="C697" s="31">
        <f>LN(Inventory[[#This Row],[Acres]])</f>
        <v>-1.7147984280919266</v>
      </c>
      <c r="D697" s="30">
        <v>0.18</v>
      </c>
      <c r="E697" s="30">
        <v>7630</v>
      </c>
      <c r="F697" s="31" t="s">
        <v>505</v>
      </c>
      <c r="G697" s="31" t="s">
        <v>155</v>
      </c>
      <c r="H697" s="31" t="s">
        <v>5</v>
      </c>
      <c r="I697" s="31" t="s">
        <v>506</v>
      </c>
      <c r="J697" s="31" t="s">
        <v>507</v>
      </c>
      <c r="K697" s="31" t="s">
        <v>193</v>
      </c>
      <c r="L697" s="31" t="s">
        <v>21</v>
      </c>
      <c r="M697" s="31" t="s">
        <v>20</v>
      </c>
      <c r="N697" s="31">
        <v>10</v>
      </c>
      <c r="O697" s="31">
        <f>2024-Inventory[[#This Row],[YrBlt]]</f>
        <v>18</v>
      </c>
      <c r="P697" s="31">
        <f>2024-Inventory[[#This Row],[EffYr]]</f>
        <v>18</v>
      </c>
      <c r="Q697" s="30">
        <v>2006</v>
      </c>
      <c r="R697" s="30">
        <v>2006</v>
      </c>
      <c r="S697" s="30">
        <v>2154</v>
      </c>
      <c r="T697" s="37"/>
      <c r="U697" s="32"/>
      <c r="V697" s="32"/>
      <c r="W697" s="32"/>
      <c r="X697" s="32">
        <f>Inventory[[#This Row],[Bsmt Area]]-Inventory[[#This Row],[FnBsmt]]</f>
        <v>0</v>
      </c>
      <c r="Y697" s="32">
        <f>Inventory[[#This Row],[MainFn]]+Inventory[[#This Row],[UpprFn]]+Inventory[[#This Row],[AddFn]]+Inventory[[#This Row],[FnBsmt]]</f>
        <v>2154</v>
      </c>
      <c r="Z697" s="32">
        <v>2500</v>
      </c>
      <c r="AA697" s="31" t="s">
        <v>56</v>
      </c>
      <c r="AB697" s="30">
        <v>1</v>
      </c>
      <c r="AC697" s="30">
        <v>730</v>
      </c>
      <c r="AD697" s="37"/>
      <c r="AE697" s="32"/>
      <c r="AF697" s="32"/>
      <c r="AG697" s="32"/>
      <c r="AH697" s="32"/>
      <c r="AI697" s="30">
        <v>459402</v>
      </c>
      <c r="AJ697" s="30">
        <v>418056</v>
      </c>
      <c r="AK697" s="30">
        <v>0</v>
      </c>
      <c r="AL697" s="30">
        <v>0</v>
      </c>
      <c r="AM697" s="30">
        <v>62500</v>
      </c>
      <c r="AN697" s="30">
        <v>332600</v>
      </c>
      <c r="AO697" s="30">
        <v>395100</v>
      </c>
      <c r="AP697" s="30">
        <f>Lookups!$B$58*0.6</f>
        <v>132535.48800000001</v>
      </c>
      <c r="AQ697" s="30">
        <f>Lookups!$B$58*0.4</f>
        <v>88356.992000000013</v>
      </c>
      <c r="AR697" s="30">
        <f>Lookups!$B$59*Inventory[[#This Row],[LnAcres]]</f>
        <v>-22505.565020573864</v>
      </c>
      <c r="AS697" s="30">
        <f>VLOOKUP(Inventory[[#This Row],[Qlty]],Lookups!$A$66:$E$79,2,FALSE)</f>
        <v>32917.849192000001</v>
      </c>
      <c r="AT697" s="30">
        <f>VLOOKUP(Inventory[[#This Row],[Cnd]],Lookups!$A$80:$E$88,2,FALSE)</f>
        <v>30300.329274</v>
      </c>
      <c r="AU697" s="30">
        <f>Inventory[[#This Row],[EffAge]]*Lookups!$B$65</f>
        <v>-1957.3398</v>
      </c>
      <c r="AV697" s="30">
        <f>Inventory[[#This Row],[MainFn]]*Lookups!$B$90</f>
        <v>134431.95852000001</v>
      </c>
      <c r="AW697" s="30">
        <f>Inventory[[#This Row],[UpprFn]]*Lookups!$B$91</f>
        <v>0</v>
      </c>
      <c r="AX697" s="30">
        <f>Inventory[[#This Row],[Bsmt Area]]*Lookups!$B$95</f>
        <v>0</v>
      </c>
      <c r="AY697" s="30">
        <f>Inventory[[#This Row],[AttGar]]*Lookups!$B$93</f>
        <v>25769.752630000003</v>
      </c>
      <c r="AZ697" s="30">
        <f>ROUND(Inventory[[#This Row],[25Det]],-2)</f>
        <v>0</v>
      </c>
      <c r="BA697" s="30">
        <f>ROUND(SUM(Inventory[[#This Row],[Mdl Qlty]:[Mdl Garage Area]])+Inventory[[#This Row],[Mdl Res Intercept]],-2)</f>
        <v>354000</v>
      </c>
      <c r="BB697" s="30">
        <f>ROUND(Inventory[[#This Row],[Mdl Land Intercept]]+Inventory[[#This Row],[Mdl LnAcres]],-2)</f>
        <v>65900</v>
      </c>
      <c r="BC697" s="30">
        <f>Inventory[[#This Row],[Unadj Res Value]]+Inventory[[#This Row],[Unadj Det Value]]+Inventory[[#This Row],[Unadj Land Value]]</f>
        <v>419900</v>
      </c>
      <c r="BD697" s="30">
        <f>(Inventory[[#This Row],[Unadj Total Value]]-Inventory[[#This Row],[24Final]])/Inventory[[#This Row],[24Final]]</f>
        <v>6.276891926094659E-2</v>
      </c>
      <c r="BE697" s="30">
        <f>VLOOKUP(Inventory[[#This Row],[Nbhd]],Lookups!$M$3:$P$5,4,FALSE)</f>
        <v>0.99970000000000003</v>
      </c>
      <c r="BF697" s="30">
        <f>VLOOKUP(Inventory[[#This Row],[Qlty]],Lookups!$M$8:$P$22,4,FALSE)</f>
        <v>1.0019</v>
      </c>
      <c r="BG697" s="30">
        <f>VLOOKUP(Inventory[[#This Row],[Cnd]],Lookups!$R$8:$U$17,4,FALSE)</f>
        <v>0.997</v>
      </c>
      <c r="BH697" s="30">
        <f>VLOOKUP(Inventory[[#This Row],[LivArea Range]],Lookups!$R$25:$U$43,4,FALSE)</f>
        <v>1.0008999999999999</v>
      </c>
      <c r="BI697" s="30">
        <f>VLOOKUP(Inventory[[#This Row],[Decade]],Lookups!$M$24:$P$40,4,FALSE)</f>
        <v>1.0024</v>
      </c>
      <c r="BJ697" s="30">
        <f>Inventory[[#This Row],[Nbhd Adj]]*0.95</f>
        <v>0.94971499999999998</v>
      </c>
      <c r="BK697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697" s="30">
        <f>ROUND((SUM(Inventory[[#This Row],[Mdl Qlty]:[Mdl Garage Area]])+Inventory[[#This Row],[Mdl Res Intercept]])*Inventory[[#This Row],[Res Adj ]],-2)</f>
        <v>336400</v>
      </c>
      <c r="BM697" s="30">
        <f>ROUND(Inventory[[#This Row],[25Det]]*Inventory[[#This Row],[Det/Nbhd Adj]],-2)</f>
        <v>0</v>
      </c>
      <c r="BN697" s="30">
        <f>Inventory[[#This Row],[Adjusted Res]]+Inventory[[#This Row],[Adj Det ]]</f>
        <v>336400</v>
      </c>
      <c r="BO697" s="30">
        <f>ROUND((Inventory[[#This Row],[Mdl Land Intercept]]+Inventory[[#This Row],[Mdl LnAcres]])*Inventory[[#This Row],[Det/Nbhd Adj]],-2)</f>
        <v>62500</v>
      </c>
      <c r="BP697" s="30">
        <f>Inventory[[#This Row],[Adjusted Impr Total]]+Inventory[[#This Row],[Adjusted Land Total]]</f>
        <v>398900</v>
      </c>
      <c r="BQ697" s="30">
        <f>IFERROR((Inventory[[#This Row],[Adjusted Impr Total]]-Inventory[[#This Row],[24Bldg]])/Inventory[[#This Row],[24Bldg]],0)</f>
        <v>1.1425135297654841E-2</v>
      </c>
      <c r="BR697" s="43">
        <f>(Inventory[[#This Row],[Adjusted Land Total]]-Inventory[[#This Row],[24Lnd]])/Inventory[[#This Row],[24Lnd]]</f>
        <v>0</v>
      </c>
      <c r="BS697" s="43">
        <f>(Inventory[[#This Row],[Adjusted Total]]-Inventory[[#This Row],[24Final]])/Inventory[[#This Row],[24Final]]</f>
        <v>9.6178182738547204E-3</v>
      </c>
    </row>
    <row r="698" spans="1:71">
      <c r="A698" s="30">
        <v>2025</v>
      </c>
      <c r="B698" s="31" t="s">
        <v>1213</v>
      </c>
      <c r="C698" s="31">
        <f>LN(Inventory[[#This Row],[Acres]])</f>
        <v>-1.5141277326297755</v>
      </c>
      <c r="D698" s="30">
        <v>0.22</v>
      </c>
      <c r="E698" s="30">
        <v>9726</v>
      </c>
      <c r="F698" s="31" t="s">
        <v>505</v>
      </c>
      <c r="G698" s="31" t="s">
        <v>155</v>
      </c>
      <c r="H698" s="31" t="s">
        <v>5</v>
      </c>
      <c r="I698" s="31" t="s">
        <v>506</v>
      </c>
      <c r="J698" s="31" t="s">
        <v>507</v>
      </c>
      <c r="K698" s="31" t="s">
        <v>157</v>
      </c>
      <c r="L698" s="31" t="s">
        <v>19</v>
      </c>
      <c r="M698" s="31" t="s">
        <v>20</v>
      </c>
      <c r="N698" s="31">
        <v>10</v>
      </c>
      <c r="O698" s="31">
        <f>2024-Inventory[[#This Row],[YrBlt]]</f>
        <v>18</v>
      </c>
      <c r="P698" s="31">
        <f>2024-Inventory[[#This Row],[EffYr]]</f>
        <v>18</v>
      </c>
      <c r="Q698" s="30">
        <v>2006</v>
      </c>
      <c r="R698" s="30">
        <v>2006</v>
      </c>
      <c r="S698" s="30">
        <v>1092</v>
      </c>
      <c r="T698" s="32"/>
      <c r="U698" s="32"/>
      <c r="V698" s="32"/>
      <c r="W698" s="32"/>
      <c r="X698" s="32">
        <f>Inventory[[#This Row],[Bsmt Area]]-Inventory[[#This Row],[FnBsmt]]</f>
        <v>0</v>
      </c>
      <c r="Y698" s="32">
        <f>Inventory[[#This Row],[MainFn]]+Inventory[[#This Row],[UpprFn]]+Inventory[[#This Row],[AddFn]]+Inventory[[#This Row],[FnBsmt]]</f>
        <v>1092</v>
      </c>
      <c r="Z698" s="32">
        <v>1500</v>
      </c>
      <c r="AA698" s="31" t="s">
        <v>56</v>
      </c>
      <c r="AB698" s="32"/>
      <c r="AC698" s="30">
        <v>440</v>
      </c>
      <c r="AD698" s="32"/>
      <c r="AE698" s="32"/>
      <c r="AF698" s="32"/>
      <c r="AG698" s="32"/>
      <c r="AH698" s="32"/>
      <c r="AI698" s="30">
        <v>235640</v>
      </c>
      <c r="AJ698" s="30">
        <v>214432</v>
      </c>
      <c r="AK698" s="30">
        <v>0</v>
      </c>
      <c r="AL698" s="30">
        <v>0</v>
      </c>
      <c r="AM698" s="30">
        <v>65300</v>
      </c>
      <c r="AN698" s="30">
        <v>277600</v>
      </c>
      <c r="AO698" s="30">
        <v>342900</v>
      </c>
      <c r="AP698" s="30">
        <f>Lookups!$B$58*0.6</f>
        <v>132535.48800000001</v>
      </c>
      <c r="AQ698" s="30">
        <f>Lookups!$B$58*0.4</f>
        <v>88356.992000000013</v>
      </c>
      <c r="AR698" s="30">
        <f>Lookups!$B$59*Inventory[[#This Row],[LnAcres]]</f>
        <v>-19871.898398035348</v>
      </c>
      <c r="AS698" s="30">
        <f>VLOOKUP(Inventory[[#This Row],[Qlty]],Lookups!$A$66:$E$79,2,FALSE)</f>
        <v>37154.252388000001</v>
      </c>
      <c r="AT698" s="30">
        <f>VLOOKUP(Inventory[[#This Row],[Cnd]],Lookups!$A$80:$E$88,2,FALSE)</f>
        <v>30300.329274</v>
      </c>
      <c r="AU698" s="30">
        <f>Inventory[[#This Row],[EffAge]]*Lookups!$B$65</f>
        <v>-1957.3398</v>
      </c>
      <c r="AV698" s="30">
        <f>Inventory[[#This Row],[MainFn]]*Lookups!$B$90</f>
        <v>68152.13496000001</v>
      </c>
      <c r="AW698" s="30">
        <f>Inventory[[#This Row],[UpprFn]]*Lookups!$B$91</f>
        <v>0</v>
      </c>
      <c r="AX698" s="30">
        <f>Inventory[[#This Row],[Bsmt Area]]*Lookups!$B$95</f>
        <v>0</v>
      </c>
      <c r="AY698" s="30">
        <f>Inventory[[#This Row],[AttGar]]*Lookups!$B$93</f>
        <v>15532.453640000002</v>
      </c>
      <c r="AZ698" s="30">
        <f>ROUND(Inventory[[#This Row],[25Det]],-2)</f>
        <v>0</v>
      </c>
      <c r="BA698" s="30">
        <f>ROUND(SUM(Inventory[[#This Row],[Mdl Qlty]:[Mdl Garage Area]])+Inventory[[#This Row],[Mdl Res Intercept]],-2)</f>
        <v>281700</v>
      </c>
      <c r="BB698" s="30">
        <f>ROUND(Inventory[[#This Row],[Mdl Land Intercept]]+Inventory[[#This Row],[Mdl LnAcres]],-2)</f>
        <v>68500</v>
      </c>
      <c r="BC698" s="30">
        <f>Inventory[[#This Row],[Unadj Res Value]]+Inventory[[#This Row],[Unadj Det Value]]+Inventory[[#This Row],[Unadj Land Value]]</f>
        <v>350200</v>
      </c>
      <c r="BD698" s="30">
        <f>(Inventory[[#This Row],[Unadj Total Value]]-Inventory[[#This Row],[24Final]])/Inventory[[#This Row],[24Final]]</f>
        <v>2.1289005540974047E-2</v>
      </c>
      <c r="BE698" s="30">
        <f>VLOOKUP(Inventory[[#This Row],[Nbhd]],Lookups!$M$3:$P$5,4,FALSE)</f>
        <v>0.99970000000000003</v>
      </c>
      <c r="BF698" s="30">
        <f>VLOOKUP(Inventory[[#This Row],[Qlty]],Lookups!$M$8:$P$22,4,FALSE)</f>
        <v>0.99819999999999998</v>
      </c>
      <c r="BG698" s="30">
        <f>VLOOKUP(Inventory[[#This Row],[Cnd]],Lookups!$R$8:$U$17,4,FALSE)</f>
        <v>0.997</v>
      </c>
      <c r="BH698" s="30">
        <f>VLOOKUP(Inventory[[#This Row],[LivArea Range]],Lookups!$R$25:$U$43,4,FALSE)</f>
        <v>0.99519999999999997</v>
      </c>
      <c r="BI698" s="30">
        <f>VLOOKUP(Inventory[[#This Row],[Decade]],Lookups!$M$24:$P$40,4,FALSE)</f>
        <v>1.0024</v>
      </c>
      <c r="BJ698" s="30">
        <f>Inventory[[#This Row],[Nbhd Adj]]*0.95</f>
        <v>0.94971499999999998</v>
      </c>
      <c r="BK698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698" s="30">
        <f>ROUND((SUM(Inventory[[#This Row],[Mdl Qlty]:[Mdl Garage Area]])+Inventory[[#This Row],[Mdl Res Intercept]])*Inventory[[#This Row],[Res Adj ]],-2)</f>
        <v>267200</v>
      </c>
      <c r="BM698" s="30">
        <f>ROUND(Inventory[[#This Row],[25Det]]*Inventory[[#This Row],[Det/Nbhd Adj]],-2)</f>
        <v>0</v>
      </c>
      <c r="BN698" s="30">
        <f>Inventory[[#This Row],[Adjusted Res]]+Inventory[[#This Row],[Adj Det ]]</f>
        <v>267200</v>
      </c>
      <c r="BO698" s="30">
        <f>ROUND((Inventory[[#This Row],[Mdl Land Intercept]]+Inventory[[#This Row],[Mdl LnAcres]])*Inventory[[#This Row],[Det/Nbhd Adj]],-2)</f>
        <v>65000</v>
      </c>
      <c r="BP698" s="30">
        <f>Inventory[[#This Row],[Adjusted Impr Total]]+Inventory[[#This Row],[Adjusted Land Total]]</f>
        <v>332200</v>
      </c>
      <c r="BQ698" s="30">
        <f>IFERROR((Inventory[[#This Row],[Adjusted Impr Total]]-Inventory[[#This Row],[24Bldg]])/Inventory[[#This Row],[24Bldg]],0)</f>
        <v>-3.7463976945244955E-2</v>
      </c>
      <c r="BR698" s="43">
        <f>(Inventory[[#This Row],[Adjusted Land Total]]-Inventory[[#This Row],[24Lnd]])/Inventory[[#This Row],[24Lnd]]</f>
        <v>-4.5941807044410417E-3</v>
      </c>
      <c r="BS698" s="43">
        <f>(Inventory[[#This Row],[Adjusted Total]]-Inventory[[#This Row],[24Final]])/Inventory[[#This Row],[24Final]]</f>
        <v>-3.120443277923593E-2</v>
      </c>
    </row>
    <row r="699" spans="1:71">
      <c r="A699" s="30">
        <v>2025</v>
      </c>
      <c r="B699" s="31" t="s">
        <v>1214</v>
      </c>
      <c r="C699" s="31">
        <f>LN(Inventory[[#This Row],[Acres]])</f>
        <v>-1.4696759700589417</v>
      </c>
      <c r="D699" s="30">
        <v>0.23</v>
      </c>
      <c r="E699" s="30">
        <v>9835</v>
      </c>
      <c r="F699" s="31" t="s">
        <v>505</v>
      </c>
      <c r="G699" s="31" t="s">
        <v>155</v>
      </c>
      <c r="H699" s="31" t="s">
        <v>5</v>
      </c>
      <c r="I699" s="31" t="s">
        <v>506</v>
      </c>
      <c r="J699" s="31" t="s">
        <v>507</v>
      </c>
      <c r="K699" s="31" t="s">
        <v>157</v>
      </c>
      <c r="L699" s="31" t="s">
        <v>21</v>
      </c>
      <c r="M699" s="31" t="s">
        <v>22</v>
      </c>
      <c r="N699" s="31">
        <v>10</v>
      </c>
      <c r="O699" s="31">
        <f>2024-Inventory[[#This Row],[YrBlt]]</f>
        <v>18</v>
      </c>
      <c r="P699" s="31">
        <f>2024-Inventory[[#This Row],[EffYr]]</f>
        <v>18</v>
      </c>
      <c r="Q699" s="30">
        <v>2006</v>
      </c>
      <c r="R699" s="30">
        <v>2006</v>
      </c>
      <c r="S699" s="30">
        <v>1158</v>
      </c>
      <c r="T699" s="30">
        <v>1332</v>
      </c>
      <c r="U699" s="32"/>
      <c r="V699" s="32"/>
      <c r="W699" s="32"/>
      <c r="X699" s="32">
        <f>Inventory[[#This Row],[Bsmt Area]]-Inventory[[#This Row],[FnBsmt]]</f>
        <v>0</v>
      </c>
      <c r="Y699" s="32">
        <f>Inventory[[#This Row],[MainFn]]+Inventory[[#This Row],[UpprFn]]+Inventory[[#This Row],[AddFn]]+Inventory[[#This Row],[FnBsmt]]</f>
        <v>2490</v>
      </c>
      <c r="Z699" s="32">
        <v>2500</v>
      </c>
      <c r="AA699" s="31" t="s">
        <v>56</v>
      </c>
      <c r="AB699" s="37"/>
      <c r="AC699" s="37"/>
      <c r="AD699" s="30">
        <v>502</v>
      </c>
      <c r="AE699" s="32"/>
      <c r="AF699" s="32"/>
      <c r="AG699" s="32"/>
      <c r="AH699" s="32"/>
      <c r="AI699" s="30">
        <v>489457</v>
      </c>
      <c r="AJ699" s="30">
        <v>450300</v>
      </c>
      <c r="AK699" s="30">
        <v>0</v>
      </c>
      <c r="AL699" s="30">
        <v>0</v>
      </c>
      <c r="AM699" s="30">
        <v>65900</v>
      </c>
      <c r="AN699" s="30">
        <v>368200</v>
      </c>
      <c r="AO699" s="30">
        <v>434100</v>
      </c>
      <c r="AP699" s="30">
        <f>Lookups!$B$58*0.6</f>
        <v>132535.48800000001</v>
      </c>
      <c r="AQ699" s="30">
        <f>Lookups!$B$58*0.4</f>
        <v>88356.992000000013</v>
      </c>
      <c r="AR699" s="30">
        <f>Lookups!$B$59*Inventory[[#This Row],[LnAcres]]</f>
        <v>-19288.499197039939</v>
      </c>
      <c r="AS699" s="30">
        <f>VLOOKUP(Inventory[[#This Row],[Qlty]],Lookups!$A$66:$E$79,2,FALSE)</f>
        <v>32917.849192000001</v>
      </c>
      <c r="AT699" s="30">
        <f>VLOOKUP(Inventory[[#This Row],[Cnd]],Lookups!$A$80:$E$88,2,FALSE)</f>
        <v>50438.379078999998</v>
      </c>
      <c r="AU699" s="30">
        <f>Inventory[[#This Row],[EffAge]]*Lookups!$B$65</f>
        <v>-1957.3398</v>
      </c>
      <c r="AV699" s="30">
        <f>Inventory[[#This Row],[MainFn]]*Lookups!$B$90</f>
        <v>72271.22004</v>
      </c>
      <c r="AW699" s="30">
        <f>Inventory[[#This Row],[UpprFn]]*Lookups!$B$91</f>
        <v>79361.070156000002</v>
      </c>
      <c r="AX699" s="30">
        <f>Inventory[[#This Row],[Bsmt Area]]*Lookups!$B$95</f>
        <v>0</v>
      </c>
      <c r="AY699" s="30">
        <f>Inventory[[#This Row],[AttGar]]*Lookups!$B$93</f>
        <v>0</v>
      </c>
      <c r="AZ699" s="30">
        <f>ROUND(Inventory[[#This Row],[25Det]],-2)</f>
        <v>0</v>
      </c>
      <c r="BA699" s="30">
        <f>ROUND(SUM(Inventory[[#This Row],[Mdl Qlty]:[Mdl Garage Area]])+Inventory[[#This Row],[Mdl Res Intercept]],-2)</f>
        <v>365600</v>
      </c>
      <c r="BB699" s="30">
        <f>ROUND(Inventory[[#This Row],[Mdl Land Intercept]]+Inventory[[#This Row],[Mdl LnAcres]],-2)</f>
        <v>69100</v>
      </c>
      <c r="BC699" s="30">
        <f>Inventory[[#This Row],[Unadj Res Value]]+Inventory[[#This Row],[Unadj Det Value]]+Inventory[[#This Row],[Unadj Land Value]]</f>
        <v>434700</v>
      </c>
      <c r="BD699" s="30">
        <f>(Inventory[[#This Row],[Unadj Total Value]]-Inventory[[#This Row],[24Final]])/Inventory[[#This Row],[24Final]]</f>
        <v>1.38217000691085E-3</v>
      </c>
      <c r="BE699" s="30">
        <f>VLOOKUP(Inventory[[#This Row],[Nbhd]],Lookups!$M$3:$P$5,4,FALSE)</f>
        <v>0.99970000000000003</v>
      </c>
      <c r="BF699" s="30">
        <f>VLOOKUP(Inventory[[#This Row],[Qlty]],Lookups!$M$8:$P$22,4,FALSE)</f>
        <v>1.0019</v>
      </c>
      <c r="BG699" s="30">
        <f>VLOOKUP(Inventory[[#This Row],[Cnd]],Lookups!$R$8:$U$17,4,FALSE)</f>
        <v>1.0007999999999999</v>
      </c>
      <c r="BH699" s="30">
        <f>VLOOKUP(Inventory[[#This Row],[LivArea Range]],Lookups!$R$25:$U$43,4,FALSE)</f>
        <v>1.0008999999999999</v>
      </c>
      <c r="BI699" s="30">
        <f>VLOOKUP(Inventory[[#This Row],[Decade]],Lookups!$M$24:$P$40,4,FALSE)</f>
        <v>1.0024</v>
      </c>
      <c r="BJ699" s="30">
        <f>Inventory[[#This Row],[Nbhd Adj]]*0.95</f>
        <v>0.94971499999999998</v>
      </c>
      <c r="BK699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699" s="30">
        <f>ROUND((SUM(Inventory[[#This Row],[Mdl Qlty]:[Mdl Garage Area]])+Inventory[[#This Row],[Mdl Res Intercept]])*Inventory[[#This Row],[Res Adj ]],-2)</f>
        <v>347700</v>
      </c>
      <c r="BM699" s="30">
        <f>ROUND(Inventory[[#This Row],[25Det]]*Inventory[[#This Row],[Det/Nbhd Adj]],-2)</f>
        <v>0</v>
      </c>
      <c r="BN699" s="30">
        <f>Inventory[[#This Row],[Adjusted Res]]+Inventory[[#This Row],[Adj Det ]]</f>
        <v>347700</v>
      </c>
      <c r="BO699" s="30">
        <f>ROUND((Inventory[[#This Row],[Mdl Land Intercept]]+Inventory[[#This Row],[Mdl LnAcres]])*Inventory[[#This Row],[Det/Nbhd Adj]],-2)</f>
        <v>65600</v>
      </c>
      <c r="BP699" s="30">
        <f>Inventory[[#This Row],[Adjusted Impr Total]]+Inventory[[#This Row],[Adjusted Land Total]]</f>
        <v>413300</v>
      </c>
      <c r="BQ699" s="30">
        <f>IFERROR((Inventory[[#This Row],[Adjusted Impr Total]]-Inventory[[#This Row],[24Bldg]])/Inventory[[#This Row],[24Bldg]],0)</f>
        <v>-5.5676262900597503E-2</v>
      </c>
      <c r="BR699" s="43">
        <f>(Inventory[[#This Row],[Adjusted Land Total]]-Inventory[[#This Row],[24Lnd]])/Inventory[[#This Row],[24Lnd]]</f>
        <v>-4.552352048558422E-3</v>
      </c>
      <c r="BS699" s="43">
        <f>(Inventory[[#This Row],[Adjusted Total]]-Inventory[[#This Row],[24Final]])/Inventory[[#This Row],[24Final]]</f>
        <v>-4.7915226906242801E-2</v>
      </c>
    </row>
    <row r="700" spans="1:71">
      <c r="A700" s="30">
        <v>2025</v>
      </c>
      <c r="B700" s="31" t="s">
        <v>1215</v>
      </c>
      <c r="C700" s="31">
        <f>LN(Inventory[[#This Row],[Acres]])</f>
        <v>1.5644405465033646</v>
      </c>
      <c r="D700" s="30">
        <v>4.78</v>
      </c>
      <c r="E700" s="30">
        <v>208416</v>
      </c>
      <c r="F700" s="31" t="s">
        <v>505</v>
      </c>
      <c r="G700" s="31" t="s">
        <v>155</v>
      </c>
      <c r="H700" s="31" t="s">
        <v>5</v>
      </c>
      <c r="I700" s="31" t="s">
        <v>506</v>
      </c>
      <c r="J700" s="31" t="s">
        <v>507</v>
      </c>
      <c r="K700" s="31" t="s">
        <v>193</v>
      </c>
      <c r="L700" s="31" t="s">
        <v>21</v>
      </c>
      <c r="M700" s="31" t="s">
        <v>18</v>
      </c>
      <c r="N700" s="31">
        <v>10</v>
      </c>
      <c r="O700" s="31">
        <f>2024-Inventory[[#This Row],[YrBlt]]</f>
        <v>18</v>
      </c>
      <c r="P700" s="31">
        <f>2024-Inventory[[#This Row],[EffYr]]</f>
        <v>18</v>
      </c>
      <c r="Q700" s="30">
        <v>2006</v>
      </c>
      <c r="R700" s="30">
        <v>2006</v>
      </c>
      <c r="S700" s="30">
        <v>1840</v>
      </c>
      <c r="T700" s="37"/>
      <c r="U700" s="32"/>
      <c r="V700" s="32"/>
      <c r="W700" s="32"/>
      <c r="X700" s="32">
        <f>Inventory[[#This Row],[Bsmt Area]]-Inventory[[#This Row],[FnBsmt]]</f>
        <v>0</v>
      </c>
      <c r="Y700" s="32">
        <f>Inventory[[#This Row],[MainFn]]+Inventory[[#This Row],[UpprFn]]+Inventory[[#This Row],[AddFn]]+Inventory[[#This Row],[FnBsmt]]</f>
        <v>1840</v>
      </c>
      <c r="Z700" s="32">
        <v>2000</v>
      </c>
      <c r="AA700" s="31" t="s">
        <v>56</v>
      </c>
      <c r="AB700" s="37"/>
      <c r="AC700" s="38">
        <v>624</v>
      </c>
      <c r="AD700" s="37"/>
      <c r="AE700" s="32"/>
      <c r="AF700" s="32"/>
      <c r="AG700" s="32"/>
      <c r="AH700" s="32"/>
      <c r="AI700" s="30">
        <v>416716</v>
      </c>
      <c r="AJ700" s="30">
        <v>379212</v>
      </c>
      <c r="AK700" s="30">
        <v>37764</v>
      </c>
      <c r="AL700" s="30">
        <v>0</v>
      </c>
      <c r="AM700" s="30">
        <v>108400</v>
      </c>
      <c r="AN700" s="30">
        <v>340800</v>
      </c>
      <c r="AO700" s="30">
        <v>449200</v>
      </c>
      <c r="AP700" s="30">
        <f>Lookups!$B$58*0.6</f>
        <v>132535.48800000001</v>
      </c>
      <c r="AQ700" s="30">
        <f>Lookups!$B$58*0.4</f>
        <v>88356.992000000013</v>
      </c>
      <c r="AR700" s="30">
        <f>Lookups!$B$59*Inventory[[#This Row],[LnAcres]]</f>
        <v>20532.219917725586</v>
      </c>
      <c r="AS700" s="30">
        <f>VLOOKUP(Inventory[[#This Row],[Qlty]],Lookups!$A$66:$E$79,2,FALSE)</f>
        <v>32917.849192000001</v>
      </c>
      <c r="AT700" s="30">
        <f>VLOOKUP(Inventory[[#This Row],[Cnd]],Lookups!$A$80:$E$88,2,FALSE)</f>
        <v>17761.121909000001</v>
      </c>
      <c r="AU700" s="30">
        <f>Inventory[[#This Row],[EffAge]]*Lookups!$B$65</f>
        <v>-1957.3398</v>
      </c>
      <c r="AV700" s="30">
        <f>Inventory[[#This Row],[MainFn]]*Lookups!$B$90</f>
        <v>114835.09920000001</v>
      </c>
      <c r="AW700" s="30">
        <f>Inventory[[#This Row],[UpprFn]]*Lookups!$B$91</f>
        <v>0</v>
      </c>
      <c r="AX700" s="30">
        <f>Inventory[[#This Row],[Bsmt Area]]*Lookups!$B$95</f>
        <v>0</v>
      </c>
      <c r="AY700" s="30">
        <f>Inventory[[#This Row],[AttGar]]*Lookups!$B$93</f>
        <v>22027.843344000001</v>
      </c>
      <c r="AZ700" s="30">
        <f>ROUND(Inventory[[#This Row],[25Det]],-2)</f>
        <v>37800</v>
      </c>
      <c r="BA700" s="30">
        <f>ROUND(SUM(Inventory[[#This Row],[Mdl Qlty]:[Mdl Garage Area]])+Inventory[[#This Row],[Mdl Res Intercept]],-2)</f>
        <v>318100</v>
      </c>
      <c r="BB700" s="30">
        <f>ROUND(Inventory[[#This Row],[Mdl Land Intercept]]+Inventory[[#This Row],[Mdl LnAcres]],-2)</f>
        <v>108900</v>
      </c>
      <c r="BC700" s="30">
        <f>Inventory[[#This Row],[Unadj Res Value]]+Inventory[[#This Row],[Unadj Det Value]]+Inventory[[#This Row],[Unadj Land Value]]</f>
        <v>464800</v>
      </c>
      <c r="BD700" s="30">
        <f>(Inventory[[#This Row],[Unadj Total Value]]-Inventory[[#This Row],[24Final]])/Inventory[[#This Row],[24Final]]</f>
        <v>3.4728406055209264E-2</v>
      </c>
      <c r="BE700" s="30">
        <f>VLOOKUP(Inventory[[#This Row],[Nbhd]],Lookups!$M$3:$P$5,4,FALSE)</f>
        <v>0.99970000000000003</v>
      </c>
      <c r="BF700" s="30">
        <f>VLOOKUP(Inventory[[#This Row],[Qlty]],Lookups!$M$8:$P$22,4,FALSE)</f>
        <v>1.0019</v>
      </c>
      <c r="BG700" s="30">
        <f>VLOOKUP(Inventory[[#This Row],[Cnd]],Lookups!$R$8:$U$17,4,FALSE)</f>
        <v>0.99680000000000002</v>
      </c>
      <c r="BH700" s="30">
        <f>VLOOKUP(Inventory[[#This Row],[LivArea Range]],Lookups!$R$25:$U$43,4,FALSE)</f>
        <v>1.0007999999999999</v>
      </c>
      <c r="BI700" s="30">
        <f>VLOOKUP(Inventory[[#This Row],[Decade]],Lookups!$M$24:$P$40,4,FALSE)</f>
        <v>1.0024</v>
      </c>
      <c r="BJ700" s="30">
        <f>Inventory[[#This Row],[Nbhd Adj]]*0.95</f>
        <v>0.94971499999999998</v>
      </c>
      <c r="BK700" s="30">
        <f>AVERAGE(Inventory[[#This Row],[Nbhd Adj]],Inventory[[#This Row],[Quality Adj]],Inventory[[#This Row],[Condition Adj]],Inventory[[#This Row],[Living Area Adj]],Inventory[[#This Row],[Decade Adj]])*0.95</f>
        <v>0.95030399999999982</v>
      </c>
      <c r="BL700" s="30">
        <f>ROUND((SUM(Inventory[[#This Row],[Mdl Qlty]:[Mdl Garage Area]])+Inventory[[#This Row],[Mdl Res Intercept]])*Inventory[[#This Row],[Res Adj ]],-2)</f>
        <v>302300</v>
      </c>
      <c r="BM700" s="30">
        <f>ROUND(Inventory[[#This Row],[25Det]]*Inventory[[#This Row],[Det/Nbhd Adj]],-2)</f>
        <v>35900</v>
      </c>
      <c r="BN700" s="30">
        <f>Inventory[[#This Row],[Adjusted Res]]+Inventory[[#This Row],[Adj Det ]]</f>
        <v>338200</v>
      </c>
      <c r="BO700" s="30">
        <f>ROUND((Inventory[[#This Row],[Mdl Land Intercept]]+Inventory[[#This Row],[Mdl LnAcres]])*Inventory[[#This Row],[Det/Nbhd Adj]],-2)</f>
        <v>103400</v>
      </c>
      <c r="BP700" s="30">
        <f>Inventory[[#This Row],[Adjusted Impr Total]]+Inventory[[#This Row],[Adjusted Land Total]]</f>
        <v>441600</v>
      </c>
      <c r="BQ700" s="30">
        <f>IFERROR((Inventory[[#This Row],[Adjusted Impr Total]]-Inventory[[#This Row],[24Bldg]])/Inventory[[#This Row],[24Bldg]],0)</f>
        <v>-7.6291079812206572E-3</v>
      </c>
      <c r="BR700" s="43">
        <f>(Inventory[[#This Row],[Adjusted Land Total]]-Inventory[[#This Row],[24Lnd]])/Inventory[[#This Row],[24Lnd]]</f>
        <v>-4.6125461254612546E-2</v>
      </c>
      <c r="BS700" s="43">
        <f>(Inventory[[#This Row],[Adjusted Total]]-Inventory[[#This Row],[24Final]])/Inventory[[#This Row],[24Final]]</f>
        <v>-1.6918967052537846E-2</v>
      </c>
    </row>
    <row r="701" spans="1:71">
      <c r="A701" s="30">
        <v>2025</v>
      </c>
      <c r="B701" s="31" t="s">
        <v>1216</v>
      </c>
      <c r="C701" s="31">
        <f>LN(Inventory[[#This Row],[Acres]])</f>
        <v>-2.0402208285265546</v>
      </c>
      <c r="D701" s="30">
        <v>0.13</v>
      </c>
      <c r="E701" s="30">
        <v>5514</v>
      </c>
      <c r="F701" s="31" t="s">
        <v>505</v>
      </c>
      <c r="G701" s="31" t="s">
        <v>155</v>
      </c>
      <c r="H701" s="31" t="s">
        <v>5</v>
      </c>
      <c r="I701" s="31" t="s">
        <v>506</v>
      </c>
      <c r="J701" s="31" t="s">
        <v>507</v>
      </c>
      <c r="K701" s="31" t="s">
        <v>193</v>
      </c>
      <c r="L701" s="31" t="s">
        <v>19</v>
      </c>
      <c r="M701" s="31" t="s">
        <v>18</v>
      </c>
      <c r="N701" s="31">
        <v>10</v>
      </c>
      <c r="O701" s="31">
        <f>2024-Inventory[[#This Row],[YrBlt]]</f>
        <v>19</v>
      </c>
      <c r="P701" s="31">
        <f>2024-Inventory[[#This Row],[EffYr]]</f>
        <v>19</v>
      </c>
      <c r="Q701" s="30">
        <v>2005</v>
      </c>
      <c r="R701" s="30">
        <v>2005</v>
      </c>
      <c r="S701" s="30">
        <v>1380</v>
      </c>
      <c r="T701" s="37"/>
      <c r="U701" s="32"/>
      <c r="V701" s="32"/>
      <c r="W701" s="32"/>
      <c r="X701" s="32">
        <f>Inventory[[#This Row],[Bsmt Area]]-Inventory[[#This Row],[FnBsmt]]</f>
        <v>0</v>
      </c>
      <c r="Y701" s="32">
        <f>Inventory[[#This Row],[MainFn]]+Inventory[[#This Row],[UpprFn]]+Inventory[[#This Row],[AddFn]]+Inventory[[#This Row],[FnBsmt]]</f>
        <v>1380</v>
      </c>
      <c r="Z701" s="32">
        <v>1500</v>
      </c>
      <c r="AA701" s="31" t="s">
        <v>56</v>
      </c>
      <c r="AB701" s="32"/>
      <c r="AC701" s="30">
        <v>428</v>
      </c>
      <c r="AD701" s="32"/>
      <c r="AE701" s="32"/>
      <c r="AF701" s="32"/>
      <c r="AG701" s="32"/>
      <c r="AH701" s="32"/>
      <c r="AI701" s="30">
        <v>277795</v>
      </c>
      <c r="AJ701" s="30">
        <v>250016</v>
      </c>
      <c r="AK701" s="30">
        <v>0</v>
      </c>
      <c r="AL701" s="30">
        <v>0</v>
      </c>
      <c r="AM701" s="30">
        <v>57900</v>
      </c>
      <c r="AN701" s="30">
        <v>283700</v>
      </c>
      <c r="AO701" s="30">
        <v>341600</v>
      </c>
      <c r="AP701" s="30">
        <f>Lookups!$B$58*0.6</f>
        <v>132535.48800000001</v>
      </c>
      <c r="AQ701" s="30">
        <f>Lookups!$B$58*0.4</f>
        <v>88356.992000000013</v>
      </c>
      <c r="AR701" s="30">
        <f>Lookups!$B$59*Inventory[[#This Row],[LnAcres]]</f>
        <v>-26776.513064468461</v>
      </c>
      <c r="AS701" s="30">
        <f>VLOOKUP(Inventory[[#This Row],[Qlty]],Lookups!$A$66:$E$79,2,FALSE)</f>
        <v>37154.252388000001</v>
      </c>
      <c r="AT701" s="30">
        <f>VLOOKUP(Inventory[[#This Row],[Cnd]],Lookups!$A$80:$E$88,2,FALSE)</f>
        <v>17761.121909000001</v>
      </c>
      <c r="AU701" s="30">
        <f>Inventory[[#This Row],[EffAge]]*Lookups!$B$65</f>
        <v>-2066.0808999999999</v>
      </c>
      <c r="AV701" s="30">
        <f>Inventory[[#This Row],[MainFn]]*Lookups!$B$90</f>
        <v>86126.324399999998</v>
      </c>
      <c r="AW701" s="30">
        <f>Inventory[[#This Row],[UpprFn]]*Lookups!$B$91</f>
        <v>0</v>
      </c>
      <c r="AX701" s="30">
        <f>Inventory[[#This Row],[Bsmt Area]]*Lookups!$B$95</f>
        <v>0</v>
      </c>
      <c r="AY701" s="30">
        <f>Inventory[[#This Row],[AttGar]]*Lookups!$B$93</f>
        <v>15108.841268</v>
      </c>
      <c r="AZ701" s="30">
        <f>ROUND(Inventory[[#This Row],[25Det]],-2)</f>
        <v>0</v>
      </c>
      <c r="BA701" s="30">
        <f>ROUND(SUM(Inventory[[#This Row],[Mdl Qlty]:[Mdl Garage Area]])+Inventory[[#This Row],[Mdl Res Intercept]],-2)</f>
        <v>286600</v>
      </c>
      <c r="BB701" s="30">
        <f>ROUND(Inventory[[#This Row],[Mdl Land Intercept]]+Inventory[[#This Row],[Mdl LnAcres]],-2)</f>
        <v>61600</v>
      </c>
      <c r="BC701" s="30">
        <f>Inventory[[#This Row],[Unadj Res Value]]+Inventory[[#This Row],[Unadj Det Value]]+Inventory[[#This Row],[Unadj Land Value]]</f>
        <v>348200</v>
      </c>
      <c r="BD701" s="30">
        <f>(Inventory[[#This Row],[Unadj Total Value]]-Inventory[[#This Row],[24Final]])/Inventory[[#This Row],[24Final]]</f>
        <v>1.9320843091334895E-2</v>
      </c>
      <c r="BE701" s="30">
        <f>VLOOKUP(Inventory[[#This Row],[Nbhd]],Lookups!$M$3:$P$5,4,FALSE)</f>
        <v>0.99970000000000003</v>
      </c>
      <c r="BF701" s="30">
        <f>VLOOKUP(Inventory[[#This Row],[Qlty]],Lookups!$M$8:$P$22,4,FALSE)</f>
        <v>0.99819999999999998</v>
      </c>
      <c r="BG701" s="30">
        <f>VLOOKUP(Inventory[[#This Row],[Cnd]],Lookups!$R$8:$U$17,4,FALSE)</f>
        <v>0.99680000000000002</v>
      </c>
      <c r="BH701" s="30">
        <f>VLOOKUP(Inventory[[#This Row],[LivArea Range]],Lookups!$R$25:$U$43,4,FALSE)</f>
        <v>0.99519999999999997</v>
      </c>
      <c r="BI701" s="30">
        <f>VLOOKUP(Inventory[[#This Row],[Decade]],Lookups!$M$24:$P$40,4,FALSE)</f>
        <v>1.0024</v>
      </c>
      <c r="BJ701" s="30">
        <f>Inventory[[#This Row],[Nbhd Adj]]*0.95</f>
        <v>0.94971499999999998</v>
      </c>
      <c r="BK701" s="30">
        <f>AVERAGE(Inventory[[#This Row],[Nbhd Adj]],Inventory[[#This Row],[Quality Adj]],Inventory[[#This Row],[Condition Adj]],Inventory[[#This Row],[Living Area Adj]],Inventory[[#This Row],[Decade Adj]])*0.95</f>
        <v>0.94853699999999996</v>
      </c>
      <c r="BL701" s="30">
        <f>ROUND((SUM(Inventory[[#This Row],[Mdl Qlty]:[Mdl Garage Area]])+Inventory[[#This Row],[Mdl Res Intercept]])*Inventory[[#This Row],[Res Adj ]],-2)</f>
        <v>271900</v>
      </c>
      <c r="BM701" s="30">
        <f>ROUND(Inventory[[#This Row],[25Det]]*Inventory[[#This Row],[Det/Nbhd Adj]],-2)</f>
        <v>0</v>
      </c>
      <c r="BN701" s="30">
        <f>Inventory[[#This Row],[Adjusted Res]]+Inventory[[#This Row],[Adj Det ]]</f>
        <v>271900</v>
      </c>
      <c r="BO701" s="30">
        <f>ROUND((Inventory[[#This Row],[Mdl Land Intercept]]+Inventory[[#This Row],[Mdl LnAcres]])*Inventory[[#This Row],[Det/Nbhd Adj]],-2)</f>
        <v>58500</v>
      </c>
      <c r="BP701" s="30">
        <f>Inventory[[#This Row],[Adjusted Impr Total]]+Inventory[[#This Row],[Adjusted Land Total]]</f>
        <v>330400</v>
      </c>
      <c r="BQ701" s="30">
        <f>IFERROR((Inventory[[#This Row],[Adjusted Impr Total]]-Inventory[[#This Row],[24Bldg]])/Inventory[[#This Row],[24Bldg]],0)</f>
        <v>-4.1593232287627777E-2</v>
      </c>
      <c r="BR701" s="43">
        <f>(Inventory[[#This Row],[Adjusted Land Total]]-Inventory[[#This Row],[24Lnd]])/Inventory[[#This Row],[24Lnd]]</f>
        <v>1.0362694300518135E-2</v>
      </c>
      <c r="BS701" s="43">
        <f>(Inventory[[#This Row],[Adjusted Total]]-Inventory[[#This Row],[24Final]])/Inventory[[#This Row],[24Final]]</f>
        <v>-3.2786885245901641E-2</v>
      </c>
    </row>
    <row r="702" spans="1:71">
      <c r="A702" s="30">
        <v>2025</v>
      </c>
      <c r="B702" s="31" t="s">
        <v>1217</v>
      </c>
      <c r="C702" s="31">
        <f>LN(Inventory[[#This Row],[Acres]])</f>
        <v>-1.8971199848858813</v>
      </c>
      <c r="D702" s="30">
        <v>0.15</v>
      </c>
      <c r="E702" s="30">
        <v>6665</v>
      </c>
      <c r="F702" s="31" t="s">
        <v>505</v>
      </c>
      <c r="G702" s="31" t="s">
        <v>155</v>
      </c>
      <c r="H702" s="31" t="s">
        <v>5</v>
      </c>
      <c r="I702" s="31" t="s">
        <v>506</v>
      </c>
      <c r="J702" s="31" t="s">
        <v>507</v>
      </c>
      <c r="K702" s="31" t="s">
        <v>157</v>
      </c>
      <c r="L702" s="31" t="s">
        <v>21</v>
      </c>
      <c r="M702" s="31" t="s">
        <v>22</v>
      </c>
      <c r="N702" s="31">
        <v>10</v>
      </c>
      <c r="O702" s="31">
        <f>2024-Inventory[[#This Row],[YrBlt]]</f>
        <v>19</v>
      </c>
      <c r="P702" s="31">
        <f>2024-Inventory[[#This Row],[EffYr]]</f>
        <v>19</v>
      </c>
      <c r="Q702" s="30">
        <v>2005</v>
      </c>
      <c r="R702" s="30">
        <v>2005</v>
      </c>
      <c r="S702" s="30">
        <v>1158</v>
      </c>
      <c r="T702" s="30">
        <v>1332</v>
      </c>
      <c r="U702" s="32"/>
      <c r="V702" s="32"/>
      <c r="W702" s="32"/>
      <c r="X702" s="32">
        <f>Inventory[[#This Row],[Bsmt Area]]-Inventory[[#This Row],[FnBsmt]]</f>
        <v>0</v>
      </c>
      <c r="Y702" s="32">
        <f>Inventory[[#This Row],[MainFn]]+Inventory[[#This Row],[UpprFn]]+Inventory[[#This Row],[AddFn]]+Inventory[[#This Row],[FnBsmt]]</f>
        <v>2490</v>
      </c>
      <c r="Z702" s="32">
        <v>2500</v>
      </c>
      <c r="AA702" s="31" t="s">
        <v>57</v>
      </c>
      <c r="AB702" s="32"/>
      <c r="AC702" s="37"/>
      <c r="AD702" s="38">
        <v>502</v>
      </c>
      <c r="AE702" s="32"/>
      <c r="AF702" s="32"/>
      <c r="AG702" s="32"/>
      <c r="AH702" s="32"/>
      <c r="AI702" s="30">
        <v>479136</v>
      </c>
      <c r="AJ702" s="30">
        <v>436014</v>
      </c>
      <c r="AK702" s="30">
        <v>0</v>
      </c>
      <c r="AL702" s="30">
        <v>0</v>
      </c>
      <c r="AM702" s="30">
        <v>59900</v>
      </c>
      <c r="AN702" s="30">
        <v>367300</v>
      </c>
      <c r="AO702" s="30">
        <v>427200</v>
      </c>
      <c r="AP702" s="30">
        <f>Lookups!$B$58*0.6</f>
        <v>132535.48800000001</v>
      </c>
      <c r="AQ702" s="30">
        <f>Lookups!$B$58*0.4</f>
        <v>88356.992000000013</v>
      </c>
      <c r="AR702" s="30">
        <f>Lookups!$B$59*Inventory[[#This Row],[LnAcres]]</f>
        <v>-24898.411657157456</v>
      </c>
      <c r="AS702" s="30">
        <f>VLOOKUP(Inventory[[#This Row],[Qlty]],Lookups!$A$66:$E$79,2,FALSE)</f>
        <v>32917.849192000001</v>
      </c>
      <c r="AT702" s="30">
        <f>VLOOKUP(Inventory[[#This Row],[Cnd]],Lookups!$A$80:$E$88,2,FALSE)</f>
        <v>50438.379078999998</v>
      </c>
      <c r="AU702" s="30">
        <f>Inventory[[#This Row],[EffAge]]*Lookups!$B$65</f>
        <v>-2066.0808999999999</v>
      </c>
      <c r="AV702" s="30">
        <f>Inventory[[#This Row],[MainFn]]*Lookups!$B$90</f>
        <v>72271.22004</v>
      </c>
      <c r="AW702" s="30">
        <f>Inventory[[#This Row],[UpprFn]]*Lookups!$B$91</f>
        <v>79361.070156000002</v>
      </c>
      <c r="AX702" s="30">
        <f>Inventory[[#This Row],[Bsmt Area]]*Lookups!$B$95</f>
        <v>0</v>
      </c>
      <c r="AY702" s="30">
        <f>Inventory[[#This Row],[AttGar]]*Lookups!$B$93</f>
        <v>0</v>
      </c>
      <c r="AZ702" s="30">
        <f>ROUND(Inventory[[#This Row],[25Det]],-2)</f>
        <v>0</v>
      </c>
      <c r="BA702" s="30">
        <f>ROUND(SUM(Inventory[[#This Row],[Mdl Qlty]:[Mdl Garage Area]])+Inventory[[#This Row],[Mdl Res Intercept]],-2)</f>
        <v>365500</v>
      </c>
      <c r="BB702" s="30">
        <f>ROUND(Inventory[[#This Row],[Mdl Land Intercept]]+Inventory[[#This Row],[Mdl LnAcres]],-2)</f>
        <v>63500</v>
      </c>
      <c r="BC702" s="30">
        <f>Inventory[[#This Row],[Unadj Res Value]]+Inventory[[#This Row],[Unadj Det Value]]+Inventory[[#This Row],[Unadj Land Value]]</f>
        <v>429000</v>
      </c>
      <c r="BD702" s="30">
        <f>(Inventory[[#This Row],[Unadj Total Value]]-Inventory[[#This Row],[24Final]])/Inventory[[#This Row],[24Final]]</f>
        <v>4.2134831460674156E-3</v>
      </c>
      <c r="BE702" s="30">
        <f>VLOOKUP(Inventory[[#This Row],[Nbhd]],Lookups!$M$3:$P$5,4,FALSE)</f>
        <v>0.99970000000000003</v>
      </c>
      <c r="BF702" s="30">
        <f>VLOOKUP(Inventory[[#This Row],[Qlty]],Lookups!$M$8:$P$22,4,FALSE)</f>
        <v>1.0019</v>
      </c>
      <c r="BG702" s="30">
        <f>VLOOKUP(Inventory[[#This Row],[Cnd]],Lookups!$R$8:$U$17,4,FALSE)</f>
        <v>1.0007999999999999</v>
      </c>
      <c r="BH702" s="30">
        <f>VLOOKUP(Inventory[[#This Row],[LivArea Range]],Lookups!$R$25:$U$43,4,FALSE)</f>
        <v>1.0008999999999999</v>
      </c>
      <c r="BI702" s="30">
        <f>VLOOKUP(Inventory[[#This Row],[Decade]],Lookups!$M$24:$P$40,4,FALSE)</f>
        <v>1.0024</v>
      </c>
      <c r="BJ702" s="30">
        <f>Inventory[[#This Row],[Nbhd Adj]]*0.95</f>
        <v>0.94971499999999998</v>
      </c>
      <c r="BK702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702" s="30">
        <f>ROUND((SUM(Inventory[[#This Row],[Mdl Qlty]:[Mdl Garage Area]])+Inventory[[#This Row],[Mdl Res Intercept]])*Inventory[[#This Row],[Res Adj ]],-2)</f>
        <v>347600</v>
      </c>
      <c r="BM702" s="30">
        <f>ROUND(Inventory[[#This Row],[25Det]]*Inventory[[#This Row],[Det/Nbhd Adj]],-2)</f>
        <v>0</v>
      </c>
      <c r="BN702" s="30">
        <f>Inventory[[#This Row],[Adjusted Res]]+Inventory[[#This Row],[Adj Det ]]</f>
        <v>347600</v>
      </c>
      <c r="BO702" s="30">
        <f>ROUND((Inventory[[#This Row],[Mdl Land Intercept]]+Inventory[[#This Row],[Mdl LnAcres]])*Inventory[[#This Row],[Det/Nbhd Adj]],-2)</f>
        <v>60300</v>
      </c>
      <c r="BP702" s="30">
        <f>Inventory[[#This Row],[Adjusted Impr Total]]+Inventory[[#This Row],[Adjusted Land Total]]</f>
        <v>407900</v>
      </c>
      <c r="BQ702" s="30">
        <f>IFERROR((Inventory[[#This Row],[Adjusted Impr Total]]-Inventory[[#This Row],[24Bldg]])/Inventory[[#This Row],[24Bldg]],0)</f>
        <v>-5.3634631091750609E-2</v>
      </c>
      <c r="BR702" s="43">
        <f>(Inventory[[#This Row],[Adjusted Land Total]]-Inventory[[#This Row],[24Lnd]])/Inventory[[#This Row],[24Lnd]]</f>
        <v>6.6777963272120202E-3</v>
      </c>
      <c r="BS702" s="43">
        <f>(Inventory[[#This Row],[Adjusted Total]]-Inventory[[#This Row],[24Final]])/Inventory[[#This Row],[24Final]]</f>
        <v>-4.5177902621722846E-2</v>
      </c>
    </row>
    <row r="703" spans="1:71">
      <c r="A703" s="30">
        <v>2025</v>
      </c>
      <c r="B703" s="31" t="s">
        <v>1218</v>
      </c>
      <c r="C703" s="31">
        <f>LN(Inventory[[#This Row],[Acres]])</f>
        <v>-1.8971199848858813</v>
      </c>
      <c r="D703" s="30">
        <v>0.15</v>
      </c>
      <c r="E703" s="30">
        <v>6685</v>
      </c>
      <c r="F703" s="31" t="s">
        <v>505</v>
      </c>
      <c r="G703" s="31" t="s">
        <v>155</v>
      </c>
      <c r="H703" s="31" t="s">
        <v>5</v>
      </c>
      <c r="I703" s="31" t="s">
        <v>506</v>
      </c>
      <c r="J703" s="31" t="s">
        <v>507</v>
      </c>
      <c r="K703" s="31" t="s">
        <v>193</v>
      </c>
      <c r="L703" s="31" t="s">
        <v>21</v>
      </c>
      <c r="M703" s="31" t="s">
        <v>20</v>
      </c>
      <c r="N703" s="31">
        <v>10</v>
      </c>
      <c r="O703" s="31">
        <f>2024-Inventory[[#This Row],[YrBlt]]</f>
        <v>19</v>
      </c>
      <c r="P703" s="31">
        <f>2024-Inventory[[#This Row],[EffYr]]</f>
        <v>19</v>
      </c>
      <c r="Q703" s="30">
        <v>2005</v>
      </c>
      <c r="R703" s="30">
        <v>2005</v>
      </c>
      <c r="S703" s="30">
        <v>1380</v>
      </c>
      <c r="T703" s="32"/>
      <c r="U703" s="32"/>
      <c r="V703" s="32"/>
      <c r="W703" s="32"/>
      <c r="X703" s="32">
        <f>Inventory[[#This Row],[Bsmt Area]]-Inventory[[#This Row],[FnBsmt]]</f>
        <v>0</v>
      </c>
      <c r="Y703" s="32">
        <f>Inventory[[#This Row],[MainFn]]+Inventory[[#This Row],[UpprFn]]+Inventory[[#This Row],[AddFn]]+Inventory[[#This Row],[FnBsmt]]</f>
        <v>1380</v>
      </c>
      <c r="Z703" s="32">
        <v>1500</v>
      </c>
      <c r="AA703" s="31" t="s">
        <v>55</v>
      </c>
      <c r="AB703" s="37"/>
      <c r="AC703" s="30">
        <v>428</v>
      </c>
      <c r="AD703" s="32"/>
      <c r="AE703" s="32"/>
      <c r="AF703" s="32"/>
      <c r="AG703" s="32"/>
      <c r="AH703" s="32"/>
      <c r="AI703" s="30">
        <v>308394</v>
      </c>
      <c r="AJ703" s="30">
        <v>280639</v>
      </c>
      <c r="AK703" s="30">
        <v>0</v>
      </c>
      <c r="AL703" s="30">
        <v>0</v>
      </c>
      <c r="AM703" s="30">
        <v>59900</v>
      </c>
      <c r="AN703" s="30">
        <v>286000</v>
      </c>
      <c r="AO703" s="30">
        <v>345900</v>
      </c>
      <c r="AP703" s="30">
        <f>Lookups!$B$58*0.6</f>
        <v>132535.48800000001</v>
      </c>
      <c r="AQ703" s="30">
        <f>Lookups!$B$58*0.4</f>
        <v>88356.992000000013</v>
      </c>
      <c r="AR703" s="30">
        <f>Lookups!$B$59*Inventory[[#This Row],[LnAcres]]</f>
        <v>-24898.411657157456</v>
      </c>
      <c r="AS703" s="30">
        <f>VLOOKUP(Inventory[[#This Row],[Qlty]],Lookups!$A$66:$E$79,2,FALSE)</f>
        <v>32917.849192000001</v>
      </c>
      <c r="AT703" s="30">
        <f>VLOOKUP(Inventory[[#This Row],[Cnd]],Lookups!$A$80:$E$88,2,FALSE)</f>
        <v>30300.329274</v>
      </c>
      <c r="AU703" s="30">
        <f>Inventory[[#This Row],[EffAge]]*Lookups!$B$65</f>
        <v>-2066.0808999999999</v>
      </c>
      <c r="AV703" s="30">
        <f>Inventory[[#This Row],[MainFn]]*Lookups!$B$90</f>
        <v>86126.324399999998</v>
      </c>
      <c r="AW703" s="30">
        <f>Inventory[[#This Row],[UpprFn]]*Lookups!$B$91</f>
        <v>0</v>
      </c>
      <c r="AX703" s="30">
        <f>Inventory[[#This Row],[Bsmt Area]]*Lookups!$B$95</f>
        <v>0</v>
      </c>
      <c r="AY703" s="30">
        <f>Inventory[[#This Row],[AttGar]]*Lookups!$B$93</f>
        <v>15108.841268</v>
      </c>
      <c r="AZ703" s="30">
        <f>ROUND(Inventory[[#This Row],[25Det]],-2)</f>
        <v>0</v>
      </c>
      <c r="BA703" s="30">
        <f>ROUND(SUM(Inventory[[#This Row],[Mdl Qlty]:[Mdl Garage Area]])+Inventory[[#This Row],[Mdl Res Intercept]],-2)</f>
        <v>294900</v>
      </c>
      <c r="BB703" s="30">
        <f>ROUND(Inventory[[#This Row],[Mdl Land Intercept]]+Inventory[[#This Row],[Mdl LnAcres]],-2)</f>
        <v>63500</v>
      </c>
      <c r="BC703" s="30">
        <f>Inventory[[#This Row],[Unadj Res Value]]+Inventory[[#This Row],[Unadj Det Value]]+Inventory[[#This Row],[Unadj Land Value]]</f>
        <v>358400</v>
      </c>
      <c r="BD703" s="30">
        <f>(Inventory[[#This Row],[Unadj Total Value]]-Inventory[[#This Row],[24Final]])/Inventory[[#This Row],[24Final]]</f>
        <v>3.6137612026597279E-2</v>
      </c>
      <c r="BE703" s="30">
        <f>VLOOKUP(Inventory[[#This Row],[Nbhd]],Lookups!$M$3:$P$5,4,FALSE)</f>
        <v>0.99970000000000003</v>
      </c>
      <c r="BF703" s="30">
        <f>VLOOKUP(Inventory[[#This Row],[Qlty]],Lookups!$M$8:$P$22,4,FALSE)</f>
        <v>1.0019</v>
      </c>
      <c r="BG703" s="30">
        <f>VLOOKUP(Inventory[[#This Row],[Cnd]],Lookups!$R$8:$U$17,4,FALSE)</f>
        <v>0.997</v>
      </c>
      <c r="BH703" s="30">
        <f>VLOOKUP(Inventory[[#This Row],[LivArea Range]],Lookups!$R$25:$U$43,4,FALSE)</f>
        <v>0.99519999999999997</v>
      </c>
      <c r="BI703" s="30">
        <f>VLOOKUP(Inventory[[#This Row],[Decade]],Lookups!$M$24:$P$40,4,FALSE)</f>
        <v>1.0024</v>
      </c>
      <c r="BJ703" s="30">
        <f>Inventory[[#This Row],[Nbhd Adj]]*0.95</f>
        <v>0.94971499999999998</v>
      </c>
      <c r="BK703" s="30">
        <f>AVERAGE(Inventory[[#This Row],[Nbhd Adj]],Inventory[[#This Row],[Quality Adj]],Inventory[[#This Row],[Condition Adj]],Inventory[[#This Row],[Living Area Adj]],Inventory[[#This Row],[Decade Adj]])*0.95</f>
        <v>0.94927799999999996</v>
      </c>
      <c r="BL703" s="30">
        <f>ROUND((SUM(Inventory[[#This Row],[Mdl Qlty]:[Mdl Garage Area]])+Inventory[[#This Row],[Mdl Res Intercept]])*Inventory[[#This Row],[Res Adj ]],-2)</f>
        <v>280000</v>
      </c>
      <c r="BM703" s="30">
        <f>ROUND(Inventory[[#This Row],[25Det]]*Inventory[[#This Row],[Det/Nbhd Adj]],-2)</f>
        <v>0</v>
      </c>
      <c r="BN703" s="30">
        <f>Inventory[[#This Row],[Adjusted Res]]+Inventory[[#This Row],[Adj Det ]]</f>
        <v>280000</v>
      </c>
      <c r="BO703" s="30">
        <f>ROUND((Inventory[[#This Row],[Mdl Land Intercept]]+Inventory[[#This Row],[Mdl LnAcres]])*Inventory[[#This Row],[Det/Nbhd Adj]],-2)</f>
        <v>60300</v>
      </c>
      <c r="BP703" s="30">
        <f>Inventory[[#This Row],[Adjusted Impr Total]]+Inventory[[#This Row],[Adjusted Land Total]]</f>
        <v>340300</v>
      </c>
      <c r="BQ703" s="30">
        <f>IFERROR((Inventory[[#This Row],[Adjusted Impr Total]]-Inventory[[#This Row],[24Bldg]])/Inventory[[#This Row],[24Bldg]],0)</f>
        <v>-2.097902097902098E-2</v>
      </c>
      <c r="BR703" s="43">
        <f>(Inventory[[#This Row],[Adjusted Land Total]]-Inventory[[#This Row],[24Lnd]])/Inventory[[#This Row],[24Lnd]]</f>
        <v>6.6777963272120202E-3</v>
      </c>
      <c r="BS703" s="43">
        <f>(Inventory[[#This Row],[Adjusted Total]]-Inventory[[#This Row],[24Final]])/Inventory[[#This Row],[24Final]]</f>
        <v>-1.6189650187915582E-2</v>
      </c>
    </row>
    <row r="704" spans="1:71">
      <c r="A704" s="30">
        <v>2025</v>
      </c>
      <c r="B704" s="31" t="s">
        <v>1219</v>
      </c>
      <c r="C704" s="31">
        <f>LN(Inventory[[#This Row],[Acres]])</f>
        <v>-1.8325814637483102</v>
      </c>
      <c r="D704" s="30">
        <v>0.16</v>
      </c>
      <c r="E704" s="30">
        <v>6992</v>
      </c>
      <c r="F704" s="31" t="s">
        <v>505</v>
      </c>
      <c r="G704" s="31" t="s">
        <v>155</v>
      </c>
      <c r="H704" s="31" t="s">
        <v>5</v>
      </c>
      <c r="I704" s="31" t="s">
        <v>506</v>
      </c>
      <c r="J704" s="31" t="s">
        <v>507</v>
      </c>
      <c r="K704" s="31" t="s">
        <v>157</v>
      </c>
      <c r="L704" s="31" t="s">
        <v>21</v>
      </c>
      <c r="M704" s="31" t="s">
        <v>18</v>
      </c>
      <c r="N704" s="31">
        <v>10</v>
      </c>
      <c r="O704" s="31">
        <f>2024-Inventory[[#This Row],[YrBlt]]</f>
        <v>19</v>
      </c>
      <c r="P704" s="31">
        <f>2024-Inventory[[#This Row],[EffYr]]</f>
        <v>19</v>
      </c>
      <c r="Q704" s="30">
        <v>2005</v>
      </c>
      <c r="R704" s="30">
        <v>2005</v>
      </c>
      <c r="S704" s="30">
        <v>1158</v>
      </c>
      <c r="T704" s="30">
        <v>1322</v>
      </c>
      <c r="U704" s="32"/>
      <c r="V704" s="32"/>
      <c r="W704" s="32"/>
      <c r="X704" s="32">
        <f>Inventory[[#This Row],[Bsmt Area]]-Inventory[[#This Row],[FnBsmt]]</f>
        <v>0</v>
      </c>
      <c r="Y704" s="32">
        <f>Inventory[[#This Row],[MainFn]]+Inventory[[#This Row],[UpprFn]]+Inventory[[#This Row],[AddFn]]+Inventory[[#This Row],[FnBsmt]]</f>
        <v>2480</v>
      </c>
      <c r="Z704" s="32">
        <v>2500</v>
      </c>
      <c r="AA704" s="31" t="s">
        <v>57</v>
      </c>
      <c r="AB704" s="30">
        <v>1</v>
      </c>
      <c r="AC704" s="30">
        <v>300</v>
      </c>
      <c r="AD704" s="38">
        <v>502</v>
      </c>
      <c r="AE704" s="32"/>
      <c r="AF704" s="32"/>
      <c r="AG704" s="32"/>
      <c r="AH704" s="32"/>
      <c r="AI704" s="30">
        <v>505154</v>
      </c>
      <c r="AJ704" s="30">
        <v>454639</v>
      </c>
      <c r="AK704" s="30">
        <v>0</v>
      </c>
      <c r="AL704" s="30">
        <v>0</v>
      </c>
      <c r="AM704" s="30">
        <v>60800</v>
      </c>
      <c r="AN704" s="30">
        <v>352500</v>
      </c>
      <c r="AO704" s="30">
        <v>413300</v>
      </c>
      <c r="AP704" s="30">
        <f>Lookups!$B$58*0.6</f>
        <v>132535.48800000001</v>
      </c>
      <c r="AQ704" s="30">
        <f>Lookups!$B$58*0.4</f>
        <v>88356.992000000013</v>
      </c>
      <c r="AR704" s="30">
        <f>Lookups!$B$59*Inventory[[#This Row],[LnAcres]]</f>
        <v>-24051.387388882686</v>
      </c>
      <c r="AS704" s="30">
        <f>VLOOKUP(Inventory[[#This Row],[Qlty]],Lookups!$A$66:$E$79,2,FALSE)</f>
        <v>32917.849192000001</v>
      </c>
      <c r="AT704" s="30">
        <f>VLOOKUP(Inventory[[#This Row],[Cnd]],Lookups!$A$80:$E$88,2,FALSE)</f>
        <v>17761.121909000001</v>
      </c>
      <c r="AU704" s="30">
        <f>Inventory[[#This Row],[EffAge]]*Lookups!$B$65</f>
        <v>-2066.0808999999999</v>
      </c>
      <c r="AV704" s="30">
        <f>Inventory[[#This Row],[MainFn]]*Lookups!$B$90</f>
        <v>72271.22004</v>
      </c>
      <c r="AW704" s="30">
        <f>Inventory[[#This Row],[UpprFn]]*Lookups!$B$91</f>
        <v>78765.266325999997</v>
      </c>
      <c r="AX704" s="30">
        <f>Inventory[[#This Row],[Bsmt Area]]*Lookups!$B$95</f>
        <v>0</v>
      </c>
      <c r="AY704" s="30">
        <f>Inventory[[#This Row],[AttGar]]*Lookups!$B$93</f>
        <v>10590.309300000001</v>
      </c>
      <c r="AZ704" s="30">
        <f>ROUND(Inventory[[#This Row],[25Det]],-2)</f>
        <v>0</v>
      </c>
      <c r="BA704" s="30">
        <f>ROUND(SUM(Inventory[[#This Row],[Mdl Qlty]:[Mdl Garage Area]])+Inventory[[#This Row],[Mdl Res Intercept]],-2)</f>
        <v>342800</v>
      </c>
      <c r="BB704" s="30">
        <f>ROUND(Inventory[[#This Row],[Mdl Land Intercept]]+Inventory[[#This Row],[Mdl LnAcres]],-2)</f>
        <v>64300</v>
      </c>
      <c r="BC704" s="30">
        <f>Inventory[[#This Row],[Unadj Res Value]]+Inventory[[#This Row],[Unadj Det Value]]+Inventory[[#This Row],[Unadj Land Value]]</f>
        <v>407100</v>
      </c>
      <c r="BD704" s="30">
        <f>(Inventory[[#This Row],[Unadj Total Value]]-Inventory[[#This Row],[24Final]])/Inventory[[#This Row],[24Final]]</f>
        <v>-1.5001209774981853E-2</v>
      </c>
      <c r="BE704" s="30">
        <f>VLOOKUP(Inventory[[#This Row],[Nbhd]],Lookups!$M$3:$P$5,4,FALSE)</f>
        <v>0.99970000000000003</v>
      </c>
      <c r="BF704" s="30">
        <f>VLOOKUP(Inventory[[#This Row],[Qlty]],Lookups!$M$8:$P$22,4,FALSE)</f>
        <v>1.0019</v>
      </c>
      <c r="BG704" s="30">
        <f>VLOOKUP(Inventory[[#This Row],[Cnd]],Lookups!$R$8:$U$17,4,FALSE)</f>
        <v>0.99680000000000002</v>
      </c>
      <c r="BH704" s="30">
        <f>VLOOKUP(Inventory[[#This Row],[LivArea Range]],Lookups!$R$25:$U$43,4,FALSE)</f>
        <v>1.0008999999999999</v>
      </c>
      <c r="BI704" s="30">
        <f>VLOOKUP(Inventory[[#This Row],[Decade]],Lookups!$M$24:$P$40,4,FALSE)</f>
        <v>1.0024</v>
      </c>
      <c r="BJ704" s="30">
        <f>Inventory[[#This Row],[Nbhd Adj]]*0.95</f>
        <v>0.94971499999999998</v>
      </c>
      <c r="BK704" s="30">
        <f>AVERAGE(Inventory[[#This Row],[Nbhd Adj]],Inventory[[#This Row],[Quality Adj]],Inventory[[#This Row],[Condition Adj]],Inventory[[#This Row],[Living Area Adj]],Inventory[[#This Row],[Decade Adj]])*0.95</f>
        <v>0.95032299999999992</v>
      </c>
      <c r="BL704" s="30">
        <f>ROUND((SUM(Inventory[[#This Row],[Mdl Qlty]:[Mdl Garage Area]])+Inventory[[#This Row],[Mdl Res Intercept]])*Inventory[[#This Row],[Res Adj ]],-2)</f>
        <v>325700</v>
      </c>
      <c r="BM704" s="30">
        <f>ROUND(Inventory[[#This Row],[25Det]]*Inventory[[#This Row],[Det/Nbhd Adj]],-2)</f>
        <v>0</v>
      </c>
      <c r="BN704" s="30">
        <f>Inventory[[#This Row],[Adjusted Res]]+Inventory[[#This Row],[Adj Det ]]</f>
        <v>325700</v>
      </c>
      <c r="BO704" s="30">
        <f>ROUND((Inventory[[#This Row],[Mdl Land Intercept]]+Inventory[[#This Row],[Mdl LnAcres]])*Inventory[[#This Row],[Det/Nbhd Adj]],-2)</f>
        <v>61100</v>
      </c>
      <c r="BP704" s="30">
        <f>Inventory[[#This Row],[Adjusted Impr Total]]+Inventory[[#This Row],[Adjusted Land Total]]</f>
        <v>386800</v>
      </c>
      <c r="BQ704" s="30">
        <f>IFERROR((Inventory[[#This Row],[Adjusted Impr Total]]-Inventory[[#This Row],[24Bldg]])/Inventory[[#This Row],[24Bldg]],0)</f>
        <v>-7.6028368794326243E-2</v>
      </c>
      <c r="BR704" s="43">
        <f>(Inventory[[#This Row],[Adjusted Land Total]]-Inventory[[#This Row],[24Lnd]])/Inventory[[#This Row],[24Lnd]]</f>
        <v>4.9342105263157892E-3</v>
      </c>
      <c r="BS704" s="43">
        <f>(Inventory[[#This Row],[Adjusted Total]]-Inventory[[#This Row],[24Final]])/Inventory[[#This Row],[24Final]]</f>
        <v>-6.4118074038228889E-2</v>
      </c>
    </row>
    <row r="705" spans="1:71">
      <c r="A705" s="30">
        <v>2025</v>
      </c>
      <c r="B705" s="31" t="s">
        <v>1220</v>
      </c>
      <c r="C705" s="31">
        <f>LN(Inventory[[#This Row],[Acres]])</f>
        <v>-1.8325814637483102</v>
      </c>
      <c r="D705" s="30">
        <v>0.16</v>
      </c>
      <c r="E705" s="30">
        <v>6992</v>
      </c>
      <c r="F705" s="31" t="s">
        <v>505</v>
      </c>
      <c r="G705" s="31" t="s">
        <v>155</v>
      </c>
      <c r="H705" s="31" t="s">
        <v>5</v>
      </c>
      <c r="I705" s="31" t="s">
        <v>506</v>
      </c>
      <c r="J705" s="31" t="s">
        <v>507</v>
      </c>
      <c r="K705" s="31" t="s">
        <v>157</v>
      </c>
      <c r="L705" s="31" t="s">
        <v>21</v>
      </c>
      <c r="M705" s="31" t="s">
        <v>20</v>
      </c>
      <c r="N705" s="31">
        <v>10</v>
      </c>
      <c r="O705" s="31">
        <f>2024-Inventory[[#This Row],[YrBlt]]</f>
        <v>19</v>
      </c>
      <c r="P705" s="31">
        <f>2024-Inventory[[#This Row],[EffYr]]</f>
        <v>19</v>
      </c>
      <c r="Q705" s="30">
        <v>2005</v>
      </c>
      <c r="R705" s="30">
        <v>2005</v>
      </c>
      <c r="S705" s="30">
        <v>1158</v>
      </c>
      <c r="T705" s="38">
        <v>1322</v>
      </c>
      <c r="U705" s="32"/>
      <c r="V705" s="32"/>
      <c r="W705" s="32"/>
      <c r="X705" s="32">
        <f>Inventory[[#This Row],[Bsmt Area]]-Inventory[[#This Row],[FnBsmt]]</f>
        <v>0</v>
      </c>
      <c r="Y705" s="32">
        <f>Inventory[[#This Row],[MainFn]]+Inventory[[#This Row],[UpprFn]]+Inventory[[#This Row],[AddFn]]+Inventory[[#This Row],[FnBsmt]]</f>
        <v>2480</v>
      </c>
      <c r="Z705" s="32">
        <v>2500</v>
      </c>
      <c r="AA705" s="31" t="s">
        <v>57</v>
      </c>
      <c r="AB705" s="30">
        <v>1</v>
      </c>
      <c r="AC705" s="30">
        <v>300</v>
      </c>
      <c r="AD705" s="38">
        <v>502</v>
      </c>
      <c r="AE705" s="32"/>
      <c r="AF705" s="32"/>
      <c r="AG705" s="32"/>
      <c r="AH705" s="32"/>
      <c r="AI705" s="30">
        <v>504445</v>
      </c>
      <c r="AJ705" s="30">
        <v>459045</v>
      </c>
      <c r="AK705" s="30">
        <v>0</v>
      </c>
      <c r="AL705" s="30">
        <v>0</v>
      </c>
      <c r="AM705" s="30">
        <v>60800</v>
      </c>
      <c r="AN705" s="30">
        <v>364200</v>
      </c>
      <c r="AO705" s="30">
        <v>425000</v>
      </c>
      <c r="AP705" s="30">
        <f>Lookups!$B$58*0.6</f>
        <v>132535.48800000001</v>
      </c>
      <c r="AQ705" s="30">
        <f>Lookups!$B$58*0.4</f>
        <v>88356.992000000013</v>
      </c>
      <c r="AR705" s="30">
        <f>Lookups!$B$59*Inventory[[#This Row],[LnAcres]]</f>
        <v>-24051.387388882686</v>
      </c>
      <c r="AS705" s="30">
        <f>VLOOKUP(Inventory[[#This Row],[Qlty]],Lookups!$A$66:$E$79,2,FALSE)</f>
        <v>32917.849192000001</v>
      </c>
      <c r="AT705" s="30">
        <f>VLOOKUP(Inventory[[#This Row],[Cnd]],Lookups!$A$80:$E$88,2,FALSE)</f>
        <v>30300.329274</v>
      </c>
      <c r="AU705" s="30">
        <f>Inventory[[#This Row],[EffAge]]*Lookups!$B$65</f>
        <v>-2066.0808999999999</v>
      </c>
      <c r="AV705" s="30">
        <f>Inventory[[#This Row],[MainFn]]*Lookups!$B$90</f>
        <v>72271.22004</v>
      </c>
      <c r="AW705" s="30">
        <f>Inventory[[#This Row],[UpprFn]]*Lookups!$B$91</f>
        <v>78765.266325999997</v>
      </c>
      <c r="AX705" s="30">
        <f>Inventory[[#This Row],[Bsmt Area]]*Lookups!$B$95</f>
        <v>0</v>
      </c>
      <c r="AY705" s="30">
        <f>Inventory[[#This Row],[AttGar]]*Lookups!$B$93</f>
        <v>10590.309300000001</v>
      </c>
      <c r="AZ705" s="30">
        <f>ROUND(Inventory[[#This Row],[25Det]],-2)</f>
        <v>0</v>
      </c>
      <c r="BA705" s="30">
        <f>ROUND(SUM(Inventory[[#This Row],[Mdl Qlty]:[Mdl Garage Area]])+Inventory[[#This Row],[Mdl Res Intercept]],-2)</f>
        <v>355300</v>
      </c>
      <c r="BB705" s="30">
        <f>ROUND(Inventory[[#This Row],[Mdl Land Intercept]]+Inventory[[#This Row],[Mdl LnAcres]],-2)</f>
        <v>64300</v>
      </c>
      <c r="BC705" s="30">
        <f>Inventory[[#This Row],[Unadj Res Value]]+Inventory[[#This Row],[Unadj Det Value]]+Inventory[[#This Row],[Unadj Land Value]]</f>
        <v>419600</v>
      </c>
      <c r="BD705" s="30">
        <f>(Inventory[[#This Row],[Unadj Total Value]]-Inventory[[#This Row],[24Final]])/Inventory[[#This Row],[24Final]]</f>
        <v>-1.2705882352941176E-2</v>
      </c>
      <c r="BE705" s="30">
        <f>VLOOKUP(Inventory[[#This Row],[Nbhd]],Lookups!$M$3:$P$5,4,FALSE)</f>
        <v>0.99970000000000003</v>
      </c>
      <c r="BF705" s="30">
        <f>VLOOKUP(Inventory[[#This Row],[Qlty]],Lookups!$M$8:$P$22,4,FALSE)</f>
        <v>1.0019</v>
      </c>
      <c r="BG705" s="30">
        <f>VLOOKUP(Inventory[[#This Row],[Cnd]],Lookups!$R$8:$U$17,4,FALSE)</f>
        <v>0.997</v>
      </c>
      <c r="BH705" s="30">
        <f>VLOOKUP(Inventory[[#This Row],[LivArea Range]],Lookups!$R$25:$U$43,4,FALSE)</f>
        <v>1.0008999999999999</v>
      </c>
      <c r="BI705" s="30">
        <f>VLOOKUP(Inventory[[#This Row],[Decade]],Lookups!$M$24:$P$40,4,FALSE)</f>
        <v>1.0024</v>
      </c>
      <c r="BJ705" s="30">
        <f>Inventory[[#This Row],[Nbhd Adj]]*0.95</f>
        <v>0.94971499999999998</v>
      </c>
      <c r="BK705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05" s="30">
        <f>ROUND((SUM(Inventory[[#This Row],[Mdl Qlty]:[Mdl Garage Area]])+Inventory[[#This Row],[Mdl Res Intercept]])*Inventory[[#This Row],[Res Adj ]],-2)</f>
        <v>337700</v>
      </c>
      <c r="BM705" s="30">
        <f>ROUND(Inventory[[#This Row],[25Det]]*Inventory[[#This Row],[Det/Nbhd Adj]],-2)</f>
        <v>0</v>
      </c>
      <c r="BN705" s="30">
        <f>Inventory[[#This Row],[Adjusted Res]]+Inventory[[#This Row],[Adj Det ]]</f>
        <v>337700</v>
      </c>
      <c r="BO705" s="30">
        <f>ROUND((Inventory[[#This Row],[Mdl Land Intercept]]+Inventory[[#This Row],[Mdl LnAcres]])*Inventory[[#This Row],[Det/Nbhd Adj]],-2)</f>
        <v>61100</v>
      </c>
      <c r="BP705" s="30">
        <f>Inventory[[#This Row],[Adjusted Impr Total]]+Inventory[[#This Row],[Adjusted Land Total]]</f>
        <v>398800</v>
      </c>
      <c r="BQ705" s="30">
        <f>IFERROR((Inventory[[#This Row],[Adjusted Impr Total]]-Inventory[[#This Row],[24Bldg]])/Inventory[[#This Row],[24Bldg]],0)</f>
        <v>-7.2762218561230094E-2</v>
      </c>
      <c r="BR705" s="43">
        <f>(Inventory[[#This Row],[Adjusted Land Total]]-Inventory[[#This Row],[24Lnd]])/Inventory[[#This Row],[24Lnd]]</f>
        <v>4.9342105263157892E-3</v>
      </c>
      <c r="BS705" s="43">
        <f>(Inventory[[#This Row],[Adjusted Total]]-Inventory[[#This Row],[24Final]])/Inventory[[#This Row],[24Final]]</f>
        <v>-6.1647058823529409E-2</v>
      </c>
    </row>
    <row r="706" spans="1:71">
      <c r="A706" s="30">
        <v>2025</v>
      </c>
      <c r="B706" s="31" t="s">
        <v>1221</v>
      </c>
      <c r="C706" s="31">
        <f>LN(Inventory[[#This Row],[Acres]])</f>
        <v>-1.8325814637483102</v>
      </c>
      <c r="D706" s="30">
        <v>0.16</v>
      </c>
      <c r="E706" s="30">
        <v>6964</v>
      </c>
      <c r="F706" s="31" t="s">
        <v>505</v>
      </c>
      <c r="G706" s="31" t="s">
        <v>155</v>
      </c>
      <c r="H706" s="31" t="s">
        <v>5</v>
      </c>
      <c r="I706" s="31" t="s">
        <v>506</v>
      </c>
      <c r="J706" s="31" t="s">
        <v>507</v>
      </c>
      <c r="K706" s="31" t="s">
        <v>157</v>
      </c>
      <c r="L706" s="31" t="s">
        <v>21</v>
      </c>
      <c r="M706" s="31" t="s">
        <v>20</v>
      </c>
      <c r="N706" s="31">
        <v>10</v>
      </c>
      <c r="O706" s="31">
        <f>2024-Inventory[[#This Row],[YrBlt]]</f>
        <v>19</v>
      </c>
      <c r="P706" s="31">
        <f>2024-Inventory[[#This Row],[EffYr]]</f>
        <v>19</v>
      </c>
      <c r="Q706" s="30">
        <v>2005</v>
      </c>
      <c r="R706" s="30">
        <v>2005</v>
      </c>
      <c r="S706" s="30">
        <v>1158</v>
      </c>
      <c r="T706" s="30">
        <v>1322</v>
      </c>
      <c r="U706" s="32"/>
      <c r="V706" s="32"/>
      <c r="W706" s="32"/>
      <c r="X706" s="32">
        <f>Inventory[[#This Row],[Bsmt Area]]-Inventory[[#This Row],[FnBsmt]]</f>
        <v>0</v>
      </c>
      <c r="Y706" s="32">
        <f>Inventory[[#This Row],[MainFn]]+Inventory[[#This Row],[UpprFn]]+Inventory[[#This Row],[AddFn]]+Inventory[[#This Row],[FnBsmt]]</f>
        <v>2480</v>
      </c>
      <c r="Z706" s="32">
        <v>2500</v>
      </c>
      <c r="AA706" s="31" t="s">
        <v>57</v>
      </c>
      <c r="AB706" s="37"/>
      <c r="AC706" s="37"/>
      <c r="AD706" s="38">
        <v>502</v>
      </c>
      <c r="AE706" s="32"/>
      <c r="AF706" s="32"/>
      <c r="AG706" s="32"/>
      <c r="AH706" s="32"/>
      <c r="AI706" s="30">
        <v>480813</v>
      </c>
      <c r="AJ706" s="30">
        <v>437540</v>
      </c>
      <c r="AK706" s="30">
        <v>0</v>
      </c>
      <c r="AL706" s="30">
        <v>0</v>
      </c>
      <c r="AM706" s="30">
        <v>60800</v>
      </c>
      <c r="AN706" s="30">
        <v>351300</v>
      </c>
      <c r="AO706" s="30">
        <v>412100</v>
      </c>
      <c r="AP706" s="30">
        <f>Lookups!$B$58*0.6</f>
        <v>132535.48800000001</v>
      </c>
      <c r="AQ706" s="30">
        <f>Lookups!$B$58*0.4</f>
        <v>88356.992000000013</v>
      </c>
      <c r="AR706" s="30">
        <f>Lookups!$B$59*Inventory[[#This Row],[LnAcres]]</f>
        <v>-24051.387388882686</v>
      </c>
      <c r="AS706" s="30">
        <f>VLOOKUP(Inventory[[#This Row],[Qlty]],Lookups!$A$66:$E$79,2,FALSE)</f>
        <v>32917.849192000001</v>
      </c>
      <c r="AT706" s="30">
        <f>VLOOKUP(Inventory[[#This Row],[Cnd]],Lookups!$A$80:$E$88,2,FALSE)</f>
        <v>30300.329274</v>
      </c>
      <c r="AU706" s="30">
        <f>Inventory[[#This Row],[EffAge]]*Lookups!$B$65</f>
        <v>-2066.0808999999999</v>
      </c>
      <c r="AV706" s="30">
        <f>Inventory[[#This Row],[MainFn]]*Lookups!$B$90</f>
        <v>72271.22004</v>
      </c>
      <c r="AW706" s="30">
        <f>Inventory[[#This Row],[UpprFn]]*Lookups!$B$91</f>
        <v>78765.266325999997</v>
      </c>
      <c r="AX706" s="30">
        <f>Inventory[[#This Row],[Bsmt Area]]*Lookups!$B$95</f>
        <v>0</v>
      </c>
      <c r="AY706" s="30">
        <f>Inventory[[#This Row],[AttGar]]*Lookups!$B$93</f>
        <v>0</v>
      </c>
      <c r="AZ706" s="30">
        <f>ROUND(Inventory[[#This Row],[25Det]],-2)</f>
        <v>0</v>
      </c>
      <c r="BA706" s="30">
        <f>ROUND(SUM(Inventory[[#This Row],[Mdl Qlty]:[Mdl Garage Area]])+Inventory[[#This Row],[Mdl Res Intercept]],-2)</f>
        <v>344700</v>
      </c>
      <c r="BB706" s="30">
        <f>ROUND(Inventory[[#This Row],[Mdl Land Intercept]]+Inventory[[#This Row],[Mdl LnAcres]],-2)</f>
        <v>64300</v>
      </c>
      <c r="BC706" s="30">
        <f>Inventory[[#This Row],[Unadj Res Value]]+Inventory[[#This Row],[Unadj Det Value]]+Inventory[[#This Row],[Unadj Land Value]]</f>
        <v>409000</v>
      </c>
      <c r="BD706" s="30">
        <f>(Inventory[[#This Row],[Unadj Total Value]]-Inventory[[#This Row],[24Final]])/Inventory[[#This Row],[24Final]]</f>
        <v>-7.522446008250425E-3</v>
      </c>
      <c r="BE706" s="30">
        <f>VLOOKUP(Inventory[[#This Row],[Nbhd]],Lookups!$M$3:$P$5,4,FALSE)</f>
        <v>0.99970000000000003</v>
      </c>
      <c r="BF706" s="30">
        <f>VLOOKUP(Inventory[[#This Row],[Qlty]],Lookups!$M$8:$P$22,4,FALSE)</f>
        <v>1.0019</v>
      </c>
      <c r="BG706" s="30">
        <f>VLOOKUP(Inventory[[#This Row],[Cnd]],Lookups!$R$8:$U$17,4,FALSE)</f>
        <v>0.997</v>
      </c>
      <c r="BH706" s="30">
        <f>VLOOKUP(Inventory[[#This Row],[LivArea Range]],Lookups!$R$25:$U$43,4,FALSE)</f>
        <v>1.0008999999999999</v>
      </c>
      <c r="BI706" s="30">
        <f>VLOOKUP(Inventory[[#This Row],[Decade]],Lookups!$M$24:$P$40,4,FALSE)</f>
        <v>1.0024</v>
      </c>
      <c r="BJ706" s="30">
        <f>Inventory[[#This Row],[Nbhd Adj]]*0.95</f>
        <v>0.94971499999999998</v>
      </c>
      <c r="BK706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06" s="30">
        <f>ROUND((SUM(Inventory[[#This Row],[Mdl Qlty]:[Mdl Garage Area]])+Inventory[[#This Row],[Mdl Res Intercept]])*Inventory[[#This Row],[Res Adj ]],-2)</f>
        <v>327600</v>
      </c>
      <c r="BM706" s="30">
        <f>ROUND(Inventory[[#This Row],[25Det]]*Inventory[[#This Row],[Det/Nbhd Adj]],-2)</f>
        <v>0</v>
      </c>
      <c r="BN706" s="30">
        <f>Inventory[[#This Row],[Adjusted Res]]+Inventory[[#This Row],[Adj Det ]]</f>
        <v>327600</v>
      </c>
      <c r="BO706" s="30">
        <f>ROUND((Inventory[[#This Row],[Mdl Land Intercept]]+Inventory[[#This Row],[Mdl LnAcres]])*Inventory[[#This Row],[Det/Nbhd Adj]],-2)</f>
        <v>61100</v>
      </c>
      <c r="BP706" s="30">
        <f>Inventory[[#This Row],[Adjusted Impr Total]]+Inventory[[#This Row],[Adjusted Land Total]]</f>
        <v>388700</v>
      </c>
      <c r="BQ706" s="30">
        <f>IFERROR((Inventory[[#This Row],[Adjusted Impr Total]]-Inventory[[#This Row],[24Bldg]])/Inventory[[#This Row],[24Bldg]],0)</f>
        <v>-6.7463706233988049E-2</v>
      </c>
      <c r="BR706" s="43">
        <f>(Inventory[[#This Row],[Adjusted Land Total]]-Inventory[[#This Row],[24Lnd]])/Inventory[[#This Row],[24Lnd]]</f>
        <v>4.9342105263157892E-3</v>
      </c>
      <c r="BS706" s="43">
        <f>(Inventory[[#This Row],[Adjusted Total]]-Inventory[[#This Row],[24Final]])/Inventory[[#This Row],[24Final]]</f>
        <v>-5.6782334384858045E-2</v>
      </c>
    </row>
    <row r="707" spans="1:71">
      <c r="A707" s="30">
        <v>2025</v>
      </c>
      <c r="B707" s="31" t="s">
        <v>1222</v>
      </c>
      <c r="C707" s="31">
        <f>LN(Inventory[[#This Row],[Acres]])</f>
        <v>-1.8325814637483102</v>
      </c>
      <c r="D707" s="30">
        <v>0.16</v>
      </c>
      <c r="E707" s="30">
        <v>7187</v>
      </c>
      <c r="F707" s="31" t="s">
        <v>505</v>
      </c>
      <c r="G707" s="31" t="s">
        <v>155</v>
      </c>
      <c r="H707" s="31" t="s">
        <v>5</v>
      </c>
      <c r="I707" s="31" t="s">
        <v>506</v>
      </c>
      <c r="J707" s="31" t="s">
        <v>507</v>
      </c>
      <c r="K707" s="31" t="s">
        <v>157</v>
      </c>
      <c r="L707" s="31" t="s">
        <v>21</v>
      </c>
      <c r="M707" s="31" t="s">
        <v>20</v>
      </c>
      <c r="N707" s="31">
        <v>10</v>
      </c>
      <c r="O707" s="31">
        <f>2024-Inventory[[#This Row],[YrBlt]]</f>
        <v>19</v>
      </c>
      <c r="P707" s="31">
        <f>2024-Inventory[[#This Row],[EffYr]]</f>
        <v>19</v>
      </c>
      <c r="Q707" s="30">
        <v>2005</v>
      </c>
      <c r="R707" s="30">
        <v>2005</v>
      </c>
      <c r="S707" s="30">
        <v>1158</v>
      </c>
      <c r="T707" s="30">
        <v>1322</v>
      </c>
      <c r="U707" s="32"/>
      <c r="V707" s="32"/>
      <c r="W707" s="32"/>
      <c r="X707" s="32">
        <f>Inventory[[#This Row],[Bsmt Area]]-Inventory[[#This Row],[FnBsmt]]</f>
        <v>0</v>
      </c>
      <c r="Y707" s="32">
        <f>Inventory[[#This Row],[MainFn]]+Inventory[[#This Row],[UpprFn]]+Inventory[[#This Row],[AddFn]]+Inventory[[#This Row],[FnBsmt]]</f>
        <v>2480</v>
      </c>
      <c r="Z707" s="32">
        <v>2500</v>
      </c>
      <c r="AA707" s="31" t="s">
        <v>57</v>
      </c>
      <c r="AB707" s="38">
        <v>1</v>
      </c>
      <c r="AC707" s="37"/>
      <c r="AD707" s="38">
        <v>502</v>
      </c>
      <c r="AE707" s="32"/>
      <c r="AF707" s="32"/>
      <c r="AG707" s="32"/>
      <c r="AH707" s="32"/>
      <c r="AI707" s="30">
        <v>495412</v>
      </c>
      <c r="AJ707" s="30">
        <v>450825</v>
      </c>
      <c r="AK707" s="30">
        <v>0</v>
      </c>
      <c r="AL707" s="30">
        <v>0</v>
      </c>
      <c r="AM707" s="30">
        <v>60800</v>
      </c>
      <c r="AN707" s="30">
        <v>351300</v>
      </c>
      <c r="AO707" s="30">
        <v>412100</v>
      </c>
      <c r="AP707" s="30">
        <f>Lookups!$B$58*0.6</f>
        <v>132535.48800000001</v>
      </c>
      <c r="AQ707" s="30">
        <f>Lookups!$B$58*0.4</f>
        <v>88356.992000000013</v>
      </c>
      <c r="AR707" s="30">
        <f>Lookups!$B$59*Inventory[[#This Row],[LnAcres]]</f>
        <v>-24051.387388882686</v>
      </c>
      <c r="AS707" s="30">
        <f>VLOOKUP(Inventory[[#This Row],[Qlty]],Lookups!$A$66:$E$79,2,FALSE)</f>
        <v>32917.849192000001</v>
      </c>
      <c r="AT707" s="30">
        <f>VLOOKUP(Inventory[[#This Row],[Cnd]],Lookups!$A$80:$E$88,2,FALSE)</f>
        <v>30300.329274</v>
      </c>
      <c r="AU707" s="30">
        <f>Inventory[[#This Row],[EffAge]]*Lookups!$B$65</f>
        <v>-2066.0808999999999</v>
      </c>
      <c r="AV707" s="30">
        <f>Inventory[[#This Row],[MainFn]]*Lookups!$B$90</f>
        <v>72271.22004</v>
      </c>
      <c r="AW707" s="30">
        <f>Inventory[[#This Row],[UpprFn]]*Lookups!$B$91</f>
        <v>78765.266325999997</v>
      </c>
      <c r="AX707" s="30">
        <f>Inventory[[#This Row],[Bsmt Area]]*Lookups!$B$95</f>
        <v>0</v>
      </c>
      <c r="AY707" s="30">
        <f>Inventory[[#This Row],[AttGar]]*Lookups!$B$93</f>
        <v>0</v>
      </c>
      <c r="AZ707" s="30">
        <f>ROUND(Inventory[[#This Row],[25Det]],-2)</f>
        <v>0</v>
      </c>
      <c r="BA707" s="30">
        <f>ROUND(SUM(Inventory[[#This Row],[Mdl Qlty]:[Mdl Garage Area]])+Inventory[[#This Row],[Mdl Res Intercept]],-2)</f>
        <v>344700</v>
      </c>
      <c r="BB707" s="30">
        <f>ROUND(Inventory[[#This Row],[Mdl Land Intercept]]+Inventory[[#This Row],[Mdl LnAcres]],-2)</f>
        <v>64300</v>
      </c>
      <c r="BC707" s="30">
        <f>Inventory[[#This Row],[Unadj Res Value]]+Inventory[[#This Row],[Unadj Det Value]]+Inventory[[#This Row],[Unadj Land Value]]</f>
        <v>409000</v>
      </c>
      <c r="BD707" s="30">
        <f>(Inventory[[#This Row],[Unadj Total Value]]-Inventory[[#This Row],[24Final]])/Inventory[[#This Row],[24Final]]</f>
        <v>-7.522446008250425E-3</v>
      </c>
      <c r="BE707" s="30">
        <f>VLOOKUP(Inventory[[#This Row],[Nbhd]],Lookups!$M$3:$P$5,4,FALSE)</f>
        <v>0.99970000000000003</v>
      </c>
      <c r="BF707" s="30">
        <f>VLOOKUP(Inventory[[#This Row],[Qlty]],Lookups!$M$8:$P$22,4,FALSE)</f>
        <v>1.0019</v>
      </c>
      <c r="BG707" s="30">
        <f>VLOOKUP(Inventory[[#This Row],[Cnd]],Lookups!$R$8:$U$17,4,FALSE)</f>
        <v>0.997</v>
      </c>
      <c r="BH707" s="30">
        <f>VLOOKUP(Inventory[[#This Row],[LivArea Range]],Lookups!$R$25:$U$43,4,FALSE)</f>
        <v>1.0008999999999999</v>
      </c>
      <c r="BI707" s="30">
        <f>VLOOKUP(Inventory[[#This Row],[Decade]],Lookups!$M$24:$P$40,4,FALSE)</f>
        <v>1.0024</v>
      </c>
      <c r="BJ707" s="30">
        <f>Inventory[[#This Row],[Nbhd Adj]]*0.95</f>
        <v>0.94971499999999998</v>
      </c>
      <c r="BK707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07" s="30">
        <f>ROUND((SUM(Inventory[[#This Row],[Mdl Qlty]:[Mdl Garage Area]])+Inventory[[#This Row],[Mdl Res Intercept]])*Inventory[[#This Row],[Res Adj ]],-2)</f>
        <v>327600</v>
      </c>
      <c r="BM707" s="30">
        <f>ROUND(Inventory[[#This Row],[25Det]]*Inventory[[#This Row],[Det/Nbhd Adj]],-2)</f>
        <v>0</v>
      </c>
      <c r="BN707" s="30">
        <f>Inventory[[#This Row],[Adjusted Res]]+Inventory[[#This Row],[Adj Det ]]</f>
        <v>327600</v>
      </c>
      <c r="BO707" s="30">
        <f>ROUND((Inventory[[#This Row],[Mdl Land Intercept]]+Inventory[[#This Row],[Mdl LnAcres]])*Inventory[[#This Row],[Det/Nbhd Adj]],-2)</f>
        <v>61100</v>
      </c>
      <c r="BP707" s="30">
        <f>Inventory[[#This Row],[Adjusted Impr Total]]+Inventory[[#This Row],[Adjusted Land Total]]</f>
        <v>388700</v>
      </c>
      <c r="BQ707" s="30">
        <f>IFERROR((Inventory[[#This Row],[Adjusted Impr Total]]-Inventory[[#This Row],[24Bldg]])/Inventory[[#This Row],[24Bldg]],0)</f>
        <v>-6.7463706233988049E-2</v>
      </c>
      <c r="BR707" s="43">
        <f>(Inventory[[#This Row],[Adjusted Land Total]]-Inventory[[#This Row],[24Lnd]])/Inventory[[#This Row],[24Lnd]]</f>
        <v>4.9342105263157892E-3</v>
      </c>
      <c r="BS707" s="43">
        <f>(Inventory[[#This Row],[Adjusted Total]]-Inventory[[#This Row],[24Final]])/Inventory[[#This Row],[24Final]]</f>
        <v>-5.6782334384858045E-2</v>
      </c>
    </row>
    <row r="708" spans="1:71">
      <c r="A708" s="30">
        <v>2025</v>
      </c>
      <c r="B708" s="31" t="s">
        <v>1223</v>
      </c>
      <c r="C708" s="31">
        <f>LN(Inventory[[#This Row],[Acres]])</f>
        <v>-1.8325814637483102</v>
      </c>
      <c r="D708" s="30">
        <v>0.16</v>
      </c>
      <c r="E708" s="30">
        <v>6987</v>
      </c>
      <c r="F708" s="31" t="s">
        <v>505</v>
      </c>
      <c r="G708" s="31" t="s">
        <v>155</v>
      </c>
      <c r="H708" s="31" t="s">
        <v>5</v>
      </c>
      <c r="I708" s="31" t="s">
        <v>506</v>
      </c>
      <c r="J708" s="31" t="s">
        <v>507</v>
      </c>
      <c r="K708" s="31" t="s">
        <v>157</v>
      </c>
      <c r="L708" s="31" t="s">
        <v>21</v>
      </c>
      <c r="M708" s="31" t="s">
        <v>22</v>
      </c>
      <c r="N708" s="31">
        <v>10</v>
      </c>
      <c r="O708" s="31">
        <f>2024-Inventory[[#This Row],[YrBlt]]</f>
        <v>19</v>
      </c>
      <c r="P708" s="31">
        <f>2024-Inventory[[#This Row],[EffYr]]</f>
        <v>19</v>
      </c>
      <c r="Q708" s="30">
        <v>2005</v>
      </c>
      <c r="R708" s="30">
        <v>2005</v>
      </c>
      <c r="S708" s="30">
        <v>1116</v>
      </c>
      <c r="T708" s="38">
        <v>1116</v>
      </c>
      <c r="U708" s="32"/>
      <c r="V708" s="32"/>
      <c r="W708" s="32"/>
      <c r="X708" s="32">
        <f>Inventory[[#This Row],[Bsmt Area]]-Inventory[[#This Row],[FnBsmt]]</f>
        <v>0</v>
      </c>
      <c r="Y708" s="32">
        <f>Inventory[[#This Row],[MainFn]]+Inventory[[#This Row],[UpprFn]]+Inventory[[#This Row],[AddFn]]+Inventory[[#This Row],[FnBsmt]]</f>
        <v>2232</v>
      </c>
      <c r="Z708" s="32">
        <v>2500</v>
      </c>
      <c r="AA708" s="31" t="s">
        <v>57</v>
      </c>
      <c r="AB708" s="38">
        <v>1</v>
      </c>
      <c r="AC708" s="30">
        <v>440</v>
      </c>
      <c r="AD708" s="32"/>
      <c r="AE708" s="32"/>
      <c r="AF708" s="32"/>
      <c r="AG708" s="32"/>
      <c r="AH708" s="32"/>
      <c r="AI708" s="30">
        <v>454484</v>
      </c>
      <c r="AJ708" s="30">
        <v>413580</v>
      </c>
      <c r="AK708" s="30">
        <v>0</v>
      </c>
      <c r="AL708" s="30">
        <v>0</v>
      </c>
      <c r="AM708" s="30">
        <v>60800</v>
      </c>
      <c r="AN708" s="30">
        <v>365400</v>
      </c>
      <c r="AO708" s="30">
        <v>426200</v>
      </c>
      <c r="AP708" s="30">
        <f>Lookups!$B$58*0.6</f>
        <v>132535.48800000001</v>
      </c>
      <c r="AQ708" s="30">
        <f>Lookups!$B$58*0.4</f>
        <v>88356.992000000013</v>
      </c>
      <c r="AR708" s="30">
        <f>Lookups!$B$59*Inventory[[#This Row],[LnAcres]]</f>
        <v>-24051.387388882686</v>
      </c>
      <c r="AS708" s="30">
        <f>VLOOKUP(Inventory[[#This Row],[Qlty]],Lookups!$A$66:$E$79,2,FALSE)</f>
        <v>32917.849192000001</v>
      </c>
      <c r="AT708" s="30">
        <f>VLOOKUP(Inventory[[#This Row],[Cnd]],Lookups!$A$80:$E$88,2,FALSE)</f>
        <v>50438.379078999998</v>
      </c>
      <c r="AU708" s="30">
        <f>Inventory[[#This Row],[EffAge]]*Lookups!$B$65</f>
        <v>-2066.0808999999999</v>
      </c>
      <c r="AV708" s="30">
        <f>Inventory[[#This Row],[MainFn]]*Lookups!$B$90</f>
        <v>69649.984080000009</v>
      </c>
      <c r="AW708" s="30">
        <f>Inventory[[#This Row],[UpprFn]]*Lookups!$B$91</f>
        <v>66491.707427999994</v>
      </c>
      <c r="AX708" s="30">
        <f>Inventory[[#This Row],[Bsmt Area]]*Lookups!$B$95</f>
        <v>0</v>
      </c>
      <c r="AY708" s="30">
        <f>Inventory[[#This Row],[AttGar]]*Lookups!$B$93</f>
        <v>15532.453640000002</v>
      </c>
      <c r="AZ708" s="30">
        <f>ROUND(Inventory[[#This Row],[25Det]],-2)</f>
        <v>0</v>
      </c>
      <c r="BA708" s="30">
        <f>ROUND(SUM(Inventory[[#This Row],[Mdl Qlty]:[Mdl Garage Area]])+Inventory[[#This Row],[Mdl Res Intercept]],-2)</f>
        <v>365500</v>
      </c>
      <c r="BB708" s="30">
        <f>ROUND(Inventory[[#This Row],[Mdl Land Intercept]]+Inventory[[#This Row],[Mdl LnAcres]],-2)</f>
        <v>64300</v>
      </c>
      <c r="BC708" s="30">
        <f>Inventory[[#This Row],[Unadj Res Value]]+Inventory[[#This Row],[Unadj Det Value]]+Inventory[[#This Row],[Unadj Land Value]]</f>
        <v>429800</v>
      </c>
      <c r="BD708" s="30">
        <f>(Inventory[[#This Row],[Unadj Total Value]]-Inventory[[#This Row],[24Final]])/Inventory[[#This Row],[24Final]]</f>
        <v>8.4467386203660247E-3</v>
      </c>
      <c r="BE708" s="30">
        <f>VLOOKUP(Inventory[[#This Row],[Nbhd]],Lookups!$M$3:$P$5,4,FALSE)</f>
        <v>0.99970000000000003</v>
      </c>
      <c r="BF708" s="30">
        <f>VLOOKUP(Inventory[[#This Row],[Qlty]],Lookups!$M$8:$P$22,4,FALSE)</f>
        <v>1.0019</v>
      </c>
      <c r="BG708" s="30">
        <f>VLOOKUP(Inventory[[#This Row],[Cnd]],Lookups!$R$8:$U$17,4,FALSE)</f>
        <v>1.0007999999999999</v>
      </c>
      <c r="BH708" s="30">
        <f>VLOOKUP(Inventory[[#This Row],[LivArea Range]],Lookups!$R$25:$U$43,4,FALSE)</f>
        <v>1.0008999999999999</v>
      </c>
      <c r="BI708" s="30">
        <f>VLOOKUP(Inventory[[#This Row],[Decade]],Lookups!$M$24:$P$40,4,FALSE)</f>
        <v>1.0024</v>
      </c>
      <c r="BJ708" s="30">
        <f>Inventory[[#This Row],[Nbhd Adj]]*0.95</f>
        <v>0.94971499999999998</v>
      </c>
      <c r="BK708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708" s="30">
        <f>ROUND((SUM(Inventory[[#This Row],[Mdl Qlty]:[Mdl Garage Area]])+Inventory[[#This Row],[Mdl Res Intercept]])*Inventory[[#This Row],[Res Adj ]],-2)</f>
        <v>347600</v>
      </c>
      <c r="BM708" s="30">
        <f>ROUND(Inventory[[#This Row],[25Det]]*Inventory[[#This Row],[Det/Nbhd Adj]],-2)</f>
        <v>0</v>
      </c>
      <c r="BN708" s="30">
        <f>Inventory[[#This Row],[Adjusted Res]]+Inventory[[#This Row],[Adj Det ]]</f>
        <v>347600</v>
      </c>
      <c r="BO708" s="30">
        <f>ROUND((Inventory[[#This Row],[Mdl Land Intercept]]+Inventory[[#This Row],[Mdl LnAcres]])*Inventory[[#This Row],[Det/Nbhd Adj]],-2)</f>
        <v>61100</v>
      </c>
      <c r="BP708" s="30">
        <f>Inventory[[#This Row],[Adjusted Impr Total]]+Inventory[[#This Row],[Adjusted Land Total]]</f>
        <v>408700</v>
      </c>
      <c r="BQ708" s="30">
        <f>IFERROR((Inventory[[#This Row],[Adjusted Impr Total]]-Inventory[[#This Row],[24Bldg]])/Inventory[[#This Row],[24Bldg]],0)</f>
        <v>-4.8713738368910783E-2</v>
      </c>
      <c r="BR708" s="43">
        <f>(Inventory[[#This Row],[Adjusted Land Total]]-Inventory[[#This Row],[24Lnd]])/Inventory[[#This Row],[24Lnd]]</f>
        <v>4.9342105263157892E-3</v>
      </c>
      <c r="BS708" s="43">
        <f>(Inventory[[#This Row],[Adjusted Total]]-Inventory[[#This Row],[24Final]])/Inventory[[#This Row],[24Final]]</f>
        <v>-4.1060534960112624E-2</v>
      </c>
    </row>
    <row r="709" spans="1:71">
      <c r="A709" s="30">
        <v>2025</v>
      </c>
      <c r="B709" s="31" t="s">
        <v>1224</v>
      </c>
      <c r="C709" s="31">
        <f>LN(Inventory[[#This Row],[Acres]])</f>
        <v>-1.8325814637483102</v>
      </c>
      <c r="D709" s="30">
        <v>0.16</v>
      </c>
      <c r="E709" s="30">
        <v>7161</v>
      </c>
      <c r="F709" s="31" t="s">
        <v>505</v>
      </c>
      <c r="G709" s="31" t="s">
        <v>155</v>
      </c>
      <c r="H709" s="31" t="s">
        <v>5</v>
      </c>
      <c r="I709" s="31" t="s">
        <v>506</v>
      </c>
      <c r="J709" s="31" t="s">
        <v>507</v>
      </c>
      <c r="K709" s="31" t="s">
        <v>193</v>
      </c>
      <c r="L709" s="31" t="s">
        <v>21</v>
      </c>
      <c r="M709" s="31" t="s">
        <v>20</v>
      </c>
      <c r="N709" s="31">
        <v>10</v>
      </c>
      <c r="O709" s="31">
        <f>2024-Inventory[[#This Row],[YrBlt]]</f>
        <v>19</v>
      </c>
      <c r="P709" s="31">
        <f>2024-Inventory[[#This Row],[EffYr]]</f>
        <v>19</v>
      </c>
      <c r="Q709" s="30">
        <v>2005</v>
      </c>
      <c r="R709" s="30">
        <v>2005</v>
      </c>
      <c r="S709" s="30">
        <v>1380</v>
      </c>
      <c r="T709" s="32"/>
      <c r="U709" s="32"/>
      <c r="V709" s="32"/>
      <c r="W709" s="32"/>
      <c r="X709" s="32">
        <f>Inventory[[#This Row],[Bsmt Area]]-Inventory[[#This Row],[FnBsmt]]</f>
        <v>0</v>
      </c>
      <c r="Y709" s="32">
        <f>Inventory[[#This Row],[MainFn]]+Inventory[[#This Row],[UpprFn]]+Inventory[[#This Row],[AddFn]]+Inventory[[#This Row],[FnBsmt]]</f>
        <v>1380</v>
      </c>
      <c r="Z709" s="32">
        <v>1500</v>
      </c>
      <c r="AA709" s="31" t="s">
        <v>57</v>
      </c>
      <c r="AB709" s="37"/>
      <c r="AC709" s="30">
        <v>428</v>
      </c>
      <c r="AD709" s="32"/>
      <c r="AE709" s="32"/>
      <c r="AF709" s="32"/>
      <c r="AG709" s="32"/>
      <c r="AH709" s="32"/>
      <c r="AI709" s="30">
        <v>311438</v>
      </c>
      <c r="AJ709" s="30">
        <v>283409</v>
      </c>
      <c r="AK709" s="30">
        <v>0</v>
      </c>
      <c r="AL709" s="30">
        <v>0</v>
      </c>
      <c r="AM709" s="30">
        <v>60800</v>
      </c>
      <c r="AN709" s="30">
        <v>286000</v>
      </c>
      <c r="AO709" s="30">
        <v>346800</v>
      </c>
      <c r="AP709" s="30">
        <f>Lookups!$B$58*0.6</f>
        <v>132535.48800000001</v>
      </c>
      <c r="AQ709" s="30">
        <f>Lookups!$B$58*0.4</f>
        <v>88356.992000000013</v>
      </c>
      <c r="AR709" s="30">
        <f>Lookups!$B$59*Inventory[[#This Row],[LnAcres]]</f>
        <v>-24051.387388882686</v>
      </c>
      <c r="AS709" s="30">
        <f>VLOOKUP(Inventory[[#This Row],[Qlty]],Lookups!$A$66:$E$79,2,FALSE)</f>
        <v>32917.849192000001</v>
      </c>
      <c r="AT709" s="30">
        <f>VLOOKUP(Inventory[[#This Row],[Cnd]],Lookups!$A$80:$E$88,2,FALSE)</f>
        <v>30300.329274</v>
      </c>
      <c r="AU709" s="30">
        <f>Inventory[[#This Row],[EffAge]]*Lookups!$B$65</f>
        <v>-2066.0808999999999</v>
      </c>
      <c r="AV709" s="30">
        <f>Inventory[[#This Row],[MainFn]]*Lookups!$B$90</f>
        <v>86126.324399999998</v>
      </c>
      <c r="AW709" s="30">
        <f>Inventory[[#This Row],[UpprFn]]*Lookups!$B$91</f>
        <v>0</v>
      </c>
      <c r="AX709" s="30">
        <f>Inventory[[#This Row],[Bsmt Area]]*Lookups!$B$95</f>
        <v>0</v>
      </c>
      <c r="AY709" s="30">
        <f>Inventory[[#This Row],[AttGar]]*Lookups!$B$93</f>
        <v>15108.841268</v>
      </c>
      <c r="AZ709" s="30">
        <f>ROUND(Inventory[[#This Row],[25Det]],-2)</f>
        <v>0</v>
      </c>
      <c r="BA709" s="30">
        <f>ROUND(SUM(Inventory[[#This Row],[Mdl Qlty]:[Mdl Garage Area]])+Inventory[[#This Row],[Mdl Res Intercept]],-2)</f>
        <v>294900</v>
      </c>
      <c r="BB709" s="30">
        <f>ROUND(Inventory[[#This Row],[Mdl Land Intercept]]+Inventory[[#This Row],[Mdl LnAcres]],-2)</f>
        <v>64300</v>
      </c>
      <c r="BC709" s="30">
        <f>Inventory[[#This Row],[Unadj Res Value]]+Inventory[[#This Row],[Unadj Det Value]]+Inventory[[#This Row],[Unadj Land Value]]</f>
        <v>359200</v>
      </c>
      <c r="BD709" s="30">
        <f>(Inventory[[#This Row],[Unadj Total Value]]-Inventory[[#This Row],[24Final]])/Inventory[[#This Row],[24Final]]</f>
        <v>3.5755478662053058E-2</v>
      </c>
      <c r="BE709" s="30">
        <f>VLOOKUP(Inventory[[#This Row],[Nbhd]],Lookups!$M$3:$P$5,4,FALSE)</f>
        <v>0.99970000000000003</v>
      </c>
      <c r="BF709" s="30">
        <f>VLOOKUP(Inventory[[#This Row],[Qlty]],Lookups!$M$8:$P$22,4,FALSE)</f>
        <v>1.0019</v>
      </c>
      <c r="BG709" s="30">
        <f>VLOOKUP(Inventory[[#This Row],[Cnd]],Lookups!$R$8:$U$17,4,FALSE)</f>
        <v>0.997</v>
      </c>
      <c r="BH709" s="30">
        <f>VLOOKUP(Inventory[[#This Row],[LivArea Range]],Lookups!$R$25:$U$43,4,FALSE)</f>
        <v>0.99519999999999997</v>
      </c>
      <c r="BI709" s="30">
        <f>VLOOKUP(Inventory[[#This Row],[Decade]],Lookups!$M$24:$P$40,4,FALSE)</f>
        <v>1.0024</v>
      </c>
      <c r="BJ709" s="30">
        <f>Inventory[[#This Row],[Nbhd Adj]]*0.95</f>
        <v>0.94971499999999998</v>
      </c>
      <c r="BK709" s="30">
        <f>AVERAGE(Inventory[[#This Row],[Nbhd Adj]],Inventory[[#This Row],[Quality Adj]],Inventory[[#This Row],[Condition Adj]],Inventory[[#This Row],[Living Area Adj]],Inventory[[#This Row],[Decade Adj]])*0.95</f>
        <v>0.94927799999999996</v>
      </c>
      <c r="BL709" s="30">
        <f>ROUND((SUM(Inventory[[#This Row],[Mdl Qlty]:[Mdl Garage Area]])+Inventory[[#This Row],[Mdl Res Intercept]])*Inventory[[#This Row],[Res Adj ]],-2)</f>
        <v>280000</v>
      </c>
      <c r="BM709" s="30">
        <f>ROUND(Inventory[[#This Row],[25Det]]*Inventory[[#This Row],[Det/Nbhd Adj]],-2)</f>
        <v>0</v>
      </c>
      <c r="BN709" s="30">
        <f>Inventory[[#This Row],[Adjusted Res]]+Inventory[[#This Row],[Adj Det ]]</f>
        <v>280000</v>
      </c>
      <c r="BO709" s="30">
        <f>ROUND((Inventory[[#This Row],[Mdl Land Intercept]]+Inventory[[#This Row],[Mdl LnAcres]])*Inventory[[#This Row],[Det/Nbhd Adj]],-2)</f>
        <v>61100</v>
      </c>
      <c r="BP709" s="30">
        <f>Inventory[[#This Row],[Adjusted Impr Total]]+Inventory[[#This Row],[Adjusted Land Total]]</f>
        <v>341100</v>
      </c>
      <c r="BQ709" s="30">
        <f>IFERROR((Inventory[[#This Row],[Adjusted Impr Total]]-Inventory[[#This Row],[24Bldg]])/Inventory[[#This Row],[24Bldg]],0)</f>
        <v>-2.097902097902098E-2</v>
      </c>
      <c r="BR709" s="43">
        <f>(Inventory[[#This Row],[Adjusted Land Total]]-Inventory[[#This Row],[24Lnd]])/Inventory[[#This Row],[24Lnd]]</f>
        <v>4.9342105263157892E-3</v>
      </c>
      <c r="BS709" s="43">
        <f>(Inventory[[#This Row],[Adjusted Total]]-Inventory[[#This Row],[24Final]])/Inventory[[#This Row],[24Final]]</f>
        <v>-1.6435986159169549E-2</v>
      </c>
    </row>
    <row r="710" spans="1:71">
      <c r="A710" s="30">
        <v>2025</v>
      </c>
      <c r="B710" s="31" t="s">
        <v>1225</v>
      </c>
      <c r="C710" s="31">
        <f>LN(Inventory[[#This Row],[Acres]])</f>
        <v>-1.8325814637483102</v>
      </c>
      <c r="D710" s="30">
        <v>0.16</v>
      </c>
      <c r="E710" s="30">
        <v>6998</v>
      </c>
      <c r="F710" s="31" t="s">
        <v>505</v>
      </c>
      <c r="G710" s="31" t="s">
        <v>155</v>
      </c>
      <c r="H710" s="31" t="s">
        <v>5</v>
      </c>
      <c r="I710" s="31" t="s">
        <v>506</v>
      </c>
      <c r="J710" s="31" t="s">
        <v>507</v>
      </c>
      <c r="K710" s="31" t="s">
        <v>157</v>
      </c>
      <c r="L710" s="31" t="s">
        <v>21</v>
      </c>
      <c r="M710" s="31" t="s">
        <v>20</v>
      </c>
      <c r="N710" s="31">
        <v>10</v>
      </c>
      <c r="O710" s="31">
        <f>2024-Inventory[[#This Row],[YrBlt]]</f>
        <v>19</v>
      </c>
      <c r="P710" s="31">
        <f>2024-Inventory[[#This Row],[EffYr]]</f>
        <v>19</v>
      </c>
      <c r="Q710" s="30">
        <v>2005</v>
      </c>
      <c r="R710" s="30">
        <v>2005</v>
      </c>
      <c r="S710" s="30">
        <v>1116</v>
      </c>
      <c r="T710" s="30">
        <v>1116</v>
      </c>
      <c r="U710" s="32"/>
      <c r="V710" s="32"/>
      <c r="W710" s="32"/>
      <c r="X710" s="32">
        <f>Inventory[[#This Row],[Bsmt Area]]-Inventory[[#This Row],[FnBsmt]]</f>
        <v>0</v>
      </c>
      <c r="Y710" s="32">
        <f>Inventory[[#This Row],[MainFn]]+Inventory[[#This Row],[UpprFn]]+Inventory[[#This Row],[AddFn]]+Inventory[[#This Row],[FnBsmt]]</f>
        <v>2232</v>
      </c>
      <c r="Z710" s="32">
        <v>2500</v>
      </c>
      <c r="AA710" s="31" t="s">
        <v>57</v>
      </c>
      <c r="AB710" s="30">
        <v>1</v>
      </c>
      <c r="AC710" s="38">
        <v>716</v>
      </c>
      <c r="AD710" s="37"/>
      <c r="AE710" s="32"/>
      <c r="AF710" s="32"/>
      <c r="AG710" s="32"/>
      <c r="AH710" s="32"/>
      <c r="AI710" s="30">
        <v>461976</v>
      </c>
      <c r="AJ710" s="30">
        <v>420398</v>
      </c>
      <c r="AK710" s="30">
        <v>0</v>
      </c>
      <c r="AL710" s="30">
        <v>0</v>
      </c>
      <c r="AM710" s="30">
        <v>60800</v>
      </c>
      <c r="AN710" s="30">
        <v>346400</v>
      </c>
      <c r="AO710" s="30">
        <v>407200</v>
      </c>
      <c r="AP710" s="30">
        <f>Lookups!$B$58*0.6</f>
        <v>132535.48800000001</v>
      </c>
      <c r="AQ710" s="30">
        <f>Lookups!$B$58*0.4</f>
        <v>88356.992000000013</v>
      </c>
      <c r="AR710" s="30">
        <f>Lookups!$B$59*Inventory[[#This Row],[LnAcres]]</f>
        <v>-24051.387388882686</v>
      </c>
      <c r="AS710" s="30">
        <f>VLOOKUP(Inventory[[#This Row],[Qlty]],Lookups!$A$66:$E$79,2,FALSE)</f>
        <v>32917.849192000001</v>
      </c>
      <c r="AT710" s="30">
        <f>VLOOKUP(Inventory[[#This Row],[Cnd]],Lookups!$A$80:$E$88,2,FALSE)</f>
        <v>30300.329274</v>
      </c>
      <c r="AU710" s="30">
        <f>Inventory[[#This Row],[EffAge]]*Lookups!$B$65</f>
        <v>-2066.0808999999999</v>
      </c>
      <c r="AV710" s="30">
        <f>Inventory[[#This Row],[MainFn]]*Lookups!$B$90</f>
        <v>69649.984080000009</v>
      </c>
      <c r="AW710" s="30">
        <f>Inventory[[#This Row],[UpprFn]]*Lookups!$B$91</f>
        <v>66491.707427999994</v>
      </c>
      <c r="AX710" s="30">
        <f>Inventory[[#This Row],[Bsmt Area]]*Lookups!$B$95</f>
        <v>0</v>
      </c>
      <c r="AY710" s="30">
        <f>Inventory[[#This Row],[AttGar]]*Lookups!$B$93</f>
        <v>25275.538196000001</v>
      </c>
      <c r="AZ710" s="30">
        <f>ROUND(Inventory[[#This Row],[25Det]],-2)</f>
        <v>0</v>
      </c>
      <c r="BA710" s="30">
        <f>ROUND(SUM(Inventory[[#This Row],[Mdl Qlty]:[Mdl Garage Area]])+Inventory[[#This Row],[Mdl Res Intercept]],-2)</f>
        <v>355100</v>
      </c>
      <c r="BB710" s="30">
        <f>ROUND(Inventory[[#This Row],[Mdl Land Intercept]]+Inventory[[#This Row],[Mdl LnAcres]],-2)</f>
        <v>64300</v>
      </c>
      <c r="BC710" s="30">
        <f>Inventory[[#This Row],[Unadj Res Value]]+Inventory[[#This Row],[Unadj Det Value]]+Inventory[[#This Row],[Unadj Land Value]]</f>
        <v>419400</v>
      </c>
      <c r="BD710" s="30">
        <f>(Inventory[[#This Row],[Unadj Total Value]]-Inventory[[#This Row],[24Final]])/Inventory[[#This Row],[24Final]]</f>
        <v>2.9960707269155205E-2</v>
      </c>
      <c r="BE710" s="30">
        <f>VLOOKUP(Inventory[[#This Row],[Nbhd]],Lookups!$M$3:$P$5,4,FALSE)</f>
        <v>0.99970000000000003</v>
      </c>
      <c r="BF710" s="30">
        <f>VLOOKUP(Inventory[[#This Row],[Qlty]],Lookups!$M$8:$P$22,4,FALSE)</f>
        <v>1.0019</v>
      </c>
      <c r="BG710" s="30">
        <f>VLOOKUP(Inventory[[#This Row],[Cnd]],Lookups!$R$8:$U$17,4,FALSE)</f>
        <v>0.997</v>
      </c>
      <c r="BH710" s="30">
        <f>VLOOKUP(Inventory[[#This Row],[LivArea Range]],Lookups!$R$25:$U$43,4,FALSE)</f>
        <v>1.0008999999999999</v>
      </c>
      <c r="BI710" s="30">
        <f>VLOOKUP(Inventory[[#This Row],[Decade]],Lookups!$M$24:$P$40,4,FALSE)</f>
        <v>1.0024</v>
      </c>
      <c r="BJ710" s="30">
        <f>Inventory[[#This Row],[Nbhd Adj]]*0.95</f>
        <v>0.94971499999999998</v>
      </c>
      <c r="BK710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10" s="30">
        <f>ROUND((SUM(Inventory[[#This Row],[Mdl Qlty]:[Mdl Garage Area]])+Inventory[[#This Row],[Mdl Res Intercept]])*Inventory[[#This Row],[Res Adj ]],-2)</f>
        <v>337500</v>
      </c>
      <c r="BM710" s="30">
        <f>ROUND(Inventory[[#This Row],[25Det]]*Inventory[[#This Row],[Det/Nbhd Adj]],-2)</f>
        <v>0</v>
      </c>
      <c r="BN710" s="30">
        <f>Inventory[[#This Row],[Adjusted Res]]+Inventory[[#This Row],[Adj Det ]]</f>
        <v>337500</v>
      </c>
      <c r="BO710" s="30">
        <f>ROUND((Inventory[[#This Row],[Mdl Land Intercept]]+Inventory[[#This Row],[Mdl LnAcres]])*Inventory[[#This Row],[Det/Nbhd Adj]],-2)</f>
        <v>61100</v>
      </c>
      <c r="BP710" s="30">
        <f>Inventory[[#This Row],[Adjusted Impr Total]]+Inventory[[#This Row],[Adjusted Land Total]]</f>
        <v>398600</v>
      </c>
      <c r="BQ710" s="30">
        <f>IFERROR((Inventory[[#This Row],[Adjusted Impr Total]]-Inventory[[#This Row],[24Bldg]])/Inventory[[#This Row],[24Bldg]],0)</f>
        <v>-2.5692840646651269E-2</v>
      </c>
      <c r="BR710" s="43">
        <f>(Inventory[[#This Row],[Adjusted Land Total]]-Inventory[[#This Row],[24Lnd]])/Inventory[[#This Row],[24Lnd]]</f>
        <v>4.9342105263157892E-3</v>
      </c>
      <c r="BS710" s="43">
        <f>(Inventory[[#This Row],[Adjusted Total]]-Inventory[[#This Row],[24Final]])/Inventory[[#This Row],[24Final]]</f>
        <v>-2.111984282907662E-2</v>
      </c>
    </row>
    <row r="711" spans="1:71">
      <c r="A711" s="30">
        <v>2025</v>
      </c>
      <c r="B711" s="31" t="s">
        <v>1226</v>
      </c>
      <c r="C711" s="31">
        <f>LN(Inventory[[#This Row],[Acres]])</f>
        <v>-1.8325814637483102</v>
      </c>
      <c r="D711" s="30">
        <v>0.16</v>
      </c>
      <c r="E711" s="30">
        <v>6993</v>
      </c>
      <c r="F711" s="31" t="s">
        <v>505</v>
      </c>
      <c r="G711" s="31" t="s">
        <v>155</v>
      </c>
      <c r="H711" s="31" t="s">
        <v>5</v>
      </c>
      <c r="I711" s="31" t="s">
        <v>506</v>
      </c>
      <c r="J711" s="31" t="s">
        <v>507</v>
      </c>
      <c r="K711" s="31" t="s">
        <v>157</v>
      </c>
      <c r="L711" s="31" t="s">
        <v>21</v>
      </c>
      <c r="M711" s="31" t="s">
        <v>20</v>
      </c>
      <c r="N711" s="31">
        <v>10</v>
      </c>
      <c r="O711" s="31">
        <f>2024-Inventory[[#This Row],[YrBlt]]</f>
        <v>19</v>
      </c>
      <c r="P711" s="31">
        <f>2024-Inventory[[#This Row],[EffYr]]</f>
        <v>19</v>
      </c>
      <c r="Q711" s="30">
        <v>2005</v>
      </c>
      <c r="R711" s="30">
        <v>2005</v>
      </c>
      <c r="S711" s="30">
        <v>1116</v>
      </c>
      <c r="T711" s="30">
        <v>1116</v>
      </c>
      <c r="U711" s="32"/>
      <c r="V711" s="32"/>
      <c r="W711" s="32"/>
      <c r="X711" s="32">
        <f>Inventory[[#This Row],[Bsmt Area]]-Inventory[[#This Row],[FnBsmt]]</f>
        <v>0</v>
      </c>
      <c r="Y711" s="32">
        <f>Inventory[[#This Row],[MainFn]]+Inventory[[#This Row],[UpprFn]]+Inventory[[#This Row],[AddFn]]+Inventory[[#This Row],[FnBsmt]]</f>
        <v>2232</v>
      </c>
      <c r="Z711" s="32">
        <v>2500</v>
      </c>
      <c r="AA711" s="31" t="s">
        <v>57</v>
      </c>
      <c r="AB711" s="37"/>
      <c r="AC711" s="38">
        <v>440</v>
      </c>
      <c r="AD711" s="37"/>
      <c r="AE711" s="32"/>
      <c r="AF711" s="32"/>
      <c r="AG711" s="32"/>
      <c r="AH711" s="32"/>
      <c r="AI711" s="30">
        <v>444224</v>
      </c>
      <c r="AJ711" s="30">
        <v>404244</v>
      </c>
      <c r="AK711" s="30">
        <v>0</v>
      </c>
      <c r="AL711" s="30">
        <v>0</v>
      </c>
      <c r="AM711" s="30">
        <v>60800</v>
      </c>
      <c r="AN711" s="30">
        <v>334500</v>
      </c>
      <c r="AO711" s="30">
        <v>395300</v>
      </c>
      <c r="AP711" s="30">
        <f>Lookups!$B$58*0.6</f>
        <v>132535.48800000001</v>
      </c>
      <c r="AQ711" s="30">
        <f>Lookups!$B$58*0.4</f>
        <v>88356.992000000013</v>
      </c>
      <c r="AR711" s="30">
        <f>Lookups!$B$59*Inventory[[#This Row],[LnAcres]]</f>
        <v>-24051.387388882686</v>
      </c>
      <c r="AS711" s="30">
        <f>VLOOKUP(Inventory[[#This Row],[Qlty]],Lookups!$A$66:$E$79,2,FALSE)</f>
        <v>32917.849192000001</v>
      </c>
      <c r="AT711" s="30">
        <f>VLOOKUP(Inventory[[#This Row],[Cnd]],Lookups!$A$80:$E$88,2,FALSE)</f>
        <v>30300.329274</v>
      </c>
      <c r="AU711" s="30">
        <f>Inventory[[#This Row],[EffAge]]*Lookups!$B$65</f>
        <v>-2066.0808999999999</v>
      </c>
      <c r="AV711" s="30">
        <f>Inventory[[#This Row],[MainFn]]*Lookups!$B$90</f>
        <v>69649.984080000009</v>
      </c>
      <c r="AW711" s="30">
        <f>Inventory[[#This Row],[UpprFn]]*Lookups!$B$91</f>
        <v>66491.707427999994</v>
      </c>
      <c r="AX711" s="30">
        <f>Inventory[[#This Row],[Bsmt Area]]*Lookups!$B$95</f>
        <v>0</v>
      </c>
      <c r="AY711" s="30">
        <f>Inventory[[#This Row],[AttGar]]*Lookups!$B$93</f>
        <v>15532.453640000002</v>
      </c>
      <c r="AZ711" s="30">
        <f>ROUND(Inventory[[#This Row],[25Det]],-2)</f>
        <v>0</v>
      </c>
      <c r="BA711" s="30">
        <f>ROUND(SUM(Inventory[[#This Row],[Mdl Qlty]:[Mdl Garage Area]])+Inventory[[#This Row],[Mdl Res Intercept]],-2)</f>
        <v>345400</v>
      </c>
      <c r="BB711" s="30">
        <f>ROUND(Inventory[[#This Row],[Mdl Land Intercept]]+Inventory[[#This Row],[Mdl LnAcres]],-2)</f>
        <v>64300</v>
      </c>
      <c r="BC711" s="30">
        <f>Inventory[[#This Row],[Unadj Res Value]]+Inventory[[#This Row],[Unadj Det Value]]+Inventory[[#This Row],[Unadj Land Value]]</f>
        <v>409700</v>
      </c>
      <c r="BD711" s="30">
        <f>(Inventory[[#This Row],[Unadj Total Value]]-Inventory[[#This Row],[24Final]])/Inventory[[#This Row],[24Final]]</f>
        <v>3.6428029344801417E-2</v>
      </c>
      <c r="BE711" s="30">
        <f>VLOOKUP(Inventory[[#This Row],[Nbhd]],Lookups!$M$3:$P$5,4,FALSE)</f>
        <v>0.99970000000000003</v>
      </c>
      <c r="BF711" s="30">
        <f>VLOOKUP(Inventory[[#This Row],[Qlty]],Lookups!$M$8:$P$22,4,FALSE)</f>
        <v>1.0019</v>
      </c>
      <c r="BG711" s="30">
        <f>VLOOKUP(Inventory[[#This Row],[Cnd]],Lookups!$R$8:$U$17,4,FALSE)</f>
        <v>0.997</v>
      </c>
      <c r="BH711" s="30">
        <f>VLOOKUP(Inventory[[#This Row],[LivArea Range]],Lookups!$R$25:$U$43,4,FALSE)</f>
        <v>1.0008999999999999</v>
      </c>
      <c r="BI711" s="30">
        <f>VLOOKUP(Inventory[[#This Row],[Decade]],Lookups!$M$24:$P$40,4,FALSE)</f>
        <v>1.0024</v>
      </c>
      <c r="BJ711" s="30">
        <f>Inventory[[#This Row],[Nbhd Adj]]*0.95</f>
        <v>0.94971499999999998</v>
      </c>
      <c r="BK711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11" s="30">
        <f>ROUND((SUM(Inventory[[#This Row],[Mdl Qlty]:[Mdl Garage Area]])+Inventory[[#This Row],[Mdl Res Intercept]])*Inventory[[#This Row],[Res Adj ]],-2)</f>
        <v>328200</v>
      </c>
      <c r="BM711" s="30">
        <f>ROUND(Inventory[[#This Row],[25Det]]*Inventory[[#This Row],[Det/Nbhd Adj]],-2)</f>
        <v>0</v>
      </c>
      <c r="BN711" s="30">
        <f>Inventory[[#This Row],[Adjusted Res]]+Inventory[[#This Row],[Adj Det ]]</f>
        <v>328200</v>
      </c>
      <c r="BO711" s="30">
        <f>ROUND((Inventory[[#This Row],[Mdl Land Intercept]]+Inventory[[#This Row],[Mdl LnAcres]])*Inventory[[#This Row],[Det/Nbhd Adj]],-2)</f>
        <v>61100</v>
      </c>
      <c r="BP711" s="30">
        <f>Inventory[[#This Row],[Adjusted Impr Total]]+Inventory[[#This Row],[Adjusted Land Total]]</f>
        <v>389300</v>
      </c>
      <c r="BQ711" s="30">
        <f>IFERROR((Inventory[[#This Row],[Adjusted Impr Total]]-Inventory[[#This Row],[24Bldg]])/Inventory[[#This Row],[24Bldg]],0)</f>
        <v>-1.883408071748879E-2</v>
      </c>
      <c r="BR711" s="43">
        <f>(Inventory[[#This Row],[Adjusted Land Total]]-Inventory[[#This Row],[24Lnd]])/Inventory[[#This Row],[24Lnd]]</f>
        <v>4.9342105263157892E-3</v>
      </c>
      <c r="BS711" s="43">
        <f>(Inventory[[#This Row],[Adjusted Total]]-Inventory[[#This Row],[24Final]])/Inventory[[#This Row],[24Final]]</f>
        <v>-1.5178345560333924E-2</v>
      </c>
    </row>
    <row r="712" spans="1:71">
      <c r="A712" s="30">
        <v>2025</v>
      </c>
      <c r="B712" s="31" t="s">
        <v>1227</v>
      </c>
      <c r="C712" s="31">
        <f>LN(Inventory[[#This Row],[Acres]])</f>
        <v>-1.8325814637483102</v>
      </c>
      <c r="D712" s="30">
        <v>0.16</v>
      </c>
      <c r="E712" s="30">
        <v>7009</v>
      </c>
      <c r="F712" s="31" t="s">
        <v>505</v>
      </c>
      <c r="G712" s="31" t="s">
        <v>155</v>
      </c>
      <c r="H712" s="31" t="s">
        <v>5</v>
      </c>
      <c r="I712" s="31" t="s">
        <v>506</v>
      </c>
      <c r="J712" s="31" t="s">
        <v>507</v>
      </c>
      <c r="K712" s="31" t="s">
        <v>157</v>
      </c>
      <c r="L712" s="31" t="s">
        <v>21</v>
      </c>
      <c r="M712" s="31" t="s">
        <v>20</v>
      </c>
      <c r="N712" s="31">
        <v>10</v>
      </c>
      <c r="O712" s="31">
        <f>2024-Inventory[[#This Row],[YrBlt]]</f>
        <v>19</v>
      </c>
      <c r="P712" s="31">
        <f>2024-Inventory[[#This Row],[EffYr]]</f>
        <v>19</v>
      </c>
      <c r="Q712" s="30">
        <v>2005</v>
      </c>
      <c r="R712" s="30">
        <v>2005</v>
      </c>
      <c r="S712" s="30">
        <v>1116</v>
      </c>
      <c r="T712" s="30">
        <v>1116</v>
      </c>
      <c r="U712" s="32"/>
      <c r="V712" s="32"/>
      <c r="W712" s="32"/>
      <c r="X712" s="32">
        <f>Inventory[[#This Row],[Bsmt Area]]-Inventory[[#This Row],[FnBsmt]]</f>
        <v>0</v>
      </c>
      <c r="Y712" s="32">
        <f>Inventory[[#This Row],[MainFn]]+Inventory[[#This Row],[UpprFn]]+Inventory[[#This Row],[AddFn]]+Inventory[[#This Row],[FnBsmt]]</f>
        <v>2232</v>
      </c>
      <c r="Z712" s="32">
        <v>2500</v>
      </c>
      <c r="AA712" s="31" t="s">
        <v>57</v>
      </c>
      <c r="AB712" s="38">
        <v>1</v>
      </c>
      <c r="AC712" s="38">
        <v>440</v>
      </c>
      <c r="AD712" s="37"/>
      <c r="AE712" s="32"/>
      <c r="AF712" s="32"/>
      <c r="AG712" s="32"/>
      <c r="AH712" s="32"/>
      <c r="AI712" s="30">
        <v>447366</v>
      </c>
      <c r="AJ712" s="30">
        <v>407103</v>
      </c>
      <c r="AK712" s="30">
        <v>0</v>
      </c>
      <c r="AL712" s="30">
        <v>0</v>
      </c>
      <c r="AM712" s="30">
        <v>60800</v>
      </c>
      <c r="AN712" s="30">
        <v>334500</v>
      </c>
      <c r="AO712" s="30">
        <v>395300</v>
      </c>
      <c r="AP712" s="30">
        <f>Lookups!$B$58*0.6</f>
        <v>132535.48800000001</v>
      </c>
      <c r="AQ712" s="30">
        <f>Lookups!$B$58*0.4</f>
        <v>88356.992000000013</v>
      </c>
      <c r="AR712" s="30">
        <f>Lookups!$B$59*Inventory[[#This Row],[LnAcres]]</f>
        <v>-24051.387388882686</v>
      </c>
      <c r="AS712" s="30">
        <f>VLOOKUP(Inventory[[#This Row],[Qlty]],Lookups!$A$66:$E$79,2,FALSE)</f>
        <v>32917.849192000001</v>
      </c>
      <c r="AT712" s="30">
        <f>VLOOKUP(Inventory[[#This Row],[Cnd]],Lookups!$A$80:$E$88,2,FALSE)</f>
        <v>30300.329274</v>
      </c>
      <c r="AU712" s="30">
        <f>Inventory[[#This Row],[EffAge]]*Lookups!$B$65</f>
        <v>-2066.0808999999999</v>
      </c>
      <c r="AV712" s="30">
        <f>Inventory[[#This Row],[MainFn]]*Lookups!$B$90</f>
        <v>69649.984080000009</v>
      </c>
      <c r="AW712" s="30">
        <f>Inventory[[#This Row],[UpprFn]]*Lookups!$B$91</f>
        <v>66491.707427999994</v>
      </c>
      <c r="AX712" s="30">
        <f>Inventory[[#This Row],[Bsmt Area]]*Lookups!$B$95</f>
        <v>0</v>
      </c>
      <c r="AY712" s="30">
        <f>Inventory[[#This Row],[AttGar]]*Lookups!$B$93</f>
        <v>15532.453640000002</v>
      </c>
      <c r="AZ712" s="30">
        <f>ROUND(Inventory[[#This Row],[25Det]],-2)</f>
        <v>0</v>
      </c>
      <c r="BA712" s="30">
        <f>ROUND(SUM(Inventory[[#This Row],[Mdl Qlty]:[Mdl Garage Area]])+Inventory[[#This Row],[Mdl Res Intercept]],-2)</f>
        <v>345400</v>
      </c>
      <c r="BB712" s="30">
        <f>ROUND(Inventory[[#This Row],[Mdl Land Intercept]]+Inventory[[#This Row],[Mdl LnAcres]],-2)</f>
        <v>64300</v>
      </c>
      <c r="BC712" s="30">
        <f>Inventory[[#This Row],[Unadj Res Value]]+Inventory[[#This Row],[Unadj Det Value]]+Inventory[[#This Row],[Unadj Land Value]]</f>
        <v>409700</v>
      </c>
      <c r="BD712" s="30">
        <f>(Inventory[[#This Row],[Unadj Total Value]]-Inventory[[#This Row],[24Final]])/Inventory[[#This Row],[24Final]]</f>
        <v>3.6428029344801417E-2</v>
      </c>
      <c r="BE712" s="30">
        <f>VLOOKUP(Inventory[[#This Row],[Nbhd]],Lookups!$M$3:$P$5,4,FALSE)</f>
        <v>0.99970000000000003</v>
      </c>
      <c r="BF712" s="30">
        <f>VLOOKUP(Inventory[[#This Row],[Qlty]],Lookups!$M$8:$P$22,4,FALSE)</f>
        <v>1.0019</v>
      </c>
      <c r="BG712" s="30">
        <f>VLOOKUP(Inventory[[#This Row],[Cnd]],Lookups!$R$8:$U$17,4,FALSE)</f>
        <v>0.997</v>
      </c>
      <c r="BH712" s="30">
        <f>VLOOKUP(Inventory[[#This Row],[LivArea Range]],Lookups!$R$25:$U$43,4,FALSE)</f>
        <v>1.0008999999999999</v>
      </c>
      <c r="BI712" s="30">
        <f>VLOOKUP(Inventory[[#This Row],[Decade]],Lookups!$M$24:$P$40,4,FALSE)</f>
        <v>1.0024</v>
      </c>
      <c r="BJ712" s="30">
        <f>Inventory[[#This Row],[Nbhd Adj]]*0.95</f>
        <v>0.94971499999999998</v>
      </c>
      <c r="BK712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12" s="30">
        <f>ROUND((SUM(Inventory[[#This Row],[Mdl Qlty]:[Mdl Garage Area]])+Inventory[[#This Row],[Mdl Res Intercept]])*Inventory[[#This Row],[Res Adj ]],-2)</f>
        <v>328200</v>
      </c>
      <c r="BM712" s="30">
        <f>ROUND(Inventory[[#This Row],[25Det]]*Inventory[[#This Row],[Det/Nbhd Adj]],-2)</f>
        <v>0</v>
      </c>
      <c r="BN712" s="30">
        <f>Inventory[[#This Row],[Adjusted Res]]+Inventory[[#This Row],[Adj Det ]]</f>
        <v>328200</v>
      </c>
      <c r="BO712" s="30">
        <f>ROUND((Inventory[[#This Row],[Mdl Land Intercept]]+Inventory[[#This Row],[Mdl LnAcres]])*Inventory[[#This Row],[Det/Nbhd Adj]],-2)</f>
        <v>61100</v>
      </c>
      <c r="BP712" s="30">
        <f>Inventory[[#This Row],[Adjusted Impr Total]]+Inventory[[#This Row],[Adjusted Land Total]]</f>
        <v>389300</v>
      </c>
      <c r="BQ712" s="30">
        <f>IFERROR((Inventory[[#This Row],[Adjusted Impr Total]]-Inventory[[#This Row],[24Bldg]])/Inventory[[#This Row],[24Bldg]],0)</f>
        <v>-1.883408071748879E-2</v>
      </c>
      <c r="BR712" s="43">
        <f>(Inventory[[#This Row],[Adjusted Land Total]]-Inventory[[#This Row],[24Lnd]])/Inventory[[#This Row],[24Lnd]]</f>
        <v>4.9342105263157892E-3</v>
      </c>
      <c r="BS712" s="43">
        <f>(Inventory[[#This Row],[Adjusted Total]]-Inventory[[#This Row],[24Final]])/Inventory[[#This Row],[24Final]]</f>
        <v>-1.5178345560333924E-2</v>
      </c>
    </row>
    <row r="713" spans="1:71">
      <c r="A713" s="30">
        <v>2025</v>
      </c>
      <c r="B713" s="31" t="s">
        <v>1228</v>
      </c>
      <c r="C713" s="31">
        <f>LN(Inventory[[#This Row],[Acres]])</f>
        <v>-1.8325814637483102</v>
      </c>
      <c r="D713" s="30">
        <v>0.16</v>
      </c>
      <c r="E713" s="30">
        <v>7138</v>
      </c>
      <c r="F713" s="31" t="s">
        <v>505</v>
      </c>
      <c r="G713" s="31" t="s">
        <v>155</v>
      </c>
      <c r="H713" s="31" t="s">
        <v>5</v>
      </c>
      <c r="I713" s="31" t="s">
        <v>506</v>
      </c>
      <c r="J713" s="31" t="s">
        <v>507</v>
      </c>
      <c r="K713" s="31" t="s">
        <v>157</v>
      </c>
      <c r="L713" s="31" t="s">
        <v>21</v>
      </c>
      <c r="M713" s="31" t="s">
        <v>20</v>
      </c>
      <c r="N713" s="31">
        <v>10</v>
      </c>
      <c r="O713" s="31">
        <f>2024-Inventory[[#This Row],[YrBlt]]</f>
        <v>19</v>
      </c>
      <c r="P713" s="31">
        <f>2024-Inventory[[#This Row],[EffYr]]</f>
        <v>19</v>
      </c>
      <c r="Q713" s="30">
        <v>2005</v>
      </c>
      <c r="R713" s="30">
        <v>2005</v>
      </c>
      <c r="S713" s="30">
        <v>1116</v>
      </c>
      <c r="T713" s="38">
        <v>1116</v>
      </c>
      <c r="U713" s="32"/>
      <c r="V713" s="32"/>
      <c r="W713" s="32"/>
      <c r="X713" s="32">
        <f>Inventory[[#This Row],[Bsmt Area]]-Inventory[[#This Row],[FnBsmt]]</f>
        <v>0</v>
      </c>
      <c r="Y713" s="32">
        <f>Inventory[[#This Row],[MainFn]]+Inventory[[#This Row],[UpprFn]]+Inventory[[#This Row],[AddFn]]+Inventory[[#This Row],[FnBsmt]]</f>
        <v>2232</v>
      </c>
      <c r="Z713" s="32">
        <v>2500</v>
      </c>
      <c r="AA713" s="31" t="s">
        <v>57</v>
      </c>
      <c r="AB713" s="38">
        <v>1</v>
      </c>
      <c r="AC713" s="30">
        <v>440</v>
      </c>
      <c r="AD713" s="32"/>
      <c r="AE713" s="32"/>
      <c r="AF713" s="32"/>
      <c r="AG713" s="32"/>
      <c r="AH713" s="32"/>
      <c r="AI713" s="30">
        <v>444722</v>
      </c>
      <c r="AJ713" s="30">
        <v>404697</v>
      </c>
      <c r="AK713" s="30">
        <v>0</v>
      </c>
      <c r="AL713" s="30">
        <v>0</v>
      </c>
      <c r="AM713" s="30">
        <v>60800</v>
      </c>
      <c r="AN713" s="30">
        <v>334500</v>
      </c>
      <c r="AO713" s="30">
        <v>395300</v>
      </c>
      <c r="AP713" s="30">
        <f>Lookups!$B$58*0.6</f>
        <v>132535.48800000001</v>
      </c>
      <c r="AQ713" s="30">
        <f>Lookups!$B$58*0.4</f>
        <v>88356.992000000013</v>
      </c>
      <c r="AR713" s="30">
        <f>Lookups!$B$59*Inventory[[#This Row],[LnAcres]]</f>
        <v>-24051.387388882686</v>
      </c>
      <c r="AS713" s="30">
        <f>VLOOKUP(Inventory[[#This Row],[Qlty]],Lookups!$A$66:$E$79,2,FALSE)</f>
        <v>32917.849192000001</v>
      </c>
      <c r="AT713" s="30">
        <f>VLOOKUP(Inventory[[#This Row],[Cnd]],Lookups!$A$80:$E$88,2,FALSE)</f>
        <v>30300.329274</v>
      </c>
      <c r="AU713" s="30">
        <f>Inventory[[#This Row],[EffAge]]*Lookups!$B$65</f>
        <v>-2066.0808999999999</v>
      </c>
      <c r="AV713" s="30">
        <f>Inventory[[#This Row],[MainFn]]*Lookups!$B$90</f>
        <v>69649.984080000009</v>
      </c>
      <c r="AW713" s="30">
        <f>Inventory[[#This Row],[UpprFn]]*Lookups!$B$91</f>
        <v>66491.707427999994</v>
      </c>
      <c r="AX713" s="30">
        <f>Inventory[[#This Row],[Bsmt Area]]*Lookups!$B$95</f>
        <v>0</v>
      </c>
      <c r="AY713" s="30">
        <f>Inventory[[#This Row],[AttGar]]*Lookups!$B$93</f>
        <v>15532.453640000002</v>
      </c>
      <c r="AZ713" s="30">
        <f>ROUND(Inventory[[#This Row],[25Det]],-2)</f>
        <v>0</v>
      </c>
      <c r="BA713" s="30">
        <f>ROUND(SUM(Inventory[[#This Row],[Mdl Qlty]:[Mdl Garage Area]])+Inventory[[#This Row],[Mdl Res Intercept]],-2)</f>
        <v>345400</v>
      </c>
      <c r="BB713" s="30">
        <f>ROUND(Inventory[[#This Row],[Mdl Land Intercept]]+Inventory[[#This Row],[Mdl LnAcres]],-2)</f>
        <v>64300</v>
      </c>
      <c r="BC713" s="30">
        <f>Inventory[[#This Row],[Unadj Res Value]]+Inventory[[#This Row],[Unadj Det Value]]+Inventory[[#This Row],[Unadj Land Value]]</f>
        <v>409700</v>
      </c>
      <c r="BD713" s="30">
        <f>(Inventory[[#This Row],[Unadj Total Value]]-Inventory[[#This Row],[24Final]])/Inventory[[#This Row],[24Final]]</f>
        <v>3.6428029344801417E-2</v>
      </c>
      <c r="BE713" s="30">
        <f>VLOOKUP(Inventory[[#This Row],[Nbhd]],Lookups!$M$3:$P$5,4,FALSE)</f>
        <v>0.99970000000000003</v>
      </c>
      <c r="BF713" s="30">
        <f>VLOOKUP(Inventory[[#This Row],[Qlty]],Lookups!$M$8:$P$22,4,FALSE)</f>
        <v>1.0019</v>
      </c>
      <c r="BG713" s="30">
        <f>VLOOKUP(Inventory[[#This Row],[Cnd]],Lookups!$R$8:$U$17,4,FALSE)</f>
        <v>0.997</v>
      </c>
      <c r="BH713" s="30">
        <f>VLOOKUP(Inventory[[#This Row],[LivArea Range]],Lookups!$R$25:$U$43,4,FALSE)</f>
        <v>1.0008999999999999</v>
      </c>
      <c r="BI713" s="30">
        <f>VLOOKUP(Inventory[[#This Row],[Decade]],Lookups!$M$24:$P$40,4,FALSE)</f>
        <v>1.0024</v>
      </c>
      <c r="BJ713" s="30">
        <f>Inventory[[#This Row],[Nbhd Adj]]*0.95</f>
        <v>0.94971499999999998</v>
      </c>
      <c r="BK713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13" s="30">
        <f>ROUND((SUM(Inventory[[#This Row],[Mdl Qlty]:[Mdl Garage Area]])+Inventory[[#This Row],[Mdl Res Intercept]])*Inventory[[#This Row],[Res Adj ]],-2)</f>
        <v>328200</v>
      </c>
      <c r="BM713" s="30">
        <f>ROUND(Inventory[[#This Row],[25Det]]*Inventory[[#This Row],[Det/Nbhd Adj]],-2)</f>
        <v>0</v>
      </c>
      <c r="BN713" s="30">
        <f>Inventory[[#This Row],[Adjusted Res]]+Inventory[[#This Row],[Adj Det ]]</f>
        <v>328200</v>
      </c>
      <c r="BO713" s="30">
        <f>ROUND((Inventory[[#This Row],[Mdl Land Intercept]]+Inventory[[#This Row],[Mdl LnAcres]])*Inventory[[#This Row],[Det/Nbhd Adj]],-2)</f>
        <v>61100</v>
      </c>
      <c r="BP713" s="30">
        <f>Inventory[[#This Row],[Adjusted Impr Total]]+Inventory[[#This Row],[Adjusted Land Total]]</f>
        <v>389300</v>
      </c>
      <c r="BQ713" s="30">
        <f>IFERROR((Inventory[[#This Row],[Adjusted Impr Total]]-Inventory[[#This Row],[24Bldg]])/Inventory[[#This Row],[24Bldg]],0)</f>
        <v>-1.883408071748879E-2</v>
      </c>
      <c r="BR713" s="43">
        <f>(Inventory[[#This Row],[Adjusted Land Total]]-Inventory[[#This Row],[24Lnd]])/Inventory[[#This Row],[24Lnd]]</f>
        <v>4.9342105263157892E-3</v>
      </c>
      <c r="BS713" s="43">
        <f>(Inventory[[#This Row],[Adjusted Total]]-Inventory[[#This Row],[24Final]])/Inventory[[#This Row],[24Final]]</f>
        <v>-1.5178345560333924E-2</v>
      </c>
    </row>
    <row r="714" spans="1:71">
      <c r="A714" s="30">
        <v>2025</v>
      </c>
      <c r="B714" s="31" t="s">
        <v>1229</v>
      </c>
      <c r="C714" s="31">
        <f>LN(Inventory[[#This Row],[Acres]])</f>
        <v>-1.8325814637483102</v>
      </c>
      <c r="D714" s="30">
        <v>0.16</v>
      </c>
      <c r="E714" s="30">
        <v>6999</v>
      </c>
      <c r="F714" s="31" t="s">
        <v>505</v>
      </c>
      <c r="G714" s="31" t="s">
        <v>155</v>
      </c>
      <c r="H714" s="31" t="s">
        <v>5</v>
      </c>
      <c r="I714" s="31" t="s">
        <v>506</v>
      </c>
      <c r="J714" s="31" t="s">
        <v>507</v>
      </c>
      <c r="K714" s="31" t="s">
        <v>193</v>
      </c>
      <c r="L714" s="31" t="s">
        <v>21</v>
      </c>
      <c r="M714" s="31" t="s">
        <v>20</v>
      </c>
      <c r="N714" s="31">
        <v>10</v>
      </c>
      <c r="O714" s="31">
        <f>2024-Inventory[[#This Row],[YrBlt]]</f>
        <v>19</v>
      </c>
      <c r="P714" s="31">
        <f>2024-Inventory[[#This Row],[EffYr]]</f>
        <v>19</v>
      </c>
      <c r="Q714" s="30">
        <v>2005</v>
      </c>
      <c r="R714" s="30">
        <v>2005</v>
      </c>
      <c r="S714" s="30">
        <v>1706</v>
      </c>
      <c r="T714" s="32"/>
      <c r="U714" s="32"/>
      <c r="V714" s="32"/>
      <c r="W714" s="32"/>
      <c r="X714" s="32">
        <f>Inventory[[#This Row],[Bsmt Area]]-Inventory[[#This Row],[FnBsmt]]</f>
        <v>0</v>
      </c>
      <c r="Y714" s="32">
        <f>Inventory[[#This Row],[MainFn]]+Inventory[[#This Row],[UpprFn]]+Inventory[[#This Row],[AddFn]]+Inventory[[#This Row],[FnBsmt]]</f>
        <v>1706</v>
      </c>
      <c r="Z714" s="32">
        <v>2000</v>
      </c>
      <c r="AA714" s="31" t="s">
        <v>57</v>
      </c>
      <c r="AB714" s="32"/>
      <c r="AC714" s="30">
        <v>466</v>
      </c>
      <c r="AD714" s="32"/>
      <c r="AE714" s="32"/>
      <c r="AF714" s="32"/>
      <c r="AG714" s="32"/>
      <c r="AH714" s="32"/>
      <c r="AI714" s="30">
        <v>375686</v>
      </c>
      <c r="AJ714" s="30">
        <v>341874</v>
      </c>
      <c r="AK714" s="30">
        <v>0</v>
      </c>
      <c r="AL714" s="30">
        <v>0</v>
      </c>
      <c r="AM714" s="30">
        <v>60800</v>
      </c>
      <c r="AN714" s="30">
        <v>305400</v>
      </c>
      <c r="AO714" s="30">
        <v>366200</v>
      </c>
      <c r="AP714" s="30">
        <f>Lookups!$B$58*0.6</f>
        <v>132535.48800000001</v>
      </c>
      <c r="AQ714" s="30">
        <f>Lookups!$B$58*0.4</f>
        <v>88356.992000000013</v>
      </c>
      <c r="AR714" s="30">
        <f>Lookups!$B$59*Inventory[[#This Row],[LnAcres]]</f>
        <v>-24051.387388882686</v>
      </c>
      <c r="AS714" s="30">
        <f>VLOOKUP(Inventory[[#This Row],[Qlty]],Lookups!$A$66:$E$79,2,FALSE)</f>
        <v>32917.849192000001</v>
      </c>
      <c r="AT714" s="30">
        <f>VLOOKUP(Inventory[[#This Row],[Cnd]],Lookups!$A$80:$E$88,2,FALSE)</f>
        <v>30300.329274</v>
      </c>
      <c r="AU714" s="30">
        <f>Inventory[[#This Row],[EffAge]]*Lookups!$B$65</f>
        <v>-2066.0808999999999</v>
      </c>
      <c r="AV714" s="30">
        <f>Inventory[[#This Row],[MainFn]]*Lookups!$B$90</f>
        <v>106472.10828</v>
      </c>
      <c r="AW714" s="30">
        <f>Inventory[[#This Row],[UpprFn]]*Lookups!$B$91</f>
        <v>0</v>
      </c>
      <c r="AX714" s="30">
        <f>Inventory[[#This Row],[Bsmt Area]]*Lookups!$B$95</f>
        <v>0</v>
      </c>
      <c r="AY714" s="30">
        <f>Inventory[[#This Row],[AttGar]]*Lookups!$B$93</f>
        <v>16450.280446000001</v>
      </c>
      <c r="AZ714" s="30">
        <f>ROUND(Inventory[[#This Row],[25Det]],-2)</f>
        <v>0</v>
      </c>
      <c r="BA714" s="30">
        <f>ROUND(SUM(Inventory[[#This Row],[Mdl Qlty]:[Mdl Garage Area]])+Inventory[[#This Row],[Mdl Res Intercept]],-2)</f>
        <v>316600</v>
      </c>
      <c r="BB714" s="30">
        <f>ROUND(Inventory[[#This Row],[Mdl Land Intercept]]+Inventory[[#This Row],[Mdl LnAcres]],-2)</f>
        <v>64300</v>
      </c>
      <c r="BC714" s="30">
        <f>Inventory[[#This Row],[Unadj Res Value]]+Inventory[[#This Row],[Unadj Det Value]]+Inventory[[#This Row],[Unadj Land Value]]</f>
        <v>380900</v>
      </c>
      <c r="BD714" s="30">
        <f>(Inventory[[#This Row],[Unadj Total Value]]-Inventory[[#This Row],[24Final]])/Inventory[[#This Row],[24Final]]</f>
        <v>4.0141998907700711E-2</v>
      </c>
      <c r="BE714" s="30">
        <f>VLOOKUP(Inventory[[#This Row],[Nbhd]],Lookups!$M$3:$P$5,4,FALSE)</f>
        <v>0.99970000000000003</v>
      </c>
      <c r="BF714" s="30">
        <f>VLOOKUP(Inventory[[#This Row],[Qlty]],Lookups!$M$8:$P$22,4,FALSE)</f>
        <v>1.0019</v>
      </c>
      <c r="BG714" s="30">
        <f>VLOOKUP(Inventory[[#This Row],[Cnd]],Lookups!$R$8:$U$17,4,FALSE)</f>
        <v>0.997</v>
      </c>
      <c r="BH714" s="30">
        <f>VLOOKUP(Inventory[[#This Row],[LivArea Range]],Lookups!$R$25:$U$43,4,FALSE)</f>
        <v>1.0007999999999999</v>
      </c>
      <c r="BI714" s="30">
        <f>VLOOKUP(Inventory[[#This Row],[Decade]],Lookups!$M$24:$P$40,4,FALSE)</f>
        <v>1.0024</v>
      </c>
      <c r="BJ714" s="30">
        <f>Inventory[[#This Row],[Nbhd Adj]]*0.95</f>
        <v>0.94971499999999998</v>
      </c>
      <c r="BK714" s="30">
        <f>AVERAGE(Inventory[[#This Row],[Nbhd Adj]],Inventory[[#This Row],[Quality Adj]],Inventory[[#This Row],[Condition Adj]],Inventory[[#This Row],[Living Area Adj]],Inventory[[#This Row],[Decade Adj]])*0.95</f>
        <v>0.95034199999999991</v>
      </c>
      <c r="BL714" s="30">
        <f>ROUND((SUM(Inventory[[#This Row],[Mdl Qlty]:[Mdl Garage Area]])+Inventory[[#This Row],[Mdl Res Intercept]])*Inventory[[#This Row],[Res Adj ]],-2)</f>
        <v>300900</v>
      </c>
      <c r="BM714" s="30">
        <f>ROUND(Inventory[[#This Row],[25Det]]*Inventory[[#This Row],[Det/Nbhd Adj]],-2)</f>
        <v>0</v>
      </c>
      <c r="BN714" s="30">
        <f>Inventory[[#This Row],[Adjusted Res]]+Inventory[[#This Row],[Adj Det ]]</f>
        <v>300900</v>
      </c>
      <c r="BO714" s="30">
        <f>ROUND((Inventory[[#This Row],[Mdl Land Intercept]]+Inventory[[#This Row],[Mdl LnAcres]])*Inventory[[#This Row],[Det/Nbhd Adj]],-2)</f>
        <v>61100</v>
      </c>
      <c r="BP714" s="30">
        <f>Inventory[[#This Row],[Adjusted Impr Total]]+Inventory[[#This Row],[Adjusted Land Total]]</f>
        <v>362000</v>
      </c>
      <c r="BQ714" s="30">
        <f>IFERROR((Inventory[[#This Row],[Adjusted Impr Total]]-Inventory[[#This Row],[24Bldg]])/Inventory[[#This Row],[24Bldg]],0)</f>
        <v>-1.4734774066797643E-2</v>
      </c>
      <c r="BR714" s="43">
        <f>(Inventory[[#This Row],[Adjusted Land Total]]-Inventory[[#This Row],[24Lnd]])/Inventory[[#This Row],[24Lnd]]</f>
        <v>4.9342105263157892E-3</v>
      </c>
      <c r="BS714" s="43">
        <f>(Inventory[[#This Row],[Adjusted Total]]-Inventory[[#This Row],[24Final]])/Inventory[[#This Row],[24Final]]</f>
        <v>-1.1469142545057346E-2</v>
      </c>
    </row>
    <row r="715" spans="1:71">
      <c r="A715" s="30">
        <v>2025</v>
      </c>
      <c r="B715" s="31" t="s">
        <v>1230</v>
      </c>
      <c r="C715" s="31">
        <f>LN(Inventory[[#This Row],[Acres]])</f>
        <v>-1.8325814637483102</v>
      </c>
      <c r="D715" s="30">
        <v>0.16</v>
      </c>
      <c r="E715" s="30">
        <v>6968</v>
      </c>
      <c r="F715" s="31" t="s">
        <v>505</v>
      </c>
      <c r="G715" s="31" t="s">
        <v>155</v>
      </c>
      <c r="H715" s="31" t="s">
        <v>5</v>
      </c>
      <c r="I715" s="31" t="s">
        <v>506</v>
      </c>
      <c r="J715" s="31" t="s">
        <v>507</v>
      </c>
      <c r="K715" s="31" t="s">
        <v>330</v>
      </c>
      <c r="L715" s="31" t="s">
        <v>21</v>
      </c>
      <c r="M715" s="31" t="s">
        <v>18</v>
      </c>
      <c r="N715" s="31">
        <v>10</v>
      </c>
      <c r="O715" s="31">
        <f>2024-Inventory[[#This Row],[YrBlt]]</f>
        <v>19</v>
      </c>
      <c r="P715" s="31">
        <f>2024-Inventory[[#This Row],[EffYr]]</f>
        <v>19</v>
      </c>
      <c r="Q715" s="30">
        <v>2005</v>
      </c>
      <c r="R715" s="30">
        <v>2005</v>
      </c>
      <c r="S715" s="30">
        <v>2154</v>
      </c>
      <c r="T715" s="32"/>
      <c r="U715" s="32"/>
      <c r="V715" s="32"/>
      <c r="W715" s="32"/>
      <c r="X715" s="32">
        <f>Inventory[[#This Row],[Bsmt Area]]-Inventory[[#This Row],[FnBsmt]]</f>
        <v>0</v>
      </c>
      <c r="Y715" s="32">
        <f>Inventory[[#This Row],[MainFn]]+Inventory[[#This Row],[UpprFn]]+Inventory[[#This Row],[AddFn]]+Inventory[[#This Row],[FnBsmt]]</f>
        <v>2154</v>
      </c>
      <c r="Z715" s="32">
        <v>2500</v>
      </c>
      <c r="AA715" s="31" t="s">
        <v>57</v>
      </c>
      <c r="AB715" s="38">
        <v>1</v>
      </c>
      <c r="AC715" s="30">
        <v>730</v>
      </c>
      <c r="AD715" s="32"/>
      <c r="AE715" s="32"/>
      <c r="AF715" s="32"/>
      <c r="AG715" s="32"/>
      <c r="AH715" s="32"/>
      <c r="AI715" s="30">
        <v>459875</v>
      </c>
      <c r="AJ715" s="30">
        <v>413888</v>
      </c>
      <c r="AK715" s="30">
        <v>0</v>
      </c>
      <c r="AL715" s="30">
        <v>0</v>
      </c>
      <c r="AM715" s="30">
        <v>60800</v>
      </c>
      <c r="AN715" s="30">
        <v>320500</v>
      </c>
      <c r="AO715" s="30">
        <v>381300</v>
      </c>
      <c r="AP715" s="30">
        <f>Lookups!$B$58*0.6</f>
        <v>132535.48800000001</v>
      </c>
      <c r="AQ715" s="30">
        <f>Lookups!$B$58*0.4</f>
        <v>88356.992000000013</v>
      </c>
      <c r="AR715" s="30">
        <f>Lookups!$B$59*Inventory[[#This Row],[LnAcres]]</f>
        <v>-24051.387388882686</v>
      </c>
      <c r="AS715" s="30">
        <f>VLOOKUP(Inventory[[#This Row],[Qlty]],Lookups!$A$66:$E$79,2,FALSE)</f>
        <v>32917.849192000001</v>
      </c>
      <c r="AT715" s="30">
        <f>VLOOKUP(Inventory[[#This Row],[Cnd]],Lookups!$A$80:$E$88,2,FALSE)</f>
        <v>17761.121909000001</v>
      </c>
      <c r="AU715" s="30">
        <f>Inventory[[#This Row],[EffAge]]*Lookups!$B$65</f>
        <v>-2066.0808999999999</v>
      </c>
      <c r="AV715" s="30">
        <f>Inventory[[#This Row],[MainFn]]*Lookups!$B$90</f>
        <v>134431.95852000001</v>
      </c>
      <c r="AW715" s="30">
        <f>Inventory[[#This Row],[UpprFn]]*Lookups!$B$91</f>
        <v>0</v>
      </c>
      <c r="AX715" s="30">
        <f>Inventory[[#This Row],[Bsmt Area]]*Lookups!$B$95</f>
        <v>0</v>
      </c>
      <c r="AY715" s="30">
        <f>Inventory[[#This Row],[AttGar]]*Lookups!$B$93</f>
        <v>25769.752630000003</v>
      </c>
      <c r="AZ715" s="30">
        <f>ROUND(Inventory[[#This Row],[25Det]],-2)</f>
        <v>0</v>
      </c>
      <c r="BA715" s="30">
        <f>ROUND(SUM(Inventory[[#This Row],[Mdl Qlty]:[Mdl Garage Area]])+Inventory[[#This Row],[Mdl Res Intercept]],-2)</f>
        <v>341400</v>
      </c>
      <c r="BB715" s="30">
        <f>ROUND(Inventory[[#This Row],[Mdl Land Intercept]]+Inventory[[#This Row],[Mdl LnAcres]],-2)</f>
        <v>64300</v>
      </c>
      <c r="BC715" s="30">
        <f>Inventory[[#This Row],[Unadj Res Value]]+Inventory[[#This Row],[Unadj Det Value]]+Inventory[[#This Row],[Unadj Land Value]]</f>
        <v>405700</v>
      </c>
      <c r="BD715" s="30">
        <f>(Inventory[[#This Row],[Unadj Total Value]]-Inventory[[#This Row],[24Final]])/Inventory[[#This Row],[24Final]]</f>
        <v>6.3991607658012067E-2</v>
      </c>
      <c r="BE715" s="30">
        <f>VLOOKUP(Inventory[[#This Row],[Nbhd]],Lookups!$M$3:$P$5,4,FALSE)</f>
        <v>0.99970000000000003</v>
      </c>
      <c r="BF715" s="30">
        <f>VLOOKUP(Inventory[[#This Row],[Qlty]],Lookups!$M$8:$P$22,4,FALSE)</f>
        <v>1.0019</v>
      </c>
      <c r="BG715" s="30">
        <f>VLOOKUP(Inventory[[#This Row],[Cnd]],Lookups!$R$8:$U$17,4,FALSE)</f>
        <v>0.99680000000000002</v>
      </c>
      <c r="BH715" s="30">
        <f>VLOOKUP(Inventory[[#This Row],[LivArea Range]],Lookups!$R$25:$U$43,4,FALSE)</f>
        <v>1.0008999999999999</v>
      </c>
      <c r="BI715" s="30">
        <f>VLOOKUP(Inventory[[#This Row],[Decade]],Lookups!$M$24:$P$40,4,FALSE)</f>
        <v>1.0024</v>
      </c>
      <c r="BJ715" s="30">
        <f>Inventory[[#This Row],[Nbhd Adj]]*0.95</f>
        <v>0.94971499999999998</v>
      </c>
      <c r="BK715" s="30">
        <f>AVERAGE(Inventory[[#This Row],[Nbhd Adj]],Inventory[[#This Row],[Quality Adj]],Inventory[[#This Row],[Condition Adj]],Inventory[[#This Row],[Living Area Adj]],Inventory[[#This Row],[Decade Adj]])*0.95</f>
        <v>0.95032299999999992</v>
      </c>
      <c r="BL715" s="30">
        <f>ROUND((SUM(Inventory[[#This Row],[Mdl Qlty]:[Mdl Garage Area]])+Inventory[[#This Row],[Mdl Res Intercept]])*Inventory[[#This Row],[Res Adj ]],-2)</f>
        <v>324400</v>
      </c>
      <c r="BM715" s="30">
        <f>ROUND(Inventory[[#This Row],[25Det]]*Inventory[[#This Row],[Det/Nbhd Adj]],-2)</f>
        <v>0</v>
      </c>
      <c r="BN715" s="30">
        <f>Inventory[[#This Row],[Adjusted Res]]+Inventory[[#This Row],[Adj Det ]]</f>
        <v>324400</v>
      </c>
      <c r="BO715" s="30">
        <f>ROUND((Inventory[[#This Row],[Mdl Land Intercept]]+Inventory[[#This Row],[Mdl LnAcres]])*Inventory[[#This Row],[Det/Nbhd Adj]],-2)</f>
        <v>61100</v>
      </c>
      <c r="BP715" s="30">
        <f>Inventory[[#This Row],[Adjusted Impr Total]]+Inventory[[#This Row],[Adjusted Land Total]]</f>
        <v>385500</v>
      </c>
      <c r="BQ715" s="30">
        <f>IFERROR((Inventory[[#This Row],[Adjusted Impr Total]]-Inventory[[#This Row],[24Bldg]])/Inventory[[#This Row],[24Bldg]],0)</f>
        <v>1.2168486739469579E-2</v>
      </c>
      <c r="BR715" s="43">
        <f>(Inventory[[#This Row],[Adjusted Land Total]]-Inventory[[#This Row],[24Lnd]])/Inventory[[#This Row],[24Lnd]]</f>
        <v>4.9342105263157892E-3</v>
      </c>
      <c r="BS715" s="43">
        <f>(Inventory[[#This Row],[Adjusted Total]]-Inventory[[#This Row],[24Final]])/Inventory[[#This Row],[24Final]]</f>
        <v>1.1014948859166011E-2</v>
      </c>
    </row>
    <row r="716" spans="1:71">
      <c r="A716" s="30">
        <v>2025</v>
      </c>
      <c r="B716" s="31" t="s">
        <v>1231</v>
      </c>
      <c r="C716" s="31">
        <f>LN(Inventory[[#This Row],[Acres]])</f>
        <v>-1.8325814637483102</v>
      </c>
      <c r="D716" s="30">
        <v>0.16</v>
      </c>
      <c r="E716" s="30">
        <v>6951</v>
      </c>
      <c r="F716" s="31" t="s">
        <v>505</v>
      </c>
      <c r="G716" s="31" t="s">
        <v>155</v>
      </c>
      <c r="H716" s="31" t="s">
        <v>5</v>
      </c>
      <c r="I716" s="31" t="s">
        <v>506</v>
      </c>
      <c r="J716" s="31" t="s">
        <v>507</v>
      </c>
      <c r="K716" s="31" t="s">
        <v>193</v>
      </c>
      <c r="L716" s="31" t="s">
        <v>21</v>
      </c>
      <c r="M716" s="31" t="s">
        <v>22</v>
      </c>
      <c r="N716" s="31">
        <v>10</v>
      </c>
      <c r="O716" s="31">
        <f>2024-Inventory[[#This Row],[YrBlt]]</f>
        <v>19</v>
      </c>
      <c r="P716" s="31">
        <f>2024-Inventory[[#This Row],[EffYr]]</f>
        <v>19</v>
      </c>
      <c r="Q716" s="30">
        <v>2005</v>
      </c>
      <c r="R716" s="30">
        <v>2005</v>
      </c>
      <c r="S716" s="30">
        <v>2154</v>
      </c>
      <c r="T716" s="32"/>
      <c r="U716" s="32"/>
      <c r="V716" s="32"/>
      <c r="W716" s="32"/>
      <c r="X716" s="32">
        <f>Inventory[[#This Row],[Bsmt Area]]-Inventory[[#This Row],[FnBsmt]]</f>
        <v>0</v>
      </c>
      <c r="Y716" s="32">
        <f>Inventory[[#This Row],[MainFn]]+Inventory[[#This Row],[UpprFn]]+Inventory[[#This Row],[AddFn]]+Inventory[[#This Row],[FnBsmt]]</f>
        <v>2154</v>
      </c>
      <c r="Z716" s="32">
        <v>2500</v>
      </c>
      <c r="AA716" s="31" t="s">
        <v>57</v>
      </c>
      <c r="AB716" s="32"/>
      <c r="AC716" s="30">
        <v>730</v>
      </c>
      <c r="AD716" s="32"/>
      <c r="AE716" s="32"/>
      <c r="AF716" s="32"/>
      <c r="AG716" s="32"/>
      <c r="AH716" s="32"/>
      <c r="AI716" s="30">
        <v>457093</v>
      </c>
      <c r="AJ716" s="30">
        <v>415955</v>
      </c>
      <c r="AK716" s="30">
        <v>0</v>
      </c>
      <c r="AL716" s="30">
        <v>0</v>
      </c>
      <c r="AM716" s="30">
        <v>60800</v>
      </c>
      <c r="AN716" s="30">
        <v>345400</v>
      </c>
      <c r="AO716" s="30">
        <v>406200</v>
      </c>
      <c r="AP716" s="30">
        <f>Lookups!$B$58*0.6</f>
        <v>132535.48800000001</v>
      </c>
      <c r="AQ716" s="30">
        <f>Lookups!$B$58*0.4</f>
        <v>88356.992000000013</v>
      </c>
      <c r="AR716" s="30">
        <f>Lookups!$B$59*Inventory[[#This Row],[LnAcres]]</f>
        <v>-24051.387388882686</v>
      </c>
      <c r="AS716" s="30">
        <f>VLOOKUP(Inventory[[#This Row],[Qlty]],Lookups!$A$66:$E$79,2,FALSE)</f>
        <v>32917.849192000001</v>
      </c>
      <c r="AT716" s="30">
        <f>VLOOKUP(Inventory[[#This Row],[Cnd]],Lookups!$A$80:$E$88,2,FALSE)</f>
        <v>50438.379078999998</v>
      </c>
      <c r="AU716" s="30">
        <f>Inventory[[#This Row],[EffAge]]*Lookups!$B$65</f>
        <v>-2066.0808999999999</v>
      </c>
      <c r="AV716" s="30">
        <f>Inventory[[#This Row],[MainFn]]*Lookups!$B$90</f>
        <v>134431.95852000001</v>
      </c>
      <c r="AW716" s="30">
        <f>Inventory[[#This Row],[UpprFn]]*Lookups!$B$91</f>
        <v>0</v>
      </c>
      <c r="AX716" s="30">
        <f>Inventory[[#This Row],[Bsmt Area]]*Lookups!$B$95</f>
        <v>0</v>
      </c>
      <c r="AY716" s="30">
        <f>Inventory[[#This Row],[AttGar]]*Lookups!$B$93</f>
        <v>25769.752630000003</v>
      </c>
      <c r="AZ716" s="30">
        <f>ROUND(Inventory[[#This Row],[25Det]],-2)</f>
        <v>0</v>
      </c>
      <c r="BA716" s="30">
        <f>ROUND(SUM(Inventory[[#This Row],[Mdl Qlty]:[Mdl Garage Area]])+Inventory[[#This Row],[Mdl Res Intercept]],-2)</f>
        <v>374000</v>
      </c>
      <c r="BB716" s="30">
        <f>ROUND(Inventory[[#This Row],[Mdl Land Intercept]]+Inventory[[#This Row],[Mdl LnAcres]],-2)</f>
        <v>64300</v>
      </c>
      <c r="BC716" s="30">
        <f>Inventory[[#This Row],[Unadj Res Value]]+Inventory[[#This Row],[Unadj Det Value]]+Inventory[[#This Row],[Unadj Land Value]]</f>
        <v>438300</v>
      </c>
      <c r="BD716" s="30">
        <f>(Inventory[[#This Row],[Unadj Total Value]]-Inventory[[#This Row],[24Final]])/Inventory[[#This Row],[24Final]]</f>
        <v>7.9025110782865587E-2</v>
      </c>
      <c r="BE716" s="30">
        <f>VLOOKUP(Inventory[[#This Row],[Nbhd]],Lookups!$M$3:$P$5,4,FALSE)</f>
        <v>0.99970000000000003</v>
      </c>
      <c r="BF716" s="30">
        <f>VLOOKUP(Inventory[[#This Row],[Qlty]],Lookups!$M$8:$P$22,4,FALSE)</f>
        <v>1.0019</v>
      </c>
      <c r="BG716" s="30">
        <f>VLOOKUP(Inventory[[#This Row],[Cnd]],Lookups!$R$8:$U$17,4,FALSE)</f>
        <v>1.0007999999999999</v>
      </c>
      <c r="BH716" s="30">
        <f>VLOOKUP(Inventory[[#This Row],[LivArea Range]],Lookups!$R$25:$U$43,4,FALSE)</f>
        <v>1.0008999999999999</v>
      </c>
      <c r="BI716" s="30">
        <f>VLOOKUP(Inventory[[#This Row],[Decade]],Lookups!$M$24:$P$40,4,FALSE)</f>
        <v>1.0024</v>
      </c>
      <c r="BJ716" s="30">
        <f>Inventory[[#This Row],[Nbhd Adj]]*0.95</f>
        <v>0.94971499999999998</v>
      </c>
      <c r="BK716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716" s="30">
        <f>ROUND((SUM(Inventory[[#This Row],[Mdl Qlty]:[Mdl Garage Area]])+Inventory[[#This Row],[Mdl Res Intercept]])*Inventory[[#This Row],[Res Adj ]],-2)</f>
        <v>355700</v>
      </c>
      <c r="BM716" s="30">
        <f>ROUND(Inventory[[#This Row],[25Det]]*Inventory[[#This Row],[Det/Nbhd Adj]],-2)</f>
        <v>0</v>
      </c>
      <c r="BN716" s="30">
        <f>Inventory[[#This Row],[Adjusted Res]]+Inventory[[#This Row],[Adj Det ]]</f>
        <v>355700</v>
      </c>
      <c r="BO716" s="30">
        <f>ROUND((Inventory[[#This Row],[Mdl Land Intercept]]+Inventory[[#This Row],[Mdl LnAcres]])*Inventory[[#This Row],[Det/Nbhd Adj]],-2)</f>
        <v>61100</v>
      </c>
      <c r="BP716" s="30">
        <f>Inventory[[#This Row],[Adjusted Impr Total]]+Inventory[[#This Row],[Adjusted Land Total]]</f>
        <v>416800</v>
      </c>
      <c r="BQ716" s="30">
        <f>IFERROR((Inventory[[#This Row],[Adjusted Impr Total]]-Inventory[[#This Row],[24Bldg]])/Inventory[[#This Row],[24Bldg]],0)</f>
        <v>2.9820497973364217E-2</v>
      </c>
      <c r="BR716" s="43">
        <f>(Inventory[[#This Row],[Adjusted Land Total]]-Inventory[[#This Row],[24Lnd]])/Inventory[[#This Row],[24Lnd]]</f>
        <v>4.9342105263157892E-3</v>
      </c>
      <c r="BS716" s="43">
        <f>(Inventory[[#This Row],[Adjusted Total]]-Inventory[[#This Row],[24Final]])/Inventory[[#This Row],[24Final]]</f>
        <v>2.6095519448547513E-2</v>
      </c>
    </row>
    <row r="717" spans="1:71">
      <c r="A717" s="30">
        <v>2025</v>
      </c>
      <c r="B717" s="31" t="s">
        <v>1232</v>
      </c>
      <c r="C717" s="31">
        <f>LN(Inventory[[#This Row],[Acres]])</f>
        <v>-1.8325814637483102</v>
      </c>
      <c r="D717" s="30">
        <v>0.16</v>
      </c>
      <c r="E717" s="30">
        <v>6960</v>
      </c>
      <c r="F717" s="31" t="s">
        <v>505</v>
      </c>
      <c r="G717" s="31" t="s">
        <v>155</v>
      </c>
      <c r="H717" s="31" t="s">
        <v>5</v>
      </c>
      <c r="I717" s="31" t="s">
        <v>506</v>
      </c>
      <c r="J717" s="31" t="s">
        <v>507</v>
      </c>
      <c r="K717" s="31" t="s">
        <v>157</v>
      </c>
      <c r="L717" s="31" t="s">
        <v>21</v>
      </c>
      <c r="M717" s="31" t="s">
        <v>22</v>
      </c>
      <c r="N717" s="31">
        <v>10</v>
      </c>
      <c r="O717" s="31">
        <f>2024-Inventory[[#This Row],[YrBlt]]</f>
        <v>19</v>
      </c>
      <c r="P717" s="31">
        <f>2024-Inventory[[#This Row],[EffYr]]</f>
        <v>19</v>
      </c>
      <c r="Q717" s="30">
        <v>2005</v>
      </c>
      <c r="R717" s="30">
        <v>2005</v>
      </c>
      <c r="S717" s="30">
        <v>1116</v>
      </c>
      <c r="T717" s="30">
        <v>1116</v>
      </c>
      <c r="U717" s="32"/>
      <c r="V717" s="32"/>
      <c r="W717" s="32"/>
      <c r="X717" s="32">
        <f>Inventory[[#This Row],[Bsmt Area]]-Inventory[[#This Row],[FnBsmt]]</f>
        <v>0</v>
      </c>
      <c r="Y717" s="32">
        <f>Inventory[[#This Row],[MainFn]]+Inventory[[#This Row],[UpprFn]]+Inventory[[#This Row],[AddFn]]+Inventory[[#This Row],[FnBsmt]]</f>
        <v>2232</v>
      </c>
      <c r="Z717" s="32">
        <v>2500</v>
      </c>
      <c r="AA717" s="31" t="s">
        <v>55</v>
      </c>
      <c r="AB717" s="32"/>
      <c r="AC717" s="30">
        <v>704</v>
      </c>
      <c r="AD717" s="37"/>
      <c r="AE717" s="32"/>
      <c r="AF717" s="32"/>
      <c r="AG717" s="32"/>
      <c r="AH717" s="32"/>
      <c r="AI717" s="30">
        <v>463082</v>
      </c>
      <c r="AJ717" s="30">
        <v>421405</v>
      </c>
      <c r="AK717" s="30">
        <v>0</v>
      </c>
      <c r="AL717" s="30">
        <v>0</v>
      </c>
      <c r="AM717" s="30">
        <v>60800</v>
      </c>
      <c r="AN717" s="30">
        <v>380000</v>
      </c>
      <c r="AO717" s="30">
        <v>440800</v>
      </c>
      <c r="AP717" s="30">
        <f>Lookups!$B$58*0.6</f>
        <v>132535.48800000001</v>
      </c>
      <c r="AQ717" s="30">
        <f>Lookups!$B$58*0.4</f>
        <v>88356.992000000013</v>
      </c>
      <c r="AR717" s="30">
        <f>Lookups!$B$59*Inventory[[#This Row],[LnAcres]]</f>
        <v>-24051.387388882686</v>
      </c>
      <c r="AS717" s="30">
        <f>VLOOKUP(Inventory[[#This Row],[Qlty]],Lookups!$A$66:$E$79,2,FALSE)</f>
        <v>32917.849192000001</v>
      </c>
      <c r="AT717" s="30">
        <f>VLOOKUP(Inventory[[#This Row],[Cnd]],Lookups!$A$80:$E$88,2,FALSE)</f>
        <v>50438.379078999998</v>
      </c>
      <c r="AU717" s="30">
        <f>Inventory[[#This Row],[EffAge]]*Lookups!$B$65</f>
        <v>-2066.0808999999999</v>
      </c>
      <c r="AV717" s="30">
        <f>Inventory[[#This Row],[MainFn]]*Lookups!$B$90</f>
        <v>69649.984080000009</v>
      </c>
      <c r="AW717" s="30">
        <f>Inventory[[#This Row],[UpprFn]]*Lookups!$B$91</f>
        <v>66491.707427999994</v>
      </c>
      <c r="AX717" s="30">
        <f>Inventory[[#This Row],[Bsmt Area]]*Lookups!$B$95</f>
        <v>0</v>
      </c>
      <c r="AY717" s="30">
        <f>Inventory[[#This Row],[AttGar]]*Lookups!$B$93</f>
        <v>24851.925824000002</v>
      </c>
      <c r="AZ717" s="30">
        <f>ROUND(Inventory[[#This Row],[25Det]],-2)</f>
        <v>0</v>
      </c>
      <c r="BA717" s="30">
        <f>ROUND(SUM(Inventory[[#This Row],[Mdl Qlty]:[Mdl Garage Area]])+Inventory[[#This Row],[Mdl Res Intercept]],-2)</f>
        <v>374800</v>
      </c>
      <c r="BB717" s="30">
        <f>ROUND(Inventory[[#This Row],[Mdl Land Intercept]]+Inventory[[#This Row],[Mdl LnAcres]],-2)</f>
        <v>64300</v>
      </c>
      <c r="BC717" s="30">
        <f>Inventory[[#This Row],[Unadj Res Value]]+Inventory[[#This Row],[Unadj Det Value]]+Inventory[[#This Row],[Unadj Land Value]]</f>
        <v>439100</v>
      </c>
      <c r="BD717" s="30">
        <f>(Inventory[[#This Row],[Unadj Total Value]]-Inventory[[#This Row],[24Final]])/Inventory[[#This Row],[24Final]]</f>
        <v>-3.8566243194192379E-3</v>
      </c>
      <c r="BE717" s="30">
        <f>VLOOKUP(Inventory[[#This Row],[Nbhd]],Lookups!$M$3:$P$5,4,FALSE)</f>
        <v>0.99970000000000003</v>
      </c>
      <c r="BF717" s="30">
        <f>VLOOKUP(Inventory[[#This Row],[Qlty]],Lookups!$M$8:$P$22,4,FALSE)</f>
        <v>1.0019</v>
      </c>
      <c r="BG717" s="30">
        <f>VLOOKUP(Inventory[[#This Row],[Cnd]],Lookups!$R$8:$U$17,4,FALSE)</f>
        <v>1.0007999999999999</v>
      </c>
      <c r="BH717" s="30">
        <f>VLOOKUP(Inventory[[#This Row],[LivArea Range]],Lookups!$R$25:$U$43,4,FALSE)</f>
        <v>1.0008999999999999</v>
      </c>
      <c r="BI717" s="30">
        <f>VLOOKUP(Inventory[[#This Row],[Decade]],Lookups!$M$24:$P$40,4,FALSE)</f>
        <v>1.0024</v>
      </c>
      <c r="BJ717" s="30">
        <f>Inventory[[#This Row],[Nbhd Adj]]*0.95</f>
        <v>0.94971499999999998</v>
      </c>
      <c r="BK717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717" s="30">
        <f>ROUND((SUM(Inventory[[#This Row],[Mdl Qlty]:[Mdl Garage Area]])+Inventory[[#This Row],[Mdl Res Intercept]])*Inventory[[#This Row],[Res Adj ]],-2)</f>
        <v>356500</v>
      </c>
      <c r="BM717" s="30">
        <f>ROUND(Inventory[[#This Row],[25Det]]*Inventory[[#This Row],[Det/Nbhd Adj]],-2)</f>
        <v>0</v>
      </c>
      <c r="BN717" s="30">
        <f>Inventory[[#This Row],[Adjusted Res]]+Inventory[[#This Row],[Adj Det ]]</f>
        <v>356500</v>
      </c>
      <c r="BO717" s="30">
        <f>ROUND((Inventory[[#This Row],[Mdl Land Intercept]]+Inventory[[#This Row],[Mdl LnAcres]])*Inventory[[#This Row],[Det/Nbhd Adj]],-2)</f>
        <v>61100</v>
      </c>
      <c r="BP717" s="30">
        <f>Inventory[[#This Row],[Adjusted Impr Total]]+Inventory[[#This Row],[Adjusted Land Total]]</f>
        <v>417600</v>
      </c>
      <c r="BQ717" s="30">
        <f>IFERROR((Inventory[[#This Row],[Adjusted Impr Total]]-Inventory[[#This Row],[24Bldg]])/Inventory[[#This Row],[24Bldg]],0)</f>
        <v>-6.1842105263157893E-2</v>
      </c>
      <c r="BR717" s="43">
        <f>(Inventory[[#This Row],[Adjusted Land Total]]-Inventory[[#This Row],[24Lnd]])/Inventory[[#This Row],[24Lnd]]</f>
        <v>4.9342105263157892E-3</v>
      </c>
      <c r="BS717" s="43">
        <f>(Inventory[[#This Row],[Adjusted Total]]-Inventory[[#This Row],[24Final]])/Inventory[[#This Row],[24Final]]</f>
        <v>-5.2631578947368418E-2</v>
      </c>
    </row>
    <row r="718" spans="1:71">
      <c r="A718" s="30">
        <v>2025</v>
      </c>
      <c r="B718" s="31" t="s">
        <v>1233</v>
      </c>
      <c r="C718" s="31">
        <f>LN(Inventory[[#This Row],[Acres]])</f>
        <v>-1.8325814637483102</v>
      </c>
      <c r="D718" s="30">
        <v>0.16</v>
      </c>
      <c r="E718" s="30">
        <v>6999</v>
      </c>
      <c r="F718" s="31" t="s">
        <v>505</v>
      </c>
      <c r="G718" s="31" t="s">
        <v>155</v>
      </c>
      <c r="H718" s="31" t="s">
        <v>5</v>
      </c>
      <c r="I718" s="31" t="s">
        <v>506</v>
      </c>
      <c r="J718" s="31" t="s">
        <v>507</v>
      </c>
      <c r="K718" s="31" t="s">
        <v>157</v>
      </c>
      <c r="L718" s="31" t="s">
        <v>21</v>
      </c>
      <c r="M718" s="31" t="s">
        <v>22</v>
      </c>
      <c r="N718" s="31">
        <v>10</v>
      </c>
      <c r="O718" s="31">
        <f>2024-Inventory[[#This Row],[YrBlt]]</f>
        <v>19</v>
      </c>
      <c r="P718" s="31">
        <f>2024-Inventory[[#This Row],[EffYr]]</f>
        <v>19</v>
      </c>
      <c r="Q718" s="30">
        <v>2005</v>
      </c>
      <c r="R718" s="30">
        <v>2005</v>
      </c>
      <c r="S718" s="30">
        <v>1158</v>
      </c>
      <c r="T718" s="38">
        <v>1322</v>
      </c>
      <c r="U718" s="32"/>
      <c r="V718" s="32"/>
      <c r="W718" s="32"/>
      <c r="X718" s="32">
        <f>Inventory[[#This Row],[Bsmt Area]]-Inventory[[#This Row],[FnBsmt]]</f>
        <v>0</v>
      </c>
      <c r="Y718" s="32">
        <f>Inventory[[#This Row],[MainFn]]+Inventory[[#This Row],[UpprFn]]+Inventory[[#This Row],[AddFn]]+Inventory[[#This Row],[FnBsmt]]</f>
        <v>2480</v>
      </c>
      <c r="Z718" s="32">
        <v>2500</v>
      </c>
      <c r="AA718" s="31" t="s">
        <v>55</v>
      </c>
      <c r="AB718" s="38">
        <v>1</v>
      </c>
      <c r="AC718" s="30">
        <v>300</v>
      </c>
      <c r="AD718" s="38">
        <v>502</v>
      </c>
      <c r="AE718" s="32"/>
      <c r="AF718" s="32"/>
      <c r="AG718" s="32"/>
      <c r="AH718" s="32"/>
      <c r="AI718" s="30">
        <v>503193</v>
      </c>
      <c r="AJ718" s="30">
        <v>457906</v>
      </c>
      <c r="AK718" s="30">
        <v>0</v>
      </c>
      <c r="AL718" s="30">
        <v>0</v>
      </c>
      <c r="AM718" s="30">
        <v>60800</v>
      </c>
      <c r="AN718" s="30">
        <v>379700</v>
      </c>
      <c r="AO718" s="30">
        <v>440500</v>
      </c>
      <c r="AP718" s="30">
        <f>Lookups!$B$58*0.6</f>
        <v>132535.48800000001</v>
      </c>
      <c r="AQ718" s="30">
        <f>Lookups!$B$58*0.4</f>
        <v>88356.992000000013</v>
      </c>
      <c r="AR718" s="30">
        <f>Lookups!$B$59*Inventory[[#This Row],[LnAcres]]</f>
        <v>-24051.387388882686</v>
      </c>
      <c r="AS718" s="30">
        <f>VLOOKUP(Inventory[[#This Row],[Qlty]],Lookups!$A$66:$E$79,2,FALSE)</f>
        <v>32917.849192000001</v>
      </c>
      <c r="AT718" s="30">
        <f>VLOOKUP(Inventory[[#This Row],[Cnd]],Lookups!$A$80:$E$88,2,FALSE)</f>
        <v>50438.379078999998</v>
      </c>
      <c r="AU718" s="30">
        <f>Inventory[[#This Row],[EffAge]]*Lookups!$B$65</f>
        <v>-2066.0808999999999</v>
      </c>
      <c r="AV718" s="30">
        <f>Inventory[[#This Row],[MainFn]]*Lookups!$B$90</f>
        <v>72271.22004</v>
      </c>
      <c r="AW718" s="30">
        <f>Inventory[[#This Row],[UpprFn]]*Lookups!$B$91</f>
        <v>78765.266325999997</v>
      </c>
      <c r="AX718" s="30">
        <f>Inventory[[#This Row],[Bsmt Area]]*Lookups!$B$95</f>
        <v>0</v>
      </c>
      <c r="AY718" s="30">
        <f>Inventory[[#This Row],[AttGar]]*Lookups!$B$93</f>
        <v>10590.309300000001</v>
      </c>
      <c r="AZ718" s="30">
        <f>ROUND(Inventory[[#This Row],[25Det]],-2)</f>
        <v>0</v>
      </c>
      <c r="BA718" s="30">
        <f>ROUND(SUM(Inventory[[#This Row],[Mdl Qlty]:[Mdl Garage Area]])+Inventory[[#This Row],[Mdl Res Intercept]],-2)</f>
        <v>375500</v>
      </c>
      <c r="BB718" s="30">
        <f>ROUND(Inventory[[#This Row],[Mdl Land Intercept]]+Inventory[[#This Row],[Mdl LnAcres]],-2)</f>
        <v>64300</v>
      </c>
      <c r="BC718" s="30">
        <f>Inventory[[#This Row],[Unadj Res Value]]+Inventory[[#This Row],[Unadj Det Value]]+Inventory[[#This Row],[Unadj Land Value]]</f>
        <v>439800</v>
      </c>
      <c r="BD718" s="30">
        <f>(Inventory[[#This Row],[Unadj Total Value]]-Inventory[[#This Row],[24Final]])/Inventory[[#This Row],[24Final]]</f>
        <v>-1.5891032917139615E-3</v>
      </c>
      <c r="BE718" s="30">
        <f>VLOOKUP(Inventory[[#This Row],[Nbhd]],Lookups!$M$3:$P$5,4,FALSE)</f>
        <v>0.99970000000000003</v>
      </c>
      <c r="BF718" s="30">
        <f>VLOOKUP(Inventory[[#This Row],[Qlty]],Lookups!$M$8:$P$22,4,FALSE)</f>
        <v>1.0019</v>
      </c>
      <c r="BG718" s="30">
        <f>VLOOKUP(Inventory[[#This Row],[Cnd]],Lookups!$R$8:$U$17,4,FALSE)</f>
        <v>1.0007999999999999</v>
      </c>
      <c r="BH718" s="30">
        <f>VLOOKUP(Inventory[[#This Row],[LivArea Range]],Lookups!$R$25:$U$43,4,FALSE)</f>
        <v>1.0008999999999999</v>
      </c>
      <c r="BI718" s="30">
        <f>VLOOKUP(Inventory[[#This Row],[Decade]],Lookups!$M$24:$P$40,4,FALSE)</f>
        <v>1.0024</v>
      </c>
      <c r="BJ718" s="30">
        <f>Inventory[[#This Row],[Nbhd Adj]]*0.95</f>
        <v>0.94971499999999998</v>
      </c>
      <c r="BK718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718" s="30">
        <f>ROUND((SUM(Inventory[[#This Row],[Mdl Qlty]:[Mdl Garage Area]])+Inventory[[#This Row],[Mdl Res Intercept]])*Inventory[[#This Row],[Res Adj ]],-2)</f>
        <v>357100</v>
      </c>
      <c r="BM718" s="30">
        <f>ROUND(Inventory[[#This Row],[25Det]]*Inventory[[#This Row],[Det/Nbhd Adj]],-2)</f>
        <v>0</v>
      </c>
      <c r="BN718" s="30">
        <f>Inventory[[#This Row],[Adjusted Res]]+Inventory[[#This Row],[Adj Det ]]</f>
        <v>357100</v>
      </c>
      <c r="BO718" s="30">
        <f>ROUND((Inventory[[#This Row],[Mdl Land Intercept]]+Inventory[[#This Row],[Mdl LnAcres]])*Inventory[[#This Row],[Det/Nbhd Adj]],-2)</f>
        <v>61100</v>
      </c>
      <c r="BP718" s="30">
        <f>Inventory[[#This Row],[Adjusted Impr Total]]+Inventory[[#This Row],[Adjusted Land Total]]</f>
        <v>418200</v>
      </c>
      <c r="BQ718" s="30">
        <f>IFERROR((Inventory[[#This Row],[Adjusted Impr Total]]-Inventory[[#This Row],[24Bldg]])/Inventory[[#This Row],[24Bldg]],0)</f>
        <v>-5.9520674216486699E-2</v>
      </c>
      <c r="BR718" s="43">
        <f>(Inventory[[#This Row],[Adjusted Land Total]]-Inventory[[#This Row],[24Lnd]])/Inventory[[#This Row],[24Lnd]]</f>
        <v>4.9342105263157892E-3</v>
      </c>
      <c r="BS718" s="43">
        <f>(Inventory[[#This Row],[Adjusted Total]]-Inventory[[#This Row],[24Final]])/Inventory[[#This Row],[24Final]]</f>
        <v>-5.0624290578887628E-2</v>
      </c>
    </row>
    <row r="719" spans="1:71">
      <c r="A719" s="30">
        <v>2025</v>
      </c>
      <c r="B719" s="31" t="s">
        <v>1234</v>
      </c>
      <c r="C719" s="31">
        <f>LN(Inventory[[#This Row],[Acres]])</f>
        <v>-1.8325814637483102</v>
      </c>
      <c r="D719" s="30">
        <v>0.16</v>
      </c>
      <c r="E719" s="30">
        <v>6957</v>
      </c>
      <c r="F719" s="31" t="s">
        <v>505</v>
      </c>
      <c r="G719" s="31" t="s">
        <v>155</v>
      </c>
      <c r="H719" s="31" t="s">
        <v>5</v>
      </c>
      <c r="I719" s="31" t="s">
        <v>506</v>
      </c>
      <c r="J719" s="31" t="s">
        <v>507</v>
      </c>
      <c r="K719" s="31" t="s">
        <v>193</v>
      </c>
      <c r="L719" s="31" t="s">
        <v>21</v>
      </c>
      <c r="M719" s="31" t="s">
        <v>20</v>
      </c>
      <c r="N719" s="31">
        <v>10</v>
      </c>
      <c r="O719" s="31">
        <f>2024-Inventory[[#This Row],[YrBlt]]</f>
        <v>19</v>
      </c>
      <c r="P719" s="31">
        <f>2024-Inventory[[#This Row],[EffYr]]</f>
        <v>19</v>
      </c>
      <c r="Q719" s="30">
        <v>2005</v>
      </c>
      <c r="R719" s="30">
        <v>2005</v>
      </c>
      <c r="S719" s="30">
        <v>1382</v>
      </c>
      <c r="T719" s="37"/>
      <c r="U719" s="32"/>
      <c r="V719" s="32"/>
      <c r="W719" s="32"/>
      <c r="X719" s="32">
        <f>Inventory[[#This Row],[Bsmt Area]]-Inventory[[#This Row],[FnBsmt]]</f>
        <v>0</v>
      </c>
      <c r="Y719" s="32">
        <f>Inventory[[#This Row],[MainFn]]+Inventory[[#This Row],[UpprFn]]+Inventory[[#This Row],[AddFn]]+Inventory[[#This Row],[FnBsmt]]</f>
        <v>1382</v>
      </c>
      <c r="Z719" s="32">
        <v>1500</v>
      </c>
      <c r="AA719" s="31" t="s">
        <v>55</v>
      </c>
      <c r="AB719" s="30">
        <v>1</v>
      </c>
      <c r="AC719" s="38">
        <v>666</v>
      </c>
      <c r="AD719" s="37"/>
      <c r="AE719" s="32"/>
      <c r="AF719" s="32"/>
      <c r="AG719" s="32"/>
      <c r="AH719" s="32"/>
      <c r="AI719" s="30">
        <v>328221</v>
      </c>
      <c r="AJ719" s="30">
        <v>298681</v>
      </c>
      <c r="AK719" s="30">
        <v>0</v>
      </c>
      <c r="AL719" s="30">
        <v>0</v>
      </c>
      <c r="AM719" s="30">
        <v>60800</v>
      </c>
      <c r="AN719" s="30">
        <v>296300</v>
      </c>
      <c r="AO719" s="30">
        <v>357100</v>
      </c>
      <c r="AP719" s="30">
        <f>Lookups!$B$58*0.6</f>
        <v>132535.48800000001</v>
      </c>
      <c r="AQ719" s="30">
        <f>Lookups!$B$58*0.4</f>
        <v>88356.992000000013</v>
      </c>
      <c r="AR719" s="30">
        <f>Lookups!$B$59*Inventory[[#This Row],[LnAcres]]</f>
        <v>-24051.387388882686</v>
      </c>
      <c r="AS719" s="30">
        <f>VLOOKUP(Inventory[[#This Row],[Qlty]],Lookups!$A$66:$E$79,2,FALSE)</f>
        <v>32917.849192000001</v>
      </c>
      <c r="AT719" s="30">
        <f>VLOOKUP(Inventory[[#This Row],[Cnd]],Lookups!$A$80:$E$88,2,FALSE)</f>
        <v>30300.329274</v>
      </c>
      <c r="AU719" s="30">
        <f>Inventory[[#This Row],[EffAge]]*Lookups!$B$65</f>
        <v>-2066.0808999999999</v>
      </c>
      <c r="AV719" s="30">
        <f>Inventory[[#This Row],[MainFn]]*Lookups!$B$90</f>
        <v>86251.14516</v>
      </c>
      <c r="AW719" s="30">
        <f>Inventory[[#This Row],[UpprFn]]*Lookups!$B$91</f>
        <v>0</v>
      </c>
      <c r="AX719" s="30">
        <f>Inventory[[#This Row],[Bsmt Area]]*Lookups!$B$95</f>
        <v>0</v>
      </c>
      <c r="AY719" s="30">
        <f>Inventory[[#This Row],[AttGar]]*Lookups!$B$93</f>
        <v>23510.486646000001</v>
      </c>
      <c r="AZ719" s="30">
        <f>ROUND(Inventory[[#This Row],[25Det]],-2)</f>
        <v>0</v>
      </c>
      <c r="BA719" s="30">
        <f>ROUND(SUM(Inventory[[#This Row],[Mdl Qlty]:[Mdl Garage Area]])+Inventory[[#This Row],[Mdl Res Intercept]],-2)</f>
        <v>303400</v>
      </c>
      <c r="BB719" s="30">
        <f>ROUND(Inventory[[#This Row],[Mdl Land Intercept]]+Inventory[[#This Row],[Mdl LnAcres]],-2)</f>
        <v>64300</v>
      </c>
      <c r="BC719" s="30">
        <f>Inventory[[#This Row],[Unadj Res Value]]+Inventory[[#This Row],[Unadj Det Value]]+Inventory[[#This Row],[Unadj Land Value]]</f>
        <v>367700</v>
      </c>
      <c r="BD719" s="30">
        <f>(Inventory[[#This Row],[Unadj Total Value]]-Inventory[[#This Row],[24Final]])/Inventory[[#This Row],[24Final]]</f>
        <v>2.9683562027443294E-2</v>
      </c>
      <c r="BE719" s="30">
        <f>VLOOKUP(Inventory[[#This Row],[Nbhd]],Lookups!$M$3:$P$5,4,FALSE)</f>
        <v>0.99970000000000003</v>
      </c>
      <c r="BF719" s="30">
        <f>VLOOKUP(Inventory[[#This Row],[Qlty]],Lookups!$M$8:$P$22,4,FALSE)</f>
        <v>1.0019</v>
      </c>
      <c r="BG719" s="30">
        <f>VLOOKUP(Inventory[[#This Row],[Cnd]],Lookups!$R$8:$U$17,4,FALSE)</f>
        <v>0.997</v>
      </c>
      <c r="BH719" s="30">
        <f>VLOOKUP(Inventory[[#This Row],[LivArea Range]],Lookups!$R$25:$U$43,4,FALSE)</f>
        <v>0.99519999999999997</v>
      </c>
      <c r="BI719" s="30">
        <f>VLOOKUP(Inventory[[#This Row],[Decade]],Lookups!$M$24:$P$40,4,FALSE)</f>
        <v>1.0024</v>
      </c>
      <c r="BJ719" s="30">
        <f>Inventory[[#This Row],[Nbhd Adj]]*0.95</f>
        <v>0.94971499999999998</v>
      </c>
      <c r="BK719" s="30">
        <f>AVERAGE(Inventory[[#This Row],[Nbhd Adj]],Inventory[[#This Row],[Quality Adj]],Inventory[[#This Row],[Condition Adj]],Inventory[[#This Row],[Living Area Adj]],Inventory[[#This Row],[Decade Adj]])*0.95</f>
        <v>0.94927799999999996</v>
      </c>
      <c r="BL719" s="30">
        <f>ROUND((SUM(Inventory[[#This Row],[Mdl Qlty]:[Mdl Garage Area]])+Inventory[[#This Row],[Mdl Res Intercept]])*Inventory[[#This Row],[Res Adj ]],-2)</f>
        <v>288100</v>
      </c>
      <c r="BM719" s="30">
        <f>ROUND(Inventory[[#This Row],[25Det]]*Inventory[[#This Row],[Det/Nbhd Adj]],-2)</f>
        <v>0</v>
      </c>
      <c r="BN719" s="30">
        <f>Inventory[[#This Row],[Adjusted Res]]+Inventory[[#This Row],[Adj Det ]]</f>
        <v>288100</v>
      </c>
      <c r="BO719" s="30">
        <f>ROUND((Inventory[[#This Row],[Mdl Land Intercept]]+Inventory[[#This Row],[Mdl LnAcres]])*Inventory[[#This Row],[Det/Nbhd Adj]],-2)</f>
        <v>61100</v>
      </c>
      <c r="BP719" s="30">
        <f>Inventory[[#This Row],[Adjusted Impr Total]]+Inventory[[#This Row],[Adjusted Land Total]]</f>
        <v>349200</v>
      </c>
      <c r="BQ719" s="30">
        <f>IFERROR((Inventory[[#This Row],[Adjusted Impr Total]]-Inventory[[#This Row],[24Bldg]])/Inventory[[#This Row],[24Bldg]],0)</f>
        <v>-2.7674654066824164E-2</v>
      </c>
      <c r="BR719" s="43">
        <f>(Inventory[[#This Row],[Adjusted Land Total]]-Inventory[[#This Row],[24Lnd]])/Inventory[[#This Row],[24Lnd]]</f>
        <v>4.9342105263157892E-3</v>
      </c>
      <c r="BS719" s="43">
        <f>(Inventory[[#This Row],[Adjusted Total]]-Inventory[[#This Row],[24Final]])/Inventory[[#This Row],[24Final]]</f>
        <v>-2.2122654718566229E-2</v>
      </c>
    </row>
    <row r="720" spans="1:71">
      <c r="A720" s="30">
        <v>2025</v>
      </c>
      <c r="B720" s="31" t="s">
        <v>1235</v>
      </c>
      <c r="C720" s="31">
        <f>LN(Inventory[[#This Row],[Acres]])</f>
        <v>-1.8325814637483102</v>
      </c>
      <c r="D720" s="30">
        <v>0.16</v>
      </c>
      <c r="E720" s="30">
        <v>7025</v>
      </c>
      <c r="F720" s="31" t="s">
        <v>505</v>
      </c>
      <c r="G720" s="31" t="s">
        <v>155</v>
      </c>
      <c r="H720" s="31" t="s">
        <v>5</v>
      </c>
      <c r="I720" s="31" t="s">
        <v>506</v>
      </c>
      <c r="J720" s="31" t="s">
        <v>507</v>
      </c>
      <c r="K720" s="31" t="s">
        <v>157</v>
      </c>
      <c r="L720" s="31" t="s">
        <v>21</v>
      </c>
      <c r="M720" s="31" t="s">
        <v>20</v>
      </c>
      <c r="N720" s="31">
        <v>10</v>
      </c>
      <c r="O720" s="31">
        <f>2024-Inventory[[#This Row],[YrBlt]]</f>
        <v>19</v>
      </c>
      <c r="P720" s="31">
        <f>2024-Inventory[[#This Row],[EffYr]]</f>
        <v>19</v>
      </c>
      <c r="Q720" s="30">
        <v>2005</v>
      </c>
      <c r="R720" s="30">
        <v>2005</v>
      </c>
      <c r="S720" s="30">
        <v>1116</v>
      </c>
      <c r="T720" s="38">
        <v>1116</v>
      </c>
      <c r="U720" s="32"/>
      <c r="V720" s="32"/>
      <c r="W720" s="32"/>
      <c r="X720" s="32">
        <f>Inventory[[#This Row],[Bsmt Area]]-Inventory[[#This Row],[FnBsmt]]</f>
        <v>0</v>
      </c>
      <c r="Y720" s="32">
        <f>Inventory[[#This Row],[MainFn]]+Inventory[[#This Row],[UpprFn]]+Inventory[[#This Row],[AddFn]]+Inventory[[#This Row],[FnBsmt]]</f>
        <v>2232</v>
      </c>
      <c r="Z720" s="32">
        <v>2500</v>
      </c>
      <c r="AA720" s="31" t="s">
        <v>55</v>
      </c>
      <c r="AB720" s="32"/>
      <c r="AC720" s="30">
        <v>440</v>
      </c>
      <c r="AD720" s="32"/>
      <c r="AE720" s="32"/>
      <c r="AF720" s="32"/>
      <c r="AG720" s="32"/>
      <c r="AH720" s="32"/>
      <c r="AI720" s="30">
        <v>439327</v>
      </c>
      <c r="AJ720" s="30">
        <v>399788</v>
      </c>
      <c r="AK720" s="30">
        <v>0</v>
      </c>
      <c r="AL720" s="30">
        <v>0</v>
      </c>
      <c r="AM720" s="30">
        <v>60800</v>
      </c>
      <c r="AN720" s="30">
        <v>334500</v>
      </c>
      <c r="AO720" s="30">
        <v>395300</v>
      </c>
      <c r="AP720" s="30">
        <f>Lookups!$B$58*0.6</f>
        <v>132535.48800000001</v>
      </c>
      <c r="AQ720" s="30">
        <f>Lookups!$B$58*0.4</f>
        <v>88356.992000000013</v>
      </c>
      <c r="AR720" s="30">
        <f>Lookups!$B$59*Inventory[[#This Row],[LnAcres]]</f>
        <v>-24051.387388882686</v>
      </c>
      <c r="AS720" s="30">
        <f>VLOOKUP(Inventory[[#This Row],[Qlty]],Lookups!$A$66:$E$79,2,FALSE)</f>
        <v>32917.849192000001</v>
      </c>
      <c r="AT720" s="30">
        <f>VLOOKUP(Inventory[[#This Row],[Cnd]],Lookups!$A$80:$E$88,2,FALSE)</f>
        <v>30300.329274</v>
      </c>
      <c r="AU720" s="30">
        <f>Inventory[[#This Row],[EffAge]]*Lookups!$B$65</f>
        <v>-2066.0808999999999</v>
      </c>
      <c r="AV720" s="30">
        <f>Inventory[[#This Row],[MainFn]]*Lookups!$B$90</f>
        <v>69649.984080000009</v>
      </c>
      <c r="AW720" s="30">
        <f>Inventory[[#This Row],[UpprFn]]*Lookups!$B$91</f>
        <v>66491.707427999994</v>
      </c>
      <c r="AX720" s="30">
        <f>Inventory[[#This Row],[Bsmt Area]]*Lookups!$B$95</f>
        <v>0</v>
      </c>
      <c r="AY720" s="30">
        <f>Inventory[[#This Row],[AttGar]]*Lookups!$B$93</f>
        <v>15532.453640000002</v>
      </c>
      <c r="AZ720" s="30">
        <f>ROUND(Inventory[[#This Row],[25Det]],-2)</f>
        <v>0</v>
      </c>
      <c r="BA720" s="30">
        <f>ROUND(SUM(Inventory[[#This Row],[Mdl Qlty]:[Mdl Garage Area]])+Inventory[[#This Row],[Mdl Res Intercept]],-2)</f>
        <v>345400</v>
      </c>
      <c r="BB720" s="30">
        <f>ROUND(Inventory[[#This Row],[Mdl Land Intercept]]+Inventory[[#This Row],[Mdl LnAcres]],-2)</f>
        <v>64300</v>
      </c>
      <c r="BC720" s="30">
        <f>Inventory[[#This Row],[Unadj Res Value]]+Inventory[[#This Row],[Unadj Det Value]]+Inventory[[#This Row],[Unadj Land Value]]</f>
        <v>409700</v>
      </c>
      <c r="BD720" s="30">
        <f>(Inventory[[#This Row],[Unadj Total Value]]-Inventory[[#This Row],[24Final]])/Inventory[[#This Row],[24Final]]</f>
        <v>3.6428029344801417E-2</v>
      </c>
      <c r="BE720" s="30">
        <f>VLOOKUP(Inventory[[#This Row],[Nbhd]],Lookups!$M$3:$P$5,4,FALSE)</f>
        <v>0.99970000000000003</v>
      </c>
      <c r="BF720" s="30">
        <f>VLOOKUP(Inventory[[#This Row],[Qlty]],Lookups!$M$8:$P$22,4,FALSE)</f>
        <v>1.0019</v>
      </c>
      <c r="BG720" s="30">
        <f>VLOOKUP(Inventory[[#This Row],[Cnd]],Lookups!$R$8:$U$17,4,FALSE)</f>
        <v>0.997</v>
      </c>
      <c r="BH720" s="30">
        <f>VLOOKUP(Inventory[[#This Row],[LivArea Range]],Lookups!$R$25:$U$43,4,FALSE)</f>
        <v>1.0008999999999999</v>
      </c>
      <c r="BI720" s="30">
        <f>VLOOKUP(Inventory[[#This Row],[Decade]],Lookups!$M$24:$P$40,4,FALSE)</f>
        <v>1.0024</v>
      </c>
      <c r="BJ720" s="30">
        <f>Inventory[[#This Row],[Nbhd Adj]]*0.95</f>
        <v>0.94971499999999998</v>
      </c>
      <c r="BK720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20" s="30">
        <f>ROUND((SUM(Inventory[[#This Row],[Mdl Qlty]:[Mdl Garage Area]])+Inventory[[#This Row],[Mdl Res Intercept]])*Inventory[[#This Row],[Res Adj ]],-2)</f>
        <v>328200</v>
      </c>
      <c r="BM720" s="30">
        <f>ROUND(Inventory[[#This Row],[25Det]]*Inventory[[#This Row],[Det/Nbhd Adj]],-2)</f>
        <v>0</v>
      </c>
      <c r="BN720" s="30">
        <f>Inventory[[#This Row],[Adjusted Res]]+Inventory[[#This Row],[Adj Det ]]</f>
        <v>328200</v>
      </c>
      <c r="BO720" s="30">
        <f>ROUND((Inventory[[#This Row],[Mdl Land Intercept]]+Inventory[[#This Row],[Mdl LnAcres]])*Inventory[[#This Row],[Det/Nbhd Adj]],-2)</f>
        <v>61100</v>
      </c>
      <c r="BP720" s="30">
        <f>Inventory[[#This Row],[Adjusted Impr Total]]+Inventory[[#This Row],[Adjusted Land Total]]</f>
        <v>389300</v>
      </c>
      <c r="BQ720" s="30">
        <f>IFERROR((Inventory[[#This Row],[Adjusted Impr Total]]-Inventory[[#This Row],[24Bldg]])/Inventory[[#This Row],[24Bldg]],0)</f>
        <v>-1.883408071748879E-2</v>
      </c>
      <c r="BR720" s="43">
        <f>(Inventory[[#This Row],[Adjusted Land Total]]-Inventory[[#This Row],[24Lnd]])/Inventory[[#This Row],[24Lnd]]</f>
        <v>4.9342105263157892E-3</v>
      </c>
      <c r="BS720" s="43">
        <f>(Inventory[[#This Row],[Adjusted Total]]-Inventory[[#This Row],[24Final]])/Inventory[[#This Row],[24Final]]</f>
        <v>-1.5178345560333924E-2</v>
      </c>
    </row>
    <row r="721" spans="1:71">
      <c r="A721" s="30">
        <v>2025</v>
      </c>
      <c r="B721" s="31" t="s">
        <v>1236</v>
      </c>
      <c r="C721" s="31">
        <f>LN(Inventory[[#This Row],[Acres]])</f>
        <v>-1.8325814637483102</v>
      </c>
      <c r="D721" s="30">
        <v>0.16</v>
      </c>
      <c r="E721" s="30">
        <v>7001</v>
      </c>
      <c r="F721" s="31" t="s">
        <v>505</v>
      </c>
      <c r="G721" s="31" t="s">
        <v>155</v>
      </c>
      <c r="H721" s="31" t="s">
        <v>5</v>
      </c>
      <c r="I721" s="31" t="s">
        <v>506</v>
      </c>
      <c r="J721" s="31" t="s">
        <v>507</v>
      </c>
      <c r="K721" s="31" t="s">
        <v>157</v>
      </c>
      <c r="L721" s="31" t="s">
        <v>21</v>
      </c>
      <c r="M721" s="31" t="s">
        <v>22</v>
      </c>
      <c r="N721" s="31">
        <v>10</v>
      </c>
      <c r="O721" s="31">
        <f>2024-Inventory[[#This Row],[YrBlt]]</f>
        <v>19</v>
      </c>
      <c r="P721" s="31">
        <f>2024-Inventory[[#This Row],[EffYr]]</f>
        <v>19</v>
      </c>
      <c r="Q721" s="30">
        <v>2005</v>
      </c>
      <c r="R721" s="30">
        <v>2005</v>
      </c>
      <c r="S721" s="30">
        <v>1116</v>
      </c>
      <c r="T721" s="38">
        <v>1116</v>
      </c>
      <c r="U721" s="32"/>
      <c r="V721" s="32"/>
      <c r="W721" s="32"/>
      <c r="X721" s="32">
        <f>Inventory[[#This Row],[Bsmt Area]]-Inventory[[#This Row],[FnBsmt]]</f>
        <v>0</v>
      </c>
      <c r="Y721" s="32">
        <f>Inventory[[#This Row],[MainFn]]+Inventory[[#This Row],[UpprFn]]+Inventory[[#This Row],[AddFn]]+Inventory[[#This Row],[FnBsmt]]</f>
        <v>2232</v>
      </c>
      <c r="Z721" s="32">
        <v>2500</v>
      </c>
      <c r="AA721" s="31" t="s">
        <v>55</v>
      </c>
      <c r="AB721" s="30">
        <v>1</v>
      </c>
      <c r="AC721" s="30">
        <v>440</v>
      </c>
      <c r="AD721" s="32"/>
      <c r="AE721" s="32"/>
      <c r="AF721" s="32"/>
      <c r="AG721" s="32"/>
      <c r="AH721" s="32"/>
      <c r="AI721" s="30">
        <v>445974</v>
      </c>
      <c r="AJ721" s="30">
        <v>405836</v>
      </c>
      <c r="AK721" s="30">
        <v>0</v>
      </c>
      <c r="AL721" s="30">
        <v>0</v>
      </c>
      <c r="AM721" s="30">
        <v>60800</v>
      </c>
      <c r="AN721" s="30">
        <v>350000</v>
      </c>
      <c r="AO721" s="30">
        <v>410800</v>
      </c>
      <c r="AP721" s="30">
        <f>Lookups!$B$58*0.6</f>
        <v>132535.48800000001</v>
      </c>
      <c r="AQ721" s="30">
        <f>Lookups!$B$58*0.4</f>
        <v>88356.992000000013</v>
      </c>
      <c r="AR721" s="30">
        <f>Lookups!$B$59*Inventory[[#This Row],[LnAcres]]</f>
        <v>-24051.387388882686</v>
      </c>
      <c r="AS721" s="30">
        <f>VLOOKUP(Inventory[[#This Row],[Qlty]],Lookups!$A$66:$E$79,2,FALSE)</f>
        <v>32917.849192000001</v>
      </c>
      <c r="AT721" s="30">
        <f>VLOOKUP(Inventory[[#This Row],[Cnd]],Lookups!$A$80:$E$88,2,FALSE)</f>
        <v>50438.379078999998</v>
      </c>
      <c r="AU721" s="30">
        <f>Inventory[[#This Row],[EffAge]]*Lookups!$B$65</f>
        <v>-2066.0808999999999</v>
      </c>
      <c r="AV721" s="30">
        <f>Inventory[[#This Row],[MainFn]]*Lookups!$B$90</f>
        <v>69649.984080000009</v>
      </c>
      <c r="AW721" s="30">
        <f>Inventory[[#This Row],[UpprFn]]*Lookups!$B$91</f>
        <v>66491.707427999994</v>
      </c>
      <c r="AX721" s="30">
        <f>Inventory[[#This Row],[Bsmt Area]]*Lookups!$B$95</f>
        <v>0</v>
      </c>
      <c r="AY721" s="30">
        <f>Inventory[[#This Row],[AttGar]]*Lookups!$B$93</f>
        <v>15532.453640000002</v>
      </c>
      <c r="AZ721" s="30">
        <f>ROUND(Inventory[[#This Row],[25Det]],-2)</f>
        <v>0</v>
      </c>
      <c r="BA721" s="30">
        <f>ROUND(SUM(Inventory[[#This Row],[Mdl Qlty]:[Mdl Garage Area]])+Inventory[[#This Row],[Mdl Res Intercept]],-2)</f>
        <v>365500</v>
      </c>
      <c r="BB721" s="30">
        <f>ROUND(Inventory[[#This Row],[Mdl Land Intercept]]+Inventory[[#This Row],[Mdl LnAcres]],-2)</f>
        <v>64300</v>
      </c>
      <c r="BC721" s="30">
        <f>Inventory[[#This Row],[Unadj Res Value]]+Inventory[[#This Row],[Unadj Det Value]]+Inventory[[#This Row],[Unadj Land Value]]</f>
        <v>429800</v>
      </c>
      <c r="BD721" s="30">
        <f>(Inventory[[#This Row],[Unadj Total Value]]-Inventory[[#This Row],[24Final]])/Inventory[[#This Row],[24Final]]</f>
        <v>4.6251217137293084E-2</v>
      </c>
      <c r="BE721" s="30">
        <f>VLOOKUP(Inventory[[#This Row],[Nbhd]],Lookups!$M$3:$P$5,4,FALSE)</f>
        <v>0.99970000000000003</v>
      </c>
      <c r="BF721" s="30">
        <f>VLOOKUP(Inventory[[#This Row],[Qlty]],Lookups!$M$8:$P$22,4,FALSE)</f>
        <v>1.0019</v>
      </c>
      <c r="BG721" s="30">
        <f>VLOOKUP(Inventory[[#This Row],[Cnd]],Lookups!$R$8:$U$17,4,FALSE)</f>
        <v>1.0007999999999999</v>
      </c>
      <c r="BH721" s="30">
        <f>VLOOKUP(Inventory[[#This Row],[LivArea Range]],Lookups!$R$25:$U$43,4,FALSE)</f>
        <v>1.0008999999999999</v>
      </c>
      <c r="BI721" s="30">
        <f>VLOOKUP(Inventory[[#This Row],[Decade]],Lookups!$M$24:$P$40,4,FALSE)</f>
        <v>1.0024</v>
      </c>
      <c r="BJ721" s="30">
        <f>Inventory[[#This Row],[Nbhd Adj]]*0.95</f>
        <v>0.94971499999999998</v>
      </c>
      <c r="BK721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721" s="30">
        <f>ROUND((SUM(Inventory[[#This Row],[Mdl Qlty]:[Mdl Garage Area]])+Inventory[[#This Row],[Mdl Res Intercept]])*Inventory[[#This Row],[Res Adj ]],-2)</f>
        <v>347600</v>
      </c>
      <c r="BM721" s="30">
        <f>ROUND(Inventory[[#This Row],[25Det]]*Inventory[[#This Row],[Det/Nbhd Adj]],-2)</f>
        <v>0</v>
      </c>
      <c r="BN721" s="30">
        <f>Inventory[[#This Row],[Adjusted Res]]+Inventory[[#This Row],[Adj Det ]]</f>
        <v>347600</v>
      </c>
      <c r="BO721" s="30">
        <f>ROUND((Inventory[[#This Row],[Mdl Land Intercept]]+Inventory[[#This Row],[Mdl LnAcres]])*Inventory[[#This Row],[Det/Nbhd Adj]],-2)</f>
        <v>61100</v>
      </c>
      <c r="BP721" s="30">
        <f>Inventory[[#This Row],[Adjusted Impr Total]]+Inventory[[#This Row],[Adjusted Land Total]]</f>
        <v>408700</v>
      </c>
      <c r="BQ721" s="30">
        <f>IFERROR((Inventory[[#This Row],[Adjusted Impr Total]]-Inventory[[#This Row],[24Bldg]])/Inventory[[#This Row],[24Bldg]],0)</f>
        <v>-6.8571428571428568E-3</v>
      </c>
      <c r="BR721" s="43">
        <f>(Inventory[[#This Row],[Adjusted Land Total]]-Inventory[[#This Row],[24Lnd]])/Inventory[[#This Row],[24Lnd]]</f>
        <v>4.9342105263157892E-3</v>
      </c>
      <c r="BS721" s="43">
        <f>(Inventory[[#This Row],[Adjusted Total]]-Inventory[[#This Row],[24Final]])/Inventory[[#This Row],[24Final]]</f>
        <v>-5.1119766309639728E-3</v>
      </c>
    </row>
    <row r="722" spans="1:71">
      <c r="A722" s="30">
        <v>2025</v>
      </c>
      <c r="B722" s="31" t="s">
        <v>1237</v>
      </c>
      <c r="C722" s="31">
        <f>LN(Inventory[[#This Row],[Acres]])</f>
        <v>-1.8325814637483102</v>
      </c>
      <c r="D722" s="30">
        <v>0.16</v>
      </c>
      <c r="E722" s="30">
        <v>7015</v>
      </c>
      <c r="F722" s="31" t="s">
        <v>505</v>
      </c>
      <c r="G722" s="31" t="s">
        <v>155</v>
      </c>
      <c r="H722" s="31" t="s">
        <v>5</v>
      </c>
      <c r="I722" s="31" t="s">
        <v>506</v>
      </c>
      <c r="J722" s="31" t="s">
        <v>507</v>
      </c>
      <c r="K722" s="31" t="s">
        <v>330</v>
      </c>
      <c r="L722" s="31" t="s">
        <v>21</v>
      </c>
      <c r="M722" s="31" t="s">
        <v>20</v>
      </c>
      <c r="N722" s="31">
        <v>10</v>
      </c>
      <c r="O722" s="31">
        <f>2024-Inventory[[#This Row],[YrBlt]]</f>
        <v>19</v>
      </c>
      <c r="P722" s="31">
        <f>2024-Inventory[[#This Row],[EffYr]]</f>
        <v>19</v>
      </c>
      <c r="Q722" s="30">
        <v>2005</v>
      </c>
      <c r="R722" s="30">
        <v>2005</v>
      </c>
      <c r="S722" s="30">
        <v>2154</v>
      </c>
      <c r="T722" s="32"/>
      <c r="U722" s="32"/>
      <c r="V722" s="32"/>
      <c r="W722" s="32"/>
      <c r="X722" s="32">
        <f>Inventory[[#This Row],[Bsmt Area]]-Inventory[[#This Row],[FnBsmt]]</f>
        <v>0</v>
      </c>
      <c r="Y722" s="32">
        <f>Inventory[[#This Row],[MainFn]]+Inventory[[#This Row],[UpprFn]]+Inventory[[#This Row],[AddFn]]+Inventory[[#This Row],[FnBsmt]]</f>
        <v>2154</v>
      </c>
      <c r="Z722" s="32">
        <v>2500</v>
      </c>
      <c r="AA722" s="31" t="s">
        <v>55</v>
      </c>
      <c r="AB722" s="38">
        <v>1</v>
      </c>
      <c r="AC722" s="30">
        <v>730</v>
      </c>
      <c r="AD722" s="32"/>
      <c r="AE722" s="32"/>
      <c r="AF722" s="32"/>
      <c r="AG722" s="32"/>
      <c r="AH722" s="32"/>
      <c r="AI722" s="30">
        <v>457245</v>
      </c>
      <c r="AJ722" s="30">
        <v>416093</v>
      </c>
      <c r="AK722" s="30">
        <v>0</v>
      </c>
      <c r="AL722" s="30">
        <v>0</v>
      </c>
      <c r="AM722" s="30">
        <v>60800</v>
      </c>
      <c r="AN722" s="30">
        <v>329900</v>
      </c>
      <c r="AO722" s="30">
        <v>390700</v>
      </c>
      <c r="AP722" s="30">
        <f>Lookups!$B$58*0.6</f>
        <v>132535.48800000001</v>
      </c>
      <c r="AQ722" s="30">
        <f>Lookups!$B$58*0.4</f>
        <v>88356.992000000013</v>
      </c>
      <c r="AR722" s="30">
        <f>Lookups!$B$59*Inventory[[#This Row],[LnAcres]]</f>
        <v>-24051.387388882686</v>
      </c>
      <c r="AS722" s="30">
        <f>VLOOKUP(Inventory[[#This Row],[Qlty]],Lookups!$A$66:$E$79,2,FALSE)</f>
        <v>32917.849192000001</v>
      </c>
      <c r="AT722" s="30">
        <f>VLOOKUP(Inventory[[#This Row],[Cnd]],Lookups!$A$80:$E$88,2,FALSE)</f>
        <v>30300.329274</v>
      </c>
      <c r="AU722" s="30">
        <f>Inventory[[#This Row],[EffAge]]*Lookups!$B$65</f>
        <v>-2066.0808999999999</v>
      </c>
      <c r="AV722" s="30">
        <f>Inventory[[#This Row],[MainFn]]*Lookups!$B$90</f>
        <v>134431.95852000001</v>
      </c>
      <c r="AW722" s="30">
        <f>Inventory[[#This Row],[UpprFn]]*Lookups!$B$91</f>
        <v>0</v>
      </c>
      <c r="AX722" s="30">
        <f>Inventory[[#This Row],[Bsmt Area]]*Lookups!$B$95</f>
        <v>0</v>
      </c>
      <c r="AY722" s="30">
        <f>Inventory[[#This Row],[AttGar]]*Lookups!$B$93</f>
        <v>25769.752630000003</v>
      </c>
      <c r="AZ722" s="30">
        <f>ROUND(Inventory[[#This Row],[25Det]],-2)</f>
        <v>0</v>
      </c>
      <c r="BA722" s="30">
        <f>ROUND(SUM(Inventory[[#This Row],[Mdl Qlty]:[Mdl Garage Area]])+Inventory[[#This Row],[Mdl Res Intercept]],-2)</f>
        <v>353900</v>
      </c>
      <c r="BB722" s="30">
        <f>ROUND(Inventory[[#This Row],[Mdl Land Intercept]]+Inventory[[#This Row],[Mdl LnAcres]],-2)</f>
        <v>64300</v>
      </c>
      <c r="BC722" s="30">
        <f>Inventory[[#This Row],[Unadj Res Value]]+Inventory[[#This Row],[Unadj Det Value]]+Inventory[[#This Row],[Unadj Land Value]]</f>
        <v>418200</v>
      </c>
      <c r="BD722" s="30">
        <f>(Inventory[[#This Row],[Unadj Total Value]]-Inventory[[#This Row],[24Final]])/Inventory[[#This Row],[24Final]]</f>
        <v>7.0386485794727408E-2</v>
      </c>
      <c r="BE722" s="30">
        <f>VLOOKUP(Inventory[[#This Row],[Nbhd]],Lookups!$M$3:$P$5,4,FALSE)</f>
        <v>0.99970000000000003</v>
      </c>
      <c r="BF722" s="30">
        <f>VLOOKUP(Inventory[[#This Row],[Qlty]],Lookups!$M$8:$P$22,4,FALSE)</f>
        <v>1.0019</v>
      </c>
      <c r="BG722" s="30">
        <f>VLOOKUP(Inventory[[#This Row],[Cnd]],Lookups!$R$8:$U$17,4,FALSE)</f>
        <v>0.997</v>
      </c>
      <c r="BH722" s="30">
        <f>VLOOKUP(Inventory[[#This Row],[LivArea Range]],Lookups!$R$25:$U$43,4,FALSE)</f>
        <v>1.0008999999999999</v>
      </c>
      <c r="BI722" s="30">
        <f>VLOOKUP(Inventory[[#This Row],[Decade]],Lookups!$M$24:$P$40,4,FALSE)</f>
        <v>1.0024</v>
      </c>
      <c r="BJ722" s="30">
        <f>Inventory[[#This Row],[Nbhd Adj]]*0.95</f>
        <v>0.94971499999999998</v>
      </c>
      <c r="BK722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22" s="30">
        <f>ROUND((SUM(Inventory[[#This Row],[Mdl Qlty]:[Mdl Garage Area]])+Inventory[[#This Row],[Mdl Res Intercept]])*Inventory[[#This Row],[Res Adj ]],-2)</f>
        <v>336300</v>
      </c>
      <c r="BM722" s="30">
        <f>ROUND(Inventory[[#This Row],[25Det]]*Inventory[[#This Row],[Det/Nbhd Adj]],-2)</f>
        <v>0</v>
      </c>
      <c r="BN722" s="30">
        <f>Inventory[[#This Row],[Adjusted Res]]+Inventory[[#This Row],[Adj Det ]]</f>
        <v>336300</v>
      </c>
      <c r="BO722" s="30">
        <f>ROUND((Inventory[[#This Row],[Mdl Land Intercept]]+Inventory[[#This Row],[Mdl LnAcres]])*Inventory[[#This Row],[Det/Nbhd Adj]],-2)</f>
        <v>61100</v>
      </c>
      <c r="BP722" s="30">
        <f>Inventory[[#This Row],[Adjusted Impr Total]]+Inventory[[#This Row],[Adjusted Land Total]]</f>
        <v>397400</v>
      </c>
      <c r="BQ722" s="30">
        <f>IFERROR((Inventory[[#This Row],[Adjusted Impr Total]]-Inventory[[#This Row],[24Bldg]])/Inventory[[#This Row],[24Bldg]],0)</f>
        <v>1.9399818126705062E-2</v>
      </c>
      <c r="BR722" s="43">
        <f>(Inventory[[#This Row],[Adjusted Land Total]]-Inventory[[#This Row],[24Lnd]])/Inventory[[#This Row],[24Lnd]]</f>
        <v>4.9342105263157892E-3</v>
      </c>
      <c r="BS722" s="43">
        <f>(Inventory[[#This Row],[Adjusted Total]]-Inventory[[#This Row],[24Final]])/Inventory[[#This Row],[24Final]]</f>
        <v>1.7148707448169952E-2</v>
      </c>
    </row>
    <row r="723" spans="1:71">
      <c r="A723" s="30">
        <v>2025</v>
      </c>
      <c r="B723" s="31" t="s">
        <v>1238</v>
      </c>
      <c r="C723" s="31">
        <f>LN(Inventory[[#This Row],[Acres]])</f>
        <v>-1.8325814637483102</v>
      </c>
      <c r="D723" s="30">
        <v>0.16</v>
      </c>
      <c r="E723" s="30">
        <v>7181</v>
      </c>
      <c r="F723" s="31" t="s">
        <v>505</v>
      </c>
      <c r="G723" s="31" t="s">
        <v>155</v>
      </c>
      <c r="H723" s="31" t="s">
        <v>5</v>
      </c>
      <c r="I723" s="31" t="s">
        <v>506</v>
      </c>
      <c r="J723" s="31" t="s">
        <v>507</v>
      </c>
      <c r="K723" s="31" t="s">
        <v>330</v>
      </c>
      <c r="L723" s="31" t="s">
        <v>21</v>
      </c>
      <c r="M723" s="31" t="s">
        <v>22</v>
      </c>
      <c r="N723" s="31">
        <v>10</v>
      </c>
      <c r="O723" s="31">
        <f>2024-Inventory[[#This Row],[YrBlt]]</f>
        <v>19</v>
      </c>
      <c r="P723" s="31">
        <f>2024-Inventory[[#This Row],[EffYr]]</f>
        <v>19</v>
      </c>
      <c r="Q723" s="30">
        <v>2005</v>
      </c>
      <c r="R723" s="30">
        <v>2005</v>
      </c>
      <c r="S723" s="30">
        <v>2154</v>
      </c>
      <c r="T723" s="37"/>
      <c r="U723" s="32"/>
      <c r="V723" s="32"/>
      <c r="W723" s="32"/>
      <c r="X723" s="32">
        <f>Inventory[[#This Row],[Bsmt Area]]-Inventory[[#This Row],[FnBsmt]]</f>
        <v>0</v>
      </c>
      <c r="Y723" s="32">
        <f>Inventory[[#This Row],[MainFn]]+Inventory[[#This Row],[UpprFn]]+Inventory[[#This Row],[AddFn]]+Inventory[[#This Row],[FnBsmt]]</f>
        <v>2154</v>
      </c>
      <c r="Z723" s="32">
        <v>2500</v>
      </c>
      <c r="AA723" s="31" t="s">
        <v>55</v>
      </c>
      <c r="AB723" s="37"/>
      <c r="AC723" s="30">
        <v>730</v>
      </c>
      <c r="AD723" s="37"/>
      <c r="AE723" s="32"/>
      <c r="AF723" s="32"/>
      <c r="AG723" s="32"/>
      <c r="AH723" s="32"/>
      <c r="AI723" s="30">
        <v>455642</v>
      </c>
      <c r="AJ723" s="30">
        <v>414634</v>
      </c>
      <c r="AK723" s="30">
        <v>0</v>
      </c>
      <c r="AL723" s="30">
        <v>0</v>
      </c>
      <c r="AM723" s="30">
        <v>60800</v>
      </c>
      <c r="AN723" s="30">
        <v>347200</v>
      </c>
      <c r="AO723" s="30">
        <v>408000</v>
      </c>
      <c r="AP723" s="30">
        <f>Lookups!$B$58*0.6</f>
        <v>132535.48800000001</v>
      </c>
      <c r="AQ723" s="30">
        <f>Lookups!$B$58*0.4</f>
        <v>88356.992000000013</v>
      </c>
      <c r="AR723" s="30">
        <f>Lookups!$B$59*Inventory[[#This Row],[LnAcres]]</f>
        <v>-24051.387388882686</v>
      </c>
      <c r="AS723" s="30">
        <f>VLOOKUP(Inventory[[#This Row],[Qlty]],Lookups!$A$66:$E$79,2,FALSE)</f>
        <v>32917.849192000001</v>
      </c>
      <c r="AT723" s="30">
        <f>VLOOKUP(Inventory[[#This Row],[Cnd]],Lookups!$A$80:$E$88,2,FALSE)</f>
        <v>50438.379078999998</v>
      </c>
      <c r="AU723" s="30">
        <f>Inventory[[#This Row],[EffAge]]*Lookups!$B$65</f>
        <v>-2066.0808999999999</v>
      </c>
      <c r="AV723" s="30">
        <f>Inventory[[#This Row],[MainFn]]*Lookups!$B$90</f>
        <v>134431.95852000001</v>
      </c>
      <c r="AW723" s="30">
        <f>Inventory[[#This Row],[UpprFn]]*Lookups!$B$91</f>
        <v>0</v>
      </c>
      <c r="AX723" s="30">
        <f>Inventory[[#This Row],[Bsmt Area]]*Lookups!$B$95</f>
        <v>0</v>
      </c>
      <c r="AY723" s="30">
        <f>Inventory[[#This Row],[AttGar]]*Lookups!$B$93</f>
        <v>25769.752630000003</v>
      </c>
      <c r="AZ723" s="30">
        <f>ROUND(Inventory[[#This Row],[25Det]],-2)</f>
        <v>0</v>
      </c>
      <c r="BA723" s="30">
        <f>ROUND(SUM(Inventory[[#This Row],[Mdl Qlty]:[Mdl Garage Area]])+Inventory[[#This Row],[Mdl Res Intercept]],-2)</f>
        <v>374000</v>
      </c>
      <c r="BB723" s="30">
        <f>ROUND(Inventory[[#This Row],[Mdl Land Intercept]]+Inventory[[#This Row],[Mdl LnAcres]],-2)</f>
        <v>64300</v>
      </c>
      <c r="BC723" s="30">
        <f>Inventory[[#This Row],[Unadj Res Value]]+Inventory[[#This Row],[Unadj Det Value]]+Inventory[[#This Row],[Unadj Land Value]]</f>
        <v>438300</v>
      </c>
      <c r="BD723" s="30">
        <f>(Inventory[[#This Row],[Unadj Total Value]]-Inventory[[#This Row],[24Final]])/Inventory[[#This Row],[24Final]]</f>
        <v>7.4264705882352941E-2</v>
      </c>
      <c r="BE723" s="30">
        <f>VLOOKUP(Inventory[[#This Row],[Nbhd]],Lookups!$M$3:$P$5,4,FALSE)</f>
        <v>0.99970000000000003</v>
      </c>
      <c r="BF723" s="30">
        <f>VLOOKUP(Inventory[[#This Row],[Qlty]],Lookups!$M$8:$P$22,4,FALSE)</f>
        <v>1.0019</v>
      </c>
      <c r="BG723" s="30">
        <f>VLOOKUP(Inventory[[#This Row],[Cnd]],Lookups!$R$8:$U$17,4,FALSE)</f>
        <v>1.0007999999999999</v>
      </c>
      <c r="BH723" s="30">
        <f>VLOOKUP(Inventory[[#This Row],[LivArea Range]],Lookups!$R$25:$U$43,4,FALSE)</f>
        <v>1.0008999999999999</v>
      </c>
      <c r="BI723" s="30">
        <f>VLOOKUP(Inventory[[#This Row],[Decade]],Lookups!$M$24:$P$40,4,FALSE)</f>
        <v>1.0024</v>
      </c>
      <c r="BJ723" s="30">
        <f>Inventory[[#This Row],[Nbhd Adj]]*0.95</f>
        <v>0.94971499999999998</v>
      </c>
      <c r="BK723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723" s="30">
        <f>ROUND((SUM(Inventory[[#This Row],[Mdl Qlty]:[Mdl Garage Area]])+Inventory[[#This Row],[Mdl Res Intercept]])*Inventory[[#This Row],[Res Adj ]],-2)</f>
        <v>355700</v>
      </c>
      <c r="BM723" s="30">
        <f>ROUND(Inventory[[#This Row],[25Det]]*Inventory[[#This Row],[Det/Nbhd Adj]],-2)</f>
        <v>0</v>
      </c>
      <c r="BN723" s="30">
        <f>Inventory[[#This Row],[Adjusted Res]]+Inventory[[#This Row],[Adj Det ]]</f>
        <v>355700</v>
      </c>
      <c r="BO723" s="30">
        <f>ROUND((Inventory[[#This Row],[Mdl Land Intercept]]+Inventory[[#This Row],[Mdl LnAcres]])*Inventory[[#This Row],[Det/Nbhd Adj]],-2)</f>
        <v>61100</v>
      </c>
      <c r="BP723" s="30">
        <f>Inventory[[#This Row],[Adjusted Impr Total]]+Inventory[[#This Row],[Adjusted Land Total]]</f>
        <v>416800</v>
      </c>
      <c r="BQ723" s="30">
        <f>IFERROR((Inventory[[#This Row],[Adjusted Impr Total]]-Inventory[[#This Row],[24Bldg]])/Inventory[[#This Row],[24Bldg]],0)</f>
        <v>2.4481566820276499E-2</v>
      </c>
      <c r="BR723" s="43">
        <f>(Inventory[[#This Row],[Adjusted Land Total]]-Inventory[[#This Row],[24Lnd]])/Inventory[[#This Row],[24Lnd]]</f>
        <v>4.9342105263157892E-3</v>
      </c>
      <c r="BS723" s="43">
        <f>(Inventory[[#This Row],[Adjusted Total]]-Inventory[[#This Row],[24Final]])/Inventory[[#This Row],[24Final]]</f>
        <v>2.1568627450980392E-2</v>
      </c>
    </row>
    <row r="724" spans="1:71">
      <c r="A724" s="30">
        <v>2025</v>
      </c>
      <c r="B724" s="31" t="s">
        <v>1239</v>
      </c>
      <c r="C724" s="31">
        <f>LN(Inventory[[#This Row],[Acres]])</f>
        <v>-1.8325814637483102</v>
      </c>
      <c r="D724" s="30">
        <v>0.16</v>
      </c>
      <c r="E724" s="30">
        <v>6951</v>
      </c>
      <c r="F724" s="31" t="s">
        <v>505</v>
      </c>
      <c r="G724" s="31" t="s">
        <v>155</v>
      </c>
      <c r="H724" s="31" t="s">
        <v>5</v>
      </c>
      <c r="I724" s="31" t="s">
        <v>506</v>
      </c>
      <c r="J724" s="31" t="s">
        <v>507</v>
      </c>
      <c r="K724" s="31" t="s">
        <v>193</v>
      </c>
      <c r="L724" s="31" t="s">
        <v>21</v>
      </c>
      <c r="M724" s="31" t="s">
        <v>22</v>
      </c>
      <c r="N724" s="31">
        <v>10</v>
      </c>
      <c r="O724" s="31">
        <f>2024-Inventory[[#This Row],[YrBlt]]</f>
        <v>19</v>
      </c>
      <c r="P724" s="31">
        <f>2024-Inventory[[#This Row],[EffYr]]</f>
        <v>19</v>
      </c>
      <c r="Q724" s="30">
        <v>2005</v>
      </c>
      <c r="R724" s="30">
        <v>2005</v>
      </c>
      <c r="S724" s="30">
        <v>2154</v>
      </c>
      <c r="T724" s="37"/>
      <c r="U724" s="32"/>
      <c r="V724" s="32"/>
      <c r="W724" s="32"/>
      <c r="X724" s="32">
        <f>Inventory[[#This Row],[Bsmt Area]]-Inventory[[#This Row],[FnBsmt]]</f>
        <v>0</v>
      </c>
      <c r="Y724" s="32">
        <f>Inventory[[#This Row],[MainFn]]+Inventory[[#This Row],[UpprFn]]+Inventory[[#This Row],[AddFn]]+Inventory[[#This Row],[FnBsmt]]</f>
        <v>2154</v>
      </c>
      <c r="Z724" s="32">
        <v>2500</v>
      </c>
      <c r="AA724" s="31" t="s">
        <v>55</v>
      </c>
      <c r="AB724" s="30">
        <v>1</v>
      </c>
      <c r="AC724" s="38">
        <v>730</v>
      </c>
      <c r="AD724" s="37"/>
      <c r="AE724" s="32"/>
      <c r="AF724" s="32"/>
      <c r="AG724" s="32"/>
      <c r="AH724" s="32"/>
      <c r="AI724" s="30">
        <v>458497</v>
      </c>
      <c r="AJ724" s="30">
        <v>417232</v>
      </c>
      <c r="AK724" s="30">
        <v>0</v>
      </c>
      <c r="AL724" s="30">
        <v>0</v>
      </c>
      <c r="AM724" s="30">
        <v>60800</v>
      </c>
      <c r="AN724" s="30">
        <v>345400</v>
      </c>
      <c r="AO724" s="30">
        <v>406200</v>
      </c>
      <c r="AP724" s="30">
        <f>Lookups!$B$58*0.6</f>
        <v>132535.48800000001</v>
      </c>
      <c r="AQ724" s="30">
        <f>Lookups!$B$58*0.4</f>
        <v>88356.992000000013</v>
      </c>
      <c r="AR724" s="30">
        <f>Lookups!$B$59*Inventory[[#This Row],[LnAcres]]</f>
        <v>-24051.387388882686</v>
      </c>
      <c r="AS724" s="30">
        <f>VLOOKUP(Inventory[[#This Row],[Qlty]],Lookups!$A$66:$E$79,2,FALSE)</f>
        <v>32917.849192000001</v>
      </c>
      <c r="AT724" s="30">
        <f>VLOOKUP(Inventory[[#This Row],[Cnd]],Lookups!$A$80:$E$88,2,FALSE)</f>
        <v>50438.379078999998</v>
      </c>
      <c r="AU724" s="30">
        <f>Inventory[[#This Row],[EffAge]]*Lookups!$B$65</f>
        <v>-2066.0808999999999</v>
      </c>
      <c r="AV724" s="30">
        <f>Inventory[[#This Row],[MainFn]]*Lookups!$B$90</f>
        <v>134431.95852000001</v>
      </c>
      <c r="AW724" s="30">
        <f>Inventory[[#This Row],[UpprFn]]*Lookups!$B$91</f>
        <v>0</v>
      </c>
      <c r="AX724" s="30">
        <f>Inventory[[#This Row],[Bsmt Area]]*Lookups!$B$95</f>
        <v>0</v>
      </c>
      <c r="AY724" s="30">
        <f>Inventory[[#This Row],[AttGar]]*Lookups!$B$93</f>
        <v>25769.752630000003</v>
      </c>
      <c r="AZ724" s="30">
        <f>ROUND(Inventory[[#This Row],[25Det]],-2)</f>
        <v>0</v>
      </c>
      <c r="BA724" s="30">
        <f>ROUND(SUM(Inventory[[#This Row],[Mdl Qlty]:[Mdl Garage Area]])+Inventory[[#This Row],[Mdl Res Intercept]],-2)</f>
        <v>374000</v>
      </c>
      <c r="BB724" s="30">
        <f>ROUND(Inventory[[#This Row],[Mdl Land Intercept]]+Inventory[[#This Row],[Mdl LnAcres]],-2)</f>
        <v>64300</v>
      </c>
      <c r="BC724" s="30">
        <f>Inventory[[#This Row],[Unadj Res Value]]+Inventory[[#This Row],[Unadj Det Value]]+Inventory[[#This Row],[Unadj Land Value]]</f>
        <v>438300</v>
      </c>
      <c r="BD724" s="30">
        <f>(Inventory[[#This Row],[Unadj Total Value]]-Inventory[[#This Row],[24Final]])/Inventory[[#This Row],[24Final]]</f>
        <v>7.9025110782865587E-2</v>
      </c>
      <c r="BE724" s="30">
        <f>VLOOKUP(Inventory[[#This Row],[Nbhd]],Lookups!$M$3:$P$5,4,FALSE)</f>
        <v>0.99970000000000003</v>
      </c>
      <c r="BF724" s="30">
        <f>VLOOKUP(Inventory[[#This Row],[Qlty]],Lookups!$M$8:$P$22,4,FALSE)</f>
        <v>1.0019</v>
      </c>
      <c r="BG724" s="30">
        <f>VLOOKUP(Inventory[[#This Row],[Cnd]],Lookups!$R$8:$U$17,4,FALSE)</f>
        <v>1.0007999999999999</v>
      </c>
      <c r="BH724" s="30">
        <f>VLOOKUP(Inventory[[#This Row],[LivArea Range]],Lookups!$R$25:$U$43,4,FALSE)</f>
        <v>1.0008999999999999</v>
      </c>
      <c r="BI724" s="30">
        <f>VLOOKUP(Inventory[[#This Row],[Decade]],Lookups!$M$24:$P$40,4,FALSE)</f>
        <v>1.0024</v>
      </c>
      <c r="BJ724" s="30">
        <f>Inventory[[#This Row],[Nbhd Adj]]*0.95</f>
        <v>0.94971499999999998</v>
      </c>
      <c r="BK724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724" s="30">
        <f>ROUND((SUM(Inventory[[#This Row],[Mdl Qlty]:[Mdl Garage Area]])+Inventory[[#This Row],[Mdl Res Intercept]])*Inventory[[#This Row],[Res Adj ]],-2)</f>
        <v>355700</v>
      </c>
      <c r="BM724" s="30">
        <f>ROUND(Inventory[[#This Row],[25Det]]*Inventory[[#This Row],[Det/Nbhd Adj]],-2)</f>
        <v>0</v>
      </c>
      <c r="BN724" s="30">
        <f>Inventory[[#This Row],[Adjusted Res]]+Inventory[[#This Row],[Adj Det ]]</f>
        <v>355700</v>
      </c>
      <c r="BO724" s="30">
        <f>ROUND((Inventory[[#This Row],[Mdl Land Intercept]]+Inventory[[#This Row],[Mdl LnAcres]])*Inventory[[#This Row],[Det/Nbhd Adj]],-2)</f>
        <v>61100</v>
      </c>
      <c r="BP724" s="30">
        <f>Inventory[[#This Row],[Adjusted Impr Total]]+Inventory[[#This Row],[Adjusted Land Total]]</f>
        <v>416800</v>
      </c>
      <c r="BQ724" s="30">
        <f>IFERROR((Inventory[[#This Row],[Adjusted Impr Total]]-Inventory[[#This Row],[24Bldg]])/Inventory[[#This Row],[24Bldg]],0)</f>
        <v>2.9820497973364217E-2</v>
      </c>
      <c r="BR724" s="43">
        <f>(Inventory[[#This Row],[Adjusted Land Total]]-Inventory[[#This Row],[24Lnd]])/Inventory[[#This Row],[24Lnd]]</f>
        <v>4.9342105263157892E-3</v>
      </c>
      <c r="BS724" s="43">
        <f>(Inventory[[#This Row],[Adjusted Total]]-Inventory[[#This Row],[24Final]])/Inventory[[#This Row],[24Final]]</f>
        <v>2.6095519448547513E-2</v>
      </c>
    </row>
    <row r="725" spans="1:71">
      <c r="A725" s="30">
        <v>2025</v>
      </c>
      <c r="B725" s="31" t="s">
        <v>1240</v>
      </c>
      <c r="C725" s="31">
        <f>LN(Inventory[[#This Row],[Acres]])</f>
        <v>-1.8325814637483102</v>
      </c>
      <c r="D725" s="30">
        <v>0.16</v>
      </c>
      <c r="E725" s="30">
        <v>6992</v>
      </c>
      <c r="F725" s="31" t="s">
        <v>505</v>
      </c>
      <c r="G725" s="31" t="s">
        <v>155</v>
      </c>
      <c r="H725" s="31" t="s">
        <v>5</v>
      </c>
      <c r="I725" s="31" t="s">
        <v>506</v>
      </c>
      <c r="J725" s="31" t="s">
        <v>507</v>
      </c>
      <c r="K725" s="31" t="s">
        <v>157</v>
      </c>
      <c r="L725" s="31" t="s">
        <v>21</v>
      </c>
      <c r="M725" s="31" t="s">
        <v>20</v>
      </c>
      <c r="N725" s="31">
        <v>10</v>
      </c>
      <c r="O725" s="31">
        <f>2024-Inventory[[#This Row],[YrBlt]]</f>
        <v>19</v>
      </c>
      <c r="P725" s="31">
        <f>2024-Inventory[[#This Row],[EffYr]]</f>
        <v>19</v>
      </c>
      <c r="Q725" s="30">
        <v>2005</v>
      </c>
      <c r="R725" s="30">
        <v>2005</v>
      </c>
      <c r="S725" s="30">
        <v>1158</v>
      </c>
      <c r="T725" s="30">
        <v>1322</v>
      </c>
      <c r="U725" s="32"/>
      <c r="V725" s="32"/>
      <c r="W725" s="32"/>
      <c r="X725" s="32">
        <f>Inventory[[#This Row],[Bsmt Area]]-Inventory[[#This Row],[FnBsmt]]</f>
        <v>0</v>
      </c>
      <c r="Y725" s="32">
        <f>Inventory[[#This Row],[MainFn]]+Inventory[[#This Row],[UpprFn]]+Inventory[[#This Row],[AddFn]]+Inventory[[#This Row],[FnBsmt]]</f>
        <v>2480</v>
      </c>
      <c r="Z725" s="32">
        <v>2500</v>
      </c>
      <c r="AA725" s="31" t="s">
        <v>56</v>
      </c>
      <c r="AB725" s="38">
        <v>1</v>
      </c>
      <c r="AC725" s="37"/>
      <c r="AD725" s="38">
        <v>502</v>
      </c>
      <c r="AE725" s="32"/>
      <c r="AF725" s="32"/>
      <c r="AG725" s="32"/>
      <c r="AH725" s="32"/>
      <c r="AI725" s="30">
        <v>498116</v>
      </c>
      <c r="AJ725" s="30">
        <v>453286</v>
      </c>
      <c r="AK725" s="30">
        <v>0</v>
      </c>
      <c r="AL725" s="30">
        <v>0</v>
      </c>
      <c r="AM725" s="30">
        <v>60800</v>
      </c>
      <c r="AN725" s="30">
        <v>390700</v>
      </c>
      <c r="AO725" s="30">
        <v>451500</v>
      </c>
      <c r="AP725" s="30">
        <f>Lookups!$B$58*0.6</f>
        <v>132535.48800000001</v>
      </c>
      <c r="AQ725" s="30">
        <f>Lookups!$B$58*0.4</f>
        <v>88356.992000000013</v>
      </c>
      <c r="AR725" s="30">
        <f>Lookups!$B$59*Inventory[[#This Row],[LnAcres]]</f>
        <v>-24051.387388882686</v>
      </c>
      <c r="AS725" s="30">
        <f>VLOOKUP(Inventory[[#This Row],[Qlty]],Lookups!$A$66:$E$79,2,FALSE)</f>
        <v>32917.849192000001</v>
      </c>
      <c r="AT725" s="30">
        <f>VLOOKUP(Inventory[[#This Row],[Cnd]],Lookups!$A$80:$E$88,2,FALSE)</f>
        <v>30300.329274</v>
      </c>
      <c r="AU725" s="30">
        <f>Inventory[[#This Row],[EffAge]]*Lookups!$B$65</f>
        <v>-2066.0808999999999</v>
      </c>
      <c r="AV725" s="30">
        <f>Inventory[[#This Row],[MainFn]]*Lookups!$B$90</f>
        <v>72271.22004</v>
      </c>
      <c r="AW725" s="30">
        <f>Inventory[[#This Row],[UpprFn]]*Lookups!$B$91</f>
        <v>78765.266325999997</v>
      </c>
      <c r="AX725" s="30">
        <f>Inventory[[#This Row],[Bsmt Area]]*Lookups!$B$95</f>
        <v>0</v>
      </c>
      <c r="AY725" s="30">
        <f>Inventory[[#This Row],[AttGar]]*Lookups!$B$93</f>
        <v>0</v>
      </c>
      <c r="AZ725" s="30">
        <f>ROUND(Inventory[[#This Row],[25Det]],-2)</f>
        <v>0</v>
      </c>
      <c r="BA725" s="30">
        <f>ROUND(SUM(Inventory[[#This Row],[Mdl Qlty]:[Mdl Garage Area]])+Inventory[[#This Row],[Mdl Res Intercept]],-2)</f>
        <v>344700</v>
      </c>
      <c r="BB725" s="30">
        <f>ROUND(Inventory[[#This Row],[Mdl Land Intercept]]+Inventory[[#This Row],[Mdl LnAcres]],-2)</f>
        <v>64300</v>
      </c>
      <c r="BC725" s="30">
        <f>Inventory[[#This Row],[Unadj Res Value]]+Inventory[[#This Row],[Unadj Det Value]]+Inventory[[#This Row],[Unadj Land Value]]</f>
        <v>409000</v>
      </c>
      <c r="BD725" s="30">
        <f>(Inventory[[#This Row],[Unadj Total Value]]-Inventory[[#This Row],[24Final]])/Inventory[[#This Row],[24Final]]</f>
        <v>-9.413067552602436E-2</v>
      </c>
      <c r="BE725" s="30">
        <f>VLOOKUP(Inventory[[#This Row],[Nbhd]],Lookups!$M$3:$P$5,4,FALSE)</f>
        <v>0.99970000000000003</v>
      </c>
      <c r="BF725" s="30">
        <f>VLOOKUP(Inventory[[#This Row],[Qlty]],Lookups!$M$8:$P$22,4,FALSE)</f>
        <v>1.0019</v>
      </c>
      <c r="BG725" s="30">
        <f>VLOOKUP(Inventory[[#This Row],[Cnd]],Lookups!$R$8:$U$17,4,FALSE)</f>
        <v>0.997</v>
      </c>
      <c r="BH725" s="30">
        <f>VLOOKUP(Inventory[[#This Row],[LivArea Range]],Lookups!$R$25:$U$43,4,FALSE)</f>
        <v>1.0008999999999999</v>
      </c>
      <c r="BI725" s="30">
        <f>VLOOKUP(Inventory[[#This Row],[Decade]],Lookups!$M$24:$P$40,4,FALSE)</f>
        <v>1.0024</v>
      </c>
      <c r="BJ725" s="30">
        <f>Inventory[[#This Row],[Nbhd Adj]]*0.95</f>
        <v>0.94971499999999998</v>
      </c>
      <c r="BK725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25" s="30">
        <f>ROUND((SUM(Inventory[[#This Row],[Mdl Qlty]:[Mdl Garage Area]])+Inventory[[#This Row],[Mdl Res Intercept]])*Inventory[[#This Row],[Res Adj ]],-2)</f>
        <v>327600</v>
      </c>
      <c r="BM725" s="30">
        <f>ROUND(Inventory[[#This Row],[25Det]]*Inventory[[#This Row],[Det/Nbhd Adj]],-2)</f>
        <v>0</v>
      </c>
      <c r="BN725" s="30">
        <f>Inventory[[#This Row],[Adjusted Res]]+Inventory[[#This Row],[Adj Det ]]</f>
        <v>327600</v>
      </c>
      <c r="BO725" s="30">
        <f>ROUND((Inventory[[#This Row],[Mdl Land Intercept]]+Inventory[[#This Row],[Mdl LnAcres]])*Inventory[[#This Row],[Det/Nbhd Adj]],-2)</f>
        <v>61100</v>
      </c>
      <c r="BP725" s="30">
        <f>Inventory[[#This Row],[Adjusted Impr Total]]+Inventory[[#This Row],[Adjusted Land Total]]</f>
        <v>388700</v>
      </c>
      <c r="BQ725" s="30">
        <f>IFERROR((Inventory[[#This Row],[Adjusted Impr Total]]-Inventory[[#This Row],[24Bldg]])/Inventory[[#This Row],[24Bldg]],0)</f>
        <v>-0.16150499104172</v>
      </c>
      <c r="BR725" s="43">
        <f>(Inventory[[#This Row],[Adjusted Land Total]]-Inventory[[#This Row],[24Lnd]])/Inventory[[#This Row],[24Lnd]]</f>
        <v>4.9342105263157892E-3</v>
      </c>
      <c r="BS725" s="43">
        <f>(Inventory[[#This Row],[Adjusted Total]]-Inventory[[#This Row],[24Final]])/Inventory[[#This Row],[24Final]]</f>
        <v>-0.13909191583610189</v>
      </c>
    </row>
    <row r="726" spans="1:71">
      <c r="A726" s="30">
        <v>2025</v>
      </c>
      <c r="B726" s="31" t="s">
        <v>1241</v>
      </c>
      <c r="C726" s="31">
        <f>LN(Inventory[[#This Row],[Acres]])</f>
        <v>-1.8325814637483102</v>
      </c>
      <c r="D726" s="30">
        <v>0.16</v>
      </c>
      <c r="E726" s="30">
        <v>6998</v>
      </c>
      <c r="F726" s="31" t="s">
        <v>505</v>
      </c>
      <c r="G726" s="31" t="s">
        <v>155</v>
      </c>
      <c r="H726" s="31" t="s">
        <v>5</v>
      </c>
      <c r="I726" s="31" t="s">
        <v>506</v>
      </c>
      <c r="J726" s="31" t="s">
        <v>507</v>
      </c>
      <c r="K726" s="31" t="s">
        <v>157</v>
      </c>
      <c r="L726" s="31" t="s">
        <v>21</v>
      </c>
      <c r="M726" s="31" t="s">
        <v>22</v>
      </c>
      <c r="N726" s="31">
        <v>10</v>
      </c>
      <c r="O726" s="31">
        <f>2024-Inventory[[#This Row],[YrBlt]]</f>
        <v>19</v>
      </c>
      <c r="P726" s="31">
        <f>2024-Inventory[[#This Row],[EffYr]]</f>
        <v>19</v>
      </c>
      <c r="Q726" s="30">
        <v>2005</v>
      </c>
      <c r="R726" s="30">
        <v>2005</v>
      </c>
      <c r="S726" s="30">
        <v>1116</v>
      </c>
      <c r="T726" s="38">
        <v>1116</v>
      </c>
      <c r="U726" s="32"/>
      <c r="V726" s="32"/>
      <c r="W726" s="32"/>
      <c r="X726" s="32">
        <f>Inventory[[#This Row],[Bsmt Area]]-Inventory[[#This Row],[FnBsmt]]</f>
        <v>0</v>
      </c>
      <c r="Y726" s="32">
        <f>Inventory[[#This Row],[MainFn]]+Inventory[[#This Row],[UpprFn]]+Inventory[[#This Row],[AddFn]]+Inventory[[#This Row],[FnBsmt]]</f>
        <v>2232</v>
      </c>
      <c r="Z726" s="32">
        <v>2500</v>
      </c>
      <c r="AA726" s="31" t="s">
        <v>56</v>
      </c>
      <c r="AB726" s="32"/>
      <c r="AC726" s="30">
        <v>440</v>
      </c>
      <c r="AD726" s="32"/>
      <c r="AE726" s="32"/>
      <c r="AF726" s="32"/>
      <c r="AG726" s="32"/>
      <c r="AH726" s="32"/>
      <c r="AI726" s="30">
        <v>477359</v>
      </c>
      <c r="AJ726" s="30">
        <v>434397</v>
      </c>
      <c r="AK726" s="30">
        <v>0</v>
      </c>
      <c r="AL726" s="30">
        <v>0</v>
      </c>
      <c r="AM726" s="30">
        <v>60800</v>
      </c>
      <c r="AN726" s="30">
        <v>401300</v>
      </c>
      <c r="AO726" s="30">
        <v>462100</v>
      </c>
      <c r="AP726" s="30">
        <f>Lookups!$B$58*0.6</f>
        <v>132535.48800000001</v>
      </c>
      <c r="AQ726" s="30">
        <f>Lookups!$B$58*0.4</f>
        <v>88356.992000000013</v>
      </c>
      <c r="AR726" s="30">
        <f>Lookups!$B$59*Inventory[[#This Row],[LnAcres]]</f>
        <v>-24051.387388882686</v>
      </c>
      <c r="AS726" s="30">
        <f>VLOOKUP(Inventory[[#This Row],[Qlty]],Lookups!$A$66:$E$79,2,FALSE)</f>
        <v>32917.849192000001</v>
      </c>
      <c r="AT726" s="30">
        <f>VLOOKUP(Inventory[[#This Row],[Cnd]],Lookups!$A$80:$E$88,2,FALSE)</f>
        <v>50438.379078999998</v>
      </c>
      <c r="AU726" s="30">
        <f>Inventory[[#This Row],[EffAge]]*Lookups!$B$65</f>
        <v>-2066.0808999999999</v>
      </c>
      <c r="AV726" s="30">
        <f>Inventory[[#This Row],[MainFn]]*Lookups!$B$90</f>
        <v>69649.984080000009</v>
      </c>
      <c r="AW726" s="30">
        <f>Inventory[[#This Row],[UpprFn]]*Lookups!$B$91</f>
        <v>66491.707427999994</v>
      </c>
      <c r="AX726" s="30">
        <f>Inventory[[#This Row],[Bsmt Area]]*Lookups!$B$95</f>
        <v>0</v>
      </c>
      <c r="AY726" s="30">
        <f>Inventory[[#This Row],[AttGar]]*Lookups!$B$93</f>
        <v>15532.453640000002</v>
      </c>
      <c r="AZ726" s="30">
        <f>ROUND(Inventory[[#This Row],[25Det]],-2)</f>
        <v>0</v>
      </c>
      <c r="BA726" s="30">
        <f>ROUND(SUM(Inventory[[#This Row],[Mdl Qlty]:[Mdl Garage Area]])+Inventory[[#This Row],[Mdl Res Intercept]],-2)</f>
        <v>365500</v>
      </c>
      <c r="BB726" s="30">
        <f>ROUND(Inventory[[#This Row],[Mdl Land Intercept]]+Inventory[[#This Row],[Mdl LnAcres]],-2)</f>
        <v>64300</v>
      </c>
      <c r="BC726" s="30">
        <f>Inventory[[#This Row],[Unadj Res Value]]+Inventory[[#This Row],[Unadj Det Value]]+Inventory[[#This Row],[Unadj Land Value]]</f>
        <v>429800</v>
      </c>
      <c r="BD726" s="30">
        <f>(Inventory[[#This Row],[Unadj Total Value]]-Inventory[[#This Row],[24Final]])/Inventory[[#This Row],[24Final]]</f>
        <v>-6.9898290413330441E-2</v>
      </c>
      <c r="BE726" s="30">
        <f>VLOOKUP(Inventory[[#This Row],[Nbhd]],Lookups!$M$3:$P$5,4,FALSE)</f>
        <v>0.99970000000000003</v>
      </c>
      <c r="BF726" s="30">
        <f>VLOOKUP(Inventory[[#This Row],[Qlty]],Lookups!$M$8:$P$22,4,FALSE)</f>
        <v>1.0019</v>
      </c>
      <c r="BG726" s="30">
        <f>VLOOKUP(Inventory[[#This Row],[Cnd]],Lookups!$R$8:$U$17,4,FALSE)</f>
        <v>1.0007999999999999</v>
      </c>
      <c r="BH726" s="30">
        <f>VLOOKUP(Inventory[[#This Row],[LivArea Range]],Lookups!$R$25:$U$43,4,FALSE)</f>
        <v>1.0008999999999999</v>
      </c>
      <c r="BI726" s="30">
        <f>VLOOKUP(Inventory[[#This Row],[Decade]],Lookups!$M$24:$P$40,4,FALSE)</f>
        <v>1.0024</v>
      </c>
      <c r="BJ726" s="30">
        <f>Inventory[[#This Row],[Nbhd Adj]]*0.95</f>
        <v>0.94971499999999998</v>
      </c>
      <c r="BK726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726" s="30">
        <f>ROUND((SUM(Inventory[[#This Row],[Mdl Qlty]:[Mdl Garage Area]])+Inventory[[#This Row],[Mdl Res Intercept]])*Inventory[[#This Row],[Res Adj ]],-2)</f>
        <v>347600</v>
      </c>
      <c r="BM726" s="30">
        <f>ROUND(Inventory[[#This Row],[25Det]]*Inventory[[#This Row],[Det/Nbhd Adj]],-2)</f>
        <v>0</v>
      </c>
      <c r="BN726" s="30">
        <f>Inventory[[#This Row],[Adjusted Res]]+Inventory[[#This Row],[Adj Det ]]</f>
        <v>347600</v>
      </c>
      <c r="BO726" s="30">
        <f>ROUND((Inventory[[#This Row],[Mdl Land Intercept]]+Inventory[[#This Row],[Mdl LnAcres]])*Inventory[[#This Row],[Det/Nbhd Adj]],-2)</f>
        <v>61100</v>
      </c>
      <c r="BP726" s="30">
        <f>Inventory[[#This Row],[Adjusted Impr Total]]+Inventory[[#This Row],[Adjusted Land Total]]</f>
        <v>408700</v>
      </c>
      <c r="BQ726" s="30">
        <f>IFERROR((Inventory[[#This Row],[Adjusted Impr Total]]-Inventory[[#This Row],[24Bldg]])/Inventory[[#This Row],[24Bldg]],0)</f>
        <v>-0.13381510092200349</v>
      </c>
      <c r="BR726" s="43">
        <f>(Inventory[[#This Row],[Adjusted Land Total]]-Inventory[[#This Row],[24Lnd]])/Inventory[[#This Row],[24Lnd]]</f>
        <v>4.9342105263157892E-3</v>
      </c>
      <c r="BS726" s="43">
        <f>(Inventory[[#This Row],[Adjusted Total]]-Inventory[[#This Row],[24Final]])/Inventory[[#This Row],[24Final]]</f>
        <v>-0.11555940272668254</v>
      </c>
    </row>
    <row r="727" spans="1:71">
      <c r="A727" s="30">
        <v>2025</v>
      </c>
      <c r="B727" s="31" t="s">
        <v>1242</v>
      </c>
      <c r="C727" s="31">
        <f>LN(Inventory[[#This Row],[Acres]])</f>
        <v>-1.8325814637483102</v>
      </c>
      <c r="D727" s="30">
        <v>0.16</v>
      </c>
      <c r="E727" s="30">
        <v>6960</v>
      </c>
      <c r="F727" s="31" t="s">
        <v>505</v>
      </c>
      <c r="G727" s="31" t="s">
        <v>155</v>
      </c>
      <c r="H727" s="31" t="s">
        <v>5</v>
      </c>
      <c r="I727" s="31" t="s">
        <v>506</v>
      </c>
      <c r="J727" s="31" t="s">
        <v>507</v>
      </c>
      <c r="K727" s="31" t="s">
        <v>193</v>
      </c>
      <c r="L727" s="31" t="s">
        <v>19</v>
      </c>
      <c r="M727" s="31" t="s">
        <v>18</v>
      </c>
      <c r="N727" s="31">
        <v>10</v>
      </c>
      <c r="O727" s="31">
        <f>2024-Inventory[[#This Row],[YrBlt]]</f>
        <v>19</v>
      </c>
      <c r="P727" s="31">
        <f>2024-Inventory[[#This Row],[EffYr]]</f>
        <v>19</v>
      </c>
      <c r="Q727" s="30">
        <v>2005</v>
      </c>
      <c r="R727" s="30">
        <v>2005</v>
      </c>
      <c r="S727" s="30">
        <v>1436</v>
      </c>
      <c r="T727" s="32"/>
      <c r="U727" s="32"/>
      <c r="V727" s="32"/>
      <c r="W727" s="32"/>
      <c r="X727" s="32">
        <f>Inventory[[#This Row],[Bsmt Area]]-Inventory[[#This Row],[FnBsmt]]</f>
        <v>0</v>
      </c>
      <c r="Y727" s="32">
        <f>Inventory[[#This Row],[MainFn]]+Inventory[[#This Row],[UpprFn]]+Inventory[[#This Row],[AddFn]]+Inventory[[#This Row],[FnBsmt]]</f>
        <v>1436</v>
      </c>
      <c r="Z727" s="32">
        <v>1500</v>
      </c>
      <c r="AA727" s="31" t="s">
        <v>56</v>
      </c>
      <c r="AB727" s="32"/>
      <c r="AC727" s="30">
        <v>400</v>
      </c>
      <c r="AD727" s="32"/>
      <c r="AE727" s="32"/>
      <c r="AF727" s="32"/>
      <c r="AG727" s="32"/>
      <c r="AH727" s="32"/>
      <c r="AI727" s="30">
        <v>291532</v>
      </c>
      <c r="AJ727" s="30">
        <v>262379</v>
      </c>
      <c r="AK727" s="30">
        <v>0</v>
      </c>
      <c r="AL727" s="30">
        <v>0</v>
      </c>
      <c r="AM727" s="30">
        <v>60800</v>
      </c>
      <c r="AN727" s="30">
        <v>307800</v>
      </c>
      <c r="AO727" s="30">
        <v>368600</v>
      </c>
      <c r="AP727" s="30">
        <f>Lookups!$B$58*0.6</f>
        <v>132535.48800000001</v>
      </c>
      <c r="AQ727" s="30">
        <f>Lookups!$B$58*0.4</f>
        <v>88356.992000000013</v>
      </c>
      <c r="AR727" s="30">
        <f>Lookups!$B$59*Inventory[[#This Row],[LnAcres]]</f>
        <v>-24051.387388882686</v>
      </c>
      <c r="AS727" s="30">
        <f>VLOOKUP(Inventory[[#This Row],[Qlty]],Lookups!$A$66:$E$79,2,FALSE)</f>
        <v>37154.252388000001</v>
      </c>
      <c r="AT727" s="30">
        <f>VLOOKUP(Inventory[[#This Row],[Cnd]],Lookups!$A$80:$E$88,2,FALSE)</f>
        <v>17761.121909000001</v>
      </c>
      <c r="AU727" s="30">
        <f>Inventory[[#This Row],[EffAge]]*Lookups!$B$65</f>
        <v>-2066.0808999999999</v>
      </c>
      <c r="AV727" s="30">
        <f>Inventory[[#This Row],[MainFn]]*Lookups!$B$90</f>
        <v>89621.305680000005</v>
      </c>
      <c r="AW727" s="30">
        <f>Inventory[[#This Row],[UpprFn]]*Lookups!$B$91</f>
        <v>0</v>
      </c>
      <c r="AX727" s="30">
        <f>Inventory[[#This Row],[Bsmt Area]]*Lookups!$B$95</f>
        <v>0</v>
      </c>
      <c r="AY727" s="30">
        <f>Inventory[[#This Row],[AttGar]]*Lookups!$B$93</f>
        <v>14120.412400000001</v>
      </c>
      <c r="AZ727" s="30">
        <f>ROUND(Inventory[[#This Row],[25Det]],-2)</f>
        <v>0</v>
      </c>
      <c r="BA727" s="30">
        <f>ROUND(SUM(Inventory[[#This Row],[Mdl Qlty]:[Mdl Garage Area]])+Inventory[[#This Row],[Mdl Res Intercept]],-2)</f>
        <v>289100</v>
      </c>
      <c r="BB727" s="30">
        <f>ROUND(Inventory[[#This Row],[Mdl Land Intercept]]+Inventory[[#This Row],[Mdl LnAcres]],-2)</f>
        <v>64300</v>
      </c>
      <c r="BC727" s="30">
        <f>Inventory[[#This Row],[Unadj Res Value]]+Inventory[[#This Row],[Unadj Det Value]]+Inventory[[#This Row],[Unadj Land Value]]</f>
        <v>353400</v>
      </c>
      <c r="BD727" s="30">
        <f>(Inventory[[#This Row],[Unadj Total Value]]-Inventory[[#This Row],[24Final]])/Inventory[[#This Row],[24Final]]</f>
        <v>-4.1237113402061855E-2</v>
      </c>
      <c r="BE727" s="30">
        <f>VLOOKUP(Inventory[[#This Row],[Nbhd]],Lookups!$M$3:$P$5,4,FALSE)</f>
        <v>0.99970000000000003</v>
      </c>
      <c r="BF727" s="30">
        <f>VLOOKUP(Inventory[[#This Row],[Qlty]],Lookups!$M$8:$P$22,4,FALSE)</f>
        <v>0.99819999999999998</v>
      </c>
      <c r="BG727" s="30">
        <f>VLOOKUP(Inventory[[#This Row],[Cnd]],Lookups!$R$8:$U$17,4,FALSE)</f>
        <v>0.99680000000000002</v>
      </c>
      <c r="BH727" s="30">
        <f>VLOOKUP(Inventory[[#This Row],[LivArea Range]],Lookups!$R$25:$U$43,4,FALSE)</f>
        <v>0.99519999999999997</v>
      </c>
      <c r="BI727" s="30">
        <f>VLOOKUP(Inventory[[#This Row],[Decade]],Lookups!$M$24:$P$40,4,FALSE)</f>
        <v>1.0024</v>
      </c>
      <c r="BJ727" s="30">
        <f>Inventory[[#This Row],[Nbhd Adj]]*0.95</f>
        <v>0.94971499999999998</v>
      </c>
      <c r="BK727" s="30">
        <f>AVERAGE(Inventory[[#This Row],[Nbhd Adj]],Inventory[[#This Row],[Quality Adj]],Inventory[[#This Row],[Condition Adj]],Inventory[[#This Row],[Living Area Adj]],Inventory[[#This Row],[Decade Adj]])*0.95</f>
        <v>0.94853699999999996</v>
      </c>
      <c r="BL727" s="30">
        <f>ROUND((SUM(Inventory[[#This Row],[Mdl Qlty]:[Mdl Garage Area]])+Inventory[[#This Row],[Mdl Res Intercept]])*Inventory[[#This Row],[Res Adj ]],-2)</f>
        <v>274200</v>
      </c>
      <c r="BM727" s="30">
        <f>ROUND(Inventory[[#This Row],[25Det]]*Inventory[[#This Row],[Det/Nbhd Adj]],-2)</f>
        <v>0</v>
      </c>
      <c r="BN727" s="30">
        <f>Inventory[[#This Row],[Adjusted Res]]+Inventory[[#This Row],[Adj Det ]]</f>
        <v>274200</v>
      </c>
      <c r="BO727" s="30">
        <f>ROUND((Inventory[[#This Row],[Mdl Land Intercept]]+Inventory[[#This Row],[Mdl LnAcres]])*Inventory[[#This Row],[Det/Nbhd Adj]],-2)</f>
        <v>61100</v>
      </c>
      <c r="BP727" s="30">
        <f>Inventory[[#This Row],[Adjusted Impr Total]]+Inventory[[#This Row],[Adjusted Land Total]]</f>
        <v>335300</v>
      </c>
      <c r="BQ727" s="30">
        <f>IFERROR((Inventory[[#This Row],[Adjusted Impr Total]]-Inventory[[#This Row],[24Bldg]])/Inventory[[#This Row],[24Bldg]],0)</f>
        <v>-0.10916179337231968</v>
      </c>
      <c r="BR727" s="43">
        <f>(Inventory[[#This Row],[Adjusted Land Total]]-Inventory[[#This Row],[24Lnd]])/Inventory[[#This Row],[24Lnd]]</f>
        <v>4.9342105263157892E-3</v>
      </c>
      <c r="BS727" s="43">
        <f>(Inventory[[#This Row],[Adjusted Total]]-Inventory[[#This Row],[24Final]])/Inventory[[#This Row],[24Final]]</f>
        <v>-9.0341833966359197E-2</v>
      </c>
    </row>
    <row r="728" spans="1:71">
      <c r="A728" s="30">
        <v>2025</v>
      </c>
      <c r="B728" s="31" t="s">
        <v>1243</v>
      </c>
      <c r="C728" s="31">
        <f>LN(Inventory[[#This Row],[Acres]])</f>
        <v>-1.8325814637483102</v>
      </c>
      <c r="D728" s="30">
        <v>0.16</v>
      </c>
      <c r="E728" s="30">
        <v>7163</v>
      </c>
      <c r="F728" s="31" t="s">
        <v>505</v>
      </c>
      <c r="G728" s="31" t="s">
        <v>155</v>
      </c>
      <c r="H728" s="31" t="s">
        <v>5</v>
      </c>
      <c r="I728" s="31" t="s">
        <v>506</v>
      </c>
      <c r="J728" s="31" t="s">
        <v>507</v>
      </c>
      <c r="K728" s="31" t="s">
        <v>157</v>
      </c>
      <c r="L728" s="31" t="s">
        <v>21</v>
      </c>
      <c r="M728" s="31" t="s">
        <v>22</v>
      </c>
      <c r="N728" s="31">
        <v>10</v>
      </c>
      <c r="O728" s="31">
        <f>2024-Inventory[[#This Row],[YrBlt]]</f>
        <v>19</v>
      </c>
      <c r="P728" s="31">
        <f>2024-Inventory[[#This Row],[EffYr]]</f>
        <v>19</v>
      </c>
      <c r="Q728" s="30">
        <v>2005</v>
      </c>
      <c r="R728" s="30">
        <v>2005</v>
      </c>
      <c r="S728" s="30">
        <v>1116</v>
      </c>
      <c r="T728" s="30">
        <v>1116</v>
      </c>
      <c r="U728" s="32"/>
      <c r="V728" s="32"/>
      <c r="W728" s="32"/>
      <c r="X728" s="32">
        <f>Inventory[[#This Row],[Bsmt Area]]-Inventory[[#This Row],[FnBsmt]]</f>
        <v>0</v>
      </c>
      <c r="Y728" s="32">
        <f>Inventory[[#This Row],[MainFn]]+Inventory[[#This Row],[UpprFn]]+Inventory[[#This Row],[AddFn]]+Inventory[[#This Row],[FnBsmt]]</f>
        <v>2232</v>
      </c>
      <c r="Z728" s="32">
        <v>2500</v>
      </c>
      <c r="AA728" s="31" t="s">
        <v>56</v>
      </c>
      <c r="AB728" s="32"/>
      <c r="AC728" s="30">
        <v>440</v>
      </c>
      <c r="AD728" s="32"/>
      <c r="AE728" s="32"/>
      <c r="AF728" s="32"/>
      <c r="AG728" s="32"/>
      <c r="AH728" s="32"/>
      <c r="AI728" s="30">
        <v>467519</v>
      </c>
      <c r="AJ728" s="30">
        <v>425442</v>
      </c>
      <c r="AK728" s="30">
        <v>0</v>
      </c>
      <c r="AL728" s="30">
        <v>0</v>
      </c>
      <c r="AM728" s="30">
        <v>60800</v>
      </c>
      <c r="AN728" s="30">
        <v>385000</v>
      </c>
      <c r="AO728" s="30">
        <v>445800</v>
      </c>
      <c r="AP728" s="30">
        <f>Lookups!$B$58*0.6</f>
        <v>132535.48800000001</v>
      </c>
      <c r="AQ728" s="30">
        <f>Lookups!$B$58*0.4</f>
        <v>88356.992000000013</v>
      </c>
      <c r="AR728" s="30">
        <f>Lookups!$B$59*Inventory[[#This Row],[LnAcres]]</f>
        <v>-24051.387388882686</v>
      </c>
      <c r="AS728" s="30">
        <f>VLOOKUP(Inventory[[#This Row],[Qlty]],Lookups!$A$66:$E$79,2,FALSE)</f>
        <v>32917.849192000001</v>
      </c>
      <c r="AT728" s="30">
        <f>VLOOKUP(Inventory[[#This Row],[Cnd]],Lookups!$A$80:$E$88,2,FALSE)</f>
        <v>50438.379078999998</v>
      </c>
      <c r="AU728" s="30">
        <f>Inventory[[#This Row],[EffAge]]*Lookups!$B$65</f>
        <v>-2066.0808999999999</v>
      </c>
      <c r="AV728" s="30">
        <f>Inventory[[#This Row],[MainFn]]*Lookups!$B$90</f>
        <v>69649.984080000009</v>
      </c>
      <c r="AW728" s="30">
        <f>Inventory[[#This Row],[UpprFn]]*Lookups!$B$91</f>
        <v>66491.707427999994</v>
      </c>
      <c r="AX728" s="30">
        <f>Inventory[[#This Row],[Bsmt Area]]*Lookups!$B$95</f>
        <v>0</v>
      </c>
      <c r="AY728" s="30">
        <f>Inventory[[#This Row],[AttGar]]*Lookups!$B$93</f>
        <v>15532.453640000002</v>
      </c>
      <c r="AZ728" s="30">
        <f>ROUND(Inventory[[#This Row],[25Det]],-2)</f>
        <v>0</v>
      </c>
      <c r="BA728" s="30">
        <f>ROUND(SUM(Inventory[[#This Row],[Mdl Qlty]:[Mdl Garage Area]])+Inventory[[#This Row],[Mdl Res Intercept]],-2)</f>
        <v>365500</v>
      </c>
      <c r="BB728" s="30">
        <f>ROUND(Inventory[[#This Row],[Mdl Land Intercept]]+Inventory[[#This Row],[Mdl LnAcres]],-2)</f>
        <v>64300</v>
      </c>
      <c r="BC728" s="30">
        <f>Inventory[[#This Row],[Unadj Res Value]]+Inventory[[#This Row],[Unadj Det Value]]+Inventory[[#This Row],[Unadj Land Value]]</f>
        <v>429800</v>
      </c>
      <c r="BD728" s="30">
        <f>(Inventory[[#This Row],[Unadj Total Value]]-Inventory[[#This Row],[24Final]])/Inventory[[#This Row],[24Final]]</f>
        <v>-3.5890533871691339E-2</v>
      </c>
      <c r="BE728" s="30">
        <f>VLOOKUP(Inventory[[#This Row],[Nbhd]],Lookups!$M$3:$P$5,4,FALSE)</f>
        <v>0.99970000000000003</v>
      </c>
      <c r="BF728" s="30">
        <f>VLOOKUP(Inventory[[#This Row],[Qlty]],Lookups!$M$8:$P$22,4,FALSE)</f>
        <v>1.0019</v>
      </c>
      <c r="BG728" s="30">
        <f>VLOOKUP(Inventory[[#This Row],[Cnd]],Lookups!$R$8:$U$17,4,FALSE)</f>
        <v>1.0007999999999999</v>
      </c>
      <c r="BH728" s="30">
        <f>VLOOKUP(Inventory[[#This Row],[LivArea Range]],Lookups!$R$25:$U$43,4,FALSE)</f>
        <v>1.0008999999999999</v>
      </c>
      <c r="BI728" s="30">
        <f>VLOOKUP(Inventory[[#This Row],[Decade]],Lookups!$M$24:$P$40,4,FALSE)</f>
        <v>1.0024</v>
      </c>
      <c r="BJ728" s="30">
        <f>Inventory[[#This Row],[Nbhd Adj]]*0.95</f>
        <v>0.94971499999999998</v>
      </c>
      <c r="BK728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728" s="30">
        <f>ROUND((SUM(Inventory[[#This Row],[Mdl Qlty]:[Mdl Garage Area]])+Inventory[[#This Row],[Mdl Res Intercept]])*Inventory[[#This Row],[Res Adj ]],-2)</f>
        <v>347600</v>
      </c>
      <c r="BM728" s="30">
        <f>ROUND(Inventory[[#This Row],[25Det]]*Inventory[[#This Row],[Det/Nbhd Adj]],-2)</f>
        <v>0</v>
      </c>
      <c r="BN728" s="30">
        <f>Inventory[[#This Row],[Adjusted Res]]+Inventory[[#This Row],[Adj Det ]]</f>
        <v>347600</v>
      </c>
      <c r="BO728" s="30">
        <f>ROUND((Inventory[[#This Row],[Mdl Land Intercept]]+Inventory[[#This Row],[Mdl LnAcres]])*Inventory[[#This Row],[Det/Nbhd Adj]],-2)</f>
        <v>61100</v>
      </c>
      <c r="BP728" s="30">
        <f>Inventory[[#This Row],[Adjusted Impr Total]]+Inventory[[#This Row],[Adjusted Land Total]]</f>
        <v>408700</v>
      </c>
      <c r="BQ728" s="30">
        <f>IFERROR((Inventory[[#This Row],[Adjusted Impr Total]]-Inventory[[#This Row],[24Bldg]])/Inventory[[#This Row],[24Bldg]],0)</f>
        <v>-9.7142857142857142E-2</v>
      </c>
      <c r="BR728" s="43">
        <f>(Inventory[[#This Row],[Adjusted Land Total]]-Inventory[[#This Row],[24Lnd]])/Inventory[[#This Row],[24Lnd]]</f>
        <v>4.9342105263157892E-3</v>
      </c>
      <c r="BS728" s="43">
        <f>(Inventory[[#This Row],[Adjusted Total]]-Inventory[[#This Row],[24Final]])/Inventory[[#This Row],[24Final]]</f>
        <v>-8.3221175414984291E-2</v>
      </c>
    </row>
    <row r="729" spans="1:71">
      <c r="A729" s="30">
        <v>2025</v>
      </c>
      <c r="B729" s="31" t="s">
        <v>1244</v>
      </c>
      <c r="C729" s="31">
        <f>LN(Inventory[[#This Row],[Acres]])</f>
        <v>-1.8325814637483102</v>
      </c>
      <c r="D729" s="30">
        <v>0.16</v>
      </c>
      <c r="E729" s="30">
        <v>6992</v>
      </c>
      <c r="F729" s="31" t="s">
        <v>505</v>
      </c>
      <c r="G729" s="31" t="s">
        <v>155</v>
      </c>
      <c r="H729" s="31" t="s">
        <v>5</v>
      </c>
      <c r="I729" s="31" t="s">
        <v>506</v>
      </c>
      <c r="J729" s="31" t="s">
        <v>507</v>
      </c>
      <c r="K729" s="31" t="s">
        <v>157</v>
      </c>
      <c r="L729" s="31" t="s">
        <v>21</v>
      </c>
      <c r="M729" s="31" t="s">
        <v>18</v>
      </c>
      <c r="N729" s="31">
        <v>10</v>
      </c>
      <c r="O729" s="31">
        <f>2024-Inventory[[#This Row],[YrBlt]]</f>
        <v>19</v>
      </c>
      <c r="P729" s="31">
        <f>2024-Inventory[[#This Row],[EffYr]]</f>
        <v>19</v>
      </c>
      <c r="Q729" s="30">
        <v>2005</v>
      </c>
      <c r="R729" s="30">
        <v>2005</v>
      </c>
      <c r="S729" s="30">
        <v>1158</v>
      </c>
      <c r="T729" s="38">
        <v>1322</v>
      </c>
      <c r="U729" s="32"/>
      <c r="V729" s="32"/>
      <c r="W729" s="32"/>
      <c r="X729" s="32">
        <f>Inventory[[#This Row],[Bsmt Area]]-Inventory[[#This Row],[FnBsmt]]</f>
        <v>0</v>
      </c>
      <c r="Y729" s="32">
        <f>Inventory[[#This Row],[MainFn]]+Inventory[[#This Row],[UpprFn]]+Inventory[[#This Row],[AddFn]]+Inventory[[#This Row],[FnBsmt]]</f>
        <v>2480</v>
      </c>
      <c r="Z729" s="32">
        <v>2500</v>
      </c>
      <c r="AA729" s="31" t="s">
        <v>56</v>
      </c>
      <c r="AB729" s="38">
        <v>1</v>
      </c>
      <c r="AC729" s="30">
        <v>300</v>
      </c>
      <c r="AD729" s="38">
        <v>502</v>
      </c>
      <c r="AE729" s="32"/>
      <c r="AF729" s="32"/>
      <c r="AG729" s="32"/>
      <c r="AH729" s="32"/>
      <c r="AI729" s="30">
        <v>511058</v>
      </c>
      <c r="AJ729" s="30">
        <v>459952</v>
      </c>
      <c r="AK729" s="30">
        <v>0</v>
      </c>
      <c r="AL729" s="30">
        <v>0</v>
      </c>
      <c r="AM729" s="30">
        <v>60800</v>
      </c>
      <c r="AN729" s="30">
        <v>352500</v>
      </c>
      <c r="AO729" s="30">
        <v>413300</v>
      </c>
      <c r="AP729" s="30">
        <f>Lookups!$B$58*0.6</f>
        <v>132535.48800000001</v>
      </c>
      <c r="AQ729" s="30">
        <f>Lookups!$B$58*0.4</f>
        <v>88356.992000000013</v>
      </c>
      <c r="AR729" s="30">
        <f>Lookups!$B$59*Inventory[[#This Row],[LnAcres]]</f>
        <v>-24051.387388882686</v>
      </c>
      <c r="AS729" s="30">
        <f>VLOOKUP(Inventory[[#This Row],[Qlty]],Lookups!$A$66:$E$79,2,FALSE)</f>
        <v>32917.849192000001</v>
      </c>
      <c r="AT729" s="30">
        <f>VLOOKUP(Inventory[[#This Row],[Cnd]],Lookups!$A$80:$E$88,2,FALSE)</f>
        <v>17761.121909000001</v>
      </c>
      <c r="AU729" s="30">
        <f>Inventory[[#This Row],[EffAge]]*Lookups!$B$65</f>
        <v>-2066.0808999999999</v>
      </c>
      <c r="AV729" s="30">
        <f>Inventory[[#This Row],[MainFn]]*Lookups!$B$90</f>
        <v>72271.22004</v>
      </c>
      <c r="AW729" s="30">
        <f>Inventory[[#This Row],[UpprFn]]*Lookups!$B$91</f>
        <v>78765.266325999997</v>
      </c>
      <c r="AX729" s="30">
        <f>Inventory[[#This Row],[Bsmt Area]]*Lookups!$B$95</f>
        <v>0</v>
      </c>
      <c r="AY729" s="30">
        <f>Inventory[[#This Row],[AttGar]]*Lookups!$B$93</f>
        <v>10590.309300000001</v>
      </c>
      <c r="AZ729" s="30">
        <f>ROUND(Inventory[[#This Row],[25Det]],-2)</f>
        <v>0</v>
      </c>
      <c r="BA729" s="30">
        <f>ROUND(SUM(Inventory[[#This Row],[Mdl Qlty]:[Mdl Garage Area]])+Inventory[[#This Row],[Mdl Res Intercept]],-2)</f>
        <v>342800</v>
      </c>
      <c r="BB729" s="30">
        <f>ROUND(Inventory[[#This Row],[Mdl Land Intercept]]+Inventory[[#This Row],[Mdl LnAcres]],-2)</f>
        <v>64300</v>
      </c>
      <c r="BC729" s="30">
        <f>Inventory[[#This Row],[Unadj Res Value]]+Inventory[[#This Row],[Unadj Det Value]]+Inventory[[#This Row],[Unadj Land Value]]</f>
        <v>407100</v>
      </c>
      <c r="BD729" s="30">
        <f>(Inventory[[#This Row],[Unadj Total Value]]-Inventory[[#This Row],[24Final]])/Inventory[[#This Row],[24Final]]</f>
        <v>-1.5001209774981853E-2</v>
      </c>
      <c r="BE729" s="30">
        <f>VLOOKUP(Inventory[[#This Row],[Nbhd]],Lookups!$M$3:$P$5,4,FALSE)</f>
        <v>0.99970000000000003</v>
      </c>
      <c r="BF729" s="30">
        <f>VLOOKUP(Inventory[[#This Row],[Qlty]],Lookups!$M$8:$P$22,4,FALSE)</f>
        <v>1.0019</v>
      </c>
      <c r="BG729" s="30">
        <f>VLOOKUP(Inventory[[#This Row],[Cnd]],Lookups!$R$8:$U$17,4,FALSE)</f>
        <v>0.99680000000000002</v>
      </c>
      <c r="BH729" s="30">
        <f>VLOOKUP(Inventory[[#This Row],[LivArea Range]],Lookups!$R$25:$U$43,4,FALSE)</f>
        <v>1.0008999999999999</v>
      </c>
      <c r="BI729" s="30">
        <f>VLOOKUP(Inventory[[#This Row],[Decade]],Lookups!$M$24:$P$40,4,FALSE)</f>
        <v>1.0024</v>
      </c>
      <c r="BJ729" s="30">
        <f>Inventory[[#This Row],[Nbhd Adj]]*0.95</f>
        <v>0.94971499999999998</v>
      </c>
      <c r="BK729" s="30">
        <f>AVERAGE(Inventory[[#This Row],[Nbhd Adj]],Inventory[[#This Row],[Quality Adj]],Inventory[[#This Row],[Condition Adj]],Inventory[[#This Row],[Living Area Adj]],Inventory[[#This Row],[Decade Adj]])*0.95</f>
        <v>0.95032299999999992</v>
      </c>
      <c r="BL729" s="30">
        <f>ROUND((SUM(Inventory[[#This Row],[Mdl Qlty]:[Mdl Garage Area]])+Inventory[[#This Row],[Mdl Res Intercept]])*Inventory[[#This Row],[Res Adj ]],-2)</f>
        <v>325700</v>
      </c>
      <c r="BM729" s="30">
        <f>ROUND(Inventory[[#This Row],[25Det]]*Inventory[[#This Row],[Det/Nbhd Adj]],-2)</f>
        <v>0</v>
      </c>
      <c r="BN729" s="30">
        <f>Inventory[[#This Row],[Adjusted Res]]+Inventory[[#This Row],[Adj Det ]]</f>
        <v>325700</v>
      </c>
      <c r="BO729" s="30">
        <f>ROUND((Inventory[[#This Row],[Mdl Land Intercept]]+Inventory[[#This Row],[Mdl LnAcres]])*Inventory[[#This Row],[Det/Nbhd Adj]],-2)</f>
        <v>61100</v>
      </c>
      <c r="BP729" s="30">
        <f>Inventory[[#This Row],[Adjusted Impr Total]]+Inventory[[#This Row],[Adjusted Land Total]]</f>
        <v>386800</v>
      </c>
      <c r="BQ729" s="30">
        <f>IFERROR((Inventory[[#This Row],[Adjusted Impr Total]]-Inventory[[#This Row],[24Bldg]])/Inventory[[#This Row],[24Bldg]],0)</f>
        <v>-7.6028368794326243E-2</v>
      </c>
      <c r="BR729" s="43">
        <f>(Inventory[[#This Row],[Adjusted Land Total]]-Inventory[[#This Row],[24Lnd]])/Inventory[[#This Row],[24Lnd]]</f>
        <v>4.9342105263157892E-3</v>
      </c>
      <c r="BS729" s="43">
        <f>(Inventory[[#This Row],[Adjusted Total]]-Inventory[[#This Row],[24Final]])/Inventory[[#This Row],[24Final]]</f>
        <v>-6.4118074038228889E-2</v>
      </c>
    </row>
    <row r="730" spans="1:71">
      <c r="A730" s="30">
        <v>2025</v>
      </c>
      <c r="B730" s="31" t="s">
        <v>1245</v>
      </c>
      <c r="C730" s="31">
        <f>LN(Inventory[[#This Row],[Acres]])</f>
        <v>-1.8325814637483102</v>
      </c>
      <c r="D730" s="30">
        <v>0.16</v>
      </c>
      <c r="E730" s="30">
        <v>6998</v>
      </c>
      <c r="F730" s="31" t="s">
        <v>505</v>
      </c>
      <c r="G730" s="31" t="s">
        <v>155</v>
      </c>
      <c r="H730" s="31" t="s">
        <v>5</v>
      </c>
      <c r="I730" s="31" t="s">
        <v>506</v>
      </c>
      <c r="J730" s="31" t="s">
        <v>507</v>
      </c>
      <c r="K730" s="31" t="s">
        <v>193</v>
      </c>
      <c r="L730" s="31" t="s">
        <v>19</v>
      </c>
      <c r="M730" s="31" t="s">
        <v>22</v>
      </c>
      <c r="N730" s="31">
        <v>10</v>
      </c>
      <c r="O730" s="31">
        <f>2024-Inventory[[#This Row],[YrBlt]]</f>
        <v>19</v>
      </c>
      <c r="P730" s="31">
        <f>2024-Inventory[[#This Row],[EffYr]]</f>
        <v>19</v>
      </c>
      <c r="Q730" s="30">
        <v>2005</v>
      </c>
      <c r="R730" s="30">
        <v>2005</v>
      </c>
      <c r="S730" s="30">
        <v>1436</v>
      </c>
      <c r="T730" s="37"/>
      <c r="U730" s="32"/>
      <c r="V730" s="32"/>
      <c r="W730" s="32"/>
      <c r="X730" s="32">
        <f>Inventory[[#This Row],[Bsmt Area]]-Inventory[[#This Row],[FnBsmt]]</f>
        <v>0</v>
      </c>
      <c r="Y730" s="32">
        <f>Inventory[[#This Row],[MainFn]]+Inventory[[#This Row],[UpprFn]]+Inventory[[#This Row],[AddFn]]+Inventory[[#This Row],[FnBsmt]]</f>
        <v>1436</v>
      </c>
      <c r="Z730" s="32">
        <v>1500</v>
      </c>
      <c r="AA730" s="31" t="s">
        <v>56</v>
      </c>
      <c r="AB730" s="37"/>
      <c r="AC730" s="30">
        <v>400</v>
      </c>
      <c r="AD730" s="32"/>
      <c r="AE730" s="32"/>
      <c r="AF730" s="32"/>
      <c r="AG730" s="32"/>
      <c r="AH730" s="32"/>
      <c r="AI730" s="30">
        <v>294415</v>
      </c>
      <c r="AJ730" s="30">
        <v>267918</v>
      </c>
      <c r="AK730" s="30">
        <v>0</v>
      </c>
      <c r="AL730" s="30">
        <v>0</v>
      </c>
      <c r="AM730" s="30">
        <v>60800</v>
      </c>
      <c r="AN730" s="30">
        <v>327600</v>
      </c>
      <c r="AO730" s="30">
        <v>388400</v>
      </c>
      <c r="AP730" s="30">
        <f>Lookups!$B$58*0.6</f>
        <v>132535.48800000001</v>
      </c>
      <c r="AQ730" s="30">
        <f>Lookups!$B$58*0.4</f>
        <v>88356.992000000013</v>
      </c>
      <c r="AR730" s="30">
        <f>Lookups!$B$59*Inventory[[#This Row],[LnAcres]]</f>
        <v>-24051.387388882686</v>
      </c>
      <c r="AS730" s="30">
        <f>VLOOKUP(Inventory[[#This Row],[Qlty]],Lookups!$A$66:$E$79,2,FALSE)</f>
        <v>37154.252388000001</v>
      </c>
      <c r="AT730" s="30">
        <f>VLOOKUP(Inventory[[#This Row],[Cnd]],Lookups!$A$80:$E$88,2,FALSE)</f>
        <v>50438.379078999998</v>
      </c>
      <c r="AU730" s="30">
        <f>Inventory[[#This Row],[EffAge]]*Lookups!$B$65</f>
        <v>-2066.0808999999999</v>
      </c>
      <c r="AV730" s="30">
        <f>Inventory[[#This Row],[MainFn]]*Lookups!$B$90</f>
        <v>89621.305680000005</v>
      </c>
      <c r="AW730" s="30">
        <f>Inventory[[#This Row],[UpprFn]]*Lookups!$B$91</f>
        <v>0</v>
      </c>
      <c r="AX730" s="30">
        <f>Inventory[[#This Row],[Bsmt Area]]*Lookups!$B$95</f>
        <v>0</v>
      </c>
      <c r="AY730" s="30">
        <f>Inventory[[#This Row],[AttGar]]*Lookups!$B$93</f>
        <v>14120.412400000001</v>
      </c>
      <c r="AZ730" s="30">
        <f>ROUND(Inventory[[#This Row],[25Det]],-2)</f>
        <v>0</v>
      </c>
      <c r="BA730" s="30">
        <f>ROUND(SUM(Inventory[[#This Row],[Mdl Qlty]:[Mdl Garage Area]])+Inventory[[#This Row],[Mdl Res Intercept]],-2)</f>
        <v>321800</v>
      </c>
      <c r="BB730" s="30">
        <f>ROUND(Inventory[[#This Row],[Mdl Land Intercept]]+Inventory[[#This Row],[Mdl LnAcres]],-2)</f>
        <v>64300</v>
      </c>
      <c r="BC730" s="30">
        <f>Inventory[[#This Row],[Unadj Res Value]]+Inventory[[#This Row],[Unadj Det Value]]+Inventory[[#This Row],[Unadj Land Value]]</f>
        <v>386100</v>
      </c>
      <c r="BD730" s="30">
        <f>(Inventory[[#This Row],[Unadj Total Value]]-Inventory[[#This Row],[24Final]])/Inventory[[#This Row],[24Final]]</f>
        <v>-5.9217301750772401E-3</v>
      </c>
      <c r="BE730" s="30">
        <f>VLOOKUP(Inventory[[#This Row],[Nbhd]],Lookups!$M$3:$P$5,4,FALSE)</f>
        <v>0.99970000000000003</v>
      </c>
      <c r="BF730" s="30">
        <f>VLOOKUP(Inventory[[#This Row],[Qlty]],Lookups!$M$8:$P$22,4,FALSE)</f>
        <v>0.99819999999999998</v>
      </c>
      <c r="BG730" s="30">
        <f>VLOOKUP(Inventory[[#This Row],[Cnd]],Lookups!$R$8:$U$17,4,FALSE)</f>
        <v>1.0007999999999999</v>
      </c>
      <c r="BH730" s="30">
        <f>VLOOKUP(Inventory[[#This Row],[LivArea Range]],Lookups!$R$25:$U$43,4,FALSE)</f>
        <v>0.99519999999999997</v>
      </c>
      <c r="BI730" s="30">
        <f>VLOOKUP(Inventory[[#This Row],[Decade]],Lookups!$M$24:$P$40,4,FALSE)</f>
        <v>1.0024</v>
      </c>
      <c r="BJ730" s="30">
        <f>Inventory[[#This Row],[Nbhd Adj]]*0.95</f>
        <v>0.94971499999999998</v>
      </c>
      <c r="BK730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730" s="30">
        <f>ROUND((SUM(Inventory[[#This Row],[Mdl Qlty]:[Mdl Garage Area]])+Inventory[[#This Row],[Mdl Res Intercept]])*Inventory[[#This Row],[Res Adj ]],-2)</f>
        <v>305500</v>
      </c>
      <c r="BM730" s="30">
        <f>ROUND(Inventory[[#This Row],[25Det]]*Inventory[[#This Row],[Det/Nbhd Adj]],-2)</f>
        <v>0</v>
      </c>
      <c r="BN730" s="30">
        <f>Inventory[[#This Row],[Adjusted Res]]+Inventory[[#This Row],[Adj Det ]]</f>
        <v>305500</v>
      </c>
      <c r="BO730" s="30">
        <f>ROUND((Inventory[[#This Row],[Mdl Land Intercept]]+Inventory[[#This Row],[Mdl LnAcres]])*Inventory[[#This Row],[Det/Nbhd Adj]],-2)</f>
        <v>61100</v>
      </c>
      <c r="BP730" s="30">
        <f>Inventory[[#This Row],[Adjusted Impr Total]]+Inventory[[#This Row],[Adjusted Land Total]]</f>
        <v>366600</v>
      </c>
      <c r="BQ730" s="30">
        <f>IFERROR((Inventory[[#This Row],[Adjusted Impr Total]]-Inventory[[#This Row],[24Bldg]])/Inventory[[#This Row],[24Bldg]],0)</f>
        <v>-6.7460317460317457E-2</v>
      </c>
      <c r="BR730" s="43">
        <f>(Inventory[[#This Row],[Adjusted Land Total]]-Inventory[[#This Row],[24Lnd]])/Inventory[[#This Row],[24Lnd]]</f>
        <v>4.9342105263157892E-3</v>
      </c>
      <c r="BS730" s="43">
        <f>(Inventory[[#This Row],[Adjusted Total]]-Inventory[[#This Row],[24Final]])/Inventory[[#This Row],[24Final]]</f>
        <v>-5.6127703398558187E-2</v>
      </c>
    </row>
    <row r="731" spans="1:71">
      <c r="A731" s="30">
        <v>2025</v>
      </c>
      <c r="B731" s="31" t="s">
        <v>1246</v>
      </c>
      <c r="C731" s="31">
        <f>LN(Inventory[[#This Row],[Acres]])</f>
        <v>-1.8325814637483102</v>
      </c>
      <c r="D731" s="30">
        <v>0.16</v>
      </c>
      <c r="E731" s="30">
        <v>6978</v>
      </c>
      <c r="F731" s="31" t="s">
        <v>505</v>
      </c>
      <c r="G731" s="31" t="s">
        <v>155</v>
      </c>
      <c r="H731" s="31" t="s">
        <v>5</v>
      </c>
      <c r="I731" s="31" t="s">
        <v>506</v>
      </c>
      <c r="J731" s="31" t="s">
        <v>507</v>
      </c>
      <c r="K731" s="31" t="s">
        <v>157</v>
      </c>
      <c r="L731" s="31" t="s">
        <v>21</v>
      </c>
      <c r="M731" s="31" t="s">
        <v>20</v>
      </c>
      <c r="N731" s="31">
        <v>10</v>
      </c>
      <c r="O731" s="31">
        <f>2024-Inventory[[#This Row],[YrBlt]]</f>
        <v>19</v>
      </c>
      <c r="P731" s="31">
        <f>2024-Inventory[[#This Row],[EffYr]]</f>
        <v>19</v>
      </c>
      <c r="Q731" s="30">
        <v>2005</v>
      </c>
      <c r="R731" s="30">
        <v>2005</v>
      </c>
      <c r="S731" s="30">
        <v>1158</v>
      </c>
      <c r="T731" s="38">
        <v>1322</v>
      </c>
      <c r="U731" s="32"/>
      <c r="V731" s="32"/>
      <c r="W731" s="32"/>
      <c r="X731" s="32">
        <f>Inventory[[#This Row],[Bsmt Area]]-Inventory[[#This Row],[FnBsmt]]</f>
        <v>0</v>
      </c>
      <c r="Y731" s="32">
        <f>Inventory[[#This Row],[MainFn]]+Inventory[[#This Row],[UpprFn]]+Inventory[[#This Row],[AddFn]]+Inventory[[#This Row],[FnBsmt]]</f>
        <v>2480</v>
      </c>
      <c r="Z731" s="32">
        <v>2500</v>
      </c>
      <c r="AA731" s="31" t="s">
        <v>56</v>
      </c>
      <c r="AB731" s="38">
        <v>1</v>
      </c>
      <c r="AC731" s="37"/>
      <c r="AD731" s="38">
        <v>502</v>
      </c>
      <c r="AE731" s="32"/>
      <c r="AF731" s="32"/>
      <c r="AG731" s="32"/>
      <c r="AH731" s="32"/>
      <c r="AI731" s="30">
        <v>494310</v>
      </c>
      <c r="AJ731" s="30">
        <v>449822</v>
      </c>
      <c r="AK731" s="30">
        <v>0</v>
      </c>
      <c r="AL731" s="30">
        <v>0</v>
      </c>
      <c r="AM731" s="30">
        <v>60800</v>
      </c>
      <c r="AN731" s="30">
        <v>351300</v>
      </c>
      <c r="AO731" s="30">
        <v>412100</v>
      </c>
      <c r="AP731" s="30">
        <f>Lookups!$B$58*0.6</f>
        <v>132535.48800000001</v>
      </c>
      <c r="AQ731" s="30">
        <f>Lookups!$B$58*0.4</f>
        <v>88356.992000000013</v>
      </c>
      <c r="AR731" s="30">
        <f>Lookups!$B$59*Inventory[[#This Row],[LnAcres]]</f>
        <v>-24051.387388882686</v>
      </c>
      <c r="AS731" s="30">
        <f>VLOOKUP(Inventory[[#This Row],[Qlty]],Lookups!$A$66:$E$79,2,FALSE)</f>
        <v>32917.849192000001</v>
      </c>
      <c r="AT731" s="30">
        <f>VLOOKUP(Inventory[[#This Row],[Cnd]],Lookups!$A$80:$E$88,2,FALSE)</f>
        <v>30300.329274</v>
      </c>
      <c r="AU731" s="30">
        <f>Inventory[[#This Row],[EffAge]]*Lookups!$B$65</f>
        <v>-2066.0808999999999</v>
      </c>
      <c r="AV731" s="30">
        <f>Inventory[[#This Row],[MainFn]]*Lookups!$B$90</f>
        <v>72271.22004</v>
      </c>
      <c r="AW731" s="30">
        <f>Inventory[[#This Row],[UpprFn]]*Lookups!$B$91</f>
        <v>78765.266325999997</v>
      </c>
      <c r="AX731" s="30">
        <f>Inventory[[#This Row],[Bsmt Area]]*Lookups!$B$95</f>
        <v>0</v>
      </c>
      <c r="AY731" s="30">
        <f>Inventory[[#This Row],[AttGar]]*Lookups!$B$93</f>
        <v>0</v>
      </c>
      <c r="AZ731" s="30">
        <f>ROUND(Inventory[[#This Row],[25Det]],-2)</f>
        <v>0</v>
      </c>
      <c r="BA731" s="30">
        <f>ROUND(SUM(Inventory[[#This Row],[Mdl Qlty]:[Mdl Garage Area]])+Inventory[[#This Row],[Mdl Res Intercept]],-2)</f>
        <v>344700</v>
      </c>
      <c r="BB731" s="30">
        <f>ROUND(Inventory[[#This Row],[Mdl Land Intercept]]+Inventory[[#This Row],[Mdl LnAcres]],-2)</f>
        <v>64300</v>
      </c>
      <c r="BC731" s="30">
        <f>Inventory[[#This Row],[Unadj Res Value]]+Inventory[[#This Row],[Unadj Det Value]]+Inventory[[#This Row],[Unadj Land Value]]</f>
        <v>409000</v>
      </c>
      <c r="BD731" s="30">
        <f>(Inventory[[#This Row],[Unadj Total Value]]-Inventory[[#This Row],[24Final]])/Inventory[[#This Row],[24Final]]</f>
        <v>-7.522446008250425E-3</v>
      </c>
      <c r="BE731" s="30">
        <f>VLOOKUP(Inventory[[#This Row],[Nbhd]],Lookups!$M$3:$P$5,4,FALSE)</f>
        <v>0.99970000000000003</v>
      </c>
      <c r="BF731" s="30">
        <f>VLOOKUP(Inventory[[#This Row],[Qlty]],Lookups!$M$8:$P$22,4,FALSE)</f>
        <v>1.0019</v>
      </c>
      <c r="BG731" s="30">
        <f>VLOOKUP(Inventory[[#This Row],[Cnd]],Lookups!$R$8:$U$17,4,FALSE)</f>
        <v>0.997</v>
      </c>
      <c r="BH731" s="30">
        <f>VLOOKUP(Inventory[[#This Row],[LivArea Range]],Lookups!$R$25:$U$43,4,FALSE)</f>
        <v>1.0008999999999999</v>
      </c>
      <c r="BI731" s="30">
        <f>VLOOKUP(Inventory[[#This Row],[Decade]],Lookups!$M$24:$P$40,4,FALSE)</f>
        <v>1.0024</v>
      </c>
      <c r="BJ731" s="30">
        <f>Inventory[[#This Row],[Nbhd Adj]]*0.95</f>
        <v>0.94971499999999998</v>
      </c>
      <c r="BK731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31" s="30">
        <f>ROUND((SUM(Inventory[[#This Row],[Mdl Qlty]:[Mdl Garage Area]])+Inventory[[#This Row],[Mdl Res Intercept]])*Inventory[[#This Row],[Res Adj ]],-2)</f>
        <v>327600</v>
      </c>
      <c r="BM731" s="30">
        <f>ROUND(Inventory[[#This Row],[25Det]]*Inventory[[#This Row],[Det/Nbhd Adj]],-2)</f>
        <v>0</v>
      </c>
      <c r="BN731" s="30">
        <f>Inventory[[#This Row],[Adjusted Res]]+Inventory[[#This Row],[Adj Det ]]</f>
        <v>327600</v>
      </c>
      <c r="BO731" s="30">
        <f>ROUND((Inventory[[#This Row],[Mdl Land Intercept]]+Inventory[[#This Row],[Mdl LnAcres]])*Inventory[[#This Row],[Det/Nbhd Adj]],-2)</f>
        <v>61100</v>
      </c>
      <c r="BP731" s="30">
        <f>Inventory[[#This Row],[Adjusted Impr Total]]+Inventory[[#This Row],[Adjusted Land Total]]</f>
        <v>388700</v>
      </c>
      <c r="BQ731" s="30">
        <f>IFERROR((Inventory[[#This Row],[Adjusted Impr Total]]-Inventory[[#This Row],[24Bldg]])/Inventory[[#This Row],[24Bldg]],0)</f>
        <v>-6.7463706233988049E-2</v>
      </c>
      <c r="BR731" s="43">
        <f>(Inventory[[#This Row],[Adjusted Land Total]]-Inventory[[#This Row],[24Lnd]])/Inventory[[#This Row],[24Lnd]]</f>
        <v>4.9342105263157892E-3</v>
      </c>
      <c r="BS731" s="43">
        <f>(Inventory[[#This Row],[Adjusted Total]]-Inventory[[#This Row],[24Final]])/Inventory[[#This Row],[24Final]]</f>
        <v>-5.6782334384858045E-2</v>
      </c>
    </row>
    <row r="732" spans="1:71">
      <c r="A732" s="30">
        <v>2025</v>
      </c>
      <c r="B732" s="31" t="s">
        <v>1247</v>
      </c>
      <c r="C732" s="31">
        <f>LN(Inventory[[#This Row],[Acres]])</f>
        <v>-1.8325814637483102</v>
      </c>
      <c r="D732" s="30">
        <v>0.16</v>
      </c>
      <c r="E732" s="30">
        <v>6992</v>
      </c>
      <c r="F732" s="31" t="s">
        <v>505</v>
      </c>
      <c r="G732" s="31" t="s">
        <v>155</v>
      </c>
      <c r="H732" s="31" t="s">
        <v>5</v>
      </c>
      <c r="I732" s="31" t="s">
        <v>506</v>
      </c>
      <c r="J732" s="31" t="s">
        <v>507</v>
      </c>
      <c r="K732" s="31" t="s">
        <v>157</v>
      </c>
      <c r="L732" s="31" t="s">
        <v>21</v>
      </c>
      <c r="M732" s="31" t="s">
        <v>20</v>
      </c>
      <c r="N732" s="31">
        <v>10</v>
      </c>
      <c r="O732" s="31">
        <f>2024-Inventory[[#This Row],[YrBlt]]</f>
        <v>19</v>
      </c>
      <c r="P732" s="31">
        <f>2024-Inventory[[#This Row],[EffYr]]</f>
        <v>19</v>
      </c>
      <c r="Q732" s="30">
        <v>2005</v>
      </c>
      <c r="R732" s="30">
        <v>2005</v>
      </c>
      <c r="S732" s="30">
        <v>1158</v>
      </c>
      <c r="T732" s="38">
        <v>1322</v>
      </c>
      <c r="U732" s="32"/>
      <c r="V732" s="32"/>
      <c r="W732" s="32"/>
      <c r="X732" s="32">
        <f>Inventory[[#This Row],[Bsmt Area]]-Inventory[[#This Row],[FnBsmt]]</f>
        <v>0</v>
      </c>
      <c r="Y732" s="32">
        <f>Inventory[[#This Row],[MainFn]]+Inventory[[#This Row],[UpprFn]]+Inventory[[#This Row],[AddFn]]+Inventory[[#This Row],[FnBsmt]]</f>
        <v>2480</v>
      </c>
      <c r="Z732" s="32">
        <v>2500</v>
      </c>
      <c r="AA732" s="31" t="s">
        <v>56</v>
      </c>
      <c r="AB732" s="38">
        <v>1</v>
      </c>
      <c r="AC732" s="37"/>
      <c r="AD732" s="38">
        <v>502</v>
      </c>
      <c r="AE732" s="32"/>
      <c r="AF732" s="32"/>
      <c r="AG732" s="32"/>
      <c r="AH732" s="32"/>
      <c r="AI732" s="30">
        <v>484460</v>
      </c>
      <c r="AJ732" s="30">
        <v>440859</v>
      </c>
      <c r="AK732" s="30">
        <v>0</v>
      </c>
      <c r="AL732" s="30">
        <v>0</v>
      </c>
      <c r="AM732" s="30">
        <v>60800</v>
      </c>
      <c r="AN732" s="30">
        <v>351300</v>
      </c>
      <c r="AO732" s="30">
        <v>412100</v>
      </c>
      <c r="AP732" s="30">
        <f>Lookups!$B$58*0.6</f>
        <v>132535.48800000001</v>
      </c>
      <c r="AQ732" s="30">
        <f>Lookups!$B$58*0.4</f>
        <v>88356.992000000013</v>
      </c>
      <c r="AR732" s="30">
        <f>Lookups!$B$59*Inventory[[#This Row],[LnAcres]]</f>
        <v>-24051.387388882686</v>
      </c>
      <c r="AS732" s="30">
        <f>VLOOKUP(Inventory[[#This Row],[Qlty]],Lookups!$A$66:$E$79,2,FALSE)</f>
        <v>32917.849192000001</v>
      </c>
      <c r="AT732" s="30">
        <f>VLOOKUP(Inventory[[#This Row],[Cnd]],Lookups!$A$80:$E$88,2,FALSE)</f>
        <v>30300.329274</v>
      </c>
      <c r="AU732" s="30">
        <f>Inventory[[#This Row],[EffAge]]*Lookups!$B$65</f>
        <v>-2066.0808999999999</v>
      </c>
      <c r="AV732" s="30">
        <f>Inventory[[#This Row],[MainFn]]*Lookups!$B$90</f>
        <v>72271.22004</v>
      </c>
      <c r="AW732" s="30">
        <f>Inventory[[#This Row],[UpprFn]]*Lookups!$B$91</f>
        <v>78765.266325999997</v>
      </c>
      <c r="AX732" s="30">
        <f>Inventory[[#This Row],[Bsmt Area]]*Lookups!$B$95</f>
        <v>0</v>
      </c>
      <c r="AY732" s="30">
        <f>Inventory[[#This Row],[AttGar]]*Lookups!$B$93</f>
        <v>0</v>
      </c>
      <c r="AZ732" s="30">
        <f>ROUND(Inventory[[#This Row],[25Det]],-2)</f>
        <v>0</v>
      </c>
      <c r="BA732" s="30">
        <f>ROUND(SUM(Inventory[[#This Row],[Mdl Qlty]:[Mdl Garage Area]])+Inventory[[#This Row],[Mdl Res Intercept]],-2)</f>
        <v>344700</v>
      </c>
      <c r="BB732" s="30">
        <f>ROUND(Inventory[[#This Row],[Mdl Land Intercept]]+Inventory[[#This Row],[Mdl LnAcres]],-2)</f>
        <v>64300</v>
      </c>
      <c r="BC732" s="30">
        <f>Inventory[[#This Row],[Unadj Res Value]]+Inventory[[#This Row],[Unadj Det Value]]+Inventory[[#This Row],[Unadj Land Value]]</f>
        <v>409000</v>
      </c>
      <c r="BD732" s="30">
        <f>(Inventory[[#This Row],[Unadj Total Value]]-Inventory[[#This Row],[24Final]])/Inventory[[#This Row],[24Final]]</f>
        <v>-7.522446008250425E-3</v>
      </c>
      <c r="BE732" s="30">
        <f>VLOOKUP(Inventory[[#This Row],[Nbhd]],Lookups!$M$3:$P$5,4,FALSE)</f>
        <v>0.99970000000000003</v>
      </c>
      <c r="BF732" s="30">
        <f>VLOOKUP(Inventory[[#This Row],[Qlty]],Lookups!$M$8:$P$22,4,FALSE)</f>
        <v>1.0019</v>
      </c>
      <c r="BG732" s="30">
        <f>VLOOKUP(Inventory[[#This Row],[Cnd]],Lookups!$R$8:$U$17,4,FALSE)</f>
        <v>0.997</v>
      </c>
      <c r="BH732" s="30">
        <f>VLOOKUP(Inventory[[#This Row],[LivArea Range]],Lookups!$R$25:$U$43,4,FALSE)</f>
        <v>1.0008999999999999</v>
      </c>
      <c r="BI732" s="30">
        <f>VLOOKUP(Inventory[[#This Row],[Decade]],Lookups!$M$24:$P$40,4,FALSE)</f>
        <v>1.0024</v>
      </c>
      <c r="BJ732" s="30">
        <f>Inventory[[#This Row],[Nbhd Adj]]*0.95</f>
        <v>0.94971499999999998</v>
      </c>
      <c r="BK732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32" s="30">
        <f>ROUND((SUM(Inventory[[#This Row],[Mdl Qlty]:[Mdl Garage Area]])+Inventory[[#This Row],[Mdl Res Intercept]])*Inventory[[#This Row],[Res Adj ]],-2)</f>
        <v>327600</v>
      </c>
      <c r="BM732" s="30">
        <f>ROUND(Inventory[[#This Row],[25Det]]*Inventory[[#This Row],[Det/Nbhd Adj]],-2)</f>
        <v>0</v>
      </c>
      <c r="BN732" s="30">
        <f>Inventory[[#This Row],[Adjusted Res]]+Inventory[[#This Row],[Adj Det ]]</f>
        <v>327600</v>
      </c>
      <c r="BO732" s="30">
        <f>ROUND((Inventory[[#This Row],[Mdl Land Intercept]]+Inventory[[#This Row],[Mdl LnAcres]])*Inventory[[#This Row],[Det/Nbhd Adj]],-2)</f>
        <v>61100</v>
      </c>
      <c r="BP732" s="30">
        <f>Inventory[[#This Row],[Adjusted Impr Total]]+Inventory[[#This Row],[Adjusted Land Total]]</f>
        <v>388700</v>
      </c>
      <c r="BQ732" s="30">
        <f>IFERROR((Inventory[[#This Row],[Adjusted Impr Total]]-Inventory[[#This Row],[24Bldg]])/Inventory[[#This Row],[24Bldg]],0)</f>
        <v>-6.7463706233988049E-2</v>
      </c>
      <c r="BR732" s="43">
        <f>(Inventory[[#This Row],[Adjusted Land Total]]-Inventory[[#This Row],[24Lnd]])/Inventory[[#This Row],[24Lnd]]</f>
        <v>4.9342105263157892E-3</v>
      </c>
      <c r="BS732" s="43">
        <f>(Inventory[[#This Row],[Adjusted Total]]-Inventory[[#This Row],[24Final]])/Inventory[[#This Row],[24Final]]</f>
        <v>-5.6782334384858045E-2</v>
      </c>
    </row>
    <row r="733" spans="1:71">
      <c r="A733" s="30">
        <v>2025</v>
      </c>
      <c r="B733" s="31" t="s">
        <v>1248</v>
      </c>
      <c r="C733" s="31">
        <f>LN(Inventory[[#This Row],[Acres]])</f>
        <v>-1.8325814637483102</v>
      </c>
      <c r="D733" s="30">
        <v>0.16</v>
      </c>
      <c r="E733" s="30">
        <v>6992</v>
      </c>
      <c r="F733" s="31" t="s">
        <v>505</v>
      </c>
      <c r="G733" s="31" t="s">
        <v>155</v>
      </c>
      <c r="H733" s="31" t="s">
        <v>5</v>
      </c>
      <c r="I733" s="31" t="s">
        <v>506</v>
      </c>
      <c r="J733" s="31" t="s">
        <v>507</v>
      </c>
      <c r="K733" s="31" t="s">
        <v>157</v>
      </c>
      <c r="L733" s="31" t="s">
        <v>21</v>
      </c>
      <c r="M733" s="31" t="s">
        <v>20</v>
      </c>
      <c r="N733" s="31">
        <v>10</v>
      </c>
      <c r="O733" s="31">
        <f>2024-Inventory[[#This Row],[YrBlt]]</f>
        <v>19</v>
      </c>
      <c r="P733" s="31">
        <f>2024-Inventory[[#This Row],[EffYr]]</f>
        <v>19</v>
      </c>
      <c r="Q733" s="30">
        <v>2005</v>
      </c>
      <c r="R733" s="30">
        <v>2005</v>
      </c>
      <c r="S733" s="30">
        <v>1158</v>
      </c>
      <c r="T733" s="38">
        <v>1322</v>
      </c>
      <c r="U733" s="32"/>
      <c r="V733" s="32"/>
      <c r="W733" s="32"/>
      <c r="X733" s="32">
        <f>Inventory[[#This Row],[Bsmt Area]]-Inventory[[#This Row],[FnBsmt]]</f>
        <v>0</v>
      </c>
      <c r="Y733" s="32">
        <f>Inventory[[#This Row],[MainFn]]+Inventory[[#This Row],[UpprFn]]+Inventory[[#This Row],[AddFn]]+Inventory[[#This Row],[FnBsmt]]</f>
        <v>2480</v>
      </c>
      <c r="Z733" s="32">
        <v>2500</v>
      </c>
      <c r="AA733" s="31" t="s">
        <v>56</v>
      </c>
      <c r="AB733" s="32"/>
      <c r="AC733" s="37"/>
      <c r="AD733" s="38">
        <v>502</v>
      </c>
      <c r="AE733" s="32"/>
      <c r="AF733" s="32"/>
      <c r="AG733" s="32"/>
      <c r="AH733" s="32"/>
      <c r="AI733" s="30">
        <v>476396</v>
      </c>
      <c r="AJ733" s="30">
        <v>433520</v>
      </c>
      <c r="AK733" s="30">
        <v>0</v>
      </c>
      <c r="AL733" s="30">
        <v>0</v>
      </c>
      <c r="AM733" s="30">
        <v>60800</v>
      </c>
      <c r="AN733" s="30">
        <v>351300</v>
      </c>
      <c r="AO733" s="30">
        <v>412100</v>
      </c>
      <c r="AP733" s="30">
        <f>Lookups!$B$58*0.6</f>
        <v>132535.48800000001</v>
      </c>
      <c r="AQ733" s="30">
        <f>Lookups!$B$58*0.4</f>
        <v>88356.992000000013</v>
      </c>
      <c r="AR733" s="30">
        <f>Lookups!$B$59*Inventory[[#This Row],[LnAcres]]</f>
        <v>-24051.387388882686</v>
      </c>
      <c r="AS733" s="30">
        <f>VLOOKUP(Inventory[[#This Row],[Qlty]],Lookups!$A$66:$E$79,2,FALSE)</f>
        <v>32917.849192000001</v>
      </c>
      <c r="AT733" s="30">
        <f>VLOOKUP(Inventory[[#This Row],[Cnd]],Lookups!$A$80:$E$88,2,FALSE)</f>
        <v>30300.329274</v>
      </c>
      <c r="AU733" s="30">
        <f>Inventory[[#This Row],[EffAge]]*Lookups!$B$65</f>
        <v>-2066.0808999999999</v>
      </c>
      <c r="AV733" s="30">
        <f>Inventory[[#This Row],[MainFn]]*Lookups!$B$90</f>
        <v>72271.22004</v>
      </c>
      <c r="AW733" s="30">
        <f>Inventory[[#This Row],[UpprFn]]*Lookups!$B$91</f>
        <v>78765.266325999997</v>
      </c>
      <c r="AX733" s="30">
        <f>Inventory[[#This Row],[Bsmt Area]]*Lookups!$B$95</f>
        <v>0</v>
      </c>
      <c r="AY733" s="30">
        <f>Inventory[[#This Row],[AttGar]]*Lookups!$B$93</f>
        <v>0</v>
      </c>
      <c r="AZ733" s="30">
        <f>ROUND(Inventory[[#This Row],[25Det]],-2)</f>
        <v>0</v>
      </c>
      <c r="BA733" s="30">
        <f>ROUND(SUM(Inventory[[#This Row],[Mdl Qlty]:[Mdl Garage Area]])+Inventory[[#This Row],[Mdl Res Intercept]],-2)</f>
        <v>344700</v>
      </c>
      <c r="BB733" s="30">
        <f>ROUND(Inventory[[#This Row],[Mdl Land Intercept]]+Inventory[[#This Row],[Mdl LnAcres]],-2)</f>
        <v>64300</v>
      </c>
      <c r="BC733" s="30">
        <f>Inventory[[#This Row],[Unadj Res Value]]+Inventory[[#This Row],[Unadj Det Value]]+Inventory[[#This Row],[Unadj Land Value]]</f>
        <v>409000</v>
      </c>
      <c r="BD733" s="30">
        <f>(Inventory[[#This Row],[Unadj Total Value]]-Inventory[[#This Row],[24Final]])/Inventory[[#This Row],[24Final]]</f>
        <v>-7.522446008250425E-3</v>
      </c>
      <c r="BE733" s="30">
        <f>VLOOKUP(Inventory[[#This Row],[Nbhd]],Lookups!$M$3:$P$5,4,FALSE)</f>
        <v>0.99970000000000003</v>
      </c>
      <c r="BF733" s="30">
        <f>VLOOKUP(Inventory[[#This Row],[Qlty]],Lookups!$M$8:$P$22,4,FALSE)</f>
        <v>1.0019</v>
      </c>
      <c r="BG733" s="30">
        <f>VLOOKUP(Inventory[[#This Row],[Cnd]],Lookups!$R$8:$U$17,4,FALSE)</f>
        <v>0.997</v>
      </c>
      <c r="BH733" s="30">
        <f>VLOOKUP(Inventory[[#This Row],[LivArea Range]],Lookups!$R$25:$U$43,4,FALSE)</f>
        <v>1.0008999999999999</v>
      </c>
      <c r="BI733" s="30">
        <f>VLOOKUP(Inventory[[#This Row],[Decade]],Lookups!$M$24:$P$40,4,FALSE)</f>
        <v>1.0024</v>
      </c>
      <c r="BJ733" s="30">
        <f>Inventory[[#This Row],[Nbhd Adj]]*0.95</f>
        <v>0.94971499999999998</v>
      </c>
      <c r="BK733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33" s="30">
        <f>ROUND((SUM(Inventory[[#This Row],[Mdl Qlty]:[Mdl Garage Area]])+Inventory[[#This Row],[Mdl Res Intercept]])*Inventory[[#This Row],[Res Adj ]],-2)</f>
        <v>327600</v>
      </c>
      <c r="BM733" s="30">
        <f>ROUND(Inventory[[#This Row],[25Det]]*Inventory[[#This Row],[Det/Nbhd Adj]],-2)</f>
        <v>0</v>
      </c>
      <c r="BN733" s="30">
        <f>Inventory[[#This Row],[Adjusted Res]]+Inventory[[#This Row],[Adj Det ]]</f>
        <v>327600</v>
      </c>
      <c r="BO733" s="30">
        <f>ROUND((Inventory[[#This Row],[Mdl Land Intercept]]+Inventory[[#This Row],[Mdl LnAcres]])*Inventory[[#This Row],[Det/Nbhd Adj]],-2)</f>
        <v>61100</v>
      </c>
      <c r="BP733" s="30">
        <f>Inventory[[#This Row],[Adjusted Impr Total]]+Inventory[[#This Row],[Adjusted Land Total]]</f>
        <v>388700</v>
      </c>
      <c r="BQ733" s="30">
        <f>IFERROR((Inventory[[#This Row],[Adjusted Impr Total]]-Inventory[[#This Row],[24Bldg]])/Inventory[[#This Row],[24Bldg]],0)</f>
        <v>-6.7463706233988049E-2</v>
      </c>
      <c r="BR733" s="43">
        <f>(Inventory[[#This Row],[Adjusted Land Total]]-Inventory[[#This Row],[24Lnd]])/Inventory[[#This Row],[24Lnd]]</f>
        <v>4.9342105263157892E-3</v>
      </c>
      <c r="BS733" s="43">
        <f>(Inventory[[#This Row],[Adjusted Total]]-Inventory[[#This Row],[24Final]])/Inventory[[#This Row],[24Final]]</f>
        <v>-5.6782334384858045E-2</v>
      </c>
    </row>
    <row r="734" spans="1:71">
      <c r="A734" s="30">
        <v>2025</v>
      </c>
      <c r="B734" s="31" t="s">
        <v>1249</v>
      </c>
      <c r="C734" s="31">
        <f>LN(Inventory[[#This Row],[Acres]])</f>
        <v>-1.8325814637483102</v>
      </c>
      <c r="D734" s="30">
        <v>0.16</v>
      </c>
      <c r="E734" s="37"/>
      <c r="F734" s="31" t="s">
        <v>505</v>
      </c>
      <c r="G734" s="31" t="s">
        <v>155</v>
      </c>
      <c r="H734" s="31" t="s">
        <v>5</v>
      </c>
      <c r="I734" s="31" t="s">
        <v>506</v>
      </c>
      <c r="J734" s="31" t="s">
        <v>507</v>
      </c>
      <c r="K734" s="31" t="s">
        <v>157</v>
      </c>
      <c r="L734" s="31" t="s">
        <v>21</v>
      </c>
      <c r="M734" s="31" t="s">
        <v>20</v>
      </c>
      <c r="N734" s="31">
        <v>10</v>
      </c>
      <c r="O734" s="31">
        <f>2024-Inventory[[#This Row],[YrBlt]]</f>
        <v>19</v>
      </c>
      <c r="P734" s="31">
        <f>2024-Inventory[[#This Row],[EffYr]]</f>
        <v>19</v>
      </c>
      <c r="Q734" s="30">
        <v>2005</v>
      </c>
      <c r="R734" s="30">
        <v>2005</v>
      </c>
      <c r="S734" s="30">
        <v>1158</v>
      </c>
      <c r="T734" s="30">
        <v>1322</v>
      </c>
      <c r="U734" s="32"/>
      <c r="V734" s="32"/>
      <c r="W734" s="32"/>
      <c r="X734" s="32">
        <f>Inventory[[#This Row],[Bsmt Area]]-Inventory[[#This Row],[FnBsmt]]</f>
        <v>0</v>
      </c>
      <c r="Y734" s="32">
        <f>Inventory[[#This Row],[MainFn]]+Inventory[[#This Row],[UpprFn]]+Inventory[[#This Row],[AddFn]]+Inventory[[#This Row],[FnBsmt]]</f>
        <v>2480</v>
      </c>
      <c r="Z734" s="32">
        <v>2500</v>
      </c>
      <c r="AA734" s="31" t="s">
        <v>56</v>
      </c>
      <c r="AB734" s="38">
        <v>1</v>
      </c>
      <c r="AC734" s="32"/>
      <c r="AD734" s="30">
        <v>502</v>
      </c>
      <c r="AE734" s="32"/>
      <c r="AF734" s="32"/>
      <c r="AG734" s="32"/>
      <c r="AH734" s="32"/>
      <c r="AI734" s="30">
        <v>494990</v>
      </c>
      <c r="AJ734" s="30">
        <v>450441</v>
      </c>
      <c r="AK734" s="30">
        <v>0</v>
      </c>
      <c r="AL734" s="30">
        <v>0</v>
      </c>
      <c r="AM734" s="30">
        <v>60800</v>
      </c>
      <c r="AN734" s="30">
        <v>351300</v>
      </c>
      <c r="AO734" s="30">
        <v>412100</v>
      </c>
      <c r="AP734" s="30">
        <f>Lookups!$B$58*0.6</f>
        <v>132535.48800000001</v>
      </c>
      <c r="AQ734" s="30">
        <f>Lookups!$B$58*0.4</f>
        <v>88356.992000000013</v>
      </c>
      <c r="AR734" s="30">
        <f>Lookups!$B$59*Inventory[[#This Row],[LnAcres]]</f>
        <v>-24051.387388882686</v>
      </c>
      <c r="AS734" s="30">
        <f>VLOOKUP(Inventory[[#This Row],[Qlty]],Lookups!$A$66:$E$79,2,FALSE)</f>
        <v>32917.849192000001</v>
      </c>
      <c r="AT734" s="30">
        <f>VLOOKUP(Inventory[[#This Row],[Cnd]],Lookups!$A$80:$E$88,2,FALSE)</f>
        <v>30300.329274</v>
      </c>
      <c r="AU734" s="30">
        <f>Inventory[[#This Row],[EffAge]]*Lookups!$B$65</f>
        <v>-2066.0808999999999</v>
      </c>
      <c r="AV734" s="30">
        <f>Inventory[[#This Row],[MainFn]]*Lookups!$B$90</f>
        <v>72271.22004</v>
      </c>
      <c r="AW734" s="30">
        <f>Inventory[[#This Row],[UpprFn]]*Lookups!$B$91</f>
        <v>78765.266325999997</v>
      </c>
      <c r="AX734" s="30">
        <f>Inventory[[#This Row],[Bsmt Area]]*Lookups!$B$95</f>
        <v>0</v>
      </c>
      <c r="AY734" s="30">
        <f>Inventory[[#This Row],[AttGar]]*Lookups!$B$93</f>
        <v>0</v>
      </c>
      <c r="AZ734" s="30">
        <f>ROUND(Inventory[[#This Row],[25Det]],-2)</f>
        <v>0</v>
      </c>
      <c r="BA734" s="30">
        <f>ROUND(SUM(Inventory[[#This Row],[Mdl Qlty]:[Mdl Garage Area]])+Inventory[[#This Row],[Mdl Res Intercept]],-2)</f>
        <v>344700</v>
      </c>
      <c r="BB734" s="30">
        <f>ROUND(Inventory[[#This Row],[Mdl Land Intercept]]+Inventory[[#This Row],[Mdl LnAcres]],-2)</f>
        <v>64300</v>
      </c>
      <c r="BC734" s="30">
        <f>Inventory[[#This Row],[Unadj Res Value]]+Inventory[[#This Row],[Unadj Det Value]]+Inventory[[#This Row],[Unadj Land Value]]</f>
        <v>409000</v>
      </c>
      <c r="BD734" s="30">
        <f>(Inventory[[#This Row],[Unadj Total Value]]-Inventory[[#This Row],[24Final]])/Inventory[[#This Row],[24Final]]</f>
        <v>-7.522446008250425E-3</v>
      </c>
      <c r="BE734" s="30">
        <f>VLOOKUP(Inventory[[#This Row],[Nbhd]],Lookups!$M$3:$P$5,4,FALSE)</f>
        <v>0.99970000000000003</v>
      </c>
      <c r="BF734" s="30">
        <f>VLOOKUP(Inventory[[#This Row],[Qlty]],Lookups!$M$8:$P$22,4,FALSE)</f>
        <v>1.0019</v>
      </c>
      <c r="BG734" s="30">
        <f>VLOOKUP(Inventory[[#This Row],[Cnd]],Lookups!$R$8:$U$17,4,FALSE)</f>
        <v>0.997</v>
      </c>
      <c r="BH734" s="30">
        <f>VLOOKUP(Inventory[[#This Row],[LivArea Range]],Lookups!$R$25:$U$43,4,FALSE)</f>
        <v>1.0008999999999999</v>
      </c>
      <c r="BI734" s="30">
        <f>VLOOKUP(Inventory[[#This Row],[Decade]],Lookups!$M$24:$P$40,4,FALSE)</f>
        <v>1.0024</v>
      </c>
      <c r="BJ734" s="30">
        <f>Inventory[[#This Row],[Nbhd Adj]]*0.95</f>
        <v>0.94971499999999998</v>
      </c>
      <c r="BK734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34" s="30">
        <f>ROUND((SUM(Inventory[[#This Row],[Mdl Qlty]:[Mdl Garage Area]])+Inventory[[#This Row],[Mdl Res Intercept]])*Inventory[[#This Row],[Res Adj ]],-2)</f>
        <v>327600</v>
      </c>
      <c r="BM734" s="30">
        <f>ROUND(Inventory[[#This Row],[25Det]]*Inventory[[#This Row],[Det/Nbhd Adj]],-2)</f>
        <v>0</v>
      </c>
      <c r="BN734" s="30">
        <f>Inventory[[#This Row],[Adjusted Res]]+Inventory[[#This Row],[Adj Det ]]</f>
        <v>327600</v>
      </c>
      <c r="BO734" s="30">
        <f>ROUND((Inventory[[#This Row],[Mdl Land Intercept]]+Inventory[[#This Row],[Mdl LnAcres]])*Inventory[[#This Row],[Det/Nbhd Adj]],-2)</f>
        <v>61100</v>
      </c>
      <c r="BP734" s="30">
        <f>Inventory[[#This Row],[Adjusted Impr Total]]+Inventory[[#This Row],[Adjusted Land Total]]</f>
        <v>388700</v>
      </c>
      <c r="BQ734" s="30">
        <f>IFERROR((Inventory[[#This Row],[Adjusted Impr Total]]-Inventory[[#This Row],[24Bldg]])/Inventory[[#This Row],[24Bldg]],0)</f>
        <v>-6.7463706233988049E-2</v>
      </c>
      <c r="BR734" s="43">
        <f>(Inventory[[#This Row],[Adjusted Land Total]]-Inventory[[#This Row],[24Lnd]])/Inventory[[#This Row],[24Lnd]]</f>
        <v>4.9342105263157892E-3</v>
      </c>
      <c r="BS734" s="43">
        <f>(Inventory[[#This Row],[Adjusted Total]]-Inventory[[#This Row],[24Final]])/Inventory[[#This Row],[24Final]]</f>
        <v>-5.6782334384858045E-2</v>
      </c>
    </row>
    <row r="735" spans="1:71">
      <c r="A735" s="30">
        <v>2025</v>
      </c>
      <c r="B735" s="31" t="s">
        <v>1250</v>
      </c>
      <c r="C735" s="31">
        <f>LN(Inventory[[#This Row],[Acres]])</f>
        <v>-1.8325814637483102</v>
      </c>
      <c r="D735" s="30">
        <v>0.16</v>
      </c>
      <c r="E735" s="30">
        <v>6954</v>
      </c>
      <c r="F735" s="31" t="s">
        <v>505</v>
      </c>
      <c r="G735" s="31" t="s">
        <v>155</v>
      </c>
      <c r="H735" s="31" t="s">
        <v>5</v>
      </c>
      <c r="I735" s="31" t="s">
        <v>506</v>
      </c>
      <c r="J735" s="31" t="s">
        <v>507</v>
      </c>
      <c r="K735" s="31" t="s">
        <v>193</v>
      </c>
      <c r="L735" s="31" t="s">
        <v>19</v>
      </c>
      <c r="M735" s="31" t="s">
        <v>22</v>
      </c>
      <c r="N735" s="31">
        <v>10</v>
      </c>
      <c r="O735" s="31">
        <f>2024-Inventory[[#This Row],[YrBlt]]</f>
        <v>19</v>
      </c>
      <c r="P735" s="31">
        <f>2024-Inventory[[#This Row],[EffYr]]</f>
        <v>19</v>
      </c>
      <c r="Q735" s="30">
        <v>2005</v>
      </c>
      <c r="R735" s="30">
        <v>2005</v>
      </c>
      <c r="S735" s="30">
        <v>1380</v>
      </c>
      <c r="T735" s="32"/>
      <c r="U735" s="32"/>
      <c r="V735" s="32"/>
      <c r="W735" s="32"/>
      <c r="X735" s="32">
        <f>Inventory[[#This Row],[Bsmt Area]]-Inventory[[#This Row],[FnBsmt]]</f>
        <v>0</v>
      </c>
      <c r="Y735" s="32">
        <f>Inventory[[#This Row],[MainFn]]+Inventory[[#This Row],[UpprFn]]+Inventory[[#This Row],[AddFn]]+Inventory[[#This Row],[FnBsmt]]</f>
        <v>1380</v>
      </c>
      <c r="Z735" s="32">
        <v>1500</v>
      </c>
      <c r="AA735" s="31" t="s">
        <v>56</v>
      </c>
      <c r="AB735" s="32"/>
      <c r="AC735" s="30">
        <v>428</v>
      </c>
      <c r="AD735" s="32"/>
      <c r="AE735" s="32"/>
      <c r="AF735" s="32"/>
      <c r="AG735" s="32"/>
      <c r="AH735" s="32"/>
      <c r="AI735" s="30">
        <v>283625</v>
      </c>
      <c r="AJ735" s="30">
        <v>258099</v>
      </c>
      <c r="AK735" s="30">
        <v>0</v>
      </c>
      <c r="AL735" s="30">
        <v>0</v>
      </c>
      <c r="AM735" s="30">
        <v>60800</v>
      </c>
      <c r="AN735" s="30">
        <v>320500</v>
      </c>
      <c r="AO735" s="30">
        <v>381300</v>
      </c>
      <c r="AP735" s="30">
        <f>Lookups!$B$58*0.6</f>
        <v>132535.48800000001</v>
      </c>
      <c r="AQ735" s="30">
        <f>Lookups!$B$58*0.4</f>
        <v>88356.992000000013</v>
      </c>
      <c r="AR735" s="30">
        <f>Lookups!$B$59*Inventory[[#This Row],[LnAcres]]</f>
        <v>-24051.387388882686</v>
      </c>
      <c r="AS735" s="30">
        <f>VLOOKUP(Inventory[[#This Row],[Qlty]],Lookups!$A$66:$E$79,2,FALSE)</f>
        <v>37154.252388000001</v>
      </c>
      <c r="AT735" s="30">
        <f>VLOOKUP(Inventory[[#This Row],[Cnd]],Lookups!$A$80:$E$88,2,FALSE)</f>
        <v>50438.379078999998</v>
      </c>
      <c r="AU735" s="30">
        <f>Inventory[[#This Row],[EffAge]]*Lookups!$B$65</f>
        <v>-2066.0808999999999</v>
      </c>
      <c r="AV735" s="30">
        <f>Inventory[[#This Row],[MainFn]]*Lookups!$B$90</f>
        <v>86126.324399999998</v>
      </c>
      <c r="AW735" s="30">
        <f>Inventory[[#This Row],[UpprFn]]*Lookups!$B$91</f>
        <v>0</v>
      </c>
      <c r="AX735" s="30">
        <f>Inventory[[#This Row],[Bsmt Area]]*Lookups!$B$95</f>
        <v>0</v>
      </c>
      <c r="AY735" s="30">
        <f>Inventory[[#This Row],[AttGar]]*Lookups!$B$93</f>
        <v>15108.841268</v>
      </c>
      <c r="AZ735" s="30">
        <f>ROUND(Inventory[[#This Row],[25Det]],-2)</f>
        <v>0</v>
      </c>
      <c r="BA735" s="30">
        <f>ROUND(SUM(Inventory[[#This Row],[Mdl Qlty]:[Mdl Garage Area]])+Inventory[[#This Row],[Mdl Res Intercept]],-2)</f>
        <v>319300</v>
      </c>
      <c r="BB735" s="30">
        <f>ROUND(Inventory[[#This Row],[Mdl Land Intercept]]+Inventory[[#This Row],[Mdl LnAcres]],-2)</f>
        <v>64300</v>
      </c>
      <c r="BC735" s="30">
        <f>Inventory[[#This Row],[Unadj Res Value]]+Inventory[[#This Row],[Unadj Det Value]]+Inventory[[#This Row],[Unadj Land Value]]</f>
        <v>383600</v>
      </c>
      <c r="BD735" s="30">
        <f>(Inventory[[#This Row],[Unadj Total Value]]-Inventory[[#This Row],[24Final]])/Inventory[[#This Row],[24Final]]</f>
        <v>6.031995803829006E-3</v>
      </c>
      <c r="BE735" s="30">
        <f>VLOOKUP(Inventory[[#This Row],[Nbhd]],Lookups!$M$3:$P$5,4,FALSE)</f>
        <v>0.99970000000000003</v>
      </c>
      <c r="BF735" s="30">
        <f>VLOOKUP(Inventory[[#This Row],[Qlty]],Lookups!$M$8:$P$22,4,FALSE)</f>
        <v>0.99819999999999998</v>
      </c>
      <c r="BG735" s="30">
        <f>VLOOKUP(Inventory[[#This Row],[Cnd]],Lookups!$R$8:$U$17,4,FALSE)</f>
        <v>1.0007999999999999</v>
      </c>
      <c r="BH735" s="30">
        <f>VLOOKUP(Inventory[[#This Row],[LivArea Range]],Lookups!$R$25:$U$43,4,FALSE)</f>
        <v>0.99519999999999997</v>
      </c>
      <c r="BI735" s="30">
        <f>VLOOKUP(Inventory[[#This Row],[Decade]],Lookups!$M$24:$P$40,4,FALSE)</f>
        <v>1.0024</v>
      </c>
      <c r="BJ735" s="30">
        <f>Inventory[[#This Row],[Nbhd Adj]]*0.95</f>
        <v>0.94971499999999998</v>
      </c>
      <c r="BK735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735" s="30">
        <f>ROUND((SUM(Inventory[[#This Row],[Mdl Qlty]:[Mdl Garage Area]])+Inventory[[#This Row],[Mdl Res Intercept]])*Inventory[[#This Row],[Res Adj ]],-2)</f>
        <v>303100</v>
      </c>
      <c r="BM735" s="30">
        <f>ROUND(Inventory[[#This Row],[25Det]]*Inventory[[#This Row],[Det/Nbhd Adj]],-2)</f>
        <v>0</v>
      </c>
      <c r="BN735" s="30">
        <f>Inventory[[#This Row],[Adjusted Res]]+Inventory[[#This Row],[Adj Det ]]</f>
        <v>303100</v>
      </c>
      <c r="BO735" s="30">
        <f>ROUND((Inventory[[#This Row],[Mdl Land Intercept]]+Inventory[[#This Row],[Mdl LnAcres]])*Inventory[[#This Row],[Det/Nbhd Adj]],-2)</f>
        <v>61100</v>
      </c>
      <c r="BP735" s="30">
        <f>Inventory[[#This Row],[Adjusted Impr Total]]+Inventory[[#This Row],[Adjusted Land Total]]</f>
        <v>364200</v>
      </c>
      <c r="BQ735" s="30">
        <f>IFERROR((Inventory[[#This Row],[Adjusted Impr Total]]-Inventory[[#This Row],[24Bldg]])/Inventory[[#This Row],[24Bldg]],0)</f>
        <v>-5.4290171606864272E-2</v>
      </c>
      <c r="BR735" s="43">
        <f>(Inventory[[#This Row],[Adjusted Land Total]]-Inventory[[#This Row],[24Lnd]])/Inventory[[#This Row],[24Lnd]]</f>
        <v>4.9342105263157892E-3</v>
      </c>
      <c r="BS735" s="43">
        <f>(Inventory[[#This Row],[Adjusted Total]]-Inventory[[#This Row],[24Final]])/Inventory[[#This Row],[24Final]]</f>
        <v>-4.4846577498033044E-2</v>
      </c>
    </row>
    <row r="736" spans="1:71">
      <c r="A736" s="30">
        <v>2025</v>
      </c>
      <c r="B736" s="31" t="s">
        <v>1251</v>
      </c>
      <c r="C736" s="31">
        <f>LN(Inventory[[#This Row],[Acres]])</f>
        <v>-1.8325814637483102</v>
      </c>
      <c r="D736" s="30">
        <v>0.16</v>
      </c>
      <c r="E736" s="30">
        <v>6972</v>
      </c>
      <c r="F736" s="31" t="s">
        <v>505</v>
      </c>
      <c r="G736" s="31" t="s">
        <v>155</v>
      </c>
      <c r="H736" s="31" t="s">
        <v>5</v>
      </c>
      <c r="I736" s="31" t="s">
        <v>506</v>
      </c>
      <c r="J736" s="31" t="s">
        <v>507</v>
      </c>
      <c r="K736" s="31" t="s">
        <v>157</v>
      </c>
      <c r="L736" s="31" t="s">
        <v>21</v>
      </c>
      <c r="M736" s="31" t="s">
        <v>20</v>
      </c>
      <c r="N736" s="31">
        <v>10</v>
      </c>
      <c r="O736" s="31">
        <f>2024-Inventory[[#This Row],[YrBlt]]</f>
        <v>19</v>
      </c>
      <c r="P736" s="31">
        <f>2024-Inventory[[#This Row],[EffYr]]</f>
        <v>19</v>
      </c>
      <c r="Q736" s="30">
        <v>2005</v>
      </c>
      <c r="R736" s="30">
        <v>2005</v>
      </c>
      <c r="S736" s="30">
        <v>1116</v>
      </c>
      <c r="T736" s="30">
        <v>1116</v>
      </c>
      <c r="U736" s="32"/>
      <c r="V736" s="32"/>
      <c r="W736" s="32"/>
      <c r="X736" s="32">
        <f>Inventory[[#This Row],[Bsmt Area]]-Inventory[[#This Row],[FnBsmt]]</f>
        <v>0</v>
      </c>
      <c r="Y736" s="32">
        <f>Inventory[[#This Row],[MainFn]]+Inventory[[#This Row],[UpprFn]]+Inventory[[#This Row],[AddFn]]+Inventory[[#This Row],[FnBsmt]]</f>
        <v>2232</v>
      </c>
      <c r="Z736" s="32">
        <v>2500</v>
      </c>
      <c r="AA736" s="31" t="s">
        <v>56</v>
      </c>
      <c r="AB736" s="32"/>
      <c r="AC736" s="30">
        <v>440</v>
      </c>
      <c r="AD736" s="37"/>
      <c r="AE736" s="32"/>
      <c r="AF736" s="32"/>
      <c r="AG736" s="32"/>
      <c r="AH736" s="32"/>
      <c r="AI736" s="30">
        <v>447600</v>
      </c>
      <c r="AJ736" s="30">
        <v>407316</v>
      </c>
      <c r="AK736" s="30">
        <v>0</v>
      </c>
      <c r="AL736" s="30">
        <v>0</v>
      </c>
      <c r="AM736" s="30">
        <v>60800</v>
      </c>
      <c r="AN736" s="30">
        <v>347400</v>
      </c>
      <c r="AO736" s="30">
        <v>408200</v>
      </c>
      <c r="AP736" s="30">
        <f>Lookups!$B$58*0.6</f>
        <v>132535.48800000001</v>
      </c>
      <c r="AQ736" s="30">
        <f>Lookups!$B$58*0.4</f>
        <v>88356.992000000013</v>
      </c>
      <c r="AR736" s="30">
        <f>Lookups!$B$59*Inventory[[#This Row],[LnAcres]]</f>
        <v>-24051.387388882686</v>
      </c>
      <c r="AS736" s="30">
        <f>VLOOKUP(Inventory[[#This Row],[Qlty]],Lookups!$A$66:$E$79,2,FALSE)</f>
        <v>32917.849192000001</v>
      </c>
      <c r="AT736" s="30">
        <f>VLOOKUP(Inventory[[#This Row],[Cnd]],Lookups!$A$80:$E$88,2,FALSE)</f>
        <v>30300.329274</v>
      </c>
      <c r="AU736" s="30">
        <f>Inventory[[#This Row],[EffAge]]*Lookups!$B$65</f>
        <v>-2066.0808999999999</v>
      </c>
      <c r="AV736" s="30">
        <f>Inventory[[#This Row],[MainFn]]*Lookups!$B$90</f>
        <v>69649.984080000009</v>
      </c>
      <c r="AW736" s="30">
        <f>Inventory[[#This Row],[UpprFn]]*Lookups!$B$91</f>
        <v>66491.707427999994</v>
      </c>
      <c r="AX736" s="30">
        <f>Inventory[[#This Row],[Bsmt Area]]*Lookups!$B$95</f>
        <v>0</v>
      </c>
      <c r="AY736" s="30">
        <f>Inventory[[#This Row],[AttGar]]*Lookups!$B$93</f>
        <v>15532.453640000002</v>
      </c>
      <c r="AZ736" s="30">
        <f>ROUND(Inventory[[#This Row],[25Det]],-2)</f>
        <v>0</v>
      </c>
      <c r="BA736" s="30">
        <f>ROUND(SUM(Inventory[[#This Row],[Mdl Qlty]:[Mdl Garage Area]])+Inventory[[#This Row],[Mdl Res Intercept]],-2)</f>
        <v>345400</v>
      </c>
      <c r="BB736" s="30">
        <f>ROUND(Inventory[[#This Row],[Mdl Land Intercept]]+Inventory[[#This Row],[Mdl LnAcres]],-2)</f>
        <v>64300</v>
      </c>
      <c r="BC736" s="30">
        <f>Inventory[[#This Row],[Unadj Res Value]]+Inventory[[#This Row],[Unadj Det Value]]+Inventory[[#This Row],[Unadj Land Value]]</f>
        <v>409700</v>
      </c>
      <c r="BD736" s="30">
        <f>(Inventory[[#This Row],[Unadj Total Value]]-Inventory[[#This Row],[24Final]])/Inventory[[#This Row],[24Final]]</f>
        <v>3.6746692797648213E-3</v>
      </c>
      <c r="BE736" s="30">
        <f>VLOOKUP(Inventory[[#This Row],[Nbhd]],Lookups!$M$3:$P$5,4,FALSE)</f>
        <v>0.99970000000000003</v>
      </c>
      <c r="BF736" s="30">
        <f>VLOOKUP(Inventory[[#This Row],[Qlty]],Lookups!$M$8:$P$22,4,FALSE)</f>
        <v>1.0019</v>
      </c>
      <c r="BG736" s="30">
        <f>VLOOKUP(Inventory[[#This Row],[Cnd]],Lookups!$R$8:$U$17,4,FALSE)</f>
        <v>0.997</v>
      </c>
      <c r="BH736" s="30">
        <f>VLOOKUP(Inventory[[#This Row],[LivArea Range]],Lookups!$R$25:$U$43,4,FALSE)</f>
        <v>1.0008999999999999</v>
      </c>
      <c r="BI736" s="30">
        <f>VLOOKUP(Inventory[[#This Row],[Decade]],Lookups!$M$24:$P$40,4,FALSE)</f>
        <v>1.0024</v>
      </c>
      <c r="BJ736" s="30">
        <f>Inventory[[#This Row],[Nbhd Adj]]*0.95</f>
        <v>0.94971499999999998</v>
      </c>
      <c r="BK736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36" s="30">
        <f>ROUND((SUM(Inventory[[#This Row],[Mdl Qlty]:[Mdl Garage Area]])+Inventory[[#This Row],[Mdl Res Intercept]])*Inventory[[#This Row],[Res Adj ]],-2)</f>
        <v>328200</v>
      </c>
      <c r="BM736" s="30">
        <f>ROUND(Inventory[[#This Row],[25Det]]*Inventory[[#This Row],[Det/Nbhd Adj]],-2)</f>
        <v>0</v>
      </c>
      <c r="BN736" s="30">
        <f>Inventory[[#This Row],[Adjusted Res]]+Inventory[[#This Row],[Adj Det ]]</f>
        <v>328200</v>
      </c>
      <c r="BO736" s="30">
        <f>ROUND((Inventory[[#This Row],[Mdl Land Intercept]]+Inventory[[#This Row],[Mdl LnAcres]])*Inventory[[#This Row],[Det/Nbhd Adj]],-2)</f>
        <v>61100</v>
      </c>
      <c r="BP736" s="30">
        <f>Inventory[[#This Row],[Adjusted Impr Total]]+Inventory[[#This Row],[Adjusted Land Total]]</f>
        <v>389300</v>
      </c>
      <c r="BQ736" s="30">
        <f>IFERROR((Inventory[[#This Row],[Adjusted Impr Total]]-Inventory[[#This Row],[24Bldg]])/Inventory[[#This Row],[24Bldg]],0)</f>
        <v>-5.5267702936096716E-2</v>
      </c>
      <c r="BR736" s="43">
        <f>(Inventory[[#This Row],[Adjusted Land Total]]-Inventory[[#This Row],[24Lnd]])/Inventory[[#This Row],[24Lnd]]</f>
        <v>4.9342105263157892E-3</v>
      </c>
      <c r="BS736" s="43">
        <f>(Inventory[[#This Row],[Adjusted Total]]-Inventory[[#This Row],[24Final]])/Inventory[[#This Row],[24Final]]</f>
        <v>-4.6300832925036749E-2</v>
      </c>
    </row>
    <row r="737" spans="1:71">
      <c r="A737" s="30">
        <v>2025</v>
      </c>
      <c r="B737" s="31" t="s">
        <v>1252</v>
      </c>
      <c r="C737" s="31">
        <f>LN(Inventory[[#This Row],[Acres]])</f>
        <v>-1.8325814637483102</v>
      </c>
      <c r="D737" s="30">
        <v>0.16</v>
      </c>
      <c r="E737" s="30">
        <v>6902</v>
      </c>
      <c r="F737" s="31" t="s">
        <v>505</v>
      </c>
      <c r="G737" s="31" t="s">
        <v>155</v>
      </c>
      <c r="H737" s="31" t="s">
        <v>5</v>
      </c>
      <c r="I737" s="31" t="s">
        <v>506</v>
      </c>
      <c r="J737" s="31" t="s">
        <v>507</v>
      </c>
      <c r="K737" s="31" t="s">
        <v>157</v>
      </c>
      <c r="L737" s="31" t="s">
        <v>21</v>
      </c>
      <c r="M737" s="31" t="s">
        <v>22</v>
      </c>
      <c r="N737" s="31">
        <v>10</v>
      </c>
      <c r="O737" s="31">
        <f>2024-Inventory[[#This Row],[YrBlt]]</f>
        <v>19</v>
      </c>
      <c r="P737" s="31">
        <f>2024-Inventory[[#This Row],[EffYr]]</f>
        <v>19</v>
      </c>
      <c r="Q737" s="30">
        <v>2005</v>
      </c>
      <c r="R737" s="30">
        <v>2005</v>
      </c>
      <c r="S737" s="30">
        <v>1116</v>
      </c>
      <c r="T737" s="30">
        <v>1116</v>
      </c>
      <c r="U737" s="32"/>
      <c r="V737" s="32"/>
      <c r="W737" s="32"/>
      <c r="X737" s="32">
        <f>Inventory[[#This Row],[Bsmt Area]]-Inventory[[#This Row],[FnBsmt]]</f>
        <v>0</v>
      </c>
      <c r="Y737" s="32">
        <f>Inventory[[#This Row],[MainFn]]+Inventory[[#This Row],[UpprFn]]+Inventory[[#This Row],[AddFn]]+Inventory[[#This Row],[FnBsmt]]</f>
        <v>2232</v>
      </c>
      <c r="Z737" s="32">
        <v>2500</v>
      </c>
      <c r="AA737" s="31" t="s">
        <v>56</v>
      </c>
      <c r="AB737" s="32"/>
      <c r="AC737" s="30">
        <v>716</v>
      </c>
      <c r="AD737" s="37"/>
      <c r="AE737" s="32"/>
      <c r="AF737" s="32"/>
      <c r="AG737" s="32"/>
      <c r="AH737" s="32"/>
      <c r="AI737" s="30">
        <v>468968</v>
      </c>
      <c r="AJ737" s="30">
        <v>426761</v>
      </c>
      <c r="AK737" s="30">
        <v>0</v>
      </c>
      <c r="AL737" s="30">
        <v>0</v>
      </c>
      <c r="AM737" s="30">
        <v>60800</v>
      </c>
      <c r="AN737" s="30">
        <v>377300</v>
      </c>
      <c r="AO737" s="30">
        <v>438100</v>
      </c>
      <c r="AP737" s="30">
        <f>Lookups!$B$58*0.6</f>
        <v>132535.48800000001</v>
      </c>
      <c r="AQ737" s="30">
        <f>Lookups!$B$58*0.4</f>
        <v>88356.992000000013</v>
      </c>
      <c r="AR737" s="30">
        <f>Lookups!$B$59*Inventory[[#This Row],[LnAcres]]</f>
        <v>-24051.387388882686</v>
      </c>
      <c r="AS737" s="30">
        <f>VLOOKUP(Inventory[[#This Row],[Qlty]],Lookups!$A$66:$E$79,2,FALSE)</f>
        <v>32917.849192000001</v>
      </c>
      <c r="AT737" s="30">
        <f>VLOOKUP(Inventory[[#This Row],[Cnd]],Lookups!$A$80:$E$88,2,FALSE)</f>
        <v>50438.379078999998</v>
      </c>
      <c r="AU737" s="30">
        <f>Inventory[[#This Row],[EffAge]]*Lookups!$B$65</f>
        <v>-2066.0808999999999</v>
      </c>
      <c r="AV737" s="30">
        <f>Inventory[[#This Row],[MainFn]]*Lookups!$B$90</f>
        <v>69649.984080000009</v>
      </c>
      <c r="AW737" s="30">
        <f>Inventory[[#This Row],[UpprFn]]*Lookups!$B$91</f>
        <v>66491.707427999994</v>
      </c>
      <c r="AX737" s="30">
        <f>Inventory[[#This Row],[Bsmt Area]]*Lookups!$B$95</f>
        <v>0</v>
      </c>
      <c r="AY737" s="30">
        <f>Inventory[[#This Row],[AttGar]]*Lookups!$B$93</f>
        <v>25275.538196000001</v>
      </c>
      <c r="AZ737" s="30">
        <f>ROUND(Inventory[[#This Row],[25Det]],-2)</f>
        <v>0</v>
      </c>
      <c r="BA737" s="30">
        <f>ROUND(SUM(Inventory[[#This Row],[Mdl Qlty]:[Mdl Garage Area]])+Inventory[[#This Row],[Mdl Res Intercept]],-2)</f>
        <v>375200</v>
      </c>
      <c r="BB737" s="30">
        <f>ROUND(Inventory[[#This Row],[Mdl Land Intercept]]+Inventory[[#This Row],[Mdl LnAcres]],-2)</f>
        <v>64300</v>
      </c>
      <c r="BC737" s="30">
        <f>Inventory[[#This Row],[Unadj Res Value]]+Inventory[[#This Row],[Unadj Det Value]]+Inventory[[#This Row],[Unadj Land Value]]</f>
        <v>439500</v>
      </c>
      <c r="BD737" s="30">
        <f>(Inventory[[#This Row],[Unadj Total Value]]-Inventory[[#This Row],[24Final]])/Inventory[[#This Row],[24Final]]</f>
        <v>3.195617438940881E-3</v>
      </c>
      <c r="BE737" s="30">
        <f>VLOOKUP(Inventory[[#This Row],[Nbhd]],Lookups!$M$3:$P$5,4,FALSE)</f>
        <v>0.99970000000000003</v>
      </c>
      <c r="BF737" s="30">
        <f>VLOOKUP(Inventory[[#This Row],[Qlty]],Lookups!$M$8:$P$22,4,FALSE)</f>
        <v>1.0019</v>
      </c>
      <c r="BG737" s="30">
        <f>VLOOKUP(Inventory[[#This Row],[Cnd]],Lookups!$R$8:$U$17,4,FALSE)</f>
        <v>1.0007999999999999</v>
      </c>
      <c r="BH737" s="30">
        <f>VLOOKUP(Inventory[[#This Row],[LivArea Range]],Lookups!$R$25:$U$43,4,FALSE)</f>
        <v>1.0008999999999999</v>
      </c>
      <c r="BI737" s="30">
        <f>VLOOKUP(Inventory[[#This Row],[Decade]],Lookups!$M$24:$P$40,4,FALSE)</f>
        <v>1.0024</v>
      </c>
      <c r="BJ737" s="30">
        <f>Inventory[[#This Row],[Nbhd Adj]]*0.95</f>
        <v>0.94971499999999998</v>
      </c>
      <c r="BK737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737" s="30">
        <f>ROUND((SUM(Inventory[[#This Row],[Mdl Qlty]:[Mdl Garage Area]])+Inventory[[#This Row],[Mdl Res Intercept]])*Inventory[[#This Row],[Res Adj ]],-2)</f>
        <v>356900</v>
      </c>
      <c r="BM737" s="30">
        <f>ROUND(Inventory[[#This Row],[25Det]]*Inventory[[#This Row],[Det/Nbhd Adj]],-2)</f>
        <v>0</v>
      </c>
      <c r="BN737" s="30">
        <f>Inventory[[#This Row],[Adjusted Res]]+Inventory[[#This Row],[Adj Det ]]</f>
        <v>356900</v>
      </c>
      <c r="BO737" s="30">
        <f>ROUND((Inventory[[#This Row],[Mdl Land Intercept]]+Inventory[[#This Row],[Mdl LnAcres]])*Inventory[[#This Row],[Det/Nbhd Adj]],-2)</f>
        <v>61100</v>
      </c>
      <c r="BP737" s="30">
        <f>Inventory[[#This Row],[Adjusted Impr Total]]+Inventory[[#This Row],[Adjusted Land Total]]</f>
        <v>418000</v>
      </c>
      <c r="BQ737" s="30">
        <f>IFERROR((Inventory[[#This Row],[Adjusted Impr Total]]-Inventory[[#This Row],[24Bldg]])/Inventory[[#This Row],[24Bldg]],0)</f>
        <v>-5.4068380598992841E-2</v>
      </c>
      <c r="BR737" s="43">
        <f>(Inventory[[#This Row],[Adjusted Land Total]]-Inventory[[#This Row],[24Lnd]])/Inventory[[#This Row],[24Lnd]]</f>
        <v>4.9342105263157892E-3</v>
      </c>
      <c r="BS737" s="43">
        <f>(Inventory[[#This Row],[Adjusted Total]]-Inventory[[#This Row],[24Final]])/Inventory[[#This Row],[24Final]]</f>
        <v>-4.5879936087651223E-2</v>
      </c>
    </row>
    <row r="738" spans="1:71">
      <c r="A738" s="30">
        <v>2025</v>
      </c>
      <c r="B738" s="31" t="s">
        <v>1253</v>
      </c>
      <c r="C738" s="31">
        <f>LN(Inventory[[#This Row],[Acres]])</f>
        <v>-1.8325814637483102</v>
      </c>
      <c r="D738" s="30">
        <v>0.16</v>
      </c>
      <c r="E738" s="30">
        <v>6794</v>
      </c>
      <c r="F738" s="31" t="s">
        <v>505</v>
      </c>
      <c r="G738" s="31" t="s">
        <v>155</v>
      </c>
      <c r="H738" s="31" t="s">
        <v>5</v>
      </c>
      <c r="I738" s="31" t="s">
        <v>506</v>
      </c>
      <c r="J738" s="31" t="s">
        <v>507</v>
      </c>
      <c r="K738" s="31" t="s">
        <v>193</v>
      </c>
      <c r="L738" s="31" t="s">
        <v>19</v>
      </c>
      <c r="M738" s="31" t="s">
        <v>20</v>
      </c>
      <c r="N738" s="31">
        <v>10</v>
      </c>
      <c r="O738" s="31">
        <f>2024-Inventory[[#This Row],[YrBlt]]</f>
        <v>19</v>
      </c>
      <c r="P738" s="31">
        <f>2024-Inventory[[#This Row],[EffYr]]</f>
        <v>19</v>
      </c>
      <c r="Q738" s="30">
        <v>2005</v>
      </c>
      <c r="R738" s="30">
        <v>2005</v>
      </c>
      <c r="S738" s="30">
        <v>1092</v>
      </c>
      <c r="T738" s="37"/>
      <c r="U738" s="32"/>
      <c r="V738" s="32"/>
      <c r="W738" s="32"/>
      <c r="X738" s="32">
        <f>Inventory[[#This Row],[Bsmt Area]]-Inventory[[#This Row],[FnBsmt]]</f>
        <v>0</v>
      </c>
      <c r="Y738" s="32">
        <f>Inventory[[#This Row],[MainFn]]+Inventory[[#This Row],[UpprFn]]+Inventory[[#This Row],[AddFn]]+Inventory[[#This Row],[FnBsmt]]</f>
        <v>1092</v>
      </c>
      <c r="Z738" s="32">
        <v>1500</v>
      </c>
      <c r="AA738" s="31" t="s">
        <v>56</v>
      </c>
      <c r="AB738" s="32"/>
      <c r="AC738" s="30">
        <v>680</v>
      </c>
      <c r="AD738" s="37"/>
      <c r="AE738" s="32"/>
      <c r="AF738" s="32"/>
      <c r="AG738" s="32"/>
      <c r="AH738" s="32"/>
      <c r="AI738" s="30">
        <v>240560</v>
      </c>
      <c r="AJ738" s="30">
        <v>218910</v>
      </c>
      <c r="AK738" s="30">
        <v>0</v>
      </c>
      <c r="AL738" s="30">
        <v>0</v>
      </c>
      <c r="AM738" s="30">
        <v>60800</v>
      </c>
      <c r="AN738" s="30">
        <v>287100</v>
      </c>
      <c r="AO738" s="30">
        <v>347900</v>
      </c>
      <c r="AP738" s="30">
        <f>Lookups!$B$58*0.6</f>
        <v>132535.48800000001</v>
      </c>
      <c r="AQ738" s="30">
        <f>Lookups!$B$58*0.4</f>
        <v>88356.992000000013</v>
      </c>
      <c r="AR738" s="30">
        <f>Lookups!$B$59*Inventory[[#This Row],[LnAcres]]</f>
        <v>-24051.387388882686</v>
      </c>
      <c r="AS738" s="30">
        <f>VLOOKUP(Inventory[[#This Row],[Qlty]],Lookups!$A$66:$E$79,2,FALSE)</f>
        <v>37154.252388000001</v>
      </c>
      <c r="AT738" s="30">
        <f>VLOOKUP(Inventory[[#This Row],[Cnd]],Lookups!$A$80:$E$88,2,FALSE)</f>
        <v>30300.329274</v>
      </c>
      <c r="AU738" s="30">
        <f>Inventory[[#This Row],[EffAge]]*Lookups!$B$65</f>
        <v>-2066.0808999999999</v>
      </c>
      <c r="AV738" s="30">
        <f>Inventory[[#This Row],[MainFn]]*Lookups!$B$90</f>
        <v>68152.13496000001</v>
      </c>
      <c r="AW738" s="30">
        <f>Inventory[[#This Row],[UpprFn]]*Lookups!$B$91</f>
        <v>0</v>
      </c>
      <c r="AX738" s="30">
        <f>Inventory[[#This Row],[Bsmt Area]]*Lookups!$B$95</f>
        <v>0</v>
      </c>
      <c r="AY738" s="30">
        <f>Inventory[[#This Row],[AttGar]]*Lookups!$B$93</f>
        <v>24004.701080000003</v>
      </c>
      <c r="AZ738" s="30">
        <f>ROUND(Inventory[[#This Row],[25Det]],-2)</f>
        <v>0</v>
      </c>
      <c r="BA738" s="30">
        <f>ROUND(SUM(Inventory[[#This Row],[Mdl Qlty]:[Mdl Garage Area]])+Inventory[[#This Row],[Mdl Res Intercept]],-2)</f>
        <v>290100</v>
      </c>
      <c r="BB738" s="30">
        <f>ROUND(Inventory[[#This Row],[Mdl Land Intercept]]+Inventory[[#This Row],[Mdl LnAcres]],-2)</f>
        <v>64300</v>
      </c>
      <c r="BC738" s="30">
        <f>Inventory[[#This Row],[Unadj Res Value]]+Inventory[[#This Row],[Unadj Det Value]]+Inventory[[#This Row],[Unadj Land Value]]</f>
        <v>354400</v>
      </c>
      <c r="BD738" s="30">
        <f>(Inventory[[#This Row],[Unadj Total Value]]-Inventory[[#This Row],[24Final]])/Inventory[[#This Row],[24Final]]</f>
        <v>1.8683529749928141E-2</v>
      </c>
      <c r="BE738" s="30">
        <f>VLOOKUP(Inventory[[#This Row],[Nbhd]],Lookups!$M$3:$P$5,4,FALSE)</f>
        <v>0.99970000000000003</v>
      </c>
      <c r="BF738" s="30">
        <f>VLOOKUP(Inventory[[#This Row],[Qlty]],Lookups!$M$8:$P$22,4,FALSE)</f>
        <v>0.99819999999999998</v>
      </c>
      <c r="BG738" s="30">
        <f>VLOOKUP(Inventory[[#This Row],[Cnd]],Lookups!$R$8:$U$17,4,FALSE)</f>
        <v>0.997</v>
      </c>
      <c r="BH738" s="30">
        <f>VLOOKUP(Inventory[[#This Row],[LivArea Range]],Lookups!$R$25:$U$43,4,FALSE)</f>
        <v>0.99519999999999997</v>
      </c>
      <c r="BI738" s="30">
        <f>VLOOKUP(Inventory[[#This Row],[Decade]],Lookups!$M$24:$P$40,4,FALSE)</f>
        <v>1.0024</v>
      </c>
      <c r="BJ738" s="30">
        <f>Inventory[[#This Row],[Nbhd Adj]]*0.95</f>
        <v>0.94971499999999998</v>
      </c>
      <c r="BK738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738" s="30">
        <f>ROUND((SUM(Inventory[[#This Row],[Mdl Qlty]:[Mdl Garage Area]])+Inventory[[#This Row],[Mdl Res Intercept]])*Inventory[[#This Row],[Res Adj ]],-2)</f>
        <v>275200</v>
      </c>
      <c r="BM738" s="30">
        <f>ROUND(Inventory[[#This Row],[25Det]]*Inventory[[#This Row],[Det/Nbhd Adj]],-2)</f>
        <v>0</v>
      </c>
      <c r="BN738" s="30">
        <f>Inventory[[#This Row],[Adjusted Res]]+Inventory[[#This Row],[Adj Det ]]</f>
        <v>275200</v>
      </c>
      <c r="BO738" s="30">
        <f>ROUND((Inventory[[#This Row],[Mdl Land Intercept]]+Inventory[[#This Row],[Mdl LnAcres]])*Inventory[[#This Row],[Det/Nbhd Adj]],-2)</f>
        <v>61100</v>
      </c>
      <c r="BP738" s="30">
        <f>Inventory[[#This Row],[Adjusted Impr Total]]+Inventory[[#This Row],[Adjusted Land Total]]</f>
        <v>336300</v>
      </c>
      <c r="BQ738" s="30">
        <f>IFERROR((Inventory[[#This Row],[Adjusted Impr Total]]-Inventory[[#This Row],[24Bldg]])/Inventory[[#This Row],[24Bldg]],0)</f>
        <v>-4.1448972483455242E-2</v>
      </c>
      <c r="BR738" s="43">
        <f>(Inventory[[#This Row],[Adjusted Land Total]]-Inventory[[#This Row],[24Lnd]])/Inventory[[#This Row],[24Lnd]]</f>
        <v>4.9342105263157892E-3</v>
      </c>
      <c r="BS738" s="43">
        <f>(Inventory[[#This Row],[Adjusted Total]]-Inventory[[#This Row],[24Final]])/Inventory[[#This Row],[24Final]]</f>
        <v>-3.3342914630640992E-2</v>
      </c>
    </row>
    <row r="739" spans="1:71">
      <c r="A739" s="30">
        <v>2025</v>
      </c>
      <c r="B739" s="31" t="s">
        <v>1254</v>
      </c>
      <c r="C739" s="31">
        <f>LN(Inventory[[#This Row],[Acres]])</f>
        <v>-1.8325814637483102</v>
      </c>
      <c r="D739" s="30">
        <v>0.16</v>
      </c>
      <c r="E739" s="30">
        <v>6998</v>
      </c>
      <c r="F739" s="31" t="s">
        <v>505</v>
      </c>
      <c r="G739" s="31" t="s">
        <v>155</v>
      </c>
      <c r="H739" s="31" t="s">
        <v>5</v>
      </c>
      <c r="I739" s="31" t="s">
        <v>506</v>
      </c>
      <c r="J739" s="31" t="s">
        <v>507</v>
      </c>
      <c r="K739" s="31" t="s">
        <v>193</v>
      </c>
      <c r="L739" s="31" t="s">
        <v>19</v>
      </c>
      <c r="M739" s="31" t="s">
        <v>20</v>
      </c>
      <c r="N739" s="31">
        <v>10</v>
      </c>
      <c r="O739" s="31">
        <f>2024-Inventory[[#This Row],[YrBlt]]</f>
        <v>19</v>
      </c>
      <c r="P739" s="31">
        <f>2024-Inventory[[#This Row],[EffYr]]</f>
        <v>19</v>
      </c>
      <c r="Q739" s="30">
        <v>2005</v>
      </c>
      <c r="R739" s="30">
        <v>2005</v>
      </c>
      <c r="S739" s="30">
        <v>1076</v>
      </c>
      <c r="T739" s="32"/>
      <c r="U739" s="32"/>
      <c r="V739" s="32"/>
      <c r="W739" s="32"/>
      <c r="X739" s="32">
        <f>Inventory[[#This Row],[Bsmt Area]]-Inventory[[#This Row],[FnBsmt]]</f>
        <v>0</v>
      </c>
      <c r="Y739" s="32">
        <f>Inventory[[#This Row],[MainFn]]+Inventory[[#This Row],[UpprFn]]+Inventory[[#This Row],[AddFn]]+Inventory[[#This Row],[FnBsmt]]</f>
        <v>1076</v>
      </c>
      <c r="Z739" s="32">
        <v>1500</v>
      </c>
      <c r="AA739" s="31" t="s">
        <v>56</v>
      </c>
      <c r="AB739" s="32"/>
      <c r="AC739" s="30">
        <v>440</v>
      </c>
      <c r="AD739" s="32"/>
      <c r="AE739" s="32"/>
      <c r="AF739" s="32"/>
      <c r="AG739" s="32"/>
      <c r="AH739" s="32"/>
      <c r="AI739" s="30">
        <v>229055</v>
      </c>
      <c r="AJ739" s="30">
        <v>208440</v>
      </c>
      <c r="AK739" s="30">
        <v>0</v>
      </c>
      <c r="AL739" s="30">
        <v>0</v>
      </c>
      <c r="AM739" s="30">
        <v>60800</v>
      </c>
      <c r="AN739" s="30">
        <v>275800</v>
      </c>
      <c r="AO739" s="30">
        <v>336600</v>
      </c>
      <c r="AP739" s="30">
        <f>Lookups!$B$58*0.6</f>
        <v>132535.48800000001</v>
      </c>
      <c r="AQ739" s="30">
        <f>Lookups!$B$58*0.4</f>
        <v>88356.992000000013</v>
      </c>
      <c r="AR739" s="30">
        <f>Lookups!$B$59*Inventory[[#This Row],[LnAcres]]</f>
        <v>-24051.387388882686</v>
      </c>
      <c r="AS739" s="30">
        <f>VLOOKUP(Inventory[[#This Row],[Qlty]],Lookups!$A$66:$E$79,2,FALSE)</f>
        <v>37154.252388000001</v>
      </c>
      <c r="AT739" s="30">
        <f>VLOOKUP(Inventory[[#This Row],[Cnd]],Lookups!$A$80:$E$88,2,FALSE)</f>
        <v>30300.329274</v>
      </c>
      <c r="AU739" s="30">
        <f>Inventory[[#This Row],[EffAge]]*Lookups!$B$65</f>
        <v>-2066.0808999999999</v>
      </c>
      <c r="AV739" s="30">
        <f>Inventory[[#This Row],[MainFn]]*Lookups!$B$90</f>
        <v>67153.568880000006</v>
      </c>
      <c r="AW739" s="30">
        <f>Inventory[[#This Row],[UpprFn]]*Lookups!$B$91</f>
        <v>0</v>
      </c>
      <c r="AX739" s="30">
        <f>Inventory[[#This Row],[Bsmt Area]]*Lookups!$B$95</f>
        <v>0</v>
      </c>
      <c r="AY739" s="30">
        <f>Inventory[[#This Row],[AttGar]]*Lookups!$B$93</f>
        <v>15532.453640000002</v>
      </c>
      <c r="AZ739" s="30">
        <f>ROUND(Inventory[[#This Row],[25Det]],-2)</f>
        <v>0</v>
      </c>
      <c r="BA739" s="30">
        <f>ROUND(SUM(Inventory[[#This Row],[Mdl Qlty]:[Mdl Garage Area]])+Inventory[[#This Row],[Mdl Res Intercept]],-2)</f>
        <v>280600</v>
      </c>
      <c r="BB739" s="30">
        <f>ROUND(Inventory[[#This Row],[Mdl Land Intercept]]+Inventory[[#This Row],[Mdl LnAcres]],-2)</f>
        <v>64300</v>
      </c>
      <c r="BC739" s="30">
        <f>Inventory[[#This Row],[Unadj Res Value]]+Inventory[[#This Row],[Unadj Det Value]]+Inventory[[#This Row],[Unadj Land Value]]</f>
        <v>344900</v>
      </c>
      <c r="BD739" s="30">
        <f>(Inventory[[#This Row],[Unadj Total Value]]-Inventory[[#This Row],[24Final]])/Inventory[[#This Row],[24Final]]</f>
        <v>2.4658348187759953E-2</v>
      </c>
      <c r="BE739" s="30">
        <f>VLOOKUP(Inventory[[#This Row],[Nbhd]],Lookups!$M$3:$P$5,4,FALSE)</f>
        <v>0.99970000000000003</v>
      </c>
      <c r="BF739" s="30">
        <f>VLOOKUP(Inventory[[#This Row],[Qlty]],Lookups!$M$8:$P$22,4,FALSE)</f>
        <v>0.99819999999999998</v>
      </c>
      <c r="BG739" s="30">
        <f>VLOOKUP(Inventory[[#This Row],[Cnd]],Lookups!$R$8:$U$17,4,FALSE)</f>
        <v>0.997</v>
      </c>
      <c r="BH739" s="30">
        <f>VLOOKUP(Inventory[[#This Row],[LivArea Range]],Lookups!$R$25:$U$43,4,FALSE)</f>
        <v>0.99519999999999997</v>
      </c>
      <c r="BI739" s="30">
        <f>VLOOKUP(Inventory[[#This Row],[Decade]],Lookups!$M$24:$P$40,4,FALSE)</f>
        <v>1.0024</v>
      </c>
      <c r="BJ739" s="30">
        <f>Inventory[[#This Row],[Nbhd Adj]]*0.95</f>
        <v>0.94971499999999998</v>
      </c>
      <c r="BK739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739" s="30">
        <f>ROUND((SUM(Inventory[[#This Row],[Mdl Qlty]:[Mdl Garage Area]])+Inventory[[#This Row],[Mdl Res Intercept]])*Inventory[[#This Row],[Res Adj ]],-2)</f>
        <v>266200</v>
      </c>
      <c r="BM739" s="30">
        <f>ROUND(Inventory[[#This Row],[25Det]]*Inventory[[#This Row],[Det/Nbhd Adj]],-2)</f>
        <v>0</v>
      </c>
      <c r="BN739" s="30">
        <f>Inventory[[#This Row],[Adjusted Res]]+Inventory[[#This Row],[Adj Det ]]</f>
        <v>266200</v>
      </c>
      <c r="BO739" s="30">
        <f>ROUND((Inventory[[#This Row],[Mdl Land Intercept]]+Inventory[[#This Row],[Mdl LnAcres]])*Inventory[[#This Row],[Det/Nbhd Adj]],-2)</f>
        <v>61100</v>
      </c>
      <c r="BP739" s="30">
        <f>Inventory[[#This Row],[Adjusted Impr Total]]+Inventory[[#This Row],[Adjusted Land Total]]</f>
        <v>327300</v>
      </c>
      <c r="BQ739" s="30">
        <f>IFERROR((Inventory[[#This Row],[Adjusted Impr Total]]-Inventory[[#This Row],[24Bldg]])/Inventory[[#This Row],[24Bldg]],0)</f>
        <v>-3.4807831762146482E-2</v>
      </c>
      <c r="BR739" s="43">
        <f>(Inventory[[#This Row],[Adjusted Land Total]]-Inventory[[#This Row],[24Lnd]])/Inventory[[#This Row],[24Lnd]]</f>
        <v>4.9342105263157892E-3</v>
      </c>
      <c r="BS739" s="43">
        <f>(Inventory[[#This Row],[Adjusted Total]]-Inventory[[#This Row],[24Final]])/Inventory[[#This Row],[24Final]]</f>
        <v>-2.7629233511586453E-2</v>
      </c>
    </row>
    <row r="740" spans="1:71">
      <c r="A740" s="30">
        <v>2025</v>
      </c>
      <c r="B740" s="31" t="s">
        <v>1255</v>
      </c>
      <c r="C740" s="31">
        <f>LN(Inventory[[#This Row],[Acres]])</f>
        <v>-1.8325814637483102</v>
      </c>
      <c r="D740" s="30">
        <v>0.16</v>
      </c>
      <c r="E740" s="30">
        <v>7013</v>
      </c>
      <c r="F740" s="31" t="s">
        <v>505</v>
      </c>
      <c r="G740" s="31" t="s">
        <v>155</v>
      </c>
      <c r="H740" s="31" t="s">
        <v>5</v>
      </c>
      <c r="I740" s="31" t="s">
        <v>506</v>
      </c>
      <c r="J740" s="31" t="s">
        <v>507</v>
      </c>
      <c r="K740" s="31" t="s">
        <v>193</v>
      </c>
      <c r="L740" s="31" t="s">
        <v>19</v>
      </c>
      <c r="M740" s="31" t="s">
        <v>20</v>
      </c>
      <c r="N740" s="31">
        <v>10</v>
      </c>
      <c r="O740" s="31">
        <f>2024-Inventory[[#This Row],[YrBlt]]</f>
        <v>19</v>
      </c>
      <c r="P740" s="31">
        <f>2024-Inventory[[#This Row],[EffYr]]</f>
        <v>19</v>
      </c>
      <c r="Q740" s="30">
        <v>2005</v>
      </c>
      <c r="R740" s="30">
        <v>2005</v>
      </c>
      <c r="S740" s="30">
        <v>1092</v>
      </c>
      <c r="T740" s="37"/>
      <c r="U740" s="32"/>
      <c r="V740" s="32"/>
      <c r="W740" s="32"/>
      <c r="X740" s="32">
        <f>Inventory[[#This Row],[Bsmt Area]]-Inventory[[#This Row],[FnBsmt]]</f>
        <v>0</v>
      </c>
      <c r="Y740" s="32">
        <f>Inventory[[#This Row],[MainFn]]+Inventory[[#This Row],[UpprFn]]+Inventory[[#This Row],[AddFn]]+Inventory[[#This Row],[FnBsmt]]</f>
        <v>1092</v>
      </c>
      <c r="Z740" s="32">
        <v>1500</v>
      </c>
      <c r="AA740" s="31" t="s">
        <v>56</v>
      </c>
      <c r="AB740" s="32"/>
      <c r="AC740" s="38">
        <v>440</v>
      </c>
      <c r="AD740" s="37"/>
      <c r="AE740" s="32"/>
      <c r="AF740" s="32"/>
      <c r="AG740" s="32"/>
      <c r="AH740" s="32"/>
      <c r="AI740" s="30">
        <v>231626</v>
      </c>
      <c r="AJ740" s="30">
        <v>210780</v>
      </c>
      <c r="AK740" s="30">
        <v>0</v>
      </c>
      <c r="AL740" s="30">
        <v>0</v>
      </c>
      <c r="AM740" s="30">
        <v>60800</v>
      </c>
      <c r="AN740" s="30">
        <v>276700</v>
      </c>
      <c r="AO740" s="30">
        <v>337500</v>
      </c>
      <c r="AP740" s="30">
        <f>Lookups!$B$58*0.6</f>
        <v>132535.48800000001</v>
      </c>
      <c r="AQ740" s="30">
        <f>Lookups!$B$58*0.4</f>
        <v>88356.992000000013</v>
      </c>
      <c r="AR740" s="30">
        <f>Lookups!$B$59*Inventory[[#This Row],[LnAcres]]</f>
        <v>-24051.387388882686</v>
      </c>
      <c r="AS740" s="30">
        <f>VLOOKUP(Inventory[[#This Row],[Qlty]],Lookups!$A$66:$E$79,2,FALSE)</f>
        <v>37154.252388000001</v>
      </c>
      <c r="AT740" s="30">
        <f>VLOOKUP(Inventory[[#This Row],[Cnd]],Lookups!$A$80:$E$88,2,FALSE)</f>
        <v>30300.329274</v>
      </c>
      <c r="AU740" s="30">
        <f>Inventory[[#This Row],[EffAge]]*Lookups!$B$65</f>
        <v>-2066.0808999999999</v>
      </c>
      <c r="AV740" s="30">
        <f>Inventory[[#This Row],[MainFn]]*Lookups!$B$90</f>
        <v>68152.13496000001</v>
      </c>
      <c r="AW740" s="30">
        <f>Inventory[[#This Row],[UpprFn]]*Lookups!$B$91</f>
        <v>0</v>
      </c>
      <c r="AX740" s="30">
        <f>Inventory[[#This Row],[Bsmt Area]]*Lookups!$B$95</f>
        <v>0</v>
      </c>
      <c r="AY740" s="30">
        <f>Inventory[[#This Row],[AttGar]]*Lookups!$B$93</f>
        <v>15532.453640000002</v>
      </c>
      <c r="AZ740" s="30">
        <f>ROUND(Inventory[[#This Row],[25Det]],-2)</f>
        <v>0</v>
      </c>
      <c r="BA740" s="30">
        <f>ROUND(SUM(Inventory[[#This Row],[Mdl Qlty]:[Mdl Garage Area]])+Inventory[[#This Row],[Mdl Res Intercept]],-2)</f>
        <v>281600</v>
      </c>
      <c r="BB740" s="30">
        <f>ROUND(Inventory[[#This Row],[Mdl Land Intercept]]+Inventory[[#This Row],[Mdl LnAcres]],-2)</f>
        <v>64300</v>
      </c>
      <c r="BC740" s="30">
        <f>Inventory[[#This Row],[Unadj Res Value]]+Inventory[[#This Row],[Unadj Det Value]]+Inventory[[#This Row],[Unadj Land Value]]</f>
        <v>345900</v>
      </c>
      <c r="BD740" s="30">
        <f>(Inventory[[#This Row],[Unadj Total Value]]-Inventory[[#This Row],[24Final]])/Inventory[[#This Row],[24Final]]</f>
        <v>2.4888888888888887E-2</v>
      </c>
      <c r="BE740" s="30">
        <f>VLOOKUP(Inventory[[#This Row],[Nbhd]],Lookups!$M$3:$P$5,4,FALSE)</f>
        <v>0.99970000000000003</v>
      </c>
      <c r="BF740" s="30">
        <f>VLOOKUP(Inventory[[#This Row],[Qlty]],Lookups!$M$8:$P$22,4,FALSE)</f>
        <v>0.99819999999999998</v>
      </c>
      <c r="BG740" s="30">
        <f>VLOOKUP(Inventory[[#This Row],[Cnd]],Lookups!$R$8:$U$17,4,FALSE)</f>
        <v>0.997</v>
      </c>
      <c r="BH740" s="30">
        <f>VLOOKUP(Inventory[[#This Row],[LivArea Range]],Lookups!$R$25:$U$43,4,FALSE)</f>
        <v>0.99519999999999997</v>
      </c>
      <c r="BI740" s="30">
        <f>VLOOKUP(Inventory[[#This Row],[Decade]],Lookups!$M$24:$P$40,4,FALSE)</f>
        <v>1.0024</v>
      </c>
      <c r="BJ740" s="30">
        <f>Inventory[[#This Row],[Nbhd Adj]]*0.95</f>
        <v>0.94971499999999998</v>
      </c>
      <c r="BK740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740" s="30">
        <f>ROUND((SUM(Inventory[[#This Row],[Mdl Qlty]:[Mdl Garage Area]])+Inventory[[#This Row],[Mdl Res Intercept]])*Inventory[[#This Row],[Res Adj ]],-2)</f>
        <v>267100</v>
      </c>
      <c r="BM740" s="30">
        <f>ROUND(Inventory[[#This Row],[25Det]]*Inventory[[#This Row],[Det/Nbhd Adj]],-2)</f>
        <v>0</v>
      </c>
      <c r="BN740" s="30">
        <f>Inventory[[#This Row],[Adjusted Res]]+Inventory[[#This Row],[Adj Det ]]</f>
        <v>267100</v>
      </c>
      <c r="BO740" s="30">
        <f>ROUND((Inventory[[#This Row],[Mdl Land Intercept]]+Inventory[[#This Row],[Mdl LnAcres]])*Inventory[[#This Row],[Det/Nbhd Adj]],-2)</f>
        <v>61100</v>
      </c>
      <c r="BP740" s="30">
        <f>Inventory[[#This Row],[Adjusted Impr Total]]+Inventory[[#This Row],[Adjusted Land Total]]</f>
        <v>328200</v>
      </c>
      <c r="BQ740" s="30">
        <f>IFERROR((Inventory[[#This Row],[Adjusted Impr Total]]-Inventory[[#This Row],[24Bldg]])/Inventory[[#This Row],[24Bldg]],0)</f>
        <v>-3.469461510661366E-2</v>
      </c>
      <c r="BR740" s="43">
        <f>(Inventory[[#This Row],[Adjusted Land Total]]-Inventory[[#This Row],[24Lnd]])/Inventory[[#This Row],[24Lnd]]</f>
        <v>4.9342105263157892E-3</v>
      </c>
      <c r="BS740" s="43">
        <f>(Inventory[[#This Row],[Adjusted Total]]-Inventory[[#This Row],[24Final]])/Inventory[[#This Row],[24Final]]</f>
        <v>-2.7555555555555555E-2</v>
      </c>
    </row>
    <row r="741" spans="1:71">
      <c r="A741" s="30">
        <v>2025</v>
      </c>
      <c r="B741" s="31" t="s">
        <v>1256</v>
      </c>
      <c r="C741" s="31">
        <f>LN(Inventory[[#This Row],[Acres]])</f>
        <v>-1.8325814637483102</v>
      </c>
      <c r="D741" s="30">
        <v>0.16</v>
      </c>
      <c r="E741" s="30">
        <v>7154</v>
      </c>
      <c r="F741" s="31" t="s">
        <v>505</v>
      </c>
      <c r="G741" s="31" t="s">
        <v>155</v>
      </c>
      <c r="H741" s="31" t="s">
        <v>5</v>
      </c>
      <c r="I741" s="31" t="s">
        <v>506</v>
      </c>
      <c r="J741" s="31" t="s">
        <v>507</v>
      </c>
      <c r="K741" s="31" t="s">
        <v>157</v>
      </c>
      <c r="L741" s="31" t="s">
        <v>19</v>
      </c>
      <c r="M741" s="31" t="s">
        <v>20</v>
      </c>
      <c r="N741" s="31">
        <v>10</v>
      </c>
      <c r="O741" s="31">
        <f>2024-Inventory[[#This Row],[YrBlt]]</f>
        <v>19</v>
      </c>
      <c r="P741" s="31">
        <f>2024-Inventory[[#This Row],[EffYr]]</f>
        <v>19</v>
      </c>
      <c r="Q741" s="30">
        <v>2005</v>
      </c>
      <c r="R741" s="30">
        <v>2005</v>
      </c>
      <c r="S741" s="30">
        <v>1040</v>
      </c>
      <c r="T741" s="38">
        <v>1040</v>
      </c>
      <c r="U741" s="32"/>
      <c r="V741" s="32"/>
      <c r="W741" s="32"/>
      <c r="X741" s="32">
        <f>Inventory[[#This Row],[Bsmt Area]]-Inventory[[#This Row],[FnBsmt]]</f>
        <v>0</v>
      </c>
      <c r="Y741" s="32">
        <f>Inventory[[#This Row],[MainFn]]+Inventory[[#This Row],[UpprFn]]+Inventory[[#This Row],[AddFn]]+Inventory[[#This Row],[FnBsmt]]</f>
        <v>2080</v>
      </c>
      <c r="Z741" s="32">
        <v>2500</v>
      </c>
      <c r="AA741" s="31" t="s">
        <v>56</v>
      </c>
      <c r="AB741" s="32"/>
      <c r="AC741" s="30">
        <v>440</v>
      </c>
      <c r="AD741" s="32"/>
      <c r="AE741" s="32"/>
      <c r="AF741" s="32"/>
      <c r="AG741" s="32"/>
      <c r="AH741" s="32"/>
      <c r="AI741" s="30">
        <v>371761</v>
      </c>
      <c r="AJ741" s="30">
        <v>338303</v>
      </c>
      <c r="AK741" s="30">
        <v>0</v>
      </c>
      <c r="AL741" s="30">
        <v>0</v>
      </c>
      <c r="AM741" s="30">
        <v>60800</v>
      </c>
      <c r="AN741" s="30">
        <v>335600</v>
      </c>
      <c r="AO741" s="30">
        <v>396400</v>
      </c>
      <c r="AP741" s="30">
        <f>Lookups!$B$58*0.6</f>
        <v>132535.48800000001</v>
      </c>
      <c r="AQ741" s="30">
        <f>Lookups!$B$58*0.4</f>
        <v>88356.992000000013</v>
      </c>
      <c r="AR741" s="30">
        <f>Lookups!$B$59*Inventory[[#This Row],[LnAcres]]</f>
        <v>-24051.387388882686</v>
      </c>
      <c r="AS741" s="30">
        <f>VLOOKUP(Inventory[[#This Row],[Qlty]],Lookups!$A$66:$E$79,2,FALSE)</f>
        <v>37154.252388000001</v>
      </c>
      <c r="AT741" s="30">
        <f>VLOOKUP(Inventory[[#This Row],[Cnd]],Lookups!$A$80:$E$88,2,FALSE)</f>
        <v>30300.329274</v>
      </c>
      <c r="AU741" s="30">
        <f>Inventory[[#This Row],[EffAge]]*Lookups!$B$65</f>
        <v>-2066.0808999999999</v>
      </c>
      <c r="AV741" s="30">
        <f>Inventory[[#This Row],[MainFn]]*Lookups!$B$90</f>
        <v>64906.7952</v>
      </c>
      <c r="AW741" s="30">
        <f>Inventory[[#This Row],[UpprFn]]*Lookups!$B$91</f>
        <v>61963.598319999997</v>
      </c>
      <c r="AX741" s="30">
        <f>Inventory[[#This Row],[Bsmt Area]]*Lookups!$B$95</f>
        <v>0</v>
      </c>
      <c r="AY741" s="30">
        <f>Inventory[[#This Row],[AttGar]]*Lookups!$B$93</f>
        <v>15532.453640000002</v>
      </c>
      <c r="AZ741" s="30">
        <f>ROUND(Inventory[[#This Row],[25Det]],-2)</f>
        <v>0</v>
      </c>
      <c r="BA741" s="30">
        <f>ROUND(SUM(Inventory[[#This Row],[Mdl Qlty]:[Mdl Garage Area]])+Inventory[[#This Row],[Mdl Res Intercept]],-2)</f>
        <v>340300</v>
      </c>
      <c r="BB741" s="30">
        <f>ROUND(Inventory[[#This Row],[Mdl Land Intercept]]+Inventory[[#This Row],[Mdl LnAcres]],-2)</f>
        <v>64300</v>
      </c>
      <c r="BC741" s="30">
        <f>Inventory[[#This Row],[Unadj Res Value]]+Inventory[[#This Row],[Unadj Det Value]]+Inventory[[#This Row],[Unadj Land Value]]</f>
        <v>404600</v>
      </c>
      <c r="BD741" s="30">
        <f>(Inventory[[#This Row],[Unadj Total Value]]-Inventory[[#This Row],[24Final]])/Inventory[[#This Row],[24Final]]</f>
        <v>2.0686175580221997E-2</v>
      </c>
      <c r="BE741" s="30">
        <f>VLOOKUP(Inventory[[#This Row],[Nbhd]],Lookups!$M$3:$P$5,4,FALSE)</f>
        <v>0.99970000000000003</v>
      </c>
      <c r="BF741" s="30">
        <f>VLOOKUP(Inventory[[#This Row],[Qlty]],Lookups!$M$8:$P$22,4,FALSE)</f>
        <v>0.99819999999999998</v>
      </c>
      <c r="BG741" s="30">
        <f>VLOOKUP(Inventory[[#This Row],[Cnd]],Lookups!$R$8:$U$17,4,FALSE)</f>
        <v>0.997</v>
      </c>
      <c r="BH741" s="30">
        <f>VLOOKUP(Inventory[[#This Row],[LivArea Range]],Lookups!$R$25:$U$43,4,FALSE)</f>
        <v>1.0008999999999999</v>
      </c>
      <c r="BI741" s="30">
        <f>VLOOKUP(Inventory[[#This Row],[Decade]],Lookups!$M$24:$P$40,4,FALSE)</f>
        <v>1.0024</v>
      </c>
      <c r="BJ741" s="30">
        <f>Inventory[[#This Row],[Nbhd Adj]]*0.95</f>
        <v>0.94971499999999998</v>
      </c>
      <c r="BK741" s="30">
        <f>AVERAGE(Inventory[[#This Row],[Nbhd Adj]],Inventory[[#This Row],[Quality Adj]],Inventory[[#This Row],[Condition Adj]],Inventory[[#This Row],[Living Area Adj]],Inventory[[#This Row],[Decade Adj]])*0.95</f>
        <v>0.94965799999999989</v>
      </c>
      <c r="BL741" s="30">
        <f>ROUND((SUM(Inventory[[#This Row],[Mdl Qlty]:[Mdl Garage Area]])+Inventory[[#This Row],[Mdl Res Intercept]])*Inventory[[#This Row],[Res Adj ]],-2)</f>
        <v>323200</v>
      </c>
      <c r="BM741" s="30">
        <f>ROUND(Inventory[[#This Row],[25Det]]*Inventory[[#This Row],[Det/Nbhd Adj]],-2)</f>
        <v>0</v>
      </c>
      <c r="BN741" s="30">
        <f>Inventory[[#This Row],[Adjusted Res]]+Inventory[[#This Row],[Adj Det ]]</f>
        <v>323200</v>
      </c>
      <c r="BO741" s="30">
        <f>ROUND((Inventory[[#This Row],[Mdl Land Intercept]]+Inventory[[#This Row],[Mdl LnAcres]])*Inventory[[#This Row],[Det/Nbhd Adj]],-2)</f>
        <v>61100</v>
      </c>
      <c r="BP741" s="30">
        <f>Inventory[[#This Row],[Adjusted Impr Total]]+Inventory[[#This Row],[Adjusted Land Total]]</f>
        <v>384300</v>
      </c>
      <c r="BQ741" s="30">
        <f>IFERROR((Inventory[[#This Row],[Adjusted Impr Total]]-Inventory[[#This Row],[24Bldg]])/Inventory[[#This Row],[24Bldg]],0)</f>
        <v>-3.6948748510131108E-2</v>
      </c>
      <c r="BR741" s="43">
        <f>(Inventory[[#This Row],[Adjusted Land Total]]-Inventory[[#This Row],[24Lnd]])/Inventory[[#This Row],[24Lnd]]</f>
        <v>4.9342105263157892E-3</v>
      </c>
      <c r="BS741" s="43">
        <f>(Inventory[[#This Row],[Adjusted Total]]-Inventory[[#This Row],[24Final]])/Inventory[[#This Row],[24Final]]</f>
        <v>-3.0524722502522705E-2</v>
      </c>
    </row>
    <row r="742" spans="1:71">
      <c r="A742" s="30">
        <v>2025</v>
      </c>
      <c r="B742" s="31" t="s">
        <v>1257</v>
      </c>
      <c r="C742" s="31">
        <f>LN(Inventory[[#This Row],[Acres]])</f>
        <v>-1.8325814637483102</v>
      </c>
      <c r="D742" s="30">
        <v>0.16</v>
      </c>
      <c r="E742" s="30">
        <v>6960</v>
      </c>
      <c r="F742" s="31" t="s">
        <v>505</v>
      </c>
      <c r="G742" s="31" t="s">
        <v>155</v>
      </c>
      <c r="H742" s="31" t="s">
        <v>5</v>
      </c>
      <c r="I742" s="31" t="s">
        <v>506</v>
      </c>
      <c r="J742" s="31" t="s">
        <v>507</v>
      </c>
      <c r="K742" s="31" t="s">
        <v>193</v>
      </c>
      <c r="L742" s="31" t="s">
        <v>19</v>
      </c>
      <c r="M742" s="31" t="s">
        <v>20</v>
      </c>
      <c r="N742" s="31">
        <v>10</v>
      </c>
      <c r="O742" s="31">
        <f>2024-Inventory[[#This Row],[YrBlt]]</f>
        <v>19</v>
      </c>
      <c r="P742" s="31">
        <f>2024-Inventory[[#This Row],[EffYr]]</f>
        <v>19</v>
      </c>
      <c r="Q742" s="30">
        <v>2005</v>
      </c>
      <c r="R742" s="30">
        <v>2005</v>
      </c>
      <c r="S742" s="30">
        <v>1364</v>
      </c>
      <c r="T742" s="32"/>
      <c r="U742" s="32"/>
      <c r="V742" s="32"/>
      <c r="W742" s="32"/>
      <c r="X742" s="32">
        <f>Inventory[[#This Row],[Bsmt Area]]-Inventory[[#This Row],[FnBsmt]]</f>
        <v>0</v>
      </c>
      <c r="Y742" s="32">
        <f>Inventory[[#This Row],[MainFn]]+Inventory[[#This Row],[UpprFn]]+Inventory[[#This Row],[AddFn]]+Inventory[[#This Row],[FnBsmt]]</f>
        <v>1364</v>
      </c>
      <c r="Z742" s="32">
        <v>1500</v>
      </c>
      <c r="AA742" s="31" t="s">
        <v>56</v>
      </c>
      <c r="AB742" s="32"/>
      <c r="AC742" s="30">
        <v>428</v>
      </c>
      <c r="AD742" s="32"/>
      <c r="AE742" s="32"/>
      <c r="AF742" s="32"/>
      <c r="AG742" s="32"/>
      <c r="AH742" s="32"/>
      <c r="AI742" s="30">
        <v>273939</v>
      </c>
      <c r="AJ742" s="30">
        <v>249284</v>
      </c>
      <c r="AK742" s="30">
        <v>0</v>
      </c>
      <c r="AL742" s="30">
        <v>0</v>
      </c>
      <c r="AM742" s="30">
        <v>60800</v>
      </c>
      <c r="AN742" s="30">
        <v>290800</v>
      </c>
      <c r="AO742" s="30">
        <v>351600</v>
      </c>
      <c r="AP742" s="30">
        <f>Lookups!$B$58*0.6</f>
        <v>132535.48800000001</v>
      </c>
      <c r="AQ742" s="30">
        <f>Lookups!$B$58*0.4</f>
        <v>88356.992000000013</v>
      </c>
      <c r="AR742" s="30">
        <f>Lookups!$B$59*Inventory[[#This Row],[LnAcres]]</f>
        <v>-24051.387388882686</v>
      </c>
      <c r="AS742" s="30">
        <f>VLOOKUP(Inventory[[#This Row],[Qlty]],Lookups!$A$66:$E$79,2,FALSE)</f>
        <v>37154.252388000001</v>
      </c>
      <c r="AT742" s="30">
        <f>VLOOKUP(Inventory[[#This Row],[Cnd]],Lookups!$A$80:$E$88,2,FALSE)</f>
        <v>30300.329274</v>
      </c>
      <c r="AU742" s="30">
        <f>Inventory[[#This Row],[EffAge]]*Lookups!$B$65</f>
        <v>-2066.0808999999999</v>
      </c>
      <c r="AV742" s="30">
        <f>Inventory[[#This Row],[MainFn]]*Lookups!$B$90</f>
        <v>85127.758320000008</v>
      </c>
      <c r="AW742" s="30">
        <f>Inventory[[#This Row],[UpprFn]]*Lookups!$B$91</f>
        <v>0</v>
      </c>
      <c r="AX742" s="30">
        <f>Inventory[[#This Row],[Bsmt Area]]*Lookups!$B$95</f>
        <v>0</v>
      </c>
      <c r="AY742" s="30">
        <f>Inventory[[#This Row],[AttGar]]*Lookups!$B$93</f>
        <v>15108.841268</v>
      </c>
      <c r="AZ742" s="30">
        <f>ROUND(Inventory[[#This Row],[25Det]],-2)</f>
        <v>0</v>
      </c>
      <c r="BA742" s="30">
        <f>ROUND(SUM(Inventory[[#This Row],[Mdl Qlty]:[Mdl Garage Area]])+Inventory[[#This Row],[Mdl Res Intercept]],-2)</f>
        <v>298200</v>
      </c>
      <c r="BB742" s="30">
        <f>ROUND(Inventory[[#This Row],[Mdl Land Intercept]]+Inventory[[#This Row],[Mdl LnAcres]],-2)</f>
        <v>64300</v>
      </c>
      <c r="BC742" s="30">
        <f>Inventory[[#This Row],[Unadj Res Value]]+Inventory[[#This Row],[Unadj Det Value]]+Inventory[[#This Row],[Unadj Land Value]]</f>
        <v>362500</v>
      </c>
      <c r="BD742" s="30">
        <f>(Inventory[[#This Row],[Unadj Total Value]]-Inventory[[#This Row],[24Final]])/Inventory[[#This Row],[24Final]]</f>
        <v>3.1001137656427757E-2</v>
      </c>
      <c r="BE742" s="30">
        <f>VLOOKUP(Inventory[[#This Row],[Nbhd]],Lookups!$M$3:$P$5,4,FALSE)</f>
        <v>0.99970000000000003</v>
      </c>
      <c r="BF742" s="30">
        <f>VLOOKUP(Inventory[[#This Row],[Qlty]],Lookups!$M$8:$P$22,4,FALSE)</f>
        <v>0.99819999999999998</v>
      </c>
      <c r="BG742" s="30">
        <f>VLOOKUP(Inventory[[#This Row],[Cnd]],Lookups!$R$8:$U$17,4,FALSE)</f>
        <v>0.997</v>
      </c>
      <c r="BH742" s="30">
        <f>VLOOKUP(Inventory[[#This Row],[LivArea Range]],Lookups!$R$25:$U$43,4,FALSE)</f>
        <v>0.99519999999999997</v>
      </c>
      <c r="BI742" s="30">
        <f>VLOOKUP(Inventory[[#This Row],[Decade]],Lookups!$M$24:$P$40,4,FALSE)</f>
        <v>1.0024</v>
      </c>
      <c r="BJ742" s="30">
        <f>Inventory[[#This Row],[Nbhd Adj]]*0.95</f>
        <v>0.94971499999999998</v>
      </c>
      <c r="BK742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742" s="30">
        <f>ROUND((SUM(Inventory[[#This Row],[Mdl Qlty]:[Mdl Garage Area]])+Inventory[[#This Row],[Mdl Res Intercept]])*Inventory[[#This Row],[Res Adj ]],-2)</f>
        <v>282800</v>
      </c>
      <c r="BM742" s="30">
        <f>ROUND(Inventory[[#This Row],[25Det]]*Inventory[[#This Row],[Det/Nbhd Adj]],-2)</f>
        <v>0</v>
      </c>
      <c r="BN742" s="30">
        <f>Inventory[[#This Row],[Adjusted Res]]+Inventory[[#This Row],[Adj Det ]]</f>
        <v>282800</v>
      </c>
      <c r="BO742" s="30">
        <f>ROUND((Inventory[[#This Row],[Mdl Land Intercept]]+Inventory[[#This Row],[Mdl LnAcres]])*Inventory[[#This Row],[Det/Nbhd Adj]],-2)</f>
        <v>61100</v>
      </c>
      <c r="BP742" s="30">
        <f>Inventory[[#This Row],[Adjusted Impr Total]]+Inventory[[#This Row],[Adjusted Land Total]]</f>
        <v>343900</v>
      </c>
      <c r="BQ742" s="30">
        <f>IFERROR((Inventory[[#This Row],[Adjusted Impr Total]]-Inventory[[#This Row],[24Bldg]])/Inventory[[#This Row],[24Bldg]],0)</f>
        <v>-2.7510316368638238E-2</v>
      </c>
      <c r="BR742" s="43">
        <f>(Inventory[[#This Row],[Adjusted Land Total]]-Inventory[[#This Row],[24Lnd]])/Inventory[[#This Row],[24Lnd]]</f>
        <v>4.9342105263157892E-3</v>
      </c>
      <c r="BS742" s="43">
        <f>(Inventory[[#This Row],[Adjusted Total]]-Inventory[[#This Row],[24Final]])/Inventory[[#This Row],[24Final]]</f>
        <v>-2.1899886234357225E-2</v>
      </c>
    </row>
    <row r="743" spans="1:71">
      <c r="A743" s="30">
        <v>2025</v>
      </c>
      <c r="B743" s="31" t="s">
        <v>1258</v>
      </c>
      <c r="C743" s="31">
        <f>LN(Inventory[[#This Row],[Acres]])</f>
        <v>-1.8325814637483102</v>
      </c>
      <c r="D743" s="30">
        <v>0.16</v>
      </c>
      <c r="E743" s="30">
        <v>7013</v>
      </c>
      <c r="F743" s="31" t="s">
        <v>505</v>
      </c>
      <c r="G743" s="31" t="s">
        <v>155</v>
      </c>
      <c r="H743" s="31" t="s">
        <v>5</v>
      </c>
      <c r="I743" s="31" t="s">
        <v>506</v>
      </c>
      <c r="J743" s="31" t="s">
        <v>507</v>
      </c>
      <c r="K743" s="31" t="s">
        <v>193</v>
      </c>
      <c r="L743" s="31" t="s">
        <v>19</v>
      </c>
      <c r="M743" s="31" t="s">
        <v>18</v>
      </c>
      <c r="N743" s="31">
        <v>10</v>
      </c>
      <c r="O743" s="31">
        <f>2024-Inventory[[#This Row],[YrBlt]]</f>
        <v>19</v>
      </c>
      <c r="P743" s="31">
        <f>2024-Inventory[[#This Row],[EffYr]]</f>
        <v>19</v>
      </c>
      <c r="Q743" s="30">
        <v>2005</v>
      </c>
      <c r="R743" s="30">
        <v>2005</v>
      </c>
      <c r="S743" s="30">
        <v>1288</v>
      </c>
      <c r="T743" s="37"/>
      <c r="U743" s="32"/>
      <c r="V743" s="32"/>
      <c r="W743" s="32"/>
      <c r="X743" s="32">
        <f>Inventory[[#This Row],[Bsmt Area]]-Inventory[[#This Row],[FnBsmt]]</f>
        <v>0</v>
      </c>
      <c r="Y743" s="32">
        <f>Inventory[[#This Row],[MainFn]]+Inventory[[#This Row],[UpprFn]]+Inventory[[#This Row],[AddFn]]+Inventory[[#This Row],[FnBsmt]]</f>
        <v>1288</v>
      </c>
      <c r="Z743" s="32">
        <v>1500</v>
      </c>
      <c r="AA743" s="31" t="s">
        <v>56</v>
      </c>
      <c r="AB743" s="38">
        <v>1</v>
      </c>
      <c r="AC743" s="30">
        <v>302</v>
      </c>
      <c r="AD743" s="32"/>
      <c r="AE743" s="32"/>
      <c r="AF743" s="32"/>
      <c r="AG743" s="32"/>
      <c r="AH743" s="32"/>
      <c r="AI743" s="30">
        <v>266140</v>
      </c>
      <c r="AJ743" s="30">
        <v>239526</v>
      </c>
      <c r="AK743" s="30">
        <v>0</v>
      </c>
      <c r="AL743" s="30">
        <v>0</v>
      </c>
      <c r="AM743" s="30">
        <v>60800</v>
      </c>
      <c r="AN743" s="30">
        <v>268700</v>
      </c>
      <c r="AO743" s="30">
        <v>329500</v>
      </c>
      <c r="AP743" s="30">
        <f>Lookups!$B$58*0.6</f>
        <v>132535.48800000001</v>
      </c>
      <c r="AQ743" s="30">
        <f>Lookups!$B$58*0.4</f>
        <v>88356.992000000013</v>
      </c>
      <c r="AR743" s="30">
        <f>Lookups!$B$59*Inventory[[#This Row],[LnAcres]]</f>
        <v>-24051.387388882686</v>
      </c>
      <c r="AS743" s="30">
        <f>VLOOKUP(Inventory[[#This Row],[Qlty]],Lookups!$A$66:$E$79,2,FALSE)</f>
        <v>37154.252388000001</v>
      </c>
      <c r="AT743" s="30">
        <f>VLOOKUP(Inventory[[#This Row],[Cnd]],Lookups!$A$80:$E$88,2,FALSE)</f>
        <v>17761.121909000001</v>
      </c>
      <c r="AU743" s="30">
        <f>Inventory[[#This Row],[EffAge]]*Lookups!$B$65</f>
        <v>-2066.0808999999999</v>
      </c>
      <c r="AV743" s="30">
        <f>Inventory[[#This Row],[MainFn]]*Lookups!$B$90</f>
        <v>80384.569440000007</v>
      </c>
      <c r="AW743" s="30">
        <f>Inventory[[#This Row],[UpprFn]]*Lookups!$B$91</f>
        <v>0</v>
      </c>
      <c r="AX743" s="30">
        <f>Inventory[[#This Row],[Bsmt Area]]*Lookups!$B$95</f>
        <v>0</v>
      </c>
      <c r="AY743" s="30">
        <f>Inventory[[#This Row],[AttGar]]*Lookups!$B$93</f>
        <v>10660.911362000001</v>
      </c>
      <c r="AZ743" s="30">
        <f>ROUND(Inventory[[#This Row],[25Det]],-2)</f>
        <v>0</v>
      </c>
      <c r="BA743" s="30">
        <f>ROUND(SUM(Inventory[[#This Row],[Mdl Qlty]:[Mdl Garage Area]])+Inventory[[#This Row],[Mdl Res Intercept]],-2)</f>
        <v>276400</v>
      </c>
      <c r="BB743" s="30">
        <f>ROUND(Inventory[[#This Row],[Mdl Land Intercept]]+Inventory[[#This Row],[Mdl LnAcres]],-2)</f>
        <v>64300</v>
      </c>
      <c r="BC743" s="30">
        <f>Inventory[[#This Row],[Unadj Res Value]]+Inventory[[#This Row],[Unadj Det Value]]+Inventory[[#This Row],[Unadj Land Value]]</f>
        <v>340700</v>
      </c>
      <c r="BD743" s="30">
        <f>(Inventory[[#This Row],[Unadj Total Value]]-Inventory[[#This Row],[24Final]])/Inventory[[#This Row],[24Final]]</f>
        <v>3.3990895295902886E-2</v>
      </c>
      <c r="BE743" s="30">
        <f>VLOOKUP(Inventory[[#This Row],[Nbhd]],Lookups!$M$3:$P$5,4,FALSE)</f>
        <v>0.99970000000000003</v>
      </c>
      <c r="BF743" s="30">
        <f>VLOOKUP(Inventory[[#This Row],[Qlty]],Lookups!$M$8:$P$22,4,FALSE)</f>
        <v>0.99819999999999998</v>
      </c>
      <c r="BG743" s="30">
        <f>VLOOKUP(Inventory[[#This Row],[Cnd]],Lookups!$R$8:$U$17,4,FALSE)</f>
        <v>0.99680000000000002</v>
      </c>
      <c r="BH743" s="30">
        <f>VLOOKUP(Inventory[[#This Row],[LivArea Range]],Lookups!$R$25:$U$43,4,FALSE)</f>
        <v>0.99519999999999997</v>
      </c>
      <c r="BI743" s="30">
        <f>VLOOKUP(Inventory[[#This Row],[Decade]],Lookups!$M$24:$P$40,4,FALSE)</f>
        <v>1.0024</v>
      </c>
      <c r="BJ743" s="30">
        <f>Inventory[[#This Row],[Nbhd Adj]]*0.95</f>
        <v>0.94971499999999998</v>
      </c>
      <c r="BK743" s="30">
        <f>AVERAGE(Inventory[[#This Row],[Nbhd Adj]],Inventory[[#This Row],[Quality Adj]],Inventory[[#This Row],[Condition Adj]],Inventory[[#This Row],[Living Area Adj]],Inventory[[#This Row],[Decade Adj]])*0.95</f>
        <v>0.94853699999999996</v>
      </c>
      <c r="BL743" s="30">
        <f>ROUND((SUM(Inventory[[#This Row],[Mdl Qlty]:[Mdl Garage Area]])+Inventory[[#This Row],[Mdl Res Intercept]])*Inventory[[#This Row],[Res Adj ]],-2)</f>
        <v>262200</v>
      </c>
      <c r="BM743" s="30">
        <f>ROUND(Inventory[[#This Row],[25Det]]*Inventory[[#This Row],[Det/Nbhd Adj]],-2)</f>
        <v>0</v>
      </c>
      <c r="BN743" s="30">
        <f>Inventory[[#This Row],[Adjusted Res]]+Inventory[[#This Row],[Adj Det ]]</f>
        <v>262200</v>
      </c>
      <c r="BO743" s="30">
        <f>ROUND((Inventory[[#This Row],[Mdl Land Intercept]]+Inventory[[#This Row],[Mdl LnAcres]])*Inventory[[#This Row],[Det/Nbhd Adj]],-2)</f>
        <v>61100</v>
      </c>
      <c r="BP743" s="30">
        <f>Inventory[[#This Row],[Adjusted Impr Total]]+Inventory[[#This Row],[Adjusted Land Total]]</f>
        <v>323300</v>
      </c>
      <c r="BQ743" s="30">
        <f>IFERROR((Inventory[[#This Row],[Adjusted Impr Total]]-Inventory[[#This Row],[24Bldg]])/Inventory[[#This Row],[24Bldg]],0)</f>
        <v>-2.4190547078526237E-2</v>
      </c>
      <c r="BR743" s="43">
        <f>(Inventory[[#This Row],[Adjusted Land Total]]-Inventory[[#This Row],[24Lnd]])/Inventory[[#This Row],[24Lnd]]</f>
        <v>4.9342105263157892E-3</v>
      </c>
      <c r="BS743" s="43">
        <f>(Inventory[[#This Row],[Adjusted Total]]-Inventory[[#This Row],[24Final]])/Inventory[[#This Row],[24Final]]</f>
        <v>-1.8816388467374809E-2</v>
      </c>
    </row>
    <row r="744" spans="1:71">
      <c r="A744" s="30">
        <v>2025</v>
      </c>
      <c r="B744" s="31" t="s">
        <v>1259</v>
      </c>
      <c r="C744" s="31">
        <f>LN(Inventory[[#This Row],[Acres]])</f>
        <v>-1.8325814637483102</v>
      </c>
      <c r="D744" s="30">
        <v>0.16</v>
      </c>
      <c r="E744" s="30">
        <v>6942</v>
      </c>
      <c r="F744" s="31" t="s">
        <v>505</v>
      </c>
      <c r="G744" s="31" t="s">
        <v>155</v>
      </c>
      <c r="H744" s="31" t="s">
        <v>5</v>
      </c>
      <c r="I744" s="31" t="s">
        <v>506</v>
      </c>
      <c r="J744" s="31" t="s">
        <v>507</v>
      </c>
      <c r="K744" s="31" t="s">
        <v>193</v>
      </c>
      <c r="L744" s="31" t="s">
        <v>19</v>
      </c>
      <c r="M744" s="31" t="s">
        <v>18</v>
      </c>
      <c r="N744" s="31">
        <v>10</v>
      </c>
      <c r="O744" s="31">
        <f>2024-Inventory[[#This Row],[YrBlt]]</f>
        <v>19</v>
      </c>
      <c r="P744" s="31">
        <f>2024-Inventory[[#This Row],[EffYr]]</f>
        <v>19</v>
      </c>
      <c r="Q744" s="30">
        <v>2005</v>
      </c>
      <c r="R744" s="30">
        <v>2005</v>
      </c>
      <c r="S744" s="30">
        <v>1380</v>
      </c>
      <c r="T744" s="37"/>
      <c r="U744" s="32"/>
      <c r="V744" s="32"/>
      <c r="W744" s="32"/>
      <c r="X744" s="32">
        <f>Inventory[[#This Row],[Bsmt Area]]-Inventory[[#This Row],[FnBsmt]]</f>
        <v>0</v>
      </c>
      <c r="Y744" s="32">
        <f>Inventory[[#This Row],[MainFn]]+Inventory[[#This Row],[UpprFn]]+Inventory[[#This Row],[AddFn]]+Inventory[[#This Row],[FnBsmt]]</f>
        <v>1380</v>
      </c>
      <c r="Z744" s="32">
        <v>1500</v>
      </c>
      <c r="AA744" s="31" t="s">
        <v>56</v>
      </c>
      <c r="AB744" s="37"/>
      <c r="AC744" s="30">
        <v>428</v>
      </c>
      <c r="AD744" s="32"/>
      <c r="AE744" s="32"/>
      <c r="AF744" s="32"/>
      <c r="AG744" s="32"/>
      <c r="AH744" s="32"/>
      <c r="AI744" s="30">
        <v>275531</v>
      </c>
      <c r="AJ744" s="30">
        <v>247978</v>
      </c>
      <c r="AK744" s="30">
        <v>0</v>
      </c>
      <c r="AL744" s="30">
        <v>0</v>
      </c>
      <c r="AM744" s="30">
        <v>60800</v>
      </c>
      <c r="AN744" s="30">
        <v>278800</v>
      </c>
      <c r="AO744" s="30">
        <v>339600</v>
      </c>
      <c r="AP744" s="30">
        <f>Lookups!$B$58*0.6</f>
        <v>132535.48800000001</v>
      </c>
      <c r="AQ744" s="30">
        <f>Lookups!$B$58*0.4</f>
        <v>88356.992000000013</v>
      </c>
      <c r="AR744" s="30">
        <f>Lookups!$B$59*Inventory[[#This Row],[LnAcres]]</f>
        <v>-24051.387388882686</v>
      </c>
      <c r="AS744" s="30">
        <f>VLOOKUP(Inventory[[#This Row],[Qlty]],Lookups!$A$66:$E$79,2,FALSE)</f>
        <v>37154.252388000001</v>
      </c>
      <c r="AT744" s="30">
        <f>VLOOKUP(Inventory[[#This Row],[Cnd]],Lookups!$A$80:$E$88,2,FALSE)</f>
        <v>17761.121909000001</v>
      </c>
      <c r="AU744" s="30">
        <f>Inventory[[#This Row],[EffAge]]*Lookups!$B$65</f>
        <v>-2066.0808999999999</v>
      </c>
      <c r="AV744" s="30">
        <f>Inventory[[#This Row],[MainFn]]*Lookups!$B$90</f>
        <v>86126.324399999998</v>
      </c>
      <c r="AW744" s="30">
        <f>Inventory[[#This Row],[UpprFn]]*Lookups!$B$91</f>
        <v>0</v>
      </c>
      <c r="AX744" s="30">
        <f>Inventory[[#This Row],[Bsmt Area]]*Lookups!$B$95</f>
        <v>0</v>
      </c>
      <c r="AY744" s="30">
        <f>Inventory[[#This Row],[AttGar]]*Lookups!$B$93</f>
        <v>15108.841268</v>
      </c>
      <c r="AZ744" s="30">
        <f>ROUND(Inventory[[#This Row],[25Det]],-2)</f>
        <v>0</v>
      </c>
      <c r="BA744" s="30">
        <f>ROUND(SUM(Inventory[[#This Row],[Mdl Qlty]:[Mdl Garage Area]])+Inventory[[#This Row],[Mdl Res Intercept]],-2)</f>
        <v>286600</v>
      </c>
      <c r="BB744" s="30">
        <f>ROUND(Inventory[[#This Row],[Mdl Land Intercept]]+Inventory[[#This Row],[Mdl LnAcres]],-2)</f>
        <v>64300</v>
      </c>
      <c r="BC744" s="30">
        <f>Inventory[[#This Row],[Unadj Res Value]]+Inventory[[#This Row],[Unadj Det Value]]+Inventory[[#This Row],[Unadj Land Value]]</f>
        <v>350900</v>
      </c>
      <c r="BD744" s="30">
        <f>(Inventory[[#This Row],[Unadj Total Value]]-Inventory[[#This Row],[24Final]])/Inventory[[#This Row],[24Final]]</f>
        <v>3.3274440518256773E-2</v>
      </c>
      <c r="BE744" s="30">
        <f>VLOOKUP(Inventory[[#This Row],[Nbhd]],Lookups!$M$3:$P$5,4,FALSE)</f>
        <v>0.99970000000000003</v>
      </c>
      <c r="BF744" s="30">
        <f>VLOOKUP(Inventory[[#This Row],[Qlty]],Lookups!$M$8:$P$22,4,FALSE)</f>
        <v>0.99819999999999998</v>
      </c>
      <c r="BG744" s="30">
        <f>VLOOKUP(Inventory[[#This Row],[Cnd]],Lookups!$R$8:$U$17,4,FALSE)</f>
        <v>0.99680000000000002</v>
      </c>
      <c r="BH744" s="30">
        <f>VLOOKUP(Inventory[[#This Row],[LivArea Range]],Lookups!$R$25:$U$43,4,FALSE)</f>
        <v>0.99519999999999997</v>
      </c>
      <c r="BI744" s="30">
        <f>VLOOKUP(Inventory[[#This Row],[Decade]],Lookups!$M$24:$P$40,4,FALSE)</f>
        <v>1.0024</v>
      </c>
      <c r="BJ744" s="30">
        <f>Inventory[[#This Row],[Nbhd Adj]]*0.95</f>
        <v>0.94971499999999998</v>
      </c>
      <c r="BK744" s="30">
        <f>AVERAGE(Inventory[[#This Row],[Nbhd Adj]],Inventory[[#This Row],[Quality Adj]],Inventory[[#This Row],[Condition Adj]],Inventory[[#This Row],[Living Area Adj]],Inventory[[#This Row],[Decade Adj]])*0.95</f>
        <v>0.94853699999999996</v>
      </c>
      <c r="BL744" s="30">
        <f>ROUND((SUM(Inventory[[#This Row],[Mdl Qlty]:[Mdl Garage Area]])+Inventory[[#This Row],[Mdl Res Intercept]])*Inventory[[#This Row],[Res Adj ]],-2)</f>
        <v>271900</v>
      </c>
      <c r="BM744" s="30">
        <f>ROUND(Inventory[[#This Row],[25Det]]*Inventory[[#This Row],[Det/Nbhd Adj]],-2)</f>
        <v>0</v>
      </c>
      <c r="BN744" s="30">
        <f>Inventory[[#This Row],[Adjusted Res]]+Inventory[[#This Row],[Adj Det ]]</f>
        <v>271900</v>
      </c>
      <c r="BO744" s="30">
        <f>ROUND((Inventory[[#This Row],[Mdl Land Intercept]]+Inventory[[#This Row],[Mdl LnAcres]])*Inventory[[#This Row],[Det/Nbhd Adj]],-2)</f>
        <v>61100</v>
      </c>
      <c r="BP744" s="30">
        <f>Inventory[[#This Row],[Adjusted Impr Total]]+Inventory[[#This Row],[Adjusted Land Total]]</f>
        <v>333000</v>
      </c>
      <c r="BQ744" s="30">
        <f>IFERROR((Inventory[[#This Row],[Adjusted Impr Total]]-Inventory[[#This Row],[24Bldg]])/Inventory[[#This Row],[24Bldg]],0)</f>
        <v>-2.4748923959827834E-2</v>
      </c>
      <c r="BR744" s="43">
        <f>(Inventory[[#This Row],[Adjusted Land Total]]-Inventory[[#This Row],[24Lnd]])/Inventory[[#This Row],[24Lnd]]</f>
        <v>4.9342105263157892E-3</v>
      </c>
      <c r="BS744" s="43">
        <f>(Inventory[[#This Row],[Adjusted Total]]-Inventory[[#This Row],[24Final]])/Inventory[[#This Row],[24Final]]</f>
        <v>-1.9434628975265017E-2</v>
      </c>
    </row>
    <row r="745" spans="1:71">
      <c r="A745" s="30">
        <v>2025</v>
      </c>
      <c r="B745" s="31" t="s">
        <v>1260</v>
      </c>
      <c r="C745" s="31">
        <f>LN(Inventory[[#This Row],[Acres]])</f>
        <v>-1.8325814637483102</v>
      </c>
      <c r="D745" s="30">
        <v>0.16</v>
      </c>
      <c r="E745" s="30">
        <v>7150</v>
      </c>
      <c r="F745" s="31" t="s">
        <v>505</v>
      </c>
      <c r="G745" s="31" t="s">
        <v>155</v>
      </c>
      <c r="H745" s="31" t="s">
        <v>5</v>
      </c>
      <c r="I745" s="31" t="s">
        <v>506</v>
      </c>
      <c r="J745" s="31" t="s">
        <v>507</v>
      </c>
      <c r="K745" s="31" t="s">
        <v>193</v>
      </c>
      <c r="L745" s="31" t="s">
        <v>19</v>
      </c>
      <c r="M745" s="31" t="s">
        <v>20</v>
      </c>
      <c r="N745" s="31">
        <v>10</v>
      </c>
      <c r="O745" s="31">
        <f>2024-Inventory[[#This Row],[YrBlt]]</f>
        <v>19</v>
      </c>
      <c r="P745" s="31">
        <f>2024-Inventory[[#This Row],[EffYr]]</f>
        <v>19</v>
      </c>
      <c r="Q745" s="30">
        <v>2005</v>
      </c>
      <c r="R745" s="30">
        <v>2005</v>
      </c>
      <c r="S745" s="30">
        <v>1380</v>
      </c>
      <c r="T745" s="32"/>
      <c r="U745" s="32"/>
      <c r="V745" s="32"/>
      <c r="W745" s="32"/>
      <c r="X745" s="32">
        <f>Inventory[[#This Row],[Bsmt Area]]-Inventory[[#This Row],[FnBsmt]]</f>
        <v>0</v>
      </c>
      <c r="Y745" s="32">
        <f>Inventory[[#This Row],[MainFn]]+Inventory[[#This Row],[UpprFn]]+Inventory[[#This Row],[AddFn]]+Inventory[[#This Row],[FnBsmt]]</f>
        <v>1380</v>
      </c>
      <c r="Z745" s="32">
        <v>1500</v>
      </c>
      <c r="AA745" s="31" t="s">
        <v>56</v>
      </c>
      <c r="AB745" s="32"/>
      <c r="AC745" s="30">
        <v>428</v>
      </c>
      <c r="AD745" s="32"/>
      <c r="AE745" s="32"/>
      <c r="AF745" s="32"/>
      <c r="AG745" s="32"/>
      <c r="AH745" s="32"/>
      <c r="AI745" s="30">
        <v>275531</v>
      </c>
      <c r="AJ745" s="30">
        <v>250733</v>
      </c>
      <c r="AK745" s="30">
        <v>0</v>
      </c>
      <c r="AL745" s="30">
        <v>0</v>
      </c>
      <c r="AM745" s="30">
        <v>60800</v>
      </c>
      <c r="AN745" s="30">
        <v>290300</v>
      </c>
      <c r="AO745" s="30">
        <v>351100</v>
      </c>
      <c r="AP745" s="30">
        <f>Lookups!$B$58*0.6</f>
        <v>132535.48800000001</v>
      </c>
      <c r="AQ745" s="30">
        <f>Lookups!$B$58*0.4</f>
        <v>88356.992000000013</v>
      </c>
      <c r="AR745" s="30">
        <f>Lookups!$B$59*Inventory[[#This Row],[LnAcres]]</f>
        <v>-24051.387388882686</v>
      </c>
      <c r="AS745" s="30">
        <f>VLOOKUP(Inventory[[#This Row],[Qlty]],Lookups!$A$66:$E$79,2,FALSE)</f>
        <v>37154.252388000001</v>
      </c>
      <c r="AT745" s="30">
        <f>VLOOKUP(Inventory[[#This Row],[Cnd]],Lookups!$A$80:$E$88,2,FALSE)</f>
        <v>30300.329274</v>
      </c>
      <c r="AU745" s="30">
        <f>Inventory[[#This Row],[EffAge]]*Lookups!$B$65</f>
        <v>-2066.0808999999999</v>
      </c>
      <c r="AV745" s="30">
        <f>Inventory[[#This Row],[MainFn]]*Lookups!$B$90</f>
        <v>86126.324399999998</v>
      </c>
      <c r="AW745" s="30">
        <f>Inventory[[#This Row],[UpprFn]]*Lookups!$B$91</f>
        <v>0</v>
      </c>
      <c r="AX745" s="30">
        <f>Inventory[[#This Row],[Bsmt Area]]*Lookups!$B$95</f>
        <v>0</v>
      </c>
      <c r="AY745" s="30">
        <f>Inventory[[#This Row],[AttGar]]*Lookups!$B$93</f>
        <v>15108.841268</v>
      </c>
      <c r="AZ745" s="30">
        <f>ROUND(Inventory[[#This Row],[25Det]],-2)</f>
        <v>0</v>
      </c>
      <c r="BA745" s="30">
        <f>ROUND(SUM(Inventory[[#This Row],[Mdl Qlty]:[Mdl Garage Area]])+Inventory[[#This Row],[Mdl Res Intercept]],-2)</f>
        <v>299200</v>
      </c>
      <c r="BB745" s="30">
        <f>ROUND(Inventory[[#This Row],[Mdl Land Intercept]]+Inventory[[#This Row],[Mdl LnAcres]],-2)</f>
        <v>64300</v>
      </c>
      <c r="BC745" s="30">
        <f>Inventory[[#This Row],[Unadj Res Value]]+Inventory[[#This Row],[Unadj Det Value]]+Inventory[[#This Row],[Unadj Land Value]]</f>
        <v>363500</v>
      </c>
      <c r="BD745" s="30">
        <f>(Inventory[[#This Row],[Unadj Total Value]]-Inventory[[#This Row],[24Final]])/Inventory[[#This Row],[24Final]]</f>
        <v>3.5317573340928513E-2</v>
      </c>
      <c r="BE745" s="30">
        <f>VLOOKUP(Inventory[[#This Row],[Nbhd]],Lookups!$M$3:$P$5,4,FALSE)</f>
        <v>0.99970000000000003</v>
      </c>
      <c r="BF745" s="30">
        <f>VLOOKUP(Inventory[[#This Row],[Qlty]],Lookups!$M$8:$P$22,4,FALSE)</f>
        <v>0.99819999999999998</v>
      </c>
      <c r="BG745" s="30">
        <f>VLOOKUP(Inventory[[#This Row],[Cnd]],Lookups!$R$8:$U$17,4,FALSE)</f>
        <v>0.997</v>
      </c>
      <c r="BH745" s="30">
        <f>VLOOKUP(Inventory[[#This Row],[LivArea Range]],Lookups!$R$25:$U$43,4,FALSE)</f>
        <v>0.99519999999999997</v>
      </c>
      <c r="BI745" s="30">
        <f>VLOOKUP(Inventory[[#This Row],[Decade]],Lookups!$M$24:$P$40,4,FALSE)</f>
        <v>1.0024</v>
      </c>
      <c r="BJ745" s="30">
        <f>Inventory[[#This Row],[Nbhd Adj]]*0.95</f>
        <v>0.94971499999999998</v>
      </c>
      <c r="BK745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745" s="30">
        <f>ROUND((SUM(Inventory[[#This Row],[Mdl Qlty]:[Mdl Garage Area]])+Inventory[[#This Row],[Mdl Res Intercept]])*Inventory[[#This Row],[Res Adj ]],-2)</f>
        <v>283800</v>
      </c>
      <c r="BM745" s="30">
        <f>ROUND(Inventory[[#This Row],[25Det]]*Inventory[[#This Row],[Det/Nbhd Adj]],-2)</f>
        <v>0</v>
      </c>
      <c r="BN745" s="30">
        <f>Inventory[[#This Row],[Adjusted Res]]+Inventory[[#This Row],[Adj Det ]]</f>
        <v>283800</v>
      </c>
      <c r="BO745" s="30">
        <f>ROUND((Inventory[[#This Row],[Mdl Land Intercept]]+Inventory[[#This Row],[Mdl LnAcres]])*Inventory[[#This Row],[Det/Nbhd Adj]],-2)</f>
        <v>61100</v>
      </c>
      <c r="BP745" s="30">
        <f>Inventory[[#This Row],[Adjusted Impr Total]]+Inventory[[#This Row],[Adjusted Land Total]]</f>
        <v>344900</v>
      </c>
      <c r="BQ745" s="30">
        <f>IFERROR((Inventory[[#This Row],[Adjusted Impr Total]]-Inventory[[#This Row],[24Bldg]])/Inventory[[#This Row],[24Bldg]],0)</f>
        <v>-2.2390630382363073E-2</v>
      </c>
      <c r="BR745" s="43">
        <f>(Inventory[[#This Row],[Adjusted Land Total]]-Inventory[[#This Row],[24Lnd]])/Inventory[[#This Row],[24Lnd]]</f>
        <v>4.9342105263157892E-3</v>
      </c>
      <c r="BS745" s="43">
        <f>(Inventory[[#This Row],[Adjusted Total]]-Inventory[[#This Row],[24Final]])/Inventory[[#This Row],[24Final]]</f>
        <v>-1.7658786670464256E-2</v>
      </c>
    </row>
    <row r="746" spans="1:71">
      <c r="A746" s="30">
        <v>2025</v>
      </c>
      <c r="B746" s="31" t="s">
        <v>1261</v>
      </c>
      <c r="C746" s="31">
        <f>LN(Inventory[[#This Row],[Acres]])</f>
        <v>-1.8325814637483102</v>
      </c>
      <c r="D746" s="30">
        <v>0.16</v>
      </c>
      <c r="E746" s="30">
        <v>6977</v>
      </c>
      <c r="F746" s="31" t="s">
        <v>505</v>
      </c>
      <c r="G746" s="31" t="s">
        <v>155</v>
      </c>
      <c r="H746" s="31" t="s">
        <v>5</v>
      </c>
      <c r="I746" s="31" t="s">
        <v>506</v>
      </c>
      <c r="J746" s="31" t="s">
        <v>507</v>
      </c>
      <c r="K746" s="31" t="s">
        <v>193</v>
      </c>
      <c r="L746" s="31" t="s">
        <v>19</v>
      </c>
      <c r="M746" s="31" t="s">
        <v>20</v>
      </c>
      <c r="N746" s="31">
        <v>10</v>
      </c>
      <c r="O746" s="31">
        <f>2024-Inventory[[#This Row],[YrBlt]]</f>
        <v>19</v>
      </c>
      <c r="P746" s="31">
        <f>2024-Inventory[[#This Row],[EffYr]]</f>
        <v>19</v>
      </c>
      <c r="Q746" s="30">
        <v>2005</v>
      </c>
      <c r="R746" s="30">
        <v>2005</v>
      </c>
      <c r="S746" s="30">
        <v>1288</v>
      </c>
      <c r="T746" s="37"/>
      <c r="U746" s="32"/>
      <c r="V746" s="32"/>
      <c r="W746" s="32"/>
      <c r="X746" s="32">
        <f>Inventory[[#This Row],[Bsmt Area]]-Inventory[[#This Row],[FnBsmt]]</f>
        <v>0</v>
      </c>
      <c r="Y746" s="32">
        <f>Inventory[[#This Row],[MainFn]]+Inventory[[#This Row],[UpprFn]]+Inventory[[#This Row],[AddFn]]+Inventory[[#This Row],[FnBsmt]]</f>
        <v>1288</v>
      </c>
      <c r="Z746" s="32">
        <v>1500</v>
      </c>
      <c r="AA746" s="31" t="s">
        <v>56</v>
      </c>
      <c r="AB746" s="37"/>
      <c r="AC746" s="30">
        <v>302</v>
      </c>
      <c r="AD746" s="37"/>
      <c r="AE746" s="32"/>
      <c r="AF746" s="32"/>
      <c r="AG746" s="32"/>
      <c r="AH746" s="32"/>
      <c r="AI746" s="30">
        <v>256721</v>
      </c>
      <c r="AJ746" s="30">
        <v>233616</v>
      </c>
      <c r="AK746" s="30">
        <v>0</v>
      </c>
      <c r="AL746" s="30">
        <v>0</v>
      </c>
      <c r="AM746" s="30">
        <v>60800</v>
      </c>
      <c r="AN746" s="30">
        <v>280200</v>
      </c>
      <c r="AO746" s="30">
        <v>341000</v>
      </c>
      <c r="AP746" s="30">
        <f>Lookups!$B$58*0.6</f>
        <v>132535.48800000001</v>
      </c>
      <c r="AQ746" s="30">
        <f>Lookups!$B$58*0.4</f>
        <v>88356.992000000013</v>
      </c>
      <c r="AR746" s="30">
        <f>Lookups!$B$59*Inventory[[#This Row],[LnAcres]]</f>
        <v>-24051.387388882686</v>
      </c>
      <c r="AS746" s="30">
        <f>VLOOKUP(Inventory[[#This Row],[Qlty]],Lookups!$A$66:$E$79,2,FALSE)</f>
        <v>37154.252388000001</v>
      </c>
      <c r="AT746" s="30">
        <f>VLOOKUP(Inventory[[#This Row],[Cnd]],Lookups!$A$80:$E$88,2,FALSE)</f>
        <v>30300.329274</v>
      </c>
      <c r="AU746" s="30">
        <f>Inventory[[#This Row],[EffAge]]*Lookups!$B$65</f>
        <v>-2066.0808999999999</v>
      </c>
      <c r="AV746" s="30">
        <f>Inventory[[#This Row],[MainFn]]*Lookups!$B$90</f>
        <v>80384.569440000007</v>
      </c>
      <c r="AW746" s="30">
        <f>Inventory[[#This Row],[UpprFn]]*Lookups!$B$91</f>
        <v>0</v>
      </c>
      <c r="AX746" s="30">
        <f>Inventory[[#This Row],[Bsmt Area]]*Lookups!$B$95</f>
        <v>0</v>
      </c>
      <c r="AY746" s="30">
        <f>Inventory[[#This Row],[AttGar]]*Lookups!$B$93</f>
        <v>10660.911362000001</v>
      </c>
      <c r="AZ746" s="30">
        <f>ROUND(Inventory[[#This Row],[25Det]],-2)</f>
        <v>0</v>
      </c>
      <c r="BA746" s="30">
        <f>ROUND(SUM(Inventory[[#This Row],[Mdl Qlty]:[Mdl Garage Area]])+Inventory[[#This Row],[Mdl Res Intercept]],-2)</f>
        <v>289000</v>
      </c>
      <c r="BB746" s="30">
        <f>ROUND(Inventory[[#This Row],[Mdl Land Intercept]]+Inventory[[#This Row],[Mdl LnAcres]],-2)</f>
        <v>64300</v>
      </c>
      <c r="BC746" s="30">
        <f>Inventory[[#This Row],[Unadj Res Value]]+Inventory[[#This Row],[Unadj Det Value]]+Inventory[[#This Row],[Unadj Land Value]]</f>
        <v>353300</v>
      </c>
      <c r="BD746" s="30">
        <f>(Inventory[[#This Row],[Unadj Total Value]]-Inventory[[#This Row],[24Final]])/Inventory[[#This Row],[24Final]]</f>
        <v>3.6070381231671556E-2</v>
      </c>
      <c r="BE746" s="30">
        <f>VLOOKUP(Inventory[[#This Row],[Nbhd]],Lookups!$M$3:$P$5,4,FALSE)</f>
        <v>0.99970000000000003</v>
      </c>
      <c r="BF746" s="30">
        <f>VLOOKUP(Inventory[[#This Row],[Qlty]],Lookups!$M$8:$P$22,4,FALSE)</f>
        <v>0.99819999999999998</v>
      </c>
      <c r="BG746" s="30">
        <f>VLOOKUP(Inventory[[#This Row],[Cnd]],Lookups!$R$8:$U$17,4,FALSE)</f>
        <v>0.997</v>
      </c>
      <c r="BH746" s="30">
        <f>VLOOKUP(Inventory[[#This Row],[LivArea Range]],Lookups!$R$25:$U$43,4,FALSE)</f>
        <v>0.99519999999999997</v>
      </c>
      <c r="BI746" s="30">
        <f>VLOOKUP(Inventory[[#This Row],[Decade]],Lookups!$M$24:$P$40,4,FALSE)</f>
        <v>1.0024</v>
      </c>
      <c r="BJ746" s="30">
        <f>Inventory[[#This Row],[Nbhd Adj]]*0.95</f>
        <v>0.94971499999999998</v>
      </c>
      <c r="BK746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746" s="30">
        <f>ROUND((SUM(Inventory[[#This Row],[Mdl Qlty]:[Mdl Garage Area]])+Inventory[[#This Row],[Mdl Res Intercept]])*Inventory[[#This Row],[Res Adj ]],-2)</f>
        <v>274100</v>
      </c>
      <c r="BM746" s="30">
        <f>ROUND(Inventory[[#This Row],[25Det]]*Inventory[[#This Row],[Det/Nbhd Adj]],-2)</f>
        <v>0</v>
      </c>
      <c r="BN746" s="30">
        <f>Inventory[[#This Row],[Adjusted Res]]+Inventory[[#This Row],[Adj Det ]]</f>
        <v>274100</v>
      </c>
      <c r="BO746" s="30">
        <f>ROUND((Inventory[[#This Row],[Mdl Land Intercept]]+Inventory[[#This Row],[Mdl LnAcres]])*Inventory[[#This Row],[Det/Nbhd Adj]],-2)</f>
        <v>61100</v>
      </c>
      <c r="BP746" s="30">
        <f>Inventory[[#This Row],[Adjusted Impr Total]]+Inventory[[#This Row],[Adjusted Land Total]]</f>
        <v>335200</v>
      </c>
      <c r="BQ746" s="30">
        <f>IFERROR((Inventory[[#This Row],[Adjusted Impr Total]]-Inventory[[#This Row],[24Bldg]])/Inventory[[#This Row],[24Bldg]],0)</f>
        <v>-2.1770164168451105E-2</v>
      </c>
      <c r="BR746" s="43">
        <f>(Inventory[[#This Row],[Adjusted Land Total]]-Inventory[[#This Row],[24Lnd]])/Inventory[[#This Row],[24Lnd]]</f>
        <v>4.9342105263157892E-3</v>
      </c>
      <c r="BS746" s="43">
        <f>(Inventory[[#This Row],[Adjusted Total]]-Inventory[[#This Row],[24Final]])/Inventory[[#This Row],[24Final]]</f>
        <v>-1.7008797653958945E-2</v>
      </c>
    </row>
    <row r="747" spans="1:71">
      <c r="A747" s="30">
        <v>2025</v>
      </c>
      <c r="B747" s="31" t="s">
        <v>1262</v>
      </c>
      <c r="C747" s="31">
        <f>LN(Inventory[[#This Row],[Acres]])</f>
        <v>-1.8325814637483102</v>
      </c>
      <c r="D747" s="30">
        <v>0.16</v>
      </c>
      <c r="E747" s="30">
        <v>6957</v>
      </c>
      <c r="F747" s="31" t="s">
        <v>505</v>
      </c>
      <c r="G747" s="31" t="s">
        <v>155</v>
      </c>
      <c r="H747" s="31" t="s">
        <v>5</v>
      </c>
      <c r="I747" s="31" t="s">
        <v>506</v>
      </c>
      <c r="J747" s="31" t="s">
        <v>507</v>
      </c>
      <c r="K747" s="31" t="s">
        <v>193</v>
      </c>
      <c r="L747" s="31" t="s">
        <v>19</v>
      </c>
      <c r="M747" s="31" t="s">
        <v>20</v>
      </c>
      <c r="N747" s="31">
        <v>10</v>
      </c>
      <c r="O747" s="31">
        <f>2024-Inventory[[#This Row],[YrBlt]]</f>
        <v>19</v>
      </c>
      <c r="P747" s="31">
        <f>2024-Inventory[[#This Row],[EffYr]]</f>
        <v>19</v>
      </c>
      <c r="Q747" s="30">
        <v>2005</v>
      </c>
      <c r="R747" s="30">
        <v>2005</v>
      </c>
      <c r="S747" s="30">
        <v>1382</v>
      </c>
      <c r="T747" s="32"/>
      <c r="U747" s="32"/>
      <c r="V747" s="32"/>
      <c r="W747" s="32"/>
      <c r="X747" s="32">
        <f>Inventory[[#This Row],[Bsmt Area]]-Inventory[[#This Row],[FnBsmt]]</f>
        <v>0</v>
      </c>
      <c r="Y747" s="32">
        <f>Inventory[[#This Row],[MainFn]]+Inventory[[#This Row],[UpprFn]]+Inventory[[#This Row],[AddFn]]+Inventory[[#This Row],[FnBsmt]]</f>
        <v>1382</v>
      </c>
      <c r="Z747" s="32">
        <v>1500</v>
      </c>
      <c r="AA747" s="31" t="s">
        <v>56</v>
      </c>
      <c r="AB747" s="32"/>
      <c r="AC747" s="30">
        <v>426</v>
      </c>
      <c r="AD747" s="32"/>
      <c r="AE747" s="32"/>
      <c r="AF747" s="32"/>
      <c r="AG747" s="32"/>
      <c r="AH747" s="32"/>
      <c r="AI747" s="30">
        <v>276004</v>
      </c>
      <c r="AJ747" s="30">
        <v>251164</v>
      </c>
      <c r="AK747" s="30">
        <v>0</v>
      </c>
      <c r="AL747" s="30">
        <v>0</v>
      </c>
      <c r="AM747" s="30">
        <v>60800</v>
      </c>
      <c r="AN747" s="30">
        <v>290300</v>
      </c>
      <c r="AO747" s="30">
        <v>351100</v>
      </c>
      <c r="AP747" s="30">
        <f>Lookups!$B$58*0.6</f>
        <v>132535.48800000001</v>
      </c>
      <c r="AQ747" s="30">
        <f>Lookups!$B$58*0.4</f>
        <v>88356.992000000013</v>
      </c>
      <c r="AR747" s="30">
        <f>Lookups!$B$59*Inventory[[#This Row],[LnAcres]]</f>
        <v>-24051.387388882686</v>
      </c>
      <c r="AS747" s="30">
        <f>VLOOKUP(Inventory[[#This Row],[Qlty]],Lookups!$A$66:$E$79,2,FALSE)</f>
        <v>37154.252388000001</v>
      </c>
      <c r="AT747" s="30">
        <f>VLOOKUP(Inventory[[#This Row],[Cnd]],Lookups!$A$80:$E$88,2,FALSE)</f>
        <v>30300.329274</v>
      </c>
      <c r="AU747" s="30">
        <f>Inventory[[#This Row],[EffAge]]*Lookups!$B$65</f>
        <v>-2066.0808999999999</v>
      </c>
      <c r="AV747" s="30">
        <f>Inventory[[#This Row],[MainFn]]*Lookups!$B$90</f>
        <v>86251.14516</v>
      </c>
      <c r="AW747" s="30">
        <f>Inventory[[#This Row],[UpprFn]]*Lookups!$B$91</f>
        <v>0</v>
      </c>
      <c r="AX747" s="30">
        <f>Inventory[[#This Row],[Bsmt Area]]*Lookups!$B$95</f>
        <v>0</v>
      </c>
      <c r="AY747" s="30">
        <f>Inventory[[#This Row],[AttGar]]*Lookups!$B$93</f>
        <v>15038.239206</v>
      </c>
      <c r="AZ747" s="30">
        <f>ROUND(Inventory[[#This Row],[25Det]],-2)</f>
        <v>0</v>
      </c>
      <c r="BA747" s="30">
        <f>ROUND(SUM(Inventory[[#This Row],[Mdl Qlty]:[Mdl Garage Area]])+Inventory[[#This Row],[Mdl Res Intercept]],-2)</f>
        <v>299200</v>
      </c>
      <c r="BB747" s="30">
        <f>ROUND(Inventory[[#This Row],[Mdl Land Intercept]]+Inventory[[#This Row],[Mdl LnAcres]],-2)</f>
        <v>64300</v>
      </c>
      <c r="BC747" s="30">
        <f>Inventory[[#This Row],[Unadj Res Value]]+Inventory[[#This Row],[Unadj Det Value]]+Inventory[[#This Row],[Unadj Land Value]]</f>
        <v>363500</v>
      </c>
      <c r="BD747" s="30">
        <f>(Inventory[[#This Row],[Unadj Total Value]]-Inventory[[#This Row],[24Final]])/Inventory[[#This Row],[24Final]]</f>
        <v>3.5317573340928513E-2</v>
      </c>
      <c r="BE747" s="30">
        <f>VLOOKUP(Inventory[[#This Row],[Nbhd]],Lookups!$M$3:$P$5,4,FALSE)</f>
        <v>0.99970000000000003</v>
      </c>
      <c r="BF747" s="30">
        <f>VLOOKUP(Inventory[[#This Row],[Qlty]],Lookups!$M$8:$P$22,4,FALSE)</f>
        <v>0.99819999999999998</v>
      </c>
      <c r="BG747" s="30">
        <f>VLOOKUP(Inventory[[#This Row],[Cnd]],Lookups!$R$8:$U$17,4,FALSE)</f>
        <v>0.997</v>
      </c>
      <c r="BH747" s="30">
        <f>VLOOKUP(Inventory[[#This Row],[LivArea Range]],Lookups!$R$25:$U$43,4,FALSE)</f>
        <v>0.99519999999999997</v>
      </c>
      <c r="BI747" s="30">
        <f>VLOOKUP(Inventory[[#This Row],[Decade]],Lookups!$M$24:$P$40,4,FALSE)</f>
        <v>1.0024</v>
      </c>
      <c r="BJ747" s="30">
        <f>Inventory[[#This Row],[Nbhd Adj]]*0.95</f>
        <v>0.94971499999999998</v>
      </c>
      <c r="BK747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747" s="30">
        <f>ROUND((SUM(Inventory[[#This Row],[Mdl Qlty]:[Mdl Garage Area]])+Inventory[[#This Row],[Mdl Res Intercept]])*Inventory[[#This Row],[Res Adj ]],-2)</f>
        <v>283800</v>
      </c>
      <c r="BM747" s="30">
        <f>ROUND(Inventory[[#This Row],[25Det]]*Inventory[[#This Row],[Det/Nbhd Adj]],-2)</f>
        <v>0</v>
      </c>
      <c r="BN747" s="30">
        <f>Inventory[[#This Row],[Adjusted Res]]+Inventory[[#This Row],[Adj Det ]]</f>
        <v>283800</v>
      </c>
      <c r="BO747" s="30">
        <f>ROUND((Inventory[[#This Row],[Mdl Land Intercept]]+Inventory[[#This Row],[Mdl LnAcres]])*Inventory[[#This Row],[Det/Nbhd Adj]],-2)</f>
        <v>61100</v>
      </c>
      <c r="BP747" s="30">
        <f>Inventory[[#This Row],[Adjusted Impr Total]]+Inventory[[#This Row],[Adjusted Land Total]]</f>
        <v>344900</v>
      </c>
      <c r="BQ747" s="30">
        <f>IFERROR((Inventory[[#This Row],[Adjusted Impr Total]]-Inventory[[#This Row],[24Bldg]])/Inventory[[#This Row],[24Bldg]],0)</f>
        <v>-2.2390630382363073E-2</v>
      </c>
      <c r="BR747" s="43">
        <f>(Inventory[[#This Row],[Adjusted Land Total]]-Inventory[[#This Row],[24Lnd]])/Inventory[[#This Row],[24Lnd]]</f>
        <v>4.9342105263157892E-3</v>
      </c>
      <c r="BS747" s="43">
        <f>(Inventory[[#This Row],[Adjusted Total]]-Inventory[[#This Row],[24Final]])/Inventory[[#This Row],[24Final]]</f>
        <v>-1.7658786670464256E-2</v>
      </c>
    </row>
    <row r="748" spans="1:71">
      <c r="A748" s="30">
        <v>2025</v>
      </c>
      <c r="B748" s="31" t="s">
        <v>1263</v>
      </c>
      <c r="C748" s="31">
        <f>LN(Inventory[[#This Row],[Acres]])</f>
        <v>-1.8325814637483102</v>
      </c>
      <c r="D748" s="30">
        <v>0.16</v>
      </c>
      <c r="E748" s="30">
        <v>7133</v>
      </c>
      <c r="F748" s="31" t="s">
        <v>505</v>
      </c>
      <c r="G748" s="31" t="s">
        <v>155</v>
      </c>
      <c r="H748" s="31" t="s">
        <v>5</v>
      </c>
      <c r="I748" s="31" t="s">
        <v>506</v>
      </c>
      <c r="J748" s="31" t="s">
        <v>507</v>
      </c>
      <c r="K748" s="31" t="s">
        <v>193</v>
      </c>
      <c r="L748" s="31" t="s">
        <v>19</v>
      </c>
      <c r="M748" s="31" t="s">
        <v>20</v>
      </c>
      <c r="N748" s="31">
        <v>10</v>
      </c>
      <c r="O748" s="31">
        <f>2024-Inventory[[#This Row],[YrBlt]]</f>
        <v>19</v>
      </c>
      <c r="P748" s="31">
        <f>2024-Inventory[[#This Row],[EffYr]]</f>
        <v>19</v>
      </c>
      <c r="Q748" s="30">
        <v>2005</v>
      </c>
      <c r="R748" s="30">
        <v>2005</v>
      </c>
      <c r="S748" s="30">
        <v>1308</v>
      </c>
      <c r="T748" s="37"/>
      <c r="U748" s="32"/>
      <c r="V748" s="32"/>
      <c r="W748" s="32"/>
      <c r="X748" s="32">
        <f>Inventory[[#This Row],[Bsmt Area]]-Inventory[[#This Row],[FnBsmt]]</f>
        <v>0</v>
      </c>
      <c r="Y748" s="32">
        <f>Inventory[[#This Row],[MainFn]]+Inventory[[#This Row],[UpprFn]]+Inventory[[#This Row],[AddFn]]+Inventory[[#This Row],[FnBsmt]]</f>
        <v>1308</v>
      </c>
      <c r="Z748" s="32">
        <v>1500</v>
      </c>
      <c r="AA748" s="31" t="s">
        <v>56</v>
      </c>
      <c r="AB748" s="30">
        <v>1</v>
      </c>
      <c r="AC748" s="30">
        <v>282</v>
      </c>
      <c r="AD748" s="37"/>
      <c r="AE748" s="32"/>
      <c r="AF748" s="32"/>
      <c r="AG748" s="32"/>
      <c r="AH748" s="32"/>
      <c r="AI748" s="30">
        <v>264881</v>
      </c>
      <c r="AJ748" s="30">
        <v>241042</v>
      </c>
      <c r="AK748" s="30">
        <v>0</v>
      </c>
      <c r="AL748" s="30">
        <v>0</v>
      </c>
      <c r="AM748" s="30">
        <v>60800</v>
      </c>
      <c r="AN748" s="30">
        <v>280300</v>
      </c>
      <c r="AO748" s="30">
        <v>341100</v>
      </c>
      <c r="AP748" s="30">
        <f>Lookups!$B$58*0.6</f>
        <v>132535.48800000001</v>
      </c>
      <c r="AQ748" s="30">
        <f>Lookups!$B$58*0.4</f>
        <v>88356.992000000013</v>
      </c>
      <c r="AR748" s="30">
        <f>Lookups!$B$59*Inventory[[#This Row],[LnAcres]]</f>
        <v>-24051.387388882686</v>
      </c>
      <c r="AS748" s="30">
        <f>VLOOKUP(Inventory[[#This Row],[Qlty]],Lookups!$A$66:$E$79,2,FALSE)</f>
        <v>37154.252388000001</v>
      </c>
      <c r="AT748" s="30">
        <f>VLOOKUP(Inventory[[#This Row],[Cnd]],Lookups!$A$80:$E$88,2,FALSE)</f>
        <v>30300.329274</v>
      </c>
      <c r="AU748" s="30">
        <f>Inventory[[#This Row],[EffAge]]*Lookups!$B$65</f>
        <v>-2066.0808999999999</v>
      </c>
      <c r="AV748" s="30">
        <f>Inventory[[#This Row],[MainFn]]*Lookups!$B$90</f>
        <v>81632.777040000001</v>
      </c>
      <c r="AW748" s="30">
        <f>Inventory[[#This Row],[UpprFn]]*Lookups!$B$91</f>
        <v>0</v>
      </c>
      <c r="AX748" s="30">
        <f>Inventory[[#This Row],[Bsmt Area]]*Lookups!$B$95</f>
        <v>0</v>
      </c>
      <c r="AY748" s="30">
        <f>Inventory[[#This Row],[AttGar]]*Lookups!$B$93</f>
        <v>9954.8907420000014</v>
      </c>
      <c r="AZ748" s="30">
        <f>ROUND(Inventory[[#This Row],[25Det]],-2)</f>
        <v>0</v>
      </c>
      <c r="BA748" s="30">
        <f>ROUND(SUM(Inventory[[#This Row],[Mdl Qlty]:[Mdl Garage Area]])+Inventory[[#This Row],[Mdl Res Intercept]],-2)</f>
        <v>289500</v>
      </c>
      <c r="BB748" s="30">
        <f>ROUND(Inventory[[#This Row],[Mdl Land Intercept]]+Inventory[[#This Row],[Mdl LnAcres]],-2)</f>
        <v>64300</v>
      </c>
      <c r="BC748" s="30">
        <f>Inventory[[#This Row],[Unadj Res Value]]+Inventory[[#This Row],[Unadj Det Value]]+Inventory[[#This Row],[Unadj Land Value]]</f>
        <v>353800</v>
      </c>
      <c r="BD748" s="30">
        <f>(Inventory[[#This Row],[Unadj Total Value]]-Inventory[[#This Row],[24Final]])/Inventory[[#This Row],[24Final]]</f>
        <v>3.723248314277338E-2</v>
      </c>
      <c r="BE748" s="30">
        <f>VLOOKUP(Inventory[[#This Row],[Nbhd]],Lookups!$M$3:$P$5,4,FALSE)</f>
        <v>0.99970000000000003</v>
      </c>
      <c r="BF748" s="30">
        <f>VLOOKUP(Inventory[[#This Row],[Qlty]],Lookups!$M$8:$P$22,4,FALSE)</f>
        <v>0.99819999999999998</v>
      </c>
      <c r="BG748" s="30">
        <f>VLOOKUP(Inventory[[#This Row],[Cnd]],Lookups!$R$8:$U$17,4,FALSE)</f>
        <v>0.997</v>
      </c>
      <c r="BH748" s="30">
        <f>VLOOKUP(Inventory[[#This Row],[LivArea Range]],Lookups!$R$25:$U$43,4,FALSE)</f>
        <v>0.99519999999999997</v>
      </c>
      <c r="BI748" s="30">
        <f>VLOOKUP(Inventory[[#This Row],[Decade]],Lookups!$M$24:$P$40,4,FALSE)</f>
        <v>1.0024</v>
      </c>
      <c r="BJ748" s="30">
        <f>Inventory[[#This Row],[Nbhd Adj]]*0.95</f>
        <v>0.94971499999999998</v>
      </c>
      <c r="BK748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748" s="30">
        <f>ROUND((SUM(Inventory[[#This Row],[Mdl Qlty]:[Mdl Garage Area]])+Inventory[[#This Row],[Mdl Res Intercept]])*Inventory[[#This Row],[Res Adj ]],-2)</f>
        <v>274600</v>
      </c>
      <c r="BM748" s="30">
        <f>ROUND(Inventory[[#This Row],[25Det]]*Inventory[[#This Row],[Det/Nbhd Adj]],-2)</f>
        <v>0</v>
      </c>
      <c r="BN748" s="30">
        <f>Inventory[[#This Row],[Adjusted Res]]+Inventory[[#This Row],[Adj Det ]]</f>
        <v>274600</v>
      </c>
      <c r="BO748" s="30">
        <f>ROUND((Inventory[[#This Row],[Mdl Land Intercept]]+Inventory[[#This Row],[Mdl LnAcres]])*Inventory[[#This Row],[Det/Nbhd Adj]],-2)</f>
        <v>61100</v>
      </c>
      <c r="BP748" s="30">
        <f>Inventory[[#This Row],[Adjusted Impr Total]]+Inventory[[#This Row],[Adjusted Land Total]]</f>
        <v>335700</v>
      </c>
      <c r="BQ748" s="30">
        <f>IFERROR((Inventory[[#This Row],[Adjusted Impr Total]]-Inventory[[#This Row],[24Bldg]])/Inventory[[#This Row],[24Bldg]],0)</f>
        <v>-2.0335354976810559E-2</v>
      </c>
      <c r="BR748" s="43">
        <f>(Inventory[[#This Row],[Adjusted Land Total]]-Inventory[[#This Row],[24Lnd]])/Inventory[[#This Row],[24Lnd]]</f>
        <v>4.9342105263157892E-3</v>
      </c>
      <c r="BS748" s="43">
        <f>(Inventory[[#This Row],[Adjusted Total]]-Inventory[[#This Row],[24Final]])/Inventory[[#This Row],[24Final]]</f>
        <v>-1.5831134564643801E-2</v>
      </c>
    </row>
    <row r="749" spans="1:71">
      <c r="A749" s="30">
        <v>2025</v>
      </c>
      <c r="B749" s="31" t="s">
        <v>1264</v>
      </c>
      <c r="C749" s="31">
        <f>LN(Inventory[[#This Row],[Acres]])</f>
        <v>-1.8325814637483102</v>
      </c>
      <c r="D749" s="30">
        <v>0.16</v>
      </c>
      <c r="E749" s="30">
        <v>6992</v>
      </c>
      <c r="F749" s="31" t="s">
        <v>505</v>
      </c>
      <c r="G749" s="31" t="s">
        <v>155</v>
      </c>
      <c r="H749" s="31" t="s">
        <v>5</v>
      </c>
      <c r="I749" s="31" t="s">
        <v>506</v>
      </c>
      <c r="J749" s="31" t="s">
        <v>507</v>
      </c>
      <c r="K749" s="31" t="s">
        <v>193</v>
      </c>
      <c r="L749" s="31" t="s">
        <v>19</v>
      </c>
      <c r="M749" s="31" t="s">
        <v>18</v>
      </c>
      <c r="N749" s="31">
        <v>10</v>
      </c>
      <c r="O749" s="31">
        <f>2024-Inventory[[#This Row],[YrBlt]]</f>
        <v>19</v>
      </c>
      <c r="P749" s="31">
        <f>2024-Inventory[[#This Row],[EffYr]]</f>
        <v>19</v>
      </c>
      <c r="Q749" s="30">
        <v>2005</v>
      </c>
      <c r="R749" s="30">
        <v>2005</v>
      </c>
      <c r="S749" s="30">
        <v>1690</v>
      </c>
      <c r="T749" s="37"/>
      <c r="U749" s="32"/>
      <c r="V749" s="32"/>
      <c r="W749" s="32"/>
      <c r="X749" s="32">
        <f>Inventory[[#This Row],[Bsmt Area]]-Inventory[[#This Row],[FnBsmt]]</f>
        <v>0</v>
      </c>
      <c r="Y749" s="32">
        <f>Inventory[[#This Row],[MainFn]]+Inventory[[#This Row],[UpprFn]]+Inventory[[#This Row],[AddFn]]+Inventory[[#This Row],[FnBsmt]]</f>
        <v>1690</v>
      </c>
      <c r="Z749" s="32">
        <v>2000</v>
      </c>
      <c r="AA749" s="31" t="s">
        <v>56</v>
      </c>
      <c r="AB749" s="37"/>
      <c r="AC749" s="30">
        <v>466</v>
      </c>
      <c r="AD749" s="37"/>
      <c r="AE749" s="32"/>
      <c r="AF749" s="32"/>
      <c r="AG749" s="32"/>
      <c r="AH749" s="32"/>
      <c r="AI749" s="30">
        <v>330383</v>
      </c>
      <c r="AJ749" s="30">
        <v>297345</v>
      </c>
      <c r="AK749" s="30">
        <v>0</v>
      </c>
      <c r="AL749" s="30">
        <v>0</v>
      </c>
      <c r="AM749" s="30">
        <v>60800</v>
      </c>
      <c r="AN749" s="30">
        <v>298700</v>
      </c>
      <c r="AO749" s="30">
        <v>359500</v>
      </c>
      <c r="AP749" s="30">
        <f>Lookups!$B$58*0.6</f>
        <v>132535.48800000001</v>
      </c>
      <c r="AQ749" s="30">
        <f>Lookups!$B$58*0.4</f>
        <v>88356.992000000013</v>
      </c>
      <c r="AR749" s="30">
        <f>Lookups!$B$59*Inventory[[#This Row],[LnAcres]]</f>
        <v>-24051.387388882686</v>
      </c>
      <c r="AS749" s="30">
        <f>VLOOKUP(Inventory[[#This Row],[Qlty]],Lookups!$A$66:$E$79,2,FALSE)</f>
        <v>37154.252388000001</v>
      </c>
      <c r="AT749" s="30">
        <f>VLOOKUP(Inventory[[#This Row],[Cnd]],Lookups!$A$80:$E$88,2,FALSE)</f>
        <v>17761.121909000001</v>
      </c>
      <c r="AU749" s="30">
        <f>Inventory[[#This Row],[EffAge]]*Lookups!$B$65</f>
        <v>-2066.0808999999999</v>
      </c>
      <c r="AV749" s="30">
        <f>Inventory[[#This Row],[MainFn]]*Lookups!$B$90</f>
        <v>105473.54220000001</v>
      </c>
      <c r="AW749" s="30">
        <f>Inventory[[#This Row],[UpprFn]]*Lookups!$B$91</f>
        <v>0</v>
      </c>
      <c r="AX749" s="30">
        <f>Inventory[[#This Row],[Bsmt Area]]*Lookups!$B$95</f>
        <v>0</v>
      </c>
      <c r="AY749" s="30">
        <f>Inventory[[#This Row],[AttGar]]*Lookups!$B$93</f>
        <v>16450.280446000001</v>
      </c>
      <c r="AZ749" s="30">
        <f>ROUND(Inventory[[#This Row],[25Det]],-2)</f>
        <v>0</v>
      </c>
      <c r="BA749" s="30">
        <f>ROUND(SUM(Inventory[[#This Row],[Mdl Qlty]:[Mdl Garage Area]])+Inventory[[#This Row],[Mdl Res Intercept]],-2)</f>
        <v>307300</v>
      </c>
      <c r="BB749" s="30">
        <f>ROUND(Inventory[[#This Row],[Mdl Land Intercept]]+Inventory[[#This Row],[Mdl LnAcres]],-2)</f>
        <v>64300</v>
      </c>
      <c r="BC749" s="30">
        <f>Inventory[[#This Row],[Unadj Res Value]]+Inventory[[#This Row],[Unadj Det Value]]+Inventory[[#This Row],[Unadj Land Value]]</f>
        <v>371600</v>
      </c>
      <c r="BD749" s="30">
        <f>(Inventory[[#This Row],[Unadj Total Value]]-Inventory[[#This Row],[24Final]])/Inventory[[#This Row],[24Final]]</f>
        <v>3.3657858136300414E-2</v>
      </c>
      <c r="BE749" s="30">
        <f>VLOOKUP(Inventory[[#This Row],[Nbhd]],Lookups!$M$3:$P$5,4,FALSE)</f>
        <v>0.99970000000000003</v>
      </c>
      <c r="BF749" s="30">
        <f>VLOOKUP(Inventory[[#This Row],[Qlty]],Lookups!$M$8:$P$22,4,FALSE)</f>
        <v>0.99819999999999998</v>
      </c>
      <c r="BG749" s="30">
        <f>VLOOKUP(Inventory[[#This Row],[Cnd]],Lookups!$R$8:$U$17,4,FALSE)</f>
        <v>0.99680000000000002</v>
      </c>
      <c r="BH749" s="30">
        <f>VLOOKUP(Inventory[[#This Row],[LivArea Range]],Lookups!$R$25:$U$43,4,FALSE)</f>
        <v>1.0007999999999999</v>
      </c>
      <c r="BI749" s="30">
        <f>VLOOKUP(Inventory[[#This Row],[Decade]],Lookups!$M$24:$P$40,4,FALSE)</f>
        <v>1.0024</v>
      </c>
      <c r="BJ749" s="30">
        <f>Inventory[[#This Row],[Nbhd Adj]]*0.95</f>
        <v>0.94971499999999998</v>
      </c>
      <c r="BK749" s="30">
        <f>AVERAGE(Inventory[[#This Row],[Nbhd Adj]],Inventory[[#This Row],[Quality Adj]],Inventory[[#This Row],[Condition Adj]],Inventory[[#This Row],[Living Area Adj]],Inventory[[#This Row],[Decade Adj]])*0.95</f>
        <v>0.94960099999999992</v>
      </c>
      <c r="BL749" s="30">
        <f>ROUND((SUM(Inventory[[#This Row],[Mdl Qlty]:[Mdl Garage Area]])+Inventory[[#This Row],[Mdl Res Intercept]])*Inventory[[#This Row],[Res Adj ]],-2)</f>
        <v>291800</v>
      </c>
      <c r="BM749" s="30">
        <f>ROUND(Inventory[[#This Row],[25Det]]*Inventory[[#This Row],[Det/Nbhd Adj]],-2)</f>
        <v>0</v>
      </c>
      <c r="BN749" s="30">
        <f>Inventory[[#This Row],[Adjusted Res]]+Inventory[[#This Row],[Adj Det ]]</f>
        <v>291800</v>
      </c>
      <c r="BO749" s="30">
        <f>ROUND((Inventory[[#This Row],[Mdl Land Intercept]]+Inventory[[#This Row],[Mdl LnAcres]])*Inventory[[#This Row],[Det/Nbhd Adj]],-2)</f>
        <v>61100</v>
      </c>
      <c r="BP749" s="30">
        <f>Inventory[[#This Row],[Adjusted Impr Total]]+Inventory[[#This Row],[Adjusted Land Total]]</f>
        <v>352900</v>
      </c>
      <c r="BQ749" s="30">
        <f>IFERROR((Inventory[[#This Row],[Adjusted Impr Total]]-Inventory[[#This Row],[24Bldg]])/Inventory[[#This Row],[24Bldg]],0)</f>
        <v>-2.3100100435219283E-2</v>
      </c>
      <c r="BR749" s="43">
        <f>(Inventory[[#This Row],[Adjusted Land Total]]-Inventory[[#This Row],[24Lnd]])/Inventory[[#This Row],[24Lnd]]</f>
        <v>4.9342105263157892E-3</v>
      </c>
      <c r="BS749" s="43">
        <f>(Inventory[[#This Row],[Adjusted Total]]-Inventory[[#This Row],[24Final]])/Inventory[[#This Row],[24Final]]</f>
        <v>-1.8358831710709317E-2</v>
      </c>
    </row>
    <row r="750" spans="1:71">
      <c r="A750" s="30">
        <v>2025</v>
      </c>
      <c r="B750" s="31" t="s">
        <v>1265</v>
      </c>
      <c r="C750" s="31">
        <f>LN(Inventory[[#This Row],[Acres]])</f>
        <v>-1.8325814637483102</v>
      </c>
      <c r="D750" s="30">
        <v>0.16</v>
      </c>
      <c r="E750" s="30">
        <v>6955</v>
      </c>
      <c r="F750" s="31" t="s">
        <v>505</v>
      </c>
      <c r="G750" s="31" t="s">
        <v>155</v>
      </c>
      <c r="H750" s="31" t="s">
        <v>5</v>
      </c>
      <c r="I750" s="31" t="s">
        <v>506</v>
      </c>
      <c r="J750" s="31" t="s">
        <v>507</v>
      </c>
      <c r="K750" s="31" t="s">
        <v>157</v>
      </c>
      <c r="L750" s="31" t="s">
        <v>19</v>
      </c>
      <c r="M750" s="31" t="s">
        <v>22</v>
      </c>
      <c r="N750" s="31">
        <v>10</v>
      </c>
      <c r="O750" s="31">
        <f>2024-Inventory[[#This Row],[YrBlt]]</f>
        <v>19</v>
      </c>
      <c r="P750" s="31">
        <f>2024-Inventory[[#This Row],[EffYr]]</f>
        <v>19</v>
      </c>
      <c r="Q750" s="30">
        <v>2005</v>
      </c>
      <c r="R750" s="30">
        <v>2005</v>
      </c>
      <c r="S750" s="30">
        <v>1040</v>
      </c>
      <c r="T750" s="38">
        <v>1040</v>
      </c>
      <c r="U750" s="32"/>
      <c r="V750" s="32"/>
      <c r="W750" s="32"/>
      <c r="X750" s="32">
        <f>Inventory[[#This Row],[Bsmt Area]]-Inventory[[#This Row],[FnBsmt]]</f>
        <v>0</v>
      </c>
      <c r="Y750" s="32">
        <f>Inventory[[#This Row],[MainFn]]+Inventory[[#This Row],[UpprFn]]+Inventory[[#This Row],[AddFn]]+Inventory[[#This Row],[FnBsmt]]</f>
        <v>2080</v>
      </c>
      <c r="Z750" s="32">
        <v>2500</v>
      </c>
      <c r="AA750" s="31" t="s">
        <v>56</v>
      </c>
      <c r="AB750" s="32"/>
      <c r="AC750" s="30">
        <v>440</v>
      </c>
      <c r="AD750" s="32"/>
      <c r="AE750" s="32"/>
      <c r="AF750" s="32"/>
      <c r="AG750" s="32"/>
      <c r="AH750" s="32"/>
      <c r="AI750" s="30">
        <v>372981</v>
      </c>
      <c r="AJ750" s="30">
        <v>339413</v>
      </c>
      <c r="AK750" s="30">
        <v>0</v>
      </c>
      <c r="AL750" s="30">
        <v>0</v>
      </c>
      <c r="AM750" s="30">
        <v>60800</v>
      </c>
      <c r="AN750" s="30">
        <v>352200</v>
      </c>
      <c r="AO750" s="30">
        <v>413000</v>
      </c>
      <c r="AP750" s="30">
        <f>Lookups!$B$58*0.6</f>
        <v>132535.48800000001</v>
      </c>
      <c r="AQ750" s="30">
        <f>Lookups!$B$58*0.4</f>
        <v>88356.992000000013</v>
      </c>
      <c r="AR750" s="30">
        <f>Lookups!$B$59*Inventory[[#This Row],[LnAcres]]</f>
        <v>-24051.387388882686</v>
      </c>
      <c r="AS750" s="30">
        <f>VLOOKUP(Inventory[[#This Row],[Qlty]],Lookups!$A$66:$E$79,2,FALSE)</f>
        <v>37154.252388000001</v>
      </c>
      <c r="AT750" s="30">
        <f>VLOOKUP(Inventory[[#This Row],[Cnd]],Lookups!$A$80:$E$88,2,FALSE)</f>
        <v>50438.379078999998</v>
      </c>
      <c r="AU750" s="30">
        <f>Inventory[[#This Row],[EffAge]]*Lookups!$B$65</f>
        <v>-2066.0808999999999</v>
      </c>
      <c r="AV750" s="30">
        <f>Inventory[[#This Row],[MainFn]]*Lookups!$B$90</f>
        <v>64906.7952</v>
      </c>
      <c r="AW750" s="30">
        <f>Inventory[[#This Row],[UpprFn]]*Lookups!$B$91</f>
        <v>61963.598319999997</v>
      </c>
      <c r="AX750" s="30">
        <f>Inventory[[#This Row],[Bsmt Area]]*Lookups!$B$95</f>
        <v>0</v>
      </c>
      <c r="AY750" s="30">
        <f>Inventory[[#This Row],[AttGar]]*Lookups!$B$93</f>
        <v>15532.453640000002</v>
      </c>
      <c r="AZ750" s="30">
        <f>ROUND(Inventory[[#This Row],[25Det]],-2)</f>
        <v>0</v>
      </c>
      <c r="BA750" s="30">
        <f>ROUND(SUM(Inventory[[#This Row],[Mdl Qlty]:[Mdl Garage Area]])+Inventory[[#This Row],[Mdl Res Intercept]],-2)</f>
        <v>360500</v>
      </c>
      <c r="BB750" s="30">
        <f>ROUND(Inventory[[#This Row],[Mdl Land Intercept]]+Inventory[[#This Row],[Mdl LnAcres]],-2)</f>
        <v>64300</v>
      </c>
      <c r="BC750" s="30">
        <f>Inventory[[#This Row],[Unadj Res Value]]+Inventory[[#This Row],[Unadj Det Value]]+Inventory[[#This Row],[Unadj Land Value]]</f>
        <v>424800</v>
      </c>
      <c r="BD750" s="30">
        <f>(Inventory[[#This Row],[Unadj Total Value]]-Inventory[[#This Row],[24Final]])/Inventory[[#This Row],[24Final]]</f>
        <v>2.8571428571428571E-2</v>
      </c>
      <c r="BE750" s="30">
        <f>VLOOKUP(Inventory[[#This Row],[Nbhd]],Lookups!$M$3:$P$5,4,FALSE)</f>
        <v>0.99970000000000003</v>
      </c>
      <c r="BF750" s="30">
        <f>VLOOKUP(Inventory[[#This Row],[Qlty]],Lookups!$M$8:$P$22,4,FALSE)</f>
        <v>0.99819999999999998</v>
      </c>
      <c r="BG750" s="30">
        <f>VLOOKUP(Inventory[[#This Row],[Cnd]],Lookups!$R$8:$U$17,4,FALSE)</f>
        <v>1.0007999999999999</v>
      </c>
      <c r="BH750" s="30">
        <f>VLOOKUP(Inventory[[#This Row],[LivArea Range]],Lookups!$R$25:$U$43,4,FALSE)</f>
        <v>1.0008999999999999</v>
      </c>
      <c r="BI750" s="30">
        <f>VLOOKUP(Inventory[[#This Row],[Decade]],Lookups!$M$24:$P$40,4,FALSE)</f>
        <v>1.0024</v>
      </c>
      <c r="BJ750" s="30">
        <f>Inventory[[#This Row],[Nbhd Adj]]*0.95</f>
        <v>0.94971499999999998</v>
      </c>
      <c r="BK750" s="30">
        <f>AVERAGE(Inventory[[#This Row],[Nbhd Adj]],Inventory[[#This Row],[Quality Adj]],Inventory[[#This Row],[Condition Adj]],Inventory[[#This Row],[Living Area Adj]],Inventory[[#This Row],[Decade Adj]])*0.95</f>
        <v>0.95037999999999989</v>
      </c>
      <c r="BL750" s="30">
        <f>ROUND((SUM(Inventory[[#This Row],[Mdl Qlty]:[Mdl Garage Area]])+Inventory[[#This Row],[Mdl Res Intercept]])*Inventory[[#This Row],[Res Adj ]],-2)</f>
        <v>342600</v>
      </c>
      <c r="BM750" s="30">
        <f>ROUND(Inventory[[#This Row],[25Det]]*Inventory[[#This Row],[Det/Nbhd Adj]],-2)</f>
        <v>0</v>
      </c>
      <c r="BN750" s="30">
        <f>Inventory[[#This Row],[Adjusted Res]]+Inventory[[#This Row],[Adj Det ]]</f>
        <v>342600</v>
      </c>
      <c r="BO750" s="30">
        <f>ROUND((Inventory[[#This Row],[Mdl Land Intercept]]+Inventory[[#This Row],[Mdl LnAcres]])*Inventory[[#This Row],[Det/Nbhd Adj]],-2)</f>
        <v>61100</v>
      </c>
      <c r="BP750" s="30">
        <f>Inventory[[#This Row],[Adjusted Impr Total]]+Inventory[[#This Row],[Adjusted Land Total]]</f>
        <v>403700</v>
      </c>
      <c r="BQ750" s="30">
        <f>IFERROR((Inventory[[#This Row],[Adjusted Impr Total]]-Inventory[[#This Row],[24Bldg]])/Inventory[[#This Row],[24Bldg]],0)</f>
        <v>-2.7257240204429302E-2</v>
      </c>
      <c r="BR750" s="43">
        <f>(Inventory[[#This Row],[Adjusted Land Total]]-Inventory[[#This Row],[24Lnd]])/Inventory[[#This Row],[24Lnd]]</f>
        <v>4.9342105263157892E-3</v>
      </c>
      <c r="BS750" s="43">
        <f>(Inventory[[#This Row],[Adjusted Total]]-Inventory[[#This Row],[24Final]])/Inventory[[#This Row],[24Final]]</f>
        <v>-2.2518159806295398E-2</v>
      </c>
    </row>
    <row r="751" spans="1:71">
      <c r="A751" s="30">
        <v>2025</v>
      </c>
      <c r="B751" s="31" t="s">
        <v>1266</v>
      </c>
      <c r="C751" s="31">
        <f>LN(Inventory[[#This Row],[Acres]])</f>
        <v>-1.8325814637483102</v>
      </c>
      <c r="D751" s="30">
        <v>0.16</v>
      </c>
      <c r="E751" s="30">
        <v>6974</v>
      </c>
      <c r="F751" s="31" t="s">
        <v>505</v>
      </c>
      <c r="G751" s="31" t="s">
        <v>155</v>
      </c>
      <c r="H751" s="31" t="s">
        <v>5</v>
      </c>
      <c r="I751" s="31" t="s">
        <v>506</v>
      </c>
      <c r="J751" s="31" t="s">
        <v>507</v>
      </c>
      <c r="K751" s="31" t="s">
        <v>193</v>
      </c>
      <c r="L751" s="31" t="s">
        <v>21</v>
      </c>
      <c r="M751" s="31" t="s">
        <v>20</v>
      </c>
      <c r="N751" s="31">
        <v>10</v>
      </c>
      <c r="O751" s="31">
        <f>2024-Inventory[[#This Row],[YrBlt]]</f>
        <v>19</v>
      </c>
      <c r="P751" s="31">
        <f>2024-Inventory[[#This Row],[EffYr]]</f>
        <v>19</v>
      </c>
      <c r="Q751" s="30">
        <v>2005</v>
      </c>
      <c r="R751" s="30">
        <v>2005</v>
      </c>
      <c r="S751" s="30">
        <v>1380</v>
      </c>
      <c r="T751" s="37"/>
      <c r="U751" s="32"/>
      <c r="V751" s="32"/>
      <c r="W751" s="32"/>
      <c r="X751" s="32">
        <f>Inventory[[#This Row],[Bsmt Area]]-Inventory[[#This Row],[FnBsmt]]</f>
        <v>0</v>
      </c>
      <c r="Y751" s="32">
        <f>Inventory[[#This Row],[MainFn]]+Inventory[[#This Row],[UpprFn]]+Inventory[[#This Row],[AddFn]]+Inventory[[#This Row],[FnBsmt]]</f>
        <v>1380</v>
      </c>
      <c r="Z751" s="32">
        <v>1500</v>
      </c>
      <c r="AA751" s="31" t="s">
        <v>56</v>
      </c>
      <c r="AB751" s="37"/>
      <c r="AC751" s="30">
        <v>428</v>
      </c>
      <c r="AD751" s="32"/>
      <c r="AE751" s="32"/>
      <c r="AF751" s="32"/>
      <c r="AG751" s="32"/>
      <c r="AH751" s="32"/>
      <c r="AI751" s="30">
        <v>311063</v>
      </c>
      <c r="AJ751" s="30">
        <v>283067</v>
      </c>
      <c r="AK751" s="30">
        <v>0</v>
      </c>
      <c r="AL751" s="30">
        <v>0</v>
      </c>
      <c r="AM751" s="30">
        <v>60800</v>
      </c>
      <c r="AN751" s="30">
        <v>286000</v>
      </c>
      <c r="AO751" s="30">
        <v>346800</v>
      </c>
      <c r="AP751" s="30">
        <f>Lookups!$B$58*0.6</f>
        <v>132535.48800000001</v>
      </c>
      <c r="AQ751" s="30">
        <f>Lookups!$B$58*0.4</f>
        <v>88356.992000000013</v>
      </c>
      <c r="AR751" s="30">
        <f>Lookups!$B$59*Inventory[[#This Row],[LnAcres]]</f>
        <v>-24051.387388882686</v>
      </c>
      <c r="AS751" s="30">
        <f>VLOOKUP(Inventory[[#This Row],[Qlty]],Lookups!$A$66:$E$79,2,FALSE)</f>
        <v>32917.849192000001</v>
      </c>
      <c r="AT751" s="30">
        <f>VLOOKUP(Inventory[[#This Row],[Cnd]],Lookups!$A$80:$E$88,2,FALSE)</f>
        <v>30300.329274</v>
      </c>
      <c r="AU751" s="30">
        <f>Inventory[[#This Row],[EffAge]]*Lookups!$B$65</f>
        <v>-2066.0808999999999</v>
      </c>
      <c r="AV751" s="30">
        <f>Inventory[[#This Row],[MainFn]]*Lookups!$B$90</f>
        <v>86126.324399999998</v>
      </c>
      <c r="AW751" s="30">
        <f>Inventory[[#This Row],[UpprFn]]*Lookups!$B$91</f>
        <v>0</v>
      </c>
      <c r="AX751" s="30">
        <f>Inventory[[#This Row],[Bsmt Area]]*Lookups!$B$95</f>
        <v>0</v>
      </c>
      <c r="AY751" s="30">
        <f>Inventory[[#This Row],[AttGar]]*Lookups!$B$93</f>
        <v>15108.841268</v>
      </c>
      <c r="AZ751" s="30">
        <f>ROUND(Inventory[[#This Row],[25Det]],-2)</f>
        <v>0</v>
      </c>
      <c r="BA751" s="30">
        <f>ROUND(SUM(Inventory[[#This Row],[Mdl Qlty]:[Mdl Garage Area]])+Inventory[[#This Row],[Mdl Res Intercept]],-2)</f>
        <v>294900</v>
      </c>
      <c r="BB751" s="30">
        <f>ROUND(Inventory[[#This Row],[Mdl Land Intercept]]+Inventory[[#This Row],[Mdl LnAcres]],-2)</f>
        <v>64300</v>
      </c>
      <c r="BC751" s="30">
        <f>Inventory[[#This Row],[Unadj Res Value]]+Inventory[[#This Row],[Unadj Det Value]]+Inventory[[#This Row],[Unadj Land Value]]</f>
        <v>359200</v>
      </c>
      <c r="BD751" s="30">
        <f>(Inventory[[#This Row],[Unadj Total Value]]-Inventory[[#This Row],[24Final]])/Inventory[[#This Row],[24Final]]</f>
        <v>3.5755478662053058E-2</v>
      </c>
      <c r="BE751" s="30">
        <f>VLOOKUP(Inventory[[#This Row],[Nbhd]],Lookups!$M$3:$P$5,4,FALSE)</f>
        <v>0.99970000000000003</v>
      </c>
      <c r="BF751" s="30">
        <f>VLOOKUP(Inventory[[#This Row],[Qlty]],Lookups!$M$8:$P$22,4,FALSE)</f>
        <v>1.0019</v>
      </c>
      <c r="BG751" s="30">
        <f>VLOOKUP(Inventory[[#This Row],[Cnd]],Lookups!$R$8:$U$17,4,FALSE)</f>
        <v>0.997</v>
      </c>
      <c r="BH751" s="30">
        <f>VLOOKUP(Inventory[[#This Row],[LivArea Range]],Lookups!$R$25:$U$43,4,FALSE)</f>
        <v>0.99519999999999997</v>
      </c>
      <c r="BI751" s="30">
        <f>VLOOKUP(Inventory[[#This Row],[Decade]],Lookups!$M$24:$P$40,4,FALSE)</f>
        <v>1.0024</v>
      </c>
      <c r="BJ751" s="30">
        <f>Inventory[[#This Row],[Nbhd Adj]]*0.95</f>
        <v>0.94971499999999998</v>
      </c>
      <c r="BK751" s="30">
        <f>AVERAGE(Inventory[[#This Row],[Nbhd Adj]],Inventory[[#This Row],[Quality Adj]],Inventory[[#This Row],[Condition Adj]],Inventory[[#This Row],[Living Area Adj]],Inventory[[#This Row],[Decade Adj]])*0.95</f>
        <v>0.94927799999999996</v>
      </c>
      <c r="BL751" s="30">
        <f>ROUND((SUM(Inventory[[#This Row],[Mdl Qlty]:[Mdl Garage Area]])+Inventory[[#This Row],[Mdl Res Intercept]])*Inventory[[#This Row],[Res Adj ]],-2)</f>
        <v>280000</v>
      </c>
      <c r="BM751" s="30">
        <f>ROUND(Inventory[[#This Row],[25Det]]*Inventory[[#This Row],[Det/Nbhd Adj]],-2)</f>
        <v>0</v>
      </c>
      <c r="BN751" s="30">
        <f>Inventory[[#This Row],[Adjusted Res]]+Inventory[[#This Row],[Adj Det ]]</f>
        <v>280000</v>
      </c>
      <c r="BO751" s="30">
        <f>ROUND((Inventory[[#This Row],[Mdl Land Intercept]]+Inventory[[#This Row],[Mdl LnAcres]])*Inventory[[#This Row],[Det/Nbhd Adj]],-2)</f>
        <v>61100</v>
      </c>
      <c r="BP751" s="30">
        <f>Inventory[[#This Row],[Adjusted Impr Total]]+Inventory[[#This Row],[Adjusted Land Total]]</f>
        <v>341100</v>
      </c>
      <c r="BQ751" s="30">
        <f>IFERROR((Inventory[[#This Row],[Adjusted Impr Total]]-Inventory[[#This Row],[24Bldg]])/Inventory[[#This Row],[24Bldg]],0)</f>
        <v>-2.097902097902098E-2</v>
      </c>
      <c r="BR751" s="43">
        <f>(Inventory[[#This Row],[Adjusted Land Total]]-Inventory[[#This Row],[24Lnd]])/Inventory[[#This Row],[24Lnd]]</f>
        <v>4.9342105263157892E-3</v>
      </c>
      <c r="BS751" s="43">
        <f>(Inventory[[#This Row],[Adjusted Total]]-Inventory[[#This Row],[24Final]])/Inventory[[#This Row],[24Final]]</f>
        <v>-1.6435986159169549E-2</v>
      </c>
    </row>
    <row r="752" spans="1:71">
      <c r="A752" s="30">
        <v>2025</v>
      </c>
      <c r="B752" s="31" t="s">
        <v>1267</v>
      </c>
      <c r="C752" s="31">
        <f>LN(Inventory[[#This Row],[Acres]])</f>
        <v>-1.8325814637483102</v>
      </c>
      <c r="D752" s="30">
        <v>0.16</v>
      </c>
      <c r="E752" s="30">
        <v>6956</v>
      </c>
      <c r="F752" s="31" t="s">
        <v>505</v>
      </c>
      <c r="G752" s="31" t="s">
        <v>155</v>
      </c>
      <c r="H752" s="31" t="s">
        <v>5</v>
      </c>
      <c r="I752" s="31" t="s">
        <v>506</v>
      </c>
      <c r="J752" s="31" t="s">
        <v>507</v>
      </c>
      <c r="K752" s="31" t="s">
        <v>193</v>
      </c>
      <c r="L752" s="31" t="s">
        <v>19</v>
      </c>
      <c r="M752" s="31" t="s">
        <v>18</v>
      </c>
      <c r="N752" s="31">
        <v>10</v>
      </c>
      <c r="O752" s="31">
        <f>2024-Inventory[[#This Row],[YrBlt]]</f>
        <v>19</v>
      </c>
      <c r="P752" s="31">
        <f>2024-Inventory[[#This Row],[EffYr]]</f>
        <v>19</v>
      </c>
      <c r="Q752" s="30">
        <v>2005</v>
      </c>
      <c r="R752" s="30">
        <v>2005</v>
      </c>
      <c r="S752" s="30">
        <v>1543</v>
      </c>
      <c r="T752" s="37"/>
      <c r="U752" s="32"/>
      <c r="V752" s="32"/>
      <c r="W752" s="32"/>
      <c r="X752" s="32">
        <f>Inventory[[#This Row],[Bsmt Area]]-Inventory[[#This Row],[FnBsmt]]</f>
        <v>0</v>
      </c>
      <c r="Y752" s="32">
        <f>Inventory[[#This Row],[MainFn]]+Inventory[[#This Row],[UpprFn]]+Inventory[[#This Row],[AddFn]]+Inventory[[#This Row],[FnBsmt]]</f>
        <v>1543</v>
      </c>
      <c r="Z752" s="32">
        <v>2000</v>
      </c>
      <c r="AA752" s="31" t="s">
        <v>56</v>
      </c>
      <c r="AB752" s="32"/>
      <c r="AC752" s="30">
        <v>433</v>
      </c>
      <c r="AD752" s="32"/>
      <c r="AE752" s="32"/>
      <c r="AF752" s="32"/>
      <c r="AG752" s="32"/>
      <c r="AH752" s="32"/>
      <c r="AI752" s="30">
        <v>300372</v>
      </c>
      <c r="AJ752" s="30">
        <v>270335</v>
      </c>
      <c r="AK752" s="30">
        <v>0</v>
      </c>
      <c r="AL752" s="30">
        <v>0</v>
      </c>
      <c r="AM752" s="30">
        <v>60800</v>
      </c>
      <c r="AN752" s="30">
        <v>287900</v>
      </c>
      <c r="AO752" s="30">
        <v>348700</v>
      </c>
      <c r="AP752" s="30">
        <f>Lookups!$B$58*0.6</f>
        <v>132535.48800000001</v>
      </c>
      <c r="AQ752" s="30">
        <f>Lookups!$B$58*0.4</f>
        <v>88356.992000000013</v>
      </c>
      <c r="AR752" s="30">
        <f>Lookups!$B$59*Inventory[[#This Row],[LnAcres]]</f>
        <v>-24051.387388882686</v>
      </c>
      <c r="AS752" s="30">
        <f>VLOOKUP(Inventory[[#This Row],[Qlty]],Lookups!$A$66:$E$79,2,FALSE)</f>
        <v>37154.252388000001</v>
      </c>
      <c r="AT752" s="30">
        <f>VLOOKUP(Inventory[[#This Row],[Cnd]],Lookups!$A$80:$E$88,2,FALSE)</f>
        <v>17761.121909000001</v>
      </c>
      <c r="AU752" s="30">
        <f>Inventory[[#This Row],[EffAge]]*Lookups!$B$65</f>
        <v>-2066.0808999999999</v>
      </c>
      <c r="AV752" s="30">
        <f>Inventory[[#This Row],[MainFn]]*Lookups!$B$90</f>
        <v>96299.216339999999</v>
      </c>
      <c r="AW752" s="30">
        <f>Inventory[[#This Row],[UpprFn]]*Lookups!$B$91</f>
        <v>0</v>
      </c>
      <c r="AX752" s="30">
        <f>Inventory[[#This Row],[Bsmt Area]]*Lookups!$B$95</f>
        <v>0</v>
      </c>
      <c r="AY752" s="30">
        <f>Inventory[[#This Row],[AttGar]]*Lookups!$B$93</f>
        <v>15285.346423000001</v>
      </c>
      <c r="AZ752" s="30">
        <f>ROUND(Inventory[[#This Row],[25Det]],-2)</f>
        <v>0</v>
      </c>
      <c r="BA752" s="30">
        <f>ROUND(SUM(Inventory[[#This Row],[Mdl Qlty]:[Mdl Garage Area]])+Inventory[[#This Row],[Mdl Res Intercept]],-2)</f>
        <v>297000</v>
      </c>
      <c r="BB752" s="30">
        <f>ROUND(Inventory[[#This Row],[Mdl Land Intercept]]+Inventory[[#This Row],[Mdl LnAcres]],-2)</f>
        <v>64300</v>
      </c>
      <c r="BC752" s="30">
        <f>Inventory[[#This Row],[Unadj Res Value]]+Inventory[[#This Row],[Unadj Det Value]]+Inventory[[#This Row],[Unadj Land Value]]</f>
        <v>361300</v>
      </c>
      <c r="BD752" s="30">
        <f>(Inventory[[#This Row],[Unadj Total Value]]-Inventory[[#This Row],[24Final]])/Inventory[[#This Row],[24Final]]</f>
        <v>3.613421279036421E-2</v>
      </c>
      <c r="BE752" s="30">
        <f>VLOOKUP(Inventory[[#This Row],[Nbhd]],Lookups!$M$3:$P$5,4,FALSE)</f>
        <v>0.99970000000000003</v>
      </c>
      <c r="BF752" s="30">
        <f>VLOOKUP(Inventory[[#This Row],[Qlty]],Lookups!$M$8:$P$22,4,FALSE)</f>
        <v>0.99819999999999998</v>
      </c>
      <c r="BG752" s="30">
        <f>VLOOKUP(Inventory[[#This Row],[Cnd]],Lookups!$R$8:$U$17,4,FALSE)</f>
        <v>0.99680000000000002</v>
      </c>
      <c r="BH752" s="30">
        <f>VLOOKUP(Inventory[[#This Row],[LivArea Range]],Lookups!$R$25:$U$43,4,FALSE)</f>
        <v>1.0007999999999999</v>
      </c>
      <c r="BI752" s="30">
        <f>VLOOKUP(Inventory[[#This Row],[Decade]],Lookups!$M$24:$P$40,4,FALSE)</f>
        <v>1.0024</v>
      </c>
      <c r="BJ752" s="30">
        <f>Inventory[[#This Row],[Nbhd Adj]]*0.95</f>
        <v>0.94971499999999998</v>
      </c>
      <c r="BK752" s="30">
        <f>AVERAGE(Inventory[[#This Row],[Nbhd Adj]],Inventory[[#This Row],[Quality Adj]],Inventory[[#This Row],[Condition Adj]],Inventory[[#This Row],[Living Area Adj]],Inventory[[#This Row],[Decade Adj]])*0.95</f>
        <v>0.94960099999999992</v>
      </c>
      <c r="BL752" s="30">
        <f>ROUND((SUM(Inventory[[#This Row],[Mdl Qlty]:[Mdl Garage Area]])+Inventory[[#This Row],[Mdl Res Intercept]])*Inventory[[#This Row],[Res Adj ]],-2)</f>
        <v>282000</v>
      </c>
      <c r="BM752" s="30">
        <f>ROUND(Inventory[[#This Row],[25Det]]*Inventory[[#This Row],[Det/Nbhd Adj]],-2)</f>
        <v>0</v>
      </c>
      <c r="BN752" s="30">
        <f>Inventory[[#This Row],[Adjusted Res]]+Inventory[[#This Row],[Adj Det ]]</f>
        <v>282000</v>
      </c>
      <c r="BO752" s="30">
        <f>ROUND((Inventory[[#This Row],[Mdl Land Intercept]]+Inventory[[#This Row],[Mdl LnAcres]])*Inventory[[#This Row],[Det/Nbhd Adj]],-2)</f>
        <v>61100</v>
      </c>
      <c r="BP752" s="30">
        <f>Inventory[[#This Row],[Adjusted Impr Total]]+Inventory[[#This Row],[Adjusted Land Total]]</f>
        <v>343100</v>
      </c>
      <c r="BQ752" s="30">
        <f>IFERROR((Inventory[[#This Row],[Adjusted Impr Total]]-Inventory[[#This Row],[24Bldg]])/Inventory[[#This Row],[24Bldg]],0)</f>
        <v>-2.0493226814866271E-2</v>
      </c>
      <c r="BR752" s="43">
        <f>(Inventory[[#This Row],[Adjusted Land Total]]-Inventory[[#This Row],[24Lnd]])/Inventory[[#This Row],[24Lnd]]</f>
        <v>4.9342105263157892E-3</v>
      </c>
      <c r="BS752" s="43">
        <f>(Inventory[[#This Row],[Adjusted Total]]-Inventory[[#This Row],[24Final]])/Inventory[[#This Row],[24Final]]</f>
        <v>-1.6059650129050761E-2</v>
      </c>
    </row>
    <row r="753" spans="1:71">
      <c r="A753" s="30">
        <v>2025</v>
      </c>
      <c r="B753" s="31" t="s">
        <v>1268</v>
      </c>
      <c r="C753" s="31">
        <f>LN(Inventory[[#This Row],[Acres]])</f>
        <v>-1.8325814637483102</v>
      </c>
      <c r="D753" s="30">
        <v>0.16</v>
      </c>
      <c r="E753" s="30">
        <v>6902</v>
      </c>
      <c r="F753" s="31" t="s">
        <v>505</v>
      </c>
      <c r="G753" s="31" t="s">
        <v>155</v>
      </c>
      <c r="H753" s="31" t="s">
        <v>5</v>
      </c>
      <c r="I753" s="31" t="s">
        <v>506</v>
      </c>
      <c r="J753" s="31" t="s">
        <v>507</v>
      </c>
      <c r="K753" s="31" t="s">
        <v>157</v>
      </c>
      <c r="L753" s="31" t="s">
        <v>21</v>
      </c>
      <c r="M753" s="31" t="s">
        <v>20</v>
      </c>
      <c r="N753" s="31">
        <v>10</v>
      </c>
      <c r="O753" s="31">
        <f>2024-Inventory[[#This Row],[YrBlt]]</f>
        <v>19</v>
      </c>
      <c r="P753" s="31">
        <f>2024-Inventory[[#This Row],[EffYr]]</f>
        <v>19</v>
      </c>
      <c r="Q753" s="30">
        <v>2005</v>
      </c>
      <c r="R753" s="30">
        <v>2005</v>
      </c>
      <c r="S753" s="30">
        <v>1116</v>
      </c>
      <c r="T753" s="38">
        <v>1116</v>
      </c>
      <c r="U753" s="32"/>
      <c r="V753" s="32"/>
      <c r="W753" s="32"/>
      <c r="X753" s="32">
        <f>Inventory[[#This Row],[Bsmt Area]]-Inventory[[#This Row],[FnBsmt]]</f>
        <v>0</v>
      </c>
      <c r="Y753" s="32">
        <f>Inventory[[#This Row],[MainFn]]+Inventory[[#This Row],[UpprFn]]+Inventory[[#This Row],[AddFn]]+Inventory[[#This Row],[FnBsmt]]</f>
        <v>2232</v>
      </c>
      <c r="Z753" s="32">
        <v>2500</v>
      </c>
      <c r="AA753" s="31" t="s">
        <v>56</v>
      </c>
      <c r="AB753" s="32"/>
      <c r="AC753" s="30">
        <v>716</v>
      </c>
      <c r="AD753" s="32"/>
      <c r="AE753" s="32"/>
      <c r="AF753" s="32"/>
      <c r="AG753" s="32"/>
      <c r="AH753" s="32"/>
      <c r="AI753" s="30">
        <v>451414</v>
      </c>
      <c r="AJ753" s="30">
        <v>410787</v>
      </c>
      <c r="AK753" s="30">
        <v>0</v>
      </c>
      <c r="AL753" s="30">
        <v>0</v>
      </c>
      <c r="AM753" s="30">
        <v>60800</v>
      </c>
      <c r="AN753" s="30">
        <v>346400</v>
      </c>
      <c r="AO753" s="30">
        <v>407200</v>
      </c>
      <c r="AP753" s="30">
        <f>Lookups!$B$58*0.6</f>
        <v>132535.48800000001</v>
      </c>
      <c r="AQ753" s="30">
        <f>Lookups!$B$58*0.4</f>
        <v>88356.992000000013</v>
      </c>
      <c r="AR753" s="30">
        <f>Lookups!$B$59*Inventory[[#This Row],[LnAcres]]</f>
        <v>-24051.387388882686</v>
      </c>
      <c r="AS753" s="30">
        <f>VLOOKUP(Inventory[[#This Row],[Qlty]],Lookups!$A$66:$E$79,2,FALSE)</f>
        <v>32917.849192000001</v>
      </c>
      <c r="AT753" s="30">
        <f>VLOOKUP(Inventory[[#This Row],[Cnd]],Lookups!$A$80:$E$88,2,FALSE)</f>
        <v>30300.329274</v>
      </c>
      <c r="AU753" s="30">
        <f>Inventory[[#This Row],[EffAge]]*Lookups!$B$65</f>
        <v>-2066.0808999999999</v>
      </c>
      <c r="AV753" s="30">
        <f>Inventory[[#This Row],[MainFn]]*Lookups!$B$90</f>
        <v>69649.984080000009</v>
      </c>
      <c r="AW753" s="30">
        <f>Inventory[[#This Row],[UpprFn]]*Lookups!$B$91</f>
        <v>66491.707427999994</v>
      </c>
      <c r="AX753" s="30">
        <f>Inventory[[#This Row],[Bsmt Area]]*Lookups!$B$95</f>
        <v>0</v>
      </c>
      <c r="AY753" s="30">
        <f>Inventory[[#This Row],[AttGar]]*Lookups!$B$93</f>
        <v>25275.538196000001</v>
      </c>
      <c r="AZ753" s="30">
        <f>ROUND(Inventory[[#This Row],[25Det]],-2)</f>
        <v>0</v>
      </c>
      <c r="BA753" s="30">
        <f>ROUND(SUM(Inventory[[#This Row],[Mdl Qlty]:[Mdl Garage Area]])+Inventory[[#This Row],[Mdl Res Intercept]],-2)</f>
        <v>355100</v>
      </c>
      <c r="BB753" s="30">
        <f>ROUND(Inventory[[#This Row],[Mdl Land Intercept]]+Inventory[[#This Row],[Mdl LnAcres]],-2)</f>
        <v>64300</v>
      </c>
      <c r="BC753" s="30">
        <f>Inventory[[#This Row],[Unadj Res Value]]+Inventory[[#This Row],[Unadj Det Value]]+Inventory[[#This Row],[Unadj Land Value]]</f>
        <v>419400</v>
      </c>
      <c r="BD753" s="30">
        <f>(Inventory[[#This Row],[Unadj Total Value]]-Inventory[[#This Row],[24Final]])/Inventory[[#This Row],[24Final]]</f>
        <v>2.9960707269155205E-2</v>
      </c>
      <c r="BE753" s="30">
        <f>VLOOKUP(Inventory[[#This Row],[Nbhd]],Lookups!$M$3:$P$5,4,FALSE)</f>
        <v>0.99970000000000003</v>
      </c>
      <c r="BF753" s="30">
        <f>VLOOKUP(Inventory[[#This Row],[Qlty]],Lookups!$M$8:$P$22,4,FALSE)</f>
        <v>1.0019</v>
      </c>
      <c r="BG753" s="30">
        <f>VLOOKUP(Inventory[[#This Row],[Cnd]],Lookups!$R$8:$U$17,4,FALSE)</f>
        <v>0.997</v>
      </c>
      <c r="BH753" s="30">
        <f>VLOOKUP(Inventory[[#This Row],[LivArea Range]],Lookups!$R$25:$U$43,4,FALSE)</f>
        <v>1.0008999999999999</v>
      </c>
      <c r="BI753" s="30">
        <f>VLOOKUP(Inventory[[#This Row],[Decade]],Lookups!$M$24:$P$40,4,FALSE)</f>
        <v>1.0024</v>
      </c>
      <c r="BJ753" s="30">
        <f>Inventory[[#This Row],[Nbhd Adj]]*0.95</f>
        <v>0.94971499999999998</v>
      </c>
      <c r="BK753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53" s="30">
        <f>ROUND((SUM(Inventory[[#This Row],[Mdl Qlty]:[Mdl Garage Area]])+Inventory[[#This Row],[Mdl Res Intercept]])*Inventory[[#This Row],[Res Adj ]],-2)</f>
        <v>337500</v>
      </c>
      <c r="BM753" s="30">
        <f>ROUND(Inventory[[#This Row],[25Det]]*Inventory[[#This Row],[Det/Nbhd Adj]],-2)</f>
        <v>0</v>
      </c>
      <c r="BN753" s="30">
        <f>Inventory[[#This Row],[Adjusted Res]]+Inventory[[#This Row],[Adj Det ]]</f>
        <v>337500</v>
      </c>
      <c r="BO753" s="30">
        <f>ROUND((Inventory[[#This Row],[Mdl Land Intercept]]+Inventory[[#This Row],[Mdl LnAcres]])*Inventory[[#This Row],[Det/Nbhd Adj]],-2)</f>
        <v>61100</v>
      </c>
      <c r="BP753" s="30">
        <f>Inventory[[#This Row],[Adjusted Impr Total]]+Inventory[[#This Row],[Adjusted Land Total]]</f>
        <v>398600</v>
      </c>
      <c r="BQ753" s="30">
        <f>IFERROR((Inventory[[#This Row],[Adjusted Impr Total]]-Inventory[[#This Row],[24Bldg]])/Inventory[[#This Row],[24Bldg]],0)</f>
        <v>-2.5692840646651269E-2</v>
      </c>
      <c r="BR753" s="43">
        <f>(Inventory[[#This Row],[Adjusted Land Total]]-Inventory[[#This Row],[24Lnd]])/Inventory[[#This Row],[24Lnd]]</f>
        <v>4.9342105263157892E-3</v>
      </c>
      <c r="BS753" s="43">
        <f>(Inventory[[#This Row],[Adjusted Total]]-Inventory[[#This Row],[24Final]])/Inventory[[#This Row],[24Final]]</f>
        <v>-2.111984282907662E-2</v>
      </c>
    </row>
    <row r="754" spans="1:71">
      <c r="A754" s="30">
        <v>2025</v>
      </c>
      <c r="B754" s="31" t="s">
        <v>1269</v>
      </c>
      <c r="C754" s="31">
        <f>LN(Inventory[[#This Row],[Acres]])</f>
        <v>-1.8325814637483102</v>
      </c>
      <c r="D754" s="30">
        <v>0.16</v>
      </c>
      <c r="E754" s="30">
        <v>6945</v>
      </c>
      <c r="F754" s="31" t="s">
        <v>505</v>
      </c>
      <c r="G754" s="31" t="s">
        <v>155</v>
      </c>
      <c r="H754" s="31" t="s">
        <v>5</v>
      </c>
      <c r="I754" s="31" t="s">
        <v>506</v>
      </c>
      <c r="J754" s="31" t="s">
        <v>507</v>
      </c>
      <c r="K754" s="31" t="s">
        <v>157</v>
      </c>
      <c r="L754" s="31" t="s">
        <v>19</v>
      </c>
      <c r="M754" s="31" t="s">
        <v>22</v>
      </c>
      <c r="N754" s="31">
        <v>10</v>
      </c>
      <c r="O754" s="31">
        <f>2024-Inventory[[#This Row],[YrBlt]]</f>
        <v>19</v>
      </c>
      <c r="P754" s="31">
        <f>2024-Inventory[[#This Row],[EffYr]]</f>
        <v>19</v>
      </c>
      <c r="Q754" s="30">
        <v>2005</v>
      </c>
      <c r="R754" s="30">
        <v>2005</v>
      </c>
      <c r="S754" s="30">
        <v>1092</v>
      </c>
      <c r="T754" s="32"/>
      <c r="U754" s="32"/>
      <c r="V754" s="32"/>
      <c r="W754" s="32"/>
      <c r="X754" s="32">
        <f>Inventory[[#This Row],[Bsmt Area]]-Inventory[[#This Row],[FnBsmt]]</f>
        <v>0</v>
      </c>
      <c r="Y754" s="32">
        <f>Inventory[[#This Row],[MainFn]]+Inventory[[#This Row],[UpprFn]]+Inventory[[#This Row],[AddFn]]+Inventory[[#This Row],[FnBsmt]]</f>
        <v>1092</v>
      </c>
      <c r="Z754" s="32">
        <v>1500</v>
      </c>
      <c r="AA754" s="31" t="s">
        <v>56</v>
      </c>
      <c r="AB754" s="38">
        <v>1</v>
      </c>
      <c r="AC754" s="30">
        <v>440</v>
      </c>
      <c r="AD754" s="32"/>
      <c r="AE754" s="32"/>
      <c r="AF754" s="32"/>
      <c r="AG754" s="32"/>
      <c r="AH754" s="32"/>
      <c r="AI754" s="30">
        <v>235315</v>
      </c>
      <c r="AJ754" s="30">
        <v>214137</v>
      </c>
      <c r="AK754" s="30">
        <v>0</v>
      </c>
      <c r="AL754" s="30">
        <v>0</v>
      </c>
      <c r="AM754" s="30">
        <v>60800</v>
      </c>
      <c r="AN754" s="30">
        <v>292400</v>
      </c>
      <c r="AO754" s="30">
        <v>353200</v>
      </c>
      <c r="AP754" s="30">
        <f>Lookups!$B$58*0.6</f>
        <v>132535.48800000001</v>
      </c>
      <c r="AQ754" s="30">
        <f>Lookups!$B$58*0.4</f>
        <v>88356.992000000013</v>
      </c>
      <c r="AR754" s="30">
        <f>Lookups!$B$59*Inventory[[#This Row],[LnAcres]]</f>
        <v>-24051.387388882686</v>
      </c>
      <c r="AS754" s="30">
        <f>VLOOKUP(Inventory[[#This Row],[Qlty]],Lookups!$A$66:$E$79,2,FALSE)</f>
        <v>37154.252388000001</v>
      </c>
      <c r="AT754" s="30">
        <f>VLOOKUP(Inventory[[#This Row],[Cnd]],Lookups!$A$80:$E$88,2,FALSE)</f>
        <v>50438.379078999998</v>
      </c>
      <c r="AU754" s="30">
        <f>Inventory[[#This Row],[EffAge]]*Lookups!$B$65</f>
        <v>-2066.0808999999999</v>
      </c>
      <c r="AV754" s="30">
        <f>Inventory[[#This Row],[MainFn]]*Lookups!$B$90</f>
        <v>68152.13496000001</v>
      </c>
      <c r="AW754" s="30">
        <f>Inventory[[#This Row],[UpprFn]]*Lookups!$B$91</f>
        <v>0</v>
      </c>
      <c r="AX754" s="30">
        <f>Inventory[[#This Row],[Bsmt Area]]*Lookups!$B$95</f>
        <v>0</v>
      </c>
      <c r="AY754" s="30">
        <f>Inventory[[#This Row],[AttGar]]*Lookups!$B$93</f>
        <v>15532.453640000002</v>
      </c>
      <c r="AZ754" s="30">
        <f>ROUND(Inventory[[#This Row],[25Det]],-2)</f>
        <v>0</v>
      </c>
      <c r="BA754" s="30">
        <f>ROUND(SUM(Inventory[[#This Row],[Mdl Qlty]:[Mdl Garage Area]])+Inventory[[#This Row],[Mdl Res Intercept]],-2)</f>
        <v>301700</v>
      </c>
      <c r="BB754" s="30">
        <f>ROUND(Inventory[[#This Row],[Mdl Land Intercept]]+Inventory[[#This Row],[Mdl LnAcres]],-2)</f>
        <v>64300</v>
      </c>
      <c r="BC754" s="30">
        <f>Inventory[[#This Row],[Unadj Res Value]]+Inventory[[#This Row],[Unadj Det Value]]+Inventory[[#This Row],[Unadj Land Value]]</f>
        <v>366000</v>
      </c>
      <c r="BD754" s="30">
        <f>(Inventory[[#This Row],[Unadj Total Value]]-Inventory[[#This Row],[24Final]])/Inventory[[#This Row],[24Final]]</f>
        <v>3.6240090600226503E-2</v>
      </c>
      <c r="BE754" s="30">
        <f>VLOOKUP(Inventory[[#This Row],[Nbhd]],Lookups!$M$3:$P$5,4,FALSE)</f>
        <v>0.99970000000000003</v>
      </c>
      <c r="BF754" s="30">
        <f>VLOOKUP(Inventory[[#This Row],[Qlty]],Lookups!$M$8:$P$22,4,FALSE)</f>
        <v>0.99819999999999998</v>
      </c>
      <c r="BG754" s="30">
        <f>VLOOKUP(Inventory[[#This Row],[Cnd]],Lookups!$R$8:$U$17,4,FALSE)</f>
        <v>1.0007999999999999</v>
      </c>
      <c r="BH754" s="30">
        <f>VLOOKUP(Inventory[[#This Row],[LivArea Range]],Lookups!$R$25:$U$43,4,FALSE)</f>
        <v>0.99519999999999997</v>
      </c>
      <c r="BI754" s="30">
        <f>VLOOKUP(Inventory[[#This Row],[Decade]],Lookups!$M$24:$P$40,4,FALSE)</f>
        <v>1.0024</v>
      </c>
      <c r="BJ754" s="30">
        <f>Inventory[[#This Row],[Nbhd Adj]]*0.95</f>
        <v>0.94971499999999998</v>
      </c>
      <c r="BK754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754" s="30">
        <f>ROUND((SUM(Inventory[[#This Row],[Mdl Qlty]:[Mdl Garage Area]])+Inventory[[#This Row],[Mdl Res Intercept]])*Inventory[[#This Row],[Res Adj ]],-2)</f>
        <v>286400</v>
      </c>
      <c r="BM754" s="30">
        <f>ROUND(Inventory[[#This Row],[25Det]]*Inventory[[#This Row],[Det/Nbhd Adj]],-2)</f>
        <v>0</v>
      </c>
      <c r="BN754" s="30">
        <f>Inventory[[#This Row],[Adjusted Res]]+Inventory[[#This Row],[Adj Det ]]</f>
        <v>286400</v>
      </c>
      <c r="BO754" s="30">
        <f>ROUND((Inventory[[#This Row],[Mdl Land Intercept]]+Inventory[[#This Row],[Mdl LnAcres]])*Inventory[[#This Row],[Det/Nbhd Adj]],-2)</f>
        <v>61100</v>
      </c>
      <c r="BP754" s="30">
        <f>Inventory[[#This Row],[Adjusted Impr Total]]+Inventory[[#This Row],[Adjusted Land Total]]</f>
        <v>347500</v>
      </c>
      <c r="BQ754" s="30">
        <f>IFERROR((Inventory[[#This Row],[Adjusted Impr Total]]-Inventory[[#This Row],[24Bldg]])/Inventory[[#This Row],[24Bldg]],0)</f>
        <v>-2.0519835841313269E-2</v>
      </c>
      <c r="BR754" s="43">
        <f>(Inventory[[#This Row],[Adjusted Land Total]]-Inventory[[#This Row],[24Lnd]])/Inventory[[#This Row],[24Lnd]]</f>
        <v>4.9342105263157892E-3</v>
      </c>
      <c r="BS754" s="43">
        <f>(Inventory[[#This Row],[Adjusted Total]]-Inventory[[#This Row],[24Final]])/Inventory[[#This Row],[24Final]]</f>
        <v>-1.6138165345413364E-2</v>
      </c>
    </row>
    <row r="755" spans="1:71">
      <c r="A755" s="30">
        <v>2025</v>
      </c>
      <c r="B755" s="31" t="s">
        <v>1270</v>
      </c>
      <c r="C755" s="31">
        <f>LN(Inventory[[#This Row],[Acres]])</f>
        <v>-1.8325814637483102</v>
      </c>
      <c r="D755" s="30">
        <v>0.16</v>
      </c>
      <c r="E755" s="30">
        <v>6972</v>
      </c>
      <c r="F755" s="31" t="s">
        <v>505</v>
      </c>
      <c r="G755" s="31" t="s">
        <v>155</v>
      </c>
      <c r="H755" s="31" t="s">
        <v>5</v>
      </c>
      <c r="I755" s="31" t="s">
        <v>506</v>
      </c>
      <c r="J755" s="31" t="s">
        <v>507</v>
      </c>
      <c r="K755" s="31" t="s">
        <v>193</v>
      </c>
      <c r="L755" s="31" t="s">
        <v>19</v>
      </c>
      <c r="M755" s="31" t="s">
        <v>22</v>
      </c>
      <c r="N755" s="31">
        <v>10</v>
      </c>
      <c r="O755" s="31">
        <f>2024-Inventory[[#This Row],[YrBlt]]</f>
        <v>19</v>
      </c>
      <c r="P755" s="31">
        <f>2024-Inventory[[#This Row],[EffYr]]</f>
        <v>19</v>
      </c>
      <c r="Q755" s="30">
        <v>2005</v>
      </c>
      <c r="R755" s="30">
        <v>2005</v>
      </c>
      <c r="S755" s="30">
        <v>1092</v>
      </c>
      <c r="T755" s="37"/>
      <c r="U755" s="32"/>
      <c r="V755" s="32"/>
      <c r="W755" s="32"/>
      <c r="X755" s="32">
        <f>Inventory[[#This Row],[Bsmt Area]]-Inventory[[#This Row],[FnBsmt]]</f>
        <v>0</v>
      </c>
      <c r="Y755" s="32">
        <f>Inventory[[#This Row],[MainFn]]+Inventory[[#This Row],[UpprFn]]+Inventory[[#This Row],[AddFn]]+Inventory[[#This Row],[FnBsmt]]</f>
        <v>1092</v>
      </c>
      <c r="Z755" s="32">
        <v>1500</v>
      </c>
      <c r="AA755" s="31" t="s">
        <v>56</v>
      </c>
      <c r="AB755" s="32"/>
      <c r="AC755" s="30">
        <v>440</v>
      </c>
      <c r="AD755" s="32"/>
      <c r="AE755" s="32"/>
      <c r="AF755" s="32"/>
      <c r="AG755" s="32"/>
      <c r="AH755" s="32"/>
      <c r="AI755" s="30">
        <v>240679</v>
      </c>
      <c r="AJ755" s="30">
        <v>219018</v>
      </c>
      <c r="AK755" s="30">
        <v>0</v>
      </c>
      <c r="AL755" s="30">
        <v>0</v>
      </c>
      <c r="AM755" s="30">
        <v>60800</v>
      </c>
      <c r="AN755" s="30">
        <v>292400</v>
      </c>
      <c r="AO755" s="30">
        <v>353200</v>
      </c>
      <c r="AP755" s="30">
        <f>Lookups!$B$58*0.6</f>
        <v>132535.48800000001</v>
      </c>
      <c r="AQ755" s="30">
        <f>Lookups!$B$58*0.4</f>
        <v>88356.992000000013</v>
      </c>
      <c r="AR755" s="30">
        <f>Lookups!$B$59*Inventory[[#This Row],[LnAcres]]</f>
        <v>-24051.387388882686</v>
      </c>
      <c r="AS755" s="30">
        <f>VLOOKUP(Inventory[[#This Row],[Qlty]],Lookups!$A$66:$E$79,2,FALSE)</f>
        <v>37154.252388000001</v>
      </c>
      <c r="AT755" s="30">
        <f>VLOOKUP(Inventory[[#This Row],[Cnd]],Lookups!$A$80:$E$88,2,FALSE)</f>
        <v>50438.379078999998</v>
      </c>
      <c r="AU755" s="30">
        <f>Inventory[[#This Row],[EffAge]]*Lookups!$B$65</f>
        <v>-2066.0808999999999</v>
      </c>
      <c r="AV755" s="30">
        <f>Inventory[[#This Row],[MainFn]]*Lookups!$B$90</f>
        <v>68152.13496000001</v>
      </c>
      <c r="AW755" s="30">
        <f>Inventory[[#This Row],[UpprFn]]*Lookups!$B$91</f>
        <v>0</v>
      </c>
      <c r="AX755" s="30">
        <f>Inventory[[#This Row],[Bsmt Area]]*Lookups!$B$95</f>
        <v>0</v>
      </c>
      <c r="AY755" s="30">
        <f>Inventory[[#This Row],[AttGar]]*Lookups!$B$93</f>
        <v>15532.453640000002</v>
      </c>
      <c r="AZ755" s="30">
        <f>ROUND(Inventory[[#This Row],[25Det]],-2)</f>
        <v>0</v>
      </c>
      <c r="BA755" s="30">
        <f>ROUND(SUM(Inventory[[#This Row],[Mdl Qlty]:[Mdl Garage Area]])+Inventory[[#This Row],[Mdl Res Intercept]],-2)</f>
        <v>301700</v>
      </c>
      <c r="BB755" s="30">
        <f>ROUND(Inventory[[#This Row],[Mdl Land Intercept]]+Inventory[[#This Row],[Mdl LnAcres]],-2)</f>
        <v>64300</v>
      </c>
      <c r="BC755" s="30">
        <f>Inventory[[#This Row],[Unadj Res Value]]+Inventory[[#This Row],[Unadj Det Value]]+Inventory[[#This Row],[Unadj Land Value]]</f>
        <v>366000</v>
      </c>
      <c r="BD755" s="30">
        <f>(Inventory[[#This Row],[Unadj Total Value]]-Inventory[[#This Row],[24Final]])/Inventory[[#This Row],[24Final]]</f>
        <v>3.6240090600226503E-2</v>
      </c>
      <c r="BE755" s="30">
        <f>VLOOKUP(Inventory[[#This Row],[Nbhd]],Lookups!$M$3:$P$5,4,FALSE)</f>
        <v>0.99970000000000003</v>
      </c>
      <c r="BF755" s="30">
        <f>VLOOKUP(Inventory[[#This Row],[Qlty]],Lookups!$M$8:$P$22,4,FALSE)</f>
        <v>0.99819999999999998</v>
      </c>
      <c r="BG755" s="30">
        <f>VLOOKUP(Inventory[[#This Row],[Cnd]],Lookups!$R$8:$U$17,4,FALSE)</f>
        <v>1.0007999999999999</v>
      </c>
      <c r="BH755" s="30">
        <f>VLOOKUP(Inventory[[#This Row],[LivArea Range]],Lookups!$R$25:$U$43,4,FALSE)</f>
        <v>0.99519999999999997</v>
      </c>
      <c r="BI755" s="30">
        <f>VLOOKUP(Inventory[[#This Row],[Decade]],Lookups!$M$24:$P$40,4,FALSE)</f>
        <v>1.0024</v>
      </c>
      <c r="BJ755" s="30">
        <f>Inventory[[#This Row],[Nbhd Adj]]*0.95</f>
        <v>0.94971499999999998</v>
      </c>
      <c r="BK755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755" s="30">
        <f>ROUND((SUM(Inventory[[#This Row],[Mdl Qlty]:[Mdl Garage Area]])+Inventory[[#This Row],[Mdl Res Intercept]])*Inventory[[#This Row],[Res Adj ]],-2)</f>
        <v>286400</v>
      </c>
      <c r="BM755" s="30">
        <f>ROUND(Inventory[[#This Row],[25Det]]*Inventory[[#This Row],[Det/Nbhd Adj]],-2)</f>
        <v>0</v>
      </c>
      <c r="BN755" s="30">
        <f>Inventory[[#This Row],[Adjusted Res]]+Inventory[[#This Row],[Adj Det ]]</f>
        <v>286400</v>
      </c>
      <c r="BO755" s="30">
        <f>ROUND((Inventory[[#This Row],[Mdl Land Intercept]]+Inventory[[#This Row],[Mdl LnAcres]])*Inventory[[#This Row],[Det/Nbhd Adj]],-2)</f>
        <v>61100</v>
      </c>
      <c r="BP755" s="30">
        <f>Inventory[[#This Row],[Adjusted Impr Total]]+Inventory[[#This Row],[Adjusted Land Total]]</f>
        <v>347500</v>
      </c>
      <c r="BQ755" s="30">
        <f>IFERROR((Inventory[[#This Row],[Adjusted Impr Total]]-Inventory[[#This Row],[24Bldg]])/Inventory[[#This Row],[24Bldg]],0)</f>
        <v>-2.0519835841313269E-2</v>
      </c>
      <c r="BR755" s="43">
        <f>(Inventory[[#This Row],[Adjusted Land Total]]-Inventory[[#This Row],[24Lnd]])/Inventory[[#This Row],[24Lnd]]</f>
        <v>4.9342105263157892E-3</v>
      </c>
      <c r="BS755" s="43">
        <f>(Inventory[[#This Row],[Adjusted Total]]-Inventory[[#This Row],[24Final]])/Inventory[[#This Row],[24Final]]</f>
        <v>-1.6138165345413364E-2</v>
      </c>
    </row>
    <row r="756" spans="1:71">
      <c r="A756" s="30">
        <v>2025</v>
      </c>
      <c r="B756" s="31" t="s">
        <v>1271</v>
      </c>
      <c r="C756" s="31">
        <f>LN(Inventory[[#This Row],[Acres]])</f>
        <v>-1.8325814637483102</v>
      </c>
      <c r="D756" s="30">
        <v>0.16</v>
      </c>
      <c r="E756" s="30">
        <v>6951</v>
      </c>
      <c r="F756" s="31" t="s">
        <v>505</v>
      </c>
      <c r="G756" s="31" t="s">
        <v>155</v>
      </c>
      <c r="H756" s="31" t="s">
        <v>5</v>
      </c>
      <c r="I756" s="31" t="s">
        <v>506</v>
      </c>
      <c r="J756" s="31" t="s">
        <v>507</v>
      </c>
      <c r="K756" s="31" t="s">
        <v>193</v>
      </c>
      <c r="L756" s="31" t="s">
        <v>21</v>
      </c>
      <c r="M756" s="31" t="s">
        <v>20</v>
      </c>
      <c r="N756" s="31">
        <v>10</v>
      </c>
      <c r="O756" s="31">
        <f>2024-Inventory[[#This Row],[YrBlt]]</f>
        <v>19</v>
      </c>
      <c r="P756" s="31">
        <f>2024-Inventory[[#This Row],[EffYr]]</f>
        <v>19</v>
      </c>
      <c r="Q756" s="30">
        <v>2005</v>
      </c>
      <c r="R756" s="30">
        <v>2005</v>
      </c>
      <c r="S756" s="30">
        <v>1706</v>
      </c>
      <c r="T756" s="37"/>
      <c r="U756" s="32"/>
      <c r="V756" s="32"/>
      <c r="W756" s="32"/>
      <c r="X756" s="32">
        <f>Inventory[[#This Row],[Bsmt Area]]-Inventory[[#This Row],[FnBsmt]]</f>
        <v>0</v>
      </c>
      <c r="Y756" s="32">
        <f>Inventory[[#This Row],[MainFn]]+Inventory[[#This Row],[UpprFn]]+Inventory[[#This Row],[AddFn]]+Inventory[[#This Row],[FnBsmt]]</f>
        <v>1706</v>
      </c>
      <c r="Z756" s="32">
        <v>2000</v>
      </c>
      <c r="AA756" s="31" t="s">
        <v>56</v>
      </c>
      <c r="AB756" s="30">
        <v>1</v>
      </c>
      <c r="AC756" s="30">
        <v>706</v>
      </c>
      <c r="AD756" s="32"/>
      <c r="AE756" s="32"/>
      <c r="AF756" s="32"/>
      <c r="AG756" s="32"/>
      <c r="AH756" s="32"/>
      <c r="AI756" s="30">
        <v>404229</v>
      </c>
      <c r="AJ756" s="30">
        <v>367848</v>
      </c>
      <c r="AK756" s="30">
        <v>0</v>
      </c>
      <c r="AL756" s="30">
        <v>0</v>
      </c>
      <c r="AM756" s="30">
        <v>60800</v>
      </c>
      <c r="AN756" s="30">
        <v>315800</v>
      </c>
      <c r="AO756" s="30">
        <v>376600</v>
      </c>
      <c r="AP756" s="30">
        <f>Lookups!$B$58*0.6</f>
        <v>132535.48800000001</v>
      </c>
      <c r="AQ756" s="30">
        <f>Lookups!$B$58*0.4</f>
        <v>88356.992000000013</v>
      </c>
      <c r="AR756" s="30">
        <f>Lookups!$B$59*Inventory[[#This Row],[LnAcres]]</f>
        <v>-24051.387388882686</v>
      </c>
      <c r="AS756" s="30">
        <f>VLOOKUP(Inventory[[#This Row],[Qlty]],Lookups!$A$66:$E$79,2,FALSE)</f>
        <v>32917.849192000001</v>
      </c>
      <c r="AT756" s="30">
        <f>VLOOKUP(Inventory[[#This Row],[Cnd]],Lookups!$A$80:$E$88,2,FALSE)</f>
        <v>30300.329274</v>
      </c>
      <c r="AU756" s="30">
        <f>Inventory[[#This Row],[EffAge]]*Lookups!$B$65</f>
        <v>-2066.0808999999999</v>
      </c>
      <c r="AV756" s="30">
        <f>Inventory[[#This Row],[MainFn]]*Lookups!$B$90</f>
        <v>106472.10828</v>
      </c>
      <c r="AW756" s="30">
        <f>Inventory[[#This Row],[UpprFn]]*Lookups!$B$91</f>
        <v>0</v>
      </c>
      <c r="AX756" s="30">
        <f>Inventory[[#This Row],[Bsmt Area]]*Lookups!$B$95</f>
        <v>0</v>
      </c>
      <c r="AY756" s="30">
        <f>Inventory[[#This Row],[AttGar]]*Lookups!$B$93</f>
        <v>24922.527886</v>
      </c>
      <c r="AZ756" s="30">
        <f>ROUND(Inventory[[#This Row],[25Det]],-2)</f>
        <v>0</v>
      </c>
      <c r="BA756" s="30">
        <f>ROUND(SUM(Inventory[[#This Row],[Mdl Qlty]:[Mdl Garage Area]])+Inventory[[#This Row],[Mdl Res Intercept]],-2)</f>
        <v>325100</v>
      </c>
      <c r="BB756" s="30">
        <f>ROUND(Inventory[[#This Row],[Mdl Land Intercept]]+Inventory[[#This Row],[Mdl LnAcres]],-2)</f>
        <v>64300</v>
      </c>
      <c r="BC756" s="30">
        <f>Inventory[[#This Row],[Unadj Res Value]]+Inventory[[#This Row],[Unadj Det Value]]+Inventory[[#This Row],[Unadj Land Value]]</f>
        <v>389400</v>
      </c>
      <c r="BD756" s="30">
        <f>(Inventory[[#This Row],[Unadj Total Value]]-Inventory[[#This Row],[24Final]])/Inventory[[#This Row],[24Final]]</f>
        <v>3.3988316516197555E-2</v>
      </c>
      <c r="BE756" s="30">
        <f>VLOOKUP(Inventory[[#This Row],[Nbhd]],Lookups!$M$3:$P$5,4,FALSE)</f>
        <v>0.99970000000000003</v>
      </c>
      <c r="BF756" s="30">
        <f>VLOOKUP(Inventory[[#This Row],[Qlty]],Lookups!$M$8:$P$22,4,FALSE)</f>
        <v>1.0019</v>
      </c>
      <c r="BG756" s="30">
        <f>VLOOKUP(Inventory[[#This Row],[Cnd]],Lookups!$R$8:$U$17,4,FALSE)</f>
        <v>0.997</v>
      </c>
      <c r="BH756" s="30">
        <f>VLOOKUP(Inventory[[#This Row],[LivArea Range]],Lookups!$R$25:$U$43,4,FALSE)</f>
        <v>1.0007999999999999</v>
      </c>
      <c r="BI756" s="30">
        <f>VLOOKUP(Inventory[[#This Row],[Decade]],Lookups!$M$24:$P$40,4,FALSE)</f>
        <v>1.0024</v>
      </c>
      <c r="BJ756" s="30">
        <f>Inventory[[#This Row],[Nbhd Adj]]*0.95</f>
        <v>0.94971499999999998</v>
      </c>
      <c r="BK756" s="30">
        <f>AVERAGE(Inventory[[#This Row],[Nbhd Adj]],Inventory[[#This Row],[Quality Adj]],Inventory[[#This Row],[Condition Adj]],Inventory[[#This Row],[Living Area Adj]],Inventory[[#This Row],[Decade Adj]])*0.95</f>
        <v>0.95034199999999991</v>
      </c>
      <c r="BL756" s="30">
        <f>ROUND((SUM(Inventory[[#This Row],[Mdl Qlty]:[Mdl Garage Area]])+Inventory[[#This Row],[Mdl Res Intercept]])*Inventory[[#This Row],[Res Adj ]],-2)</f>
        <v>308900</v>
      </c>
      <c r="BM756" s="30">
        <f>ROUND(Inventory[[#This Row],[25Det]]*Inventory[[#This Row],[Det/Nbhd Adj]],-2)</f>
        <v>0</v>
      </c>
      <c r="BN756" s="30">
        <f>Inventory[[#This Row],[Adjusted Res]]+Inventory[[#This Row],[Adj Det ]]</f>
        <v>308900</v>
      </c>
      <c r="BO756" s="30">
        <f>ROUND((Inventory[[#This Row],[Mdl Land Intercept]]+Inventory[[#This Row],[Mdl LnAcres]])*Inventory[[#This Row],[Det/Nbhd Adj]],-2)</f>
        <v>61100</v>
      </c>
      <c r="BP756" s="30">
        <f>Inventory[[#This Row],[Adjusted Impr Total]]+Inventory[[#This Row],[Adjusted Land Total]]</f>
        <v>370000</v>
      </c>
      <c r="BQ756" s="30">
        <f>IFERROR((Inventory[[#This Row],[Adjusted Impr Total]]-Inventory[[#This Row],[24Bldg]])/Inventory[[#This Row],[24Bldg]],0)</f>
        <v>-2.1849271690943636E-2</v>
      </c>
      <c r="BR756" s="43">
        <f>(Inventory[[#This Row],[Adjusted Land Total]]-Inventory[[#This Row],[24Lnd]])/Inventory[[#This Row],[24Lnd]]</f>
        <v>4.9342105263157892E-3</v>
      </c>
      <c r="BS756" s="43">
        <f>(Inventory[[#This Row],[Adjusted Total]]-Inventory[[#This Row],[24Final]])/Inventory[[#This Row],[24Final]]</f>
        <v>-1.7525225703664365E-2</v>
      </c>
    </row>
    <row r="757" spans="1:71">
      <c r="A757" s="30">
        <v>2025</v>
      </c>
      <c r="B757" s="31" t="s">
        <v>1272</v>
      </c>
      <c r="C757" s="31">
        <f>LN(Inventory[[#This Row],[Acres]])</f>
        <v>-1.8325814637483102</v>
      </c>
      <c r="D757" s="30">
        <v>0.16</v>
      </c>
      <c r="E757" s="30">
        <v>7089</v>
      </c>
      <c r="F757" s="31" t="s">
        <v>505</v>
      </c>
      <c r="G757" s="31" t="s">
        <v>155</v>
      </c>
      <c r="H757" s="31" t="s">
        <v>5</v>
      </c>
      <c r="I757" s="31" t="s">
        <v>506</v>
      </c>
      <c r="J757" s="31" t="s">
        <v>507</v>
      </c>
      <c r="K757" s="31" t="s">
        <v>193</v>
      </c>
      <c r="L757" s="31" t="s">
        <v>19</v>
      </c>
      <c r="M757" s="31" t="s">
        <v>22</v>
      </c>
      <c r="N757" s="31">
        <v>10</v>
      </c>
      <c r="O757" s="31">
        <f>2024-Inventory[[#This Row],[YrBlt]]</f>
        <v>19</v>
      </c>
      <c r="P757" s="31">
        <f>2024-Inventory[[#This Row],[EffYr]]</f>
        <v>19</v>
      </c>
      <c r="Q757" s="30">
        <v>2005</v>
      </c>
      <c r="R757" s="30">
        <v>2005</v>
      </c>
      <c r="S757" s="30">
        <v>1096</v>
      </c>
      <c r="T757" s="37"/>
      <c r="U757" s="32"/>
      <c r="V757" s="32"/>
      <c r="W757" s="32"/>
      <c r="X757" s="32">
        <f>Inventory[[#This Row],[Bsmt Area]]-Inventory[[#This Row],[FnBsmt]]</f>
        <v>0</v>
      </c>
      <c r="Y757" s="32">
        <f>Inventory[[#This Row],[MainFn]]+Inventory[[#This Row],[UpprFn]]+Inventory[[#This Row],[AddFn]]+Inventory[[#This Row],[FnBsmt]]</f>
        <v>1096</v>
      </c>
      <c r="Z757" s="32">
        <v>1500</v>
      </c>
      <c r="AA757" s="31" t="s">
        <v>56</v>
      </c>
      <c r="AB757" s="32"/>
      <c r="AC757" s="30">
        <v>440</v>
      </c>
      <c r="AD757" s="32"/>
      <c r="AE757" s="32"/>
      <c r="AF757" s="32"/>
      <c r="AG757" s="32"/>
      <c r="AH757" s="32"/>
      <c r="AI757" s="30">
        <v>232749</v>
      </c>
      <c r="AJ757" s="30">
        <v>211802</v>
      </c>
      <c r="AK757" s="30">
        <v>0</v>
      </c>
      <c r="AL757" s="30">
        <v>0</v>
      </c>
      <c r="AM757" s="30">
        <v>60800</v>
      </c>
      <c r="AN757" s="30">
        <v>292100</v>
      </c>
      <c r="AO757" s="30">
        <v>352900</v>
      </c>
      <c r="AP757" s="30">
        <f>Lookups!$B$58*0.6</f>
        <v>132535.48800000001</v>
      </c>
      <c r="AQ757" s="30">
        <f>Lookups!$B$58*0.4</f>
        <v>88356.992000000013</v>
      </c>
      <c r="AR757" s="30">
        <f>Lookups!$B$59*Inventory[[#This Row],[LnAcres]]</f>
        <v>-24051.387388882686</v>
      </c>
      <c r="AS757" s="30">
        <f>VLOOKUP(Inventory[[#This Row],[Qlty]],Lookups!$A$66:$E$79,2,FALSE)</f>
        <v>37154.252388000001</v>
      </c>
      <c r="AT757" s="30">
        <f>VLOOKUP(Inventory[[#This Row],[Cnd]],Lookups!$A$80:$E$88,2,FALSE)</f>
        <v>50438.379078999998</v>
      </c>
      <c r="AU757" s="30">
        <f>Inventory[[#This Row],[EffAge]]*Lookups!$B$65</f>
        <v>-2066.0808999999999</v>
      </c>
      <c r="AV757" s="30">
        <f>Inventory[[#This Row],[MainFn]]*Lookups!$B$90</f>
        <v>68401.77648</v>
      </c>
      <c r="AW757" s="30">
        <f>Inventory[[#This Row],[UpprFn]]*Lookups!$B$91</f>
        <v>0</v>
      </c>
      <c r="AX757" s="30">
        <f>Inventory[[#This Row],[Bsmt Area]]*Lookups!$B$95</f>
        <v>0</v>
      </c>
      <c r="AY757" s="30">
        <f>Inventory[[#This Row],[AttGar]]*Lookups!$B$93</f>
        <v>15532.453640000002</v>
      </c>
      <c r="AZ757" s="30">
        <f>ROUND(Inventory[[#This Row],[25Det]],-2)</f>
        <v>0</v>
      </c>
      <c r="BA757" s="30">
        <f>ROUND(SUM(Inventory[[#This Row],[Mdl Qlty]:[Mdl Garage Area]])+Inventory[[#This Row],[Mdl Res Intercept]],-2)</f>
        <v>302000</v>
      </c>
      <c r="BB757" s="30">
        <f>ROUND(Inventory[[#This Row],[Mdl Land Intercept]]+Inventory[[#This Row],[Mdl LnAcres]],-2)</f>
        <v>64300</v>
      </c>
      <c r="BC757" s="30">
        <f>Inventory[[#This Row],[Unadj Res Value]]+Inventory[[#This Row],[Unadj Det Value]]+Inventory[[#This Row],[Unadj Land Value]]</f>
        <v>366300</v>
      </c>
      <c r="BD757" s="30">
        <f>(Inventory[[#This Row],[Unadj Total Value]]-Inventory[[#This Row],[24Final]])/Inventory[[#This Row],[24Final]]</f>
        <v>3.7971096627939925E-2</v>
      </c>
      <c r="BE757" s="30">
        <f>VLOOKUP(Inventory[[#This Row],[Nbhd]],Lookups!$M$3:$P$5,4,FALSE)</f>
        <v>0.99970000000000003</v>
      </c>
      <c r="BF757" s="30">
        <f>VLOOKUP(Inventory[[#This Row],[Qlty]],Lookups!$M$8:$P$22,4,FALSE)</f>
        <v>0.99819999999999998</v>
      </c>
      <c r="BG757" s="30">
        <f>VLOOKUP(Inventory[[#This Row],[Cnd]],Lookups!$R$8:$U$17,4,FALSE)</f>
        <v>1.0007999999999999</v>
      </c>
      <c r="BH757" s="30">
        <f>VLOOKUP(Inventory[[#This Row],[LivArea Range]],Lookups!$R$25:$U$43,4,FALSE)</f>
        <v>0.99519999999999997</v>
      </c>
      <c r="BI757" s="30">
        <f>VLOOKUP(Inventory[[#This Row],[Decade]],Lookups!$M$24:$P$40,4,FALSE)</f>
        <v>1.0024</v>
      </c>
      <c r="BJ757" s="30">
        <f>Inventory[[#This Row],[Nbhd Adj]]*0.95</f>
        <v>0.94971499999999998</v>
      </c>
      <c r="BK757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757" s="30">
        <f>ROUND((SUM(Inventory[[#This Row],[Mdl Qlty]:[Mdl Garage Area]])+Inventory[[#This Row],[Mdl Res Intercept]])*Inventory[[#This Row],[Res Adj ]],-2)</f>
        <v>286700</v>
      </c>
      <c r="BM757" s="30">
        <f>ROUND(Inventory[[#This Row],[25Det]]*Inventory[[#This Row],[Det/Nbhd Adj]],-2)</f>
        <v>0</v>
      </c>
      <c r="BN757" s="30">
        <f>Inventory[[#This Row],[Adjusted Res]]+Inventory[[#This Row],[Adj Det ]]</f>
        <v>286700</v>
      </c>
      <c r="BO757" s="30">
        <f>ROUND((Inventory[[#This Row],[Mdl Land Intercept]]+Inventory[[#This Row],[Mdl LnAcres]])*Inventory[[#This Row],[Det/Nbhd Adj]],-2)</f>
        <v>61100</v>
      </c>
      <c r="BP757" s="30">
        <f>Inventory[[#This Row],[Adjusted Impr Total]]+Inventory[[#This Row],[Adjusted Land Total]]</f>
        <v>347800</v>
      </c>
      <c r="BQ757" s="30">
        <f>IFERROR((Inventory[[#This Row],[Adjusted Impr Total]]-Inventory[[#This Row],[24Bldg]])/Inventory[[#This Row],[24Bldg]],0)</f>
        <v>-1.8486819582334817E-2</v>
      </c>
      <c r="BR757" s="43">
        <f>(Inventory[[#This Row],[Adjusted Land Total]]-Inventory[[#This Row],[24Lnd]])/Inventory[[#This Row],[24Lnd]]</f>
        <v>4.9342105263157892E-3</v>
      </c>
      <c r="BS757" s="43">
        <f>(Inventory[[#This Row],[Adjusted Total]]-Inventory[[#This Row],[24Final]])/Inventory[[#This Row],[24Final]]</f>
        <v>-1.4451686030036838E-2</v>
      </c>
    </row>
    <row r="758" spans="1:71">
      <c r="A758" s="30">
        <v>2025</v>
      </c>
      <c r="B758" s="31" t="s">
        <v>1273</v>
      </c>
      <c r="C758" s="31">
        <f>LN(Inventory[[#This Row],[Acres]])</f>
        <v>-1.8325814637483102</v>
      </c>
      <c r="D758" s="30">
        <v>0.16</v>
      </c>
      <c r="E758" s="30">
        <v>6769</v>
      </c>
      <c r="F758" s="31" t="s">
        <v>505</v>
      </c>
      <c r="G758" s="31" t="s">
        <v>155</v>
      </c>
      <c r="H758" s="31" t="s">
        <v>5</v>
      </c>
      <c r="I758" s="31" t="s">
        <v>506</v>
      </c>
      <c r="J758" s="31" t="s">
        <v>507</v>
      </c>
      <c r="K758" s="31" t="s">
        <v>193</v>
      </c>
      <c r="L758" s="31" t="s">
        <v>19</v>
      </c>
      <c r="M758" s="31" t="s">
        <v>20</v>
      </c>
      <c r="N758" s="31">
        <v>10</v>
      </c>
      <c r="O758" s="31">
        <f>2024-Inventory[[#This Row],[YrBlt]]</f>
        <v>19</v>
      </c>
      <c r="P758" s="31">
        <f>2024-Inventory[[#This Row],[EffYr]]</f>
        <v>19</v>
      </c>
      <c r="Q758" s="30">
        <v>2005</v>
      </c>
      <c r="R758" s="30">
        <v>2005</v>
      </c>
      <c r="S758" s="30">
        <v>1543</v>
      </c>
      <c r="T758" s="37"/>
      <c r="U758" s="32"/>
      <c r="V758" s="32"/>
      <c r="W758" s="32"/>
      <c r="X758" s="32">
        <f>Inventory[[#This Row],[Bsmt Area]]-Inventory[[#This Row],[FnBsmt]]</f>
        <v>0</v>
      </c>
      <c r="Y758" s="32">
        <f>Inventory[[#This Row],[MainFn]]+Inventory[[#This Row],[UpprFn]]+Inventory[[#This Row],[AddFn]]+Inventory[[#This Row],[FnBsmt]]</f>
        <v>1543</v>
      </c>
      <c r="Z758" s="32">
        <v>2000</v>
      </c>
      <c r="AA758" s="31" t="s">
        <v>56</v>
      </c>
      <c r="AB758" s="32"/>
      <c r="AC758" s="30">
        <v>433</v>
      </c>
      <c r="AD758" s="32"/>
      <c r="AE758" s="32"/>
      <c r="AF758" s="32"/>
      <c r="AG758" s="32"/>
      <c r="AH758" s="32"/>
      <c r="AI758" s="30">
        <v>300372</v>
      </c>
      <c r="AJ758" s="30">
        <v>273339</v>
      </c>
      <c r="AK758" s="30">
        <v>0</v>
      </c>
      <c r="AL758" s="30">
        <v>0</v>
      </c>
      <c r="AM758" s="30">
        <v>60800</v>
      </c>
      <c r="AN758" s="30">
        <v>299400</v>
      </c>
      <c r="AO758" s="30">
        <v>360200</v>
      </c>
      <c r="AP758" s="30">
        <f>Lookups!$B$58*0.6</f>
        <v>132535.48800000001</v>
      </c>
      <c r="AQ758" s="30">
        <f>Lookups!$B$58*0.4</f>
        <v>88356.992000000013</v>
      </c>
      <c r="AR758" s="30">
        <f>Lookups!$B$59*Inventory[[#This Row],[LnAcres]]</f>
        <v>-24051.387388882686</v>
      </c>
      <c r="AS758" s="30">
        <f>VLOOKUP(Inventory[[#This Row],[Qlty]],Lookups!$A$66:$E$79,2,FALSE)</f>
        <v>37154.252388000001</v>
      </c>
      <c r="AT758" s="30">
        <f>VLOOKUP(Inventory[[#This Row],[Cnd]],Lookups!$A$80:$E$88,2,FALSE)</f>
        <v>30300.329274</v>
      </c>
      <c r="AU758" s="30">
        <f>Inventory[[#This Row],[EffAge]]*Lookups!$B$65</f>
        <v>-2066.0808999999999</v>
      </c>
      <c r="AV758" s="30">
        <f>Inventory[[#This Row],[MainFn]]*Lookups!$B$90</f>
        <v>96299.216339999999</v>
      </c>
      <c r="AW758" s="30">
        <f>Inventory[[#This Row],[UpprFn]]*Lookups!$B$91</f>
        <v>0</v>
      </c>
      <c r="AX758" s="30">
        <f>Inventory[[#This Row],[Bsmt Area]]*Lookups!$B$95</f>
        <v>0</v>
      </c>
      <c r="AY758" s="30">
        <f>Inventory[[#This Row],[AttGar]]*Lookups!$B$93</f>
        <v>15285.346423000001</v>
      </c>
      <c r="AZ758" s="30">
        <f>ROUND(Inventory[[#This Row],[25Det]],-2)</f>
        <v>0</v>
      </c>
      <c r="BA758" s="30">
        <f>ROUND(SUM(Inventory[[#This Row],[Mdl Qlty]:[Mdl Garage Area]])+Inventory[[#This Row],[Mdl Res Intercept]],-2)</f>
        <v>309500</v>
      </c>
      <c r="BB758" s="30">
        <f>ROUND(Inventory[[#This Row],[Mdl Land Intercept]]+Inventory[[#This Row],[Mdl LnAcres]],-2)</f>
        <v>64300</v>
      </c>
      <c r="BC758" s="30">
        <f>Inventory[[#This Row],[Unadj Res Value]]+Inventory[[#This Row],[Unadj Det Value]]+Inventory[[#This Row],[Unadj Land Value]]</f>
        <v>373800</v>
      </c>
      <c r="BD758" s="30">
        <f>(Inventory[[#This Row],[Unadj Total Value]]-Inventory[[#This Row],[24Final]])/Inventory[[#This Row],[24Final]]</f>
        <v>3.7756801776790673E-2</v>
      </c>
      <c r="BE758" s="30">
        <f>VLOOKUP(Inventory[[#This Row],[Nbhd]],Lookups!$M$3:$P$5,4,FALSE)</f>
        <v>0.99970000000000003</v>
      </c>
      <c r="BF758" s="30">
        <f>VLOOKUP(Inventory[[#This Row],[Qlty]],Lookups!$M$8:$P$22,4,FALSE)</f>
        <v>0.99819999999999998</v>
      </c>
      <c r="BG758" s="30">
        <f>VLOOKUP(Inventory[[#This Row],[Cnd]],Lookups!$R$8:$U$17,4,FALSE)</f>
        <v>0.997</v>
      </c>
      <c r="BH758" s="30">
        <f>VLOOKUP(Inventory[[#This Row],[LivArea Range]],Lookups!$R$25:$U$43,4,FALSE)</f>
        <v>1.0007999999999999</v>
      </c>
      <c r="BI758" s="30">
        <f>VLOOKUP(Inventory[[#This Row],[Decade]],Lookups!$M$24:$P$40,4,FALSE)</f>
        <v>1.0024</v>
      </c>
      <c r="BJ758" s="30">
        <f>Inventory[[#This Row],[Nbhd Adj]]*0.95</f>
        <v>0.94971499999999998</v>
      </c>
      <c r="BK758" s="30">
        <f>AVERAGE(Inventory[[#This Row],[Nbhd Adj]],Inventory[[#This Row],[Quality Adj]],Inventory[[#This Row],[Condition Adj]],Inventory[[#This Row],[Living Area Adj]],Inventory[[#This Row],[Decade Adj]])*0.95</f>
        <v>0.9496389999999999</v>
      </c>
      <c r="BL758" s="30">
        <f>ROUND((SUM(Inventory[[#This Row],[Mdl Qlty]:[Mdl Garage Area]])+Inventory[[#This Row],[Mdl Res Intercept]])*Inventory[[#This Row],[Res Adj ]],-2)</f>
        <v>293900</v>
      </c>
      <c r="BM758" s="30">
        <f>ROUND(Inventory[[#This Row],[25Det]]*Inventory[[#This Row],[Det/Nbhd Adj]],-2)</f>
        <v>0</v>
      </c>
      <c r="BN758" s="30">
        <f>Inventory[[#This Row],[Adjusted Res]]+Inventory[[#This Row],[Adj Det ]]</f>
        <v>293900</v>
      </c>
      <c r="BO758" s="30">
        <f>ROUND((Inventory[[#This Row],[Mdl Land Intercept]]+Inventory[[#This Row],[Mdl LnAcres]])*Inventory[[#This Row],[Det/Nbhd Adj]],-2)</f>
        <v>61100</v>
      </c>
      <c r="BP758" s="30">
        <f>Inventory[[#This Row],[Adjusted Impr Total]]+Inventory[[#This Row],[Adjusted Land Total]]</f>
        <v>355000</v>
      </c>
      <c r="BQ758" s="30">
        <f>IFERROR((Inventory[[#This Row],[Adjusted Impr Total]]-Inventory[[#This Row],[24Bldg]])/Inventory[[#This Row],[24Bldg]],0)</f>
        <v>-1.837007348029392E-2</v>
      </c>
      <c r="BR758" s="43">
        <f>(Inventory[[#This Row],[Adjusted Land Total]]-Inventory[[#This Row],[24Lnd]])/Inventory[[#This Row],[24Lnd]]</f>
        <v>4.9342105263157892E-3</v>
      </c>
      <c r="BS758" s="43">
        <f>(Inventory[[#This Row],[Adjusted Total]]-Inventory[[#This Row],[24Final]])/Inventory[[#This Row],[24Final]]</f>
        <v>-1.4436424208772903E-2</v>
      </c>
    </row>
    <row r="759" spans="1:71">
      <c r="A759" s="30">
        <v>2025</v>
      </c>
      <c r="B759" s="31" t="s">
        <v>1274</v>
      </c>
      <c r="C759" s="31">
        <f>LN(Inventory[[#This Row],[Acres]])</f>
        <v>-1.8325814637483102</v>
      </c>
      <c r="D759" s="30">
        <v>0.16</v>
      </c>
      <c r="E759" s="30">
        <v>7003</v>
      </c>
      <c r="F759" s="31" t="s">
        <v>505</v>
      </c>
      <c r="G759" s="31" t="s">
        <v>155</v>
      </c>
      <c r="H759" s="31" t="s">
        <v>5</v>
      </c>
      <c r="I759" s="31" t="s">
        <v>506</v>
      </c>
      <c r="J759" s="31" t="s">
        <v>507</v>
      </c>
      <c r="K759" s="31" t="s">
        <v>157</v>
      </c>
      <c r="L759" s="31" t="s">
        <v>21</v>
      </c>
      <c r="M759" s="31" t="s">
        <v>22</v>
      </c>
      <c r="N759" s="31">
        <v>10</v>
      </c>
      <c r="O759" s="31">
        <f>2024-Inventory[[#This Row],[YrBlt]]</f>
        <v>19</v>
      </c>
      <c r="P759" s="31">
        <f>2024-Inventory[[#This Row],[EffYr]]</f>
        <v>19</v>
      </c>
      <c r="Q759" s="30">
        <v>2005</v>
      </c>
      <c r="R759" s="30">
        <v>2005</v>
      </c>
      <c r="S759" s="30">
        <v>1040</v>
      </c>
      <c r="T759" s="30">
        <v>1040</v>
      </c>
      <c r="U759" s="32"/>
      <c r="V759" s="32"/>
      <c r="W759" s="32"/>
      <c r="X759" s="32">
        <f>Inventory[[#This Row],[Bsmt Area]]-Inventory[[#This Row],[FnBsmt]]</f>
        <v>0</v>
      </c>
      <c r="Y759" s="32">
        <f>Inventory[[#This Row],[MainFn]]+Inventory[[#This Row],[UpprFn]]+Inventory[[#This Row],[AddFn]]+Inventory[[#This Row],[FnBsmt]]</f>
        <v>2080</v>
      </c>
      <c r="Z759" s="32">
        <v>2500</v>
      </c>
      <c r="AA759" s="31" t="s">
        <v>56</v>
      </c>
      <c r="AB759" s="37"/>
      <c r="AC759" s="30">
        <v>440</v>
      </c>
      <c r="AD759" s="32"/>
      <c r="AE759" s="32"/>
      <c r="AF759" s="32"/>
      <c r="AG759" s="32"/>
      <c r="AH759" s="32"/>
      <c r="AI759" s="30">
        <v>424343</v>
      </c>
      <c r="AJ759" s="30">
        <v>386152</v>
      </c>
      <c r="AK759" s="30">
        <v>0</v>
      </c>
      <c r="AL759" s="30">
        <v>0</v>
      </c>
      <c r="AM759" s="30">
        <v>60800</v>
      </c>
      <c r="AN759" s="30">
        <v>346800</v>
      </c>
      <c r="AO759" s="30">
        <v>407600</v>
      </c>
      <c r="AP759" s="30">
        <f>Lookups!$B$58*0.6</f>
        <v>132535.48800000001</v>
      </c>
      <c r="AQ759" s="30">
        <f>Lookups!$B$58*0.4</f>
        <v>88356.992000000013</v>
      </c>
      <c r="AR759" s="30">
        <f>Lookups!$B$59*Inventory[[#This Row],[LnAcres]]</f>
        <v>-24051.387388882686</v>
      </c>
      <c r="AS759" s="30">
        <f>VLOOKUP(Inventory[[#This Row],[Qlty]],Lookups!$A$66:$E$79,2,FALSE)</f>
        <v>32917.849192000001</v>
      </c>
      <c r="AT759" s="30">
        <f>VLOOKUP(Inventory[[#This Row],[Cnd]],Lookups!$A$80:$E$88,2,FALSE)</f>
        <v>50438.379078999998</v>
      </c>
      <c r="AU759" s="30">
        <f>Inventory[[#This Row],[EffAge]]*Lookups!$B$65</f>
        <v>-2066.0808999999999</v>
      </c>
      <c r="AV759" s="30">
        <f>Inventory[[#This Row],[MainFn]]*Lookups!$B$90</f>
        <v>64906.7952</v>
      </c>
      <c r="AW759" s="30">
        <f>Inventory[[#This Row],[UpprFn]]*Lookups!$B$91</f>
        <v>61963.598319999997</v>
      </c>
      <c r="AX759" s="30">
        <f>Inventory[[#This Row],[Bsmt Area]]*Lookups!$B$95</f>
        <v>0</v>
      </c>
      <c r="AY759" s="30">
        <f>Inventory[[#This Row],[AttGar]]*Lookups!$B$93</f>
        <v>15532.453640000002</v>
      </c>
      <c r="AZ759" s="30">
        <f>ROUND(Inventory[[#This Row],[25Det]],-2)</f>
        <v>0</v>
      </c>
      <c r="BA759" s="30">
        <f>ROUND(SUM(Inventory[[#This Row],[Mdl Qlty]:[Mdl Garage Area]])+Inventory[[#This Row],[Mdl Res Intercept]],-2)</f>
        <v>356200</v>
      </c>
      <c r="BB759" s="30">
        <f>ROUND(Inventory[[#This Row],[Mdl Land Intercept]]+Inventory[[#This Row],[Mdl LnAcres]],-2)</f>
        <v>64300</v>
      </c>
      <c r="BC759" s="30">
        <f>Inventory[[#This Row],[Unadj Res Value]]+Inventory[[#This Row],[Unadj Det Value]]+Inventory[[#This Row],[Unadj Land Value]]</f>
        <v>420500</v>
      </c>
      <c r="BD759" s="30">
        <f>(Inventory[[#This Row],[Unadj Total Value]]-Inventory[[#This Row],[24Final]])/Inventory[[#This Row],[24Final]]</f>
        <v>3.1648675171736994E-2</v>
      </c>
      <c r="BE759" s="30">
        <f>VLOOKUP(Inventory[[#This Row],[Nbhd]],Lookups!$M$3:$P$5,4,FALSE)</f>
        <v>0.99970000000000003</v>
      </c>
      <c r="BF759" s="30">
        <f>VLOOKUP(Inventory[[#This Row],[Qlty]],Lookups!$M$8:$P$22,4,FALSE)</f>
        <v>1.0019</v>
      </c>
      <c r="BG759" s="30">
        <f>VLOOKUP(Inventory[[#This Row],[Cnd]],Lookups!$R$8:$U$17,4,FALSE)</f>
        <v>1.0007999999999999</v>
      </c>
      <c r="BH759" s="30">
        <f>VLOOKUP(Inventory[[#This Row],[LivArea Range]],Lookups!$R$25:$U$43,4,FALSE)</f>
        <v>1.0008999999999999</v>
      </c>
      <c r="BI759" s="30">
        <f>VLOOKUP(Inventory[[#This Row],[Decade]],Lookups!$M$24:$P$40,4,FALSE)</f>
        <v>1.0024</v>
      </c>
      <c r="BJ759" s="30">
        <f>Inventory[[#This Row],[Nbhd Adj]]*0.95</f>
        <v>0.94971499999999998</v>
      </c>
      <c r="BK759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759" s="30">
        <f>ROUND((SUM(Inventory[[#This Row],[Mdl Qlty]:[Mdl Garage Area]])+Inventory[[#This Row],[Mdl Res Intercept]])*Inventory[[#This Row],[Res Adj ]],-2)</f>
        <v>338800</v>
      </c>
      <c r="BM759" s="30">
        <f>ROUND(Inventory[[#This Row],[25Det]]*Inventory[[#This Row],[Det/Nbhd Adj]],-2)</f>
        <v>0</v>
      </c>
      <c r="BN759" s="30">
        <f>Inventory[[#This Row],[Adjusted Res]]+Inventory[[#This Row],[Adj Det ]]</f>
        <v>338800</v>
      </c>
      <c r="BO759" s="30">
        <f>ROUND((Inventory[[#This Row],[Mdl Land Intercept]]+Inventory[[#This Row],[Mdl LnAcres]])*Inventory[[#This Row],[Det/Nbhd Adj]],-2)</f>
        <v>61100</v>
      </c>
      <c r="BP759" s="30">
        <f>Inventory[[#This Row],[Adjusted Impr Total]]+Inventory[[#This Row],[Adjusted Land Total]]</f>
        <v>399900</v>
      </c>
      <c r="BQ759" s="30">
        <f>IFERROR((Inventory[[#This Row],[Adjusted Impr Total]]-Inventory[[#This Row],[24Bldg]])/Inventory[[#This Row],[24Bldg]],0)</f>
        <v>-2.306805074971165E-2</v>
      </c>
      <c r="BR759" s="43">
        <f>(Inventory[[#This Row],[Adjusted Land Total]]-Inventory[[#This Row],[24Lnd]])/Inventory[[#This Row],[24Lnd]]</f>
        <v>4.9342105263157892E-3</v>
      </c>
      <c r="BS759" s="43">
        <f>(Inventory[[#This Row],[Adjusted Total]]-Inventory[[#This Row],[24Final]])/Inventory[[#This Row],[24Final]]</f>
        <v>-1.8891069676153092E-2</v>
      </c>
    </row>
    <row r="760" spans="1:71">
      <c r="A760" s="30">
        <v>2025</v>
      </c>
      <c r="B760" s="31" t="s">
        <v>1275</v>
      </c>
      <c r="C760" s="31">
        <f>LN(Inventory[[#This Row],[Acres]])</f>
        <v>-1.8325814637483102</v>
      </c>
      <c r="D760" s="30">
        <v>0.16</v>
      </c>
      <c r="E760" s="30">
        <v>6984</v>
      </c>
      <c r="F760" s="31" t="s">
        <v>505</v>
      </c>
      <c r="G760" s="31" t="s">
        <v>155</v>
      </c>
      <c r="H760" s="31" t="s">
        <v>5</v>
      </c>
      <c r="I760" s="31" t="s">
        <v>506</v>
      </c>
      <c r="J760" s="31" t="s">
        <v>507</v>
      </c>
      <c r="K760" s="31" t="s">
        <v>157</v>
      </c>
      <c r="L760" s="31" t="s">
        <v>21</v>
      </c>
      <c r="M760" s="31" t="s">
        <v>20</v>
      </c>
      <c r="N760" s="31">
        <v>10</v>
      </c>
      <c r="O760" s="31">
        <f>2024-Inventory[[#This Row],[YrBlt]]</f>
        <v>19</v>
      </c>
      <c r="P760" s="31">
        <f>2024-Inventory[[#This Row],[EffYr]]</f>
        <v>19</v>
      </c>
      <c r="Q760" s="30">
        <v>2005</v>
      </c>
      <c r="R760" s="30">
        <v>2005</v>
      </c>
      <c r="S760" s="30">
        <v>1116</v>
      </c>
      <c r="T760" s="30">
        <v>1116</v>
      </c>
      <c r="U760" s="32"/>
      <c r="V760" s="32"/>
      <c r="W760" s="32"/>
      <c r="X760" s="32">
        <f>Inventory[[#This Row],[Bsmt Area]]-Inventory[[#This Row],[FnBsmt]]</f>
        <v>0</v>
      </c>
      <c r="Y760" s="32">
        <f>Inventory[[#This Row],[MainFn]]+Inventory[[#This Row],[UpprFn]]+Inventory[[#This Row],[AddFn]]+Inventory[[#This Row],[FnBsmt]]</f>
        <v>2232</v>
      </c>
      <c r="Z760" s="32">
        <v>2500</v>
      </c>
      <c r="AA760" s="31" t="s">
        <v>56</v>
      </c>
      <c r="AB760" s="38">
        <v>1</v>
      </c>
      <c r="AC760" s="38">
        <v>440</v>
      </c>
      <c r="AD760" s="37"/>
      <c r="AE760" s="32"/>
      <c r="AF760" s="32"/>
      <c r="AG760" s="32"/>
      <c r="AH760" s="32"/>
      <c r="AI760" s="30">
        <v>449389</v>
      </c>
      <c r="AJ760" s="30">
        <v>408944</v>
      </c>
      <c r="AK760" s="30">
        <v>0</v>
      </c>
      <c r="AL760" s="30">
        <v>0</v>
      </c>
      <c r="AM760" s="30">
        <v>60800</v>
      </c>
      <c r="AN760" s="30">
        <v>334500</v>
      </c>
      <c r="AO760" s="30">
        <v>395300</v>
      </c>
      <c r="AP760" s="30">
        <f>Lookups!$B$58*0.6</f>
        <v>132535.48800000001</v>
      </c>
      <c r="AQ760" s="30">
        <f>Lookups!$B$58*0.4</f>
        <v>88356.992000000013</v>
      </c>
      <c r="AR760" s="30">
        <f>Lookups!$B$59*Inventory[[#This Row],[LnAcres]]</f>
        <v>-24051.387388882686</v>
      </c>
      <c r="AS760" s="30">
        <f>VLOOKUP(Inventory[[#This Row],[Qlty]],Lookups!$A$66:$E$79,2,FALSE)</f>
        <v>32917.849192000001</v>
      </c>
      <c r="AT760" s="30">
        <f>VLOOKUP(Inventory[[#This Row],[Cnd]],Lookups!$A$80:$E$88,2,FALSE)</f>
        <v>30300.329274</v>
      </c>
      <c r="AU760" s="30">
        <f>Inventory[[#This Row],[EffAge]]*Lookups!$B$65</f>
        <v>-2066.0808999999999</v>
      </c>
      <c r="AV760" s="30">
        <f>Inventory[[#This Row],[MainFn]]*Lookups!$B$90</f>
        <v>69649.984080000009</v>
      </c>
      <c r="AW760" s="30">
        <f>Inventory[[#This Row],[UpprFn]]*Lookups!$B$91</f>
        <v>66491.707427999994</v>
      </c>
      <c r="AX760" s="30">
        <f>Inventory[[#This Row],[Bsmt Area]]*Lookups!$B$95</f>
        <v>0</v>
      </c>
      <c r="AY760" s="30">
        <f>Inventory[[#This Row],[AttGar]]*Lookups!$B$93</f>
        <v>15532.453640000002</v>
      </c>
      <c r="AZ760" s="30">
        <f>ROUND(Inventory[[#This Row],[25Det]],-2)</f>
        <v>0</v>
      </c>
      <c r="BA760" s="30">
        <f>ROUND(SUM(Inventory[[#This Row],[Mdl Qlty]:[Mdl Garage Area]])+Inventory[[#This Row],[Mdl Res Intercept]],-2)</f>
        <v>345400</v>
      </c>
      <c r="BB760" s="30">
        <f>ROUND(Inventory[[#This Row],[Mdl Land Intercept]]+Inventory[[#This Row],[Mdl LnAcres]],-2)</f>
        <v>64300</v>
      </c>
      <c r="BC760" s="30">
        <f>Inventory[[#This Row],[Unadj Res Value]]+Inventory[[#This Row],[Unadj Det Value]]+Inventory[[#This Row],[Unadj Land Value]]</f>
        <v>409700</v>
      </c>
      <c r="BD760" s="30">
        <f>(Inventory[[#This Row],[Unadj Total Value]]-Inventory[[#This Row],[24Final]])/Inventory[[#This Row],[24Final]]</f>
        <v>3.6428029344801417E-2</v>
      </c>
      <c r="BE760" s="30">
        <f>VLOOKUP(Inventory[[#This Row],[Nbhd]],Lookups!$M$3:$P$5,4,FALSE)</f>
        <v>0.99970000000000003</v>
      </c>
      <c r="BF760" s="30">
        <f>VLOOKUP(Inventory[[#This Row],[Qlty]],Lookups!$M$8:$P$22,4,FALSE)</f>
        <v>1.0019</v>
      </c>
      <c r="BG760" s="30">
        <f>VLOOKUP(Inventory[[#This Row],[Cnd]],Lookups!$R$8:$U$17,4,FALSE)</f>
        <v>0.997</v>
      </c>
      <c r="BH760" s="30">
        <f>VLOOKUP(Inventory[[#This Row],[LivArea Range]],Lookups!$R$25:$U$43,4,FALSE)</f>
        <v>1.0008999999999999</v>
      </c>
      <c r="BI760" s="30">
        <f>VLOOKUP(Inventory[[#This Row],[Decade]],Lookups!$M$24:$P$40,4,FALSE)</f>
        <v>1.0024</v>
      </c>
      <c r="BJ760" s="30">
        <f>Inventory[[#This Row],[Nbhd Adj]]*0.95</f>
        <v>0.94971499999999998</v>
      </c>
      <c r="BK760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60" s="30">
        <f>ROUND((SUM(Inventory[[#This Row],[Mdl Qlty]:[Mdl Garage Area]])+Inventory[[#This Row],[Mdl Res Intercept]])*Inventory[[#This Row],[Res Adj ]],-2)</f>
        <v>328200</v>
      </c>
      <c r="BM760" s="30">
        <f>ROUND(Inventory[[#This Row],[25Det]]*Inventory[[#This Row],[Det/Nbhd Adj]],-2)</f>
        <v>0</v>
      </c>
      <c r="BN760" s="30">
        <f>Inventory[[#This Row],[Adjusted Res]]+Inventory[[#This Row],[Adj Det ]]</f>
        <v>328200</v>
      </c>
      <c r="BO760" s="30">
        <f>ROUND((Inventory[[#This Row],[Mdl Land Intercept]]+Inventory[[#This Row],[Mdl LnAcres]])*Inventory[[#This Row],[Det/Nbhd Adj]],-2)</f>
        <v>61100</v>
      </c>
      <c r="BP760" s="30">
        <f>Inventory[[#This Row],[Adjusted Impr Total]]+Inventory[[#This Row],[Adjusted Land Total]]</f>
        <v>389300</v>
      </c>
      <c r="BQ760" s="30">
        <f>IFERROR((Inventory[[#This Row],[Adjusted Impr Total]]-Inventory[[#This Row],[24Bldg]])/Inventory[[#This Row],[24Bldg]],0)</f>
        <v>-1.883408071748879E-2</v>
      </c>
      <c r="BR760" s="43">
        <f>(Inventory[[#This Row],[Adjusted Land Total]]-Inventory[[#This Row],[24Lnd]])/Inventory[[#This Row],[24Lnd]]</f>
        <v>4.9342105263157892E-3</v>
      </c>
      <c r="BS760" s="43">
        <f>(Inventory[[#This Row],[Adjusted Total]]-Inventory[[#This Row],[24Final]])/Inventory[[#This Row],[24Final]]</f>
        <v>-1.5178345560333924E-2</v>
      </c>
    </row>
    <row r="761" spans="1:71">
      <c r="A761" s="30">
        <v>2025</v>
      </c>
      <c r="B761" s="31" t="s">
        <v>1276</v>
      </c>
      <c r="C761" s="31">
        <f>LN(Inventory[[#This Row],[Acres]])</f>
        <v>-1.8325814637483102</v>
      </c>
      <c r="D761" s="30">
        <v>0.16</v>
      </c>
      <c r="E761" s="30">
        <v>6998</v>
      </c>
      <c r="F761" s="31" t="s">
        <v>505</v>
      </c>
      <c r="G761" s="31" t="s">
        <v>155</v>
      </c>
      <c r="H761" s="31" t="s">
        <v>5</v>
      </c>
      <c r="I761" s="31" t="s">
        <v>506</v>
      </c>
      <c r="J761" s="31" t="s">
        <v>507</v>
      </c>
      <c r="K761" s="31" t="s">
        <v>157</v>
      </c>
      <c r="L761" s="31" t="s">
        <v>21</v>
      </c>
      <c r="M761" s="31" t="s">
        <v>20</v>
      </c>
      <c r="N761" s="31">
        <v>10</v>
      </c>
      <c r="O761" s="31">
        <f>2024-Inventory[[#This Row],[YrBlt]]</f>
        <v>19</v>
      </c>
      <c r="P761" s="31">
        <f>2024-Inventory[[#This Row],[EffYr]]</f>
        <v>19</v>
      </c>
      <c r="Q761" s="30">
        <v>2005</v>
      </c>
      <c r="R761" s="30">
        <v>2005</v>
      </c>
      <c r="S761" s="30">
        <v>1116</v>
      </c>
      <c r="T761" s="38">
        <v>1116</v>
      </c>
      <c r="U761" s="32"/>
      <c r="V761" s="32"/>
      <c r="W761" s="32"/>
      <c r="X761" s="32">
        <f>Inventory[[#This Row],[Bsmt Area]]-Inventory[[#This Row],[FnBsmt]]</f>
        <v>0</v>
      </c>
      <c r="Y761" s="32">
        <f>Inventory[[#This Row],[MainFn]]+Inventory[[#This Row],[UpprFn]]+Inventory[[#This Row],[AddFn]]+Inventory[[#This Row],[FnBsmt]]</f>
        <v>2232</v>
      </c>
      <c r="Z761" s="32">
        <v>2500</v>
      </c>
      <c r="AA761" s="31" t="s">
        <v>56</v>
      </c>
      <c r="AB761" s="32"/>
      <c r="AC761" s="30">
        <v>440</v>
      </c>
      <c r="AD761" s="32"/>
      <c r="AE761" s="32"/>
      <c r="AF761" s="32"/>
      <c r="AG761" s="32"/>
      <c r="AH761" s="32"/>
      <c r="AI761" s="30">
        <v>439327</v>
      </c>
      <c r="AJ761" s="30">
        <v>399788</v>
      </c>
      <c r="AK761" s="30">
        <v>0</v>
      </c>
      <c r="AL761" s="30">
        <v>0</v>
      </c>
      <c r="AM761" s="30">
        <v>60800</v>
      </c>
      <c r="AN761" s="30">
        <v>334500</v>
      </c>
      <c r="AO761" s="30">
        <v>395300</v>
      </c>
      <c r="AP761" s="30">
        <f>Lookups!$B$58*0.6</f>
        <v>132535.48800000001</v>
      </c>
      <c r="AQ761" s="30">
        <f>Lookups!$B$58*0.4</f>
        <v>88356.992000000013</v>
      </c>
      <c r="AR761" s="30">
        <f>Lookups!$B$59*Inventory[[#This Row],[LnAcres]]</f>
        <v>-24051.387388882686</v>
      </c>
      <c r="AS761" s="30">
        <f>VLOOKUP(Inventory[[#This Row],[Qlty]],Lookups!$A$66:$E$79,2,FALSE)</f>
        <v>32917.849192000001</v>
      </c>
      <c r="AT761" s="30">
        <f>VLOOKUP(Inventory[[#This Row],[Cnd]],Lookups!$A$80:$E$88,2,FALSE)</f>
        <v>30300.329274</v>
      </c>
      <c r="AU761" s="30">
        <f>Inventory[[#This Row],[EffAge]]*Lookups!$B$65</f>
        <v>-2066.0808999999999</v>
      </c>
      <c r="AV761" s="30">
        <f>Inventory[[#This Row],[MainFn]]*Lookups!$B$90</f>
        <v>69649.984080000009</v>
      </c>
      <c r="AW761" s="30">
        <f>Inventory[[#This Row],[UpprFn]]*Lookups!$B$91</f>
        <v>66491.707427999994</v>
      </c>
      <c r="AX761" s="30">
        <f>Inventory[[#This Row],[Bsmt Area]]*Lookups!$B$95</f>
        <v>0</v>
      </c>
      <c r="AY761" s="30">
        <f>Inventory[[#This Row],[AttGar]]*Lookups!$B$93</f>
        <v>15532.453640000002</v>
      </c>
      <c r="AZ761" s="30">
        <f>ROUND(Inventory[[#This Row],[25Det]],-2)</f>
        <v>0</v>
      </c>
      <c r="BA761" s="30">
        <f>ROUND(SUM(Inventory[[#This Row],[Mdl Qlty]:[Mdl Garage Area]])+Inventory[[#This Row],[Mdl Res Intercept]],-2)</f>
        <v>345400</v>
      </c>
      <c r="BB761" s="30">
        <f>ROUND(Inventory[[#This Row],[Mdl Land Intercept]]+Inventory[[#This Row],[Mdl LnAcres]],-2)</f>
        <v>64300</v>
      </c>
      <c r="BC761" s="30">
        <f>Inventory[[#This Row],[Unadj Res Value]]+Inventory[[#This Row],[Unadj Det Value]]+Inventory[[#This Row],[Unadj Land Value]]</f>
        <v>409700</v>
      </c>
      <c r="BD761" s="30">
        <f>(Inventory[[#This Row],[Unadj Total Value]]-Inventory[[#This Row],[24Final]])/Inventory[[#This Row],[24Final]]</f>
        <v>3.6428029344801417E-2</v>
      </c>
      <c r="BE761" s="30">
        <f>VLOOKUP(Inventory[[#This Row],[Nbhd]],Lookups!$M$3:$P$5,4,FALSE)</f>
        <v>0.99970000000000003</v>
      </c>
      <c r="BF761" s="30">
        <f>VLOOKUP(Inventory[[#This Row],[Qlty]],Lookups!$M$8:$P$22,4,FALSE)</f>
        <v>1.0019</v>
      </c>
      <c r="BG761" s="30">
        <f>VLOOKUP(Inventory[[#This Row],[Cnd]],Lookups!$R$8:$U$17,4,FALSE)</f>
        <v>0.997</v>
      </c>
      <c r="BH761" s="30">
        <f>VLOOKUP(Inventory[[#This Row],[LivArea Range]],Lookups!$R$25:$U$43,4,FALSE)</f>
        <v>1.0008999999999999</v>
      </c>
      <c r="BI761" s="30">
        <f>VLOOKUP(Inventory[[#This Row],[Decade]],Lookups!$M$24:$P$40,4,FALSE)</f>
        <v>1.0024</v>
      </c>
      <c r="BJ761" s="30">
        <f>Inventory[[#This Row],[Nbhd Adj]]*0.95</f>
        <v>0.94971499999999998</v>
      </c>
      <c r="BK761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61" s="30">
        <f>ROUND((SUM(Inventory[[#This Row],[Mdl Qlty]:[Mdl Garage Area]])+Inventory[[#This Row],[Mdl Res Intercept]])*Inventory[[#This Row],[Res Adj ]],-2)</f>
        <v>328200</v>
      </c>
      <c r="BM761" s="30">
        <f>ROUND(Inventory[[#This Row],[25Det]]*Inventory[[#This Row],[Det/Nbhd Adj]],-2)</f>
        <v>0</v>
      </c>
      <c r="BN761" s="30">
        <f>Inventory[[#This Row],[Adjusted Res]]+Inventory[[#This Row],[Adj Det ]]</f>
        <v>328200</v>
      </c>
      <c r="BO761" s="30">
        <f>ROUND((Inventory[[#This Row],[Mdl Land Intercept]]+Inventory[[#This Row],[Mdl LnAcres]])*Inventory[[#This Row],[Det/Nbhd Adj]],-2)</f>
        <v>61100</v>
      </c>
      <c r="BP761" s="30">
        <f>Inventory[[#This Row],[Adjusted Impr Total]]+Inventory[[#This Row],[Adjusted Land Total]]</f>
        <v>389300</v>
      </c>
      <c r="BQ761" s="30">
        <f>IFERROR((Inventory[[#This Row],[Adjusted Impr Total]]-Inventory[[#This Row],[24Bldg]])/Inventory[[#This Row],[24Bldg]],0)</f>
        <v>-1.883408071748879E-2</v>
      </c>
      <c r="BR761" s="43">
        <f>(Inventory[[#This Row],[Adjusted Land Total]]-Inventory[[#This Row],[24Lnd]])/Inventory[[#This Row],[24Lnd]]</f>
        <v>4.9342105263157892E-3</v>
      </c>
      <c r="BS761" s="43">
        <f>(Inventory[[#This Row],[Adjusted Total]]-Inventory[[#This Row],[24Final]])/Inventory[[#This Row],[24Final]]</f>
        <v>-1.5178345560333924E-2</v>
      </c>
    </row>
    <row r="762" spans="1:71">
      <c r="A762" s="30">
        <v>2025</v>
      </c>
      <c r="B762" s="31" t="s">
        <v>1277</v>
      </c>
      <c r="C762" s="31">
        <f>LN(Inventory[[#This Row],[Acres]])</f>
        <v>-1.8325814637483102</v>
      </c>
      <c r="D762" s="30">
        <v>0.16</v>
      </c>
      <c r="E762" s="30">
        <v>7172</v>
      </c>
      <c r="F762" s="31" t="s">
        <v>505</v>
      </c>
      <c r="G762" s="31" t="s">
        <v>155</v>
      </c>
      <c r="H762" s="31" t="s">
        <v>5</v>
      </c>
      <c r="I762" s="31" t="s">
        <v>506</v>
      </c>
      <c r="J762" s="31" t="s">
        <v>507</v>
      </c>
      <c r="K762" s="31" t="s">
        <v>157</v>
      </c>
      <c r="L762" s="31" t="s">
        <v>21</v>
      </c>
      <c r="M762" s="31" t="s">
        <v>20</v>
      </c>
      <c r="N762" s="31">
        <v>10</v>
      </c>
      <c r="O762" s="31">
        <f>2024-Inventory[[#This Row],[YrBlt]]</f>
        <v>19</v>
      </c>
      <c r="P762" s="31">
        <f>2024-Inventory[[#This Row],[EffYr]]</f>
        <v>19</v>
      </c>
      <c r="Q762" s="30">
        <v>2005</v>
      </c>
      <c r="R762" s="30">
        <v>2005</v>
      </c>
      <c r="S762" s="30">
        <v>1116</v>
      </c>
      <c r="T762" s="38">
        <v>1116</v>
      </c>
      <c r="U762" s="32"/>
      <c r="V762" s="32"/>
      <c r="W762" s="32"/>
      <c r="X762" s="32">
        <f>Inventory[[#This Row],[Bsmt Area]]-Inventory[[#This Row],[FnBsmt]]</f>
        <v>0</v>
      </c>
      <c r="Y762" s="32">
        <f>Inventory[[#This Row],[MainFn]]+Inventory[[#This Row],[UpprFn]]+Inventory[[#This Row],[AddFn]]+Inventory[[#This Row],[FnBsmt]]</f>
        <v>2232</v>
      </c>
      <c r="Z762" s="32">
        <v>2500</v>
      </c>
      <c r="AA762" s="31" t="s">
        <v>56</v>
      </c>
      <c r="AB762" s="38">
        <v>1</v>
      </c>
      <c r="AC762" s="30">
        <v>440</v>
      </c>
      <c r="AD762" s="32"/>
      <c r="AE762" s="32"/>
      <c r="AF762" s="32"/>
      <c r="AG762" s="32"/>
      <c r="AH762" s="32"/>
      <c r="AI762" s="30">
        <v>444722</v>
      </c>
      <c r="AJ762" s="30">
        <v>404697</v>
      </c>
      <c r="AK762" s="30">
        <v>0</v>
      </c>
      <c r="AL762" s="30">
        <v>0</v>
      </c>
      <c r="AM762" s="30">
        <v>60800</v>
      </c>
      <c r="AN762" s="30">
        <v>334500</v>
      </c>
      <c r="AO762" s="30">
        <v>395300</v>
      </c>
      <c r="AP762" s="30">
        <f>Lookups!$B$58*0.6</f>
        <v>132535.48800000001</v>
      </c>
      <c r="AQ762" s="30">
        <f>Lookups!$B$58*0.4</f>
        <v>88356.992000000013</v>
      </c>
      <c r="AR762" s="30">
        <f>Lookups!$B$59*Inventory[[#This Row],[LnAcres]]</f>
        <v>-24051.387388882686</v>
      </c>
      <c r="AS762" s="30">
        <f>VLOOKUP(Inventory[[#This Row],[Qlty]],Lookups!$A$66:$E$79,2,FALSE)</f>
        <v>32917.849192000001</v>
      </c>
      <c r="AT762" s="30">
        <f>VLOOKUP(Inventory[[#This Row],[Cnd]],Lookups!$A$80:$E$88,2,FALSE)</f>
        <v>30300.329274</v>
      </c>
      <c r="AU762" s="30">
        <f>Inventory[[#This Row],[EffAge]]*Lookups!$B$65</f>
        <v>-2066.0808999999999</v>
      </c>
      <c r="AV762" s="30">
        <f>Inventory[[#This Row],[MainFn]]*Lookups!$B$90</f>
        <v>69649.984080000009</v>
      </c>
      <c r="AW762" s="30">
        <f>Inventory[[#This Row],[UpprFn]]*Lookups!$B$91</f>
        <v>66491.707427999994</v>
      </c>
      <c r="AX762" s="30">
        <f>Inventory[[#This Row],[Bsmt Area]]*Lookups!$B$95</f>
        <v>0</v>
      </c>
      <c r="AY762" s="30">
        <f>Inventory[[#This Row],[AttGar]]*Lookups!$B$93</f>
        <v>15532.453640000002</v>
      </c>
      <c r="AZ762" s="30">
        <f>ROUND(Inventory[[#This Row],[25Det]],-2)</f>
        <v>0</v>
      </c>
      <c r="BA762" s="30">
        <f>ROUND(SUM(Inventory[[#This Row],[Mdl Qlty]:[Mdl Garage Area]])+Inventory[[#This Row],[Mdl Res Intercept]],-2)</f>
        <v>345400</v>
      </c>
      <c r="BB762" s="30">
        <f>ROUND(Inventory[[#This Row],[Mdl Land Intercept]]+Inventory[[#This Row],[Mdl LnAcres]],-2)</f>
        <v>64300</v>
      </c>
      <c r="BC762" s="30">
        <f>Inventory[[#This Row],[Unadj Res Value]]+Inventory[[#This Row],[Unadj Det Value]]+Inventory[[#This Row],[Unadj Land Value]]</f>
        <v>409700</v>
      </c>
      <c r="BD762" s="30">
        <f>(Inventory[[#This Row],[Unadj Total Value]]-Inventory[[#This Row],[24Final]])/Inventory[[#This Row],[24Final]]</f>
        <v>3.6428029344801417E-2</v>
      </c>
      <c r="BE762" s="30">
        <f>VLOOKUP(Inventory[[#This Row],[Nbhd]],Lookups!$M$3:$P$5,4,FALSE)</f>
        <v>0.99970000000000003</v>
      </c>
      <c r="BF762" s="30">
        <f>VLOOKUP(Inventory[[#This Row],[Qlty]],Lookups!$M$8:$P$22,4,FALSE)</f>
        <v>1.0019</v>
      </c>
      <c r="BG762" s="30">
        <f>VLOOKUP(Inventory[[#This Row],[Cnd]],Lookups!$R$8:$U$17,4,FALSE)</f>
        <v>0.997</v>
      </c>
      <c r="BH762" s="30">
        <f>VLOOKUP(Inventory[[#This Row],[LivArea Range]],Lookups!$R$25:$U$43,4,FALSE)</f>
        <v>1.0008999999999999</v>
      </c>
      <c r="BI762" s="30">
        <f>VLOOKUP(Inventory[[#This Row],[Decade]],Lookups!$M$24:$P$40,4,FALSE)</f>
        <v>1.0024</v>
      </c>
      <c r="BJ762" s="30">
        <f>Inventory[[#This Row],[Nbhd Adj]]*0.95</f>
        <v>0.94971499999999998</v>
      </c>
      <c r="BK762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62" s="30">
        <f>ROUND((SUM(Inventory[[#This Row],[Mdl Qlty]:[Mdl Garage Area]])+Inventory[[#This Row],[Mdl Res Intercept]])*Inventory[[#This Row],[Res Adj ]],-2)</f>
        <v>328200</v>
      </c>
      <c r="BM762" s="30">
        <f>ROUND(Inventory[[#This Row],[25Det]]*Inventory[[#This Row],[Det/Nbhd Adj]],-2)</f>
        <v>0</v>
      </c>
      <c r="BN762" s="30">
        <f>Inventory[[#This Row],[Adjusted Res]]+Inventory[[#This Row],[Adj Det ]]</f>
        <v>328200</v>
      </c>
      <c r="BO762" s="30">
        <f>ROUND((Inventory[[#This Row],[Mdl Land Intercept]]+Inventory[[#This Row],[Mdl LnAcres]])*Inventory[[#This Row],[Det/Nbhd Adj]],-2)</f>
        <v>61100</v>
      </c>
      <c r="BP762" s="30">
        <f>Inventory[[#This Row],[Adjusted Impr Total]]+Inventory[[#This Row],[Adjusted Land Total]]</f>
        <v>389300</v>
      </c>
      <c r="BQ762" s="30">
        <f>IFERROR((Inventory[[#This Row],[Adjusted Impr Total]]-Inventory[[#This Row],[24Bldg]])/Inventory[[#This Row],[24Bldg]],0)</f>
        <v>-1.883408071748879E-2</v>
      </c>
      <c r="BR762" s="43">
        <f>(Inventory[[#This Row],[Adjusted Land Total]]-Inventory[[#This Row],[24Lnd]])/Inventory[[#This Row],[24Lnd]]</f>
        <v>4.9342105263157892E-3</v>
      </c>
      <c r="BS762" s="43">
        <f>(Inventory[[#This Row],[Adjusted Total]]-Inventory[[#This Row],[24Final]])/Inventory[[#This Row],[24Final]]</f>
        <v>-1.5178345560333924E-2</v>
      </c>
    </row>
    <row r="763" spans="1:71">
      <c r="A763" s="30">
        <v>2025</v>
      </c>
      <c r="B763" s="31" t="s">
        <v>1278</v>
      </c>
      <c r="C763" s="31">
        <f>LN(Inventory[[#This Row],[Acres]])</f>
        <v>-1.8325814637483102</v>
      </c>
      <c r="D763" s="30">
        <v>0.16</v>
      </c>
      <c r="E763" s="30">
        <v>6998</v>
      </c>
      <c r="F763" s="31" t="s">
        <v>505</v>
      </c>
      <c r="G763" s="31" t="s">
        <v>155</v>
      </c>
      <c r="H763" s="31" t="s">
        <v>5</v>
      </c>
      <c r="I763" s="31" t="s">
        <v>506</v>
      </c>
      <c r="J763" s="31" t="s">
        <v>507</v>
      </c>
      <c r="K763" s="31" t="s">
        <v>193</v>
      </c>
      <c r="L763" s="31" t="s">
        <v>19</v>
      </c>
      <c r="M763" s="31" t="s">
        <v>20</v>
      </c>
      <c r="N763" s="31">
        <v>10</v>
      </c>
      <c r="O763" s="31">
        <f>2024-Inventory[[#This Row],[YrBlt]]</f>
        <v>19</v>
      </c>
      <c r="P763" s="31">
        <f>2024-Inventory[[#This Row],[EffYr]]</f>
        <v>19</v>
      </c>
      <c r="Q763" s="30">
        <v>2005</v>
      </c>
      <c r="R763" s="30">
        <v>2005</v>
      </c>
      <c r="S763" s="30">
        <v>1436</v>
      </c>
      <c r="T763" s="37"/>
      <c r="U763" s="32"/>
      <c r="V763" s="32"/>
      <c r="W763" s="32"/>
      <c r="X763" s="32">
        <f>Inventory[[#This Row],[Bsmt Area]]-Inventory[[#This Row],[FnBsmt]]</f>
        <v>0</v>
      </c>
      <c r="Y763" s="32">
        <f>Inventory[[#This Row],[MainFn]]+Inventory[[#This Row],[UpprFn]]+Inventory[[#This Row],[AddFn]]+Inventory[[#This Row],[FnBsmt]]</f>
        <v>1436</v>
      </c>
      <c r="Z763" s="32">
        <v>1500</v>
      </c>
      <c r="AA763" s="31" t="s">
        <v>56</v>
      </c>
      <c r="AB763" s="37"/>
      <c r="AC763" s="30">
        <v>400</v>
      </c>
      <c r="AD763" s="32"/>
      <c r="AE763" s="32"/>
      <c r="AF763" s="32"/>
      <c r="AG763" s="32"/>
      <c r="AH763" s="32"/>
      <c r="AI763" s="30">
        <v>280937</v>
      </c>
      <c r="AJ763" s="30">
        <v>255653</v>
      </c>
      <c r="AK763" s="30">
        <v>0</v>
      </c>
      <c r="AL763" s="30">
        <v>0</v>
      </c>
      <c r="AM763" s="30">
        <v>60800</v>
      </c>
      <c r="AN763" s="30">
        <v>289400</v>
      </c>
      <c r="AO763" s="30">
        <v>350200</v>
      </c>
      <c r="AP763" s="30">
        <f>Lookups!$B$58*0.6</f>
        <v>132535.48800000001</v>
      </c>
      <c r="AQ763" s="30">
        <f>Lookups!$B$58*0.4</f>
        <v>88356.992000000013</v>
      </c>
      <c r="AR763" s="30">
        <f>Lookups!$B$59*Inventory[[#This Row],[LnAcres]]</f>
        <v>-24051.387388882686</v>
      </c>
      <c r="AS763" s="30">
        <f>VLOOKUP(Inventory[[#This Row],[Qlty]],Lookups!$A$66:$E$79,2,FALSE)</f>
        <v>37154.252388000001</v>
      </c>
      <c r="AT763" s="30">
        <f>VLOOKUP(Inventory[[#This Row],[Cnd]],Lookups!$A$80:$E$88,2,FALSE)</f>
        <v>30300.329274</v>
      </c>
      <c r="AU763" s="30">
        <f>Inventory[[#This Row],[EffAge]]*Lookups!$B$65</f>
        <v>-2066.0808999999999</v>
      </c>
      <c r="AV763" s="30">
        <f>Inventory[[#This Row],[MainFn]]*Lookups!$B$90</f>
        <v>89621.305680000005</v>
      </c>
      <c r="AW763" s="30">
        <f>Inventory[[#This Row],[UpprFn]]*Lookups!$B$91</f>
        <v>0</v>
      </c>
      <c r="AX763" s="30">
        <f>Inventory[[#This Row],[Bsmt Area]]*Lookups!$B$95</f>
        <v>0</v>
      </c>
      <c r="AY763" s="30">
        <f>Inventory[[#This Row],[AttGar]]*Lookups!$B$93</f>
        <v>14120.412400000001</v>
      </c>
      <c r="AZ763" s="30">
        <f>ROUND(Inventory[[#This Row],[25Det]],-2)</f>
        <v>0</v>
      </c>
      <c r="BA763" s="30">
        <f>ROUND(SUM(Inventory[[#This Row],[Mdl Qlty]:[Mdl Garage Area]])+Inventory[[#This Row],[Mdl Res Intercept]],-2)</f>
        <v>301700</v>
      </c>
      <c r="BB763" s="30">
        <f>ROUND(Inventory[[#This Row],[Mdl Land Intercept]]+Inventory[[#This Row],[Mdl LnAcres]],-2)</f>
        <v>64300</v>
      </c>
      <c r="BC763" s="30">
        <f>Inventory[[#This Row],[Unadj Res Value]]+Inventory[[#This Row],[Unadj Det Value]]+Inventory[[#This Row],[Unadj Land Value]]</f>
        <v>366000</v>
      </c>
      <c r="BD763" s="30">
        <f>(Inventory[[#This Row],[Unadj Total Value]]-Inventory[[#This Row],[24Final]])/Inventory[[#This Row],[24Final]]</f>
        <v>4.5117075956596232E-2</v>
      </c>
      <c r="BE763" s="30">
        <f>VLOOKUP(Inventory[[#This Row],[Nbhd]],Lookups!$M$3:$P$5,4,FALSE)</f>
        <v>0.99970000000000003</v>
      </c>
      <c r="BF763" s="30">
        <f>VLOOKUP(Inventory[[#This Row],[Qlty]],Lookups!$M$8:$P$22,4,FALSE)</f>
        <v>0.99819999999999998</v>
      </c>
      <c r="BG763" s="30">
        <f>VLOOKUP(Inventory[[#This Row],[Cnd]],Lookups!$R$8:$U$17,4,FALSE)</f>
        <v>0.997</v>
      </c>
      <c r="BH763" s="30">
        <f>VLOOKUP(Inventory[[#This Row],[LivArea Range]],Lookups!$R$25:$U$43,4,FALSE)</f>
        <v>0.99519999999999997</v>
      </c>
      <c r="BI763" s="30">
        <f>VLOOKUP(Inventory[[#This Row],[Decade]],Lookups!$M$24:$P$40,4,FALSE)</f>
        <v>1.0024</v>
      </c>
      <c r="BJ763" s="30">
        <f>Inventory[[#This Row],[Nbhd Adj]]*0.95</f>
        <v>0.94971499999999998</v>
      </c>
      <c r="BK763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763" s="30">
        <f>ROUND((SUM(Inventory[[#This Row],[Mdl Qlty]:[Mdl Garage Area]])+Inventory[[#This Row],[Mdl Res Intercept]])*Inventory[[#This Row],[Res Adj ]],-2)</f>
        <v>286200</v>
      </c>
      <c r="BM763" s="30">
        <f>ROUND(Inventory[[#This Row],[25Det]]*Inventory[[#This Row],[Det/Nbhd Adj]],-2)</f>
        <v>0</v>
      </c>
      <c r="BN763" s="30">
        <f>Inventory[[#This Row],[Adjusted Res]]+Inventory[[#This Row],[Adj Det ]]</f>
        <v>286200</v>
      </c>
      <c r="BO763" s="30">
        <f>ROUND((Inventory[[#This Row],[Mdl Land Intercept]]+Inventory[[#This Row],[Mdl LnAcres]])*Inventory[[#This Row],[Det/Nbhd Adj]],-2)</f>
        <v>61100</v>
      </c>
      <c r="BP763" s="30">
        <f>Inventory[[#This Row],[Adjusted Impr Total]]+Inventory[[#This Row],[Adjusted Land Total]]</f>
        <v>347300</v>
      </c>
      <c r="BQ763" s="30">
        <f>IFERROR((Inventory[[#This Row],[Adjusted Impr Total]]-Inventory[[#This Row],[24Bldg]])/Inventory[[#This Row],[24Bldg]],0)</f>
        <v>-1.10573600552868E-2</v>
      </c>
      <c r="BR763" s="43">
        <f>(Inventory[[#This Row],[Adjusted Land Total]]-Inventory[[#This Row],[24Lnd]])/Inventory[[#This Row],[24Lnd]]</f>
        <v>4.9342105263157892E-3</v>
      </c>
      <c r="BS763" s="43">
        <f>(Inventory[[#This Row],[Adjusted Total]]-Inventory[[#This Row],[24Final]])/Inventory[[#This Row],[24Final]]</f>
        <v>-8.2809822958309545E-3</v>
      </c>
    </row>
    <row r="764" spans="1:71">
      <c r="A764" s="30">
        <v>2025</v>
      </c>
      <c r="B764" s="31" t="s">
        <v>1279</v>
      </c>
      <c r="C764" s="31">
        <f>LN(Inventory[[#This Row],[Acres]])</f>
        <v>-1.8325814637483102</v>
      </c>
      <c r="D764" s="30">
        <v>0.16</v>
      </c>
      <c r="E764" s="30">
        <v>7017</v>
      </c>
      <c r="F764" s="31" t="s">
        <v>505</v>
      </c>
      <c r="G764" s="31" t="s">
        <v>155</v>
      </c>
      <c r="H764" s="31" t="s">
        <v>5</v>
      </c>
      <c r="I764" s="31" t="s">
        <v>506</v>
      </c>
      <c r="J764" s="31" t="s">
        <v>507</v>
      </c>
      <c r="K764" s="31" t="s">
        <v>193</v>
      </c>
      <c r="L764" s="31" t="s">
        <v>19</v>
      </c>
      <c r="M764" s="31" t="s">
        <v>20</v>
      </c>
      <c r="N764" s="31">
        <v>10</v>
      </c>
      <c r="O764" s="31">
        <f>2024-Inventory[[#This Row],[YrBlt]]</f>
        <v>19</v>
      </c>
      <c r="P764" s="31">
        <f>2024-Inventory[[#This Row],[EffYr]]</f>
        <v>19</v>
      </c>
      <c r="Q764" s="30">
        <v>2005</v>
      </c>
      <c r="R764" s="30">
        <v>2005</v>
      </c>
      <c r="S764" s="30">
        <v>1436</v>
      </c>
      <c r="T764" s="37"/>
      <c r="U764" s="32"/>
      <c r="V764" s="32"/>
      <c r="W764" s="32"/>
      <c r="X764" s="32">
        <f>Inventory[[#This Row],[Bsmt Area]]-Inventory[[#This Row],[FnBsmt]]</f>
        <v>0</v>
      </c>
      <c r="Y764" s="32">
        <f>Inventory[[#This Row],[MainFn]]+Inventory[[#This Row],[UpprFn]]+Inventory[[#This Row],[AddFn]]+Inventory[[#This Row],[FnBsmt]]</f>
        <v>1436</v>
      </c>
      <c r="Z764" s="32">
        <v>1500</v>
      </c>
      <c r="AA764" s="31" t="s">
        <v>56</v>
      </c>
      <c r="AB764" s="32"/>
      <c r="AC764" s="30">
        <v>400</v>
      </c>
      <c r="AD764" s="37"/>
      <c r="AE764" s="32"/>
      <c r="AF764" s="32"/>
      <c r="AG764" s="32"/>
      <c r="AH764" s="32"/>
      <c r="AI764" s="30">
        <v>293244</v>
      </c>
      <c r="AJ764" s="30">
        <v>266852</v>
      </c>
      <c r="AK764" s="30">
        <v>0</v>
      </c>
      <c r="AL764" s="30">
        <v>0</v>
      </c>
      <c r="AM764" s="30">
        <v>60800</v>
      </c>
      <c r="AN764" s="30">
        <v>289400</v>
      </c>
      <c r="AO764" s="30">
        <v>350200</v>
      </c>
      <c r="AP764" s="30">
        <f>Lookups!$B$58*0.6</f>
        <v>132535.48800000001</v>
      </c>
      <c r="AQ764" s="30">
        <f>Lookups!$B$58*0.4</f>
        <v>88356.992000000013</v>
      </c>
      <c r="AR764" s="30">
        <f>Lookups!$B$59*Inventory[[#This Row],[LnAcres]]</f>
        <v>-24051.387388882686</v>
      </c>
      <c r="AS764" s="30">
        <f>VLOOKUP(Inventory[[#This Row],[Qlty]],Lookups!$A$66:$E$79,2,FALSE)</f>
        <v>37154.252388000001</v>
      </c>
      <c r="AT764" s="30">
        <f>VLOOKUP(Inventory[[#This Row],[Cnd]],Lookups!$A$80:$E$88,2,FALSE)</f>
        <v>30300.329274</v>
      </c>
      <c r="AU764" s="30">
        <f>Inventory[[#This Row],[EffAge]]*Lookups!$B$65</f>
        <v>-2066.0808999999999</v>
      </c>
      <c r="AV764" s="30">
        <f>Inventory[[#This Row],[MainFn]]*Lookups!$B$90</f>
        <v>89621.305680000005</v>
      </c>
      <c r="AW764" s="30">
        <f>Inventory[[#This Row],[UpprFn]]*Lookups!$B$91</f>
        <v>0</v>
      </c>
      <c r="AX764" s="30">
        <f>Inventory[[#This Row],[Bsmt Area]]*Lookups!$B$95</f>
        <v>0</v>
      </c>
      <c r="AY764" s="30">
        <f>Inventory[[#This Row],[AttGar]]*Lookups!$B$93</f>
        <v>14120.412400000001</v>
      </c>
      <c r="AZ764" s="30">
        <f>ROUND(Inventory[[#This Row],[25Det]],-2)</f>
        <v>0</v>
      </c>
      <c r="BA764" s="30">
        <f>ROUND(SUM(Inventory[[#This Row],[Mdl Qlty]:[Mdl Garage Area]])+Inventory[[#This Row],[Mdl Res Intercept]],-2)</f>
        <v>301700</v>
      </c>
      <c r="BB764" s="30">
        <f>ROUND(Inventory[[#This Row],[Mdl Land Intercept]]+Inventory[[#This Row],[Mdl LnAcres]],-2)</f>
        <v>64300</v>
      </c>
      <c r="BC764" s="30">
        <f>Inventory[[#This Row],[Unadj Res Value]]+Inventory[[#This Row],[Unadj Det Value]]+Inventory[[#This Row],[Unadj Land Value]]</f>
        <v>366000</v>
      </c>
      <c r="BD764" s="30">
        <f>(Inventory[[#This Row],[Unadj Total Value]]-Inventory[[#This Row],[24Final]])/Inventory[[#This Row],[24Final]]</f>
        <v>4.5117075956596232E-2</v>
      </c>
      <c r="BE764" s="30">
        <f>VLOOKUP(Inventory[[#This Row],[Nbhd]],Lookups!$M$3:$P$5,4,FALSE)</f>
        <v>0.99970000000000003</v>
      </c>
      <c r="BF764" s="30">
        <f>VLOOKUP(Inventory[[#This Row],[Qlty]],Lookups!$M$8:$P$22,4,FALSE)</f>
        <v>0.99819999999999998</v>
      </c>
      <c r="BG764" s="30">
        <f>VLOOKUP(Inventory[[#This Row],[Cnd]],Lookups!$R$8:$U$17,4,FALSE)</f>
        <v>0.997</v>
      </c>
      <c r="BH764" s="30">
        <f>VLOOKUP(Inventory[[#This Row],[LivArea Range]],Lookups!$R$25:$U$43,4,FALSE)</f>
        <v>0.99519999999999997</v>
      </c>
      <c r="BI764" s="30">
        <f>VLOOKUP(Inventory[[#This Row],[Decade]],Lookups!$M$24:$P$40,4,FALSE)</f>
        <v>1.0024</v>
      </c>
      <c r="BJ764" s="30">
        <f>Inventory[[#This Row],[Nbhd Adj]]*0.95</f>
        <v>0.94971499999999998</v>
      </c>
      <c r="BK764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764" s="30">
        <f>ROUND((SUM(Inventory[[#This Row],[Mdl Qlty]:[Mdl Garage Area]])+Inventory[[#This Row],[Mdl Res Intercept]])*Inventory[[#This Row],[Res Adj ]],-2)</f>
        <v>286200</v>
      </c>
      <c r="BM764" s="30">
        <f>ROUND(Inventory[[#This Row],[25Det]]*Inventory[[#This Row],[Det/Nbhd Adj]],-2)</f>
        <v>0</v>
      </c>
      <c r="BN764" s="30">
        <f>Inventory[[#This Row],[Adjusted Res]]+Inventory[[#This Row],[Adj Det ]]</f>
        <v>286200</v>
      </c>
      <c r="BO764" s="30">
        <f>ROUND((Inventory[[#This Row],[Mdl Land Intercept]]+Inventory[[#This Row],[Mdl LnAcres]])*Inventory[[#This Row],[Det/Nbhd Adj]],-2)</f>
        <v>61100</v>
      </c>
      <c r="BP764" s="30">
        <f>Inventory[[#This Row],[Adjusted Impr Total]]+Inventory[[#This Row],[Adjusted Land Total]]</f>
        <v>347300</v>
      </c>
      <c r="BQ764" s="30">
        <f>IFERROR((Inventory[[#This Row],[Adjusted Impr Total]]-Inventory[[#This Row],[24Bldg]])/Inventory[[#This Row],[24Bldg]],0)</f>
        <v>-1.10573600552868E-2</v>
      </c>
      <c r="BR764" s="43">
        <f>(Inventory[[#This Row],[Adjusted Land Total]]-Inventory[[#This Row],[24Lnd]])/Inventory[[#This Row],[24Lnd]]</f>
        <v>4.9342105263157892E-3</v>
      </c>
      <c r="BS764" s="43">
        <f>(Inventory[[#This Row],[Adjusted Total]]-Inventory[[#This Row],[24Final]])/Inventory[[#This Row],[24Final]]</f>
        <v>-8.2809822958309545E-3</v>
      </c>
    </row>
    <row r="765" spans="1:71">
      <c r="A765" s="30">
        <v>2025</v>
      </c>
      <c r="B765" s="31" t="s">
        <v>1280</v>
      </c>
      <c r="C765" s="31">
        <f>LN(Inventory[[#This Row],[Acres]])</f>
        <v>-1.8325814637483102</v>
      </c>
      <c r="D765" s="30">
        <v>0.16</v>
      </c>
      <c r="E765" s="30">
        <v>6954</v>
      </c>
      <c r="F765" s="31" t="s">
        <v>505</v>
      </c>
      <c r="G765" s="31" t="s">
        <v>155</v>
      </c>
      <c r="H765" s="31" t="s">
        <v>5</v>
      </c>
      <c r="I765" s="31" t="s">
        <v>506</v>
      </c>
      <c r="J765" s="31" t="s">
        <v>507</v>
      </c>
      <c r="K765" s="31" t="s">
        <v>193</v>
      </c>
      <c r="L765" s="31" t="s">
        <v>19</v>
      </c>
      <c r="M765" s="31" t="s">
        <v>22</v>
      </c>
      <c r="N765" s="31">
        <v>10</v>
      </c>
      <c r="O765" s="31">
        <f>2024-Inventory[[#This Row],[YrBlt]]</f>
        <v>19</v>
      </c>
      <c r="P765" s="31">
        <f>2024-Inventory[[#This Row],[EffYr]]</f>
        <v>19</v>
      </c>
      <c r="Q765" s="30">
        <v>2005</v>
      </c>
      <c r="R765" s="30">
        <v>2005</v>
      </c>
      <c r="S765" s="30">
        <v>1364</v>
      </c>
      <c r="T765" s="37"/>
      <c r="U765" s="32"/>
      <c r="V765" s="32"/>
      <c r="W765" s="32"/>
      <c r="X765" s="32">
        <f>Inventory[[#This Row],[Bsmt Area]]-Inventory[[#This Row],[FnBsmt]]</f>
        <v>0</v>
      </c>
      <c r="Y765" s="32">
        <f>Inventory[[#This Row],[MainFn]]+Inventory[[#This Row],[UpprFn]]+Inventory[[#This Row],[AddFn]]+Inventory[[#This Row],[FnBsmt]]</f>
        <v>1364</v>
      </c>
      <c r="Z765" s="32">
        <v>1500</v>
      </c>
      <c r="AA765" s="31" t="s">
        <v>56</v>
      </c>
      <c r="AB765" s="32"/>
      <c r="AC765" s="30">
        <v>428</v>
      </c>
      <c r="AD765" s="32"/>
      <c r="AE765" s="32"/>
      <c r="AF765" s="32"/>
      <c r="AG765" s="32"/>
      <c r="AH765" s="32"/>
      <c r="AI765" s="30">
        <v>277080</v>
      </c>
      <c r="AJ765" s="30">
        <v>252143</v>
      </c>
      <c r="AK765" s="30">
        <v>0</v>
      </c>
      <c r="AL765" s="30">
        <v>0</v>
      </c>
      <c r="AM765" s="30">
        <v>60800</v>
      </c>
      <c r="AN765" s="30">
        <v>306400</v>
      </c>
      <c r="AO765" s="30">
        <v>367200</v>
      </c>
      <c r="AP765" s="30">
        <f>Lookups!$B$58*0.6</f>
        <v>132535.48800000001</v>
      </c>
      <c r="AQ765" s="30">
        <f>Lookups!$B$58*0.4</f>
        <v>88356.992000000013</v>
      </c>
      <c r="AR765" s="30">
        <f>Lookups!$B$59*Inventory[[#This Row],[LnAcres]]</f>
        <v>-24051.387388882686</v>
      </c>
      <c r="AS765" s="30">
        <f>VLOOKUP(Inventory[[#This Row],[Qlty]],Lookups!$A$66:$E$79,2,FALSE)</f>
        <v>37154.252388000001</v>
      </c>
      <c r="AT765" s="30">
        <f>VLOOKUP(Inventory[[#This Row],[Cnd]],Lookups!$A$80:$E$88,2,FALSE)</f>
        <v>50438.379078999998</v>
      </c>
      <c r="AU765" s="30">
        <f>Inventory[[#This Row],[EffAge]]*Lookups!$B$65</f>
        <v>-2066.0808999999999</v>
      </c>
      <c r="AV765" s="30">
        <f>Inventory[[#This Row],[MainFn]]*Lookups!$B$90</f>
        <v>85127.758320000008</v>
      </c>
      <c r="AW765" s="30">
        <f>Inventory[[#This Row],[UpprFn]]*Lookups!$B$91</f>
        <v>0</v>
      </c>
      <c r="AX765" s="30">
        <f>Inventory[[#This Row],[Bsmt Area]]*Lookups!$B$95</f>
        <v>0</v>
      </c>
      <c r="AY765" s="30">
        <f>Inventory[[#This Row],[AttGar]]*Lookups!$B$93</f>
        <v>15108.841268</v>
      </c>
      <c r="AZ765" s="30">
        <f>ROUND(Inventory[[#This Row],[25Det]],-2)</f>
        <v>0</v>
      </c>
      <c r="BA765" s="30">
        <f>ROUND(SUM(Inventory[[#This Row],[Mdl Qlty]:[Mdl Garage Area]])+Inventory[[#This Row],[Mdl Res Intercept]],-2)</f>
        <v>318300</v>
      </c>
      <c r="BB765" s="30">
        <f>ROUND(Inventory[[#This Row],[Mdl Land Intercept]]+Inventory[[#This Row],[Mdl LnAcres]],-2)</f>
        <v>64300</v>
      </c>
      <c r="BC765" s="30">
        <f>Inventory[[#This Row],[Unadj Res Value]]+Inventory[[#This Row],[Unadj Det Value]]+Inventory[[#This Row],[Unadj Land Value]]</f>
        <v>382600</v>
      </c>
      <c r="BD765" s="30">
        <f>(Inventory[[#This Row],[Unadj Total Value]]-Inventory[[#This Row],[24Final]])/Inventory[[#This Row],[24Final]]</f>
        <v>4.1938997821350764E-2</v>
      </c>
      <c r="BE765" s="30">
        <f>VLOOKUP(Inventory[[#This Row],[Nbhd]],Lookups!$M$3:$P$5,4,FALSE)</f>
        <v>0.99970000000000003</v>
      </c>
      <c r="BF765" s="30">
        <f>VLOOKUP(Inventory[[#This Row],[Qlty]],Lookups!$M$8:$P$22,4,FALSE)</f>
        <v>0.99819999999999998</v>
      </c>
      <c r="BG765" s="30">
        <f>VLOOKUP(Inventory[[#This Row],[Cnd]],Lookups!$R$8:$U$17,4,FALSE)</f>
        <v>1.0007999999999999</v>
      </c>
      <c r="BH765" s="30">
        <f>VLOOKUP(Inventory[[#This Row],[LivArea Range]],Lookups!$R$25:$U$43,4,FALSE)</f>
        <v>0.99519999999999997</v>
      </c>
      <c r="BI765" s="30">
        <f>VLOOKUP(Inventory[[#This Row],[Decade]],Lookups!$M$24:$P$40,4,FALSE)</f>
        <v>1.0024</v>
      </c>
      <c r="BJ765" s="30">
        <f>Inventory[[#This Row],[Nbhd Adj]]*0.95</f>
        <v>0.94971499999999998</v>
      </c>
      <c r="BK765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765" s="30">
        <f>ROUND((SUM(Inventory[[#This Row],[Mdl Qlty]:[Mdl Garage Area]])+Inventory[[#This Row],[Mdl Res Intercept]])*Inventory[[#This Row],[Res Adj ]],-2)</f>
        <v>302200</v>
      </c>
      <c r="BM765" s="30">
        <f>ROUND(Inventory[[#This Row],[25Det]]*Inventory[[#This Row],[Det/Nbhd Adj]],-2)</f>
        <v>0</v>
      </c>
      <c r="BN765" s="30">
        <f>Inventory[[#This Row],[Adjusted Res]]+Inventory[[#This Row],[Adj Det ]]</f>
        <v>302200</v>
      </c>
      <c r="BO765" s="30">
        <f>ROUND((Inventory[[#This Row],[Mdl Land Intercept]]+Inventory[[#This Row],[Mdl LnAcres]])*Inventory[[#This Row],[Det/Nbhd Adj]],-2)</f>
        <v>61100</v>
      </c>
      <c r="BP765" s="30">
        <f>Inventory[[#This Row],[Adjusted Impr Total]]+Inventory[[#This Row],[Adjusted Land Total]]</f>
        <v>363300</v>
      </c>
      <c r="BQ765" s="30">
        <f>IFERROR((Inventory[[#This Row],[Adjusted Impr Total]]-Inventory[[#This Row],[24Bldg]])/Inventory[[#This Row],[24Bldg]],0)</f>
        <v>-1.370757180156658E-2</v>
      </c>
      <c r="BR765" s="43">
        <f>(Inventory[[#This Row],[Adjusted Land Total]]-Inventory[[#This Row],[24Lnd]])/Inventory[[#This Row],[24Lnd]]</f>
        <v>4.9342105263157892E-3</v>
      </c>
      <c r="BS765" s="43">
        <f>(Inventory[[#This Row],[Adjusted Total]]-Inventory[[#This Row],[24Final]])/Inventory[[#This Row],[24Final]]</f>
        <v>-1.0620915032679739E-2</v>
      </c>
    </row>
    <row r="766" spans="1:71">
      <c r="A766" s="30">
        <v>2025</v>
      </c>
      <c r="B766" s="31" t="s">
        <v>1281</v>
      </c>
      <c r="C766" s="31">
        <f>LN(Inventory[[#This Row],[Acres]])</f>
        <v>-1.8325814637483102</v>
      </c>
      <c r="D766" s="30">
        <v>0.16</v>
      </c>
      <c r="E766" s="30">
        <v>6999</v>
      </c>
      <c r="F766" s="31" t="s">
        <v>505</v>
      </c>
      <c r="G766" s="31" t="s">
        <v>155</v>
      </c>
      <c r="H766" s="31" t="s">
        <v>5</v>
      </c>
      <c r="I766" s="31" t="s">
        <v>506</v>
      </c>
      <c r="J766" s="31" t="s">
        <v>507</v>
      </c>
      <c r="K766" s="31" t="s">
        <v>193</v>
      </c>
      <c r="L766" s="31" t="s">
        <v>19</v>
      </c>
      <c r="M766" s="31" t="s">
        <v>22</v>
      </c>
      <c r="N766" s="31">
        <v>10</v>
      </c>
      <c r="O766" s="31">
        <f>2024-Inventory[[#This Row],[YrBlt]]</f>
        <v>19</v>
      </c>
      <c r="P766" s="31">
        <f>2024-Inventory[[#This Row],[EffYr]]</f>
        <v>19</v>
      </c>
      <c r="Q766" s="30">
        <v>2005</v>
      </c>
      <c r="R766" s="30">
        <v>2005</v>
      </c>
      <c r="S766" s="30">
        <v>1690</v>
      </c>
      <c r="T766" s="37"/>
      <c r="U766" s="32"/>
      <c r="V766" s="32"/>
      <c r="W766" s="32"/>
      <c r="X766" s="32">
        <f>Inventory[[#This Row],[Bsmt Area]]-Inventory[[#This Row],[FnBsmt]]</f>
        <v>0</v>
      </c>
      <c r="Y766" s="32">
        <f>Inventory[[#This Row],[MainFn]]+Inventory[[#This Row],[UpprFn]]+Inventory[[#This Row],[AddFn]]+Inventory[[#This Row],[FnBsmt]]</f>
        <v>1690</v>
      </c>
      <c r="Z766" s="32">
        <v>2000</v>
      </c>
      <c r="AA766" s="31" t="s">
        <v>56</v>
      </c>
      <c r="AB766" s="37"/>
      <c r="AC766" s="38">
        <v>706</v>
      </c>
      <c r="AD766" s="37"/>
      <c r="AE766" s="32"/>
      <c r="AF766" s="32"/>
      <c r="AG766" s="32"/>
      <c r="AH766" s="32"/>
      <c r="AI766" s="30">
        <v>339250</v>
      </c>
      <c r="AJ766" s="30">
        <v>308718</v>
      </c>
      <c r="AK766" s="30">
        <v>0</v>
      </c>
      <c r="AL766" s="30">
        <v>0</v>
      </c>
      <c r="AM766" s="30">
        <v>60800</v>
      </c>
      <c r="AN766" s="30">
        <v>336200</v>
      </c>
      <c r="AO766" s="30">
        <v>397000</v>
      </c>
      <c r="AP766" s="30">
        <f>Lookups!$B$58*0.6</f>
        <v>132535.48800000001</v>
      </c>
      <c r="AQ766" s="30">
        <f>Lookups!$B$58*0.4</f>
        <v>88356.992000000013</v>
      </c>
      <c r="AR766" s="30">
        <f>Lookups!$B$59*Inventory[[#This Row],[LnAcres]]</f>
        <v>-24051.387388882686</v>
      </c>
      <c r="AS766" s="30">
        <f>VLOOKUP(Inventory[[#This Row],[Qlty]],Lookups!$A$66:$E$79,2,FALSE)</f>
        <v>37154.252388000001</v>
      </c>
      <c r="AT766" s="30">
        <f>VLOOKUP(Inventory[[#This Row],[Cnd]],Lookups!$A$80:$E$88,2,FALSE)</f>
        <v>50438.379078999998</v>
      </c>
      <c r="AU766" s="30">
        <f>Inventory[[#This Row],[EffAge]]*Lookups!$B$65</f>
        <v>-2066.0808999999999</v>
      </c>
      <c r="AV766" s="30">
        <f>Inventory[[#This Row],[MainFn]]*Lookups!$B$90</f>
        <v>105473.54220000001</v>
      </c>
      <c r="AW766" s="30">
        <f>Inventory[[#This Row],[UpprFn]]*Lookups!$B$91</f>
        <v>0</v>
      </c>
      <c r="AX766" s="30">
        <f>Inventory[[#This Row],[Bsmt Area]]*Lookups!$B$95</f>
        <v>0</v>
      </c>
      <c r="AY766" s="30">
        <f>Inventory[[#This Row],[AttGar]]*Lookups!$B$93</f>
        <v>24922.527886</v>
      </c>
      <c r="AZ766" s="30">
        <f>ROUND(Inventory[[#This Row],[25Det]],-2)</f>
        <v>0</v>
      </c>
      <c r="BA766" s="30">
        <f>ROUND(SUM(Inventory[[#This Row],[Mdl Qlty]:[Mdl Garage Area]])+Inventory[[#This Row],[Mdl Res Intercept]],-2)</f>
        <v>348500</v>
      </c>
      <c r="BB766" s="30">
        <f>ROUND(Inventory[[#This Row],[Mdl Land Intercept]]+Inventory[[#This Row],[Mdl LnAcres]],-2)</f>
        <v>64300</v>
      </c>
      <c r="BC766" s="30">
        <f>Inventory[[#This Row],[Unadj Res Value]]+Inventory[[#This Row],[Unadj Det Value]]+Inventory[[#This Row],[Unadj Land Value]]</f>
        <v>412800</v>
      </c>
      <c r="BD766" s="30">
        <f>(Inventory[[#This Row],[Unadj Total Value]]-Inventory[[#This Row],[24Final]])/Inventory[[#This Row],[24Final]]</f>
        <v>3.9798488664987405E-2</v>
      </c>
      <c r="BE766" s="30">
        <f>VLOOKUP(Inventory[[#This Row],[Nbhd]],Lookups!$M$3:$P$5,4,FALSE)</f>
        <v>0.99970000000000003</v>
      </c>
      <c r="BF766" s="30">
        <f>VLOOKUP(Inventory[[#This Row],[Qlty]],Lookups!$M$8:$P$22,4,FALSE)</f>
        <v>0.99819999999999998</v>
      </c>
      <c r="BG766" s="30">
        <f>VLOOKUP(Inventory[[#This Row],[Cnd]],Lookups!$R$8:$U$17,4,FALSE)</f>
        <v>1.0007999999999999</v>
      </c>
      <c r="BH766" s="30">
        <f>VLOOKUP(Inventory[[#This Row],[LivArea Range]],Lookups!$R$25:$U$43,4,FALSE)</f>
        <v>1.0007999999999999</v>
      </c>
      <c r="BI766" s="30">
        <f>VLOOKUP(Inventory[[#This Row],[Decade]],Lookups!$M$24:$P$40,4,FALSE)</f>
        <v>1.0024</v>
      </c>
      <c r="BJ766" s="30">
        <f>Inventory[[#This Row],[Nbhd Adj]]*0.95</f>
        <v>0.94971499999999998</v>
      </c>
      <c r="BK766" s="30">
        <f>AVERAGE(Inventory[[#This Row],[Nbhd Adj]],Inventory[[#This Row],[Quality Adj]],Inventory[[#This Row],[Condition Adj]],Inventory[[#This Row],[Living Area Adj]],Inventory[[#This Row],[Decade Adj]])*0.95</f>
        <v>0.95036100000000001</v>
      </c>
      <c r="BL766" s="30">
        <f>ROUND((SUM(Inventory[[#This Row],[Mdl Qlty]:[Mdl Garage Area]])+Inventory[[#This Row],[Mdl Res Intercept]])*Inventory[[#This Row],[Res Adj ]],-2)</f>
        <v>331200</v>
      </c>
      <c r="BM766" s="30">
        <f>ROUND(Inventory[[#This Row],[25Det]]*Inventory[[#This Row],[Det/Nbhd Adj]],-2)</f>
        <v>0</v>
      </c>
      <c r="BN766" s="30">
        <f>Inventory[[#This Row],[Adjusted Res]]+Inventory[[#This Row],[Adj Det ]]</f>
        <v>331200</v>
      </c>
      <c r="BO766" s="30">
        <f>ROUND((Inventory[[#This Row],[Mdl Land Intercept]]+Inventory[[#This Row],[Mdl LnAcres]])*Inventory[[#This Row],[Det/Nbhd Adj]],-2)</f>
        <v>61100</v>
      </c>
      <c r="BP766" s="30">
        <f>Inventory[[#This Row],[Adjusted Impr Total]]+Inventory[[#This Row],[Adjusted Land Total]]</f>
        <v>392300</v>
      </c>
      <c r="BQ766" s="30">
        <f>IFERROR((Inventory[[#This Row],[Adjusted Impr Total]]-Inventory[[#This Row],[24Bldg]])/Inventory[[#This Row],[24Bldg]],0)</f>
        <v>-1.4872099940511601E-2</v>
      </c>
      <c r="BR766" s="43">
        <f>(Inventory[[#This Row],[Adjusted Land Total]]-Inventory[[#This Row],[24Lnd]])/Inventory[[#This Row],[24Lnd]]</f>
        <v>4.9342105263157892E-3</v>
      </c>
      <c r="BS766" s="43">
        <f>(Inventory[[#This Row],[Adjusted Total]]-Inventory[[#This Row],[24Final]])/Inventory[[#This Row],[24Final]]</f>
        <v>-1.1838790931989925E-2</v>
      </c>
    </row>
    <row r="767" spans="1:71">
      <c r="A767" s="30">
        <v>2025</v>
      </c>
      <c r="B767" s="31" t="s">
        <v>1282</v>
      </c>
      <c r="C767" s="31">
        <f>LN(Inventory[[#This Row],[Acres]])</f>
        <v>-1.8325814637483102</v>
      </c>
      <c r="D767" s="30">
        <v>0.16</v>
      </c>
      <c r="E767" s="30">
        <v>6951</v>
      </c>
      <c r="F767" s="31" t="s">
        <v>505</v>
      </c>
      <c r="G767" s="31" t="s">
        <v>155</v>
      </c>
      <c r="H767" s="31" t="s">
        <v>5</v>
      </c>
      <c r="I767" s="31" t="s">
        <v>506</v>
      </c>
      <c r="J767" s="31" t="s">
        <v>507</v>
      </c>
      <c r="K767" s="31" t="s">
        <v>193</v>
      </c>
      <c r="L767" s="31" t="s">
        <v>19</v>
      </c>
      <c r="M767" s="31" t="s">
        <v>22</v>
      </c>
      <c r="N767" s="31">
        <v>10</v>
      </c>
      <c r="O767" s="31">
        <f>2024-Inventory[[#This Row],[YrBlt]]</f>
        <v>19</v>
      </c>
      <c r="P767" s="31">
        <f>2024-Inventory[[#This Row],[EffYr]]</f>
        <v>19</v>
      </c>
      <c r="Q767" s="30">
        <v>2005</v>
      </c>
      <c r="R767" s="30">
        <v>2005</v>
      </c>
      <c r="S767" s="30">
        <v>1380</v>
      </c>
      <c r="T767" s="32"/>
      <c r="U767" s="32"/>
      <c r="V767" s="32"/>
      <c r="W767" s="32"/>
      <c r="X767" s="32">
        <f>Inventory[[#This Row],[Bsmt Area]]-Inventory[[#This Row],[FnBsmt]]</f>
        <v>0</v>
      </c>
      <c r="Y767" s="32">
        <f>Inventory[[#This Row],[MainFn]]+Inventory[[#This Row],[UpprFn]]+Inventory[[#This Row],[AddFn]]+Inventory[[#This Row],[FnBsmt]]</f>
        <v>1380</v>
      </c>
      <c r="Z767" s="32">
        <v>1500</v>
      </c>
      <c r="AA767" s="31" t="s">
        <v>56</v>
      </c>
      <c r="AB767" s="32"/>
      <c r="AC767" s="30">
        <v>428</v>
      </c>
      <c r="AD767" s="32"/>
      <c r="AE767" s="32"/>
      <c r="AF767" s="32"/>
      <c r="AG767" s="32"/>
      <c r="AH767" s="32"/>
      <c r="AI767" s="30">
        <v>275531</v>
      </c>
      <c r="AJ767" s="30">
        <v>250733</v>
      </c>
      <c r="AK767" s="30">
        <v>0</v>
      </c>
      <c r="AL767" s="30">
        <v>0</v>
      </c>
      <c r="AM767" s="30">
        <v>60800</v>
      </c>
      <c r="AN767" s="30">
        <v>306000</v>
      </c>
      <c r="AO767" s="30">
        <v>366800</v>
      </c>
      <c r="AP767" s="30">
        <f>Lookups!$B$58*0.6</f>
        <v>132535.48800000001</v>
      </c>
      <c r="AQ767" s="30">
        <f>Lookups!$B$58*0.4</f>
        <v>88356.992000000013</v>
      </c>
      <c r="AR767" s="30">
        <f>Lookups!$B$59*Inventory[[#This Row],[LnAcres]]</f>
        <v>-24051.387388882686</v>
      </c>
      <c r="AS767" s="30">
        <f>VLOOKUP(Inventory[[#This Row],[Qlty]],Lookups!$A$66:$E$79,2,FALSE)</f>
        <v>37154.252388000001</v>
      </c>
      <c r="AT767" s="30">
        <f>VLOOKUP(Inventory[[#This Row],[Cnd]],Lookups!$A$80:$E$88,2,FALSE)</f>
        <v>50438.379078999998</v>
      </c>
      <c r="AU767" s="30">
        <f>Inventory[[#This Row],[EffAge]]*Lookups!$B$65</f>
        <v>-2066.0808999999999</v>
      </c>
      <c r="AV767" s="30">
        <f>Inventory[[#This Row],[MainFn]]*Lookups!$B$90</f>
        <v>86126.324399999998</v>
      </c>
      <c r="AW767" s="30">
        <f>Inventory[[#This Row],[UpprFn]]*Lookups!$B$91</f>
        <v>0</v>
      </c>
      <c r="AX767" s="30">
        <f>Inventory[[#This Row],[Bsmt Area]]*Lookups!$B$95</f>
        <v>0</v>
      </c>
      <c r="AY767" s="30">
        <f>Inventory[[#This Row],[AttGar]]*Lookups!$B$93</f>
        <v>15108.841268</v>
      </c>
      <c r="AZ767" s="30">
        <f>ROUND(Inventory[[#This Row],[25Det]],-2)</f>
        <v>0</v>
      </c>
      <c r="BA767" s="30">
        <f>ROUND(SUM(Inventory[[#This Row],[Mdl Qlty]:[Mdl Garage Area]])+Inventory[[#This Row],[Mdl Res Intercept]],-2)</f>
        <v>319300</v>
      </c>
      <c r="BB767" s="30">
        <f>ROUND(Inventory[[#This Row],[Mdl Land Intercept]]+Inventory[[#This Row],[Mdl LnAcres]],-2)</f>
        <v>64300</v>
      </c>
      <c r="BC767" s="30">
        <f>Inventory[[#This Row],[Unadj Res Value]]+Inventory[[#This Row],[Unadj Det Value]]+Inventory[[#This Row],[Unadj Land Value]]</f>
        <v>383600</v>
      </c>
      <c r="BD767" s="30">
        <f>(Inventory[[#This Row],[Unadj Total Value]]-Inventory[[#This Row],[24Final]])/Inventory[[#This Row],[24Final]]</f>
        <v>4.5801526717557252E-2</v>
      </c>
      <c r="BE767" s="30">
        <f>VLOOKUP(Inventory[[#This Row],[Nbhd]],Lookups!$M$3:$P$5,4,FALSE)</f>
        <v>0.99970000000000003</v>
      </c>
      <c r="BF767" s="30">
        <f>VLOOKUP(Inventory[[#This Row],[Qlty]],Lookups!$M$8:$P$22,4,FALSE)</f>
        <v>0.99819999999999998</v>
      </c>
      <c r="BG767" s="30">
        <f>VLOOKUP(Inventory[[#This Row],[Cnd]],Lookups!$R$8:$U$17,4,FALSE)</f>
        <v>1.0007999999999999</v>
      </c>
      <c r="BH767" s="30">
        <f>VLOOKUP(Inventory[[#This Row],[LivArea Range]],Lookups!$R$25:$U$43,4,FALSE)</f>
        <v>0.99519999999999997</v>
      </c>
      <c r="BI767" s="30">
        <f>VLOOKUP(Inventory[[#This Row],[Decade]],Lookups!$M$24:$P$40,4,FALSE)</f>
        <v>1.0024</v>
      </c>
      <c r="BJ767" s="30">
        <f>Inventory[[#This Row],[Nbhd Adj]]*0.95</f>
        <v>0.94971499999999998</v>
      </c>
      <c r="BK767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767" s="30">
        <f>ROUND((SUM(Inventory[[#This Row],[Mdl Qlty]:[Mdl Garage Area]])+Inventory[[#This Row],[Mdl Res Intercept]])*Inventory[[#This Row],[Res Adj ]],-2)</f>
        <v>303100</v>
      </c>
      <c r="BM767" s="30">
        <f>ROUND(Inventory[[#This Row],[25Det]]*Inventory[[#This Row],[Det/Nbhd Adj]],-2)</f>
        <v>0</v>
      </c>
      <c r="BN767" s="30">
        <f>Inventory[[#This Row],[Adjusted Res]]+Inventory[[#This Row],[Adj Det ]]</f>
        <v>303100</v>
      </c>
      <c r="BO767" s="30">
        <f>ROUND((Inventory[[#This Row],[Mdl Land Intercept]]+Inventory[[#This Row],[Mdl LnAcres]])*Inventory[[#This Row],[Det/Nbhd Adj]],-2)</f>
        <v>61100</v>
      </c>
      <c r="BP767" s="30">
        <f>Inventory[[#This Row],[Adjusted Impr Total]]+Inventory[[#This Row],[Adjusted Land Total]]</f>
        <v>364200</v>
      </c>
      <c r="BQ767" s="30">
        <f>IFERROR((Inventory[[#This Row],[Adjusted Impr Total]]-Inventory[[#This Row],[24Bldg]])/Inventory[[#This Row],[24Bldg]],0)</f>
        <v>-9.4771241830065352E-3</v>
      </c>
      <c r="BR767" s="43">
        <f>(Inventory[[#This Row],[Adjusted Land Total]]-Inventory[[#This Row],[24Lnd]])/Inventory[[#This Row],[24Lnd]]</f>
        <v>4.9342105263157892E-3</v>
      </c>
      <c r="BS767" s="43">
        <f>(Inventory[[#This Row],[Adjusted Total]]-Inventory[[#This Row],[24Final]])/Inventory[[#This Row],[24Final]]</f>
        <v>-7.0883315158124316E-3</v>
      </c>
    </row>
    <row r="768" spans="1:71">
      <c r="A768" s="30">
        <v>2025</v>
      </c>
      <c r="B768" s="31" t="s">
        <v>1283</v>
      </c>
      <c r="C768" s="31">
        <f>LN(Inventory[[#This Row],[Acres]])</f>
        <v>-1.8325814637483102</v>
      </c>
      <c r="D768" s="30">
        <v>0.16</v>
      </c>
      <c r="E768" s="30">
        <v>6960</v>
      </c>
      <c r="F768" s="31" t="s">
        <v>505</v>
      </c>
      <c r="G768" s="31" t="s">
        <v>155</v>
      </c>
      <c r="H768" s="31" t="s">
        <v>5</v>
      </c>
      <c r="I768" s="31" t="s">
        <v>506</v>
      </c>
      <c r="J768" s="31" t="s">
        <v>507</v>
      </c>
      <c r="K768" s="31" t="s">
        <v>193</v>
      </c>
      <c r="L768" s="31" t="s">
        <v>19</v>
      </c>
      <c r="M768" s="31" t="s">
        <v>22</v>
      </c>
      <c r="N768" s="31">
        <v>10</v>
      </c>
      <c r="O768" s="31">
        <f>2024-Inventory[[#This Row],[YrBlt]]</f>
        <v>19</v>
      </c>
      <c r="P768" s="31">
        <f>2024-Inventory[[#This Row],[EffYr]]</f>
        <v>19</v>
      </c>
      <c r="Q768" s="30">
        <v>2005</v>
      </c>
      <c r="R768" s="30">
        <v>2005</v>
      </c>
      <c r="S768" s="30">
        <v>1527</v>
      </c>
      <c r="T768" s="32"/>
      <c r="U768" s="32"/>
      <c r="V768" s="32"/>
      <c r="W768" s="32"/>
      <c r="X768" s="32">
        <f>Inventory[[#This Row],[Bsmt Area]]-Inventory[[#This Row],[FnBsmt]]</f>
        <v>0</v>
      </c>
      <c r="Y768" s="32">
        <f>Inventory[[#This Row],[MainFn]]+Inventory[[#This Row],[UpprFn]]+Inventory[[#This Row],[AddFn]]+Inventory[[#This Row],[FnBsmt]]</f>
        <v>1527</v>
      </c>
      <c r="Z768" s="32">
        <v>2000</v>
      </c>
      <c r="AA768" s="31" t="s">
        <v>56</v>
      </c>
      <c r="AB768" s="37"/>
      <c r="AC768" s="30">
        <v>433</v>
      </c>
      <c r="AD768" s="32"/>
      <c r="AE768" s="32"/>
      <c r="AF768" s="32"/>
      <c r="AG768" s="32"/>
      <c r="AH768" s="32"/>
      <c r="AI768" s="30">
        <v>300871</v>
      </c>
      <c r="AJ768" s="30">
        <v>273793</v>
      </c>
      <c r="AK768" s="30">
        <v>0</v>
      </c>
      <c r="AL768" s="30">
        <v>0</v>
      </c>
      <c r="AM768" s="30">
        <v>60800</v>
      </c>
      <c r="AN768" s="30">
        <v>315500</v>
      </c>
      <c r="AO768" s="30">
        <v>376300</v>
      </c>
      <c r="AP768" s="30">
        <f>Lookups!$B$58*0.6</f>
        <v>132535.48800000001</v>
      </c>
      <c r="AQ768" s="30">
        <f>Lookups!$B$58*0.4</f>
        <v>88356.992000000013</v>
      </c>
      <c r="AR768" s="30">
        <f>Lookups!$B$59*Inventory[[#This Row],[LnAcres]]</f>
        <v>-24051.387388882686</v>
      </c>
      <c r="AS768" s="30">
        <f>VLOOKUP(Inventory[[#This Row],[Qlty]],Lookups!$A$66:$E$79,2,FALSE)</f>
        <v>37154.252388000001</v>
      </c>
      <c r="AT768" s="30">
        <f>VLOOKUP(Inventory[[#This Row],[Cnd]],Lookups!$A$80:$E$88,2,FALSE)</f>
        <v>50438.379078999998</v>
      </c>
      <c r="AU768" s="30">
        <f>Inventory[[#This Row],[EffAge]]*Lookups!$B$65</f>
        <v>-2066.0808999999999</v>
      </c>
      <c r="AV768" s="30">
        <f>Inventory[[#This Row],[MainFn]]*Lookups!$B$90</f>
        <v>95300.650260000009</v>
      </c>
      <c r="AW768" s="30">
        <f>Inventory[[#This Row],[UpprFn]]*Lookups!$B$91</f>
        <v>0</v>
      </c>
      <c r="AX768" s="30">
        <f>Inventory[[#This Row],[Bsmt Area]]*Lookups!$B$95</f>
        <v>0</v>
      </c>
      <c r="AY768" s="30">
        <f>Inventory[[#This Row],[AttGar]]*Lookups!$B$93</f>
        <v>15285.346423000001</v>
      </c>
      <c r="AZ768" s="30">
        <f>ROUND(Inventory[[#This Row],[25Det]],-2)</f>
        <v>0</v>
      </c>
      <c r="BA768" s="30">
        <f>ROUND(SUM(Inventory[[#This Row],[Mdl Qlty]:[Mdl Garage Area]])+Inventory[[#This Row],[Mdl Res Intercept]],-2)</f>
        <v>328600</v>
      </c>
      <c r="BB768" s="30">
        <f>ROUND(Inventory[[#This Row],[Mdl Land Intercept]]+Inventory[[#This Row],[Mdl LnAcres]],-2)</f>
        <v>64300</v>
      </c>
      <c r="BC768" s="30">
        <f>Inventory[[#This Row],[Unadj Res Value]]+Inventory[[#This Row],[Unadj Det Value]]+Inventory[[#This Row],[Unadj Land Value]]</f>
        <v>392900</v>
      </c>
      <c r="BD768" s="30">
        <f>(Inventory[[#This Row],[Unadj Total Value]]-Inventory[[#This Row],[24Final]])/Inventory[[#This Row],[24Final]]</f>
        <v>4.4113739038001594E-2</v>
      </c>
      <c r="BE768" s="30">
        <f>VLOOKUP(Inventory[[#This Row],[Nbhd]],Lookups!$M$3:$P$5,4,FALSE)</f>
        <v>0.99970000000000003</v>
      </c>
      <c r="BF768" s="30">
        <f>VLOOKUP(Inventory[[#This Row],[Qlty]],Lookups!$M$8:$P$22,4,FALSE)</f>
        <v>0.99819999999999998</v>
      </c>
      <c r="BG768" s="30">
        <f>VLOOKUP(Inventory[[#This Row],[Cnd]],Lookups!$R$8:$U$17,4,FALSE)</f>
        <v>1.0007999999999999</v>
      </c>
      <c r="BH768" s="30">
        <f>VLOOKUP(Inventory[[#This Row],[LivArea Range]],Lookups!$R$25:$U$43,4,FALSE)</f>
        <v>1.0007999999999999</v>
      </c>
      <c r="BI768" s="30">
        <f>VLOOKUP(Inventory[[#This Row],[Decade]],Lookups!$M$24:$P$40,4,FALSE)</f>
        <v>1.0024</v>
      </c>
      <c r="BJ768" s="30">
        <f>Inventory[[#This Row],[Nbhd Adj]]*0.95</f>
        <v>0.94971499999999998</v>
      </c>
      <c r="BK768" s="30">
        <f>AVERAGE(Inventory[[#This Row],[Nbhd Adj]],Inventory[[#This Row],[Quality Adj]],Inventory[[#This Row],[Condition Adj]],Inventory[[#This Row],[Living Area Adj]],Inventory[[#This Row],[Decade Adj]])*0.95</f>
        <v>0.95036100000000001</v>
      </c>
      <c r="BL768" s="30">
        <f>ROUND((SUM(Inventory[[#This Row],[Mdl Qlty]:[Mdl Garage Area]])+Inventory[[#This Row],[Mdl Res Intercept]])*Inventory[[#This Row],[Res Adj ]],-2)</f>
        <v>312300</v>
      </c>
      <c r="BM768" s="30">
        <f>ROUND(Inventory[[#This Row],[25Det]]*Inventory[[#This Row],[Det/Nbhd Adj]],-2)</f>
        <v>0</v>
      </c>
      <c r="BN768" s="30">
        <f>Inventory[[#This Row],[Adjusted Res]]+Inventory[[#This Row],[Adj Det ]]</f>
        <v>312300</v>
      </c>
      <c r="BO768" s="30">
        <f>ROUND((Inventory[[#This Row],[Mdl Land Intercept]]+Inventory[[#This Row],[Mdl LnAcres]])*Inventory[[#This Row],[Det/Nbhd Adj]],-2)</f>
        <v>61100</v>
      </c>
      <c r="BP768" s="30">
        <f>Inventory[[#This Row],[Adjusted Impr Total]]+Inventory[[#This Row],[Adjusted Land Total]]</f>
        <v>373400</v>
      </c>
      <c r="BQ768" s="30">
        <f>IFERROR((Inventory[[#This Row],[Adjusted Impr Total]]-Inventory[[#This Row],[24Bldg]])/Inventory[[#This Row],[24Bldg]],0)</f>
        <v>-1.0142630744849446E-2</v>
      </c>
      <c r="BR768" s="43">
        <f>(Inventory[[#This Row],[Adjusted Land Total]]-Inventory[[#This Row],[24Lnd]])/Inventory[[#This Row],[24Lnd]]</f>
        <v>4.9342105263157892E-3</v>
      </c>
      <c r="BS768" s="43">
        <f>(Inventory[[#This Row],[Adjusted Total]]-Inventory[[#This Row],[24Final]])/Inventory[[#This Row],[24Final]]</f>
        <v>-7.7066170608557005E-3</v>
      </c>
    </row>
    <row r="769" spans="1:71">
      <c r="A769" s="30">
        <v>2025</v>
      </c>
      <c r="B769" s="31" t="s">
        <v>1284</v>
      </c>
      <c r="C769" s="31">
        <f>LN(Inventory[[#This Row],[Acres]])</f>
        <v>-1.8325814637483102</v>
      </c>
      <c r="D769" s="30">
        <v>0.16</v>
      </c>
      <c r="E769" s="30">
        <v>6902</v>
      </c>
      <c r="F769" s="31" t="s">
        <v>505</v>
      </c>
      <c r="G769" s="31" t="s">
        <v>155</v>
      </c>
      <c r="H769" s="31" t="s">
        <v>5</v>
      </c>
      <c r="I769" s="31" t="s">
        <v>506</v>
      </c>
      <c r="J769" s="31" t="s">
        <v>507</v>
      </c>
      <c r="K769" s="31" t="s">
        <v>193</v>
      </c>
      <c r="L769" s="31" t="s">
        <v>19</v>
      </c>
      <c r="M769" s="31" t="s">
        <v>22</v>
      </c>
      <c r="N769" s="31">
        <v>10</v>
      </c>
      <c r="O769" s="31">
        <f>2024-Inventory[[#This Row],[YrBlt]]</f>
        <v>19</v>
      </c>
      <c r="P769" s="31">
        <f>2024-Inventory[[#This Row],[EffYr]]</f>
        <v>19</v>
      </c>
      <c r="Q769" s="30">
        <v>2005</v>
      </c>
      <c r="R769" s="30">
        <v>2005</v>
      </c>
      <c r="S769" s="30">
        <v>1364</v>
      </c>
      <c r="T769" s="37"/>
      <c r="U769" s="32"/>
      <c r="V769" s="32"/>
      <c r="W769" s="32"/>
      <c r="X769" s="32">
        <f>Inventory[[#This Row],[Bsmt Area]]-Inventory[[#This Row],[FnBsmt]]</f>
        <v>0</v>
      </c>
      <c r="Y769" s="32">
        <f>Inventory[[#This Row],[MainFn]]+Inventory[[#This Row],[UpprFn]]+Inventory[[#This Row],[AddFn]]+Inventory[[#This Row],[FnBsmt]]</f>
        <v>1364</v>
      </c>
      <c r="Z769" s="32">
        <v>1500</v>
      </c>
      <c r="AA769" s="31" t="s">
        <v>56</v>
      </c>
      <c r="AB769" s="32"/>
      <c r="AC769" s="30">
        <v>428</v>
      </c>
      <c r="AD769" s="37"/>
      <c r="AE769" s="32"/>
      <c r="AF769" s="32"/>
      <c r="AG769" s="32"/>
      <c r="AH769" s="32"/>
      <c r="AI769" s="30">
        <v>280047</v>
      </c>
      <c r="AJ769" s="30">
        <v>254843</v>
      </c>
      <c r="AK769" s="30">
        <v>0</v>
      </c>
      <c r="AL769" s="30">
        <v>0</v>
      </c>
      <c r="AM769" s="30">
        <v>60800</v>
      </c>
      <c r="AN769" s="30">
        <v>303700</v>
      </c>
      <c r="AO769" s="30">
        <v>364500</v>
      </c>
      <c r="AP769" s="30">
        <f>Lookups!$B$58*0.6</f>
        <v>132535.48800000001</v>
      </c>
      <c r="AQ769" s="30">
        <f>Lookups!$B$58*0.4</f>
        <v>88356.992000000013</v>
      </c>
      <c r="AR769" s="30">
        <f>Lookups!$B$59*Inventory[[#This Row],[LnAcres]]</f>
        <v>-24051.387388882686</v>
      </c>
      <c r="AS769" s="30">
        <f>VLOOKUP(Inventory[[#This Row],[Qlty]],Lookups!$A$66:$E$79,2,FALSE)</f>
        <v>37154.252388000001</v>
      </c>
      <c r="AT769" s="30">
        <f>VLOOKUP(Inventory[[#This Row],[Cnd]],Lookups!$A$80:$E$88,2,FALSE)</f>
        <v>50438.379078999998</v>
      </c>
      <c r="AU769" s="30">
        <f>Inventory[[#This Row],[EffAge]]*Lookups!$B$65</f>
        <v>-2066.0808999999999</v>
      </c>
      <c r="AV769" s="30">
        <f>Inventory[[#This Row],[MainFn]]*Lookups!$B$90</f>
        <v>85127.758320000008</v>
      </c>
      <c r="AW769" s="30">
        <f>Inventory[[#This Row],[UpprFn]]*Lookups!$B$91</f>
        <v>0</v>
      </c>
      <c r="AX769" s="30">
        <f>Inventory[[#This Row],[Bsmt Area]]*Lookups!$B$95</f>
        <v>0</v>
      </c>
      <c r="AY769" s="30">
        <f>Inventory[[#This Row],[AttGar]]*Lookups!$B$93</f>
        <v>15108.841268</v>
      </c>
      <c r="AZ769" s="30">
        <f>ROUND(Inventory[[#This Row],[25Det]],-2)</f>
        <v>0</v>
      </c>
      <c r="BA769" s="30">
        <f>ROUND(SUM(Inventory[[#This Row],[Mdl Qlty]:[Mdl Garage Area]])+Inventory[[#This Row],[Mdl Res Intercept]],-2)</f>
        <v>318300</v>
      </c>
      <c r="BB769" s="30">
        <f>ROUND(Inventory[[#This Row],[Mdl Land Intercept]]+Inventory[[#This Row],[Mdl LnAcres]],-2)</f>
        <v>64300</v>
      </c>
      <c r="BC769" s="30">
        <f>Inventory[[#This Row],[Unadj Res Value]]+Inventory[[#This Row],[Unadj Det Value]]+Inventory[[#This Row],[Unadj Land Value]]</f>
        <v>382600</v>
      </c>
      <c r="BD769" s="30">
        <f>(Inventory[[#This Row],[Unadj Total Value]]-Inventory[[#This Row],[24Final]])/Inventory[[#This Row],[24Final]]</f>
        <v>4.9657064471879286E-2</v>
      </c>
      <c r="BE769" s="30">
        <f>VLOOKUP(Inventory[[#This Row],[Nbhd]],Lookups!$M$3:$P$5,4,FALSE)</f>
        <v>0.99970000000000003</v>
      </c>
      <c r="BF769" s="30">
        <f>VLOOKUP(Inventory[[#This Row],[Qlty]],Lookups!$M$8:$P$22,4,FALSE)</f>
        <v>0.99819999999999998</v>
      </c>
      <c r="BG769" s="30">
        <f>VLOOKUP(Inventory[[#This Row],[Cnd]],Lookups!$R$8:$U$17,4,FALSE)</f>
        <v>1.0007999999999999</v>
      </c>
      <c r="BH769" s="30">
        <f>VLOOKUP(Inventory[[#This Row],[LivArea Range]],Lookups!$R$25:$U$43,4,FALSE)</f>
        <v>0.99519999999999997</v>
      </c>
      <c r="BI769" s="30">
        <f>VLOOKUP(Inventory[[#This Row],[Decade]],Lookups!$M$24:$P$40,4,FALSE)</f>
        <v>1.0024</v>
      </c>
      <c r="BJ769" s="30">
        <f>Inventory[[#This Row],[Nbhd Adj]]*0.95</f>
        <v>0.94971499999999998</v>
      </c>
      <c r="BK769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769" s="30">
        <f>ROUND((SUM(Inventory[[#This Row],[Mdl Qlty]:[Mdl Garage Area]])+Inventory[[#This Row],[Mdl Res Intercept]])*Inventory[[#This Row],[Res Adj ]],-2)</f>
        <v>302200</v>
      </c>
      <c r="BM769" s="30">
        <f>ROUND(Inventory[[#This Row],[25Det]]*Inventory[[#This Row],[Det/Nbhd Adj]],-2)</f>
        <v>0</v>
      </c>
      <c r="BN769" s="30">
        <f>Inventory[[#This Row],[Adjusted Res]]+Inventory[[#This Row],[Adj Det ]]</f>
        <v>302200</v>
      </c>
      <c r="BO769" s="30">
        <f>ROUND((Inventory[[#This Row],[Mdl Land Intercept]]+Inventory[[#This Row],[Mdl LnAcres]])*Inventory[[#This Row],[Det/Nbhd Adj]],-2)</f>
        <v>61100</v>
      </c>
      <c r="BP769" s="30">
        <f>Inventory[[#This Row],[Adjusted Impr Total]]+Inventory[[#This Row],[Adjusted Land Total]]</f>
        <v>363300</v>
      </c>
      <c r="BQ769" s="30">
        <f>IFERROR((Inventory[[#This Row],[Adjusted Impr Total]]-Inventory[[#This Row],[24Bldg]])/Inventory[[#This Row],[24Bldg]],0)</f>
        <v>-4.9390846229832074E-3</v>
      </c>
      <c r="BR769" s="43">
        <f>(Inventory[[#This Row],[Adjusted Land Total]]-Inventory[[#This Row],[24Lnd]])/Inventory[[#This Row],[24Lnd]]</f>
        <v>4.9342105263157892E-3</v>
      </c>
      <c r="BS769" s="43">
        <f>(Inventory[[#This Row],[Adjusted Total]]-Inventory[[#This Row],[24Final]])/Inventory[[#This Row],[24Final]]</f>
        <v>-3.2921810699588477E-3</v>
      </c>
    </row>
    <row r="770" spans="1:71">
      <c r="A770" s="30">
        <v>2025</v>
      </c>
      <c r="B770" s="31" t="s">
        <v>1285</v>
      </c>
      <c r="C770" s="31">
        <f>LN(Inventory[[#This Row],[Acres]])</f>
        <v>-1.8325814637483102</v>
      </c>
      <c r="D770" s="30">
        <v>0.16</v>
      </c>
      <c r="E770" s="30">
        <v>6960</v>
      </c>
      <c r="F770" s="31" t="s">
        <v>505</v>
      </c>
      <c r="G770" s="31" t="s">
        <v>155</v>
      </c>
      <c r="H770" s="31" t="s">
        <v>5</v>
      </c>
      <c r="I770" s="31" t="s">
        <v>506</v>
      </c>
      <c r="J770" s="31" t="s">
        <v>507</v>
      </c>
      <c r="K770" s="31" t="s">
        <v>157</v>
      </c>
      <c r="L770" s="31" t="s">
        <v>21</v>
      </c>
      <c r="M770" s="31" t="s">
        <v>22</v>
      </c>
      <c r="N770" s="31">
        <v>10</v>
      </c>
      <c r="O770" s="31">
        <f>2024-Inventory[[#This Row],[YrBlt]]</f>
        <v>19</v>
      </c>
      <c r="P770" s="31">
        <f>2024-Inventory[[#This Row],[EffYr]]</f>
        <v>19</v>
      </c>
      <c r="Q770" s="30">
        <v>2005</v>
      </c>
      <c r="R770" s="30">
        <v>2005</v>
      </c>
      <c r="S770" s="30">
        <v>1116</v>
      </c>
      <c r="T770" s="30">
        <v>1116</v>
      </c>
      <c r="U770" s="32"/>
      <c r="V770" s="32"/>
      <c r="W770" s="32"/>
      <c r="X770" s="32">
        <f>Inventory[[#This Row],[Bsmt Area]]-Inventory[[#This Row],[FnBsmt]]</f>
        <v>0</v>
      </c>
      <c r="Y770" s="32">
        <f>Inventory[[#This Row],[MainFn]]+Inventory[[#This Row],[UpprFn]]+Inventory[[#This Row],[AddFn]]+Inventory[[#This Row],[FnBsmt]]</f>
        <v>2232</v>
      </c>
      <c r="Z770" s="32">
        <v>2500</v>
      </c>
      <c r="AA770" s="31" t="s">
        <v>56</v>
      </c>
      <c r="AB770" s="32"/>
      <c r="AC770" s="30">
        <v>440</v>
      </c>
      <c r="AD770" s="32"/>
      <c r="AE770" s="32"/>
      <c r="AF770" s="32"/>
      <c r="AG770" s="32"/>
      <c r="AH770" s="32"/>
      <c r="AI770" s="30">
        <v>440579</v>
      </c>
      <c r="AJ770" s="30">
        <v>400927</v>
      </c>
      <c r="AK770" s="30">
        <v>0</v>
      </c>
      <c r="AL770" s="30">
        <v>0</v>
      </c>
      <c r="AM770" s="30">
        <v>60800</v>
      </c>
      <c r="AN770" s="30">
        <v>350000</v>
      </c>
      <c r="AO770" s="30">
        <v>410800</v>
      </c>
      <c r="AP770" s="30">
        <f>Lookups!$B$58*0.6</f>
        <v>132535.48800000001</v>
      </c>
      <c r="AQ770" s="30">
        <f>Lookups!$B$58*0.4</f>
        <v>88356.992000000013</v>
      </c>
      <c r="AR770" s="30">
        <f>Lookups!$B$59*Inventory[[#This Row],[LnAcres]]</f>
        <v>-24051.387388882686</v>
      </c>
      <c r="AS770" s="30">
        <f>VLOOKUP(Inventory[[#This Row],[Qlty]],Lookups!$A$66:$E$79,2,FALSE)</f>
        <v>32917.849192000001</v>
      </c>
      <c r="AT770" s="30">
        <f>VLOOKUP(Inventory[[#This Row],[Cnd]],Lookups!$A$80:$E$88,2,FALSE)</f>
        <v>50438.379078999998</v>
      </c>
      <c r="AU770" s="30">
        <f>Inventory[[#This Row],[EffAge]]*Lookups!$B$65</f>
        <v>-2066.0808999999999</v>
      </c>
      <c r="AV770" s="30">
        <f>Inventory[[#This Row],[MainFn]]*Lookups!$B$90</f>
        <v>69649.984080000009</v>
      </c>
      <c r="AW770" s="30">
        <f>Inventory[[#This Row],[UpprFn]]*Lookups!$B$91</f>
        <v>66491.707427999994</v>
      </c>
      <c r="AX770" s="30">
        <f>Inventory[[#This Row],[Bsmt Area]]*Lookups!$B$95</f>
        <v>0</v>
      </c>
      <c r="AY770" s="30">
        <f>Inventory[[#This Row],[AttGar]]*Lookups!$B$93</f>
        <v>15532.453640000002</v>
      </c>
      <c r="AZ770" s="30">
        <f>ROUND(Inventory[[#This Row],[25Det]],-2)</f>
        <v>0</v>
      </c>
      <c r="BA770" s="30">
        <f>ROUND(SUM(Inventory[[#This Row],[Mdl Qlty]:[Mdl Garage Area]])+Inventory[[#This Row],[Mdl Res Intercept]],-2)</f>
        <v>365500</v>
      </c>
      <c r="BB770" s="30">
        <f>ROUND(Inventory[[#This Row],[Mdl Land Intercept]]+Inventory[[#This Row],[Mdl LnAcres]],-2)</f>
        <v>64300</v>
      </c>
      <c r="BC770" s="30">
        <f>Inventory[[#This Row],[Unadj Res Value]]+Inventory[[#This Row],[Unadj Det Value]]+Inventory[[#This Row],[Unadj Land Value]]</f>
        <v>429800</v>
      </c>
      <c r="BD770" s="30">
        <f>(Inventory[[#This Row],[Unadj Total Value]]-Inventory[[#This Row],[24Final]])/Inventory[[#This Row],[24Final]]</f>
        <v>4.6251217137293084E-2</v>
      </c>
      <c r="BE770" s="30">
        <f>VLOOKUP(Inventory[[#This Row],[Nbhd]],Lookups!$M$3:$P$5,4,FALSE)</f>
        <v>0.99970000000000003</v>
      </c>
      <c r="BF770" s="30">
        <f>VLOOKUP(Inventory[[#This Row],[Qlty]],Lookups!$M$8:$P$22,4,FALSE)</f>
        <v>1.0019</v>
      </c>
      <c r="BG770" s="30">
        <f>VLOOKUP(Inventory[[#This Row],[Cnd]],Lookups!$R$8:$U$17,4,FALSE)</f>
        <v>1.0007999999999999</v>
      </c>
      <c r="BH770" s="30">
        <f>VLOOKUP(Inventory[[#This Row],[LivArea Range]],Lookups!$R$25:$U$43,4,FALSE)</f>
        <v>1.0008999999999999</v>
      </c>
      <c r="BI770" s="30">
        <f>VLOOKUP(Inventory[[#This Row],[Decade]],Lookups!$M$24:$P$40,4,FALSE)</f>
        <v>1.0024</v>
      </c>
      <c r="BJ770" s="30">
        <f>Inventory[[#This Row],[Nbhd Adj]]*0.95</f>
        <v>0.94971499999999998</v>
      </c>
      <c r="BK770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770" s="30">
        <f>ROUND((SUM(Inventory[[#This Row],[Mdl Qlty]:[Mdl Garage Area]])+Inventory[[#This Row],[Mdl Res Intercept]])*Inventory[[#This Row],[Res Adj ]],-2)</f>
        <v>347600</v>
      </c>
      <c r="BM770" s="30">
        <f>ROUND(Inventory[[#This Row],[25Det]]*Inventory[[#This Row],[Det/Nbhd Adj]],-2)</f>
        <v>0</v>
      </c>
      <c r="BN770" s="30">
        <f>Inventory[[#This Row],[Adjusted Res]]+Inventory[[#This Row],[Adj Det ]]</f>
        <v>347600</v>
      </c>
      <c r="BO770" s="30">
        <f>ROUND((Inventory[[#This Row],[Mdl Land Intercept]]+Inventory[[#This Row],[Mdl LnAcres]])*Inventory[[#This Row],[Det/Nbhd Adj]],-2)</f>
        <v>61100</v>
      </c>
      <c r="BP770" s="30">
        <f>Inventory[[#This Row],[Adjusted Impr Total]]+Inventory[[#This Row],[Adjusted Land Total]]</f>
        <v>408700</v>
      </c>
      <c r="BQ770" s="30">
        <f>IFERROR((Inventory[[#This Row],[Adjusted Impr Total]]-Inventory[[#This Row],[24Bldg]])/Inventory[[#This Row],[24Bldg]],0)</f>
        <v>-6.8571428571428568E-3</v>
      </c>
      <c r="BR770" s="43">
        <f>(Inventory[[#This Row],[Adjusted Land Total]]-Inventory[[#This Row],[24Lnd]])/Inventory[[#This Row],[24Lnd]]</f>
        <v>4.9342105263157892E-3</v>
      </c>
      <c r="BS770" s="43">
        <f>(Inventory[[#This Row],[Adjusted Total]]-Inventory[[#This Row],[24Final]])/Inventory[[#This Row],[24Final]]</f>
        <v>-5.1119766309639728E-3</v>
      </c>
    </row>
    <row r="771" spans="1:71">
      <c r="A771" s="30">
        <v>2025</v>
      </c>
      <c r="B771" s="31" t="s">
        <v>1286</v>
      </c>
      <c r="C771" s="31">
        <f>LN(Inventory[[#This Row],[Acres]])</f>
        <v>-1.8325814637483102</v>
      </c>
      <c r="D771" s="30">
        <v>0.16</v>
      </c>
      <c r="E771" s="30">
        <v>6968</v>
      </c>
      <c r="F771" s="31" t="s">
        <v>505</v>
      </c>
      <c r="G771" s="31" t="s">
        <v>155</v>
      </c>
      <c r="H771" s="31" t="s">
        <v>5</v>
      </c>
      <c r="I771" s="31" t="s">
        <v>506</v>
      </c>
      <c r="J771" s="31" t="s">
        <v>507</v>
      </c>
      <c r="K771" s="31" t="s">
        <v>157</v>
      </c>
      <c r="L771" s="31" t="s">
        <v>21</v>
      </c>
      <c r="M771" s="31" t="s">
        <v>22</v>
      </c>
      <c r="N771" s="31">
        <v>10</v>
      </c>
      <c r="O771" s="31">
        <f>2024-Inventory[[#This Row],[YrBlt]]</f>
        <v>19</v>
      </c>
      <c r="P771" s="31">
        <f>2024-Inventory[[#This Row],[EffYr]]</f>
        <v>19</v>
      </c>
      <c r="Q771" s="30">
        <v>2005</v>
      </c>
      <c r="R771" s="30">
        <v>2005</v>
      </c>
      <c r="S771" s="30">
        <v>1116</v>
      </c>
      <c r="T771" s="30">
        <v>1116</v>
      </c>
      <c r="U771" s="32"/>
      <c r="V771" s="32"/>
      <c r="W771" s="32"/>
      <c r="X771" s="32">
        <f>Inventory[[#This Row],[Bsmt Area]]-Inventory[[#This Row],[FnBsmt]]</f>
        <v>0</v>
      </c>
      <c r="Y771" s="32">
        <f>Inventory[[#This Row],[MainFn]]+Inventory[[#This Row],[UpprFn]]+Inventory[[#This Row],[AddFn]]+Inventory[[#This Row],[FnBsmt]]</f>
        <v>2232</v>
      </c>
      <c r="Z771" s="32">
        <v>2500</v>
      </c>
      <c r="AA771" s="31" t="s">
        <v>56</v>
      </c>
      <c r="AB771" s="38">
        <v>1</v>
      </c>
      <c r="AC771" s="30">
        <v>440</v>
      </c>
      <c r="AD771" s="37"/>
      <c r="AE771" s="32"/>
      <c r="AF771" s="32"/>
      <c r="AG771" s="32"/>
      <c r="AH771" s="32"/>
      <c r="AI771" s="30">
        <v>457241</v>
      </c>
      <c r="AJ771" s="30">
        <v>416089</v>
      </c>
      <c r="AK771" s="30">
        <v>0</v>
      </c>
      <c r="AL771" s="30">
        <v>0</v>
      </c>
      <c r="AM771" s="30">
        <v>60800</v>
      </c>
      <c r="AN771" s="30">
        <v>350000</v>
      </c>
      <c r="AO771" s="30">
        <v>410800</v>
      </c>
      <c r="AP771" s="30">
        <f>Lookups!$B$58*0.6</f>
        <v>132535.48800000001</v>
      </c>
      <c r="AQ771" s="30">
        <f>Lookups!$B$58*0.4</f>
        <v>88356.992000000013</v>
      </c>
      <c r="AR771" s="30">
        <f>Lookups!$B$59*Inventory[[#This Row],[LnAcres]]</f>
        <v>-24051.387388882686</v>
      </c>
      <c r="AS771" s="30">
        <f>VLOOKUP(Inventory[[#This Row],[Qlty]],Lookups!$A$66:$E$79,2,FALSE)</f>
        <v>32917.849192000001</v>
      </c>
      <c r="AT771" s="30">
        <f>VLOOKUP(Inventory[[#This Row],[Cnd]],Lookups!$A$80:$E$88,2,FALSE)</f>
        <v>50438.379078999998</v>
      </c>
      <c r="AU771" s="30">
        <f>Inventory[[#This Row],[EffAge]]*Lookups!$B$65</f>
        <v>-2066.0808999999999</v>
      </c>
      <c r="AV771" s="30">
        <f>Inventory[[#This Row],[MainFn]]*Lookups!$B$90</f>
        <v>69649.984080000009</v>
      </c>
      <c r="AW771" s="30">
        <f>Inventory[[#This Row],[UpprFn]]*Lookups!$B$91</f>
        <v>66491.707427999994</v>
      </c>
      <c r="AX771" s="30">
        <f>Inventory[[#This Row],[Bsmt Area]]*Lookups!$B$95</f>
        <v>0</v>
      </c>
      <c r="AY771" s="30">
        <f>Inventory[[#This Row],[AttGar]]*Lookups!$B$93</f>
        <v>15532.453640000002</v>
      </c>
      <c r="AZ771" s="30">
        <f>ROUND(Inventory[[#This Row],[25Det]],-2)</f>
        <v>0</v>
      </c>
      <c r="BA771" s="30">
        <f>ROUND(SUM(Inventory[[#This Row],[Mdl Qlty]:[Mdl Garage Area]])+Inventory[[#This Row],[Mdl Res Intercept]],-2)</f>
        <v>365500</v>
      </c>
      <c r="BB771" s="30">
        <f>ROUND(Inventory[[#This Row],[Mdl Land Intercept]]+Inventory[[#This Row],[Mdl LnAcres]],-2)</f>
        <v>64300</v>
      </c>
      <c r="BC771" s="30">
        <f>Inventory[[#This Row],[Unadj Res Value]]+Inventory[[#This Row],[Unadj Det Value]]+Inventory[[#This Row],[Unadj Land Value]]</f>
        <v>429800</v>
      </c>
      <c r="BD771" s="30">
        <f>(Inventory[[#This Row],[Unadj Total Value]]-Inventory[[#This Row],[24Final]])/Inventory[[#This Row],[24Final]]</f>
        <v>4.6251217137293084E-2</v>
      </c>
      <c r="BE771" s="30">
        <f>VLOOKUP(Inventory[[#This Row],[Nbhd]],Lookups!$M$3:$P$5,4,FALSE)</f>
        <v>0.99970000000000003</v>
      </c>
      <c r="BF771" s="30">
        <f>VLOOKUP(Inventory[[#This Row],[Qlty]],Lookups!$M$8:$P$22,4,FALSE)</f>
        <v>1.0019</v>
      </c>
      <c r="BG771" s="30">
        <f>VLOOKUP(Inventory[[#This Row],[Cnd]],Lookups!$R$8:$U$17,4,FALSE)</f>
        <v>1.0007999999999999</v>
      </c>
      <c r="BH771" s="30">
        <f>VLOOKUP(Inventory[[#This Row],[LivArea Range]],Lookups!$R$25:$U$43,4,FALSE)</f>
        <v>1.0008999999999999</v>
      </c>
      <c r="BI771" s="30">
        <f>VLOOKUP(Inventory[[#This Row],[Decade]],Lookups!$M$24:$P$40,4,FALSE)</f>
        <v>1.0024</v>
      </c>
      <c r="BJ771" s="30">
        <f>Inventory[[#This Row],[Nbhd Adj]]*0.95</f>
        <v>0.94971499999999998</v>
      </c>
      <c r="BK771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771" s="30">
        <f>ROUND((SUM(Inventory[[#This Row],[Mdl Qlty]:[Mdl Garage Area]])+Inventory[[#This Row],[Mdl Res Intercept]])*Inventory[[#This Row],[Res Adj ]],-2)</f>
        <v>347600</v>
      </c>
      <c r="BM771" s="30">
        <f>ROUND(Inventory[[#This Row],[25Det]]*Inventory[[#This Row],[Det/Nbhd Adj]],-2)</f>
        <v>0</v>
      </c>
      <c r="BN771" s="30">
        <f>Inventory[[#This Row],[Adjusted Res]]+Inventory[[#This Row],[Adj Det ]]</f>
        <v>347600</v>
      </c>
      <c r="BO771" s="30">
        <f>ROUND((Inventory[[#This Row],[Mdl Land Intercept]]+Inventory[[#This Row],[Mdl LnAcres]])*Inventory[[#This Row],[Det/Nbhd Adj]],-2)</f>
        <v>61100</v>
      </c>
      <c r="BP771" s="30">
        <f>Inventory[[#This Row],[Adjusted Impr Total]]+Inventory[[#This Row],[Adjusted Land Total]]</f>
        <v>408700</v>
      </c>
      <c r="BQ771" s="30">
        <f>IFERROR((Inventory[[#This Row],[Adjusted Impr Total]]-Inventory[[#This Row],[24Bldg]])/Inventory[[#This Row],[24Bldg]],0)</f>
        <v>-6.8571428571428568E-3</v>
      </c>
      <c r="BR771" s="43">
        <f>(Inventory[[#This Row],[Adjusted Land Total]]-Inventory[[#This Row],[24Lnd]])/Inventory[[#This Row],[24Lnd]]</f>
        <v>4.9342105263157892E-3</v>
      </c>
      <c r="BS771" s="43">
        <f>(Inventory[[#This Row],[Adjusted Total]]-Inventory[[#This Row],[24Final]])/Inventory[[#This Row],[24Final]]</f>
        <v>-5.1119766309639728E-3</v>
      </c>
    </row>
    <row r="772" spans="1:71">
      <c r="A772" s="30">
        <v>2025</v>
      </c>
      <c r="B772" s="31" t="s">
        <v>1287</v>
      </c>
      <c r="C772" s="31">
        <f>LN(Inventory[[#This Row],[Acres]])</f>
        <v>-1.8325814637483102</v>
      </c>
      <c r="D772" s="30">
        <v>0.16</v>
      </c>
      <c r="E772" s="30">
        <v>7002</v>
      </c>
      <c r="F772" s="31" t="s">
        <v>505</v>
      </c>
      <c r="G772" s="31" t="s">
        <v>155</v>
      </c>
      <c r="H772" s="31" t="s">
        <v>5</v>
      </c>
      <c r="I772" s="31" t="s">
        <v>506</v>
      </c>
      <c r="J772" s="31" t="s">
        <v>507</v>
      </c>
      <c r="K772" s="31" t="s">
        <v>157</v>
      </c>
      <c r="L772" s="31" t="s">
        <v>21</v>
      </c>
      <c r="M772" s="31" t="s">
        <v>22</v>
      </c>
      <c r="N772" s="31">
        <v>10</v>
      </c>
      <c r="O772" s="31">
        <f>2024-Inventory[[#This Row],[YrBlt]]</f>
        <v>19</v>
      </c>
      <c r="P772" s="31">
        <f>2024-Inventory[[#This Row],[EffYr]]</f>
        <v>19</v>
      </c>
      <c r="Q772" s="30">
        <v>2005</v>
      </c>
      <c r="R772" s="30">
        <v>2005</v>
      </c>
      <c r="S772" s="30">
        <v>1116</v>
      </c>
      <c r="T772" s="30">
        <v>1116</v>
      </c>
      <c r="U772" s="32"/>
      <c r="V772" s="32"/>
      <c r="W772" s="32"/>
      <c r="X772" s="32">
        <f>Inventory[[#This Row],[Bsmt Area]]-Inventory[[#This Row],[FnBsmt]]</f>
        <v>0</v>
      </c>
      <c r="Y772" s="32">
        <f>Inventory[[#This Row],[MainFn]]+Inventory[[#This Row],[UpprFn]]+Inventory[[#This Row],[AddFn]]+Inventory[[#This Row],[FnBsmt]]</f>
        <v>2232</v>
      </c>
      <c r="Z772" s="32">
        <v>2500</v>
      </c>
      <c r="AA772" s="31" t="s">
        <v>56</v>
      </c>
      <c r="AB772" s="30">
        <v>1</v>
      </c>
      <c r="AC772" s="30">
        <v>440</v>
      </c>
      <c r="AD772" s="37"/>
      <c r="AE772" s="32"/>
      <c r="AF772" s="32"/>
      <c r="AG772" s="32"/>
      <c r="AH772" s="32"/>
      <c r="AI772" s="30">
        <v>460145</v>
      </c>
      <c r="AJ772" s="30">
        <v>418732</v>
      </c>
      <c r="AK772" s="30">
        <v>0</v>
      </c>
      <c r="AL772" s="30">
        <v>0</v>
      </c>
      <c r="AM772" s="30">
        <v>60800</v>
      </c>
      <c r="AN772" s="30">
        <v>350000</v>
      </c>
      <c r="AO772" s="30">
        <v>410800</v>
      </c>
      <c r="AP772" s="30">
        <f>Lookups!$B$58*0.6</f>
        <v>132535.48800000001</v>
      </c>
      <c r="AQ772" s="30">
        <f>Lookups!$B$58*0.4</f>
        <v>88356.992000000013</v>
      </c>
      <c r="AR772" s="30">
        <f>Lookups!$B$59*Inventory[[#This Row],[LnAcres]]</f>
        <v>-24051.387388882686</v>
      </c>
      <c r="AS772" s="30">
        <f>VLOOKUP(Inventory[[#This Row],[Qlty]],Lookups!$A$66:$E$79,2,FALSE)</f>
        <v>32917.849192000001</v>
      </c>
      <c r="AT772" s="30">
        <f>VLOOKUP(Inventory[[#This Row],[Cnd]],Lookups!$A$80:$E$88,2,FALSE)</f>
        <v>50438.379078999998</v>
      </c>
      <c r="AU772" s="30">
        <f>Inventory[[#This Row],[EffAge]]*Lookups!$B$65</f>
        <v>-2066.0808999999999</v>
      </c>
      <c r="AV772" s="30">
        <f>Inventory[[#This Row],[MainFn]]*Lookups!$B$90</f>
        <v>69649.984080000009</v>
      </c>
      <c r="AW772" s="30">
        <f>Inventory[[#This Row],[UpprFn]]*Lookups!$B$91</f>
        <v>66491.707427999994</v>
      </c>
      <c r="AX772" s="30">
        <f>Inventory[[#This Row],[Bsmt Area]]*Lookups!$B$95</f>
        <v>0</v>
      </c>
      <c r="AY772" s="30">
        <f>Inventory[[#This Row],[AttGar]]*Lookups!$B$93</f>
        <v>15532.453640000002</v>
      </c>
      <c r="AZ772" s="30">
        <f>ROUND(Inventory[[#This Row],[25Det]],-2)</f>
        <v>0</v>
      </c>
      <c r="BA772" s="30">
        <f>ROUND(SUM(Inventory[[#This Row],[Mdl Qlty]:[Mdl Garage Area]])+Inventory[[#This Row],[Mdl Res Intercept]],-2)</f>
        <v>365500</v>
      </c>
      <c r="BB772" s="30">
        <f>ROUND(Inventory[[#This Row],[Mdl Land Intercept]]+Inventory[[#This Row],[Mdl LnAcres]],-2)</f>
        <v>64300</v>
      </c>
      <c r="BC772" s="30">
        <f>Inventory[[#This Row],[Unadj Res Value]]+Inventory[[#This Row],[Unadj Det Value]]+Inventory[[#This Row],[Unadj Land Value]]</f>
        <v>429800</v>
      </c>
      <c r="BD772" s="30">
        <f>(Inventory[[#This Row],[Unadj Total Value]]-Inventory[[#This Row],[24Final]])/Inventory[[#This Row],[24Final]]</f>
        <v>4.6251217137293084E-2</v>
      </c>
      <c r="BE772" s="30">
        <f>VLOOKUP(Inventory[[#This Row],[Nbhd]],Lookups!$M$3:$P$5,4,FALSE)</f>
        <v>0.99970000000000003</v>
      </c>
      <c r="BF772" s="30">
        <f>VLOOKUP(Inventory[[#This Row],[Qlty]],Lookups!$M$8:$P$22,4,FALSE)</f>
        <v>1.0019</v>
      </c>
      <c r="BG772" s="30">
        <f>VLOOKUP(Inventory[[#This Row],[Cnd]],Lookups!$R$8:$U$17,4,FALSE)</f>
        <v>1.0007999999999999</v>
      </c>
      <c r="BH772" s="30">
        <f>VLOOKUP(Inventory[[#This Row],[LivArea Range]],Lookups!$R$25:$U$43,4,FALSE)</f>
        <v>1.0008999999999999</v>
      </c>
      <c r="BI772" s="30">
        <f>VLOOKUP(Inventory[[#This Row],[Decade]],Lookups!$M$24:$P$40,4,FALSE)</f>
        <v>1.0024</v>
      </c>
      <c r="BJ772" s="30">
        <f>Inventory[[#This Row],[Nbhd Adj]]*0.95</f>
        <v>0.94971499999999998</v>
      </c>
      <c r="BK772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772" s="30">
        <f>ROUND((SUM(Inventory[[#This Row],[Mdl Qlty]:[Mdl Garage Area]])+Inventory[[#This Row],[Mdl Res Intercept]])*Inventory[[#This Row],[Res Adj ]],-2)</f>
        <v>347600</v>
      </c>
      <c r="BM772" s="30">
        <f>ROUND(Inventory[[#This Row],[25Det]]*Inventory[[#This Row],[Det/Nbhd Adj]],-2)</f>
        <v>0</v>
      </c>
      <c r="BN772" s="30">
        <f>Inventory[[#This Row],[Adjusted Res]]+Inventory[[#This Row],[Adj Det ]]</f>
        <v>347600</v>
      </c>
      <c r="BO772" s="30">
        <f>ROUND((Inventory[[#This Row],[Mdl Land Intercept]]+Inventory[[#This Row],[Mdl LnAcres]])*Inventory[[#This Row],[Det/Nbhd Adj]],-2)</f>
        <v>61100</v>
      </c>
      <c r="BP772" s="30">
        <f>Inventory[[#This Row],[Adjusted Impr Total]]+Inventory[[#This Row],[Adjusted Land Total]]</f>
        <v>408700</v>
      </c>
      <c r="BQ772" s="30">
        <f>IFERROR((Inventory[[#This Row],[Adjusted Impr Total]]-Inventory[[#This Row],[24Bldg]])/Inventory[[#This Row],[24Bldg]],0)</f>
        <v>-6.8571428571428568E-3</v>
      </c>
      <c r="BR772" s="43">
        <f>(Inventory[[#This Row],[Adjusted Land Total]]-Inventory[[#This Row],[24Lnd]])/Inventory[[#This Row],[24Lnd]]</f>
        <v>4.9342105263157892E-3</v>
      </c>
      <c r="BS772" s="43">
        <f>(Inventory[[#This Row],[Adjusted Total]]-Inventory[[#This Row],[24Final]])/Inventory[[#This Row],[24Final]]</f>
        <v>-5.1119766309639728E-3</v>
      </c>
    </row>
    <row r="773" spans="1:71">
      <c r="A773" s="30">
        <v>2025</v>
      </c>
      <c r="B773" s="31" t="s">
        <v>1288</v>
      </c>
      <c r="C773" s="31">
        <f>LN(Inventory[[#This Row],[Acres]])</f>
        <v>-1.8325814637483102</v>
      </c>
      <c r="D773" s="30">
        <v>0.16</v>
      </c>
      <c r="E773" s="30">
        <v>7154</v>
      </c>
      <c r="F773" s="31" t="s">
        <v>505</v>
      </c>
      <c r="G773" s="31" t="s">
        <v>155</v>
      </c>
      <c r="H773" s="31" t="s">
        <v>5</v>
      </c>
      <c r="I773" s="31" t="s">
        <v>506</v>
      </c>
      <c r="J773" s="31" t="s">
        <v>507</v>
      </c>
      <c r="K773" s="31" t="s">
        <v>193</v>
      </c>
      <c r="L773" s="31" t="s">
        <v>21</v>
      </c>
      <c r="M773" s="31" t="s">
        <v>22</v>
      </c>
      <c r="N773" s="31">
        <v>10</v>
      </c>
      <c r="O773" s="31">
        <f>2024-Inventory[[#This Row],[YrBlt]]</f>
        <v>19</v>
      </c>
      <c r="P773" s="31">
        <f>2024-Inventory[[#This Row],[EffYr]]</f>
        <v>19</v>
      </c>
      <c r="Q773" s="30">
        <v>2005</v>
      </c>
      <c r="R773" s="30">
        <v>2005</v>
      </c>
      <c r="S773" s="30">
        <v>1706</v>
      </c>
      <c r="T773" s="32"/>
      <c r="U773" s="32"/>
      <c r="V773" s="32"/>
      <c r="W773" s="32"/>
      <c r="X773" s="32">
        <f>Inventory[[#This Row],[Bsmt Area]]-Inventory[[#This Row],[FnBsmt]]</f>
        <v>0</v>
      </c>
      <c r="Y773" s="32">
        <f>Inventory[[#This Row],[MainFn]]+Inventory[[#This Row],[UpprFn]]+Inventory[[#This Row],[AddFn]]+Inventory[[#This Row],[FnBsmt]]</f>
        <v>1706</v>
      </c>
      <c r="Z773" s="32">
        <v>2000</v>
      </c>
      <c r="AA773" s="31" t="s">
        <v>56</v>
      </c>
      <c r="AB773" s="32"/>
      <c r="AC773" s="30">
        <v>466</v>
      </c>
      <c r="AD773" s="32"/>
      <c r="AE773" s="32"/>
      <c r="AF773" s="32"/>
      <c r="AG773" s="32"/>
      <c r="AH773" s="32"/>
      <c r="AI773" s="30">
        <v>373267</v>
      </c>
      <c r="AJ773" s="30">
        <v>339673</v>
      </c>
      <c r="AK773" s="30">
        <v>0</v>
      </c>
      <c r="AL773" s="30">
        <v>0</v>
      </c>
      <c r="AM773" s="30">
        <v>60800</v>
      </c>
      <c r="AN773" s="30">
        <v>321000</v>
      </c>
      <c r="AO773" s="30">
        <v>381800</v>
      </c>
      <c r="AP773" s="30">
        <f>Lookups!$B$58*0.6</f>
        <v>132535.48800000001</v>
      </c>
      <c r="AQ773" s="30">
        <f>Lookups!$B$58*0.4</f>
        <v>88356.992000000013</v>
      </c>
      <c r="AR773" s="30">
        <f>Lookups!$B$59*Inventory[[#This Row],[LnAcres]]</f>
        <v>-24051.387388882686</v>
      </c>
      <c r="AS773" s="30">
        <f>VLOOKUP(Inventory[[#This Row],[Qlty]],Lookups!$A$66:$E$79,2,FALSE)</f>
        <v>32917.849192000001</v>
      </c>
      <c r="AT773" s="30">
        <f>VLOOKUP(Inventory[[#This Row],[Cnd]],Lookups!$A$80:$E$88,2,FALSE)</f>
        <v>50438.379078999998</v>
      </c>
      <c r="AU773" s="30">
        <f>Inventory[[#This Row],[EffAge]]*Lookups!$B$65</f>
        <v>-2066.0808999999999</v>
      </c>
      <c r="AV773" s="30">
        <f>Inventory[[#This Row],[MainFn]]*Lookups!$B$90</f>
        <v>106472.10828</v>
      </c>
      <c r="AW773" s="30">
        <f>Inventory[[#This Row],[UpprFn]]*Lookups!$B$91</f>
        <v>0</v>
      </c>
      <c r="AX773" s="30">
        <f>Inventory[[#This Row],[Bsmt Area]]*Lookups!$B$95</f>
        <v>0</v>
      </c>
      <c r="AY773" s="30">
        <f>Inventory[[#This Row],[AttGar]]*Lookups!$B$93</f>
        <v>16450.280446000001</v>
      </c>
      <c r="AZ773" s="30">
        <f>ROUND(Inventory[[#This Row],[25Det]],-2)</f>
        <v>0</v>
      </c>
      <c r="BA773" s="30">
        <f>ROUND(SUM(Inventory[[#This Row],[Mdl Qlty]:[Mdl Garage Area]])+Inventory[[#This Row],[Mdl Res Intercept]],-2)</f>
        <v>336700</v>
      </c>
      <c r="BB773" s="30">
        <f>ROUND(Inventory[[#This Row],[Mdl Land Intercept]]+Inventory[[#This Row],[Mdl LnAcres]],-2)</f>
        <v>64300</v>
      </c>
      <c r="BC773" s="30">
        <f>Inventory[[#This Row],[Unadj Res Value]]+Inventory[[#This Row],[Unadj Det Value]]+Inventory[[#This Row],[Unadj Land Value]]</f>
        <v>401000</v>
      </c>
      <c r="BD773" s="30">
        <f>(Inventory[[#This Row],[Unadj Total Value]]-Inventory[[#This Row],[24Final]])/Inventory[[#This Row],[24Final]]</f>
        <v>5.0288108957569411E-2</v>
      </c>
      <c r="BE773" s="30">
        <f>VLOOKUP(Inventory[[#This Row],[Nbhd]],Lookups!$M$3:$P$5,4,FALSE)</f>
        <v>0.99970000000000003</v>
      </c>
      <c r="BF773" s="30">
        <f>VLOOKUP(Inventory[[#This Row],[Qlty]],Lookups!$M$8:$P$22,4,FALSE)</f>
        <v>1.0019</v>
      </c>
      <c r="BG773" s="30">
        <f>VLOOKUP(Inventory[[#This Row],[Cnd]],Lookups!$R$8:$U$17,4,FALSE)</f>
        <v>1.0007999999999999</v>
      </c>
      <c r="BH773" s="30">
        <f>VLOOKUP(Inventory[[#This Row],[LivArea Range]],Lookups!$R$25:$U$43,4,FALSE)</f>
        <v>1.0007999999999999</v>
      </c>
      <c r="BI773" s="30">
        <f>VLOOKUP(Inventory[[#This Row],[Decade]],Lookups!$M$24:$P$40,4,FALSE)</f>
        <v>1.0024</v>
      </c>
      <c r="BJ773" s="30">
        <f>Inventory[[#This Row],[Nbhd Adj]]*0.95</f>
        <v>0.94971499999999998</v>
      </c>
      <c r="BK773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773" s="30">
        <f>ROUND((SUM(Inventory[[#This Row],[Mdl Qlty]:[Mdl Garage Area]])+Inventory[[#This Row],[Mdl Res Intercept]])*Inventory[[#This Row],[Res Adj ]],-2)</f>
        <v>320300</v>
      </c>
      <c r="BM773" s="30">
        <f>ROUND(Inventory[[#This Row],[25Det]]*Inventory[[#This Row],[Det/Nbhd Adj]],-2)</f>
        <v>0</v>
      </c>
      <c r="BN773" s="30">
        <f>Inventory[[#This Row],[Adjusted Res]]+Inventory[[#This Row],[Adj Det ]]</f>
        <v>320300</v>
      </c>
      <c r="BO773" s="30">
        <f>ROUND((Inventory[[#This Row],[Mdl Land Intercept]]+Inventory[[#This Row],[Mdl LnAcres]])*Inventory[[#This Row],[Det/Nbhd Adj]],-2)</f>
        <v>61100</v>
      </c>
      <c r="BP773" s="30">
        <f>Inventory[[#This Row],[Adjusted Impr Total]]+Inventory[[#This Row],[Adjusted Land Total]]</f>
        <v>381400</v>
      </c>
      <c r="BQ773" s="30">
        <f>IFERROR((Inventory[[#This Row],[Adjusted Impr Total]]-Inventory[[#This Row],[24Bldg]])/Inventory[[#This Row],[24Bldg]],0)</f>
        <v>-2.1806853582554517E-3</v>
      </c>
      <c r="BR773" s="43">
        <f>(Inventory[[#This Row],[Adjusted Land Total]]-Inventory[[#This Row],[24Lnd]])/Inventory[[#This Row],[24Lnd]]</f>
        <v>4.9342105263157892E-3</v>
      </c>
      <c r="BS773" s="43">
        <f>(Inventory[[#This Row],[Adjusted Total]]-Inventory[[#This Row],[24Final]])/Inventory[[#This Row],[24Final]]</f>
        <v>-1.0476689366160294E-3</v>
      </c>
    </row>
    <row r="774" spans="1:71">
      <c r="A774" s="30">
        <v>2025</v>
      </c>
      <c r="B774" s="31" t="s">
        <v>1289</v>
      </c>
      <c r="C774" s="31">
        <f>LN(Inventory[[#This Row],[Acres]])</f>
        <v>-1.8325814637483102</v>
      </c>
      <c r="D774" s="30">
        <v>0.16</v>
      </c>
      <c r="E774" s="30">
        <v>7000</v>
      </c>
      <c r="F774" s="31" t="s">
        <v>505</v>
      </c>
      <c r="G774" s="31" t="s">
        <v>155</v>
      </c>
      <c r="H774" s="31" t="s">
        <v>5</v>
      </c>
      <c r="I774" s="31" t="s">
        <v>506</v>
      </c>
      <c r="J774" s="31" t="s">
        <v>507</v>
      </c>
      <c r="K774" s="31" t="s">
        <v>193</v>
      </c>
      <c r="L774" s="31" t="s">
        <v>21</v>
      </c>
      <c r="M774" s="31" t="s">
        <v>22</v>
      </c>
      <c r="N774" s="31">
        <v>10</v>
      </c>
      <c r="O774" s="31">
        <f>2024-Inventory[[#This Row],[YrBlt]]</f>
        <v>19</v>
      </c>
      <c r="P774" s="31">
        <f>2024-Inventory[[#This Row],[EffYr]]</f>
        <v>19</v>
      </c>
      <c r="Q774" s="30">
        <v>2005</v>
      </c>
      <c r="R774" s="30">
        <v>2005</v>
      </c>
      <c r="S774" s="30">
        <v>2138</v>
      </c>
      <c r="T774" s="37"/>
      <c r="U774" s="32"/>
      <c r="V774" s="32"/>
      <c r="W774" s="32"/>
      <c r="X774" s="32">
        <f>Inventory[[#This Row],[Bsmt Area]]-Inventory[[#This Row],[FnBsmt]]</f>
        <v>0</v>
      </c>
      <c r="Y774" s="32">
        <f>Inventory[[#This Row],[MainFn]]+Inventory[[#This Row],[UpprFn]]+Inventory[[#This Row],[AddFn]]+Inventory[[#This Row],[FnBsmt]]</f>
        <v>2138</v>
      </c>
      <c r="Z774" s="32">
        <v>2500</v>
      </c>
      <c r="AA774" s="31" t="s">
        <v>56</v>
      </c>
      <c r="AB774" s="32"/>
      <c r="AC774" s="38">
        <v>730</v>
      </c>
      <c r="AD774" s="37"/>
      <c r="AE774" s="32"/>
      <c r="AF774" s="32"/>
      <c r="AG774" s="32"/>
      <c r="AH774" s="32"/>
      <c r="AI774" s="30">
        <v>457646</v>
      </c>
      <c r="AJ774" s="30">
        <v>416458</v>
      </c>
      <c r="AK774" s="30">
        <v>0</v>
      </c>
      <c r="AL774" s="30">
        <v>0</v>
      </c>
      <c r="AM774" s="30">
        <v>60800</v>
      </c>
      <c r="AN774" s="30">
        <v>346500</v>
      </c>
      <c r="AO774" s="30">
        <v>407300</v>
      </c>
      <c r="AP774" s="30">
        <f>Lookups!$B$58*0.6</f>
        <v>132535.48800000001</v>
      </c>
      <c r="AQ774" s="30">
        <f>Lookups!$B$58*0.4</f>
        <v>88356.992000000013</v>
      </c>
      <c r="AR774" s="30">
        <f>Lookups!$B$59*Inventory[[#This Row],[LnAcres]]</f>
        <v>-24051.387388882686</v>
      </c>
      <c r="AS774" s="30">
        <f>VLOOKUP(Inventory[[#This Row],[Qlty]],Lookups!$A$66:$E$79,2,FALSE)</f>
        <v>32917.849192000001</v>
      </c>
      <c r="AT774" s="30">
        <f>VLOOKUP(Inventory[[#This Row],[Cnd]],Lookups!$A$80:$E$88,2,FALSE)</f>
        <v>50438.379078999998</v>
      </c>
      <c r="AU774" s="30">
        <f>Inventory[[#This Row],[EffAge]]*Lookups!$B$65</f>
        <v>-2066.0808999999999</v>
      </c>
      <c r="AV774" s="30">
        <f>Inventory[[#This Row],[MainFn]]*Lookups!$B$90</f>
        <v>133433.39244</v>
      </c>
      <c r="AW774" s="30">
        <f>Inventory[[#This Row],[UpprFn]]*Lookups!$B$91</f>
        <v>0</v>
      </c>
      <c r="AX774" s="30">
        <f>Inventory[[#This Row],[Bsmt Area]]*Lookups!$B$95</f>
        <v>0</v>
      </c>
      <c r="AY774" s="30">
        <f>Inventory[[#This Row],[AttGar]]*Lookups!$B$93</f>
        <v>25769.752630000003</v>
      </c>
      <c r="AZ774" s="30">
        <f>ROUND(Inventory[[#This Row],[25Det]],-2)</f>
        <v>0</v>
      </c>
      <c r="BA774" s="30">
        <f>ROUND(SUM(Inventory[[#This Row],[Mdl Qlty]:[Mdl Garage Area]])+Inventory[[#This Row],[Mdl Res Intercept]],-2)</f>
        <v>373000</v>
      </c>
      <c r="BB774" s="30">
        <f>ROUND(Inventory[[#This Row],[Mdl Land Intercept]]+Inventory[[#This Row],[Mdl LnAcres]],-2)</f>
        <v>64300</v>
      </c>
      <c r="BC774" s="30">
        <f>Inventory[[#This Row],[Unadj Res Value]]+Inventory[[#This Row],[Unadj Det Value]]+Inventory[[#This Row],[Unadj Land Value]]</f>
        <v>437300</v>
      </c>
      <c r="BD774" s="30">
        <f>(Inventory[[#This Row],[Unadj Total Value]]-Inventory[[#This Row],[24Final]])/Inventory[[#This Row],[24Final]]</f>
        <v>7.3655781978885337E-2</v>
      </c>
      <c r="BE774" s="30">
        <f>VLOOKUP(Inventory[[#This Row],[Nbhd]],Lookups!$M$3:$P$5,4,FALSE)</f>
        <v>0.99970000000000003</v>
      </c>
      <c r="BF774" s="30">
        <f>VLOOKUP(Inventory[[#This Row],[Qlty]],Lookups!$M$8:$P$22,4,FALSE)</f>
        <v>1.0019</v>
      </c>
      <c r="BG774" s="30">
        <f>VLOOKUP(Inventory[[#This Row],[Cnd]],Lookups!$R$8:$U$17,4,FALSE)</f>
        <v>1.0007999999999999</v>
      </c>
      <c r="BH774" s="30">
        <f>VLOOKUP(Inventory[[#This Row],[LivArea Range]],Lookups!$R$25:$U$43,4,FALSE)</f>
        <v>1.0008999999999999</v>
      </c>
      <c r="BI774" s="30">
        <f>VLOOKUP(Inventory[[#This Row],[Decade]],Lookups!$M$24:$P$40,4,FALSE)</f>
        <v>1.0024</v>
      </c>
      <c r="BJ774" s="30">
        <f>Inventory[[#This Row],[Nbhd Adj]]*0.95</f>
        <v>0.94971499999999998</v>
      </c>
      <c r="BK774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774" s="30">
        <f>ROUND((SUM(Inventory[[#This Row],[Mdl Qlty]:[Mdl Garage Area]])+Inventory[[#This Row],[Mdl Res Intercept]])*Inventory[[#This Row],[Res Adj ]],-2)</f>
        <v>354800</v>
      </c>
      <c r="BM774" s="30">
        <f>ROUND(Inventory[[#This Row],[25Det]]*Inventory[[#This Row],[Det/Nbhd Adj]],-2)</f>
        <v>0</v>
      </c>
      <c r="BN774" s="30">
        <f>Inventory[[#This Row],[Adjusted Res]]+Inventory[[#This Row],[Adj Det ]]</f>
        <v>354800</v>
      </c>
      <c r="BO774" s="30">
        <f>ROUND((Inventory[[#This Row],[Mdl Land Intercept]]+Inventory[[#This Row],[Mdl LnAcres]])*Inventory[[#This Row],[Det/Nbhd Adj]],-2)</f>
        <v>61100</v>
      </c>
      <c r="BP774" s="30">
        <f>Inventory[[#This Row],[Adjusted Impr Total]]+Inventory[[#This Row],[Adjusted Land Total]]</f>
        <v>415900</v>
      </c>
      <c r="BQ774" s="30">
        <f>IFERROR((Inventory[[#This Row],[Adjusted Impr Total]]-Inventory[[#This Row],[24Bldg]])/Inventory[[#This Row],[24Bldg]],0)</f>
        <v>2.3953823953823953E-2</v>
      </c>
      <c r="BR774" s="43">
        <f>(Inventory[[#This Row],[Adjusted Land Total]]-Inventory[[#This Row],[24Lnd]])/Inventory[[#This Row],[24Lnd]]</f>
        <v>4.9342105263157892E-3</v>
      </c>
      <c r="BS774" s="43">
        <f>(Inventory[[#This Row],[Adjusted Total]]-Inventory[[#This Row],[24Final]])/Inventory[[#This Row],[24Final]]</f>
        <v>2.1114657500613799E-2</v>
      </c>
    </row>
    <row r="775" spans="1:71">
      <c r="A775" s="30">
        <v>2025</v>
      </c>
      <c r="B775" s="31" t="s">
        <v>1290</v>
      </c>
      <c r="C775" s="31">
        <f>LN(Inventory[[#This Row],[Acres]])</f>
        <v>-1.8325814637483102</v>
      </c>
      <c r="D775" s="30">
        <v>0.16</v>
      </c>
      <c r="E775" s="30">
        <v>7007</v>
      </c>
      <c r="F775" s="31" t="s">
        <v>505</v>
      </c>
      <c r="G775" s="31" t="s">
        <v>155</v>
      </c>
      <c r="H775" s="31" t="s">
        <v>5</v>
      </c>
      <c r="I775" s="31" t="s">
        <v>506</v>
      </c>
      <c r="J775" s="31" t="s">
        <v>507</v>
      </c>
      <c r="K775" s="31" t="s">
        <v>330</v>
      </c>
      <c r="L775" s="31" t="s">
        <v>21</v>
      </c>
      <c r="M775" s="31" t="s">
        <v>22</v>
      </c>
      <c r="N775" s="31">
        <v>10</v>
      </c>
      <c r="O775" s="31">
        <f>2024-Inventory[[#This Row],[YrBlt]]</f>
        <v>19</v>
      </c>
      <c r="P775" s="31">
        <f>2024-Inventory[[#This Row],[EffYr]]</f>
        <v>19</v>
      </c>
      <c r="Q775" s="30">
        <v>2005</v>
      </c>
      <c r="R775" s="30">
        <v>2005</v>
      </c>
      <c r="S775" s="30">
        <v>2154</v>
      </c>
      <c r="T775" s="37"/>
      <c r="U775" s="32"/>
      <c r="V775" s="32"/>
      <c r="W775" s="32"/>
      <c r="X775" s="32">
        <f>Inventory[[#This Row],[Bsmt Area]]-Inventory[[#This Row],[FnBsmt]]</f>
        <v>0</v>
      </c>
      <c r="Y775" s="32">
        <f>Inventory[[#This Row],[MainFn]]+Inventory[[#This Row],[UpprFn]]+Inventory[[#This Row],[AddFn]]+Inventory[[#This Row],[FnBsmt]]</f>
        <v>2154</v>
      </c>
      <c r="Z775" s="32">
        <v>2500</v>
      </c>
      <c r="AA775" s="31" t="s">
        <v>56</v>
      </c>
      <c r="AB775" s="38">
        <v>1</v>
      </c>
      <c r="AC775" s="30">
        <v>730</v>
      </c>
      <c r="AD775" s="32"/>
      <c r="AE775" s="32"/>
      <c r="AF775" s="32"/>
      <c r="AG775" s="32"/>
      <c r="AH775" s="32"/>
      <c r="AI775" s="30">
        <v>468471</v>
      </c>
      <c r="AJ775" s="30">
        <v>426309</v>
      </c>
      <c r="AK775" s="30">
        <v>0</v>
      </c>
      <c r="AL775" s="30">
        <v>0</v>
      </c>
      <c r="AM775" s="30">
        <v>60800</v>
      </c>
      <c r="AN775" s="30">
        <v>347200</v>
      </c>
      <c r="AO775" s="30">
        <v>408000</v>
      </c>
      <c r="AP775" s="30">
        <f>Lookups!$B$58*0.6</f>
        <v>132535.48800000001</v>
      </c>
      <c r="AQ775" s="30">
        <f>Lookups!$B$58*0.4</f>
        <v>88356.992000000013</v>
      </c>
      <c r="AR775" s="30">
        <f>Lookups!$B$59*Inventory[[#This Row],[LnAcres]]</f>
        <v>-24051.387388882686</v>
      </c>
      <c r="AS775" s="30">
        <f>VLOOKUP(Inventory[[#This Row],[Qlty]],Lookups!$A$66:$E$79,2,FALSE)</f>
        <v>32917.849192000001</v>
      </c>
      <c r="AT775" s="30">
        <f>VLOOKUP(Inventory[[#This Row],[Cnd]],Lookups!$A$80:$E$88,2,FALSE)</f>
        <v>50438.379078999998</v>
      </c>
      <c r="AU775" s="30">
        <f>Inventory[[#This Row],[EffAge]]*Lookups!$B$65</f>
        <v>-2066.0808999999999</v>
      </c>
      <c r="AV775" s="30">
        <f>Inventory[[#This Row],[MainFn]]*Lookups!$B$90</f>
        <v>134431.95852000001</v>
      </c>
      <c r="AW775" s="30">
        <f>Inventory[[#This Row],[UpprFn]]*Lookups!$B$91</f>
        <v>0</v>
      </c>
      <c r="AX775" s="30">
        <f>Inventory[[#This Row],[Bsmt Area]]*Lookups!$B$95</f>
        <v>0</v>
      </c>
      <c r="AY775" s="30">
        <f>Inventory[[#This Row],[AttGar]]*Lookups!$B$93</f>
        <v>25769.752630000003</v>
      </c>
      <c r="AZ775" s="30">
        <f>ROUND(Inventory[[#This Row],[25Det]],-2)</f>
        <v>0</v>
      </c>
      <c r="BA775" s="30">
        <f>ROUND(SUM(Inventory[[#This Row],[Mdl Qlty]:[Mdl Garage Area]])+Inventory[[#This Row],[Mdl Res Intercept]],-2)</f>
        <v>374000</v>
      </c>
      <c r="BB775" s="30">
        <f>ROUND(Inventory[[#This Row],[Mdl Land Intercept]]+Inventory[[#This Row],[Mdl LnAcres]],-2)</f>
        <v>64300</v>
      </c>
      <c r="BC775" s="30">
        <f>Inventory[[#This Row],[Unadj Res Value]]+Inventory[[#This Row],[Unadj Det Value]]+Inventory[[#This Row],[Unadj Land Value]]</f>
        <v>438300</v>
      </c>
      <c r="BD775" s="30">
        <f>(Inventory[[#This Row],[Unadj Total Value]]-Inventory[[#This Row],[24Final]])/Inventory[[#This Row],[24Final]]</f>
        <v>7.4264705882352941E-2</v>
      </c>
      <c r="BE775" s="30">
        <f>VLOOKUP(Inventory[[#This Row],[Nbhd]],Lookups!$M$3:$P$5,4,FALSE)</f>
        <v>0.99970000000000003</v>
      </c>
      <c r="BF775" s="30">
        <f>VLOOKUP(Inventory[[#This Row],[Qlty]],Lookups!$M$8:$P$22,4,FALSE)</f>
        <v>1.0019</v>
      </c>
      <c r="BG775" s="30">
        <f>VLOOKUP(Inventory[[#This Row],[Cnd]],Lookups!$R$8:$U$17,4,FALSE)</f>
        <v>1.0007999999999999</v>
      </c>
      <c r="BH775" s="30">
        <f>VLOOKUP(Inventory[[#This Row],[LivArea Range]],Lookups!$R$25:$U$43,4,FALSE)</f>
        <v>1.0008999999999999</v>
      </c>
      <c r="BI775" s="30">
        <f>VLOOKUP(Inventory[[#This Row],[Decade]],Lookups!$M$24:$P$40,4,FALSE)</f>
        <v>1.0024</v>
      </c>
      <c r="BJ775" s="30">
        <f>Inventory[[#This Row],[Nbhd Adj]]*0.95</f>
        <v>0.94971499999999998</v>
      </c>
      <c r="BK775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775" s="30">
        <f>ROUND((SUM(Inventory[[#This Row],[Mdl Qlty]:[Mdl Garage Area]])+Inventory[[#This Row],[Mdl Res Intercept]])*Inventory[[#This Row],[Res Adj ]],-2)</f>
        <v>355700</v>
      </c>
      <c r="BM775" s="30">
        <f>ROUND(Inventory[[#This Row],[25Det]]*Inventory[[#This Row],[Det/Nbhd Adj]],-2)</f>
        <v>0</v>
      </c>
      <c r="BN775" s="30">
        <f>Inventory[[#This Row],[Adjusted Res]]+Inventory[[#This Row],[Adj Det ]]</f>
        <v>355700</v>
      </c>
      <c r="BO775" s="30">
        <f>ROUND((Inventory[[#This Row],[Mdl Land Intercept]]+Inventory[[#This Row],[Mdl LnAcres]])*Inventory[[#This Row],[Det/Nbhd Adj]],-2)</f>
        <v>61100</v>
      </c>
      <c r="BP775" s="30">
        <f>Inventory[[#This Row],[Adjusted Impr Total]]+Inventory[[#This Row],[Adjusted Land Total]]</f>
        <v>416800</v>
      </c>
      <c r="BQ775" s="30">
        <f>IFERROR((Inventory[[#This Row],[Adjusted Impr Total]]-Inventory[[#This Row],[24Bldg]])/Inventory[[#This Row],[24Bldg]],0)</f>
        <v>2.4481566820276499E-2</v>
      </c>
      <c r="BR775" s="43">
        <f>(Inventory[[#This Row],[Adjusted Land Total]]-Inventory[[#This Row],[24Lnd]])/Inventory[[#This Row],[24Lnd]]</f>
        <v>4.9342105263157892E-3</v>
      </c>
      <c r="BS775" s="43">
        <f>(Inventory[[#This Row],[Adjusted Total]]-Inventory[[#This Row],[24Final]])/Inventory[[#This Row],[24Final]]</f>
        <v>2.1568627450980392E-2</v>
      </c>
    </row>
    <row r="776" spans="1:71">
      <c r="A776" s="30">
        <v>2025</v>
      </c>
      <c r="B776" s="31" t="s">
        <v>1291</v>
      </c>
      <c r="C776" s="31">
        <f>LN(Inventory[[#This Row],[Acres]])</f>
        <v>-1.8325814637483102</v>
      </c>
      <c r="D776" s="30">
        <v>0.16</v>
      </c>
      <c r="E776" s="30">
        <v>7031</v>
      </c>
      <c r="F776" s="31" t="s">
        <v>505</v>
      </c>
      <c r="G776" s="31" t="s">
        <v>155</v>
      </c>
      <c r="H776" s="31" t="s">
        <v>5</v>
      </c>
      <c r="I776" s="31" t="s">
        <v>506</v>
      </c>
      <c r="J776" s="31" t="s">
        <v>507</v>
      </c>
      <c r="K776" s="31" t="s">
        <v>193</v>
      </c>
      <c r="L776" s="31" t="s">
        <v>21</v>
      </c>
      <c r="M776" s="31" t="s">
        <v>22</v>
      </c>
      <c r="N776" s="31">
        <v>10</v>
      </c>
      <c r="O776" s="31">
        <f>2024-Inventory[[#This Row],[YrBlt]]</f>
        <v>19</v>
      </c>
      <c r="P776" s="31">
        <f>2024-Inventory[[#This Row],[EffYr]]</f>
        <v>19</v>
      </c>
      <c r="Q776" s="30">
        <v>2005</v>
      </c>
      <c r="R776" s="30">
        <v>2005</v>
      </c>
      <c r="S776" s="30">
        <v>2154</v>
      </c>
      <c r="T776" s="37"/>
      <c r="U776" s="32"/>
      <c r="V776" s="32"/>
      <c r="W776" s="32"/>
      <c r="X776" s="32">
        <f>Inventory[[#This Row],[Bsmt Area]]-Inventory[[#This Row],[FnBsmt]]</f>
        <v>0</v>
      </c>
      <c r="Y776" s="32">
        <f>Inventory[[#This Row],[MainFn]]+Inventory[[#This Row],[UpprFn]]+Inventory[[#This Row],[AddFn]]+Inventory[[#This Row],[FnBsmt]]</f>
        <v>2154</v>
      </c>
      <c r="Z776" s="32">
        <v>2500</v>
      </c>
      <c r="AA776" s="31" t="s">
        <v>56</v>
      </c>
      <c r="AB776" s="32"/>
      <c r="AC776" s="30">
        <v>730</v>
      </c>
      <c r="AD776" s="37"/>
      <c r="AE776" s="32"/>
      <c r="AF776" s="32"/>
      <c r="AG776" s="32"/>
      <c r="AH776" s="32"/>
      <c r="AI776" s="30">
        <v>455082</v>
      </c>
      <c r="AJ776" s="30">
        <v>414125</v>
      </c>
      <c r="AK776" s="30">
        <v>0</v>
      </c>
      <c r="AL776" s="30">
        <v>0</v>
      </c>
      <c r="AM776" s="30">
        <v>60800</v>
      </c>
      <c r="AN776" s="30">
        <v>347200</v>
      </c>
      <c r="AO776" s="30">
        <v>408000</v>
      </c>
      <c r="AP776" s="30">
        <f>Lookups!$B$58*0.6</f>
        <v>132535.48800000001</v>
      </c>
      <c r="AQ776" s="30">
        <f>Lookups!$B$58*0.4</f>
        <v>88356.992000000013</v>
      </c>
      <c r="AR776" s="30">
        <f>Lookups!$B$59*Inventory[[#This Row],[LnAcres]]</f>
        <v>-24051.387388882686</v>
      </c>
      <c r="AS776" s="30">
        <f>VLOOKUP(Inventory[[#This Row],[Qlty]],Lookups!$A$66:$E$79,2,FALSE)</f>
        <v>32917.849192000001</v>
      </c>
      <c r="AT776" s="30">
        <f>VLOOKUP(Inventory[[#This Row],[Cnd]],Lookups!$A$80:$E$88,2,FALSE)</f>
        <v>50438.379078999998</v>
      </c>
      <c r="AU776" s="30">
        <f>Inventory[[#This Row],[EffAge]]*Lookups!$B$65</f>
        <v>-2066.0808999999999</v>
      </c>
      <c r="AV776" s="30">
        <f>Inventory[[#This Row],[MainFn]]*Lookups!$B$90</f>
        <v>134431.95852000001</v>
      </c>
      <c r="AW776" s="30">
        <f>Inventory[[#This Row],[UpprFn]]*Lookups!$B$91</f>
        <v>0</v>
      </c>
      <c r="AX776" s="30">
        <f>Inventory[[#This Row],[Bsmt Area]]*Lookups!$B$95</f>
        <v>0</v>
      </c>
      <c r="AY776" s="30">
        <f>Inventory[[#This Row],[AttGar]]*Lookups!$B$93</f>
        <v>25769.752630000003</v>
      </c>
      <c r="AZ776" s="30">
        <f>ROUND(Inventory[[#This Row],[25Det]],-2)</f>
        <v>0</v>
      </c>
      <c r="BA776" s="30">
        <f>ROUND(SUM(Inventory[[#This Row],[Mdl Qlty]:[Mdl Garage Area]])+Inventory[[#This Row],[Mdl Res Intercept]],-2)</f>
        <v>374000</v>
      </c>
      <c r="BB776" s="30">
        <f>ROUND(Inventory[[#This Row],[Mdl Land Intercept]]+Inventory[[#This Row],[Mdl LnAcres]],-2)</f>
        <v>64300</v>
      </c>
      <c r="BC776" s="30">
        <f>Inventory[[#This Row],[Unadj Res Value]]+Inventory[[#This Row],[Unadj Det Value]]+Inventory[[#This Row],[Unadj Land Value]]</f>
        <v>438300</v>
      </c>
      <c r="BD776" s="30">
        <f>(Inventory[[#This Row],[Unadj Total Value]]-Inventory[[#This Row],[24Final]])/Inventory[[#This Row],[24Final]]</f>
        <v>7.4264705882352941E-2</v>
      </c>
      <c r="BE776" s="30">
        <f>VLOOKUP(Inventory[[#This Row],[Nbhd]],Lookups!$M$3:$P$5,4,FALSE)</f>
        <v>0.99970000000000003</v>
      </c>
      <c r="BF776" s="30">
        <f>VLOOKUP(Inventory[[#This Row],[Qlty]],Lookups!$M$8:$P$22,4,FALSE)</f>
        <v>1.0019</v>
      </c>
      <c r="BG776" s="30">
        <f>VLOOKUP(Inventory[[#This Row],[Cnd]],Lookups!$R$8:$U$17,4,FALSE)</f>
        <v>1.0007999999999999</v>
      </c>
      <c r="BH776" s="30">
        <f>VLOOKUP(Inventory[[#This Row],[LivArea Range]],Lookups!$R$25:$U$43,4,FALSE)</f>
        <v>1.0008999999999999</v>
      </c>
      <c r="BI776" s="30">
        <f>VLOOKUP(Inventory[[#This Row],[Decade]],Lookups!$M$24:$P$40,4,FALSE)</f>
        <v>1.0024</v>
      </c>
      <c r="BJ776" s="30">
        <f>Inventory[[#This Row],[Nbhd Adj]]*0.95</f>
        <v>0.94971499999999998</v>
      </c>
      <c r="BK776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776" s="30">
        <f>ROUND((SUM(Inventory[[#This Row],[Mdl Qlty]:[Mdl Garage Area]])+Inventory[[#This Row],[Mdl Res Intercept]])*Inventory[[#This Row],[Res Adj ]],-2)</f>
        <v>355700</v>
      </c>
      <c r="BM776" s="30">
        <f>ROUND(Inventory[[#This Row],[25Det]]*Inventory[[#This Row],[Det/Nbhd Adj]],-2)</f>
        <v>0</v>
      </c>
      <c r="BN776" s="30">
        <f>Inventory[[#This Row],[Adjusted Res]]+Inventory[[#This Row],[Adj Det ]]</f>
        <v>355700</v>
      </c>
      <c r="BO776" s="30">
        <f>ROUND((Inventory[[#This Row],[Mdl Land Intercept]]+Inventory[[#This Row],[Mdl LnAcres]])*Inventory[[#This Row],[Det/Nbhd Adj]],-2)</f>
        <v>61100</v>
      </c>
      <c r="BP776" s="30">
        <f>Inventory[[#This Row],[Adjusted Impr Total]]+Inventory[[#This Row],[Adjusted Land Total]]</f>
        <v>416800</v>
      </c>
      <c r="BQ776" s="30">
        <f>IFERROR((Inventory[[#This Row],[Adjusted Impr Total]]-Inventory[[#This Row],[24Bldg]])/Inventory[[#This Row],[24Bldg]],0)</f>
        <v>2.4481566820276499E-2</v>
      </c>
      <c r="BR776" s="43">
        <f>(Inventory[[#This Row],[Adjusted Land Total]]-Inventory[[#This Row],[24Lnd]])/Inventory[[#This Row],[24Lnd]]</f>
        <v>4.9342105263157892E-3</v>
      </c>
      <c r="BS776" s="43">
        <f>(Inventory[[#This Row],[Adjusted Total]]-Inventory[[#This Row],[24Final]])/Inventory[[#This Row],[24Final]]</f>
        <v>2.1568627450980392E-2</v>
      </c>
    </row>
    <row r="777" spans="1:71">
      <c r="A777" s="30">
        <v>2025</v>
      </c>
      <c r="B777" s="31" t="s">
        <v>1292</v>
      </c>
      <c r="C777" s="31">
        <f>LN(Inventory[[#This Row],[Acres]])</f>
        <v>-1.7719568419318752</v>
      </c>
      <c r="D777" s="30">
        <v>0.17</v>
      </c>
      <c r="E777" s="30">
        <v>7395</v>
      </c>
      <c r="F777" s="31" t="s">
        <v>505</v>
      </c>
      <c r="G777" s="31" t="s">
        <v>155</v>
      </c>
      <c r="H777" s="31" t="s">
        <v>5</v>
      </c>
      <c r="I777" s="31" t="s">
        <v>506</v>
      </c>
      <c r="J777" s="31" t="s">
        <v>507</v>
      </c>
      <c r="K777" s="31" t="s">
        <v>157</v>
      </c>
      <c r="L777" s="31" t="s">
        <v>21</v>
      </c>
      <c r="M777" s="31" t="s">
        <v>20</v>
      </c>
      <c r="N777" s="31">
        <v>10</v>
      </c>
      <c r="O777" s="31">
        <f>2024-Inventory[[#This Row],[YrBlt]]</f>
        <v>19</v>
      </c>
      <c r="P777" s="31">
        <f>2024-Inventory[[#This Row],[EffYr]]</f>
        <v>19</v>
      </c>
      <c r="Q777" s="30">
        <v>2005</v>
      </c>
      <c r="R777" s="30">
        <v>2005</v>
      </c>
      <c r="S777" s="30">
        <v>1158</v>
      </c>
      <c r="T777" s="30">
        <v>1322</v>
      </c>
      <c r="U777" s="32"/>
      <c r="V777" s="32"/>
      <c r="W777" s="32"/>
      <c r="X777" s="32">
        <f>Inventory[[#This Row],[Bsmt Area]]-Inventory[[#This Row],[FnBsmt]]</f>
        <v>0</v>
      </c>
      <c r="Y777" s="32">
        <f>Inventory[[#This Row],[MainFn]]+Inventory[[#This Row],[UpprFn]]+Inventory[[#This Row],[AddFn]]+Inventory[[#This Row],[FnBsmt]]</f>
        <v>2480</v>
      </c>
      <c r="Z777" s="32">
        <v>2500</v>
      </c>
      <c r="AA777" s="31" t="s">
        <v>57</v>
      </c>
      <c r="AB777" s="38">
        <v>1</v>
      </c>
      <c r="AC777" s="30">
        <v>300</v>
      </c>
      <c r="AD777" s="38">
        <v>502</v>
      </c>
      <c r="AE777" s="32"/>
      <c r="AF777" s="32"/>
      <c r="AG777" s="32"/>
      <c r="AH777" s="32"/>
      <c r="AI777" s="30">
        <v>503193</v>
      </c>
      <c r="AJ777" s="30">
        <v>457906</v>
      </c>
      <c r="AK777" s="30">
        <v>0</v>
      </c>
      <c r="AL777" s="30">
        <v>0</v>
      </c>
      <c r="AM777" s="30">
        <v>61700</v>
      </c>
      <c r="AN777" s="30">
        <v>364200</v>
      </c>
      <c r="AO777" s="30">
        <v>425900</v>
      </c>
      <c r="AP777" s="30">
        <f>Lookups!$B$58*0.6</f>
        <v>132535.48800000001</v>
      </c>
      <c r="AQ777" s="30">
        <f>Lookups!$B$58*0.4</f>
        <v>88356.992000000013</v>
      </c>
      <c r="AR777" s="30">
        <f>Lookups!$B$59*Inventory[[#This Row],[LnAcres]]</f>
        <v>-23255.730391660189</v>
      </c>
      <c r="AS777" s="30">
        <f>VLOOKUP(Inventory[[#This Row],[Qlty]],Lookups!$A$66:$E$79,2,FALSE)</f>
        <v>32917.849192000001</v>
      </c>
      <c r="AT777" s="30">
        <f>VLOOKUP(Inventory[[#This Row],[Cnd]],Lookups!$A$80:$E$88,2,FALSE)</f>
        <v>30300.329274</v>
      </c>
      <c r="AU777" s="30">
        <f>Inventory[[#This Row],[EffAge]]*Lookups!$B$65</f>
        <v>-2066.0808999999999</v>
      </c>
      <c r="AV777" s="30">
        <f>Inventory[[#This Row],[MainFn]]*Lookups!$B$90</f>
        <v>72271.22004</v>
      </c>
      <c r="AW777" s="30">
        <f>Inventory[[#This Row],[UpprFn]]*Lookups!$B$91</f>
        <v>78765.266325999997</v>
      </c>
      <c r="AX777" s="30">
        <f>Inventory[[#This Row],[Bsmt Area]]*Lookups!$B$95</f>
        <v>0</v>
      </c>
      <c r="AY777" s="30">
        <f>Inventory[[#This Row],[AttGar]]*Lookups!$B$93</f>
        <v>10590.309300000001</v>
      </c>
      <c r="AZ777" s="30">
        <f>ROUND(Inventory[[#This Row],[25Det]],-2)</f>
        <v>0</v>
      </c>
      <c r="BA777" s="30">
        <f>ROUND(SUM(Inventory[[#This Row],[Mdl Qlty]:[Mdl Garage Area]])+Inventory[[#This Row],[Mdl Res Intercept]],-2)</f>
        <v>355300</v>
      </c>
      <c r="BB777" s="30">
        <f>ROUND(Inventory[[#This Row],[Mdl Land Intercept]]+Inventory[[#This Row],[Mdl LnAcres]],-2)</f>
        <v>65100</v>
      </c>
      <c r="BC777" s="30">
        <f>Inventory[[#This Row],[Unadj Res Value]]+Inventory[[#This Row],[Unadj Det Value]]+Inventory[[#This Row],[Unadj Land Value]]</f>
        <v>420400</v>
      </c>
      <c r="BD777" s="30">
        <f>(Inventory[[#This Row],[Unadj Total Value]]-Inventory[[#This Row],[24Final]])/Inventory[[#This Row],[24Final]]</f>
        <v>-1.2913829537450105E-2</v>
      </c>
      <c r="BE777" s="30">
        <f>VLOOKUP(Inventory[[#This Row],[Nbhd]],Lookups!$M$3:$P$5,4,FALSE)</f>
        <v>0.99970000000000003</v>
      </c>
      <c r="BF777" s="30">
        <f>VLOOKUP(Inventory[[#This Row],[Qlty]],Lookups!$M$8:$P$22,4,FALSE)</f>
        <v>1.0019</v>
      </c>
      <c r="BG777" s="30">
        <f>VLOOKUP(Inventory[[#This Row],[Cnd]],Lookups!$R$8:$U$17,4,FALSE)</f>
        <v>0.997</v>
      </c>
      <c r="BH777" s="30">
        <f>VLOOKUP(Inventory[[#This Row],[LivArea Range]],Lookups!$R$25:$U$43,4,FALSE)</f>
        <v>1.0008999999999999</v>
      </c>
      <c r="BI777" s="30">
        <f>VLOOKUP(Inventory[[#This Row],[Decade]],Lookups!$M$24:$P$40,4,FALSE)</f>
        <v>1.0024</v>
      </c>
      <c r="BJ777" s="30">
        <f>Inventory[[#This Row],[Nbhd Adj]]*0.95</f>
        <v>0.94971499999999998</v>
      </c>
      <c r="BK777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77" s="30">
        <f>ROUND((SUM(Inventory[[#This Row],[Mdl Qlty]:[Mdl Garage Area]])+Inventory[[#This Row],[Mdl Res Intercept]])*Inventory[[#This Row],[Res Adj ]],-2)</f>
        <v>337700</v>
      </c>
      <c r="BM777" s="30">
        <f>ROUND(Inventory[[#This Row],[25Det]]*Inventory[[#This Row],[Det/Nbhd Adj]],-2)</f>
        <v>0</v>
      </c>
      <c r="BN777" s="30">
        <f>Inventory[[#This Row],[Adjusted Res]]+Inventory[[#This Row],[Adj Det ]]</f>
        <v>337700</v>
      </c>
      <c r="BO777" s="30">
        <f>ROUND((Inventory[[#This Row],[Mdl Land Intercept]]+Inventory[[#This Row],[Mdl LnAcres]])*Inventory[[#This Row],[Det/Nbhd Adj]],-2)</f>
        <v>61800</v>
      </c>
      <c r="BP777" s="30">
        <f>Inventory[[#This Row],[Adjusted Impr Total]]+Inventory[[#This Row],[Adjusted Land Total]]</f>
        <v>399500</v>
      </c>
      <c r="BQ777" s="30">
        <f>IFERROR((Inventory[[#This Row],[Adjusted Impr Total]]-Inventory[[#This Row],[24Bldg]])/Inventory[[#This Row],[24Bldg]],0)</f>
        <v>-7.2762218561230094E-2</v>
      </c>
      <c r="BR777" s="43">
        <f>(Inventory[[#This Row],[Adjusted Land Total]]-Inventory[[#This Row],[24Lnd]])/Inventory[[#This Row],[24Lnd]]</f>
        <v>1.6207455429497568E-3</v>
      </c>
      <c r="BS777" s="43">
        <f>(Inventory[[#This Row],[Adjusted Total]]-Inventory[[#This Row],[24Final]])/Inventory[[#This Row],[24Final]]</f>
        <v>-6.1986381779760506E-2</v>
      </c>
    </row>
    <row r="778" spans="1:71">
      <c r="A778" s="30">
        <v>2025</v>
      </c>
      <c r="B778" s="31" t="s">
        <v>1293</v>
      </c>
      <c r="C778" s="31">
        <f>LN(Inventory[[#This Row],[Acres]])</f>
        <v>-1.7719568419318752</v>
      </c>
      <c r="D778" s="30">
        <v>0.17</v>
      </c>
      <c r="E778" s="30">
        <v>7310</v>
      </c>
      <c r="F778" s="31" t="s">
        <v>505</v>
      </c>
      <c r="G778" s="31" t="s">
        <v>155</v>
      </c>
      <c r="H778" s="31" t="s">
        <v>5</v>
      </c>
      <c r="I778" s="31" t="s">
        <v>506</v>
      </c>
      <c r="J778" s="31" t="s">
        <v>507</v>
      </c>
      <c r="K778" s="31" t="s">
        <v>157</v>
      </c>
      <c r="L778" s="31" t="s">
        <v>21</v>
      </c>
      <c r="M778" s="31" t="s">
        <v>22</v>
      </c>
      <c r="N778" s="31">
        <v>10</v>
      </c>
      <c r="O778" s="31">
        <f>2024-Inventory[[#This Row],[YrBlt]]</f>
        <v>19</v>
      </c>
      <c r="P778" s="31">
        <f>2024-Inventory[[#This Row],[EffYr]]</f>
        <v>19</v>
      </c>
      <c r="Q778" s="30">
        <v>2005</v>
      </c>
      <c r="R778" s="30">
        <v>2005</v>
      </c>
      <c r="S778" s="30">
        <v>1158</v>
      </c>
      <c r="T778" s="30">
        <v>1322</v>
      </c>
      <c r="U778" s="32"/>
      <c r="V778" s="32"/>
      <c r="W778" s="32"/>
      <c r="X778" s="32">
        <f>Inventory[[#This Row],[Bsmt Area]]-Inventory[[#This Row],[FnBsmt]]</f>
        <v>0</v>
      </c>
      <c r="Y778" s="32">
        <f>Inventory[[#This Row],[MainFn]]+Inventory[[#This Row],[UpprFn]]+Inventory[[#This Row],[AddFn]]+Inventory[[#This Row],[FnBsmt]]</f>
        <v>2480</v>
      </c>
      <c r="Z778" s="32">
        <v>2500</v>
      </c>
      <c r="AA778" s="31" t="s">
        <v>57</v>
      </c>
      <c r="AB778" s="38">
        <v>1</v>
      </c>
      <c r="AC778" s="30">
        <v>300</v>
      </c>
      <c r="AD778" s="38">
        <v>502</v>
      </c>
      <c r="AE778" s="32"/>
      <c r="AF778" s="32"/>
      <c r="AG778" s="32"/>
      <c r="AH778" s="32"/>
      <c r="AI778" s="30">
        <v>520854</v>
      </c>
      <c r="AJ778" s="30">
        <v>473977</v>
      </c>
      <c r="AK778" s="30">
        <v>0</v>
      </c>
      <c r="AL778" s="30">
        <v>0</v>
      </c>
      <c r="AM778" s="30">
        <v>61700</v>
      </c>
      <c r="AN778" s="30">
        <v>379700</v>
      </c>
      <c r="AO778" s="30">
        <v>441400</v>
      </c>
      <c r="AP778" s="30">
        <f>Lookups!$B$58*0.6</f>
        <v>132535.48800000001</v>
      </c>
      <c r="AQ778" s="30">
        <f>Lookups!$B$58*0.4</f>
        <v>88356.992000000013</v>
      </c>
      <c r="AR778" s="30">
        <f>Lookups!$B$59*Inventory[[#This Row],[LnAcres]]</f>
        <v>-23255.730391660189</v>
      </c>
      <c r="AS778" s="30">
        <f>VLOOKUP(Inventory[[#This Row],[Qlty]],Lookups!$A$66:$E$79,2,FALSE)</f>
        <v>32917.849192000001</v>
      </c>
      <c r="AT778" s="30">
        <f>VLOOKUP(Inventory[[#This Row],[Cnd]],Lookups!$A$80:$E$88,2,FALSE)</f>
        <v>50438.379078999998</v>
      </c>
      <c r="AU778" s="30">
        <f>Inventory[[#This Row],[EffAge]]*Lookups!$B$65</f>
        <v>-2066.0808999999999</v>
      </c>
      <c r="AV778" s="30">
        <f>Inventory[[#This Row],[MainFn]]*Lookups!$B$90</f>
        <v>72271.22004</v>
      </c>
      <c r="AW778" s="30">
        <f>Inventory[[#This Row],[UpprFn]]*Lookups!$B$91</f>
        <v>78765.266325999997</v>
      </c>
      <c r="AX778" s="30">
        <f>Inventory[[#This Row],[Bsmt Area]]*Lookups!$B$95</f>
        <v>0</v>
      </c>
      <c r="AY778" s="30">
        <f>Inventory[[#This Row],[AttGar]]*Lookups!$B$93</f>
        <v>10590.309300000001</v>
      </c>
      <c r="AZ778" s="30">
        <f>ROUND(Inventory[[#This Row],[25Det]],-2)</f>
        <v>0</v>
      </c>
      <c r="BA778" s="30">
        <f>ROUND(SUM(Inventory[[#This Row],[Mdl Qlty]:[Mdl Garage Area]])+Inventory[[#This Row],[Mdl Res Intercept]],-2)</f>
        <v>375500</v>
      </c>
      <c r="BB778" s="30">
        <f>ROUND(Inventory[[#This Row],[Mdl Land Intercept]]+Inventory[[#This Row],[Mdl LnAcres]],-2)</f>
        <v>65100</v>
      </c>
      <c r="BC778" s="30">
        <f>Inventory[[#This Row],[Unadj Res Value]]+Inventory[[#This Row],[Unadj Det Value]]+Inventory[[#This Row],[Unadj Land Value]]</f>
        <v>440600</v>
      </c>
      <c r="BD778" s="30">
        <f>(Inventory[[#This Row],[Unadj Total Value]]-Inventory[[#This Row],[24Final]])/Inventory[[#This Row],[24Final]]</f>
        <v>-1.8124150430448573E-3</v>
      </c>
      <c r="BE778" s="30">
        <f>VLOOKUP(Inventory[[#This Row],[Nbhd]],Lookups!$M$3:$P$5,4,FALSE)</f>
        <v>0.99970000000000003</v>
      </c>
      <c r="BF778" s="30">
        <f>VLOOKUP(Inventory[[#This Row],[Qlty]],Lookups!$M$8:$P$22,4,FALSE)</f>
        <v>1.0019</v>
      </c>
      <c r="BG778" s="30">
        <f>VLOOKUP(Inventory[[#This Row],[Cnd]],Lookups!$R$8:$U$17,4,FALSE)</f>
        <v>1.0007999999999999</v>
      </c>
      <c r="BH778" s="30">
        <f>VLOOKUP(Inventory[[#This Row],[LivArea Range]],Lookups!$R$25:$U$43,4,FALSE)</f>
        <v>1.0008999999999999</v>
      </c>
      <c r="BI778" s="30">
        <f>VLOOKUP(Inventory[[#This Row],[Decade]],Lookups!$M$24:$P$40,4,FALSE)</f>
        <v>1.0024</v>
      </c>
      <c r="BJ778" s="30">
        <f>Inventory[[#This Row],[Nbhd Adj]]*0.95</f>
        <v>0.94971499999999998</v>
      </c>
      <c r="BK778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778" s="30">
        <f>ROUND((SUM(Inventory[[#This Row],[Mdl Qlty]:[Mdl Garage Area]])+Inventory[[#This Row],[Mdl Res Intercept]])*Inventory[[#This Row],[Res Adj ]],-2)</f>
        <v>357100</v>
      </c>
      <c r="BM778" s="30">
        <f>ROUND(Inventory[[#This Row],[25Det]]*Inventory[[#This Row],[Det/Nbhd Adj]],-2)</f>
        <v>0</v>
      </c>
      <c r="BN778" s="30">
        <f>Inventory[[#This Row],[Adjusted Res]]+Inventory[[#This Row],[Adj Det ]]</f>
        <v>357100</v>
      </c>
      <c r="BO778" s="30">
        <f>ROUND((Inventory[[#This Row],[Mdl Land Intercept]]+Inventory[[#This Row],[Mdl LnAcres]])*Inventory[[#This Row],[Det/Nbhd Adj]],-2)</f>
        <v>61800</v>
      </c>
      <c r="BP778" s="30">
        <f>Inventory[[#This Row],[Adjusted Impr Total]]+Inventory[[#This Row],[Adjusted Land Total]]</f>
        <v>418900</v>
      </c>
      <c r="BQ778" s="30">
        <f>IFERROR((Inventory[[#This Row],[Adjusted Impr Total]]-Inventory[[#This Row],[24Bldg]])/Inventory[[#This Row],[24Bldg]],0)</f>
        <v>-5.9520674216486699E-2</v>
      </c>
      <c r="BR778" s="43">
        <f>(Inventory[[#This Row],[Adjusted Land Total]]-Inventory[[#This Row],[24Lnd]])/Inventory[[#This Row],[24Lnd]]</f>
        <v>1.6207455429497568E-3</v>
      </c>
      <c r="BS778" s="43">
        <f>(Inventory[[#This Row],[Adjusted Total]]-Inventory[[#This Row],[24Final]])/Inventory[[#This Row],[24Final]]</f>
        <v>-5.0974173085636613E-2</v>
      </c>
    </row>
    <row r="779" spans="1:71">
      <c r="A779" s="30">
        <v>2025</v>
      </c>
      <c r="B779" s="31" t="s">
        <v>1294</v>
      </c>
      <c r="C779" s="31">
        <f>LN(Inventory[[#This Row],[Acres]])</f>
        <v>-1.7719568419318752</v>
      </c>
      <c r="D779" s="30">
        <v>0.17</v>
      </c>
      <c r="E779" s="30">
        <v>7335</v>
      </c>
      <c r="F779" s="31" t="s">
        <v>505</v>
      </c>
      <c r="G779" s="31" t="s">
        <v>155</v>
      </c>
      <c r="H779" s="31" t="s">
        <v>5</v>
      </c>
      <c r="I779" s="31" t="s">
        <v>506</v>
      </c>
      <c r="J779" s="31" t="s">
        <v>507</v>
      </c>
      <c r="K779" s="31" t="s">
        <v>157</v>
      </c>
      <c r="L779" s="31" t="s">
        <v>21</v>
      </c>
      <c r="M779" s="31" t="s">
        <v>22</v>
      </c>
      <c r="N779" s="31">
        <v>10</v>
      </c>
      <c r="O779" s="31">
        <f>2024-Inventory[[#This Row],[YrBlt]]</f>
        <v>19</v>
      </c>
      <c r="P779" s="31">
        <f>2024-Inventory[[#This Row],[EffYr]]</f>
        <v>19</v>
      </c>
      <c r="Q779" s="30">
        <v>2005</v>
      </c>
      <c r="R779" s="30">
        <v>2005</v>
      </c>
      <c r="S779" s="30">
        <v>1158</v>
      </c>
      <c r="T779" s="38">
        <v>1322</v>
      </c>
      <c r="U779" s="32"/>
      <c r="V779" s="32"/>
      <c r="W779" s="32"/>
      <c r="X779" s="32">
        <f>Inventory[[#This Row],[Bsmt Area]]-Inventory[[#This Row],[FnBsmt]]</f>
        <v>0</v>
      </c>
      <c r="Y779" s="32">
        <f>Inventory[[#This Row],[MainFn]]+Inventory[[#This Row],[UpprFn]]+Inventory[[#This Row],[AddFn]]+Inventory[[#This Row],[FnBsmt]]</f>
        <v>2480</v>
      </c>
      <c r="Z779" s="32">
        <v>2500</v>
      </c>
      <c r="AA779" s="31" t="s">
        <v>57</v>
      </c>
      <c r="AB779" s="38">
        <v>1</v>
      </c>
      <c r="AC779" s="30">
        <v>300</v>
      </c>
      <c r="AD779" s="38">
        <v>502</v>
      </c>
      <c r="AE779" s="32"/>
      <c r="AF779" s="32"/>
      <c r="AG779" s="32"/>
      <c r="AH779" s="32"/>
      <c r="AI779" s="30">
        <v>504445</v>
      </c>
      <c r="AJ779" s="30">
        <v>459045</v>
      </c>
      <c r="AK779" s="30">
        <v>0</v>
      </c>
      <c r="AL779" s="30">
        <v>0</v>
      </c>
      <c r="AM779" s="30">
        <v>61700</v>
      </c>
      <c r="AN779" s="30">
        <v>379700</v>
      </c>
      <c r="AO779" s="30">
        <v>441400</v>
      </c>
      <c r="AP779" s="30">
        <f>Lookups!$B$58*0.6</f>
        <v>132535.48800000001</v>
      </c>
      <c r="AQ779" s="30">
        <f>Lookups!$B$58*0.4</f>
        <v>88356.992000000013</v>
      </c>
      <c r="AR779" s="30">
        <f>Lookups!$B$59*Inventory[[#This Row],[LnAcres]]</f>
        <v>-23255.730391660189</v>
      </c>
      <c r="AS779" s="30">
        <f>VLOOKUP(Inventory[[#This Row],[Qlty]],Lookups!$A$66:$E$79,2,FALSE)</f>
        <v>32917.849192000001</v>
      </c>
      <c r="AT779" s="30">
        <f>VLOOKUP(Inventory[[#This Row],[Cnd]],Lookups!$A$80:$E$88,2,FALSE)</f>
        <v>50438.379078999998</v>
      </c>
      <c r="AU779" s="30">
        <f>Inventory[[#This Row],[EffAge]]*Lookups!$B$65</f>
        <v>-2066.0808999999999</v>
      </c>
      <c r="AV779" s="30">
        <f>Inventory[[#This Row],[MainFn]]*Lookups!$B$90</f>
        <v>72271.22004</v>
      </c>
      <c r="AW779" s="30">
        <f>Inventory[[#This Row],[UpprFn]]*Lookups!$B$91</f>
        <v>78765.266325999997</v>
      </c>
      <c r="AX779" s="30">
        <f>Inventory[[#This Row],[Bsmt Area]]*Lookups!$B$95</f>
        <v>0</v>
      </c>
      <c r="AY779" s="30">
        <f>Inventory[[#This Row],[AttGar]]*Lookups!$B$93</f>
        <v>10590.309300000001</v>
      </c>
      <c r="AZ779" s="30">
        <f>ROUND(Inventory[[#This Row],[25Det]],-2)</f>
        <v>0</v>
      </c>
      <c r="BA779" s="30">
        <f>ROUND(SUM(Inventory[[#This Row],[Mdl Qlty]:[Mdl Garage Area]])+Inventory[[#This Row],[Mdl Res Intercept]],-2)</f>
        <v>375500</v>
      </c>
      <c r="BB779" s="30">
        <f>ROUND(Inventory[[#This Row],[Mdl Land Intercept]]+Inventory[[#This Row],[Mdl LnAcres]],-2)</f>
        <v>65100</v>
      </c>
      <c r="BC779" s="30">
        <f>Inventory[[#This Row],[Unadj Res Value]]+Inventory[[#This Row],[Unadj Det Value]]+Inventory[[#This Row],[Unadj Land Value]]</f>
        <v>440600</v>
      </c>
      <c r="BD779" s="30">
        <f>(Inventory[[#This Row],[Unadj Total Value]]-Inventory[[#This Row],[24Final]])/Inventory[[#This Row],[24Final]]</f>
        <v>-1.8124150430448573E-3</v>
      </c>
      <c r="BE779" s="30">
        <f>VLOOKUP(Inventory[[#This Row],[Nbhd]],Lookups!$M$3:$P$5,4,FALSE)</f>
        <v>0.99970000000000003</v>
      </c>
      <c r="BF779" s="30">
        <f>VLOOKUP(Inventory[[#This Row],[Qlty]],Lookups!$M$8:$P$22,4,FALSE)</f>
        <v>1.0019</v>
      </c>
      <c r="BG779" s="30">
        <f>VLOOKUP(Inventory[[#This Row],[Cnd]],Lookups!$R$8:$U$17,4,FALSE)</f>
        <v>1.0007999999999999</v>
      </c>
      <c r="BH779" s="30">
        <f>VLOOKUP(Inventory[[#This Row],[LivArea Range]],Lookups!$R$25:$U$43,4,FALSE)</f>
        <v>1.0008999999999999</v>
      </c>
      <c r="BI779" s="30">
        <f>VLOOKUP(Inventory[[#This Row],[Decade]],Lookups!$M$24:$P$40,4,FALSE)</f>
        <v>1.0024</v>
      </c>
      <c r="BJ779" s="30">
        <f>Inventory[[#This Row],[Nbhd Adj]]*0.95</f>
        <v>0.94971499999999998</v>
      </c>
      <c r="BK779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779" s="30">
        <f>ROUND((SUM(Inventory[[#This Row],[Mdl Qlty]:[Mdl Garage Area]])+Inventory[[#This Row],[Mdl Res Intercept]])*Inventory[[#This Row],[Res Adj ]],-2)</f>
        <v>357100</v>
      </c>
      <c r="BM779" s="30">
        <f>ROUND(Inventory[[#This Row],[25Det]]*Inventory[[#This Row],[Det/Nbhd Adj]],-2)</f>
        <v>0</v>
      </c>
      <c r="BN779" s="30">
        <f>Inventory[[#This Row],[Adjusted Res]]+Inventory[[#This Row],[Adj Det ]]</f>
        <v>357100</v>
      </c>
      <c r="BO779" s="30">
        <f>ROUND((Inventory[[#This Row],[Mdl Land Intercept]]+Inventory[[#This Row],[Mdl LnAcres]])*Inventory[[#This Row],[Det/Nbhd Adj]],-2)</f>
        <v>61800</v>
      </c>
      <c r="BP779" s="30">
        <f>Inventory[[#This Row],[Adjusted Impr Total]]+Inventory[[#This Row],[Adjusted Land Total]]</f>
        <v>418900</v>
      </c>
      <c r="BQ779" s="30">
        <f>IFERROR((Inventory[[#This Row],[Adjusted Impr Total]]-Inventory[[#This Row],[24Bldg]])/Inventory[[#This Row],[24Bldg]],0)</f>
        <v>-5.9520674216486699E-2</v>
      </c>
      <c r="BR779" s="43">
        <f>(Inventory[[#This Row],[Adjusted Land Total]]-Inventory[[#This Row],[24Lnd]])/Inventory[[#This Row],[24Lnd]]</f>
        <v>1.6207455429497568E-3</v>
      </c>
      <c r="BS779" s="43">
        <f>(Inventory[[#This Row],[Adjusted Total]]-Inventory[[#This Row],[24Final]])/Inventory[[#This Row],[24Final]]</f>
        <v>-5.0974173085636613E-2</v>
      </c>
    </row>
    <row r="780" spans="1:71">
      <c r="A780" s="30">
        <v>2025</v>
      </c>
      <c r="B780" s="31" t="s">
        <v>1295</v>
      </c>
      <c r="C780" s="31">
        <f>LN(Inventory[[#This Row],[Acres]])</f>
        <v>-1.7719568419318752</v>
      </c>
      <c r="D780" s="30">
        <v>0.17</v>
      </c>
      <c r="E780" s="30">
        <v>7231</v>
      </c>
      <c r="F780" s="31" t="s">
        <v>505</v>
      </c>
      <c r="G780" s="31" t="s">
        <v>155</v>
      </c>
      <c r="H780" s="31" t="s">
        <v>5</v>
      </c>
      <c r="I780" s="31" t="s">
        <v>506</v>
      </c>
      <c r="J780" s="31" t="s">
        <v>507</v>
      </c>
      <c r="K780" s="31" t="s">
        <v>330</v>
      </c>
      <c r="L780" s="31" t="s">
        <v>21</v>
      </c>
      <c r="M780" s="31" t="s">
        <v>20</v>
      </c>
      <c r="N780" s="31">
        <v>10</v>
      </c>
      <c r="O780" s="31">
        <f>2024-Inventory[[#This Row],[YrBlt]]</f>
        <v>19</v>
      </c>
      <c r="P780" s="31">
        <f>2024-Inventory[[#This Row],[EffYr]]</f>
        <v>19</v>
      </c>
      <c r="Q780" s="30">
        <v>2005</v>
      </c>
      <c r="R780" s="30">
        <v>2005</v>
      </c>
      <c r="S780" s="30">
        <v>2154</v>
      </c>
      <c r="T780" s="32"/>
      <c r="U780" s="32"/>
      <c r="V780" s="32"/>
      <c r="W780" s="32"/>
      <c r="X780" s="32">
        <f>Inventory[[#This Row],[Bsmt Area]]-Inventory[[#This Row],[FnBsmt]]</f>
        <v>0</v>
      </c>
      <c r="Y780" s="32">
        <f>Inventory[[#This Row],[MainFn]]+Inventory[[#This Row],[UpprFn]]+Inventory[[#This Row],[AddFn]]+Inventory[[#This Row],[FnBsmt]]</f>
        <v>2154</v>
      </c>
      <c r="Z780" s="32">
        <v>2500</v>
      </c>
      <c r="AA780" s="31" t="s">
        <v>57</v>
      </c>
      <c r="AB780" s="38">
        <v>1</v>
      </c>
      <c r="AC780" s="30">
        <v>730</v>
      </c>
      <c r="AD780" s="32"/>
      <c r="AE780" s="32"/>
      <c r="AF780" s="32"/>
      <c r="AG780" s="32"/>
      <c r="AH780" s="32"/>
      <c r="AI780" s="30">
        <v>472428</v>
      </c>
      <c r="AJ780" s="30">
        <v>429909</v>
      </c>
      <c r="AK780" s="30">
        <v>0</v>
      </c>
      <c r="AL780" s="30">
        <v>0</v>
      </c>
      <c r="AM780" s="30">
        <v>61700</v>
      </c>
      <c r="AN780" s="30">
        <v>350100</v>
      </c>
      <c r="AO780" s="30">
        <v>411800</v>
      </c>
      <c r="AP780" s="30">
        <f>Lookups!$B$58*0.6</f>
        <v>132535.48800000001</v>
      </c>
      <c r="AQ780" s="30">
        <f>Lookups!$B$58*0.4</f>
        <v>88356.992000000013</v>
      </c>
      <c r="AR780" s="30">
        <f>Lookups!$B$59*Inventory[[#This Row],[LnAcres]]</f>
        <v>-23255.730391660189</v>
      </c>
      <c r="AS780" s="30">
        <f>VLOOKUP(Inventory[[#This Row],[Qlty]],Lookups!$A$66:$E$79,2,FALSE)</f>
        <v>32917.849192000001</v>
      </c>
      <c r="AT780" s="30">
        <f>VLOOKUP(Inventory[[#This Row],[Cnd]],Lookups!$A$80:$E$88,2,FALSE)</f>
        <v>30300.329274</v>
      </c>
      <c r="AU780" s="30">
        <f>Inventory[[#This Row],[EffAge]]*Lookups!$B$65</f>
        <v>-2066.0808999999999</v>
      </c>
      <c r="AV780" s="30">
        <f>Inventory[[#This Row],[MainFn]]*Lookups!$B$90</f>
        <v>134431.95852000001</v>
      </c>
      <c r="AW780" s="30">
        <f>Inventory[[#This Row],[UpprFn]]*Lookups!$B$91</f>
        <v>0</v>
      </c>
      <c r="AX780" s="30">
        <f>Inventory[[#This Row],[Bsmt Area]]*Lookups!$B$95</f>
        <v>0</v>
      </c>
      <c r="AY780" s="30">
        <f>Inventory[[#This Row],[AttGar]]*Lookups!$B$93</f>
        <v>25769.752630000003</v>
      </c>
      <c r="AZ780" s="30">
        <f>ROUND(Inventory[[#This Row],[25Det]],-2)</f>
        <v>0</v>
      </c>
      <c r="BA780" s="30">
        <f>ROUND(SUM(Inventory[[#This Row],[Mdl Qlty]:[Mdl Garage Area]])+Inventory[[#This Row],[Mdl Res Intercept]],-2)</f>
        <v>353900</v>
      </c>
      <c r="BB780" s="30">
        <f>ROUND(Inventory[[#This Row],[Mdl Land Intercept]]+Inventory[[#This Row],[Mdl LnAcres]],-2)</f>
        <v>65100</v>
      </c>
      <c r="BC780" s="30">
        <f>Inventory[[#This Row],[Unadj Res Value]]+Inventory[[#This Row],[Unadj Det Value]]+Inventory[[#This Row],[Unadj Land Value]]</f>
        <v>419000</v>
      </c>
      <c r="BD780" s="30">
        <f>(Inventory[[#This Row],[Unadj Total Value]]-Inventory[[#This Row],[24Final]])/Inventory[[#This Row],[24Final]]</f>
        <v>1.7484215638659543E-2</v>
      </c>
      <c r="BE780" s="30">
        <f>VLOOKUP(Inventory[[#This Row],[Nbhd]],Lookups!$M$3:$P$5,4,FALSE)</f>
        <v>0.99970000000000003</v>
      </c>
      <c r="BF780" s="30">
        <f>VLOOKUP(Inventory[[#This Row],[Qlty]],Lookups!$M$8:$P$22,4,FALSE)</f>
        <v>1.0019</v>
      </c>
      <c r="BG780" s="30">
        <f>VLOOKUP(Inventory[[#This Row],[Cnd]],Lookups!$R$8:$U$17,4,FALSE)</f>
        <v>0.997</v>
      </c>
      <c r="BH780" s="30">
        <f>VLOOKUP(Inventory[[#This Row],[LivArea Range]],Lookups!$R$25:$U$43,4,FALSE)</f>
        <v>1.0008999999999999</v>
      </c>
      <c r="BI780" s="30">
        <f>VLOOKUP(Inventory[[#This Row],[Decade]],Lookups!$M$24:$P$40,4,FALSE)</f>
        <v>1.0024</v>
      </c>
      <c r="BJ780" s="30">
        <f>Inventory[[#This Row],[Nbhd Adj]]*0.95</f>
        <v>0.94971499999999998</v>
      </c>
      <c r="BK780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80" s="30">
        <f>ROUND((SUM(Inventory[[#This Row],[Mdl Qlty]:[Mdl Garage Area]])+Inventory[[#This Row],[Mdl Res Intercept]])*Inventory[[#This Row],[Res Adj ]],-2)</f>
        <v>336300</v>
      </c>
      <c r="BM780" s="30">
        <f>ROUND(Inventory[[#This Row],[25Det]]*Inventory[[#This Row],[Det/Nbhd Adj]],-2)</f>
        <v>0</v>
      </c>
      <c r="BN780" s="30">
        <f>Inventory[[#This Row],[Adjusted Res]]+Inventory[[#This Row],[Adj Det ]]</f>
        <v>336300</v>
      </c>
      <c r="BO780" s="30">
        <f>ROUND((Inventory[[#This Row],[Mdl Land Intercept]]+Inventory[[#This Row],[Mdl LnAcres]])*Inventory[[#This Row],[Det/Nbhd Adj]],-2)</f>
        <v>61800</v>
      </c>
      <c r="BP780" s="30">
        <f>Inventory[[#This Row],[Adjusted Impr Total]]+Inventory[[#This Row],[Adjusted Land Total]]</f>
        <v>398100</v>
      </c>
      <c r="BQ780" s="30">
        <f>IFERROR((Inventory[[#This Row],[Adjusted Impr Total]]-Inventory[[#This Row],[24Bldg]])/Inventory[[#This Row],[24Bldg]],0)</f>
        <v>-3.9417309340188521E-2</v>
      </c>
      <c r="BR780" s="43">
        <f>(Inventory[[#This Row],[Adjusted Land Total]]-Inventory[[#This Row],[24Lnd]])/Inventory[[#This Row],[24Lnd]]</f>
        <v>1.6207455429497568E-3</v>
      </c>
      <c r="BS780" s="43">
        <f>(Inventory[[#This Row],[Adjusted Total]]-Inventory[[#This Row],[24Final]])/Inventory[[#This Row],[24Final]]</f>
        <v>-3.3268576979116074E-2</v>
      </c>
    </row>
    <row r="781" spans="1:71">
      <c r="A781" s="30">
        <v>2025</v>
      </c>
      <c r="B781" s="31" t="s">
        <v>1296</v>
      </c>
      <c r="C781" s="31">
        <f>LN(Inventory[[#This Row],[Acres]])</f>
        <v>-1.7719568419318752</v>
      </c>
      <c r="D781" s="30">
        <v>0.17</v>
      </c>
      <c r="E781" s="30">
        <v>7195</v>
      </c>
      <c r="F781" s="31" t="s">
        <v>505</v>
      </c>
      <c r="G781" s="31" t="s">
        <v>155</v>
      </c>
      <c r="H781" s="31" t="s">
        <v>5</v>
      </c>
      <c r="I781" s="31" t="s">
        <v>506</v>
      </c>
      <c r="J781" s="31" t="s">
        <v>507</v>
      </c>
      <c r="K781" s="31" t="s">
        <v>157</v>
      </c>
      <c r="L781" s="31" t="s">
        <v>21</v>
      </c>
      <c r="M781" s="31" t="s">
        <v>20</v>
      </c>
      <c r="N781" s="31">
        <v>10</v>
      </c>
      <c r="O781" s="31">
        <f>2024-Inventory[[#This Row],[YrBlt]]</f>
        <v>19</v>
      </c>
      <c r="P781" s="31">
        <f>2024-Inventory[[#This Row],[EffYr]]</f>
        <v>19</v>
      </c>
      <c r="Q781" s="30">
        <v>2005</v>
      </c>
      <c r="R781" s="30">
        <v>2005</v>
      </c>
      <c r="S781" s="30">
        <v>1116</v>
      </c>
      <c r="T781" s="38">
        <v>1116</v>
      </c>
      <c r="U781" s="32"/>
      <c r="V781" s="32"/>
      <c r="W781" s="32"/>
      <c r="X781" s="32">
        <f>Inventory[[#This Row],[Bsmt Area]]-Inventory[[#This Row],[FnBsmt]]</f>
        <v>0</v>
      </c>
      <c r="Y781" s="32">
        <f>Inventory[[#This Row],[MainFn]]+Inventory[[#This Row],[UpprFn]]+Inventory[[#This Row],[AddFn]]+Inventory[[#This Row],[FnBsmt]]</f>
        <v>2232</v>
      </c>
      <c r="Z781" s="32">
        <v>2500</v>
      </c>
      <c r="AA781" s="31" t="s">
        <v>57</v>
      </c>
      <c r="AB781" s="38">
        <v>1</v>
      </c>
      <c r="AC781" s="30">
        <v>440</v>
      </c>
      <c r="AD781" s="32"/>
      <c r="AE781" s="32"/>
      <c r="AF781" s="32"/>
      <c r="AG781" s="32"/>
      <c r="AH781" s="32"/>
      <c r="AI781" s="30">
        <v>444722</v>
      </c>
      <c r="AJ781" s="30">
        <v>404697</v>
      </c>
      <c r="AK781" s="30">
        <v>0</v>
      </c>
      <c r="AL781" s="30">
        <v>0</v>
      </c>
      <c r="AM781" s="30">
        <v>61700</v>
      </c>
      <c r="AN781" s="30">
        <v>334500</v>
      </c>
      <c r="AO781" s="30">
        <v>396200</v>
      </c>
      <c r="AP781" s="30">
        <f>Lookups!$B$58*0.6</f>
        <v>132535.48800000001</v>
      </c>
      <c r="AQ781" s="30">
        <f>Lookups!$B$58*0.4</f>
        <v>88356.992000000013</v>
      </c>
      <c r="AR781" s="30">
        <f>Lookups!$B$59*Inventory[[#This Row],[LnAcres]]</f>
        <v>-23255.730391660189</v>
      </c>
      <c r="AS781" s="30">
        <f>VLOOKUP(Inventory[[#This Row],[Qlty]],Lookups!$A$66:$E$79,2,FALSE)</f>
        <v>32917.849192000001</v>
      </c>
      <c r="AT781" s="30">
        <f>VLOOKUP(Inventory[[#This Row],[Cnd]],Lookups!$A$80:$E$88,2,FALSE)</f>
        <v>30300.329274</v>
      </c>
      <c r="AU781" s="30">
        <f>Inventory[[#This Row],[EffAge]]*Lookups!$B$65</f>
        <v>-2066.0808999999999</v>
      </c>
      <c r="AV781" s="30">
        <f>Inventory[[#This Row],[MainFn]]*Lookups!$B$90</f>
        <v>69649.984080000009</v>
      </c>
      <c r="AW781" s="30">
        <f>Inventory[[#This Row],[UpprFn]]*Lookups!$B$91</f>
        <v>66491.707427999994</v>
      </c>
      <c r="AX781" s="30">
        <f>Inventory[[#This Row],[Bsmt Area]]*Lookups!$B$95</f>
        <v>0</v>
      </c>
      <c r="AY781" s="30">
        <f>Inventory[[#This Row],[AttGar]]*Lookups!$B$93</f>
        <v>15532.453640000002</v>
      </c>
      <c r="AZ781" s="30">
        <f>ROUND(Inventory[[#This Row],[25Det]],-2)</f>
        <v>0</v>
      </c>
      <c r="BA781" s="30">
        <f>ROUND(SUM(Inventory[[#This Row],[Mdl Qlty]:[Mdl Garage Area]])+Inventory[[#This Row],[Mdl Res Intercept]],-2)</f>
        <v>345400</v>
      </c>
      <c r="BB781" s="30">
        <f>ROUND(Inventory[[#This Row],[Mdl Land Intercept]]+Inventory[[#This Row],[Mdl LnAcres]],-2)</f>
        <v>65100</v>
      </c>
      <c r="BC781" s="30">
        <f>Inventory[[#This Row],[Unadj Res Value]]+Inventory[[#This Row],[Unadj Det Value]]+Inventory[[#This Row],[Unadj Land Value]]</f>
        <v>410500</v>
      </c>
      <c r="BD781" s="30">
        <f>(Inventory[[#This Row],[Unadj Total Value]]-Inventory[[#This Row],[24Final]])/Inventory[[#This Row],[24Final]]</f>
        <v>3.6092882382635035E-2</v>
      </c>
      <c r="BE781" s="30">
        <f>VLOOKUP(Inventory[[#This Row],[Nbhd]],Lookups!$M$3:$P$5,4,FALSE)</f>
        <v>0.99970000000000003</v>
      </c>
      <c r="BF781" s="30">
        <f>VLOOKUP(Inventory[[#This Row],[Qlty]],Lookups!$M$8:$P$22,4,FALSE)</f>
        <v>1.0019</v>
      </c>
      <c r="BG781" s="30">
        <f>VLOOKUP(Inventory[[#This Row],[Cnd]],Lookups!$R$8:$U$17,4,FALSE)</f>
        <v>0.997</v>
      </c>
      <c r="BH781" s="30">
        <f>VLOOKUP(Inventory[[#This Row],[LivArea Range]],Lookups!$R$25:$U$43,4,FALSE)</f>
        <v>1.0008999999999999</v>
      </c>
      <c r="BI781" s="30">
        <f>VLOOKUP(Inventory[[#This Row],[Decade]],Lookups!$M$24:$P$40,4,FALSE)</f>
        <v>1.0024</v>
      </c>
      <c r="BJ781" s="30">
        <f>Inventory[[#This Row],[Nbhd Adj]]*0.95</f>
        <v>0.94971499999999998</v>
      </c>
      <c r="BK781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81" s="30">
        <f>ROUND((SUM(Inventory[[#This Row],[Mdl Qlty]:[Mdl Garage Area]])+Inventory[[#This Row],[Mdl Res Intercept]])*Inventory[[#This Row],[Res Adj ]],-2)</f>
        <v>328200</v>
      </c>
      <c r="BM781" s="30">
        <f>ROUND(Inventory[[#This Row],[25Det]]*Inventory[[#This Row],[Det/Nbhd Adj]],-2)</f>
        <v>0</v>
      </c>
      <c r="BN781" s="30">
        <f>Inventory[[#This Row],[Adjusted Res]]+Inventory[[#This Row],[Adj Det ]]</f>
        <v>328200</v>
      </c>
      <c r="BO781" s="30">
        <f>ROUND((Inventory[[#This Row],[Mdl Land Intercept]]+Inventory[[#This Row],[Mdl LnAcres]])*Inventory[[#This Row],[Det/Nbhd Adj]],-2)</f>
        <v>61800</v>
      </c>
      <c r="BP781" s="30">
        <f>Inventory[[#This Row],[Adjusted Impr Total]]+Inventory[[#This Row],[Adjusted Land Total]]</f>
        <v>390000</v>
      </c>
      <c r="BQ781" s="30">
        <f>IFERROR((Inventory[[#This Row],[Adjusted Impr Total]]-Inventory[[#This Row],[24Bldg]])/Inventory[[#This Row],[24Bldg]],0)</f>
        <v>-1.883408071748879E-2</v>
      </c>
      <c r="BR781" s="43">
        <f>(Inventory[[#This Row],[Adjusted Land Total]]-Inventory[[#This Row],[24Lnd]])/Inventory[[#This Row],[24Lnd]]</f>
        <v>1.6207455429497568E-3</v>
      </c>
      <c r="BS781" s="43">
        <f>(Inventory[[#This Row],[Adjusted Total]]-Inventory[[#This Row],[24Final]])/Inventory[[#This Row],[24Final]]</f>
        <v>-1.5648662291771833E-2</v>
      </c>
    </row>
    <row r="782" spans="1:71">
      <c r="A782" s="30">
        <v>2025</v>
      </c>
      <c r="B782" s="31" t="s">
        <v>1297</v>
      </c>
      <c r="C782" s="31">
        <f>LN(Inventory[[#This Row],[Acres]])</f>
        <v>-1.7719568419318752</v>
      </c>
      <c r="D782" s="30">
        <v>0.17</v>
      </c>
      <c r="E782" s="30">
        <v>7333</v>
      </c>
      <c r="F782" s="31" t="s">
        <v>505</v>
      </c>
      <c r="G782" s="31" t="s">
        <v>155</v>
      </c>
      <c r="H782" s="31" t="s">
        <v>5</v>
      </c>
      <c r="I782" s="31" t="s">
        <v>506</v>
      </c>
      <c r="J782" s="31" t="s">
        <v>507</v>
      </c>
      <c r="K782" s="31" t="s">
        <v>157</v>
      </c>
      <c r="L782" s="31" t="s">
        <v>21</v>
      </c>
      <c r="M782" s="31" t="s">
        <v>20</v>
      </c>
      <c r="N782" s="31">
        <v>10</v>
      </c>
      <c r="O782" s="31">
        <f>2024-Inventory[[#This Row],[YrBlt]]</f>
        <v>19</v>
      </c>
      <c r="P782" s="31">
        <f>2024-Inventory[[#This Row],[EffYr]]</f>
        <v>19</v>
      </c>
      <c r="Q782" s="30">
        <v>2005</v>
      </c>
      <c r="R782" s="30">
        <v>2005</v>
      </c>
      <c r="S782" s="30">
        <v>1116</v>
      </c>
      <c r="T782" s="38">
        <v>1116</v>
      </c>
      <c r="U782" s="32"/>
      <c r="V782" s="32"/>
      <c r="W782" s="32"/>
      <c r="X782" s="32">
        <f>Inventory[[#This Row],[Bsmt Area]]-Inventory[[#This Row],[FnBsmt]]</f>
        <v>0</v>
      </c>
      <c r="Y782" s="32">
        <f>Inventory[[#This Row],[MainFn]]+Inventory[[#This Row],[UpprFn]]+Inventory[[#This Row],[AddFn]]+Inventory[[#This Row],[FnBsmt]]</f>
        <v>2232</v>
      </c>
      <c r="Z782" s="32">
        <v>2500</v>
      </c>
      <c r="AA782" s="31" t="s">
        <v>57</v>
      </c>
      <c r="AB782" s="38">
        <v>1</v>
      </c>
      <c r="AC782" s="30">
        <v>440</v>
      </c>
      <c r="AD782" s="32"/>
      <c r="AE782" s="32"/>
      <c r="AF782" s="32"/>
      <c r="AG782" s="32"/>
      <c r="AH782" s="32"/>
      <c r="AI782" s="30">
        <v>445974</v>
      </c>
      <c r="AJ782" s="30">
        <v>405836</v>
      </c>
      <c r="AK782" s="30">
        <v>0</v>
      </c>
      <c r="AL782" s="30">
        <v>0</v>
      </c>
      <c r="AM782" s="30">
        <v>61700</v>
      </c>
      <c r="AN782" s="30">
        <v>334500</v>
      </c>
      <c r="AO782" s="30">
        <v>396200</v>
      </c>
      <c r="AP782" s="30">
        <f>Lookups!$B$58*0.6</f>
        <v>132535.48800000001</v>
      </c>
      <c r="AQ782" s="30">
        <f>Lookups!$B$58*0.4</f>
        <v>88356.992000000013</v>
      </c>
      <c r="AR782" s="30">
        <f>Lookups!$B$59*Inventory[[#This Row],[LnAcres]]</f>
        <v>-23255.730391660189</v>
      </c>
      <c r="AS782" s="30">
        <f>VLOOKUP(Inventory[[#This Row],[Qlty]],Lookups!$A$66:$E$79,2,FALSE)</f>
        <v>32917.849192000001</v>
      </c>
      <c r="AT782" s="30">
        <f>VLOOKUP(Inventory[[#This Row],[Cnd]],Lookups!$A$80:$E$88,2,FALSE)</f>
        <v>30300.329274</v>
      </c>
      <c r="AU782" s="30">
        <f>Inventory[[#This Row],[EffAge]]*Lookups!$B$65</f>
        <v>-2066.0808999999999</v>
      </c>
      <c r="AV782" s="30">
        <f>Inventory[[#This Row],[MainFn]]*Lookups!$B$90</f>
        <v>69649.984080000009</v>
      </c>
      <c r="AW782" s="30">
        <f>Inventory[[#This Row],[UpprFn]]*Lookups!$B$91</f>
        <v>66491.707427999994</v>
      </c>
      <c r="AX782" s="30">
        <f>Inventory[[#This Row],[Bsmt Area]]*Lookups!$B$95</f>
        <v>0</v>
      </c>
      <c r="AY782" s="30">
        <f>Inventory[[#This Row],[AttGar]]*Lookups!$B$93</f>
        <v>15532.453640000002</v>
      </c>
      <c r="AZ782" s="30">
        <f>ROUND(Inventory[[#This Row],[25Det]],-2)</f>
        <v>0</v>
      </c>
      <c r="BA782" s="30">
        <f>ROUND(SUM(Inventory[[#This Row],[Mdl Qlty]:[Mdl Garage Area]])+Inventory[[#This Row],[Mdl Res Intercept]],-2)</f>
        <v>345400</v>
      </c>
      <c r="BB782" s="30">
        <f>ROUND(Inventory[[#This Row],[Mdl Land Intercept]]+Inventory[[#This Row],[Mdl LnAcres]],-2)</f>
        <v>65100</v>
      </c>
      <c r="BC782" s="30">
        <f>Inventory[[#This Row],[Unadj Res Value]]+Inventory[[#This Row],[Unadj Det Value]]+Inventory[[#This Row],[Unadj Land Value]]</f>
        <v>410500</v>
      </c>
      <c r="BD782" s="30">
        <f>(Inventory[[#This Row],[Unadj Total Value]]-Inventory[[#This Row],[24Final]])/Inventory[[#This Row],[24Final]]</f>
        <v>3.6092882382635035E-2</v>
      </c>
      <c r="BE782" s="30">
        <f>VLOOKUP(Inventory[[#This Row],[Nbhd]],Lookups!$M$3:$P$5,4,FALSE)</f>
        <v>0.99970000000000003</v>
      </c>
      <c r="BF782" s="30">
        <f>VLOOKUP(Inventory[[#This Row],[Qlty]],Lookups!$M$8:$P$22,4,FALSE)</f>
        <v>1.0019</v>
      </c>
      <c r="BG782" s="30">
        <f>VLOOKUP(Inventory[[#This Row],[Cnd]],Lookups!$R$8:$U$17,4,FALSE)</f>
        <v>0.997</v>
      </c>
      <c r="BH782" s="30">
        <f>VLOOKUP(Inventory[[#This Row],[LivArea Range]],Lookups!$R$25:$U$43,4,FALSE)</f>
        <v>1.0008999999999999</v>
      </c>
      <c r="BI782" s="30">
        <f>VLOOKUP(Inventory[[#This Row],[Decade]],Lookups!$M$24:$P$40,4,FALSE)</f>
        <v>1.0024</v>
      </c>
      <c r="BJ782" s="30">
        <f>Inventory[[#This Row],[Nbhd Adj]]*0.95</f>
        <v>0.94971499999999998</v>
      </c>
      <c r="BK782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82" s="30">
        <f>ROUND((SUM(Inventory[[#This Row],[Mdl Qlty]:[Mdl Garage Area]])+Inventory[[#This Row],[Mdl Res Intercept]])*Inventory[[#This Row],[Res Adj ]],-2)</f>
        <v>328200</v>
      </c>
      <c r="BM782" s="30">
        <f>ROUND(Inventory[[#This Row],[25Det]]*Inventory[[#This Row],[Det/Nbhd Adj]],-2)</f>
        <v>0</v>
      </c>
      <c r="BN782" s="30">
        <f>Inventory[[#This Row],[Adjusted Res]]+Inventory[[#This Row],[Adj Det ]]</f>
        <v>328200</v>
      </c>
      <c r="BO782" s="30">
        <f>ROUND((Inventory[[#This Row],[Mdl Land Intercept]]+Inventory[[#This Row],[Mdl LnAcres]])*Inventory[[#This Row],[Det/Nbhd Adj]],-2)</f>
        <v>61800</v>
      </c>
      <c r="BP782" s="30">
        <f>Inventory[[#This Row],[Adjusted Impr Total]]+Inventory[[#This Row],[Adjusted Land Total]]</f>
        <v>390000</v>
      </c>
      <c r="BQ782" s="30">
        <f>IFERROR((Inventory[[#This Row],[Adjusted Impr Total]]-Inventory[[#This Row],[24Bldg]])/Inventory[[#This Row],[24Bldg]],0)</f>
        <v>-1.883408071748879E-2</v>
      </c>
      <c r="BR782" s="43">
        <f>(Inventory[[#This Row],[Adjusted Land Total]]-Inventory[[#This Row],[24Lnd]])/Inventory[[#This Row],[24Lnd]]</f>
        <v>1.6207455429497568E-3</v>
      </c>
      <c r="BS782" s="43">
        <f>(Inventory[[#This Row],[Adjusted Total]]-Inventory[[#This Row],[24Final]])/Inventory[[#This Row],[24Final]]</f>
        <v>-1.5648662291771833E-2</v>
      </c>
    </row>
    <row r="783" spans="1:71">
      <c r="A783" s="30">
        <v>2025</v>
      </c>
      <c r="B783" s="31" t="s">
        <v>1298</v>
      </c>
      <c r="C783" s="31">
        <f>LN(Inventory[[#This Row],[Acres]])</f>
        <v>-1.7719568419318752</v>
      </c>
      <c r="D783" s="30">
        <v>0.17</v>
      </c>
      <c r="E783" s="30">
        <v>7328</v>
      </c>
      <c r="F783" s="31" t="s">
        <v>505</v>
      </c>
      <c r="G783" s="31" t="s">
        <v>155</v>
      </c>
      <c r="H783" s="31" t="s">
        <v>5</v>
      </c>
      <c r="I783" s="31" t="s">
        <v>506</v>
      </c>
      <c r="J783" s="31" t="s">
        <v>507</v>
      </c>
      <c r="K783" s="31" t="s">
        <v>157</v>
      </c>
      <c r="L783" s="31" t="s">
        <v>21</v>
      </c>
      <c r="M783" s="31" t="s">
        <v>22</v>
      </c>
      <c r="N783" s="31">
        <v>10</v>
      </c>
      <c r="O783" s="31">
        <f>2024-Inventory[[#This Row],[YrBlt]]</f>
        <v>19</v>
      </c>
      <c r="P783" s="31">
        <f>2024-Inventory[[#This Row],[EffYr]]</f>
        <v>19</v>
      </c>
      <c r="Q783" s="30">
        <v>2005</v>
      </c>
      <c r="R783" s="30">
        <v>2005</v>
      </c>
      <c r="S783" s="30">
        <v>1116</v>
      </c>
      <c r="T783" s="38">
        <v>1116</v>
      </c>
      <c r="U783" s="32"/>
      <c r="V783" s="32"/>
      <c r="W783" s="32"/>
      <c r="X783" s="32">
        <f>Inventory[[#This Row],[Bsmt Area]]-Inventory[[#This Row],[FnBsmt]]</f>
        <v>0</v>
      </c>
      <c r="Y783" s="32">
        <f>Inventory[[#This Row],[MainFn]]+Inventory[[#This Row],[UpprFn]]+Inventory[[#This Row],[AddFn]]+Inventory[[#This Row],[FnBsmt]]</f>
        <v>2232</v>
      </c>
      <c r="Z783" s="32">
        <v>2500</v>
      </c>
      <c r="AA783" s="31" t="s">
        <v>57</v>
      </c>
      <c r="AB783" s="38">
        <v>1</v>
      </c>
      <c r="AC783" s="30">
        <v>440</v>
      </c>
      <c r="AD783" s="32"/>
      <c r="AE783" s="32"/>
      <c r="AF783" s="32"/>
      <c r="AG783" s="32"/>
      <c r="AH783" s="32"/>
      <c r="AI783" s="30">
        <v>446452</v>
      </c>
      <c r="AJ783" s="30">
        <v>406271</v>
      </c>
      <c r="AK783" s="30">
        <v>0</v>
      </c>
      <c r="AL783" s="30">
        <v>0</v>
      </c>
      <c r="AM783" s="30">
        <v>61700</v>
      </c>
      <c r="AN783" s="30">
        <v>350000</v>
      </c>
      <c r="AO783" s="30">
        <v>411700</v>
      </c>
      <c r="AP783" s="30">
        <f>Lookups!$B$58*0.6</f>
        <v>132535.48800000001</v>
      </c>
      <c r="AQ783" s="30">
        <f>Lookups!$B$58*0.4</f>
        <v>88356.992000000013</v>
      </c>
      <c r="AR783" s="30">
        <f>Lookups!$B$59*Inventory[[#This Row],[LnAcres]]</f>
        <v>-23255.730391660189</v>
      </c>
      <c r="AS783" s="30">
        <f>VLOOKUP(Inventory[[#This Row],[Qlty]],Lookups!$A$66:$E$79,2,FALSE)</f>
        <v>32917.849192000001</v>
      </c>
      <c r="AT783" s="30">
        <f>VLOOKUP(Inventory[[#This Row],[Cnd]],Lookups!$A$80:$E$88,2,FALSE)</f>
        <v>50438.379078999998</v>
      </c>
      <c r="AU783" s="30">
        <f>Inventory[[#This Row],[EffAge]]*Lookups!$B$65</f>
        <v>-2066.0808999999999</v>
      </c>
      <c r="AV783" s="30">
        <f>Inventory[[#This Row],[MainFn]]*Lookups!$B$90</f>
        <v>69649.984080000009</v>
      </c>
      <c r="AW783" s="30">
        <f>Inventory[[#This Row],[UpprFn]]*Lookups!$B$91</f>
        <v>66491.707427999994</v>
      </c>
      <c r="AX783" s="30">
        <f>Inventory[[#This Row],[Bsmt Area]]*Lookups!$B$95</f>
        <v>0</v>
      </c>
      <c r="AY783" s="30">
        <f>Inventory[[#This Row],[AttGar]]*Lookups!$B$93</f>
        <v>15532.453640000002</v>
      </c>
      <c r="AZ783" s="30">
        <f>ROUND(Inventory[[#This Row],[25Det]],-2)</f>
        <v>0</v>
      </c>
      <c r="BA783" s="30">
        <f>ROUND(SUM(Inventory[[#This Row],[Mdl Qlty]:[Mdl Garage Area]])+Inventory[[#This Row],[Mdl Res Intercept]],-2)</f>
        <v>365500</v>
      </c>
      <c r="BB783" s="30">
        <f>ROUND(Inventory[[#This Row],[Mdl Land Intercept]]+Inventory[[#This Row],[Mdl LnAcres]],-2)</f>
        <v>65100</v>
      </c>
      <c r="BC783" s="30">
        <f>Inventory[[#This Row],[Unadj Res Value]]+Inventory[[#This Row],[Unadj Det Value]]+Inventory[[#This Row],[Unadj Land Value]]</f>
        <v>430600</v>
      </c>
      <c r="BD783" s="30">
        <f>(Inventory[[#This Row],[Unadj Total Value]]-Inventory[[#This Row],[24Final]])/Inventory[[#This Row],[24Final]]</f>
        <v>4.5907213990769975E-2</v>
      </c>
      <c r="BE783" s="30">
        <f>VLOOKUP(Inventory[[#This Row],[Nbhd]],Lookups!$M$3:$P$5,4,FALSE)</f>
        <v>0.99970000000000003</v>
      </c>
      <c r="BF783" s="30">
        <f>VLOOKUP(Inventory[[#This Row],[Qlty]],Lookups!$M$8:$P$22,4,FALSE)</f>
        <v>1.0019</v>
      </c>
      <c r="BG783" s="30">
        <f>VLOOKUP(Inventory[[#This Row],[Cnd]],Lookups!$R$8:$U$17,4,FALSE)</f>
        <v>1.0007999999999999</v>
      </c>
      <c r="BH783" s="30">
        <f>VLOOKUP(Inventory[[#This Row],[LivArea Range]],Lookups!$R$25:$U$43,4,FALSE)</f>
        <v>1.0008999999999999</v>
      </c>
      <c r="BI783" s="30">
        <f>VLOOKUP(Inventory[[#This Row],[Decade]],Lookups!$M$24:$P$40,4,FALSE)</f>
        <v>1.0024</v>
      </c>
      <c r="BJ783" s="30">
        <f>Inventory[[#This Row],[Nbhd Adj]]*0.95</f>
        <v>0.94971499999999998</v>
      </c>
      <c r="BK783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783" s="30">
        <f>ROUND((SUM(Inventory[[#This Row],[Mdl Qlty]:[Mdl Garage Area]])+Inventory[[#This Row],[Mdl Res Intercept]])*Inventory[[#This Row],[Res Adj ]],-2)</f>
        <v>347600</v>
      </c>
      <c r="BM783" s="30">
        <f>ROUND(Inventory[[#This Row],[25Det]]*Inventory[[#This Row],[Det/Nbhd Adj]],-2)</f>
        <v>0</v>
      </c>
      <c r="BN783" s="30">
        <f>Inventory[[#This Row],[Adjusted Res]]+Inventory[[#This Row],[Adj Det ]]</f>
        <v>347600</v>
      </c>
      <c r="BO783" s="30">
        <f>ROUND((Inventory[[#This Row],[Mdl Land Intercept]]+Inventory[[#This Row],[Mdl LnAcres]])*Inventory[[#This Row],[Det/Nbhd Adj]],-2)</f>
        <v>61800</v>
      </c>
      <c r="BP783" s="30">
        <f>Inventory[[#This Row],[Adjusted Impr Total]]+Inventory[[#This Row],[Adjusted Land Total]]</f>
        <v>409400</v>
      </c>
      <c r="BQ783" s="30">
        <f>IFERROR((Inventory[[#This Row],[Adjusted Impr Total]]-Inventory[[#This Row],[24Bldg]])/Inventory[[#This Row],[24Bldg]],0)</f>
        <v>-6.8571428571428568E-3</v>
      </c>
      <c r="BR783" s="43">
        <f>(Inventory[[#This Row],[Adjusted Land Total]]-Inventory[[#This Row],[24Lnd]])/Inventory[[#This Row],[24Lnd]]</f>
        <v>1.6207455429497568E-3</v>
      </c>
      <c r="BS783" s="43">
        <f>(Inventory[[#This Row],[Adjusted Total]]-Inventory[[#This Row],[24Final]])/Inventory[[#This Row],[24Final]]</f>
        <v>-5.5865921787709499E-3</v>
      </c>
    </row>
    <row r="784" spans="1:71">
      <c r="A784" s="30">
        <v>2025</v>
      </c>
      <c r="B784" s="31" t="s">
        <v>1299</v>
      </c>
      <c r="C784" s="31">
        <f>LN(Inventory[[#This Row],[Acres]])</f>
        <v>-1.7719568419318752</v>
      </c>
      <c r="D784" s="30">
        <v>0.17</v>
      </c>
      <c r="E784" s="30">
        <v>7419</v>
      </c>
      <c r="F784" s="31" t="s">
        <v>505</v>
      </c>
      <c r="G784" s="31" t="s">
        <v>155</v>
      </c>
      <c r="H784" s="31" t="s">
        <v>5</v>
      </c>
      <c r="I784" s="31" t="s">
        <v>506</v>
      </c>
      <c r="J784" s="31" t="s">
        <v>507</v>
      </c>
      <c r="K784" s="31" t="s">
        <v>157</v>
      </c>
      <c r="L784" s="31" t="s">
        <v>21</v>
      </c>
      <c r="M784" s="31" t="s">
        <v>22</v>
      </c>
      <c r="N784" s="31">
        <v>10</v>
      </c>
      <c r="O784" s="31">
        <f>2024-Inventory[[#This Row],[YrBlt]]</f>
        <v>19</v>
      </c>
      <c r="P784" s="31">
        <f>2024-Inventory[[#This Row],[EffYr]]</f>
        <v>19</v>
      </c>
      <c r="Q784" s="30">
        <v>2005</v>
      </c>
      <c r="R784" s="30">
        <v>2005</v>
      </c>
      <c r="S784" s="30">
        <v>1116</v>
      </c>
      <c r="T784" s="30">
        <v>1116</v>
      </c>
      <c r="U784" s="32"/>
      <c r="V784" s="32"/>
      <c r="W784" s="32"/>
      <c r="X784" s="32">
        <f>Inventory[[#This Row],[Bsmt Area]]-Inventory[[#This Row],[FnBsmt]]</f>
        <v>0</v>
      </c>
      <c r="Y784" s="32">
        <f>Inventory[[#This Row],[MainFn]]+Inventory[[#This Row],[UpprFn]]+Inventory[[#This Row],[AddFn]]+Inventory[[#This Row],[FnBsmt]]</f>
        <v>2232</v>
      </c>
      <c r="Z784" s="32">
        <v>2500</v>
      </c>
      <c r="AA784" s="31" t="s">
        <v>57</v>
      </c>
      <c r="AB784" s="30">
        <v>1</v>
      </c>
      <c r="AC784" s="38">
        <v>440</v>
      </c>
      <c r="AD784" s="37"/>
      <c r="AE784" s="32"/>
      <c r="AF784" s="32"/>
      <c r="AG784" s="32"/>
      <c r="AH784" s="32"/>
      <c r="AI784" s="30">
        <v>446095</v>
      </c>
      <c r="AJ784" s="30">
        <v>405946</v>
      </c>
      <c r="AK784" s="30">
        <v>0</v>
      </c>
      <c r="AL784" s="30">
        <v>0</v>
      </c>
      <c r="AM784" s="30">
        <v>61700</v>
      </c>
      <c r="AN784" s="30">
        <v>350000</v>
      </c>
      <c r="AO784" s="30">
        <v>411700</v>
      </c>
      <c r="AP784" s="30">
        <f>Lookups!$B$58*0.6</f>
        <v>132535.48800000001</v>
      </c>
      <c r="AQ784" s="30">
        <f>Lookups!$B$58*0.4</f>
        <v>88356.992000000013</v>
      </c>
      <c r="AR784" s="30">
        <f>Lookups!$B$59*Inventory[[#This Row],[LnAcres]]</f>
        <v>-23255.730391660189</v>
      </c>
      <c r="AS784" s="30">
        <f>VLOOKUP(Inventory[[#This Row],[Qlty]],Lookups!$A$66:$E$79,2,FALSE)</f>
        <v>32917.849192000001</v>
      </c>
      <c r="AT784" s="30">
        <f>VLOOKUP(Inventory[[#This Row],[Cnd]],Lookups!$A$80:$E$88,2,FALSE)</f>
        <v>50438.379078999998</v>
      </c>
      <c r="AU784" s="30">
        <f>Inventory[[#This Row],[EffAge]]*Lookups!$B$65</f>
        <v>-2066.0808999999999</v>
      </c>
      <c r="AV784" s="30">
        <f>Inventory[[#This Row],[MainFn]]*Lookups!$B$90</f>
        <v>69649.984080000009</v>
      </c>
      <c r="AW784" s="30">
        <f>Inventory[[#This Row],[UpprFn]]*Lookups!$B$91</f>
        <v>66491.707427999994</v>
      </c>
      <c r="AX784" s="30">
        <f>Inventory[[#This Row],[Bsmt Area]]*Lookups!$B$95</f>
        <v>0</v>
      </c>
      <c r="AY784" s="30">
        <f>Inventory[[#This Row],[AttGar]]*Lookups!$B$93</f>
        <v>15532.453640000002</v>
      </c>
      <c r="AZ784" s="30">
        <f>ROUND(Inventory[[#This Row],[25Det]],-2)</f>
        <v>0</v>
      </c>
      <c r="BA784" s="30">
        <f>ROUND(SUM(Inventory[[#This Row],[Mdl Qlty]:[Mdl Garage Area]])+Inventory[[#This Row],[Mdl Res Intercept]],-2)</f>
        <v>365500</v>
      </c>
      <c r="BB784" s="30">
        <f>ROUND(Inventory[[#This Row],[Mdl Land Intercept]]+Inventory[[#This Row],[Mdl LnAcres]],-2)</f>
        <v>65100</v>
      </c>
      <c r="BC784" s="30">
        <f>Inventory[[#This Row],[Unadj Res Value]]+Inventory[[#This Row],[Unadj Det Value]]+Inventory[[#This Row],[Unadj Land Value]]</f>
        <v>430600</v>
      </c>
      <c r="BD784" s="30">
        <f>(Inventory[[#This Row],[Unadj Total Value]]-Inventory[[#This Row],[24Final]])/Inventory[[#This Row],[24Final]]</f>
        <v>4.5907213990769975E-2</v>
      </c>
      <c r="BE784" s="30">
        <f>VLOOKUP(Inventory[[#This Row],[Nbhd]],Lookups!$M$3:$P$5,4,FALSE)</f>
        <v>0.99970000000000003</v>
      </c>
      <c r="BF784" s="30">
        <f>VLOOKUP(Inventory[[#This Row],[Qlty]],Lookups!$M$8:$P$22,4,FALSE)</f>
        <v>1.0019</v>
      </c>
      <c r="BG784" s="30">
        <f>VLOOKUP(Inventory[[#This Row],[Cnd]],Lookups!$R$8:$U$17,4,FALSE)</f>
        <v>1.0007999999999999</v>
      </c>
      <c r="BH784" s="30">
        <f>VLOOKUP(Inventory[[#This Row],[LivArea Range]],Lookups!$R$25:$U$43,4,FALSE)</f>
        <v>1.0008999999999999</v>
      </c>
      <c r="BI784" s="30">
        <f>VLOOKUP(Inventory[[#This Row],[Decade]],Lookups!$M$24:$P$40,4,FALSE)</f>
        <v>1.0024</v>
      </c>
      <c r="BJ784" s="30">
        <f>Inventory[[#This Row],[Nbhd Adj]]*0.95</f>
        <v>0.94971499999999998</v>
      </c>
      <c r="BK784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784" s="30">
        <f>ROUND((SUM(Inventory[[#This Row],[Mdl Qlty]:[Mdl Garage Area]])+Inventory[[#This Row],[Mdl Res Intercept]])*Inventory[[#This Row],[Res Adj ]],-2)</f>
        <v>347600</v>
      </c>
      <c r="BM784" s="30">
        <f>ROUND(Inventory[[#This Row],[25Det]]*Inventory[[#This Row],[Det/Nbhd Adj]],-2)</f>
        <v>0</v>
      </c>
      <c r="BN784" s="30">
        <f>Inventory[[#This Row],[Adjusted Res]]+Inventory[[#This Row],[Adj Det ]]</f>
        <v>347600</v>
      </c>
      <c r="BO784" s="30">
        <f>ROUND((Inventory[[#This Row],[Mdl Land Intercept]]+Inventory[[#This Row],[Mdl LnAcres]])*Inventory[[#This Row],[Det/Nbhd Adj]],-2)</f>
        <v>61800</v>
      </c>
      <c r="BP784" s="30">
        <f>Inventory[[#This Row],[Adjusted Impr Total]]+Inventory[[#This Row],[Adjusted Land Total]]</f>
        <v>409400</v>
      </c>
      <c r="BQ784" s="30">
        <f>IFERROR((Inventory[[#This Row],[Adjusted Impr Total]]-Inventory[[#This Row],[24Bldg]])/Inventory[[#This Row],[24Bldg]],0)</f>
        <v>-6.8571428571428568E-3</v>
      </c>
      <c r="BR784" s="43">
        <f>(Inventory[[#This Row],[Adjusted Land Total]]-Inventory[[#This Row],[24Lnd]])/Inventory[[#This Row],[24Lnd]]</f>
        <v>1.6207455429497568E-3</v>
      </c>
      <c r="BS784" s="43">
        <f>(Inventory[[#This Row],[Adjusted Total]]-Inventory[[#This Row],[24Final]])/Inventory[[#This Row],[24Final]]</f>
        <v>-5.5865921787709499E-3</v>
      </c>
    </row>
    <row r="785" spans="1:71">
      <c r="A785" s="30">
        <v>2025</v>
      </c>
      <c r="B785" s="31" t="s">
        <v>1300</v>
      </c>
      <c r="C785" s="31">
        <f>LN(Inventory[[#This Row],[Acres]])</f>
        <v>-1.7719568419318752</v>
      </c>
      <c r="D785" s="30">
        <v>0.17</v>
      </c>
      <c r="E785" s="30">
        <v>7443</v>
      </c>
      <c r="F785" s="31" t="s">
        <v>505</v>
      </c>
      <c r="G785" s="31" t="s">
        <v>155</v>
      </c>
      <c r="H785" s="31" t="s">
        <v>5</v>
      </c>
      <c r="I785" s="31" t="s">
        <v>506</v>
      </c>
      <c r="J785" s="31" t="s">
        <v>507</v>
      </c>
      <c r="K785" s="31" t="s">
        <v>157</v>
      </c>
      <c r="L785" s="31" t="s">
        <v>21</v>
      </c>
      <c r="M785" s="31" t="s">
        <v>22</v>
      </c>
      <c r="N785" s="31">
        <v>10</v>
      </c>
      <c r="O785" s="31">
        <f>2024-Inventory[[#This Row],[YrBlt]]</f>
        <v>19</v>
      </c>
      <c r="P785" s="31">
        <f>2024-Inventory[[#This Row],[EffYr]]</f>
        <v>19</v>
      </c>
      <c r="Q785" s="30">
        <v>2005</v>
      </c>
      <c r="R785" s="30">
        <v>2005</v>
      </c>
      <c r="S785" s="30">
        <v>1116</v>
      </c>
      <c r="T785" s="30">
        <v>1116</v>
      </c>
      <c r="U785" s="32"/>
      <c r="V785" s="32"/>
      <c r="W785" s="32"/>
      <c r="X785" s="32">
        <f>Inventory[[#This Row],[Bsmt Area]]-Inventory[[#This Row],[FnBsmt]]</f>
        <v>0</v>
      </c>
      <c r="Y785" s="32">
        <f>Inventory[[#This Row],[MainFn]]+Inventory[[#This Row],[UpprFn]]+Inventory[[#This Row],[AddFn]]+Inventory[[#This Row],[FnBsmt]]</f>
        <v>2232</v>
      </c>
      <c r="Z785" s="32">
        <v>2500</v>
      </c>
      <c r="AA785" s="31" t="s">
        <v>57</v>
      </c>
      <c r="AB785" s="38">
        <v>1</v>
      </c>
      <c r="AC785" s="38">
        <v>440</v>
      </c>
      <c r="AD785" s="37"/>
      <c r="AE785" s="32"/>
      <c r="AF785" s="32"/>
      <c r="AG785" s="32"/>
      <c r="AH785" s="32"/>
      <c r="AI785" s="30">
        <v>453304</v>
      </c>
      <c r="AJ785" s="30">
        <v>412507</v>
      </c>
      <c r="AK785" s="30">
        <v>0</v>
      </c>
      <c r="AL785" s="30">
        <v>0</v>
      </c>
      <c r="AM785" s="30">
        <v>61700</v>
      </c>
      <c r="AN785" s="30">
        <v>350000</v>
      </c>
      <c r="AO785" s="30">
        <v>411700</v>
      </c>
      <c r="AP785" s="30">
        <f>Lookups!$B$58*0.6</f>
        <v>132535.48800000001</v>
      </c>
      <c r="AQ785" s="30">
        <f>Lookups!$B$58*0.4</f>
        <v>88356.992000000013</v>
      </c>
      <c r="AR785" s="30">
        <f>Lookups!$B$59*Inventory[[#This Row],[LnAcres]]</f>
        <v>-23255.730391660189</v>
      </c>
      <c r="AS785" s="30">
        <f>VLOOKUP(Inventory[[#This Row],[Qlty]],Lookups!$A$66:$E$79,2,FALSE)</f>
        <v>32917.849192000001</v>
      </c>
      <c r="AT785" s="30">
        <f>VLOOKUP(Inventory[[#This Row],[Cnd]],Lookups!$A$80:$E$88,2,FALSE)</f>
        <v>50438.379078999998</v>
      </c>
      <c r="AU785" s="30">
        <f>Inventory[[#This Row],[EffAge]]*Lookups!$B$65</f>
        <v>-2066.0808999999999</v>
      </c>
      <c r="AV785" s="30">
        <f>Inventory[[#This Row],[MainFn]]*Lookups!$B$90</f>
        <v>69649.984080000009</v>
      </c>
      <c r="AW785" s="30">
        <f>Inventory[[#This Row],[UpprFn]]*Lookups!$B$91</f>
        <v>66491.707427999994</v>
      </c>
      <c r="AX785" s="30">
        <f>Inventory[[#This Row],[Bsmt Area]]*Lookups!$B$95</f>
        <v>0</v>
      </c>
      <c r="AY785" s="30">
        <f>Inventory[[#This Row],[AttGar]]*Lookups!$B$93</f>
        <v>15532.453640000002</v>
      </c>
      <c r="AZ785" s="30">
        <f>ROUND(Inventory[[#This Row],[25Det]],-2)</f>
        <v>0</v>
      </c>
      <c r="BA785" s="30">
        <f>ROUND(SUM(Inventory[[#This Row],[Mdl Qlty]:[Mdl Garage Area]])+Inventory[[#This Row],[Mdl Res Intercept]],-2)</f>
        <v>365500</v>
      </c>
      <c r="BB785" s="30">
        <f>ROUND(Inventory[[#This Row],[Mdl Land Intercept]]+Inventory[[#This Row],[Mdl LnAcres]],-2)</f>
        <v>65100</v>
      </c>
      <c r="BC785" s="30">
        <f>Inventory[[#This Row],[Unadj Res Value]]+Inventory[[#This Row],[Unadj Det Value]]+Inventory[[#This Row],[Unadj Land Value]]</f>
        <v>430600</v>
      </c>
      <c r="BD785" s="30">
        <f>(Inventory[[#This Row],[Unadj Total Value]]-Inventory[[#This Row],[24Final]])/Inventory[[#This Row],[24Final]]</f>
        <v>4.5907213990769975E-2</v>
      </c>
      <c r="BE785" s="30">
        <f>VLOOKUP(Inventory[[#This Row],[Nbhd]],Lookups!$M$3:$P$5,4,FALSE)</f>
        <v>0.99970000000000003</v>
      </c>
      <c r="BF785" s="30">
        <f>VLOOKUP(Inventory[[#This Row],[Qlty]],Lookups!$M$8:$P$22,4,FALSE)</f>
        <v>1.0019</v>
      </c>
      <c r="BG785" s="30">
        <f>VLOOKUP(Inventory[[#This Row],[Cnd]],Lookups!$R$8:$U$17,4,FALSE)</f>
        <v>1.0007999999999999</v>
      </c>
      <c r="BH785" s="30">
        <f>VLOOKUP(Inventory[[#This Row],[LivArea Range]],Lookups!$R$25:$U$43,4,FALSE)</f>
        <v>1.0008999999999999</v>
      </c>
      <c r="BI785" s="30">
        <f>VLOOKUP(Inventory[[#This Row],[Decade]],Lookups!$M$24:$P$40,4,FALSE)</f>
        <v>1.0024</v>
      </c>
      <c r="BJ785" s="30">
        <f>Inventory[[#This Row],[Nbhd Adj]]*0.95</f>
        <v>0.94971499999999998</v>
      </c>
      <c r="BK785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785" s="30">
        <f>ROUND((SUM(Inventory[[#This Row],[Mdl Qlty]:[Mdl Garage Area]])+Inventory[[#This Row],[Mdl Res Intercept]])*Inventory[[#This Row],[Res Adj ]],-2)</f>
        <v>347600</v>
      </c>
      <c r="BM785" s="30">
        <f>ROUND(Inventory[[#This Row],[25Det]]*Inventory[[#This Row],[Det/Nbhd Adj]],-2)</f>
        <v>0</v>
      </c>
      <c r="BN785" s="30">
        <f>Inventory[[#This Row],[Adjusted Res]]+Inventory[[#This Row],[Adj Det ]]</f>
        <v>347600</v>
      </c>
      <c r="BO785" s="30">
        <f>ROUND((Inventory[[#This Row],[Mdl Land Intercept]]+Inventory[[#This Row],[Mdl LnAcres]])*Inventory[[#This Row],[Det/Nbhd Adj]],-2)</f>
        <v>61800</v>
      </c>
      <c r="BP785" s="30">
        <f>Inventory[[#This Row],[Adjusted Impr Total]]+Inventory[[#This Row],[Adjusted Land Total]]</f>
        <v>409400</v>
      </c>
      <c r="BQ785" s="30">
        <f>IFERROR((Inventory[[#This Row],[Adjusted Impr Total]]-Inventory[[#This Row],[24Bldg]])/Inventory[[#This Row],[24Bldg]],0)</f>
        <v>-6.8571428571428568E-3</v>
      </c>
      <c r="BR785" s="43">
        <f>(Inventory[[#This Row],[Adjusted Land Total]]-Inventory[[#This Row],[24Lnd]])/Inventory[[#This Row],[24Lnd]]</f>
        <v>1.6207455429497568E-3</v>
      </c>
      <c r="BS785" s="43">
        <f>(Inventory[[#This Row],[Adjusted Total]]-Inventory[[#This Row],[24Final]])/Inventory[[#This Row],[24Final]]</f>
        <v>-5.5865921787709499E-3</v>
      </c>
    </row>
    <row r="786" spans="1:71">
      <c r="A786" s="30">
        <v>2025</v>
      </c>
      <c r="B786" s="31" t="s">
        <v>1301</v>
      </c>
      <c r="C786" s="31">
        <f>LN(Inventory[[#This Row],[Acres]])</f>
        <v>-1.7719568419318752</v>
      </c>
      <c r="D786" s="30">
        <v>0.17</v>
      </c>
      <c r="E786" s="30">
        <v>7452</v>
      </c>
      <c r="F786" s="31" t="s">
        <v>505</v>
      </c>
      <c r="G786" s="31" t="s">
        <v>155</v>
      </c>
      <c r="H786" s="31" t="s">
        <v>5</v>
      </c>
      <c r="I786" s="31" t="s">
        <v>506</v>
      </c>
      <c r="J786" s="31" t="s">
        <v>507</v>
      </c>
      <c r="K786" s="31" t="s">
        <v>157</v>
      </c>
      <c r="L786" s="31" t="s">
        <v>21</v>
      </c>
      <c r="M786" s="31" t="s">
        <v>22</v>
      </c>
      <c r="N786" s="31">
        <v>10</v>
      </c>
      <c r="O786" s="31">
        <f>2024-Inventory[[#This Row],[YrBlt]]</f>
        <v>19</v>
      </c>
      <c r="P786" s="31">
        <f>2024-Inventory[[#This Row],[EffYr]]</f>
        <v>19</v>
      </c>
      <c r="Q786" s="30">
        <v>2005</v>
      </c>
      <c r="R786" s="30">
        <v>2005</v>
      </c>
      <c r="S786" s="30">
        <v>1116</v>
      </c>
      <c r="T786" s="30">
        <v>1116</v>
      </c>
      <c r="U786" s="32"/>
      <c r="V786" s="32"/>
      <c r="W786" s="32"/>
      <c r="X786" s="32">
        <f>Inventory[[#This Row],[Bsmt Area]]-Inventory[[#This Row],[FnBsmt]]</f>
        <v>0</v>
      </c>
      <c r="Y786" s="32">
        <f>Inventory[[#This Row],[MainFn]]+Inventory[[#This Row],[UpprFn]]+Inventory[[#This Row],[AddFn]]+Inventory[[#This Row],[FnBsmt]]</f>
        <v>2232</v>
      </c>
      <c r="Z786" s="32">
        <v>2500</v>
      </c>
      <c r="AA786" s="31" t="s">
        <v>57</v>
      </c>
      <c r="AB786" s="32"/>
      <c r="AC786" s="30">
        <v>440</v>
      </c>
      <c r="AD786" s="32"/>
      <c r="AE786" s="32"/>
      <c r="AF786" s="32"/>
      <c r="AG786" s="32"/>
      <c r="AH786" s="32"/>
      <c r="AI786" s="30">
        <v>444858</v>
      </c>
      <c r="AJ786" s="30">
        <v>404821</v>
      </c>
      <c r="AK786" s="30">
        <v>0</v>
      </c>
      <c r="AL786" s="30">
        <v>0</v>
      </c>
      <c r="AM786" s="30">
        <v>61700</v>
      </c>
      <c r="AN786" s="30">
        <v>350000</v>
      </c>
      <c r="AO786" s="30">
        <v>411700</v>
      </c>
      <c r="AP786" s="30">
        <f>Lookups!$B$58*0.6</f>
        <v>132535.48800000001</v>
      </c>
      <c r="AQ786" s="30">
        <f>Lookups!$B$58*0.4</f>
        <v>88356.992000000013</v>
      </c>
      <c r="AR786" s="30">
        <f>Lookups!$B$59*Inventory[[#This Row],[LnAcres]]</f>
        <v>-23255.730391660189</v>
      </c>
      <c r="AS786" s="30">
        <f>VLOOKUP(Inventory[[#This Row],[Qlty]],Lookups!$A$66:$E$79,2,FALSE)</f>
        <v>32917.849192000001</v>
      </c>
      <c r="AT786" s="30">
        <f>VLOOKUP(Inventory[[#This Row],[Cnd]],Lookups!$A$80:$E$88,2,FALSE)</f>
        <v>50438.379078999998</v>
      </c>
      <c r="AU786" s="30">
        <f>Inventory[[#This Row],[EffAge]]*Lookups!$B$65</f>
        <v>-2066.0808999999999</v>
      </c>
      <c r="AV786" s="30">
        <f>Inventory[[#This Row],[MainFn]]*Lookups!$B$90</f>
        <v>69649.984080000009</v>
      </c>
      <c r="AW786" s="30">
        <f>Inventory[[#This Row],[UpprFn]]*Lookups!$B$91</f>
        <v>66491.707427999994</v>
      </c>
      <c r="AX786" s="30">
        <f>Inventory[[#This Row],[Bsmt Area]]*Lookups!$B$95</f>
        <v>0</v>
      </c>
      <c r="AY786" s="30">
        <f>Inventory[[#This Row],[AttGar]]*Lookups!$B$93</f>
        <v>15532.453640000002</v>
      </c>
      <c r="AZ786" s="30">
        <f>ROUND(Inventory[[#This Row],[25Det]],-2)</f>
        <v>0</v>
      </c>
      <c r="BA786" s="30">
        <f>ROUND(SUM(Inventory[[#This Row],[Mdl Qlty]:[Mdl Garage Area]])+Inventory[[#This Row],[Mdl Res Intercept]],-2)</f>
        <v>365500</v>
      </c>
      <c r="BB786" s="30">
        <f>ROUND(Inventory[[#This Row],[Mdl Land Intercept]]+Inventory[[#This Row],[Mdl LnAcres]],-2)</f>
        <v>65100</v>
      </c>
      <c r="BC786" s="30">
        <f>Inventory[[#This Row],[Unadj Res Value]]+Inventory[[#This Row],[Unadj Det Value]]+Inventory[[#This Row],[Unadj Land Value]]</f>
        <v>430600</v>
      </c>
      <c r="BD786" s="30">
        <f>(Inventory[[#This Row],[Unadj Total Value]]-Inventory[[#This Row],[24Final]])/Inventory[[#This Row],[24Final]]</f>
        <v>4.5907213990769975E-2</v>
      </c>
      <c r="BE786" s="30">
        <f>VLOOKUP(Inventory[[#This Row],[Nbhd]],Lookups!$M$3:$P$5,4,FALSE)</f>
        <v>0.99970000000000003</v>
      </c>
      <c r="BF786" s="30">
        <f>VLOOKUP(Inventory[[#This Row],[Qlty]],Lookups!$M$8:$P$22,4,FALSE)</f>
        <v>1.0019</v>
      </c>
      <c r="BG786" s="30">
        <f>VLOOKUP(Inventory[[#This Row],[Cnd]],Lookups!$R$8:$U$17,4,FALSE)</f>
        <v>1.0007999999999999</v>
      </c>
      <c r="BH786" s="30">
        <f>VLOOKUP(Inventory[[#This Row],[LivArea Range]],Lookups!$R$25:$U$43,4,FALSE)</f>
        <v>1.0008999999999999</v>
      </c>
      <c r="BI786" s="30">
        <f>VLOOKUP(Inventory[[#This Row],[Decade]],Lookups!$M$24:$P$40,4,FALSE)</f>
        <v>1.0024</v>
      </c>
      <c r="BJ786" s="30">
        <f>Inventory[[#This Row],[Nbhd Adj]]*0.95</f>
        <v>0.94971499999999998</v>
      </c>
      <c r="BK786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786" s="30">
        <f>ROUND((SUM(Inventory[[#This Row],[Mdl Qlty]:[Mdl Garage Area]])+Inventory[[#This Row],[Mdl Res Intercept]])*Inventory[[#This Row],[Res Adj ]],-2)</f>
        <v>347600</v>
      </c>
      <c r="BM786" s="30">
        <f>ROUND(Inventory[[#This Row],[25Det]]*Inventory[[#This Row],[Det/Nbhd Adj]],-2)</f>
        <v>0</v>
      </c>
      <c r="BN786" s="30">
        <f>Inventory[[#This Row],[Adjusted Res]]+Inventory[[#This Row],[Adj Det ]]</f>
        <v>347600</v>
      </c>
      <c r="BO786" s="30">
        <f>ROUND((Inventory[[#This Row],[Mdl Land Intercept]]+Inventory[[#This Row],[Mdl LnAcres]])*Inventory[[#This Row],[Det/Nbhd Adj]],-2)</f>
        <v>61800</v>
      </c>
      <c r="BP786" s="30">
        <f>Inventory[[#This Row],[Adjusted Impr Total]]+Inventory[[#This Row],[Adjusted Land Total]]</f>
        <v>409400</v>
      </c>
      <c r="BQ786" s="30">
        <f>IFERROR((Inventory[[#This Row],[Adjusted Impr Total]]-Inventory[[#This Row],[24Bldg]])/Inventory[[#This Row],[24Bldg]],0)</f>
        <v>-6.8571428571428568E-3</v>
      </c>
      <c r="BR786" s="43">
        <f>(Inventory[[#This Row],[Adjusted Land Total]]-Inventory[[#This Row],[24Lnd]])/Inventory[[#This Row],[24Lnd]]</f>
        <v>1.6207455429497568E-3</v>
      </c>
      <c r="BS786" s="43">
        <f>(Inventory[[#This Row],[Adjusted Total]]-Inventory[[#This Row],[24Final]])/Inventory[[#This Row],[24Final]]</f>
        <v>-5.5865921787709499E-3</v>
      </c>
    </row>
    <row r="787" spans="1:71">
      <c r="A787" s="30">
        <v>2025</v>
      </c>
      <c r="B787" s="31" t="s">
        <v>1302</v>
      </c>
      <c r="C787" s="31">
        <f>LN(Inventory[[#This Row],[Acres]])</f>
        <v>-1.7719568419318752</v>
      </c>
      <c r="D787" s="30">
        <v>0.17</v>
      </c>
      <c r="E787" s="30">
        <v>7422</v>
      </c>
      <c r="F787" s="31" t="s">
        <v>505</v>
      </c>
      <c r="G787" s="31" t="s">
        <v>155</v>
      </c>
      <c r="H787" s="31" t="s">
        <v>5</v>
      </c>
      <c r="I787" s="31" t="s">
        <v>506</v>
      </c>
      <c r="J787" s="31" t="s">
        <v>507</v>
      </c>
      <c r="K787" s="31" t="s">
        <v>193</v>
      </c>
      <c r="L787" s="31" t="s">
        <v>21</v>
      </c>
      <c r="M787" s="31" t="s">
        <v>22</v>
      </c>
      <c r="N787" s="31">
        <v>10</v>
      </c>
      <c r="O787" s="31">
        <f>2024-Inventory[[#This Row],[YrBlt]]</f>
        <v>19</v>
      </c>
      <c r="P787" s="31">
        <f>2024-Inventory[[#This Row],[EffYr]]</f>
        <v>19</v>
      </c>
      <c r="Q787" s="30">
        <v>2005</v>
      </c>
      <c r="R787" s="30">
        <v>2005</v>
      </c>
      <c r="S787" s="30">
        <v>1706</v>
      </c>
      <c r="T787" s="32"/>
      <c r="U787" s="32"/>
      <c r="V787" s="32"/>
      <c r="W787" s="32"/>
      <c r="X787" s="32">
        <f>Inventory[[#This Row],[Bsmt Area]]-Inventory[[#This Row],[FnBsmt]]</f>
        <v>0</v>
      </c>
      <c r="Y787" s="32">
        <f>Inventory[[#This Row],[MainFn]]+Inventory[[#This Row],[UpprFn]]+Inventory[[#This Row],[AddFn]]+Inventory[[#This Row],[FnBsmt]]</f>
        <v>1706</v>
      </c>
      <c r="Z787" s="32">
        <v>2000</v>
      </c>
      <c r="AA787" s="31" t="s">
        <v>55</v>
      </c>
      <c r="AB787" s="32"/>
      <c r="AC787" s="30">
        <v>466</v>
      </c>
      <c r="AD787" s="32"/>
      <c r="AE787" s="32"/>
      <c r="AF787" s="32"/>
      <c r="AG787" s="32"/>
      <c r="AH787" s="32"/>
      <c r="AI787" s="30">
        <v>394746</v>
      </c>
      <c r="AJ787" s="30">
        <v>359219</v>
      </c>
      <c r="AK787" s="30">
        <v>0</v>
      </c>
      <c r="AL787" s="30">
        <v>0</v>
      </c>
      <c r="AM787" s="30">
        <v>61700</v>
      </c>
      <c r="AN787" s="30">
        <v>346800</v>
      </c>
      <c r="AO787" s="30">
        <v>408500</v>
      </c>
      <c r="AP787" s="30">
        <f>Lookups!$B$58*0.6</f>
        <v>132535.48800000001</v>
      </c>
      <c r="AQ787" s="30">
        <f>Lookups!$B$58*0.4</f>
        <v>88356.992000000013</v>
      </c>
      <c r="AR787" s="30">
        <f>Lookups!$B$59*Inventory[[#This Row],[LnAcres]]</f>
        <v>-23255.730391660189</v>
      </c>
      <c r="AS787" s="30">
        <f>VLOOKUP(Inventory[[#This Row],[Qlty]],Lookups!$A$66:$E$79,2,FALSE)</f>
        <v>32917.849192000001</v>
      </c>
      <c r="AT787" s="30">
        <f>VLOOKUP(Inventory[[#This Row],[Cnd]],Lookups!$A$80:$E$88,2,FALSE)</f>
        <v>50438.379078999998</v>
      </c>
      <c r="AU787" s="30">
        <f>Inventory[[#This Row],[EffAge]]*Lookups!$B$65</f>
        <v>-2066.0808999999999</v>
      </c>
      <c r="AV787" s="30">
        <f>Inventory[[#This Row],[MainFn]]*Lookups!$B$90</f>
        <v>106472.10828</v>
      </c>
      <c r="AW787" s="30">
        <f>Inventory[[#This Row],[UpprFn]]*Lookups!$B$91</f>
        <v>0</v>
      </c>
      <c r="AX787" s="30">
        <f>Inventory[[#This Row],[Bsmt Area]]*Lookups!$B$95</f>
        <v>0</v>
      </c>
      <c r="AY787" s="30">
        <f>Inventory[[#This Row],[AttGar]]*Lookups!$B$93</f>
        <v>16450.280446000001</v>
      </c>
      <c r="AZ787" s="30">
        <f>ROUND(Inventory[[#This Row],[25Det]],-2)</f>
        <v>0</v>
      </c>
      <c r="BA787" s="30">
        <f>ROUND(SUM(Inventory[[#This Row],[Mdl Qlty]:[Mdl Garage Area]])+Inventory[[#This Row],[Mdl Res Intercept]],-2)</f>
        <v>336700</v>
      </c>
      <c r="BB787" s="30">
        <f>ROUND(Inventory[[#This Row],[Mdl Land Intercept]]+Inventory[[#This Row],[Mdl LnAcres]],-2)</f>
        <v>65100</v>
      </c>
      <c r="BC787" s="30">
        <f>Inventory[[#This Row],[Unadj Res Value]]+Inventory[[#This Row],[Unadj Det Value]]+Inventory[[#This Row],[Unadj Land Value]]</f>
        <v>401800</v>
      </c>
      <c r="BD787" s="30">
        <f>(Inventory[[#This Row],[Unadj Total Value]]-Inventory[[#This Row],[24Final]])/Inventory[[#This Row],[24Final]]</f>
        <v>-1.6401468788249694E-2</v>
      </c>
      <c r="BE787" s="30">
        <f>VLOOKUP(Inventory[[#This Row],[Nbhd]],Lookups!$M$3:$P$5,4,FALSE)</f>
        <v>0.99970000000000003</v>
      </c>
      <c r="BF787" s="30">
        <f>VLOOKUP(Inventory[[#This Row],[Qlty]],Lookups!$M$8:$P$22,4,FALSE)</f>
        <v>1.0019</v>
      </c>
      <c r="BG787" s="30">
        <f>VLOOKUP(Inventory[[#This Row],[Cnd]],Lookups!$R$8:$U$17,4,FALSE)</f>
        <v>1.0007999999999999</v>
      </c>
      <c r="BH787" s="30">
        <f>VLOOKUP(Inventory[[#This Row],[LivArea Range]],Lookups!$R$25:$U$43,4,FALSE)</f>
        <v>1.0007999999999999</v>
      </c>
      <c r="BI787" s="30">
        <f>VLOOKUP(Inventory[[#This Row],[Decade]],Lookups!$M$24:$P$40,4,FALSE)</f>
        <v>1.0024</v>
      </c>
      <c r="BJ787" s="30">
        <f>Inventory[[#This Row],[Nbhd Adj]]*0.95</f>
        <v>0.94971499999999998</v>
      </c>
      <c r="BK787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787" s="30">
        <f>ROUND((SUM(Inventory[[#This Row],[Mdl Qlty]:[Mdl Garage Area]])+Inventory[[#This Row],[Mdl Res Intercept]])*Inventory[[#This Row],[Res Adj ]],-2)</f>
        <v>320300</v>
      </c>
      <c r="BM787" s="30">
        <f>ROUND(Inventory[[#This Row],[25Det]]*Inventory[[#This Row],[Det/Nbhd Adj]],-2)</f>
        <v>0</v>
      </c>
      <c r="BN787" s="30">
        <f>Inventory[[#This Row],[Adjusted Res]]+Inventory[[#This Row],[Adj Det ]]</f>
        <v>320300</v>
      </c>
      <c r="BO787" s="30">
        <f>ROUND((Inventory[[#This Row],[Mdl Land Intercept]]+Inventory[[#This Row],[Mdl LnAcres]])*Inventory[[#This Row],[Det/Nbhd Adj]],-2)</f>
        <v>61800</v>
      </c>
      <c r="BP787" s="30">
        <f>Inventory[[#This Row],[Adjusted Impr Total]]+Inventory[[#This Row],[Adjusted Land Total]]</f>
        <v>382100</v>
      </c>
      <c r="BQ787" s="30">
        <f>IFERROR((Inventory[[#This Row],[Adjusted Impr Total]]-Inventory[[#This Row],[24Bldg]])/Inventory[[#This Row],[24Bldg]],0)</f>
        <v>-7.6412918108419839E-2</v>
      </c>
      <c r="BR787" s="43">
        <f>(Inventory[[#This Row],[Adjusted Land Total]]-Inventory[[#This Row],[24Lnd]])/Inventory[[#This Row],[24Lnd]]</f>
        <v>1.6207455429497568E-3</v>
      </c>
      <c r="BS787" s="43">
        <f>(Inventory[[#This Row],[Adjusted Total]]-Inventory[[#This Row],[24Final]])/Inventory[[#This Row],[24Final]]</f>
        <v>-6.4626682986536108E-2</v>
      </c>
    </row>
    <row r="788" spans="1:71">
      <c r="A788" s="30">
        <v>2025</v>
      </c>
      <c r="B788" s="31" t="s">
        <v>1303</v>
      </c>
      <c r="C788" s="31">
        <f>LN(Inventory[[#This Row],[Acres]])</f>
        <v>-1.7719568419318752</v>
      </c>
      <c r="D788" s="30">
        <v>0.17</v>
      </c>
      <c r="E788" s="30">
        <v>7310</v>
      </c>
      <c r="F788" s="31" t="s">
        <v>505</v>
      </c>
      <c r="G788" s="31" t="s">
        <v>155</v>
      </c>
      <c r="H788" s="31" t="s">
        <v>5</v>
      </c>
      <c r="I788" s="31" t="s">
        <v>506</v>
      </c>
      <c r="J788" s="31" t="s">
        <v>507</v>
      </c>
      <c r="K788" s="31" t="s">
        <v>193</v>
      </c>
      <c r="L788" s="31" t="s">
        <v>21</v>
      </c>
      <c r="M788" s="31" t="s">
        <v>18</v>
      </c>
      <c r="N788" s="31">
        <v>10</v>
      </c>
      <c r="O788" s="31">
        <f>2024-Inventory[[#This Row],[YrBlt]]</f>
        <v>19</v>
      </c>
      <c r="P788" s="31">
        <f>2024-Inventory[[#This Row],[EffYr]]</f>
        <v>19</v>
      </c>
      <c r="Q788" s="30">
        <v>2005</v>
      </c>
      <c r="R788" s="30">
        <v>2005</v>
      </c>
      <c r="S788" s="30">
        <v>1380</v>
      </c>
      <c r="T788" s="32"/>
      <c r="U788" s="32"/>
      <c r="V788" s="32"/>
      <c r="W788" s="32"/>
      <c r="X788" s="32">
        <f>Inventory[[#This Row],[Bsmt Area]]-Inventory[[#This Row],[FnBsmt]]</f>
        <v>0</v>
      </c>
      <c r="Y788" s="32">
        <f>Inventory[[#This Row],[MainFn]]+Inventory[[#This Row],[UpprFn]]+Inventory[[#This Row],[AddFn]]+Inventory[[#This Row],[FnBsmt]]</f>
        <v>1380</v>
      </c>
      <c r="Z788" s="32">
        <v>1500</v>
      </c>
      <c r="AA788" s="31" t="s">
        <v>55</v>
      </c>
      <c r="AB788" s="32"/>
      <c r="AC788" s="30">
        <v>428</v>
      </c>
      <c r="AD788" s="32"/>
      <c r="AE788" s="32"/>
      <c r="AF788" s="32"/>
      <c r="AG788" s="32"/>
      <c r="AH788" s="32"/>
      <c r="AI788" s="30">
        <v>309646</v>
      </c>
      <c r="AJ788" s="30">
        <v>278681</v>
      </c>
      <c r="AK788" s="30">
        <v>0</v>
      </c>
      <c r="AL788" s="30">
        <v>0</v>
      </c>
      <c r="AM788" s="30">
        <v>61700</v>
      </c>
      <c r="AN788" s="30">
        <v>286000</v>
      </c>
      <c r="AO788" s="30">
        <v>347700</v>
      </c>
      <c r="AP788" s="30">
        <f>Lookups!$B$58*0.6</f>
        <v>132535.48800000001</v>
      </c>
      <c r="AQ788" s="30">
        <f>Lookups!$B$58*0.4</f>
        <v>88356.992000000013</v>
      </c>
      <c r="AR788" s="30">
        <f>Lookups!$B$59*Inventory[[#This Row],[LnAcres]]</f>
        <v>-23255.730391660189</v>
      </c>
      <c r="AS788" s="30">
        <f>VLOOKUP(Inventory[[#This Row],[Qlty]],Lookups!$A$66:$E$79,2,FALSE)</f>
        <v>32917.849192000001</v>
      </c>
      <c r="AT788" s="30">
        <f>VLOOKUP(Inventory[[#This Row],[Cnd]],Lookups!$A$80:$E$88,2,FALSE)</f>
        <v>17761.121909000001</v>
      </c>
      <c r="AU788" s="30">
        <f>Inventory[[#This Row],[EffAge]]*Lookups!$B$65</f>
        <v>-2066.0808999999999</v>
      </c>
      <c r="AV788" s="30">
        <f>Inventory[[#This Row],[MainFn]]*Lookups!$B$90</f>
        <v>86126.324399999998</v>
      </c>
      <c r="AW788" s="30">
        <f>Inventory[[#This Row],[UpprFn]]*Lookups!$B$91</f>
        <v>0</v>
      </c>
      <c r="AX788" s="30">
        <f>Inventory[[#This Row],[Bsmt Area]]*Lookups!$B$95</f>
        <v>0</v>
      </c>
      <c r="AY788" s="30">
        <f>Inventory[[#This Row],[AttGar]]*Lookups!$B$93</f>
        <v>15108.841268</v>
      </c>
      <c r="AZ788" s="30">
        <f>ROUND(Inventory[[#This Row],[25Det]],-2)</f>
        <v>0</v>
      </c>
      <c r="BA788" s="30">
        <f>ROUND(SUM(Inventory[[#This Row],[Mdl Qlty]:[Mdl Garage Area]])+Inventory[[#This Row],[Mdl Res Intercept]],-2)</f>
        <v>282400</v>
      </c>
      <c r="BB788" s="30">
        <f>ROUND(Inventory[[#This Row],[Mdl Land Intercept]]+Inventory[[#This Row],[Mdl LnAcres]],-2)</f>
        <v>65100</v>
      </c>
      <c r="BC788" s="30">
        <f>Inventory[[#This Row],[Unadj Res Value]]+Inventory[[#This Row],[Unadj Det Value]]+Inventory[[#This Row],[Unadj Land Value]]</f>
        <v>347500</v>
      </c>
      <c r="BD788" s="30">
        <f>(Inventory[[#This Row],[Unadj Total Value]]-Inventory[[#This Row],[24Final]])/Inventory[[#This Row],[24Final]]</f>
        <v>-5.7520851308599363E-4</v>
      </c>
      <c r="BE788" s="30">
        <f>VLOOKUP(Inventory[[#This Row],[Nbhd]],Lookups!$M$3:$P$5,4,FALSE)</f>
        <v>0.99970000000000003</v>
      </c>
      <c r="BF788" s="30">
        <f>VLOOKUP(Inventory[[#This Row],[Qlty]],Lookups!$M$8:$P$22,4,FALSE)</f>
        <v>1.0019</v>
      </c>
      <c r="BG788" s="30">
        <f>VLOOKUP(Inventory[[#This Row],[Cnd]],Lookups!$R$8:$U$17,4,FALSE)</f>
        <v>0.99680000000000002</v>
      </c>
      <c r="BH788" s="30">
        <f>VLOOKUP(Inventory[[#This Row],[LivArea Range]],Lookups!$R$25:$U$43,4,FALSE)</f>
        <v>0.99519999999999997</v>
      </c>
      <c r="BI788" s="30">
        <f>VLOOKUP(Inventory[[#This Row],[Decade]],Lookups!$M$24:$P$40,4,FALSE)</f>
        <v>1.0024</v>
      </c>
      <c r="BJ788" s="30">
        <f>Inventory[[#This Row],[Nbhd Adj]]*0.95</f>
        <v>0.94971499999999998</v>
      </c>
      <c r="BK788" s="30">
        <f>AVERAGE(Inventory[[#This Row],[Nbhd Adj]],Inventory[[#This Row],[Quality Adj]],Inventory[[#This Row],[Condition Adj]],Inventory[[#This Row],[Living Area Adj]],Inventory[[#This Row],[Decade Adj]])*0.95</f>
        <v>0.94923999999999986</v>
      </c>
      <c r="BL788" s="30">
        <f>ROUND((SUM(Inventory[[#This Row],[Mdl Qlty]:[Mdl Garage Area]])+Inventory[[#This Row],[Mdl Res Intercept]])*Inventory[[#This Row],[Res Adj ]],-2)</f>
        <v>268000</v>
      </c>
      <c r="BM788" s="30">
        <f>ROUND(Inventory[[#This Row],[25Det]]*Inventory[[#This Row],[Det/Nbhd Adj]],-2)</f>
        <v>0</v>
      </c>
      <c r="BN788" s="30">
        <f>Inventory[[#This Row],[Adjusted Res]]+Inventory[[#This Row],[Adj Det ]]</f>
        <v>268000</v>
      </c>
      <c r="BO788" s="30">
        <f>ROUND((Inventory[[#This Row],[Mdl Land Intercept]]+Inventory[[#This Row],[Mdl LnAcres]])*Inventory[[#This Row],[Det/Nbhd Adj]],-2)</f>
        <v>61800</v>
      </c>
      <c r="BP788" s="30">
        <f>Inventory[[#This Row],[Adjusted Impr Total]]+Inventory[[#This Row],[Adjusted Land Total]]</f>
        <v>329800</v>
      </c>
      <c r="BQ788" s="30">
        <f>IFERROR((Inventory[[#This Row],[Adjusted Impr Total]]-Inventory[[#This Row],[24Bldg]])/Inventory[[#This Row],[24Bldg]],0)</f>
        <v>-6.2937062937062943E-2</v>
      </c>
      <c r="BR788" s="43">
        <f>(Inventory[[#This Row],[Adjusted Land Total]]-Inventory[[#This Row],[24Lnd]])/Inventory[[#This Row],[24Lnd]]</f>
        <v>1.6207455429497568E-3</v>
      </c>
      <c r="BS788" s="43">
        <f>(Inventory[[#This Row],[Adjusted Total]]-Inventory[[#This Row],[24Final]])/Inventory[[#This Row],[24Final]]</f>
        <v>-5.1481161921196436E-2</v>
      </c>
    </row>
    <row r="789" spans="1:71">
      <c r="A789" s="30">
        <v>2025</v>
      </c>
      <c r="B789" s="31" t="s">
        <v>1304</v>
      </c>
      <c r="C789" s="31">
        <f>LN(Inventory[[#This Row],[Acres]])</f>
        <v>-1.7719568419318752</v>
      </c>
      <c r="D789" s="30">
        <v>0.17</v>
      </c>
      <c r="E789" s="30">
        <v>7449</v>
      </c>
      <c r="F789" s="31" t="s">
        <v>505</v>
      </c>
      <c r="G789" s="31" t="s">
        <v>155</v>
      </c>
      <c r="H789" s="31" t="s">
        <v>5</v>
      </c>
      <c r="I789" s="31" t="s">
        <v>506</v>
      </c>
      <c r="J789" s="31" t="s">
        <v>507</v>
      </c>
      <c r="K789" s="31" t="s">
        <v>157</v>
      </c>
      <c r="L789" s="31" t="s">
        <v>21</v>
      </c>
      <c r="M789" s="31" t="s">
        <v>20</v>
      </c>
      <c r="N789" s="31">
        <v>10</v>
      </c>
      <c r="O789" s="31">
        <f>2024-Inventory[[#This Row],[YrBlt]]</f>
        <v>19</v>
      </c>
      <c r="P789" s="31">
        <f>2024-Inventory[[#This Row],[EffYr]]</f>
        <v>19</v>
      </c>
      <c r="Q789" s="30">
        <v>2005</v>
      </c>
      <c r="R789" s="30">
        <v>2005</v>
      </c>
      <c r="S789" s="30">
        <v>1116</v>
      </c>
      <c r="T789" s="38">
        <v>1116</v>
      </c>
      <c r="U789" s="32"/>
      <c r="V789" s="32"/>
      <c r="W789" s="32"/>
      <c r="X789" s="32">
        <f>Inventory[[#This Row],[Bsmt Area]]-Inventory[[#This Row],[FnBsmt]]</f>
        <v>0</v>
      </c>
      <c r="Y789" s="32">
        <f>Inventory[[#This Row],[MainFn]]+Inventory[[#This Row],[UpprFn]]+Inventory[[#This Row],[AddFn]]+Inventory[[#This Row],[FnBsmt]]</f>
        <v>2232</v>
      </c>
      <c r="Z789" s="32">
        <v>2500</v>
      </c>
      <c r="AA789" s="31" t="s">
        <v>55</v>
      </c>
      <c r="AB789" s="38">
        <v>1</v>
      </c>
      <c r="AC789" s="30">
        <v>704</v>
      </c>
      <c r="AD789" s="32"/>
      <c r="AE789" s="32"/>
      <c r="AF789" s="32"/>
      <c r="AG789" s="32"/>
      <c r="AH789" s="32"/>
      <c r="AI789" s="30">
        <v>456300</v>
      </c>
      <c r="AJ789" s="30">
        <v>415233</v>
      </c>
      <c r="AK789" s="30">
        <v>0</v>
      </c>
      <c r="AL789" s="30">
        <v>0</v>
      </c>
      <c r="AM789" s="30">
        <v>61700</v>
      </c>
      <c r="AN789" s="30">
        <v>345900</v>
      </c>
      <c r="AO789" s="30">
        <v>407600</v>
      </c>
      <c r="AP789" s="30">
        <f>Lookups!$B$58*0.6</f>
        <v>132535.48800000001</v>
      </c>
      <c r="AQ789" s="30">
        <f>Lookups!$B$58*0.4</f>
        <v>88356.992000000013</v>
      </c>
      <c r="AR789" s="30">
        <f>Lookups!$B$59*Inventory[[#This Row],[LnAcres]]</f>
        <v>-23255.730391660189</v>
      </c>
      <c r="AS789" s="30">
        <f>VLOOKUP(Inventory[[#This Row],[Qlty]],Lookups!$A$66:$E$79,2,FALSE)</f>
        <v>32917.849192000001</v>
      </c>
      <c r="AT789" s="30">
        <f>VLOOKUP(Inventory[[#This Row],[Cnd]],Lookups!$A$80:$E$88,2,FALSE)</f>
        <v>30300.329274</v>
      </c>
      <c r="AU789" s="30">
        <f>Inventory[[#This Row],[EffAge]]*Lookups!$B$65</f>
        <v>-2066.0808999999999</v>
      </c>
      <c r="AV789" s="30">
        <f>Inventory[[#This Row],[MainFn]]*Lookups!$B$90</f>
        <v>69649.984080000009</v>
      </c>
      <c r="AW789" s="30">
        <f>Inventory[[#This Row],[UpprFn]]*Lookups!$B$91</f>
        <v>66491.707427999994</v>
      </c>
      <c r="AX789" s="30">
        <f>Inventory[[#This Row],[Bsmt Area]]*Lookups!$B$95</f>
        <v>0</v>
      </c>
      <c r="AY789" s="30">
        <f>Inventory[[#This Row],[AttGar]]*Lookups!$B$93</f>
        <v>24851.925824000002</v>
      </c>
      <c r="AZ789" s="30">
        <f>ROUND(Inventory[[#This Row],[25Det]],-2)</f>
        <v>0</v>
      </c>
      <c r="BA789" s="30">
        <f>ROUND(SUM(Inventory[[#This Row],[Mdl Qlty]:[Mdl Garage Area]])+Inventory[[#This Row],[Mdl Res Intercept]],-2)</f>
        <v>354700</v>
      </c>
      <c r="BB789" s="30">
        <f>ROUND(Inventory[[#This Row],[Mdl Land Intercept]]+Inventory[[#This Row],[Mdl LnAcres]],-2)</f>
        <v>65100</v>
      </c>
      <c r="BC789" s="30">
        <f>Inventory[[#This Row],[Unadj Res Value]]+Inventory[[#This Row],[Unadj Det Value]]+Inventory[[#This Row],[Unadj Land Value]]</f>
        <v>419800</v>
      </c>
      <c r="BD789" s="30">
        <f>(Inventory[[#This Row],[Unadj Total Value]]-Inventory[[#This Row],[24Final]])/Inventory[[#This Row],[24Final]]</f>
        <v>2.9931305201177625E-2</v>
      </c>
      <c r="BE789" s="30">
        <f>VLOOKUP(Inventory[[#This Row],[Nbhd]],Lookups!$M$3:$P$5,4,FALSE)</f>
        <v>0.99970000000000003</v>
      </c>
      <c r="BF789" s="30">
        <f>VLOOKUP(Inventory[[#This Row],[Qlty]],Lookups!$M$8:$P$22,4,FALSE)</f>
        <v>1.0019</v>
      </c>
      <c r="BG789" s="30">
        <f>VLOOKUP(Inventory[[#This Row],[Cnd]],Lookups!$R$8:$U$17,4,FALSE)</f>
        <v>0.997</v>
      </c>
      <c r="BH789" s="30">
        <f>VLOOKUP(Inventory[[#This Row],[LivArea Range]],Lookups!$R$25:$U$43,4,FALSE)</f>
        <v>1.0008999999999999</v>
      </c>
      <c r="BI789" s="30">
        <f>VLOOKUP(Inventory[[#This Row],[Decade]],Lookups!$M$24:$P$40,4,FALSE)</f>
        <v>1.0024</v>
      </c>
      <c r="BJ789" s="30">
        <f>Inventory[[#This Row],[Nbhd Adj]]*0.95</f>
        <v>0.94971499999999998</v>
      </c>
      <c r="BK789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89" s="30">
        <f>ROUND((SUM(Inventory[[#This Row],[Mdl Qlty]:[Mdl Garage Area]])+Inventory[[#This Row],[Mdl Res Intercept]])*Inventory[[#This Row],[Res Adj ]],-2)</f>
        <v>337100</v>
      </c>
      <c r="BM789" s="30">
        <f>ROUND(Inventory[[#This Row],[25Det]]*Inventory[[#This Row],[Det/Nbhd Adj]],-2)</f>
        <v>0</v>
      </c>
      <c r="BN789" s="30">
        <f>Inventory[[#This Row],[Adjusted Res]]+Inventory[[#This Row],[Adj Det ]]</f>
        <v>337100</v>
      </c>
      <c r="BO789" s="30">
        <f>ROUND((Inventory[[#This Row],[Mdl Land Intercept]]+Inventory[[#This Row],[Mdl LnAcres]])*Inventory[[#This Row],[Det/Nbhd Adj]],-2)</f>
        <v>61800</v>
      </c>
      <c r="BP789" s="30">
        <f>Inventory[[#This Row],[Adjusted Impr Total]]+Inventory[[#This Row],[Adjusted Land Total]]</f>
        <v>398900</v>
      </c>
      <c r="BQ789" s="30">
        <f>IFERROR((Inventory[[#This Row],[Adjusted Impr Total]]-Inventory[[#This Row],[24Bldg]])/Inventory[[#This Row],[24Bldg]],0)</f>
        <v>-2.5440878866724487E-2</v>
      </c>
      <c r="BR789" s="43">
        <f>(Inventory[[#This Row],[Adjusted Land Total]]-Inventory[[#This Row],[24Lnd]])/Inventory[[#This Row],[24Lnd]]</f>
        <v>1.6207455429497568E-3</v>
      </c>
      <c r="BS789" s="43">
        <f>(Inventory[[#This Row],[Adjusted Total]]-Inventory[[#This Row],[24Final]])/Inventory[[#This Row],[24Final]]</f>
        <v>-2.1344455348380767E-2</v>
      </c>
    </row>
    <row r="790" spans="1:71">
      <c r="A790" s="30">
        <v>2025</v>
      </c>
      <c r="B790" s="31" t="s">
        <v>1305</v>
      </c>
      <c r="C790" s="31">
        <f>LN(Inventory[[#This Row],[Acres]])</f>
        <v>-1.7719568419318752</v>
      </c>
      <c r="D790" s="30">
        <v>0.17</v>
      </c>
      <c r="E790" s="30">
        <v>7222</v>
      </c>
      <c r="F790" s="31" t="s">
        <v>505</v>
      </c>
      <c r="G790" s="31" t="s">
        <v>155</v>
      </c>
      <c r="H790" s="31" t="s">
        <v>5</v>
      </c>
      <c r="I790" s="31" t="s">
        <v>506</v>
      </c>
      <c r="J790" s="31" t="s">
        <v>507</v>
      </c>
      <c r="K790" s="31" t="s">
        <v>193</v>
      </c>
      <c r="L790" s="31" t="s">
        <v>17</v>
      </c>
      <c r="M790" s="31" t="s">
        <v>18</v>
      </c>
      <c r="N790" s="31">
        <v>10</v>
      </c>
      <c r="O790" s="31">
        <f>2024-Inventory[[#This Row],[YrBlt]]</f>
        <v>19</v>
      </c>
      <c r="P790" s="31">
        <f>2024-Inventory[[#This Row],[EffYr]]</f>
        <v>19</v>
      </c>
      <c r="Q790" s="30">
        <v>2005</v>
      </c>
      <c r="R790" s="30">
        <v>2005</v>
      </c>
      <c r="S790" s="30">
        <v>1092</v>
      </c>
      <c r="T790" s="32"/>
      <c r="U790" s="32"/>
      <c r="V790" s="32"/>
      <c r="W790" s="32"/>
      <c r="X790" s="32">
        <f>Inventory[[#This Row],[Bsmt Area]]-Inventory[[#This Row],[FnBsmt]]</f>
        <v>0</v>
      </c>
      <c r="Y790" s="32">
        <f>Inventory[[#This Row],[MainFn]]+Inventory[[#This Row],[UpprFn]]+Inventory[[#This Row],[AddFn]]+Inventory[[#This Row],[FnBsmt]]</f>
        <v>1092</v>
      </c>
      <c r="Z790" s="32">
        <v>1500</v>
      </c>
      <c r="AA790" s="31" t="s">
        <v>56</v>
      </c>
      <c r="AB790" s="32"/>
      <c r="AC790" s="30">
        <v>440</v>
      </c>
      <c r="AD790" s="32"/>
      <c r="AE790" s="32"/>
      <c r="AF790" s="32"/>
      <c r="AG790" s="32"/>
      <c r="AH790" s="32"/>
      <c r="AI790" s="30">
        <v>208200</v>
      </c>
      <c r="AJ790" s="30">
        <v>187380</v>
      </c>
      <c r="AK790" s="30">
        <v>0</v>
      </c>
      <c r="AL790" s="30">
        <v>0</v>
      </c>
      <c r="AM790" s="30">
        <v>61700</v>
      </c>
      <c r="AN790" s="30">
        <v>284400</v>
      </c>
      <c r="AO790" s="30">
        <v>346100</v>
      </c>
      <c r="AP790" s="30">
        <f>Lookups!$B$58*0.6</f>
        <v>132535.48800000001</v>
      </c>
      <c r="AQ790" s="30">
        <f>Lookups!$B$58*0.4</f>
        <v>88356.992000000013</v>
      </c>
      <c r="AR790" s="30">
        <f>Lookups!$B$59*Inventory[[#This Row],[LnAcres]]</f>
        <v>-23255.730391660189</v>
      </c>
      <c r="AS790" s="30">
        <f>VLOOKUP(Inventory[[#This Row],[Qlty]],Lookups!$A$66:$E$79,2,FALSE)</f>
        <v>24371.765965999999</v>
      </c>
      <c r="AT790" s="30">
        <f>VLOOKUP(Inventory[[#This Row],[Cnd]],Lookups!$A$80:$E$88,2,FALSE)</f>
        <v>17761.121909000001</v>
      </c>
      <c r="AU790" s="30">
        <f>Inventory[[#This Row],[EffAge]]*Lookups!$B$65</f>
        <v>-2066.0808999999999</v>
      </c>
      <c r="AV790" s="30">
        <f>Inventory[[#This Row],[MainFn]]*Lookups!$B$90</f>
        <v>68152.13496000001</v>
      </c>
      <c r="AW790" s="30">
        <f>Inventory[[#This Row],[UpprFn]]*Lookups!$B$91</f>
        <v>0</v>
      </c>
      <c r="AX790" s="30">
        <f>Inventory[[#This Row],[Bsmt Area]]*Lookups!$B$95</f>
        <v>0</v>
      </c>
      <c r="AY790" s="30">
        <f>Inventory[[#This Row],[AttGar]]*Lookups!$B$93</f>
        <v>15532.453640000002</v>
      </c>
      <c r="AZ790" s="30">
        <f>ROUND(Inventory[[#This Row],[25Det]],-2)</f>
        <v>0</v>
      </c>
      <c r="BA790" s="30">
        <f>ROUND(SUM(Inventory[[#This Row],[Mdl Qlty]:[Mdl Garage Area]])+Inventory[[#This Row],[Mdl Res Intercept]],-2)</f>
        <v>256300</v>
      </c>
      <c r="BB790" s="30">
        <f>ROUND(Inventory[[#This Row],[Mdl Land Intercept]]+Inventory[[#This Row],[Mdl LnAcres]],-2)</f>
        <v>65100</v>
      </c>
      <c r="BC790" s="30">
        <f>Inventory[[#This Row],[Unadj Res Value]]+Inventory[[#This Row],[Unadj Det Value]]+Inventory[[#This Row],[Unadj Land Value]]</f>
        <v>321400</v>
      </c>
      <c r="BD790" s="30">
        <f>(Inventory[[#This Row],[Unadj Total Value]]-Inventory[[#This Row],[24Final]])/Inventory[[#This Row],[24Final]]</f>
        <v>-7.1366657035538864E-2</v>
      </c>
      <c r="BE790" s="30">
        <f>VLOOKUP(Inventory[[#This Row],[Nbhd]],Lookups!$M$3:$P$5,4,FALSE)</f>
        <v>0.99970000000000003</v>
      </c>
      <c r="BF790" s="30">
        <f>VLOOKUP(Inventory[[#This Row],[Qlty]],Lookups!$M$8:$P$22,4,FALSE)</f>
        <v>0.99199999999999999</v>
      </c>
      <c r="BG790" s="30">
        <f>VLOOKUP(Inventory[[#This Row],[Cnd]],Lookups!$R$8:$U$17,4,FALSE)</f>
        <v>0.99680000000000002</v>
      </c>
      <c r="BH790" s="30">
        <f>VLOOKUP(Inventory[[#This Row],[LivArea Range]],Lookups!$R$25:$U$43,4,FALSE)</f>
        <v>0.99519999999999997</v>
      </c>
      <c r="BI790" s="30">
        <f>VLOOKUP(Inventory[[#This Row],[Decade]],Lookups!$M$24:$P$40,4,FALSE)</f>
        <v>1.0024</v>
      </c>
      <c r="BJ790" s="30">
        <f>Inventory[[#This Row],[Nbhd Adj]]*0.95</f>
        <v>0.94971499999999998</v>
      </c>
      <c r="BK790" s="30">
        <f>AVERAGE(Inventory[[#This Row],[Nbhd Adj]],Inventory[[#This Row],[Quality Adj]],Inventory[[#This Row],[Condition Adj]],Inventory[[#This Row],[Living Area Adj]],Inventory[[#This Row],[Decade Adj]])*0.95</f>
        <v>0.94735900000000006</v>
      </c>
      <c r="BL790" s="30">
        <f>ROUND((SUM(Inventory[[#This Row],[Mdl Qlty]:[Mdl Garage Area]])+Inventory[[#This Row],[Mdl Res Intercept]])*Inventory[[#This Row],[Res Adj ]],-2)</f>
        <v>242800</v>
      </c>
      <c r="BM790" s="30">
        <f>ROUND(Inventory[[#This Row],[25Det]]*Inventory[[#This Row],[Det/Nbhd Adj]],-2)</f>
        <v>0</v>
      </c>
      <c r="BN790" s="30">
        <f>Inventory[[#This Row],[Adjusted Res]]+Inventory[[#This Row],[Adj Det ]]</f>
        <v>242800</v>
      </c>
      <c r="BO790" s="30">
        <f>ROUND((Inventory[[#This Row],[Mdl Land Intercept]]+Inventory[[#This Row],[Mdl LnAcres]])*Inventory[[#This Row],[Det/Nbhd Adj]],-2)</f>
        <v>61800</v>
      </c>
      <c r="BP790" s="30">
        <f>Inventory[[#This Row],[Adjusted Impr Total]]+Inventory[[#This Row],[Adjusted Land Total]]</f>
        <v>304600</v>
      </c>
      <c r="BQ790" s="30">
        <f>IFERROR((Inventory[[#This Row],[Adjusted Impr Total]]-Inventory[[#This Row],[24Bldg]])/Inventory[[#This Row],[24Bldg]],0)</f>
        <v>-0.14627285513361463</v>
      </c>
      <c r="BR790" s="43">
        <f>(Inventory[[#This Row],[Adjusted Land Total]]-Inventory[[#This Row],[24Lnd]])/Inventory[[#This Row],[24Lnd]]</f>
        <v>1.6207455429497568E-3</v>
      </c>
      <c r="BS790" s="43">
        <f>(Inventory[[#This Row],[Adjusted Total]]-Inventory[[#This Row],[24Final]])/Inventory[[#This Row],[24Final]]</f>
        <v>-0.11990754117307137</v>
      </c>
    </row>
    <row r="791" spans="1:71">
      <c r="A791" s="30">
        <v>2025</v>
      </c>
      <c r="B791" s="31" t="s">
        <v>1306</v>
      </c>
      <c r="C791" s="31">
        <f>LN(Inventory[[#This Row],[Acres]])</f>
        <v>-1.7719568419318752</v>
      </c>
      <c r="D791" s="30">
        <v>0.17</v>
      </c>
      <c r="E791" s="30">
        <v>7406</v>
      </c>
      <c r="F791" s="31" t="s">
        <v>505</v>
      </c>
      <c r="G791" s="31" t="s">
        <v>155</v>
      </c>
      <c r="H791" s="31" t="s">
        <v>5</v>
      </c>
      <c r="I791" s="31" t="s">
        <v>506</v>
      </c>
      <c r="J791" s="31" t="s">
        <v>507</v>
      </c>
      <c r="K791" s="31" t="s">
        <v>157</v>
      </c>
      <c r="L791" s="31" t="s">
        <v>21</v>
      </c>
      <c r="M791" s="31" t="s">
        <v>20</v>
      </c>
      <c r="N791" s="31">
        <v>10</v>
      </c>
      <c r="O791" s="31">
        <f>2024-Inventory[[#This Row],[YrBlt]]</f>
        <v>19</v>
      </c>
      <c r="P791" s="31">
        <f>2024-Inventory[[#This Row],[EffYr]]</f>
        <v>19</v>
      </c>
      <c r="Q791" s="30">
        <v>2005</v>
      </c>
      <c r="R791" s="30">
        <v>2005</v>
      </c>
      <c r="S791" s="30">
        <v>1158</v>
      </c>
      <c r="T791" s="38">
        <v>1322</v>
      </c>
      <c r="U791" s="32"/>
      <c r="V791" s="32"/>
      <c r="W791" s="32"/>
      <c r="X791" s="32">
        <f>Inventory[[#This Row],[Bsmt Area]]-Inventory[[#This Row],[FnBsmt]]</f>
        <v>0</v>
      </c>
      <c r="Y791" s="32">
        <f>Inventory[[#This Row],[MainFn]]+Inventory[[#This Row],[UpprFn]]+Inventory[[#This Row],[AddFn]]+Inventory[[#This Row],[FnBsmt]]</f>
        <v>2480</v>
      </c>
      <c r="Z791" s="32">
        <v>2500</v>
      </c>
      <c r="AA791" s="31" t="s">
        <v>56</v>
      </c>
      <c r="AB791" s="32"/>
      <c r="AC791" s="37"/>
      <c r="AD791" s="38">
        <v>502</v>
      </c>
      <c r="AE791" s="32"/>
      <c r="AF791" s="32"/>
      <c r="AG791" s="32"/>
      <c r="AH791" s="32"/>
      <c r="AI791" s="30">
        <v>485939</v>
      </c>
      <c r="AJ791" s="30">
        <v>442204</v>
      </c>
      <c r="AK791" s="30">
        <v>0</v>
      </c>
      <c r="AL791" s="30">
        <v>0</v>
      </c>
      <c r="AM791" s="30">
        <v>61700</v>
      </c>
      <c r="AN791" s="30">
        <v>366600</v>
      </c>
      <c r="AO791" s="30">
        <v>428300</v>
      </c>
      <c r="AP791" s="30">
        <f>Lookups!$B$58*0.6</f>
        <v>132535.48800000001</v>
      </c>
      <c r="AQ791" s="30">
        <f>Lookups!$B$58*0.4</f>
        <v>88356.992000000013</v>
      </c>
      <c r="AR791" s="30">
        <f>Lookups!$B$59*Inventory[[#This Row],[LnAcres]]</f>
        <v>-23255.730391660189</v>
      </c>
      <c r="AS791" s="30">
        <f>VLOOKUP(Inventory[[#This Row],[Qlty]],Lookups!$A$66:$E$79,2,FALSE)</f>
        <v>32917.849192000001</v>
      </c>
      <c r="AT791" s="30">
        <f>VLOOKUP(Inventory[[#This Row],[Cnd]],Lookups!$A$80:$E$88,2,FALSE)</f>
        <v>30300.329274</v>
      </c>
      <c r="AU791" s="30">
        <f>Inventory[[#This Row],[EffAge]]*Lookups!$B$65</f>
        <v>-2066.0808999999999</v>
      </c>
      <c r="AV791" s="30">
        <f>Inventory[[#This Row],[MainFn]]*Lookups!$B$90</f>
        <v>72271.22004</v>
      </c>
      <c r="AW791" s="30">
        <f>Inventory[[#This Row],[UpprFn]]*Lookups!$B$91</f>
        <v>78765.266325999997</v>
      </c>
      <c r="AX791" s="30">
        <f>Inventory[[#This Row],[Bsmt Area]]*Lookups!$B$95</f>
        <v>0</v>
      </c>
      <c r="AY791" s="30">
        <f>Inventory[[#This Row],[AttGar]]*Lookups!$B$93</f>
        <v>0</v>
      </c>
      <c r="AZ791" s="30">
        <f>ROUND(Inventory[[#This Row],[25Det]],-2)</f>
        <v>0</v>
      </c>
      <c r="BA791" s="30">
        <f>ROUND(SUM(Inventory[[#This Row],[Mdl Qlty]:[Mdl Garage Area]])+Inventory[[#This Row],[Mdl Res Intercept]],-2)</f>
        <v>344700</v>
      </c>
      <c r="BB791" s="30">
        <f>ROUND(Inventory[[#This Row],[Mdl Land Intercept]]+Inventory[[#This Row],[Mdl LnAcres]],-2)</f>
        <v>65100</v>
      </c>
      <c r="BC791" s="30">
        <f>Inventory[[#This Row],[Unadj Res Value]]+Inventory[[#This Row],[Unadj Det Value]]+Inventory[[#This Row],[Unadj Land Value]]</f>
        <v>409800</v>
      </c>
      <c r="BD791" s="30">
        <f>(Inventory[[#This Row],[Unadj Total Value]]-Inventory[[#This Row],[24Final]])/Inventory[[#This Row],[24Final]]</f>
        <v>-4.3194022881158069E-2</v>
      </c>
      <c r="BE791" s="30">
        <f>VLOOKUP(Inventory[[#This Row],[Nbhd]],Lookups!$M$3:$P$5,4,FALSE)</f>
        <v>0.99970000000000003</v>
      </c>
      <c r="BF791" s="30">
        <f>VLOOKUP(Inventory[[#This Row],[Qlty]],Lookups!$M$8:$P$22,4,FALSE)</f>
        <v>1.0019</v>
      </c>
      <c r="BG791" s="30">
        <f>VLOOKUP(Inventory[[#This Row],[Cnd]],Lookups!$R$8:$U$17,4,FALSE)</f>
        <v>0.997</v>
      </c>
      <c r="BH791" s="30">
        <f>VLOOKUP(Inventory[[#This Row],[LivArea Range]],Lookups!$R$25:$U$43,4,FALSE)</f>
        <v>1.0008999999999999</v>
      </c>
      <c r="BI791" s="30">
        <f>VLOOKUP(Inventory[[#This Row],[Decade]],Lookups!$M$24:$P$40,4,FALSE)</f>
        <v>1.0024</v>
      </c>
      <c r="BJ791" s="30">
        <f>Inventory[[#This Row],[Nbhd Adj]]*0.95</f>
        <v>0.94971499999999998</v>
      </c>
      <c r="BK791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91" s="30">
        <f>ROUND((SUM(Inventory[[#This Row],[Mdl Qlty]:[Mdl Garage Area]])+Inventory[[#This Row],[Mdl Res Intercept]])*Inventory[[#This Row],[Res Adj ]],-2)</f>
        <v>327600</v>
      </c>
      <c r="BM791" s="30">
        <f>ROUND(Inventory[[#This Row],[25Det]]*Inventory[[#This Row],[Det/Nbhd Adj]],-2)</f>
        <v>0</v>
      </c>
      <c r="BN791" s="30">
        <f>Inventory[[#This Row],[Adjusted Res]]+Inventory[[#This Row],[Adj Det ]]</f>
        <v>327600</v>
      </c>
      <c r="BO791" s="30">
        <f>ROUND((Inventory[[#This Row],[Mdl Land Intercept]]+Inventory[[#This Row],[Mdl LnAcres]])*Inventory[[#This Row],[Det/Nbhd Adj]],-2)</f>
        <v>61800</v>
      </c>
      <c r="BP791" s="30">
        <f>Inventory[[#This Row],[Adjusted Impr Total]]+Inventory[[#This Row],[Adjusted Land Total]]</f>
        <v>389400</v>
      </c>
      <c r="BQ791" s="30">
        <f>IFERROR((Inventory[[#This Row],[Adjusted Impr Total]]-Inventory[[#This Row],[24Bldg]])/Inventory[[#This Row],[24Bldg]],0)</f>
        <v>-0.10638297872340426</v>
      </c>
      <c r="BR791" s="43">
        <f>(Inventory[[#This Row],[Adjusted Land Total]]-Inventory[[#This Row],[24Lnd]])/Inventory[[#This Row],[24Lnd]]</f>
        <v>1.6207455429497568E-3</v>
      </c>
      <c r="BS791" s="43">
        <f>(Inventory[[#This Row],[Adjusted Total]]-Inventory[[#This Row],[24Final]])/Inventory[[#This Row],[24Final]]</f>
        <v>-9.0824188652813442E-2</v>
      </c>
    </row>
    <row r="792" spans="1:71">
      <c r="A792" s="30">
        <v>2025</v>
      </c>
      <c r="B792" s="31" t="s">
        <v>1307</v>
      </c>
      <c r="C792" s="31">
        <f>LN(Inventory[[#This Row],[Acres]])</f>
        <v>-1.7719568419318752</v>
      </c>
      <c r="D792" s="30">
        <v>0.17</v>
      </c>
      <c r="E792" s="30">
        <v>7221</v>
      </c>
      <c r="F792" s="31" t="s">
        <v>505</v>
      </c>
      <c r="G792" s="31" t="s">
        <v>155</v>
      </c>
      <c r="H792" s="31" t="s">
        <v>5</v>
      </c>
      <c r="I792" s="31" t="s">
        <v>506</v>
      </c>
      <c r="J792" s="31" t="s">
        <v>507</v>
      </c>
      <c r="K792" s="31" t="s">
        <v>157</v>
      </c>
      <c r="L792" s="31" t="s">
        <v>21</v>
      </c>
      <c r="M792" s="31" t="s">
        <v>18</v>
      </c>
      <c r="N792" s="31">
        <v>10</v>
      </c>
      <c r="O792" s="31">
        <f>2024-Inventory[[#This Row],[YrBlt]]</f>
        <v>19</v>
      </c>
      <c r="P792" s="31">
        <f>2024-Inventory[[#This Row],[EffYr]]</f>
        <v>19</v>
      </c>
      <c r="Q792" s="30">
        <v>2005</v>
      </c>
      <c r="R792" s="30">
        <v>2005</v>
      </c>
      <c r="S792" s="30">
        <v>1158</v>
      </c>
      <c r="T792" s="38">
        <v>1332</v>
      </c>
      <c r="U792" s="32"/>
      <c r="V792" s="32"/>
      <c r="W792" s="32"/>
      <c r="X792" s="32">
        <f>Inventory[[#This Row],[Bsmt Area]]-Inventory[[#This Row],[FnBsmt]]</f>
        <v>0</v>
      </c>
      <c r="Y792" s="32">
        <f>Inventory[[#This Row],[MainFn]]+Inventory[[#This Row],[UpprFn]]+Inventory[[#This Row],[AddFn]]+Inventory[[#This Row],[FnBsmt]]</f>
        <v>2490</v>
      </c>
      <c r="Z792" s="32">
        <v>2500</v>
      </c>
      <c r="AA792" s="31" t="s">
        <v>56</v>
      </c>
      <c r="AB792" s="37"/>
      <c r="AC792" s="30">
        <v>300</v>
      </c>
      <c r="AD792" s="38">
        <v>502</v>
      </c>
      <c r="AE792" s="32"/>
      <c r="AF792" s="32"/>
      <c r="AG792" s="32"/>
      <c r="AH792" s="32"/>
      <c r="AI792" s="30">
        <v>499286</v>
      </c>
      <c r="AJ792" s="30">
        <v>449357</v>
      </c>
      <c r="AK792" s="30">
        <v>0</v>
      </c>
      <c r="AL792" s="30">
        <v>0</v>
      </c>
      <c r="AM792" s="30">
        <v>61700</v>
      </c>
      <c r="AN792" s="30">
        <v>353100</v>
      </c>
      <c r="AO792" s="30">
        <v>414800</v>
      </c>
      <c r="AP792" s="30">
        <f>Lookups!$B$58*0.6</f>
        <v>132535.48800000001</v>
      </c>
      <c r="AQ792" s="30">
        <f>Lookups!$B$58*0.4</f>
        <v>88356.992000000013</v>
      </c>
      <c r="AR792" s="30">
        <f>Lookups!$B$59*Inventory[[#This Row],[LnAcres]]</f>
        <v>-23255.730391660189</v>
      </c>
      <c r="AS792" s="30">
        <f>VLOOKUP(Inventory[[#This Row],[Qlty]],Lookups!$A$66:$E$79,2,FALSE)</f>
        <v>32917.849192000001</v>
      </c>
      <c r="AT792" s="30">
        <f>VLOOKUP(Inventory[[#This Row],[Cnd]],Lookups!$A$80:$E$88,2,FALSE)</f>
        <v>17761.121909000001</v>
      </c>
      <c r="AU792" s="30">
        <f>Inventory[[#This Row],[EffAge]]*Lookups!$B$65</f>
        <v>-2066.0808999999999</v>
      </c>
      <c r="AV792" s="30">
        <f>Inventory[[#This Row],[MainFn]]*Lookups!$B$90</f>
        <v>72271.22004</v>
      </c>
      <c r="AW792" s="30">
        <f>Inventory[[#This Row],[UpprFn]]*Lookups!$B$91</f>
        <v>79361.070156000002</v>
      </c>
      <c r="AX792" s="30">
        <f>Inventory[[#This Row],[Bsmt Area]]*Lookups!$B$95</f>
        <v>0</v>
      </c>
      <c r="AY792" s="30">
        <f>Inventory[[#This Row],[AttGar]]*Lookups!$B$93</f>
        <v>10590.309300000001</v>
      </c>
      <c r="AZ792" s="30">
        <f>ROUND(Inventory[[#This Row],[25Det]],-2)</f>
        <v>0</v>
      </c>
      <c r="BA792" s="30">
        <f>ROUND(SUM(Inventory[[#This Row],[Mdl Qlty]:[Mdl Garage Area]])+Inventory[[#This Row],[Mdl Res Intercept]],-2)</f>
        <v>343400</v>
      </c>
      <c r="BB792" s="30">
        <f>ROUND(Inventory[[#This Row],[Mdl Land Intercept]]+Inventory[[#This Row],[Mdl LnAcres]],-2)</f>
        <v>65100</v>
      </c>
      <c r="BC792" s="30">
        <f>Inventory[[#This Row],[Unadj Res Value]]+Inventory[[#This Row],[Unadj Det Value]]+Inventory[[#This Row],[Unadj Land Value]]</f>
        <v>408500</v>
      </c>
      <c r="BD792" s="30">
        <f>(Inventory[[#This Row],[Unadj Total Value]]-Inventory[[#This Row],[24Final]])/Inventory[[#This Row],[24Final]]</f>
        <v>-1.518804243008679E-2</v>
      </c>
      <c r="BE792" s="30">
        <f>VLOOKUP(Inventory[[#This Row],[Nbhd]],Lookups!$M$3:$P$5,4,FALSE)</f>
        <v>0.99970000000000003</v>
      </c>
      <c r="BF792" s="30">
        <f>VLOOKUP(Inventory[[#This Row],[Qlty]],Lookups!$M$8:$P$22,4,FALSE)</f>
        <v>1.0019</v>
      </c>
      <c r="BG792" s="30">
        <f>VLOOKUP(Inventory[[#This Row],[Cnd]],Lookups!$R$8:$U$17,4,FALSE)</f>
        <v>0.99680000000000002</v>
      </c>
      <c r="BH792" s="30">
        <f>VLOOKUP(Inventory[[#This Row],[LivArea Range]],Lookups!$R$25:$U$43,4,FALSE)</f>
        <v>1.0008999999999999</v>
      </c>
      <c r="BI792" s="30">
        <f>VLOOKUP(Inventory[[#This Row],[Decade]],Lookups!$M$24:$P$40,4,FALSE)</f>
        <v>1.0024</v>
      </c>
      <c r="BJ792" s="30">
        <f>Inventory[[#This Row],[Nbhd Adj]]*0.95</f>
        <v>0.94971499999999998</v>
      </c>
      <c r="BK792" s="30">
        <f>AVERAGE(Inventory[[#This Row],[Nbhd Adj]],Inventory[[#This Row],[Quality Adj]],Inventory[[#This Row],[Condition Adj]],Inventory[[#This Row],[Living Area Adj]],Inventory[[#This Row],[Decade Adj]])*0.95</f>
        <v>0.95032299999999992</v>
      </c>
      <c r="BL792" s="30">
        <f>ROUND((SUM(Inventory[[#This Row],[Mdl Qlty]:[Mdl Garage Area]])+Inventory[[#This Row],[Mdl Res Intercept]])*Inventory[[#This Row],[Res Adj ]],-2)</f>
        <v>326300</v>
      </c>
      <c r="BM792" s="30">
        <f>ROUND(Inventory[[#This Row],[25Det]]*Inventory[[#This Row],[Det/Nbhd Adj]],-2)</f>
        <v>0</v>
      </c>
      <c r="BN792" s="30">
        <f>Inventory[[#This Row],[Adjusted Res]]+Inventory[[#This Row],[Adj Det ]]</f>
        <v>326300</v>
      </c>
      <c r="BO792" s="30">
        <f>ROUND((Inventory[[#This Row],[Mdl Land Intercept]]+Inventory[[#This Row],[Mdl LnAcres]])*Inventory[[#This Row],[Det/Nbhd Adj]],-2)</f>
        <v>61800</v>
      </c>
      <c r="BP792" s="30">
        <f>Inventory[[#This Row],[Adjusted Impr Total]]+Inventory[[#This Row],[Adjusted Land Total]]</f>
        <v>388100</v>
      </c>
      <c r="BQ792" s="30">
        <f>IFERROR((Inventory[[#This Row],[Adjusted Impr Total]]-Inventory[[#This Row],[24Bldg]])/Inventory[[#This Row],[24Bldg]],0)</f>
        <v>-7.5899178702917014E-2</v>
      </c>
      <c r="BR792" s="43">
        <f>(Inventory[[#This Row],[Adjusted Land Total]]-Inventory[[#This Row],[24Lnd]])/Inventory[[#This Row],[24Lnd]]</f>
        <v>1.6207455429497568E-3</v>
      </c>
      <c r="BS792" s="43">
        <f>(Inventory[[#This Row],[Adjusted Total]]-Inventory[[#This Row],[24Final]])/Inventory[[#This Row],[24Final]]</f>
        <v>-6.4368370298939243E-2</v>
      </c>
    </row>
    <row r="793" spans="1:71">
      <c r="A793" s="30">
        <v>2025</v>
      </c>
      <c r="B793" s="31" t="s">
        <v>1308</v>
      </c>
      <c r="C793" s="31">
        <f>LN(Inventory[[#This Row],[Acres]])</f>
        <v>-1.7719568419318752</v>
      </c>
      <c r="D793" s="30">
        <v>0.17</v>
      </c>
      <c r="E793" s="30">
        <v>7193</v>
      </c>
      <c r="F793" s="31" t="s">
        <v>505</v>
      </c>
      <c r="G793" s="31" t="s">
        <v>155</v>
      </c>
      <c r="H793" s="31" t="s">
        <v>5</v>
      </c>
      <c r="I793" s="31" t="s">
        <v>506</v>
      </c>
      <c r="J793" s="31" t="s">
        <v>507</v>
      </c>
      <c r="K793" s="31" t="s">
        <v>157</v>
      </c>
      <c r="L793" s="31" t="s">
        <v>21</v>
      </c>
      <c r="M793" s="31" t="s">
        <v>20</v>
      </c>
      <c r="N793" s="31">
        <v>10</v>
      </c>
      <c r="O793" s="31">
        <f>2024-Inventory[[#This Row],[YrBlt]]</f>
        <v>19</v>
      </c>
      <c r="P793" s="31">
        <f>2024-Inventory[[#This Row],[EffYr]]</f>
        <v>19</v>
      </c>
      <c r="Q793" s="30">
        <v>2005</v>
      </c>
      <c r="R793" s="30">
        <v>2005</v>
      </c>
      <c r="S793" s="30">
        <v>1158</v>
      </c>
      <c r="T793" s="30">
        <v>1322</v>
      </c>
      <c r="U793" s="32"/>
      <c r="V793" s="32"/>
      <c r="W793" s="32"/>
      <c r="X793" s="32">
        <f>Inventory[[#This Row],[Bsmt Area]]-Inventory[[#This Row],[FnBsmt]]</f>
        <v>0</v>
      </c>
      <c r="Y793" s="32">
        <f>Inventory[[#This Row],[MainFn]]+Inventory[[#This Row],[UpprFn]]+Inventory[[#This Row],[AddFn]]+Inventory[[#This Row],[FnBsmt]]</f>
        <v>2480</v>
      </c>
      <c r="Z793" s="32">
        <v>2500</v>
      </c>
      <c r="AA793" s="31" t="s">
        <v>56</v>
      </c>
      <c r="AB793" s="38">
        <v>1</v>
      </c>
      <c r="AC793" s="30">
        <v>300</v>
      </c>
      <c r="AD793" s="30">
        <v>502</v>
      </c>
      <c r="AE793" s="32"/>
      <c r="AF793" s="32"/>
      <c r="AG793" s="32"/>
      <c r="AH793" s="32"/>
      <c r="AI793" s="30">
        <v>515584</v>
      </c>
      <c r="AJ793" s="30">
        <v>469181</v>
      </c>
      <c r="AK793" s="30">
        <v>0</v>
      </c>
      <c r="AL793" s="30">
        <v>0</v>
      </c>
      <c r="AM793" s="30">
        <v>61700</v>
      </c>
      <c r="AN793" s="30">
        <v>364200</v>
      </c>
      <c r="AO793" s="30">
        <v>425900</v>
      </c>
      <c r="AP793" s="30">
        <f>Lookups!$B$58*0.6</f>
        <v>132535.48800000001</v>
      </c>
      <c r="AQ793" s="30">
        <f>Lookups!$B$58*0.4</f>
        <v>88356.992000000013</v>
      </c>
      <c r="AR793" s="30">
        <f>Lookups!$B$59*Inventory[[#This Row],[LnAcres]]</f>
        <v>-23255.730391660189</v>
      </c>
      <c r="AS793" s="30">
        <f>VLOOKUP(Inventory[[#This Row],[Qlty]],Lookups!$A$66:$E$79,2,FALSE)</f>
        <v>32917.849192000001</v>
      </c>
      <c r="AT793" s="30">
        <f>VLOOKUP(Inventory[[#This Row],[Cnd]],Lookups!$A$80:$E$88,2,FALSE)</f>
        <v>30300.329274</v>
      </c>
      <c r="AU793" s="30">
        <f>Inventory[[#This Row],[EffAge]]*Lookups!$B$65</f>
        <v>-2066.0808999999999</v>
      </c>
      <c r="AV793" s="30">
        <f>Inventory[[#This Row],[MainFn]]*Lookups!$B$90</f>
        <v>72271.22004</v>
      </c>
      <c r="AW793" s="30">
        <f>Inventory[[#This Row],[UpprFn]]*Lookups!$B$91</f>
        <v>78765.266325999997</v>
      </c>
      <c r="AX793" s="30">
        <f>Inventory[[#This Row],[Bsmt Area]]*Lookups!$B$95</f>
        <v>0</v>
      </c>
      <c r="AY793" s="30">
        <f>Inventory[[#This Row],[AttGar]]*Lookups!$B$93</f>
        <v>10590.309300000001</v>
      </c>
      <c r="AZ793" s="30">
        <f>ROUND(Inventory[[#This Row],[25Det]],-2)</f>
        <v>0</v>
      </c>
      <c r="BA793" s="30">
        <f>ROUND(SUM(Inventory[[#This Row],[Mdl Qlty]:[Mdl Garage Area]])+Inventory[[#This Row],[Mdl Res Intercept]],-2)</f>
        <v>355300</v>
      </c>
      <c r="BB793" s="30">
        <f>ROUND(Inventory[[#This Row],[Mdl Land Intercept]]+Inventory[[#This Row],[Mdl LnAcres]],-2)</f>
        <v>65100</v>
      </c>
      <c r="BC793" s="30">
        <f>Inventory[[#This Row],[Unadj Res Value]]+Inventory[[#This Row],[Unadj Det Value]]+Inventory[[#This Row],[Unadj Land Value]]</f>
        <v>420400</v>
      </c>
      <c r="BD793" s="30">
        <f>(Inventory[[#This Row],[Unadj Total Value]]-Inventory[[#This Row],[24Final]])/Inventory[[#This Row],[24Final]]</f>
        <v>-1.2913829537450105E-2</v>
      </c>
      <c r="BE793" s="30">
        <f>VLOOKUP(Inventory[[#This Row],[Nbhd]],Lookups!$M$3:$P$5,4,FALSE)</f>
        <v>0.99970000000000003</v>
      </c>
      <c r="BF793" s="30">
        <f>VLOOKUP(Inventory[[#This Row],[Qlty]],Lookups!$M$8:$P$22,4,FALSE)</f>
        <v>1.0019</v>
      </c>
      <c r="BG793" s="30">
        <f>VLOOKUP(Inventory[[#This Row],[Cnd]],Lookups!$R$8:$U$17,4,FALSE)</f>
        <v>0.997</v>
      </c>
      <c r="BH793" s="30">
        <f>VLOOKUP(Inventory[[#This Row],[LivArea Range]],Lookups!$R$25:$U$43,4,FALSE)</f>
        <v>1.0008999999999999</v>
      </c>
      <c r="BI793" s="30">
        <f>VLOOKUP(Inventory[[#This Row],[Decade]],Lookups!$M$24:$P$40,4,FALSE)</f>
        <v>1.0024</v>
      </c>
      <c r="BJ793" s="30">
        <f>Inventory[[#This Row],[Nbhd Adj]]*0.95</f>
        <v>0.94971499999999998</v>
      </c>
      <c r="BK793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93" s="30">
        <f>ROUND((SUM(Inventory[[#This Row],[Mdl Qlty]:[Mdl Garage Area]])+Inventory[[#This Row],[Mdl Res Intercept]])*Inventory[[#This Row],[Res Adj ]],-2)</f>
        <v>337700</v>
      </c>
      <c r="BM793" s="30">
        <f>ROUND(Inventory[[#This Row],[25Det]]*Inventory[[#This Row],[Det/Nbhd Adj]],-2)</f>
        <v>0</v>
      </c>
      <c r="BN793" s="30">
        <f>Inventory[[#This Row],[Adjusted Res]]+Inventory[[#This Row],[Adj Det ]]</f>
        <v>337700</v>
      </c>
      <c r="BO793" s="30">
        <f>ROUND((Inventory[[#This Row],[Mdl Land Intercept]]+Inventory[[#This Row],[Mdl LnAcres]])*Inventory[[#This Row],[Det/Nbhd Adj]],-2)</f>
        <v>61800</v>
      </c>
      <c r="BP793" s="30">
        <f>Inventory[[#This Row],[Adjusted Impr Total]]+Inventory[[#This Row],[Adjusted Land Total]]</f>
        <v>399500</v>
      </c>
      <c r="BQ793" s="30">
        <f>IFERROR((Inventory[[#This Row],[Adjusted Impr Total]]-Inventory[[#This Row],[24Bldg]])/Inventory[[#This Row],[24Bldg]],0)</f>
        <v>-7.2762218561230094E-2</v>
      </c>
      <c r="BR793" s="43">
        <f>(Inventory[[#This Row],[Adjusted Land Total]]-Inventory[[#This Row],[24Lnd]])/Inventory[[#This Row],[24Lnd]]</f>
        <v>1.6207455429497568E-3</v>
      </c>
      <c r="BS793" s="43">
        <f>(Inventory[[#This Row],[Adjusted Total]]-Inventory[[#This Row],[24Final]])/Inventory[[#This Row],[24Final]]</f>
        <v>-6.1986381779760506E-2</v>
      </c>
    </row>
    <row r="794" spans="1:71">
      <c r="A794" s="30">
        <v>2025</v>
      </c>
      <c r="B794" s="31" t="s">
        <v>1309</v>
      </c>
      <c r="C794" s="31">
        <f>LN(Inventory[[#This Row],[Acres]])</f>
        <v>-1.7719568419318752</v>
      </c>
      <c r="D794" s="30">
        <v>0.17</v>
      </c>
      <c r="E794" s="30">
        <v>7227</v>
      </c>
      <c r="F794" s="31" t="s">
        <v>505</v>
      </c>
      <c r="G794" s="31" t="s">
        <v>155</v>
      </c>
      <c r="H794" s="31" t="s">
        <v>5</v>
      </c>
      <c r="I794" s="31" t="s">
        <v>506</v>
      </c>
      <c r="J794" s="31" t="s">
        <v>507</v>
      </c>
      <c r="K794" s="31" t="s">
        <v>157</v>
      </c>
      <c r="L794" s="31" t="s">
        <v>21</v>
      </c>
      <c r="M794" s="31" t="s">
        <v>20</v>
      </c>
      <c r="N794" s="31">
        <v>10</v>
      </c>
      <c r="O794" s="31">
        <f>2024-Inventory[[#This Row],[YrBlt]]</f>
        <v>19</v>
      </c>
      <c r="P794" s="31">
        <f>2024-Inventory[[#This Row],[EffYr]]</f>
        <v>19</v>
      </c>
      <c r="Q794" s="30">
        <v>2005</v>
      </c>
      <c r="R794" s="30">
        <v>2005</v>
      </c>
      <c r="S794" s="30">
        <v>1158</v>
      </c>
      <c r="T794" s="38">
        <v>1322</v>
      </c>
      <c r="U794" s="32"/>
      <c r="V794" s="32"/>
      <c r="W794" s="32"/>
      <c r="X794" s="32">
        <f>Inventory[[#This Row],[Bsmt Area]]-Inventory[[#This Row],[FnBsmt]]</f>
        <v>0</v>
      </c>
      <c r="Y794" s="32">
        <f>Inventory[[#This Row],[MainFn]]+Inventory[[#This Row],[UpprFn]]+Inventory[[#This Row],[AddFn]]+Inventory[[#This Row],[FnBsmt]]</f>
        <v>2480</v>
      </c>
      <c r="Z794" s="32">
        <v>2500</v>
      </c>
      <c r="AA794" s="31" t="s">
        <v>56</v>
      </c>
      <c r="AB794" s="37"/>
      <c r="AC794" s="38">
        <v>300</v>
      </c>
      <c r="AD794" s="38">
        <v>502</v>
      </c>
      <c r="AE794" s="32"/>
      <c r="AF794" s="32"/>
      <c r="AG794" s="32"/>
      <c r="AH794" s="32"/>
      <c r="AI794" s="30">
        <v>514667</v>
      </c>
      <c r="AJ794" s="30">
        <v>468347</v>
      </c>
      <c r="AK794" s="30">
        <v>0</v>
      </c>
      <c r="AL794" s="30">
        <v>0</v>
      </c>
      <c r="AM794" s="30">
        <v>61700</v>
      </c>
      <c r="AN794" s="30">
        <v>364200</v>
      </c>
      <c r="AO794" s="30">
        <v>425900</v>
      </c>
      <c r="AP794" s="30">
        <f>Lookups!$B$58*0.6</f>
        <v>132535.48800000001</v>
      </c>
      <c r="AQ794" s="30">
        <f>Lookups!$B$58*0.4</f>
        <v>88356.992000000013</v>
      </c>
      <c r="AR794" s="30">
        <f>Lookups!$B$59*Inventory[[#This Row],[LnAcres]]</f>
        <v>-23255.730391660189</v>
      </c>
      <c r="AS794" s="30">
        <f>VLOOKUP(Inventory[[#This Row],[Qlty]],Lookups!$A$66:$E$79,2,FALSE)</f>
        <v>32917.849192000001</v>
      </c>
      <c r="AT794" s="30">
        <f>VLOOKUP(Inventory[[#This Row],[Cnd]],Lookups!$A$80:$E$88,2,FALSE)</f>
        <v>30300.329274</v>
      </c>
      <c r="AU794" s="30">
        <f>Inventory[[#This Row],[EffAge]]*Lookups!$B$65</f>
        <v>-2066.0808999999999</v>
      </c>
      <c r="AV794" s="30">
        <f>Inventory[[#This Row],[MainFn]]*Lookups!$B$90</f>
        <v>72271.22004</v>
      </c>
      <c r="AW794" s="30">
        <f>Inventory[[#This Row],[UpprFn]]*Lookups!$B$91</f>
        <v>78765.266325999997</v>
      </c>
      <c r="AX794" s="30">
        <f>Inventory[[#This Row],[Bsmt Area]]*Lookups!$B$95</f>
        <v>0</v>
      </c>
      <c r="AY794" s="30">
        <f>Inventory[[#This Row],[AttGar]]*Lookups!$B$93</f>
        <v>10590.309300000001</v>
      </c>
      <c r="AZ794" s="30">
        <f>ROUND(Inventory[[#This Row],[25Det]],-2)</f>
        <v>0</v>
      </c>
      <c r="BA794" s="30">
        <f>ROUND(SUM(Inventory[[#This Row],[Mdl Qlty]:[Mdl Garage Area]])+Inventory[[#This Row],[Mdl Res Intercept]],-2)</f>
        <v>355300</v>
      </c>
      <c r="BB794" s="30">
        <f>ROUND(Inventory[[#This Row],[Mdl Land Intercept]]+Inventory[[#This Row],[Mdl LnAcres]],-2)</f>
        <v>65100</v>
      </c>
      <c r="BC794" s="30">
        <f>Inventory[[#This Row],[Unadj Res Value]]+Inventory[[#This Row],[Unadj Det Value]]+Inventory[[#This Row],[Unadj Land Value]]</f>
        <v>420400</v>
      </c>
      <c r="BD794" s="30">
        <f>(Inventory[[#This Row],[Unadj Total Value]]-Inventory[[#This Row],[24Final]])/Inventory[[#This Row],[24Final]]</f>
        <v>-1.2913829537450105E-2</v>
      </c>
      <c r="BE794" s="30">
        <f>VLOOKUP(Inventory[[#This Row],[Nbhd]],Lookups!$M$3:$P$5,4,FALSE)</f>
        <v>0.99970000000000003</v>
      </c>
      <c r="BF794" s="30">
        <f>VLOOKUP(Inventory[[#This Row],[Qlty]],Lookups!$M$8:$P$22,4,FALSE)</f>
        <v>1.0019</v>
      </c>
      <c r="BG794" s="30">
        <f>VLOOKUP(Inventory[[#This Row],[Cnd]],Lookups!$R$8:$U$17,4,FALSE)</f>
        <v>0.997</v>
      </c>
      <c r="BH794" s="30">
        <f>VLOOKUP(Inventory[[#This Row],[LivArea Range]],Lookups!$R$25:$U$43,4,FALSE)</f>
        <v>1.0008999999999999</v>
      </c>
      <c r="BI794" s="30">
        <f>VLOOKUP(Inventory[[#This Row],[Decade]],Lookups!$M$24:$P$40,4,FALSE)</f>
        <v>1.0024</v>
      </c>
      <c r="BJ794" s="30">
        <f>Inventory[[#This Row],[Nbhd Adj]]*0.95</f>
        <v>0.94971499999999998</v>
      </c>
      <c r="BK794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94" s="30">
        <f>ROUND((SUM(Inventory[[#This Row],[Mdl Qlty]:[Mdl Garage Area]])+Inventory[[#This Row],[Mdl Res Intercept]])*Inventory[[#This Row],[Res Adj ]],-2)</f>
        <v>337700</v>
      </c>
      <c r="BM794" s="30">
        <f>ROUND(Inventory[[#This Row],[25Det]]*Inventory[[#This Row],[Det/Nbhd Adj]],-2)</f>
        <v>0</v>
      </c>
      <c r="BN794" s="30">
        <f>Inventory[[#This Row],[Adjusted Res]]+Inventory[[#This Row],[Adj Det ]]</f>
        <v>337700</v>
      </c>
      <c r="BO794" s="30">
        <f>ROUND((Inventory[[#This Row],[Mdl Land Intercept]]+Inventory[[#This Row],[Mdl LnAcres]])*Inventory[[#This Row],[Det/Nbhd Adj]],-2)</f>
        <v>61800</v>
      </c>
      <c r="BP794" s="30">
        <f>Inventory[[#This Row],[Adjusted Impr Total]]+Inventory[[#This Row],[Adjusted Land Total]]</f>
        <v>399500</v>
      </c>
      <c r="BQ794" s="30">
        <f>IFERROR((Inventory[[#This Row],[Adjusted Impr Total]]-Inventory[[#This Row],[24Bldg]])/Inventory[[#This Row],[24Bldg]],0)</f>
        <v>-7.2762218561230094E-2</v>
      </c>
      <c r="BR794" s="43">
        <f>(Inventory[[#This Row],[Adjusted Land Total]]-Inventory[[#This Row],[24Lnd]])/Inventory[[#This Row],[24Lnd]]</f>
        <v>1.6207455429497568E-3</v>
      </c>
      <c r="BS794" s="43">
        <f>(Inventory[[#This Row],[Adjusted Total]]-Inventory[[#This Row],[24Final]])/Inventory[[#This Row],[24Final]]</f>
        <v>-6.1986381779760506E-2</v>
      </c>
    </row>
    <row r="795" spans="1:71">
      <c r="A795" s="30">
        <v>2025</v>
      </c>
      <c r="B795" s="31" t="s">
        <v>1310</v>
      </c>
      <c r="C795" s="31">
        <f>LN(Inventory[[#This Row],[Acres]])</f>
        <v>-1.7719568419318752</v>
      </c>
      <c r="D795" s="30">
        <v>0.17</v>
      </c>
      <c r="E795" s="30">
        <v>7446</v>
      </c>
      <c r="F795" s="31" t="s">
        <v>505</v>
      </c>
      <c r="G795" s="31" t="s">
        <v>155</v>
      </c>
      <c r="H795" s="31" t="s">
        <v>5</v>
      </c>
      <c r="I795" s="31" t="s">
        <v>506</v>
      </c>
      <c r="J795" s="31" t="s">
        <v>507</v>
      </c>
      <c r="K795" s="31" t="s">
        <v>157</v>
      </c>
      <c r="L795" s="31" t="s">
        <v>21</v>
      </c>
      <c r="M795" s="31" t="s">
        <v>20</v>
      </c>
      <c r="N795" s="31">
        <v>10</v>
      </c>
      <c r="O795" s="31">
        <f>2024-Inventory[[#This Row],[YrBlt]]</f>
        <v>19</v>
      </c>
      <c r="P795" s="31">
        <f>2024-Inventory[[#This Row],[EffYr]]</f>
        <v>19</v>
      </c>
      <c r="Q795" s="30">
        <v>2005</v>
      </c>
      <c r="R795" s="30">
        <v>2005</v>
      </c>
      <c r="S795" s="30">
        <v>1158</v>
      </c>
      <c r="T795" s="38">
        <v>1322</v>
      </c>
      <c r="U795" s="32"/>
      <c r="V795" s="32"/>
      <c r="W795" s="32"/>
      <c r="X795" s="32">
        <f>Inventory[[#This Row],[Bsmt Area]]-Inventory[[#This Row],[FnBsmt]]</f>
        <v>0</v>
      </c>
      <c r="Y795" s="32">
        <f>Inventory[[#This Row],[MainFn]]+Inventory[[#This Row],[UpprFn]]+Inventory[[#This Row],[AddFn]]+Inventory[[#This Row],[FnBsmt]]</f>
        <v>2480</v>
      </c>
      <c r="Z795" s="32">
        <v>2500</v>
      </c>
      <c r="AA795" s="31" t="s">
        <v>56</v>
      </c>
      <c r="AB795" s="32"/>
      <c r="AC795" s="30">
        <v>300</v>
      </c>
      <c r="AD795" s="38">
        <v>502</v>
      </c>
      <c r="AE795" s="32"/>
      <c r="AF795" s="32"/>
      <c r="AG795" s="32"/>
      <c r="AH795" s="32"/>
      <c r="AI795" s="30">
        <v>497798</v>
      </c>
      <c r="AJ795" s="30">
        <v>452996</v>
      </c>
      <c r="AK795" s="30">
        <v>0</v>
      </c>
      <c r="AL795" s="30">
        <v>0</v>
      </c>
      <c r="AM795" s="30">
        <v>61700</v>
      </c>
      <c r="AN795" s="30">
        <v>364200</v>
      </c>
      <c r="AO795" s="30">
        <v>425900</v>
      </c>
      <c r="AP795" s="30">
        <f>Lookups!$B$58*0.6</f>
        <v>132535.48800000001</v>
      </c>
      <c r="AQ795" s="30">
        <f>Lookups!$B$58*0.4</f>
        <v>88356.992000000013</v>
      </c>
      <c r="AR795" s="30">
        <f>Lookups!$B$59*Inventory[[#This Row],[LnAcres]]</f>
        <v>-23255.730391660189</v>
      </c>
      <c r="AS795" s="30">
        <f>VLOOKUP(Inventory[[#This Row],[Qlty]],Lookups!$A$66:$E$79,2,FALSE)</f>
        <v>32917.849192000001</v>
      </c>
      <c r="AT795" s="30">
        <f>VLOOKUP(Inventory[[#This Row],[Cnd]],Lookups!$A$80:$E$88,2,FALSE)</f>
        <v>30300.329274</v>
      </c>
      <c r="AU795" s="30">
        <f>Inventory[[#This Row],[EffAge]]*Lookups!$B$65</f>
        <v>-2066.0808999999999</v>
      </c>
      <c r="AV795" s="30">
        <f>Inventory[[#This Row],[MainFn]]*Lookups!$B$90</f>
        <v>72271.22004</v>
      </c>
      <c r="AW795" s="30">
        <f>Inventory[[#This Row],[UpprFn]]*Lookups!$B$91</f>
        <v>78765.266325999997</v>
      </c>
      <c r="AX795" s="30">
        <f>Inventory[[#This Row],[Bsmt Area]]*Lookups!$B$95</f>
        <v>0</v>
      </c>
      <c r="AY795" s="30">
        <f>Inventory[[#This Row],[AttGar]]*Lookups!$B$93</f>
        <v>10590.309300000001</v>
      </c>
      <c r="AZ795" s="30">
        <f>ROUND(Inventory[[#This Row],[25Det]],-2)</f>
        <v>0</v>
      </c>
      <c r="BA795" s="30">
        <f>ROUND(SUM(Inventory[[#This Row],[Mdl Qlty]:[Mdl Garage Area]])+Inventory[[#This Row],[Mdl Res Intercept]],-2)</f>
        <v>355300</v>
      </c>
      <c r="BB795" s="30">
        <f>ROUND(Inventory[[#This Row],[Mdl Land Intercept]]+Inventory[[#This Row],[Mdl LnAcres]],-2)</f>
        <v>65100</v>
      </c>
      <c r="BC795" s="30">
        <f>Inventory[[#This Row],[Unadj Res Value]]+Inventory[[#This Row],[Unadj Det Value]]+Inventory[[#This Row],[Unadj Land Value]]</f>
        <v>420400</v>
      </c>
      <c r="BD795" s="30">
        <f>(Inventory[[#This Row],[Unadj Total Value]]-Inventory[[#This Row],[24Final]])/Inventory[[#This Row],[24Final]]</f>
        <v>-1.2913829537450105E-2</v>
      </c>
      <c r="BE795" s="30">
        <f>VLOOKUP(Inventory[[#This Row],[Nbhd]],Lookups!$M$3:$P$5,4,FALSE)</f>
        <v>0.99970000000000003</v>
      </c>
      <c r="BF795" s="30">
        <f>VLOOKUP(Inventory[[#This Row],[Qlty]],Lookups!$M$8:$P$22,4,FALSE)</f>
        <v>1.0019</v>
      </c>
      <c r="BG795" s="30">
        <f>VLOOKUP(Inventory[[#This Row],[Cnd]],Lookups!$R$8:$U$17,4,FALSE)</f>
        <v>0.997</v>
      </c>
      <c r="BH795" s="30">
        <f>VLOOKUP(Inventory[[#This Row],[LivArea Range]],Lookups!$R$25:$U$43,4,FALSE)</f>
        <v>1.0008999999999999</v>
      </c>
      <c r="BI795" s="30">
        <f>VLOOKUP(Inventory[[#This Row],[Decade]],Lookups!$M$24:$P$40,4,FALSE)</f>
        <v>1.0024</v>
      </c>
      <c r="BJ795" s="30">
        <f>Inventory[[#This Row],[Nbhd Adj]]*0.95</f>
        <v>0.94971499999999998</v>
      </c>
      <c r="BK795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95" s="30">
        <f>ROUND((SUM(Inventory[[#This Row],[Mdl Qlty]:[Mdl Garage Area]])+Inventory[[#This Row],[Mdl Res Intercept]])*Inventory[[#This Row],[Res Adj ]],-2)</f>
        <v>337700</v>
      </c>
      <c r="BM795" s="30">
        <f>ROUND(Inventory[[#This Row],[25Det]]*Inventory[[#This Row],[Det/Nbhd Adj]],-2)</f>
        <v>0</v>
      </c>
      <c r="BN795" s="30">
        <f>Inventory[[#This Row],[Adjusted Res]]+Inventory[[#This Row],[Adj Det ]]</f>
        <v>337700</v>
      </c>
      <c r="BO795" s="30">
        <f>ROUND((Inventory[[#This Row],[Mdl Land Intercept]]+Inventory[[#This Row],[Mdl LnAcres]])*Inventory[[#This Row],[Det/Nbhd Adj]],-2)</f>
        <v>61800</v>
      </c>
      <c r="BP795" s="30">
        <f>Inventory[[#This Row],[Adjusted Impr Total]]+Inventory[[#This Row],[Adjusted Land Total]]</f>
        <v>399500</v>
      </c>
      <c r="BQ795" s="30">
        <f>IFERROR((Inventory[[#This Row],[Adjusted Impr Total]]-Inventory[[#This Row],[24Bldg]])/Inventory[[#This Row],[24Bldg]],0)</f>
        <v>-7.2762218561230094E-2</v>
      </c>
      <c r="BR795" s="43">
        <f>(Inventory[[#This Row],[Adjusted Land Total]]-Inventory[[#This Row],[24Lnd]])/Inventory[[#This Row],[24Lnd]]</f>
        <v>1.6207455429497568E-3</v>
      </c>
      <c r="BS795" s="43">
        <f>(Inventory[[#This Row],[Adjusted Total]]-Inventory[[#This Row],[24Final]])/Inventory[[#This Row],[24Final]]</f>
        <v>-6.1986381779760506E-2</v>
      </c>
    </row>
    <row r="796" spans="1:71">
      <c r="A796" s="30">
        <v>2025</v>
      </c>
      <c r="B796" s="31" t="s">
        <v>1311</v>
      </c>
      <c r="C796" s="31">
        <f>LN(Inventory[[#This Row],[Acres]])</f>
        <v>-1.7719568419318752</v>
      </c>
      <c r="D796" s="30">
        <v>0.17</v>
      </c>
      <c r="E796" s="30">
        <v>7315</v>
      </c>
      <c r="F796" s="31" t="s">
        <v>505</v>
      </c>
      <c r="G796" s="31" t="s">
        <v>155</v>
      </c>
      <c r="H796" s="31" t="s">
        <v>5</v>
      </c>
      <c r="I796" s="31" t="s">
        <v>506</v>
      </c>
      <c r="J796" s="31" t="s">
        <v>507</v>
      </c>
      <c r="K796" s="31" t="s">
        <v>157</v>
      </c>
      <c r="L796" s="31" t="s">
        <v>19</v>
      </c>
      <c r="M796" s="31" t="s">
        <v>22</v>
      </c>
      <c r="N796" s="31">
        <v>10</v>
      </c>
      <c r="O796" s="31">
        <f>2024-Inventory[[#This Row],[YrBlt]]</f>
        <v>19</v>
      </c>
      <c r="P796" s="31">
        <f>2024-Inventory[[#This Row],[EffYr]]</f>
        <v>19</v>
      </c>
      <c r="Q796" s="30">
        <v>2005</v>
      </c>
      <c r="R796" s="30">
        <v>2005</v>
      </c>
      <c r="S796" s="30">
        <v>1040</v>
      </c>
      <c r="T796" s="38">
        <v>1040</v>
      </c>
      <c r="U796" s="32"/>
      <c r="V796" s="32"/>
      <c r="W796" s="32"/>
      <c r="X796" s="32">
        <f>Inventory[[#This Row],[Bsmt Area]]-Inventory[[#This Row],[FnBsmt]]</f>
        <v>0</v>
      </c>
      <c r="Y796" s="32">
        <f>Inventory[[#This Row],[MainFn]]+Inventory[[#This Row],[UpprFn]]+Inventory[[#This Row],[AddFn]]+Inventory[[#This Row],[FnBsmt]]</f>
        <v>2080</v>
      </c>
      <c r="Z796" s="32">
        <v>2500</v>
      </c>
      <c r="AA796" s="31" t="s">
        <v>56</v>
      </c>
      <c r="AB796" s="37"/>
      <c r="AC796" s="30">
        <v>440</v>
      </c>
      <c r="AD796" s="32"/>
      <c r="AE796" s="32"/>
      <c r="AF796" s="32"/>
      <c r="AG796" s="32"/>
      <c r="AH796" s="32"/>
      <c r="AI796" s="30">
        <v>380178</v>
      </c>
      <c r="AJ796" s="30">
        <v>345962</v>
      </c>
      <c r="AK796" s="30">
        <v>0</v>
      </c>
      <c r="AL796" s="30">
        <v>0</v>
      </c>
      <c r="AM796" s="30">
        <v>61700</v>
      </c>
      <c r="AN796" s="30">
        <v>368900</v>
      </c>
      <c r="AO796" s="30">
        <v>430600</v>
      </c>
      <c r="AP796" s="30">
        <f>Lookups!$B$58*0.6</f>
        <v>132535.48800000001</v>
      </c>
      <c r="AQ796" s="30">
        <f>Lookups!$B$58*0.4</f>
        <v>88356.992000000013</v>
      </c>
      <c r="AR796" s="30">
        <f>Lookups!$B$59*Inventory[[#This Row],[LnAcres]]</f>
        <v>-23255.730391660189</v>
      </c>
      <c r="AS796" s="30">
        <f>VLOOKUP(Inventory[[#This Row],[Qlty]],Lookups!$A$66:$E$79,2,FALSE)</f>
        <v>37154.252388000001</v>
      </c>
      <c r="AT796" s="30">
        <f>VLOOKUP(Inventory[[#This Row],[Cnd]],Lookups!$A$80:$E$88,2,FALSE)</f>
        <v>50438.379078999998</v>
      </c>
      <c r="AU796" s="30">
        <f>Inventory[[#This Row],[EffAge]]*Lookups!$B$65</f>
        <v>-2066.0808999999999</v>
      </c>
      <c r="AV796" s="30">
        <f>Inventory[[#This Row],[MainFn]]*Lookups!$B$90</f>
        <v>64906.7952</v>
      </c>
      <c r="AW796" s="30">
        <f>Inventory[[#This Row],[UpprFn]]*Lookups!$B$91</f>
        <v>61963.598319999997</v>
      </c>
      <c r="AX796" s="30">
        <f>Inventory[[#This Row],[Bsmt Area]]*Lookups!$B$95</f>
        <v>0</v>
      </c>
      <c r="AY796" s="30">
        <f>Inventory[[#This Row],[AttGar]]*Lookups!$B$93</f>
        <v>15532.453640000002</v>
      </c>
      <c r="AZ796" s="30">
        <f>ROUND(Inventory[[#This Row],[25Det]],-2)</f>
        <v>0</v>
      </c>
      <c r="BA796" s="30">
        <f>ROUND(SUM(Inventory[[#This Row],[Mdl Qlty]:[Mdl Garage Area]])+Inventory[[#This Row],[Mdl Res Intercept]],-2)</f>
        <v>360500</v>
      </c>
      <c r="BB796" s="30">
        <f>ROUND(Inventory[[#This Row],[Mdl Land Intercept]]+Inventory[[#This Row],[Mdl LnAcres]],-2)</f>
        <v>65100</v>
      </c>
      <c r="BC796" s="30">
        <f>Inventory[[#This Row],[Unadj Res Value]]+Inventory[[#This Row],[Unadj Det Value]]+Inventory[[#This Row],[Unadj Land Value]]</f>
        <v>425600</v>
      </c>
      <c r="BD796" s="30">
        <f>(Inventory[[#This Row],[Unadj Total Value]]-Inventory[[#This Row],[24Final]])/Inventory[[#This Row],[24Final]]</f>
        <v>-1.1611704598235021E-2</v>
      </c>
      <c r="BE796" s="30">
        <f>VLOOKUP(Inventory[[#This Row],[Nbhd]],Lookups!$M$3:$P$5,4,FALSE)</f>
        <v>0.99970000000000003</v>
      </c>
      <c r="BF796" s="30">
        <f>VLOOKUP(Inventory[[#This Row],[Qlty]],Lookups!$M$8:$P$22,4,FALSE)</f>
        <v>0.99819999999999998</v>
      </c>
      <c r="BG796" s="30">
        <f>VLOOKUP(Inventory[[#This Row],[Cnd]],Lookups!$R$8:$U$17,4,FALSE)</f>
        <v>1.0007999999999999</v>
      </c>
      <c r="BH796" s="30">
        <f>VLOOKUP(Inventory[[#This Row],[LivArea Range]],Lookups!$R$25:$U$43,4,FALSE)</f>
        <v>1.0008999999999999</v>
      </c>
      <c r="BI796" s="30">
        <f>VLOOKUP(Inventory[[#This Row],[Decade]],Lookups!$M$24:$P$40,4,FALSE)</f>
        <v>1.0024</v>
      </c>
      <c r="BJ796" s="30">
        <f>Inventory[[#This Row],[Nbhd Adj]]*0.95</f>
        <v>0.94971499999999998</v>
      </c>
      <c r="BK796" s="30">
        <f>AVERAGE(Inventory[[#This Row],[Nbhd Adj]],Inventory[[#This Row],[Quality Adj]],Inventory[[#This Row],[Condition Adj]],Inventory[[#This Row],[Living Area Adj]],Inventory[[#This Row],[Decade Adj]])*0.95</f>
        <v>0.95037999999999989</v>
      </c>
      <c r="BL796" s="30">
        <f>ROUND((SUM(Inventory[[#This Row],[Mdl Qlty]:[Mdl Garage Area]])+Inventory[[#This Row],[Mdl Res Intercept]])*Inventory[[#This Row],[Res Adj ]],-2)</f>
        <v>342600</v>
      </c>
      <c r="BM796" s="30">
        <f>ROUND(Inventory[[#This Row],[25Det]]*Inventory[[#This Row],[Det/Nbhd Adj]],-2)</f>
        <v>0</v>
      </c>
      <c r="BN796" s="30">
        <f>Inventory[[#This Row],[Adjusted Res]]+Inventory[[#This Row],[Adj Det ]]</f>
        <v>342600</v>
      </c>
      <c r="BO796" s="30">
        <f>ROUND((Inventory[[#This Row],[Mdl Land Intercept]]+Inventory[[#This Row],[Mdl LnAcres]])*Inventory[[#This Row],[Det/Nbhd Adj]],-2)</f>
        <v>61800</v>
      </c>
      <c r="BP796" s="30">
        <f>Inventory[[#This Row],[Adjusted Impr Total]]+Inventory[[#This Row],[Adjusted Land Total]]</f>
        <v>404400</v>
      </c>
      <c r="BQ796" s="30">
        <f>IFERROR((Inventory[[#This Row],[Adjusted Impr Total]]-Inventory[[#This Row],[24Bldg]])/Inventory[[#This Row],[24Bldg]],0)</f>
        <v>-7.1293033342369208E-2</v>
      </c>
      <c r="BR796" s="43">
        <f>(Inventory[[#This Row],[Adjusted Land Total]]-Inventory[[#This Row],[24Lnd]])/Inventory[[#This Row],[24Lnd]]</f>
        <v>1.6207455429497568E-3</v>
      </c>
      <c r="BS796" s="43">
        <f>(Inventory[[#This Row],[Adjusted Total]]-Inventory[[#This Row],[24Final]])/Inventory[[#This Row],[24Final]]</f>
        <v>-6.0845332094751507E-2</v>
      </c>
    </row>
    <row r="797" spans="1:71">
      <c r="A797" s="30">
        <v>2025</v>
      </c>
      <c r="B797" s="31" t="s">
        <v>1312</v>
      </c>
      <c r="C797" s="31">
        <f>LN(Inventory[[#This Row],[Acres]])</f>
        <v>-1.7719568419318752</v>
      </c>
      <c r="D797" s="30">
        <v>0.17</v>
      </c>
      <c r="E797" s="30">
        <v>7395</v>
      </c>
      <c r="F797" s="31" t="s">
        <v>505</v>
      </c>
      <c r="G797" s="31" t="s">
        <v>155</v>
      </c>
      <c r="H797" s="31" t="s">
        <v>5</v>
      </c>
      <c r="I797" s="31" t="s">
        <v>506</v>
      </c>
      <c r="J797" s="31" t="s">
        <v>507</v>
      </c>
      <c r="K797" s="31" t="s">
        <v>157</v>
      </c>
      <c r="L797" s="31" t="s">
        <v>21</v>
      </c>
      <c r="M797" s="31" t="s">
        <v>20</v>
      </c>
      <c r="N797" s="31">
        <v>10</v>
      </c>
      <c r="O797" s="31">
        <f>2024-Inventory[[#This Row],[YrBlt]]</f>
        <v>19</v>
      </c>
      <c r="P797" s="31">
        <f>2024-Inventory[[#This Row],[EffYr]]</f>
        <v>19</v>
      </c>
      <c r="Q797" s="30">
        <v>2005</v>
      </c>
      <c r="R797" s="30">
        <v>2005</v>
      </c>
      <c r="S797" s="30">
        <v>1158</v>
      </c>
      <c r="T797" s="30">
        <v>1322</v>
      </c>
      <c r="U797" s="32"/>
      <c r="V797" s="32"/>
      <c r="W797" s="32"/>
      <c r="X797" s="32">
        <f>Inventory[[#This Row],[Bsmt Area]]-Inventory[[#This Row],[FnBsmt]]</f>
        <v>0</v>
      </c>
      <c r="Y797" s="32">
        <f>Inventory[[#This Row],[MainFn]]+Inventory[[#This Row],[UpprFn]]+Inventory[[#This Row],[AddFn]]+Inventory[[#This Row],[FnBsmt]]</f>
        <v>2480</v>
      </c>
      <c r="Z797" s="32">
        <v>2500</v>
      </c>
      <c r="AA797" s="31" t="s">
        <v>56</v>
      </c>
      <c r="AB797" s="37"/>
      <c r="AC797" s="37"/>
      <c r="AD797" s="38">
        <v>502</v>
      </c>
      <c r="AE797" s="32"/>
      <c r="AF797" s="32"/>
      <c r="AG797" s="32"/>
      <c r="AH797" s="32"/>
      <c r="AI797" s="30">
        <v>477648</v>
      </c>
      <c r="AJ797" s="30">
        <v>434660</v>
      </c>
      <c r="AK797" s="30">
        <v>0</v>
      </c>
      <c r="AL797" s="30">
        <v>0</v>
      </c>
      <c r="AM797" s="30">
        <v>61700</v>
      </c>
      <c r="AN797" s="30">
        <v>351300</v>
      </c>
      <c r="AO797" s="30">
        <v>413000</v>
      </c>
      <c r="AP797" s="30">
        <f>Lookups!$B$58*0.6</f>
        <v>132535.48800000001</v>
      </c>
      <c r="AQ797" s="30">
        <f>Lookups!$B$58*0.4</f>
        <v>88356.992000000013</v>
      </c>
      <c r="AR797" s="30">
        <f>Lookups!$B$59*Inventory[[#This Row],[LnAcres]]</f>
        <v>-23255.730391660189</v>
      </c>
      <c r="AS797" s="30">
        <f>VLOOKUP(Inventory[[#This Row],[Qlty]],Lookups!$A$66:$E$79,2,FALSE)</f>
        <v>32917.849192000001</v>
      </c>
      <c r="AT797" s="30">
        <f>VLOOKUP(Inventory[[#This Row],[Cnd]],Lookups!$A$80:$E$88,2,FALSE)</f>
        <v>30300.329274</v>
      </c>
      <c r="AU797" s="30">
        <f>Inventory[[#This Row],[EffAge]]*Lookups!$B$65</f>
        <v>-2066.0808999999999</v>
      </c>
      <c r="AV797" s="30">
        <f>Inventory[[#This Row],[MainFn]]*Lookups!$B$90</f>
        <v>72271.22004</v>
      </c>
      <c r="AW797" s="30">
        <f>Inventory[[#This Row],[UpprFn]]*Lookups!$B$91</f>
        <v>78765.266325999997</v>
      </c>
      <c r="AX797" s="30">
        <f>Inventory[[#This Row],[Bsmt Area]]*Lookups!$B$95</f>
        <v>0</v>
      </c>
      <c r="AY797" s="30">
        <f>Inventory[[#This Row],[AttGar]]*Lookups!$B$93</f>
        <v>0</v>
      </c>
      <c r="AZ797" s="30">
        <f>ROUND(Inventory[[#This Row],[25Det]],-2)</f>
        <v>0</v>
      </c>
      <c r="BA797" s="30">
        <f>ROUND(SUM(Inventory[[#This Row],[Mdl Qlty]:[Mdl Garage Area]])+Inventory[[#This Row],[Mdl Res Intercept]],-2)</f>
        <v>344700</v>
      </c>
      <c r="BB797" s="30">
        <f>ROUND(Inventory[[#This Row],[Mdl Land Intercept]]+Inventory[[#This Row],[Mdl LnAcres]],-2)</f>
        <v>65100</v>
      </c>
      <c r="BC797" s="30">
        <f>Inventory[[#This Row],[Unadj Res Value]]+Inventory[[#This Row],[Unadj Det Value]]+Inventory[[#This Row],[Unadj Land Value]]</f>
        <v>409800</v>
      </c>
      <c r="BD797" s="30">
        <f>(Inventory[[#This Row],[Unadj Total Value]]-Inventory[[#This Row],[24Final]])/Inventory[[#This Row],[24Final]]</f>
        <v>-7.7481840193704601E-3</v>
      </c>
      <c r="BE797" s="30">
        <f>VLOOKUP(Inventory[[#This Row],[Nbhd]],Lookups!$M$3:$P$5,4,FALSE)</f>
        <v>0.99970000000000003</v>
      </c>
      <c r="BF797" s="30">
        <f>VLOOKUP(Inventory[[#This Row],[Qlty]],Lookups!$M$8:$P$22,4,FALSE)</f>
        <v>1.0019</v>
      </c>
      <c r="BG797" s="30">
        <f>VLOOKUP(Inventory[[#This Row],[Cnd]],Lookups!$R$8:$U$17,4,FALSE)</f>
        <v>0.997</v>
      </c>
      <c r="BH797" s="30">
        <f>VLOOKUP(Inventory[[#This Row],[LivArea Range]],Lookups!$R$25:$U$43,4,FALSE)</f>
        <v>1.0008999999999999</v>
      </c>
      <c r="BI797" s="30">
        <f>VLOOKUP(Inventory[[#This Row],[Decade]],Lookups!$M$24:$P$40,4,FALSE)</f>
        <v>1.0024</v>
      </c>
      <c r="BJ797" s="30">
        <f>Inventory[[#This Row],[Nbhd Adj]]*0.95</f>
        <v>0.94971499999999998</v>
      </c>
      <c r="BK797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97" s="30">
        <f>ROUND((SUM(Inventory[[#This Row],[Mdl Qlty]:[Mdl Garage Area]])+Inventory[[#This Row],[Mdl Res Intercept]])*Inventory[[#This Row],[Res Adj ]],-2)</f>
        <v>327600</v>
      </c>
      <c r="BM797" s="30">
        <f>ROUND(Inventory[[#This Row],[25Det]]*Inventory[[#This Row],[Det/Nbhd Adj]],-2)</f>
        <v>0</v>
      </c>
      <c r="BN797" s="30">
        <f>Inventory[[#This Row],[Adjusted Res]]+Inventory[[#This Row],[Adj Det ]]</f>
        <v>327600</v>
      </c>
      <c r="BO797" s="30">
        <f>ROUND((Inventory[[#This Row],[Mdl Land Intercept]]+Inventory[[#This Row],[Mdl LnAcres]])*Inventory[[#This Row],[Det/Nbhd Adj]],-2)</f>
        <v>61800</v>
      </c>
      <c r="BP797" s="30">
        <f>Inventory[[#This Row],[Adjusted Impr Total]]+Inventory[[#This Row],[Adjusted Land Total]]</f>
        <v>389400</v>
      </c>
      <c r="BQ797" s="30">
        <f>IFERROR((Inventory[[#This Row],[Adjusted Impr Total]]-Inventory[[#This Row],[24Bldg]])/Inventory[[#This Row],[24Bldg]],0)</f>
        <v>-6.7463706233988049E-2</v>
      </c>
      <c r="BR797" s="43">
        <f>(Inventory[[#This Row],[Adjusted Land Total]]-Inventory[[#This Row],[24Lnd]])/Inventory[[#This Row],[24Lnd]]</f>
        <v>1.6207455429497568E-3</v>
      </c>
      <c r="BS797" s="43">
        <f>(Inventory[[#This Row],[Adjusted Total]]-Inventory[[#This Row],[24Final]])/Inventory[[#This Row],[24Final]]</f>
        <v>-5.7142857142857141E-2</v>
      </c>
    </row>
    <row r="798" spans="1:71">
      <c r="A798" s="30">
        <v>2025</v>
      </c>
      <c r="B798" s="31" t="s">
        <v>1313</v>
      </c>
      <c r="C798" s="31">
        <f>LN(Inventory[[#This Row],[Acres]])</f>
        <v>-1.7719568419318752</v>
      </c>
      <c r="D798" s="30">
        <v>0.17</v>
      </c>
      <c r="E798" s="30">
        <v>7260</v>
      </c>
      <c r="F798" s="31" t="s">
        <v>505</v>
      </c>
      <c r="G798" s="31" t="s">
        <v>155</v>
      </c>
      <c r="H798" s="31" t="s">
        <v>5</v>
      </c>
      <c r="I798" s="31" t="s">
        <v>506</v>
      </c>
      <c r="J798" s="31" t="s">
        <v>507</v>
      </c>
      <c r="K798" s="31" t="s">
        <v>157</v>
      </c>
      <c r="L798" s="31" t="s">
        <v>21</v>
      </c>
      <c r="M798" s="31" t="s">
        <v>20</v>
      </c>
      <c r="N798" s="31">
        <v>10</v>
      </c>
      <c r="O798" s="31">
        <f>2024-Inventory[[#This Row],[YrBlt]]</f>
        <v>19</v>
      </c>
      <c r="P798" s="31">
        <f>2024-Inventory[[#This Row],[EffYr]]</f>
        <v>19</v>
      </c>
      <c r="Q798" s="30">
        <v>2005</v>
      </c>
      <c r="R798" s="30">
        <v>2005</v>
      </c>
      <c r="S798" s="30">
        <v>1158</v>
      </c>
      <c r="T798" s="30">
        <v>1332</v>
      </c>
      <c r="U798" s="32"/>
      <c r="V798" s="32"/>
      <c r="W798" s="32"/>
      <c r="X798" s="32">
        <f>Inventory[[#This Row],[Bsmt Area]]-Inventory[[#This Row],[FnBsmt]]</f>
        <v>0</v>
      </c>
      <c r="Y798" s="32">
        <f>Inventory[[#This Row],[MainFn]]+Inventory[[#This Row],[UpprFn]]+Inventory[[#This Row],[AddFn]]+Inventory[[#This Row],[FnBsmt]]</f>
        <v>2490</v>
      </c>
      <c r="Z798" s="32">
        <v>2500</v>
      </c>
      <c r="AA798" s="31" t="s">
        <v>56</v>
      </c>
      <c r="AB798" s="32"/>
      <c r="AC798" s="37"/>
      <c r="AD798" s="38">
        <v>502</v>
      </c>
      <c r="AE798" s="32"/>
      <c r="AF798" s="32"/>
      <c r="AG798" s="32"/>
      <c r="AH798" s="32"/>
      <c r="AI798" s="30">
        <v>477884</v>
      </c>
      <c r="AJ798" s="30">
        <v>434874</v>
      </c>
      <c r="AK798" s="30">
        <v>0</v>
      </c>
      <c r="AL798" s="30">
        <v>0</v>
      </c>
      <c r="AM798" s="30">
        <v>61700</v>
      </c>
      <c r="AN798" s="30">
        <v>351800</v>
      </c>
      <c r="AO798" s="30">
        <v>413500</v>
      </c>
      <c r="AP798" s="30">
        <f>Lookups!$B$58*0.6</f>
        <v>132535.48800000001</v>
      </c>
      <c r="AQ798" s="30">
        <f>Lookups!$B$58*0.4</f>
        <v>88356.992000000013</v>
      </c>
      <c r="AR798" s="30">
        <f>Lookups!$B$59*Inventory[[#This Row],[LnAcres]]</f>
        <v>-23255.730391660189</v>
      </c>
      <c r="AS798" s="30">
        <f>VLOOKUP(Inventory[[#This Row],[Qlty]],Lookups!$A$66:$E$79,2,FALSE)</f>
        <v>32917.849192000001</v>
      </c>
      <c r="AT798" s="30">
        <f>VLOOKUP(Inventory[[#This Row],[Cnd]],Lookups!$A$80:$E$88,2,FALSE)</f>
        <v>30300.329274</v>
      </c>
      <c r="AU798" s="30">
        <f>Inventory[[#This Row],[EffAge]]*Lookups!$B$65</f>
        <v>-2066.0808999999999</v>
      </c>
      <c r="AV798" s="30">
        <f>Inventory[[#This Row],[MainFn]]*Lookups!$B$90</f>
        <v>72271.22004</v>
      </c>
      <c r="AW798" s="30">
        <f>Inventory[[#This Row],[UpprFn]]*Lookups!$B$91</f>
        <v>79361.070156000002</v>
      </c>
      <c r="AX798" s="30">
        <f>Inventory[[#This Row],[Bsmt Area]]*Lookups!$B$95</f>
        <v>0</v>
      </c>
      <c r="AY798" s="30">
        <f>Inventory[[#This Row],[AttGar]]*Lookups!$B$93</f>
        <v>0</v>
      </c>
      <c r="AZ798" s="30">
        <f>ROUND(Inventory[[#This Row],[25Det]],-2)</f>
        <v>0</v>
      </c>
      <c r="BA798" s="30">
        <f>ROUND(SUM(Inventory[[#This Row],[Mdl Qlty]:[Mdl Garage Area]])+Inventory[[#This Row],[Mdl Res Intercept]],-2)</f>
        <v>345300</v>
      </c>
      <c r="BB798" s="30">
        <f>ROUND(Inventory[[#This Row],[Mdl Land Intercept]]+Inventory[[#This Row],[Mdl LnAcres]],-2)</f>
        <v>65100</v>
      </c>
      <c r="BC798" s="30">
        <f>Inventory[[#This Row],[Unadj Res Value]]+Inventory[[#This Row],[Unadj Det Value]]+Inventory[[#This Row],[Unadj Land Value]]</f>
        <v>410400</v>
      </c>
      <c r="BD798" s="30">
        <f>(Inventory[[#This Row],[Unadj Total Value]]-Inventory[[#This Row],[24Final]])/Inventory[[#This Row],[24Final]]</f>
        <v>-7.4969770253929865E-3</v>
      </c>
      <c r="BE798" s="30">
        <f>VLOOKUP(Inventory[[#This Row],[Nbhd]],Lookups!$M$3:$P$5,4,FALSE)</f>
        <v>0.99970000000000003</v>
      </c>
      <c r="BF798" s="30">
        <f>VLOOKUP(Inventory[[#This Row],[Qlty]],Lookups!$M$8:$P$22,4,FALSE)</f>
        <v>1.0019</v>
      </c>
      <c r="BG798" s="30">
        <f>VLOOKUP(Inventory[[#This Row],[Cnd]],Lookups!$R$8:$U$17,4,FALSE)</f>
        <v>0.997</v>
      </c>
      <c r="BH798" s="30">
        <f>VLOOKUP(Inventory[[#This Row],[LivArea Range]],Lookups!$R$25:$U$43,4,FALSE)</f>
        <v>1.0008999999999999</v>
      </c>
      <c r="BI798" s="30">
        <f>VLOOKUP(Inventory[[#This Row],[Decade]],Lookups!$M$24:$P$40,4,FALSE)</f>
        <v>1.0024</v>
      </c>
      <c r="BJ798" s="30">
        <f>Inventory[[#This Row],[Nbhd Adj]]*0.95</f>
        <v>0.94971499999999998</v>
      </c>
      <c r="BK798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798" s="30">
        <f>ROUND((SUM(Inventory[[#This Row],[Mdl Qlty]:[Mdl Garage Area]])+Inventory[[#This Row],[Mdl Res Intercept]])*Inventory[[#This Row],[Res Adj ]],-2)</f>
        <v>328200</v>
      </c>
      <c r="BM798" s="30">
        <f>ROUND(Inventory[[#This Row],[25Det]]*Inventory[[#This Row],[Det/Nbhd Adj]],-2)</f>
        <v>0</v>
      </c>
      <c r="BN798" s="30">
        <f>Inventory[[#This Row],[Adjusted Res]]+Inventory[[#This Row],[Adj Det ]]</f>
        <v>328200</v>
      </c>
      <c r="BO798" s="30">
        <f>ROUND((Inventory[[#This Row],[Mdl Land Intercept]]+Inventory[[#This Row],[Mdl LnAcres]])*Inventory[[#This Row],[Det/Nbhd Adj]],-2)</f>
        <v>61800</v>
      </c>
      <c r="BP798" s="30">
        <f>Inventory[[#This Row],[Adjusted Impr Total]]+Inventory[[#This Row],[Adjusted Land Total]]</f>
        <v>390000</v>
      </c>
      <c r="BQ798" s="30">
        <f>IFERROR((Inventory[[#This Row],[Adjusted Impr Total]]-Inventory[[#This Row],[24Bldg]])/Inventory[[#This Row],[24Bldg]],0)</f>
        <v>-6.7083570210346791E-2</v>
      </c>
      <c r="BR798" s="43">
        <f>(Inventory[[#This Row],[Adjusted Land Total]]-Inventory[[#This Row],[24Lnd]])/Inventory[[#This Row],[24Lnd]]</f>
        <v>1.6207455429497568E-3</v>
      </c>
      <c r="BS798" s="43">
        <f>(Inventory[[#This Row],[Adjusted Total]]-Inventory[[#This Row],[24Final]])/Inventory[[#This Row],[24Final]]</f>
        <v>-5.6831922611850064E-2</v>
      </c>
    </row>
    <row r="799" spans="1:71">
      <c r="A799" s="30">
        <v>2025</v>
      </c>
      <c r="B799" s="31" t="s">
        <v>1314</v>
      </c>
      <c r="C799" s="31">
        <f>LN(Inventory[[#This Row],[Acres]])</f>
        <v>-1.7719568419318752</v>
      </c>
      <c r="D799" s="30">
        <v>0.17</v>
      </c>
      <c r="E799" s="30">
        <v>7192</v>
      </c>
      <c r="F799" s="31" t="s">
        <v>505</v>
      </c>
      <c r="G799" s="31" t="s">
        <v>155</v>
      </c>
      <c r="H799" s="31" t="s">
        <v>5</v>
      </c>
      <c r="I799" s="31" t="s">
        <v>506</v>
      </c>
      <c r="J799" s="31" t="s">
        <v>507</v>
      </c>
      <c r="K799" s="31" t="s">
        <v>157</v>
      </c>
      <c r="L799" s="31" t="s">
        <v>21</v>
      </c>
      <c r="M799" s="31" t="s">
        <v>22</v>
      </c>
      <c r="N799" s="31">
        <v>10</v>
      </c>
      <c r="O799" s="31">
        <f>2024-Inventory[[#This Row],[YrBlt]]</f>
        <v>19</v>
      </c>
      <c r="P799" s="31">
        <f>2024-Inventory[[#This Row],[EffYr]]</f>
        <v>19</v>
      </c>
      <c r="Q799" s="30">
        <v>2005</v>
      </c>
      <c r="R799" s="30">
        <v>2005</v>
      </c>
      <c r="S799" s="30">
        <v>1158</v>
      </c>
      <c r="T799" s="38">
        <v>1322</v>
      </c>
      <c r="U799" s="32"/>
      <c r="V799" s="32"/>
      <c r="W799" s="32"/>
      <c r="X799" s="32">
        <f>Inventory[[#This Row],[Bsmt Area]]-Inventory[[#This Row],[FnBsmt]]</f>
        <v>0</v>
      </c>
      <c r="Y799" s="32">
        <f>Inventory[[#This Row],[MainFn]]+Inventory[[#This Row],[UpprFn]]+Inventory[[#This Row],[AddFn]]+Inventory[[#This Row],[FnBsmt]]</f>
        <v>2480</v>
      </c>
      <c r="Z799" s="32">
        <v>2500</v>
      </c>
      <c r="AA799" s="31" t="s">
        <v>56</v>
      </c>
      <c r="AB799" s="38">
        <v>1</v>
      </c>
      <c r="AC799" s="37"/>
      <c r="AD799" s="38">
        <v>502</v>
      </c>
      <c r="AE799" s="32"/>
      <c r="AF799" s="32"/>
      <c r="AG799" s="32"/>
      <c r="AH799" s="32"/>
      <c r="AI799" s="30">
        <v>506405</v>
      </c>
      <c r="AJ799" s="30">
        <v>460829</v>
      </c>
      <c r="AK799" s="30">
        <v>0</v>
      </c>
      <c r="AL799" s="30">
        <v>0</v>
      </c>
      <c r="AM799" s="30">
        <v>61700</v>
      </c>
      <c r="AN799" s="30">
        <v>366800</v>
      </c>
      <c r="AO799" s="30">
        <v>428500</v>
      </c>
      <c r="AP799" s="30">
        <f>Lookups!$B$58*0.6</f>
        <v>132535.48800000001</v>
      </c>
      <c r="AQ799" s="30">
        <f>Lookups!$B$58*0.4</f>
        <v>88356.992000000013</v>
      </c>
      <c r="AR799" s="30">
        <f>Lookups!$B$59*Inventory[[#This Row],[LnAcres]]</f>
        <v>-23255.730391660189</v>
      </c>
      <c r="AS799" s="30">
        <f>VLOOKUP(Inventory[[#This Row],[Qlty]],Lookups!$A$66:$E$79,2,FALSE)</f>
        <v>32917.849192000001</v>
      </c>
      <c r="AT799" s="30">
        <f>VLOOKUP(Inventory[[#This Row],[Cnd]],Lookups!$A$80:$E$88,2,FALSE)</f>
        <v>50438.379078999998</v>
      </c>
      <c r="AU799" s="30">
        <f>Inventory[[#This Row],[EffAge]]*Lookups!$B$65</f>
        <v>-2066.0808999999999</v>
      </c>
      <c r="AV799" s="30">
        <f>Inventory[[#This Row],[MainFn]]*Lookups!$B$90</f>
        <v>72271.22004</v>
      </c>
      <c r="AW799" s="30">
        <f>Inventory[[#This Row],[UpprFn]]*Lookups!$B$91</f>
        <v>78765.266325999997</v>
      </c>
      <c r="AX799" s="30">
        <f>Inventory[[#This Row],[Bsmt Area]]*Lookups!$B$95</f>
        <v>0</v>
      </c>
      <c r="AY799" s="30">
        <f>Inventory[[#This Row],[AttGar]]*Lookups!$B$93</f>
        <v>0</v>
      </c>
      <c r="AZ799" s="30">
        <f>ROUND(Inventory[[#This Row],[25Det]],-2)</f>
        <v>0</v>
      </c>
      <c r="BA799" s="30">
        <f>ROUND(SUM(Inventory[[#This Row],[Mdl Qlty]:[Mdl Garage Area]])+Inventory[[#This Row],[Mdl Res Intercept]],-2)</f>
        <v>364900</v>
      </c>
      <c r="BB799" s="30">
        <f>ROUND(Inventory[[#This Row],[Mdl Land Intercept]]+Inventory[[#This Row],[Mdl LnAcres]],-2)</f>
        <v>65100</v>
      </c>
      <c r="BC799" s="30">
        <f>Inventory[[#This Row],[Unadj Res Value]]+Inventory[[#This Row],[Unadj Det Value]]+Inventory[[#This Row],[Unadj Land Value]]</f>
        <v>430000</v>
      </c>
      <c r="BD799" s="30">
        <f>(Inventory[[#This Row],[Unadj Total Value]]-Inventory[[#This Row],[24Final]])/Inventory[[#This Row],[24Final]]</f>
        <v>3.5005834305717621E-3</v>
      </c>
      <c r="BE799" s="30">
        <f>VLOOKUP(Inventory[[#This Row],[Nbhd]],Lookups!$M$3:$P$5,4,FALSE)</f>
        <v>0.99970000000000003</v>
      </c>
      <c r="BF799" s="30">
        <f>VLOOKUP(Inventory[[#This Row],[Qlty]],Lookups!$M$8:$P$22,4,FALSE)</f>
        <v>1.0019</v>
      </c>
      <c r="BG799" s="30">
        <f>VLOOKUP(Inventory[[#This Row],[Cnd]],Lookups!$R$8:$U$17,4,FALSE)</f>
        <v>1.0007999999999999</v>
      </c>
      <c r="BH799" s="30">
        <f>VLOOKUP(Inventory[[#This Row],[LivArea Range]],Lookups!$R$25:$U$43,4,FALSE)</f>
        <v>1.0008999999999999</v>
      </c>
      <c r="BI799" s="30">
        <f>VLOOKUP(Inventory[[#This Row],[Decade]],Lookups!$M$24:$P$40,4,FALSE)</f>
        <v>1.0024</v>
      </c>
      <c r="BJ799" s="30">
        <f>Inventory[[#This Row],[Nbhd Adj]]*0.95</f>
        <v>0.94971499999999998</v>
      </c>
      <c r="BK799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799" s="30">
        <f>ROUND((SUM(Inventory[[#This Row],[Mdl Qlty]:[Mdl Garage Area]])+Inventory[[#This Row],[Mdl Res Intercept]])*Inventory[[#This Row],[Res Adj ]],-2)</f>
        <v>347000</v>
      </c>
      <c r="BM799" s="30">
        <f>ROUND(Inventory[[#This Row],[25Det]]*Inventory[[#This Row],[Det/Nbhd Adj]],-2)</f>
        <v>0</v>
      </c>
      <c r="BN799" s="30">
        <f>Inventory[[#This Row],[Adjusted Res]]+Inventory[[#This Row],[Adj Det ]]</f>
        <v>347000</v>
      </c>
      <c r="BO799" s="30">
        <f>ROUND((Inventory[[#This Row],[Mdl Land Intercept]]+Inventory[[#This Row],[Mdl LnAcres]])*Inventory[[#This Row],[Det/Nbhd Adj]],-2)</f>
        <v>61800</v>
      </c>
      <c r="BP799" s="30">
        <f>Inventory[[#This Row],[Adjusted Impr Total]]+Inventory[[#This Row],[Adjusted Land Total]]</f>
        <v>408800</v>
      </c>
      <c r="BQ799" s="30">
        <f>IFERROR((Inventory[[#This Row],[Adjusted Impr Total]]-Inventory[[#This Row],[24Bldg]])/Inventory[[#This Row],[24Bldg]],0)</f>
        <v>-5.3980370774263903E-2</v>
      </c>
      <c r="BR799" s="43">
        <f>(Inventory[[#This Row],[Adjusted Land Total]]-Inventory[[#This Row],[24Lnd]])/Inventory[[#This Row],[24Lnd]]</f>
        <v>1.6207455429497568E-3</v>
      </c>
      <c r="BS799" s="43">
        <f>(Inventory[[#This Row],[Adjusted Total]]-Inventory[[#This Row],[24Final]])/Inventory[[#This Row],[24Final]]</f>
        <v>-4.5974329054842472E-2</v>
      </c>
    </row>
    <row r="800" spans="1:71">
      <c r="A800" s="30">
        <v>2025</v>
      </c>
      <c r="B800" s="31" t="s">
        <v>1315</v>
      </c>
      <c r="C800" s="31">
        <f>LN(Inventory[[#This Row],[Acres]])</f>
        <v>-1.7719568419318752</v>
      </c>
      <c r="D800" s="30">
        <v>0.17</v>
      </c>
      <c r="E800" s="30">
        <v>7339</v>
      </c>
      <c r="F800" s="31" t="s">
        <v>505</v>
      </c>
      <c r="G800" s="31" t="s">
        <v>155</v>
      </c>
      <c r="H800" s="31" t="s">
        <v>5</v>
      </c>
      <c r="I800" s="31" t="s">
        <v>506</v>
      </c>
      <c r="J800" s="31" t="s">
        <v>507</v>
      </c>
      <c r="K800" s="31" t="s">
        <v>157</v>
      </c>
      <c r="L800" s="31" t="s">
        <v>21</v>
      </c>
      <c r="M800" s="31" t="s">
        <v>22</v>
      </c>
      <c r="N800" s="31">
        <v>10</v>
      </c>
      <c r="O800" s="31">
        <f>2024-Inventory[[#This Row],[YrBlt]]</f>
        <v>19</v>
      </c>
      <c r="P800" s="31">
        <f>2024-Inventory[[#This Row],[EffYr]]</f>
        <v>19</v>
      </c>
      <c r="Q800" s="30">
        <v>2005</v>
      </c>
      <c r="R800" s="30">
        <v>2005</v>
      </c>
      <c r="S800" s="30">
        <v>1158</v>
      </c>
      <c r="T800" s="30">
        <v>1322</v>
      </c>
      <c r="U800" s="32"/>
      <c r="V800" s="32"/>
      <c r="W800" s="32"/>
      <c r="X800" s="32">
        <f>Inventory[[#This Row],[Bsmt Area]]-Inventory[[#This Row],[FnBsmt]]</f>
        <v>0</v>
      </c>
      <c r="Y800" s="32">
        <f>Inventory[[#This Row],[MainFn]]+Inventory[[#This Row],[UpprFn]]+Inventory[[#This Row],[AddFn]]+Inventory[[#This Row],[FnBsmt]]</f>
        <v>2480</v>
      </c>
      <c r="Z800" s="32">
        <v>2500</v>
      </c>
      <c r="AA800" s="31" t="s">
        <v>56</v>
      </c>
      <c r="AB800" s="38">
        <v>1</v>
      </c>
      <c r="AC800" s="37"/>
      <c r="AD800" s="38">
        <v>502</v>
      </c>
      <c r="AE800" s="32"/>
      <c r="AF800" s="32"/>
      <c r="AG800" s="32"/>
      <c r="AH800" s="32"/>
      <c r="AI800" s="30">
        <v>481791</v>
      </c>
      <c r="AJ800" s="30">
        <v>438430</v>
      </c>
      <c r="AK800" s="30">
        <v>0</v>
      </c>
      <c r="AL800" s="30">
        <v>0</v>
      </c>
      <c r="AM800" s="30">
        <v>61700</v>
      </c>
      <c r="AN800" s="30">
        <v>366800</v>
      </c>
      <c r="AO800" s="30">
        <v>428500</v>
      </c>
      <c r="AP800" s="30">
        <f>Lookups!$B$58*0.6</f>
        <v>132535.48800000001</v>
      </c>
      <c r="AQ800" s="30">
        <f>Lookups!$B$58*0.4</f>
        <v>88356.992000000013</v>
      </c>
      <c r="AR800" s="30">
        <f>Lookups!$B$59*Inventory[[#This Row],[LnAcres]]</f>
        <v>-23255.730391660189</v>
      </c>
      <c r="AS800" s="30">
        <f>VLOOKUP(Inventory[[#This Row],[Qlty]],Lookups!$A$66:$E$79,2,FALSE)</f>
        <v>32917.849192000001</v>
      </c>
      <c r="AT800" s="30">
        <f>VLOOKUP(Inventory[[#This Row],[Cnd]],Lookups!$A$80:$E$88,2,FALSE)</f>
        <v>50438.379078999998</v>
      </c>
      <c r="AU800" s="30">
        <f>Inventory[[#This Row],[EffAge]]*Lookups!$B$65</f>
        <v>-2066.0808999999999</v>
      </c>
      <c r="AV800" s="30">
        <f>Inventory[[#This Row],[MainFn]]*Lookups!$B$90</f>
        <v>72271.22004</v>
      </c>
      <c r="AW800" s="30">
        <f>Inventory[[#This Row],[UpprFn]]*Lookups!$B$91</f>
        <v>78765.266325999997</v>
      </c>
      <c r="AX800" s="30">
        <f>Inventory[[#This Row],[Bsmt Area]]*Lookups!$B$95</f>
        <v>0</v>
      </c>
      <c r="AY800" s="30">
        <f>Inventory[[#This Row],[AttGar]]*Lookups!$B$93</f>
        <v>0</v>
      </c>
      <c r="AZ800" s="30">
        <f>ROUND(Inventory[[#This Row],[25Det]],-2)</f>
        <v>0</v>
      </c>
      <c r="BA800" s="30">
        <f>ROUND(SUM(Inventory[[#This Row],[Mdl Qlty]:[Mdl Garage Area]])+Inventory[[#This Row],[Mdl Res Intercept]],-2)</f>
        <v>364900</v>
      </c>
      <c r="BB800" s="30">
        <f>ROUND(Inventory[[#This Row],[Mdl Land Intercept]]+Inventory[[#This Row],[Mdl LnAcres]],-2)</f>
        <v>65100</v>
      </c>
      <c r="BC800" s="30">
        <f>Inventory[[#This Row],[Unadj Res Value]]+Inventory[[#This Row],[Unadj Det Value]]+Inventory[[#This Row],[Unadj Land Value]]</f>
        <v>430000</v>
      </c>
      <c r="BD800" s="30">
        <f>(Inventory[[#This Row],[Unadj Total Value]]-Inventory[[#This Row],[24Final]])/Inventory[[#This Row],[24Final]]</f>
        <v>3.5005834305717621E-3</v>
      </c>
      <c r="BE800" s="30">
        <f>VLOOKUP(Inventory[[#This Row],[Nbhd]],Lookups!$M$3:$P$5,4,FALSE)</f>
        <v>0.99970000000000003</v>
      </c>
      <c r="BF800" s="30">
        <f>VLOOKUP(Inventory[[#This Row],[Qlty]],Lookups!$M$8:$P$22,4,FALSE)</f>
        <v>1.0019</v>
      </c>
      <c r="BG800" s="30">
        <f>VLOOKUP(Inventory[[#This Row],[Cnd]],Lookups!$R$8:$U$17,4,FALSE)</f>
        <v>1.0007999999999999</v>
      </c>
      <c r="BH800" s="30">
        <f>VLOOKUP(Inventory[[#This Row],[LivArea Range]],Lookups!$R$25:$U$43,4,FALSE)</f>
        <v>1.0008999999999999</v>
      </c>
      <c r="BI800" s="30">
        <f>VLOOKUP(Inventory[[#This Row],[Decade]],Lookups!$M$24:$P$40,4,FALSE)</f>
        <v>1.0024</v>
      </c>
      <c r="BJ800" s="30">
        <f>Inventory[[#This Row],[Nbhd Adj]]*0.95</f>
        <v>0.94971499999999998</v>
      </c>
      <c r="BK800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800" s="30">
        <f>ROUND((SUM(Inventory[[#This Row],[Mdl Qlty]:[Mdl Garage Area]])+Inventory[[#This Row],[Mdl Res Intercept]])*Inventory[[#This Row],[Res Adj ]],-2)</f>
        <v>347000</v>
      </c>
      <c r="BM800" s="30">
        <f>ROUND(Inventory[[#This Row],[25Det]]*Inventory[[#This Row],[Det/Nbhd Adj]],-2)</f>
        <v>0</v>
      </c>
      <c r="BN800" s="30">
        <f>Inventory[[#This Row],[Adjusted Res]]+Inventory[[#This Row],[Adj Det ]]</f>
        <v>347000</v>
      </c>
      <c r="BO800" s="30">
        <f>ROUND((Inventory[[#This Row],[Mdl Land Intercept]]+Inventory[[#This Row],[Mdl LnAcres]])*Inventory[[#This Row],[Det/Nbhd Adj]],-2)</f>
        <v>61800</v>
      </c>
      <c r="BP800" s="30">
        <f>Inventory[[#This Row],[Adjusted Impr Total]]+Inventory[[#This Row],[Adjusted Land Total]]</f>
        <v>408800</v>
      </c>
      <c r="BQ800" s="30">
        <f>IFERROR((Inventory[[#This Row],[Adjusted Impr Total]]-Inventory[[#This Row],[24Bldg]])/Inventory[[#This Row],[24Bldg]],0)</f>
        <v>-5.3980370774263903E-2</v>
      </c>
      <c r="BR800" s="43">
        <f>(Inventory[[#This Row],[Adjusted Land Total]]-Inventory[[#This Row],[24Lnd]])/Inventory[[#This Row],[24Lnd]]</f>
        <v>1.6207455429497568E-3</v>
      </c>
      <c r="BS800" s="43">
        <f>(Inventory[[#This Row],[Adjusted Total]]-Inventory[[#This Row],[24Final]])/Inventory[[#This Row],[24Final]]</f>
        <v>-4.5974329054842472E-2</v>
      </c>
    </row>
    <row r="801" spans="1:71">
      <c r="A801" s="30">
        <v>2025</v>
      </c>
      <c r="B801" s="31" t="s">
        <v>1316</v>
      </c>
      <c r="C801" s="31">
        <f>LN(Inventory[[#This Row],[Acres]])</f>
        <v>-1.7719568419318752</v>
      </c>
      <c r="D801" s="30">
        <v>0.17</v>
      </c>
      <c r="E801" s="30">
        <v>7318</v>
      </c>
      <c r="F801" s="31" t="s">
        <v>505</v>
      </c>
      <c r="G801" s="31" t="s">
        <v>155</v>
      </c>
      <c r="H801" s="31" t="s">
        <v>5</v>
      </c>
      <c r="I801" s="31" t="s">
        <v>506</v>
      </c>
      <c r="J801" s="31" t="s">
        <v>507</v>
      </c>
      <c r="K801" s="31" t="s">
        <v>193</v>
      </c>
      <c r="L801" s="31" t="s">
        <v>19</v>
      </c>
      <c r="M801" s="31" t="s">
        <v>18</v>
      </c>
      <c r="N801" s="31">
        <v>10</v>
      </c>
      <c r="O801" s="31">
        <f>2024-Inventory[[#This Row],[YrBlt]]</f>
        <v>19</v>
      </c>
      <c r="P801" s="31">
        <f>2024-Inventory[[#This Row],[EffYr]]</f>
        <v>19</v>
      </c>
      <c r="Q801" s="30">
        <v>2005</v>
      </c>
      <c r="R801" s="30">
        <v>2005</v>
      </c>
      <c r="S801" s="30">
        <v>1092</v>
      </c>
      <c r="T801" s="32"/>
      <c r="U801" s="32"/>
      <c r="V801" s="32"/>
      <c r="W801" s="32"/>
      <c r="X801" s="32">
        <f>Inventory[[#This Row],[Bsmt Area]]-Inventory[[#This Row],[FnBsmt]]</f>
        <v>0</v>
      </c>
      <c r="Y801" s="32">
        <f>Inventory[[#This Row],[MainFn]]+Inventory[[#This Row],[UpprFn]]+Inventory[[#This Row],[AddFn]]+Inventory[[#This Row],[FnBsmt]]</f>
        <v>1092</v>
      </c>
      <c r="Z801" s="32">
        <v>1500</v>
      </c>
      <c r="AA801" s="31" t="s">
        <v>56</v>
      </c>
      <c r="AB801" s="37"/>
      <c r="AC801" s="30">
        <v>680</v>
      </c>
      <c r="AD801" s="32"/>
      <c r="AE801" s="32"/>
      <c r="AF801" s="32"/>
      <c r="AG801" s="32"/>
      <c r="AH801" s="32"/>
      <c r="AI801" s="30">
        <v>240560</v>
      </c>
      <c r="AJ801" s="30">
        <v>216504</v>
      </c>
      <c r="AK801" s="30">
        <v>0</v>
      </c>
      <c r="AL801" s="30">
        <v>0</v>
      </c>
      <c r="AM801" s="30">
        <v>61700</v>
      </c>
      <c r="AN801" s="30">
        <v>275600</v>
      </c>
      <c r="AO801" s="30">
        <v>337300</v>
      </c>
      <c r="AP801" s="30">
        <f>Lookups!$B$58*0.6</f>
        <v>132535.48800000001</v>
      </c>
      <c r="AQ801" s="30">
        <f>Lookups!$B$58*0.4</f>
        <v>88356.992000000013</v>
      </c>
      <c r="AR801" s="30">
        <f>Lookups!$B$59*Inventory[[#This Row],[LnAcres]]</f>
        <v>-23255.730391660189</v>
      </c>
      <c r="AS801" s="30">
        <f>VLOOKUP(Inventory[[#This Row],[Qlty]],Lookups!$A$66:$E$79,2,FALSE)</f>
        <v>37154.252388000001</v>
      </c>
      <c r="AT801" s="30">
        <f>VLOOKUP(Inventory[[#This Row],[Cnd]],Lookups!$A$80:$E$88,2,FALSE)</f>
        <v>17761.121909000001</v>
      </c>
      <c r="AU801" s="30">
        <f>Inventory[[#This Row],[EffAge]]*Lookups!$B$65</f>
        <v>-2066.0808999999999</v>
      </c>
      <c r="AV801" s="30">
        <f>Inventory[[#This Row],[MainFn]]*Lookups!$B$90</f>
        <v>68152.13496000001</v>
      </c>
      <c r="AW801" s="30">
        <f>Inventory[[#This Row],[UpprFn]]*Lookups!$B$91</f>
        <v>0</v>
      </c>
      <c r="AX801" s="30">
        <f>Inventory[[#This Row],[Bsmt Area]]*Lookups!$B$95</f>
        <v>0</v>
      </c>
      <c r="AY801" s="30">
        <f>Inventory[[#This Row],[AttGar]]*Lookups!$B$93</f>
        <v>24004.701080000003</v>
      </c>
      <c r="AZ801" s="30">
        <f>ROUND(Inventory[[#This Row],[25Det]],-2)</f>
        <v>0</v>
      </c>
      <c r="BA801" s="30">
        <f>ROUND(SUM(Inventory[[#This Row],[Mdl Qlty]:[Mdl Garage Area]])+Inventory[[#This Row],[Mdl Res Intercept]],-2)</f>
        <v>277500</v>
      </c>
      <c r="BB801" s="30">
        <f>ROUND(Inventory[[#This Row],[Mdl Land Intercept]]+Inventory[[#This Row],[Mdl LnAcres]],-2)</f>
        <v>65100</v>
      </c>
      <c r="BC801" s="30">
        <f>Inventory[[#This Row],[Unadj Res Value]]+Inventory[[#This Row],[Unadj Det Value]]+Inventory[[#This Row],[Unadj Land Value]]</f>
        <v>342600</v>
      </c>
      <c r="BD801" s="30">
        <f>(Inventory[[#This Row],[Unadj Total Value]]-Inventory[[#This Row],[24Final]])/Inventory[[#This Row],[24Final]]</f>
        <v>1.5713015120071155E-2</v>
      </c>
      <c r="BE801" s="30">
        <f>VLOOKUP(Inventory[[#This Row],[Nbhd]],Lookups!$M$3:$P$5,4,FALSE)</f>
        <v>0.99970000000000003</v>
      </c>
      <c r="BF801" s="30">
        <f>VLOOKUP(Inventory[[#This Row],[Qlty]],Lookups!$M$8:$P$22,4,FALSE)</f>
        <v>0.99819999999999998</v>
      </c>
      <c r="BG801" s="30">
        <f>VLOOKUP(Inventory[[#This Row],[Cnd]],Lookups!$R$8:$U$17,4,FALSE)</f>
        <v>0.99680000000000002</v>
      </c>
      <c r="BH801" s="30">
        <f>VLOOKUP(Inventory[[#This Row],[LivArea Range]],Lookups!$R$25:$U$43,4,FALSE)</f>
        <v>0.99519999999999997</v>
      </c>
      <c r="BI801" s="30">
        <f>VLOOKUP(Inventory[[#This Row],[Decade]],Lookups!$M$24:$P$40,4,FALSE)</f>
        <v>1.0024</v>
      </c>
      <c r="BJ801" s="30">
        <f>Inventory[[#This Row],[Nbhd Adj]]*0.95</f>
        <v>0.94971499999999998</v>
      </c>
      <c r="BK801" s="30">
        <f>AVERAGE(Inventory[[#This Row],[Nbhd Adj]],Inventory[[#This Row],[Quality Adj]],Inventory[[#This Row],[Condition Adj]],Inventory[[#This Row],[Living Area Adj]],Inventory[[#This Row],[Decade Adj]])*0.95</f>
        <v>0.94853699999999996</v>
      </c>
      <c r="BL801" s="30">
        <f>ROUND((SUM(Inventory[[#This Row],[Mdl Qlty]:[Mdl Garage Area]])+Inventory[[#This Row],[Mdl Res Intercept]])*Inventory[[#This Row],[Res Adj ]],-2)</f>
        <v>263300</v>
      </c>
      <c r="BM801" s="30">
        <f>ROUND(Inventory[[#This Row],[25Det]]*Inventory[[#This Row],[Det/Nbhd Adj]],-2)</f>
        <v>0</v>
      </c>
      <c r="BN801" s="30">
        <f>Inventory[[#This Row],[Adjusted Res]]+Inventory[[#This Row],[Adj Det ]]</f>
        <v>263300</v>
      </c>
      <c r="BO801" s="30">
        <f>ROUND((Inventory[[#This Row],[Mdl Land Intercept]]+Inventory[[#This Row],[Mdl LnAcres]])*Inventory[[#This Row],[Det/Nbhd Adj]],-2)</f>
        <v>61800</v>
      </c>
      <c r="BP801" s="30">
        <f>Inventory[[#This Row],[Adjusted Impr Total]]+Inventory[[#This Row],[Adjusted Land Total]]</f>
        <v>325100</v>
      </c>
      <c r="BQ801" s="30">
        <f>IFERROR((Inventory[[#This Row],[Adjusted Impr Total]]-Inventory[[#This Row],[24Bldg]])/Inventory[[#This Row],[24Bldg]],0)</f>
        <v>-4.462989840348331E-2</v>
      </c>
      <c r="BR801" s="43">
        <f>(Inventory[[#This Row],[Adjusted Land Total]]-Inventory[[#This Row],[24Lnd]])/Inventory[[#This Row],[24Lnd]]</f>
        <v>1.6207455429497568E-3</v>
      </c>
      <c r="BS801" s="43">
        <f>(Inventory[[#This Row],[Adjusted Total]]-Inventory[[#This Row],[24Final]])/Inventory[[#This Row],[24Final]]</f>
        <v>-3.6169581974503408E-2</v>
      </c>
    </row>
    <row r="802" spans="1:71">
      <c r="A802" s="30">
        <v>2025</v>
      </c>
      <c r="B802" s="31" t="s">
        <v>1317</v>
      </c>
      <c r="C802" s="31">
        <f>LN(Inventory[[#This Row],[Acres]])</f>
        <v>-1.7719568419318752</v>
      </c>
      <c r="D802" s="30">
        <v>0.17</v>
      </c>
      <c r="E802" s="30">
        <v>7366</v>
      </c>
      <c r="F802" s="31" t="s">
        <v>505</v>
      </c>
      <c r="G802" s="31" t="s">
        <v>155</v>
      </c>
      <c r="H802" s="31" t="s">
        <v>5</v>
      </c>
      <c r="I802" s="31" t="s">
        <v>506</v>
      </c>
      <c r="J802" s="31" t="s">
        <v>507</v>
      </c>
      <c r="K802" s="31" t="s">
        <v>193</v>
      </c>
      <c r="L802" s="31" t="s">
        <v>19</v>
      </c>
      <c r="M802" s="31" t="s">
        <v>18</v>
      </c>
      <c r="N802" s="31">
        <v>10</v>
      </c>
      <c r="O802" s="31">
        <f>2024-Inventory[[#This Row],[YrBlt]]</f>
        <v>19</v>
      </c>
      <c r="P802" s="31">
        <f>2024-Inventory[[#This Row],[EffYr]]</f>
        <v>19</v>
      </c>
      <c r="Q802" s="30">
        <v>2005</v>
      </c>
      <c r="R802" s="30">
        <v>2005</v>
      </c>
      <c r="S802" s="30">
        <v>1092</v>
      </c>
      <c r="T802" s="37"/>
      <c r="U802" s="32"/>
      <c r="V802" s="32"/>
      <c r="W802" s="32"/>
      <c r="X802" s="32">
        <f>Inventory[[#This Row],[Bsmt Area]]-Inventory[[#This Row],[FnBsmt]]</f>
        <v>0</v>
      </c>
      <c r="Y802" s="32">
        <f>Inventory[[#This Row],[MainFn]]+Inventory[[#This Row],[UpprFn]]+Inventory[[#This Row],[AddFn]]+Inventory[[#This Row],[FnBsmt]]</f>
        <v>1092</v>
      </c>
      <c r="Z802" s="32">
        <v>1500</v>
      </c>
      <c r="AA802" s="31" t="s">
        <v>56</v>
      </c>
      <c r="AB802" s="37"/>
      <c r="AC802" s="30">
        <v>440</v>
      </c>
      <c r="AD802" s="32"/>
      <c r="AE802" s="32"/>
      <c r="AF802" s="32"/>
      <c r="AG802" s="32"/>
      <c r="AH802" s="32"/>
      <c r="AI802" s="30">
        <v>232884</v>
      </c>
      <c r="AJ802" s="30">
        <v>209596</v>
      </c>
      <c r="AK802" s="30">
        <v>0</v>
      </c>
      <c r="AL802" s="30">
        <v>0</v>
      </c>
      <c r="AM802" s="30">
        <v>61700</v>
      </c>
      <c r="AN802" s="30">
        <v>265200</v>
      </c>
      <c r="AO802" s="30">
        <v>326900</v>
      </c>
      <c r="AP802" s="30">
        <f>Lookups!$B$58*0.6</f>
        <v>132535.48800000001</v>
      </c>
      <c r="AQ802" s="30">
        <f>Lookups!$B$58*0.4</f>
        <v>88356.992000000013</v>
      </c>
      <c r="AR802" s="30">
        <f>Lookups!$B$59*Inventory[[#This Row],[LnAcres]]</f>
        <v>-23255.730391660189</v>
      </c>
      <c r="AS802" s="30">
        <f>VLOOKUP(Inventory[[#This Row],[Qlty]],Lookups!$A$66:$E$79,2,FALSE)</f>
        <v>37154.252388000001</v>
      </c>
      <c r="AT802" s="30">
        <f>VLOOKUP(Inventory[[#This Row],[Cnd]],Lookups!$A$80:$E$88,2,FALSE)</f>
        <v>17761.121909000001</v>
      </c>
      <c r="AU802" s="30">
        <f>Inventory[[#This Row],[EffAge]]*Lookups!$B$65</f>
        <v>-2066.0808999999999</v>
      </c>
      <c r="AV802" s="30">
        <f>Inventory[[#This Row],[MainFn]]*Lookups!$B$90</f>
        <v>68152.13496000001</v>
      </c>
      <c r="AW802" s="30">
        <f>Inventory[[#This Row],[UpprFn]]*Lookups!$B$91</f>
        <v>0</v>
      </c>
      <c r="AX802" s="30">
        <f>Inventory[[#This Row],[Bsmt Area]]*Lookups!$B$95</f>
        <v>0</v>
      </c>
      <c r="AY802" s="30">
        <f>Inventory[[#This Row],[AttGar]]*Lookups!$B$93</f>
        <v>15532.453640000002</v>
      </c>
      <c r="AZ802" s="30">
        <f>ROUND(Inventory[[#This Row],[25Det]],-2)</f>
        <v>0</v>
      </c>
      <c r="BA802" s="30">
        <f>ROUND(SUM(Inventory[[#This Row],[Mdl Qlty]:[Mdl Garage Area]])+Inventory[[#This Row],[Mdl Res Intercept]],-2)</f>
        <v>269100</v>
      </c>
      <c r="BB802" s="30">
        <f>ROUND(Inventory[[#This Row],[Mdl Land Intercept]]+Inventory[[#This Row],[Mdl LnAcres]],-2)</f>
        <v>65100</v>
      </c>
      <c r="BC802" s="30">
        <f>Inventory[[#This Row],[Unadj Res Value]]+Inventory[[#This Row],[Unadj Det Value]]+Inventory[[#This Row],[Unadj Land Value]]</f>
        <v>334200</v>
      </c>
      <c r="BD802" s="30">
        <f>(Inventory[[#This Row],[Unadj Total Value]]-Inventory[[#This Row],[24Final]])/Inventory[[#This Row],[24Final]]</f>
        <v>2.2330988069746101E-2</v>
      </c>
      <c r="BE802" s="30">
        <f>VLOOKUP(Inventory[[#This Row],[Nbhd]],Lookups!$M$3:$P$5,4,FALSE)</f>
        <v>0.99970000000000003</v>
      </c>
      <c r="BF802" s="30">
        <f>VLOOKUP(Inventory[[#This Row],[Qlty]],Lookups!$M$8:$P$22,4,FALSE)</f>
        <v>0.99819999999999998</v>
      </c>
      <c r="BG802" s="30">
        <f>VLOOKUP(Inventory[[#This Row],[Cnd]],Lookups!$R$8:$U$17,4,FALSE)</f>
        <v>0.99680000000000002</v>
      </c>
      <c r="BH802" s="30">
        <f>VLOOKUP(Inventory[[#This Row],[LivArea Range]],Lookups!$R$25:$U$43,4,FALSE)</f>
        <v>0.99519999999999997</v>
      </c>
      <c r="BI802" s="30">
        <f>VLOOKUP(Inventory[[#This Row],[Decade]],Lookups!$M$24:$P$40,4,FALSE)</f>
        <v>1.0024</v>
      </c>
      <c r="BJ802" s="30">
        <f>Inventory[[#This Row],[Nbhd Adj]]*0.95</f>
        <v>0.94971499999999998</v>
      </c>
      <c r="BK802" s="30">
        <f>AVERAGE(Inventory[[#This Row],[Nbhd Adj]],Inventory[[#This Row],[Quality Adj]],Inventory[[#This Row],[Condition Adj]],Inventory[[#This Row],[Living Area Adj]],Inventory[[#This Row],[Decade Adj]])*0.95</f>
        <v>0.94853699999999996</v>
      </c>
      <c r="BL802" s="30">
        <f>ROUND((SUM(Inventory[[#This Row],[Mdl Qlty]:[Mdl Garage Area]])+Inventory[[#This Row],[Mdl Res Intercept]])*Inventory[[#This Row],[Res Adj ]],-2)</f>
        <v>255200</v>
      </c>
      <c r="BM802" s="30">
        <f>ROUND(Inventory[[#This Row],[25Det]]*Inventory[[#This Row],[Det/Nbhd Adj]],-2)</f>
        <v>0</v>
      </c>
      <c r="BN802" s="30">
        <f>Inventory[[#This Row],[Adjusted Res]]+Inventory[[#This Row],[Adj Det ]]</f>
        <v>255200</v>
      </c>
      <c r="BO802" s="30">
        <f>ROUND((Inventory[[#This Row],[Mdl Land Intercept]]+Inventory[[#This Row],[Mdl LnAcres]])*Inventory[[#This Row],[Det/Nbhd Adj]],-2)</f>
        <v>61800</v>
      </c>
      <c r="BP802" s="30">
        <f>Inventory[[#This Row],[Adjusted Impr Total]]+Inventory[[#This Row],[Adjusted Land Total]]</f>
        <v>317000</v>
      </c>
      <c r="BQ802" s="30">
        <f>IFERROR((Inventory[[#This Row],[Adjusted Impr Total]]-Inventory[[#This Row],[24Bldg]])/Inventory[[#This Row],[24Bldg]],0)</f>
        <v>-3.7707390648567117E-2</v>
      </c>
      <c r="BR802" s="43">
        <f>(Inventory[[#This Row],[Adjusted Land Total]]-Inventory[[#This Row],[24Lnd]])/Inventory[[#This Row],[24Lnd]]</f>
        <v>1.6207455429497568E-3</v>
      </c>
      <c r="BS802" s="43">
        <f>(Inventory[[#This Row],[Adjusted Total]]-Inventory[[#This Row],[24Final]])/Inventory[[#This Row],[24Final]]</f>
        <v>-3.0284490669929644E-2</v>
      </c>
    </row>
    <row r="803" spans="1:71">
      <c r="A803" s="30">
        <v>2025</v>
      </c>
      <c r="B803" s="31" t="s">
        <v>1318</v>
      </c>
      <c r="C803" s="31">
        <f>LN(Inventory[[#This Row],[Acres]])</f>
        <v>-1.7719568419318752</v>
      </c>
      <c r="D803" s="30">
        <v>0.17</v>
      </c>
      <c r="E803" s="30">
        <v>7310</v>
      </c>
      <c r="F803" s="31" t="s">
        <v>505</v>
      </c>
      <c r="G803" s="31" t="s">
        <v>155</v>
      </c>
      <c r="H803" s="31" t="s">
        <v>5</v>
      </c>
      <c r="I803" s="31" t="s">
        <v>506</v>
      </c>
      <c r="J803" s="31" t="s">
        <v>507</v>
      </c>
      <c r="K803" s="31" t="s">
        <v>193</v>
      </c>
      <c r="L803" s="31" t="s">
        <v>19</v>
      </c>
      <c r="M803" s="31" t="s">
        <v>20</v>
      </c>
      <c r="N803" s="31">
        <v>10</v>
      </c>
      <c r="O803" s="31">
        <f>2024-Inventory[[#This Row],[YrBlt]]</f>
        <v>19</v>
      </c>
      <c r="P803" s="31">
        <f>2024-Inventory[[#This Row],[EffYr]]</f>
        <v>19</v>
      </c>
      <c r="Q803" s="30">
        <v>2005</v>
      </c>
      <c r="R803" s="30">
        <v>2005</v>
      </c>
      <c r="S803" s="30">
        <v>1092</v>
      </c>
      <c r="T803" s="37"/>
      <c r="U803" s="32"/>
      <c r="V803" s="32"/>
      <c r="W803" s="32"/>
      <c r="X803" s="32">
        <f>Inventory[[#This Row],[Bsmt Area]]-Inventory[[#This Row],[FnBsmt]]</f>
        <v>0</v>
      </c>
      <c r="Y803" s="32">
        <f>Inventory[[#This Row],[MainFn]]+Inventory[[#This Row],[UpprFn]]+Inventory[[#This Row],[AddFn]]+Inventory[[#This Row],[FnBsmt]]</f>
        <v>1092</v>
      </c>
      <c r="Z803" s="32">
        <v>1500</v>
      </c>
      <c r="AA803" s="31" t="s">
        <v>56</v>
      </c>
      <c r="AB803" s="32"/>
      <c r="AC803" s="30">
        <v>440</v>
      </c>
      <c r="AD803" s="37"/>
      <c r="AE803" s="32"/>
      <c r="AF803" s="32"/>
      <c r="AG803" s="32"/>
      <c r="AH803" s="32"/>
      <c r="AI803" s="30">
        <v>233321</v>
      </c>
      <c r="AJ803" s="30">
        <v>212322</v>
      </c>
      <c r="AK803" s="30">
        <v>0</v>
      </c>
      <c r="AL803" s="30">
        <v>0</v>
      </c>
      <c r="AM803" s="30">
        <v>61700</v>
      </c>
      <c r="AN803" s="30">
        <v>276700</v>
      </c>
      <c r="AO803" s="30">
        <v>338400</v>
      </c>
      <c r="AP803" s="30">
        <f>Lookups!$B$58*0.6</f>
        <v>132535.48800000001</v>
      </c>
      <c r="AQ803" s="30">
        <f>Lookups!$B$58*0.4</f>
        <v>88356.992000000013</v>
      </c>
      <c r="AR803" s="30">
        <f>Lookups!$B$59*Inventory[[#This Row],[LnAcres]]</f>
        <v>-23255.730391660189</v>
      </c>
      <c r="AS803" s="30">
        <f>VLOOKUP(Inventory[[#This Row],[Qlty]],Lookups!$A$66:$E$79,2,FALSE)</f>
        <v>37154.252388000001</v>
      </c>
      <c r="AT803" s="30">
        <f>VLOOKUP(Inventory[[#This Row],[Cnd]],Lookups!$A$80:$E$88,2,FALSE)</f>
        <v>30300.329274</v>
      </c>
      <c r="AU803" s="30">
        <f>Inventory[[#This Row],[EffAge]]*Lookups!$B$65</f>
        <v>-2066.0808999999999</v>
      </c>
      <c r="AV803" s="30">
        <f>Inventory[[#This Row],[MainFn]]*Lookups!$B$90</f>
        <v>68152.13496000001</v>
      </c>
      <c r="AW803" s="30">
        <f>Inventory[[#This Row],[UpprFn]]*Lookups!$B$91</f>
        <v>0</v>
      </c>
      <c r="AX803" s="30">
        <f>Inventory[[#This Row],[Bsmt Area]]*Lookups!$B$95</f>
        <v>0</v>
      </c>
      <c r="AY803" s="30">
        <f>Inventory[[#This Row],[AttGar]]*Lookups!$B$93</f>
        <v>15532.453640000002</v>
      </c>
      <c r="AZ803" s="30">
        <f>ROUND(Inventory[[#This Row],[25Det]],-2)</f>
        <v>0</v>
      </c>
      <c r="BA803" s="30">
        <f>ROUND(SUM(Inventory[[#This Row],[Mdl Qlty]:[Mdl Garage Area]])+Inventory[[#This Row],[Mdl Res Intercept]],-2)</f>
        <v>281600</v>
      </c>
      <c r="BB803" s="30">
        <f>ROUND(Inventory[[#This Row],[Mdl Land Intercept]]+Inventory[[#This Row],[Mdl LnAcres]],-2)</f>
        <v>65100</v>
      </c>
      <c r="BC803" s="30">
        <f>Inventory[[#This Row],[Unadj Res Value]]+Inventory[[#This Row],[Unadj Det Value]]+Inventory[[#This Row],[Unadj Land Value]]</f>
        <v>346700</v>
      </c>
      <c r="BD803" s="30">
        <f>(Inventory[[#This Row],[Unadj Total Value]]-Inventory[[#This Row],[24Final]])/Inventory[[#This Row],[24Final]]</f>
        <v>2.4527186761229315E-2</v>
      </c>
      <c r="BE803" s="30">
        <f>VLOOKUP(Inventory[[#This Row],[Nbhd]],Lookups!$M$3:$P$5,4,FALSE)</f>
        <v>0.99970000000000003</v>
      </c>
      <c r="BF803" s="30">
        <f>VLOOKUP(Inventory[[#This Row],[Qlty]],Lookups!$M$8:$P$22,4,FALSE)</f>
        <v>0.99819999999999998</v>
      </c>
      <c r="BG803" s="30">
        <f>VLOOKUP(Inventory[[#This Row],[Cnd]],Lookups!$R$8:$U$17,4,FALSE)</f>
        <v>0.997</v>
      </c>
      <c r="BH803" s="30">
        <f>VLOOKUP(Inventory[[#This Row],[LivArea Range]],Lookups!$R$25:$U$43,4,FALSE)</f>
        <v>0.99519999999999997</v>
      </c>
      <c r="BI803" s="30">
        <f>VLOOKUP(Inventory[[#This Row],[Decade]],Lookups!$M$24:$P$40,4,FALSE)</f>
        <v>1.0024</v>
      </c>
      <c r="BJ803" s="30">
        <f>Inventory[[#This Row],[Nbhd Adj]]*0.95</f>
        <v>0.94971499999999998</v>
      </c>
      <c r="BK803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803" s="30">
        <f>ROUND((SUM(Inventory[[#This Row],[Mdl Qlty]:[Mdl Garage Area]])+Inventory[[#This Row],[Mdl Res Intercept]])*Inventory[[#This Row],[Res Adj ]],-2)</f>
        <v>267100</v>
      </c>
      <c r="BM803" s="30">
        <f>ROUND(Inventory[[#This Row],[25Det]]*Inventory[[#This Row],[Det/Nbhd Adj]],-2)</f>
        <v>0</v>
      </c>
      <c r="BN803" s="30">
        <f>Inventory[[#This Row],[Adjusted Res]]+Inventory[[#This Row],[Adj Det ]]</f>
        <v>267100</v>
      </c>
      <c r="BO803" s="30">
        <f>ROUND((Inventory[[#This Row],[Mdl Land Intercept]]+Inventory[[#This Row],[Mdl LnAcres]])*Inventory[[#This Row],[Det/Nbhd Adj]],-2)</f>
        <v>61800</v>
      </c>
      <c r="BP803" s="30">
        <f>Inventory[[#This Row],[Adjusted Impr Total]]+Inventory[[#This Row],[Adjusted Land Total]]</f>
        <v>328900</v>
      </c>
      <c r="BQ803" s="30">
        <f>IFERROR((Inventory[[#This Row],[Adjusted Impr Total]]-Inventory[[#This Row],[24Bldg]])/Inventory[[#This Row],[24Bldg]],0)</f>
        <v>-3.469461510661366E-2</v>
      </c>
      <c r="BR803" s="43">
        <f>(Inventory[[#This Row],[Adjusted Land Total]]-Inventory[[#This Row],[24Lnd]])/Inventory[[#This Row],[24Lnd]]</f>
        <v>1.6207455429497568E-3</v>
      </c>
      <c r="BS803" s="43">
        <f>(Inventory[[#This Row],[Adjusted Total]]-Inventory[[#This Row],[24Final]])/Inventory[[#This Row],[24Final]]</f>
        <v>-2.8073286052009455E-2</v>
      </c>
    </row>
    <row r="804" spans="1:71">
      <c r="A804" s="30">
        <v>2025</v>
      </c>
      <c r="B804" s="31" t="s">
        <v>1319</v>
      </c>
      <c r="C804" s="31">
        <f>LN(Inventory[[#This Row],[Acres]])</f>
        <v>-1.7719568419318752</v>
      </c>
      <c r="D804" s="30">
        <v>0.17</v>
      </c>
      <c r="E804" s="30">
        <v>7451</v>
      </c>
      <c r="F804" s="31" t="s">
        <v>505</v>
      </c>
      <c r="G804" s="31" t="s">
        <v>155</v>
      </c>
      <c r="H804" s="31" t="s">
        <v>5</v>
      </c>
      <c r="I804" s="31" t="s">
        <v>506</v>
      </c>
      <c r="J804" s="31" t="s">
        <v>874</v>
      </c>
      <c r="K804" s="31" t="s">
        <v>193</v>
      </c>
      <c r="L804" s="31" t="s">
        <v>19</v>
      </c>
      <c r="M804" s="31" t="s">
        <v>20</v>
      </c>
      <c r="N804" s="31">
        <v>10</v>
      </c>
      <c r="O804" s="31">
        <f>2024-Inventory[[#This Row],[YrBlt]]</f>
        <v>19</v>
      </c>
      <c r="P804" s="31">
        <f>2024-Inventory[[#This Row],[EffYr]]</f>
        <v>19</v>
      </c>
      <c r="Q804" s="30">
        <v>2005</v>
      </c>
      <c r="R804" s="30">
        <v>2005</v>
      </c>
      <c r="S804" s="30">
        <v>1092</v>
      </c>
      <c r="T804" s="32"/>
      <c r="U804" s="32"/>
      <c r="V804" s="32"/>
      <c r="W804" s="32"/>
      <c r="X804" s="32">
        <f>Inventory[[#This Row],[Bsmt Area]]-Inventory[[#This Row],[FnBsmt]]</f>
        <v>0</v>
      </c>
      <c r="Y804" s="32">
        <f>Inventory[[#This Row],[MainFn]]+Inventory[[#This Row],[UpprFn]]+Inventory[[#This Row],[AddFn]]+Inventory[[#This Row],[FnBsmt]]</f>
        <v>1092</v>
      </c>
      <c r="Z804" s="32">
        <v>1500</v>
      </c>
      <c r="AA804" s="31" t="s">
        <v>56</v>
      </c>
      <c r="AB804" s="32"/>
      <c r="AC804" s="30">
        <v>440</v>
      </c>
      <c r="AD804" s="32"/>
      <c r="AE804" s="32"/>
      <c r="AF804" s="32"/>
      <c r="AG804" s="32"/>
      <c r="AH804" s="32"/>
      <c r="AI804" s="30">
        <v>231626</v>
      </c>
      <c r="AJ804" s="30">
        <v>210780</v>
      </c>
      <c r="AK804" s="30">
        <v>0</v>
      </c>
      <c r="AL804" s="30">
        <v>0</v>
      </c>
      <c r="AM804" s="30">
        <v>61700</v>
      </c>
      <c r="AN804" s="30">
        <v>276700</v>
      </c>
      <c r="AO804" s="30">
        <v>338400</v>
      </c>
      <c r="AP804" s="30">
        <f>Lookups!$B$58*0.6</f>
        <v>132535.48800000001</v>
      </c>
      <c r="AQ804" s="30">
        <f>Lookups!$B$58*0.4</f>
        <v>88356.992000000013</v>
      </c>
      <c r="AR804" s="30">
        <f>Lookups!$B$59*Inventory[[#This Row],[LnAcres]]</f>
        <v>-23255.730391660189</v>
      </c>
      <c r="AS804" s="30">
        <f>VLOOKUP(Inventory[[#This Row],[Qlty]],Lookups!$A$66:$E$79,2,FALSE)</f>
        <v>37154.252388000001</v>
      </c>
      <c r="AT804" s="30">
        <f>VLOOKUP(Inventory[[#This Row],[Cnd]],Lookups!$A$80:$E$88,2,FALSE)</f>
        <v>30300.329274</v>
      </c>
      <c r="AU804" s="30">
        <f>Inventory[[#This Row],[EffAge]]*Lookups!$B$65</f>
        <v>-2066.0808999999999</v>
      </c>
      <c r="AV804" s="30">
        <f>Inventory[[#This Row],[MainFn]]*Lookups!$B$90</f>
        <v>68152.13496000001</v>
      </c>
      <c r="AW804" s="30">
        <f>Inventory[[#This Row],[UpprFn]]*Lookups!$B$91</f>
        <v>0</v>
      </c>
      <c r="AX804" s="30">
        <f>Inventory[[#This Row],[Bsmt Area]]*Lookups!$B$95</f>
        <v>0</v>
      </c>
      <c r="AY804" s="30">
        <f>Inventory[[#This Row],[AttGar]]*Lookups!$B$93</f>
        <v>15532.453640000002</v>
      </c>
      <c r="AZ804" s="30">
        <f>ROUND(Inventory[[#This Row],[25Det]],-2)</f>
        <v>0</v>
      </c>
      <c r="BA804" s="30">
        <f>ROUND(SUM(Inventory[[#This Row],[Mdl Qlty]:[Mdl Garage Area]])+Inventory[[#This Row],[Mdl Res Intercept]],-2)</f>
        <v>281600</v>
      </c>
      <c r="BB804" s="30">
        <f>ROUND(Inventory[[#This Row],[Mdl Land Intercept]]+Inventory[[#This Row],[Mdl LnAcres]],-2)</f>
        <v>65100</v>
      </c>
      <c r="BC804" s="30">
        <f>Inventory[[#This Row],[Unadj Res Value]]+Inventory[[#This Row],[Unadj Det Value]]+Inventory[[#This Row],[Unadj Land Value]]</f>
        <v>346700</v>
      </c>
      <c r="BD804" s="30">
        <f>(Inventory[[#This Row],[Unadj Total Value]]-Inventory[[#This Row],[24Final]])/Inventory[[#This Row],[24Final]]</f>
        <v>2.4527186761229315E-2</v>
      </c>
      <c r="BE804" s="30">
        <f>VLOOKUP(Inventory[[#This Row],[Nbhd]],Lookups!$M$3:$P$5,4,FALSE)</f>
        <v>0.99970000000000003</v>
      </c>
      <c r="BF804" s="30">
        <f>VLOOKUP(Inventory[[#This Row],[Qlty]],Lookups!$M$8:$P$22,4,FALSE)</f>
        <v>0.99819999999999998</v>
      </c>
      <c r="BG804" s="30">
        <f>VLOOKUP(Inventory[[#This Row],[Cnd]],Lookups!$R$8:$U$17,4,FALSE)</f>
        <v>0.997</v>
      </c>
      <c r="BH804" s="30">
        <f>VLOOKUP(Inventory[[#This Row],[LivArea Range]],Lookups!$R$25:$U$43,4,FALSE)</f>
        <v>0.99519999999999997</v>
      </c>
      <c r="BI804" s="30">
        <f>VLOOKUP(Inventory[[#This Row],[Decade]],Lookups!$M$24:$P$40,4,FALSE)</f>
        <v>1.0024</v>
      </c>
      <c r="BJ804" s="30">
        <f>Inventory[[#This Row],[Nbhd Adj]]*0.95</f>
        <v>0.94971499999999998</v>
      </c>
      <c r="BK804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804" s="30">
        <f>ROUND((SUM(Inventory[[#This Row],[Mdl Qlty]:[Mdl Garage Area]])+Inventory[[#This Row],[Mdl Res Intercept]])*Inventory[[#This Row],[Res Adj ]],-2)</f>
        <v>267100</v>
      </c>
      <c r="BM804" s="30">
        <f>ROUND(Inventory[[#This Row],[25Det]]*Inventory[[#This Row],[Det/Nbhd Adj]],-2)</f>
        <v>0</v>
      </c>
      <c r="BN804" s="30">
        <f>Inventory[[#This Row],[Adjusted Res]]+Inventory[[#This Row],[Adj Det ]]</f>
        <v>267100</v>
      </c>
      <c r="BO804" s="30">
        <f>ROUND((Inventory[[#This Row],[Mdl Land Intercept]]+Inventory[[#This Row],[Mdl LnAcres]])*Inventory[[#This Row],[Det/Nbhd Adj]],-2)</f>
        <v>61800</v>
      </c>
      <c r="BP804" s="30">
        <f>Inventory[[#This Row],[Adjusted Impr Total]]+Inventory[[#This Row],[Adjusted Land Total]]</f>
        <v>328900</v>
      </c>
      <c r="BQ804" s="30">
        <f>IFERROR((Inventory[[#This Row],[Adjusted Impr Total]]-Inventory[[#This Row],[24Bldg]])/Inventory[[#This Row],[24Bldg]],0)</f>
        <v>-3.469461510661366E-2</v>
      </c>
      <c r="BR804" s="43">
        <f>(Inventory[[#This Row],[Adjusted Land Total]]-Inventory[[#This Row],[24Lnd]])/Inventory[[#This Row],[24Lnd]]</f>
        <v>1.6207455429497568E-3</v>
      </c>
      <c r="BS804" s="43">
        <f>(Inventory[[#This Row],[Adjusted Total]]-Inventory[[#This Row],[24Final]])/Inventory[[#This Row],[24Final]]</f>
        <v>-2.8073286052009455E-2</v>
      </c>
    </row>
    <row r="805" spans="1:71">
      <c r="A805" s="30">
        <v>2025</v>
      </c>
      <c r="B805" s="31" t="s">
        <v>1320</v>
      </c>
      <c r="C805" s="31">
        <f>LN(Inventory[[#This Row],[Acres]])</f>
        <v>-1.7719568419318752</v>
      </c>
      <c r="D805" s="30">
        <v>0.17</v>
      </c>
      <c r="E805" s="30">
        <v>7472</v>
      </c>
      <c r="F805" s="31" t="s">
        <v>505</v>
      </c>
      <c r="G805" s="31" t="s">
        <v>155</v>
      </c>
      <c r="H805" s="31" t="s">
        <v>5</v>
      </c>
      <c r="I805" s="31" t="s">
        <v>506</v>
      </c>
      <c r="J805" s="31" t="s">
        <v>507</v>
      </c>
      <c r="K805" s="31" t="s">
        <v>193</v>
      </c>
      <c r="L805" s="31" t="s">
        <v>19</v>
      </c>
      <c r="M805" s="31" t="s">
        <v>20</v>
      </c>
      <c r="N805" s="31">
        <v>10</v>
      </c>
      <c r="O805" s="31">
        <f>2024-Inventory[[#This Row],[YrBlt]]</f>
        <v>19</v>
      </c>
      <c r="P805" s="31">
        <f>2024-Inventory[[#This Row],[EffYr]]</f>
        <v>19</v>
      </c>
      <c r="Q805" s="30">
        <v>2005</v>
      </c>
      <c r="R805" s="30">
        <v>2005</v>
      </c>
      <c r="S805" s="30">
        <v>1096</v>
      </c>
      <c r="T805" s="32"/>
      <c r="U805" s="32"/>
      <c r="V805" s="32"/>
      <c r="W805" s="32"/>
      <c r="X805" s="32">
        <f>Inventory[[#This Row],[Bsmt Area]]-Inventory[[#This Row],[FnBsmt]]</f>
        <v>0</v>
      </c>
      <c r="Y805" s="32">
        <f>Inventory[[#This Row],[MainFn]]+Inventory[[#This Row],[UpprFn]]+Inventory[[#This Row],[AddFn]]+Inventory[[#This Row],[FnBsmt]]</f>
        <v>1096</v>
      </c>
      <c r="Z805" s="32">
        <v>1500</v>
      </c>
      <c r="AA805" s="31" t="s">
        <v>56</v>
      </c>
      <c r="AB805" s="38">
        <v>1</v>
      </c>
      <c r="AC805" s="30">
        <v>460</v>
      </c>
      <c r="AD805" s="32"/>
      <c r="AE805" s="32"/>
      <c r="AF805" s="32"/>
      <c r="AG805" s="32"/>
      <c r="AH805" s="32"/>
      <c r="AI805" s="30">
        <v>235830</v>
      </c>
      <c r="AJ805" s="30">
        <v>214605</v>
      </c>
      <c r="AK805" s="30">
        <v>0</v>
      </c>
      <c r="AL805" s="30">
        <v>0</v>
      </c>
      <c r="AM805" s="30">
        <v>61700</v>
      </c>
      <c r="AN805" s="30">
        <v>277300</v>
      </c>
      <c r="AO805" s="30">
        <v>339000</v>
      </c>
      <c r="AP805" s="30">
        <f>Lookups!$B$58*0.6</f>
        <v>132535.48800000001</v>
      </c>
      <c r="AQ805" s="30">
        <f>Lookups!$B$58*0.4</f>
        <v>88356.992000000013</v>
      </c>
      <c r="AR805" s="30">
        <f>Lookups!$B$59*Inventory[[#This Row],[LnAcres]]</f>
        <v>-23255.730391660189</v>
      </c>
      <c r="AS805" s="30">
        <f>VLOOKUP(Inventory[[#This Row],[Qlty]],Lookups!$A$66:$E$79,2,FALSE)</f>
        <v>37154.252388000001</v>
      </c>
      <c r="AT805" s="30">
        <f>VLOOKUP(Inventory[[#This Row],[Cnd]],Lookups!$A$80:$E$88,2,FALSE)</f>
        <v>30300.329274</v>
      </c>
      <c r="AU805" s="30">
        <f>Inventory[[#This Row],[EffAge]]*Lookups!$B$65</f>
        <v>-2066.0808999999999</v>
      </c>
      <c r="AV805" s="30">
        <f>Inventory[[#This Row],[MainFn]]*Lookups!$B$90</f>
        <v>68401.77648</v>
      </c>
      <c r="AW805" s="30">
        <f>Inventory[[#This Row],[UpprFn]]*Lookups!$B$91</f>
        <v>0</v>
      </c>
      <c r="AX805" s="30">
        <f>Inventory[[#This Row],[Bsmt Area]]*Lookups!$B$95</f>
        <v>0</v>
      </c>
      <c r="AY805" s="30">
        <f>Inventory[[#This Row],[AttGar]]*Lookups!$B$93</f>
        <v>16238.474260000001</v>
      </c>
      <c r="AZ805" s="30">
        <f>ROUND(Inventory[[#This Row],[25Det]],-2)</f>
        <v>0</v>
      </c>
      <c r="BA805" s="30">
        <f>ROUND(SUM(Inventory[[#This Row],[Mdl Qlty]:[Mdl Garage Area]])+Inventory[[#This Row],[Mdl Res Intercept]],-2)</f>
        <v>282600</v>
      </c>
      <c r="BB805" s="30">
        <f>ROUND(Inventory[[#This Row],[Mdl Land Intercept]]+Inventory[[#This Row],[Mdl LnAcres]],-2)</f>
        <v>65100</v>
      </c>
      <c r="BC805" s="30">
        <f>Inventory[[#This Row],[Unadj Res Value]]+Inventory[[#This Row],[Unadj Det Value]]+Inventory[[#This Row],[Unadj Land Value]]</f>
        <v>347700</v>
      </c>
      <c r="BD805" s="30">
        <f>(Inventory[[#This Row],[Unadj Total Value]]-Inventory[[#This Row],[24Final]])/Inventory[[#This Row],[24Final]]</f>
        <v>2.5663716814159292E-2</v>
      </c>
      <c r="BE805" s="30">
        <f>VLOOKUP(Inventory[[#This Row],[Nbhd]],Lookups!$M$3:$P$5,4,FALSE)</f>
        <v>0.99970000000000003</v>
      </c>
      <c r="BF805" s="30">
        <f>VLOOKUP(Inventory[[#This Row],[Qlty]],Lookups!$M$8:$P$22,4,FALSE)</f>
        <v>0.99819999999999998</v>
      </c>
      <c r="BG805" s="30">
        <f>VLOOKUP(Inventory[[#This Row],[Cnd]],Lookups!$R$8:$U$17,4,FALSE)</f>
        <v>0.997</v>
      </c>
      <c r="BH805" s="30">
        <f>VLOOKUP(Inventory[[#This Row],[LivArea Range]],Lookups!$R$25:$U$43,4,FALSE)</f>
        <v>0.99519999999999997</v>
      </c>
      <c r="BI805" s="30">
        <f>VLOOKUP(Inventory[[#This Row],[Decade]],Lookups!$M$24:$P$40,4,FALSE)</f>
        <v>1.0024</v>
      </c>
      <c r="BJ805" s="30">
        <f>Inventory[[#This Row],[Nbhd Adj]]*0.95</f>
        <v>0.94971499999999998</v>
      </c>
      <c r="BK805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805" s="30">
        <f>ROUND((SUM(Inventory[[#This Row],[Mdl Qlty]:[Mdl Garage Area]])+Inventory[[#This Row],[Mdl Res Intercept]])*Inventory[[#This Row],[Res Adj ]],-2)</f>
        <v>268000</v>
      </c>
      <c r="BM805" s="30">
        <f>ROUND(Inventory[[#This Row],[25Det]]*Inventory[[#This Row],[Det/Nbhd Adj]],-2)</f>
        <v>0</v>
      </c>
      <c r="BN805" s="30">
        <f>Inventory[[#This Row],[Adjusted Res]]+Inventory[[#This Row],[Adj Det ]]</f>
        <v>268000</v>
      </c>
      <c r="BO805" s="30">
        <f>ROUND((Inventory[[#This Row],[Mdl Land Intercept]]+Inventory[[#This Row],[Mdl LnAcres]])*Inventory[[#This Row],[Det/Nbhd Adj]],-2)</f>
        <v>61800</v>
      </c>
      <c r="BP805" s="30">
        <f>Inventory[[#This Row],[Adjusted Impr Total]]+Inventory[[#This Row],[Adjusted Land Total]]</f>
        <v>329800</v>
      </c>
      <c r="BQ805" s="30">
        <f>IFERROR((Inventory[[#This Row],[Adjusted Impr Total]]-Inventory[[#This Row],[24Bldg]])/Inventory[[#This Row],[24Bldg]],0)</f>
        <v>-3.3537684817886763E-2</v>
      </c>
      <c r="BR805" s="43">
        <f>(Inventory[[#This Row],[Adjusted Land Total]]-Inventory[[#This Row],[24Lnd]])/Inventory[[#This Row],[24Lnd]]</f>
        <v>1.6207455429497568E-3</v>
      </c>
      <c r="BS805" s="43">
        <f>(Inventory[[#This Row],[Adjusted Total]]-Inventory[[#This Row],[24Final]])/Inventory[[#This Row],[24Final]]</f>
        <v>-2.7138643067846607E-2</v>
      </c>
    </row>
    <row r="806" spans="1:71">
      <c r="A806" s="30">
        <v>2025</v>
      </c>
      <c r="B806" s="31" t="s">
        <v>1321</v>
      </c>
      <c r="C806" s="31">
        <f>LN(Inventory[[#This Row],[Acres]])</f>
        <v>-1.7719568419318752</v>
      </c>
      <c r="D806" s="30">
        <v>0.17</v>
      </c>
      <c r="E806" s="30">
        <v>7328</v>
      </c>
      <c r="F806" s="31" t="s">
        <v>505</v>
      </c>
      <c r="G806" s="31" t="s">
        <v>155</v>
      </c>
      <c r="H806" s="31" t="s">
        <v>5</v>
      </c>
      <c r="I806" s="31" t="s">
        <v>506</v>
      </c>
      <c r="J806" s="31" t="s">
        <v>507</v>
      </c>
      <c r="K806" s="31" t="s">
        <v>157</v>
      </c>
      <c r="L806" s="31" t="s">
        <v>19</v>
      </c>
      <c r="M806" s="31" t="s">
        <v>20</v>
      </c>
      <c r="N806" s="31">
        <v>10</v>
      </c>
      <c r="O806" s="31">
        <f>2024-Inventory[[#This Row],[YrBlt]]</f>
        <v>19</v>
      </c>
      <c r="P806" s="31">
        <f>2024-Inventory[[#This Row],[EffYr]]</f>
        <v>19</v>
      </c>
      <c r="Q806" s="30">
        <v>2005</v>
      </c>
      <c r="R806" s="30">
        <v>2005</v>
      </c>
      <c r="S806" s="30">
        <v>1040</v>
      </c>
      <c r="T806" s="30">
        <v>1040</v>
      </c>
      <c r="U806" s="32"/>
      <c r="V806" s="32"/>
      <c r="W806" s="32"/>
      <c r="X806" s="32">
        <f>Inventory[[#This Row],[Bsmt Area]]-Inventory[[#This Row],[FnBsmt]]</f>
        <v>0</v>
      </c>
      <c r="Y806" s="32">
        <f>Inventory[[#This Row],[MainFn]]+Inventory[[#This Row],[UpprFn]]+Inventory[[#This Row],[AddFn]]+Inventory[[#This Row],[FnBsmt]]</f>
        <v>2080</v>
      </c>
      <c r="Z806" s="32">
        <v>2500</v>
      </c>
      <c r="AA806" s="31" t="s">
        <v>56</v>
      </c>
      <c r="AB806" s="38">
        <v>1</v>
      </c>
      <c r="AC806" s="30">
        <v>440</v>
      </c>
      <c r="AD806" s="32"/>
      <c r="AE806" s="32"/>
      <c r="AF806" s="32"/>
      <c r="AG806" s="32"/>
      <c r="AH806" s="32"/>
      <c r="AI806" s="30">
        <v>377212</v>
      </c>
      <c r="AJ806" s="30">
        <v>343263</v>
      </c>
      <c r="AK806" s="30">
        <v>0</v>
      </c>
      <c r="AL806" s="30">
        <v>0</v>
      </c>
      <c r="AM806" s="30">
        <v>61700</v>
      </c>
      <c r="AN806" s="30">
        <v>335600</v>
      </c>
      <c r="AO806" s="30">
        <v>397300</v>
      </c>
      <c r="AP806" s="30">
        <f>Lookups!$B$58*0.6</f>
        <v>132535.48800000001</v>
      </c>
      <c r="AQ806" s="30">
        <f>Lookups!$B$58*0.4</f>
        <v>88356.992000000013</v>
      </c>
      <c r="AR806" s="30">
        <f>Lookups!$B$59*Inventory[[#This Row],[LnAcres]]</f>
        <v>-23255.730391660189</v>
      </c>
      <c r="AS806" s="30">
        <f>VLOOKUP(Inventory[[#This Row],[Qlty]],Lookups!$A$66:$E$79,2,FALSE)</f>
        <v>37154.252388000001</v>
      </c>
      <c r="AT806" s="30">
        <f>VLOOKUP(Inventory[[#This Row],[Cnd]],Lookups!$A$80:$E$88,2,FALSE)</f>
        <v>30300.329274</v>
      </c>
      <c r="AU806" s="30">
        <f>Inventory[[#This Row],[EffAge]]*Lookups!$B$65</f>
        <v>-2066.0808999999999</v>
      </c>
      <c r="AV806" s="30">
        <f>Inventory[[#This Row],[MainFn]]*Lookups!$B$90</f>
        <v>64906.7952</v>
      </c>
      <c r="AW806" s="30">
        <f>Inventory[[#This Row],[UpprFn]]*Lookups!$B$91</f>
        <v>61963.598319999997</v>
      </c>
      <c r="AX806" s="30">
        <f>Inventory[[#This Row],[Bsmt Area]]*Lookups!$B$95</f>
        <v>0</v>
      </c>
      <c r="AY806" s="30">
        <f>Inventory[[#This Row],[AttGar]]*Lookups!$B$93</f>
        <v>15532.453640000002</v>
      </c>
      <c r="AZ806" s="30">
        <f>ROUND(Inventory[[#This Row],[25Det]],-2)</f>
        <v>0</v>
      </c>
      <c r="BA806" s="30">
        <f>ROUND(SUM(Inventory[[#This Row],[Mdl Qlty]:[Mdl Garage Area]])+Inventory[[#This Row],[Mdl Res Intercept]],-2)</f>
        <v>340300</v>
      </c>
      <c r="BB806" s="30">
        <f>ROUND(Inventory[[#This Row],[Mdl Land Intercept]]+Inventory[[#This Row],[Mdl LnAcres]],-2)</f>
        <v>65100</v>
      </c>
      <c r="BC806" s="30">
        <f>Inventory[[#This Row],[Unadj Res Value]]+Inventory[[#This Row],[Unadj Det Value]]+Inventory[[#This Row],[Unadj Land Value]]</f>
        <v>405400</v>
      </c>
      <c r="BD806" s="30">
        <f>(Inventory[[#This Row],[Unadj Total Value]]-Inventory[[#This Row],[24Final]])/Inventory[[#This Row],[24Final]]</f>
        <v>2.0387616410772715E-2</v>
      </c>
      <c r="BE806" s="30">
        <f>VLOOKUP(Inventory[[#This Row],[Nbhd]],Lookups!$M$3:$P$5,4,FALSE)</f>
        <v>0.99970000000000003</v>
      </c>
      <c r="BF806" s="30">
        <f>VLOOKUP(Inventory[[#This Row],[Qlty]],Lookups!$M$8:$P$22,4,FALSE)</f>
        <v>0.99819999999999998</v>
      </c>
      <c r="BG806" s="30">
        <f>VLOOKUP(Inventory[[#This Row],[Cnd]],Lookups!$R$8:$U$17,4,FALSE)</f>
        <v>0.997</v>
      </c>
      <c r="BH806" s="30">
        <f>VLOOKUP(Inventory[[#This Row],[LivArea Range]],Lookups!$R$25:$U$43,4,FALSE)</f>
        <v>1.0008999999999999</v>
      </c>
      <c r="BI806" s="30">
        <f>VLOOKUP(Inventory[[#This Row],[Decade]],Lookups!$M$24:$P$40,4,FALSE)</f>
        <v>1.0024</v>
      </c>
      <c r="BJ806" s="30">
        <f>Inventory[[#This Row],[Nbhd Adj]]*0.95</f>
        <v>0.94971499999999998</v>
      </c>
      <c r="BK806" s="30">
        <f>AVERAGE(Inventory[[#This Row],[Nbhd Adj]],Inventory[[#This Row],[Quality Adj]],Inventory[[#This Row],[Condition Adj]],Inventory[[#This Row],[Living Area Adj]],Inventory[[#This Row],[Decade Adj]])*0.95</f>
        <v>0.94965799999999989</v>
      </c>
      <c r="BL806" s="30">
        <f>ROUND((SUM(Inventory[[#This Row],[Mdl Qlty]:[Mdl Garage Area]])+Inventory[[#This Row],[Mdl Res Intercept]])*Inventory[[#This Row],[Res Adj ]],-2)</f>
        <v>323200</v>
      </c>
      <c r="BM806" s="30">
        <f>ROUND(Inventory[[#This Row],[25Det]]*Inventory[[#This Row],[Det/Nbhd Adj]],-2)</f>
        <v>0</v>
      </c>
      <c r="BN806" s="30">
        <f>Inventory[[#This Row],[Adjusted Res]]+Inventory[[#This Row],[Adj Det ]]</f>
        <v>323200</v>
      </c>
      <c r="BO806" s="30">
        <f>ROUND((Inventory[[#This Row],[Mdl Land Intercept]]+Inventory[[#This Row],[Mdl LnAcres]])*Inventory[[#This Row],[Det/Nbhd Adj]],-2)</f>
        <v>61800</v>
      </c>
      <c r="BP806" s="30">
        <f>Inventory[[#This Row],[Adjusted Impr Total]]+Inventory[[#This Row],[Adjusted Land Total]]</f>
        <v>385000</v>
      </c>
      <c r="BQ806" s="30">
        <f>IFERROR((Inventory[[#This Row],[Adjusted Impr Total]]-Inventory[[#This Row],[24Bldg]])/Inventory[[#This Row],[24Bldg]],0)</f>
        <v>-3.6948748510131108E-2</v>
      </c>
      <c r="BR806" s="43">
        <f>(Inventory[[#This Row],[Adjusted Land Total]]-Inventory[[#This Row],[24Lnd]])/Inventory[[#This Row],[24Lnd]]</f>
        <v>1.6207455429497568E-3</v>
      </c>
      <c r="BS806" s="43">
        <f>(Inventory[[#This Row],[Adjusted Total]]-Inventory[[#This Row],[24Final]])/Inventory[[#This Row],[24Final]]</f>
        <v>-3.0958973068210421E-2</v>
      </c>
    </row>
    <row r="807" spans="1:71">
      <c r="A807" s="30">
        <v>2025</v>
      </c>
      <c r="B807" s="31" t="s">
        <v>1322</v>
      </c>
      <c r="C807" s="31">
        <f>LN(Inventory[[#This Row],[Acres]])</f>
        <v>-1.7719568419318752</v>
      </c>
      <c r="D807" s="30">
        <v>0.17</v>
      </c>
      <c r="E807" s="30">
        <v>7197</v>
      </c>
      <c r="F807" s="31" t="s">
        <v>505</v>
      </c>
      <c r="G807" s="31" t="s">
        <v>155</v>
      </c>
      <c r="H807" s="31" t="s">
        <v>5</v>
      </c>
      <c r="I807" s="31" t="s">
        <v>506</v>
      </c>
      <c r="J807" s="31" t="s">
        <v>507</v>
      </c>
      <c r="K807" s="31" t="s">
        <v>193</v>
      </c>
      <c r="L807" s="31" t="s">
        <v>19</v>
      </c>
      <c r="M807" s="31" t="s">
        <v>20</v>
      </c>
      <c r="N807" s="31">
        <v>10</v>
      </c>
      <c r="O807" s="31">
        <f>2024-Inventory[[#This Row],[YrBlt]]</f>
        <v>19</v>
      </c>
      <c r="P807" s="31">
        <f>2024-Inventory[[#This Row],[EffYr]]</f>
        <v>19</v>
      </c>
      <c r="Q807" s="30">
        <v>2005</v>
      </c>
      <c r="R807" s="30">
        <v>2005</v>
      </c>
      <c r="S807" s="30">
        <v>1690</v>
      </c>
      <c r="T807" s="32"/>
      <c r="U807" s="32"/>
      <c r="V807" s="32"/>
      <c r="W807" s="32"/>
      <c r="X807" s="32">
        <f>Inventory[[#This Row],[Bsmt Area]]-Inventory[[#This Row],[FnBsmt]]</f>
        <v>0</v>
      </c>
      <c r="Y807" s="32">
        <f>Inventory[[#This Row],[MainFn]]+Inventory[[#This Row],[UpprFn]]+Inventory[[#This Row],[AddFn]]+Inventory[[#This Row],[FnBsmt]]</f>
        <v>1690</v>
      </c>
      <c r="Z807" s="32">
        <v>2000</v>
      </c>
      <c r="AA807" s="31" t="s">
        <v>56</v>
      </c>
      <c r="AB807" s="38">
        <v>1</v>
      </c>
      <c r="AC807" s="30">
        <v>706</v>
      </c>
      <c r="AD807" s="32"/>
      <c r="AE807" s="32"/>
      <c r="AF807" s="32"/>
      <c r="AG807" s="32"/>
      <c r="AH807" s="32"/>
      <c r="AI807" s="30">
        <v>342939</v>
      </c>
      <c r="AJ807" s="30">
        <v>312074</v>
      </c>
      <c r="AK807" s="30">
        <v>0</v>
      </c>
      <c r="AL807" s="30">
        <v>0</v>
      </c>
      <c r="AM807" s="30">
        <v>61700</v>
      </c>
      <c r="AN807" s="30">
        <v>320600</v>
      </c>
      <c r="AO807" s="30">
        <v>382300</v>
      </c>
      <c r="AP807" s="30">
        <f>Lookups!$B$58*0.6</f>
        <v>132535.48800000001</v>
      </c>
      <c r="AQ807" s="30">
        <f>Lookups!$B$58*0.4</f>
        <v>88356.992000000013</v>
      </c>
      <c r="AR807" s="30">
        <f>Lookups!$B$59*Inventory[[#This Row],[LnAcres]]</f>
        <v>-23255.730391660189</v>
      </c>
      <c r="AS807" s="30">
        <f>VLOOKUP(Inventory[[#This Row],[Qlty]],Lookups!$A$66:$E$79,2,FALSE)</f>
        <v>37154.252388000001</v>
      </c>
      <c r="AT807" s="30">
        <f>VLOOKUP(Inventory[[#This Row],[Cnd]],Lookups!$A$80:$E$88,2,FALSE)</f>
        <v>30300.329274</v>
      </c>
      <c r="AU807" s="30">
        <f>Inventory[[#This Row],[EffAge]]*Lookups!$B$65</f>
        <v>-2066.0808999999999</v>
      </c>
      <c r="AV807" s="30">
        <f>Inventory[[#This Row],[MainFn]]*Lookups!$B$90</f>
        <v>105473.54220000001</v>
      </c>
      <c r="AW807" s="30">
        <f>Inventory[[#This Row],[UpprFn]]*Lookups!$B$91</f>
        <v>0</v>
      </c>
      <c r="AX807" s="30">
        <f>Inventory[[#This Row],[Bsmt Area]]*Lookups!$B$95</f>
        <v>0</v>
      </c>
      <c r="AY807" s="30">
        <f>Inventory[[#This Row],[AttGar]]*Lookups!$B$93</f>
        <v>24922.527886</v>
      </c>
      <c r="AZ807" s="30">
        <f>ROUND(Inventory[[#This Row],[25Det]],-2)</f>
        <v>0</v>
      </c>
      <c r="BA807" s="30">
        <f>ROUND(SUM(Inventory[[#This Row],[Mdl Qlty]:[Mdl Garage Area]])+Inventory[[#This Row],[Mdl Res Intercept]],-2)</f>
        <v>328300</v>
      </c>
      <c r="BB807" s="30">
        <f>ROUND(Inventory[[#This Row],[Mdl Land Intercept]]+Inventory[[#This Row],[Mdl LnAcres]],-2)</f>
        <v>65100</v>
      </c>
      <c r="BC807" s="30">
        <f>Inventory[[#This Row],[Unadj Res Value]]+Inventory[[#This Row],[Unadj Det Value]]+Inventory[[#This Row],[Unadj Land Value]]</f>
        <v>393400</v>
      </c>
      <c r="BD807" s="30">
        <f>(Inventory[[#This Row],[Unadj Total Value]]-Inventory[[#This Row],[24Final]])/Inventory[[#This Row],[24Final]]</f>
        <v>2.9034789432382944E-2</v>
      </c>
      <c r="BE807" s="30">
        <f>VLOOKUP(Inventory[[#This Row],[Nbhd]],Lookups!$M$3:$P$5,4,FALSE)</f>
        <v>0.99970000000000003</v>
      </c>
      <c r="BF807" s="30">
        <f>VLOOKUP(Inventory[[#This Row],[Qlty]],Lookups!$M$8:$P$22,4,FALSE)</f>
        <v>0.99819999999999998</v>
      </c>
      <c r="BG807" s="30">
        <f>VLOOKUP(Inventory[[#This Row],[Cnd]],Lookups!$R$8:$U$17,4,FALSE)</f>
        <v>0.997</v>
      </c>
      <c r="BH807" s="30">
        <f>VLOOKUP(Inventory[[#This Row],[LivArea Range]],Lookups!$R$25:$U$43,4,FALSE)</f>
        <v>1.0007999999999999</v>
      </c>
      <c r="BI807" s="30">
        <f>VLOOKUP(Inventory[[#This Row],[Decade]],Lookups!$M$24:$P$40,4,FALSE)</f>
        <v>1.0024</v>
      </c>
      <c r="BJ807" s="30">
        <f>Inventory[[#This Row],[Nbhd Adj]]*0.95</f>
        <v>0.94971499999999998</v>
      </c>
      <c r="BK807" s="30">
        <f>AVERAGE(Inventory[[#This Row],[Nbhd Adj]],Inventory[[#This Row],[Quality Adj]],Inventory[[#This Row],[Condition Adj]],Inventory[[#This Row],[Living Area Adj]],Inventory[[#This Row],[Decade Adj]])*0.95</f>
        <v>0.9496389999999999</v>
      </c>
      <c r="BL807" s="30">
        <f>ROUND((SUM(Inventory[[#This Row],[Mdl Qlty]:[Mdl Garage Area]])+Inventory[[#This Row],[Mdl Res Intercept]])*Inventory[[#This Row],[Res Adj ]],-2)</f>
        <v>311800</v>
      </c>
      <c r="BM807" s="30">
        <f>ROUND(Inventory[[#This Row],[25Det]]*Inventory[[#This Row],[Det/Nbhd Adj]],-2)</f>
        <v>0</v>
      </c>
      <c r="BN807" s="30">
        <f>Inventory[[#This Row],[Adjusted Res]]+Inventory[[#This Row],[Adj Det ]]</f>
        <v>311800</v>
      </c>
      <c r="BO807" s="30">
        <f>ROUND((Inventory[[#This Row],[Mdl Land Intercept]]+Inventory[[#This Row],[Mdl LnAcres]])*Inventory[[#This Row],[Det/Nbhd Adj]],-2)</f>
        <v>61800</v>
      </c>
      <c r="BP807" s="30">
        <f>Inventory[[#This Row],[Adjusted Impr Total]]+Inventory[[#This Row],[Adjusted Land Total]]</f>
        <v>373600</v>
      </c>
      <c r="BQ807" s="30">
        <f>IFERROR((Inventory[[#This Row],[Adjusted Impr Total]]-Inventory[[#This Row],[24Bldg]])/Inventory[[#This Row],[24Bldg]],0)</f>
        <v>-2.7448533998752338E-2</v>
      </c>
      <c r="BR807" s="43">
        <f>(Inventory[[#This Row],[Adjusted Land Total]]-Inventory[[#This Row],[24Lnd]])/Inventory[[#This Row],[24Lnd]]</f>
        <v>1.6207455429497568E-3</v>
      </c>
      <c r="BS807" s="43">
        <f>(Inventory[[#This Row],[Adjusted Total]]-Inventory[[#This Row],[24Final]])/Inventory[[#This Row],[24Final]]</f>
        <v>-2.2756997122678525E-2</v>
      </c>
    </row>
    <row r="808" spans="1:71">
      <c r="A808" s="30">
        <v>2025</v>
      </c>
      <c r="B808" s="31" t="s">
        <v>1323</v>
      </c>
      <c r="C808" s="31">
        <f>LN(Inventory[[#This Row],[Acres]])</f>
        <v>-1.7719568419318752</v>
      </c>
      <c r="D808" s="30">
        <v>0.17</v>
      </c>
      <c r="E808" s="30">
        <v>7476</v>
      </c>
      <c r="F808" s="31" t="s">
        <v>505</v>
      </c>
      <c r="G808" s="31" t="s">
        <v>155</v>
      </c>
      <c r="H808" s="31" t="s">
        <v>5</v>
      </c>
      <c r="I808" s="31" t="s">
        <v>506</v>
      </c>
      <c r="J808" s="31" t="s">
        <v>507</v>
      </c>
      <c r="K808" s="31" t="s">
        <v>193</v>
      </c>
      <c r="L808" s="31" t="s">
        <v>19</v>
      </c>
      <c r="M808" s="31" t="s">
        <v>20</v>
      </c>
      <c r="N808" s="31">
        <v>10</v>
      </c>
      <c r="O808" s="31">
        <f>2024-Inventory[[#This Row],[YrBlt]]</f>
        <v>19</v>
      </c>
      <c r="P808" s="31">
        <f>2024-Inventory[[#This Row],[EffYr]]</f>
        <v>19</v>
      </c>
      <c r="Q808" s="30">
        <v>2005</v>
      </c>
      <c r="R808" s="30">
        <v>2005</v>
      </c>
      <c r="S808" s="30">
        <v>1382</v>
      </c>
      <c r="T808" s="32"/>
      <c r="U808" s="32"/>
      <c r="V808" s="32"/>
      <c r="W808" s="32"/>
      <c r="X808" s="32">
        <f>Inventory[[#This Row],[Bsmt Area]]-Inventory[[#This Row],[FnBsmt]]</f>
        <v>0</v>
      </c>
      <c r="Y808" s="32">
        <f>Inventory[[#This Row],[MainFn]]+Inventory[[#This Row],[UpprFn]]+Inventory[[#This Row],[AddFn]]+Inventory[[#This Row],[FnBsmt]]</f>
        <v>1382</v>
      </c>
      <c r="Z808" s="32">
        <v>1500</v>
      </c>
      <c r="AA808" s="31" t="s">
        <v>56</v>
      </c>
      <c r="AB808" s="37"/>
      <c r="AC808" s="30">
        <v>426</v>
      </c>
      <c r="AD808" s="32"/>
      <c r="AE808" s="32"/>
      <c r="AF808" s="32"/>
      <c r="AG808" s="32"/>
      <c r="AH808" s="32"/>
      <c r="AI808" s="30">
        <v>275769</v>
      </c>
      <c r="AJ808" s="30">
        <v>250950</v>
      </c>
      <c r="AK808" s="30">
        <v>0</v>
      </c>
      <c r="AL808" s="30">
        <v>0</v>
      </c>
      <c r="AM808" s="30">
        <v>61700</v>
      </c>
      <c r="AN808" s="30">
        <v>290300</v>
      </c>
      <c r="AO808" s="30">
        <v>352000</v>
      </c>
      <c r="AP808" s="30">
        <f>Lookups!$B$58*0.6</f>
        <v>132535.48800000001</v>
      </c>
      <c r="AQ808" s="30">
        <f>Lookups!$B$58*0.4</f>
        <v>88356.992000000013</v>
      </c>
      <c r="AR808" s="30">
        <f>Lookups!$B$59*Inventory[[#This Row],[LnAcres]]</f>
        <v>-23255.730391660189</v>
      </c>
      <c r="AS808" s="30">
        <f>VLOOKUP(Inventory[[#This Row],[Qlty]],Lookups!$A$66:$E$79,2,FALSE)</f>
        <v>37154.252388000001</v>
      </c>
      <c r="AT808" s="30">
        <f>VLOOKUP(Inventory[[#This Row],[Cnd]],Lookups!$A$80:$E$88,2,FALSE)</f>
        <v>30300.329274</v>
      </c>
      <c r="AU808" s="30">
        <f>Inventory[[#This Row],[EffAge]]*Lookups!$B$65</f>
        <v>-2066.0808999999999</v>
      </c>
      <c r="AV808" s="30">
        <f>Inventory[[#This Row],[MainFn]]*Lookups!$B$90</f>
        <v>86251.14516</v>
      </c>
      <c r="AW808" s="30">
        <f>Inventory[[#This Row],[UpprFn]]*Lookups!$B$91</f>
        <v>0</v>
      </c>
      <c r="AX808" s="30">
        <f>Inventory[[#This Row],[Bsmt Area]]*Lookups!$B$95</f>
        <v>0</v>
      </c>
      <c r="AY808" s="30">
        <f>Inventory[[#This Row],[AttGar]]*Lookups!$B$93</f>
        <v>15038.239206</v>
      </c>
      <c r="AZ808" s="30">
        <f>ROUND(Inventory[[#This Row],[25Det]],-2)</f>
        <v>0</v>
      </c>
      <c r="BA808" s="30">
        <f>ROUND(SUM(Inventory[[#This Row],[Mdl Qlty]:[Mdl Garage Area]])+Inventory[[#This Row],[Mdl Res Intercept]],-2)</f>
        <v>299200</v>
      </c>
      <c r="BB808" s="30">
        <f>ROUND(Inventory[[#This Row],[Mdl Land Intercept]]+Inventory[[#This Row],[Mdl LnAcres]],-2)</f>
        <v>65100</v>
      </c>
      <c r="BC808" s="30">
        <f>Inventory[[#This Row],[Unadj Res Value]]+Inventory[[#This Row],[Unadj Det Value]]+Inventory[[#This Row],[Unadj Land Value]]</f>
        <v>364300</v>
      </c>
      <c r="BD808" s="30">
        <f>(Inventory[[#This Row],[Unadj Total Value]]-Inventory[[#This Row],[24Final]])/Inventory[[#This Row],[24Final]]</f>
        <v>3.4943181818181818E-2</v>
      </c>
      <c r="BE808" s="30">
        <f>VLOOKUP(Inventory[[#This Row],[Nbhd]],Lookups!$M$3:$P$5,4,FALSE)</f>
        <v>0.99970000000000003</v>
      </c>
      <c r="BF808" s="30">
        <f>VLOOKUP(Inventory[[#This Row],[Qlty]],Lookups!$M$8:$P$22,4,FALSE)</f>
        <v>0.99819999999999998</v>
      </c>
      <c r="BG808" s="30">
        <f>VLOOKUP(Inventory[[#This Row],[Cnd]],Lookups!$R$8:$U$17,4,FALSE)</f>
        <v>0.997</v>
      </c>
      <c r="BH808" s="30">
        <f>VLOOKUP(Inventory[[#This Row],[LivArea Range]],Lookups!$R$25:$U$43,4,FALSE)</f>
        <v>0.99519999999999997</v>
      </c>
      <c r="BI808" s="30">
        <f>VLOOKUP(Inventory[[#This Row],[Decade]],Lookups!$M$24:$P$40,4,FALSE)</f>
        <v>1.0024</v>
      </c>
      <c r="BJ808" s="30">
        <f>Inventory[[#This Row],[Nbhd Adj]]*0.95</f>
        <v>0.94971499999999998</v>
      </c>
      <c r="BK808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808" s="30">
        <f>ROUND((SUM(Inventory[[#This Row],[Mdl Qlty]:[Mdl Garage Area]])+Inventory[[#This Row],[Mdl Res Intercept]])*Inventory[[#This Row],[Res Adj ]],-2)</f>
        <v>283800</v>
      </c>
      <c r="BM808" s="30">
        <f>ROUND(Inventory[[#This Row],[25Det]]*Inventory[[#This Row],[Det/Nbhd Adj]],-2)</f>
        <v>0</v>
      </c>
      <c r="BN808" s="30">
        <f>Inventory[[#This Row],[Adjusted Res]]+Inventory[[#This Row],[Adj Det ]]</f>
        <v>283800</v>
      </c>
      <c r="BO808" s="30">
        <f>ROUND((Inventory[[#This Row],[Mdl Land Intercept]]+Inventory[[#This Row],[Mdl LnAcres]])*Inventory[[#This Row],[Det/Nbhd Adj]],-2)</f>
        <v>61800</v>
      </c>
      <c r="BP808" s="30">
        <f>Inventory[[#This Row],[Adjusted Impr Total]]+Inventory[[#This Row],[Adjusted Land Total]]</f>
        <v>345600</v>
      </c>
      <c r="BQ808" s="30">
        <f>IFERROR((Inventory[[#This Row],[Adjusted Impr Total]]-Inventory[[#This Row],[24Bldg]])/Inventory[[#This Row],[24Bldg]],0)</f>
        <v>-2.2390630382363073E-2</v>
      </c>
      <c r="BR808" s="43">
        <f>(Inventory[[#This Row],[Adjusted Land Total]]-Inventory[[#This Row],[24Lnd]])/Inventory[[#This Row],[24Lnd]]</f>
        <v>1.6207455429497568E-3</v>
      </c>
      <c r="BS808" s="43">
        <f>(Inventory[[#This Row],[Adjusted Total]]-Inventory[[#This Row],[24Final]])/Inventory[[#This Row],[24Final]]</f>
        <v>-1.8181818181818181E-2</v>
      </c>
    </row>
    <row r="809" spans="1:71">
      <c r="A809" s="30">
        <v>2025</v>
      </c>
      <c r="B809" s="31" t="s">
        <v>1324</v>
      </c>
      <c r="C809" s="31">
        <f>LN(Inventory[[#This Row],[Acres]])</f>
        <v>-1.7719568419318752</v>
      </c>
      <c r="D809" s="30">
        <v>0.17</v>
      </c>
      <c r="E809" s="30">
        <v>7286</v>
      </c>
      <c r="F809" s="31" t="s">
        <v>505</v>
      </c>
      <c r="G809" s="31" t="s">
        <v>155</v>
      </c>
      <c r="H809" s="31" t="s">
        <v>5</v>
      </c>
      <c r="I809" s="31" t="s">
        <v>506</v>
      </c>
      <c r="J809" s="31" t="s">
        <v>507</v>
      </c>
      <c r="K809" s="31" t="s">
        <v>193</v>
      </c>
      <c r="L809" s="31" t="s">
        <v>21</v>
      </c>
      <c r="M809" s="31" t="s">
        <v>20</v>
      </c>
      <c r="N809" s="31">
        <v>10</v>
      </c>
      <c r="O809" s="31">
        <f>2024-Inventory[[#This Row],[YrBlt]]</f>
        <v>19</v>
      </c>
      <c r="P809" s="31">
        <f>2024-Inventory[[#This Row],[EffYr]]</f>
        <v>19</v>
      </c>
      <c r="Q809" s="30">
        <v>2005</v>
      </c>
      <c r="R809" s="30">
        <v>2005</v>
      </c>
      <c r="S809" s="30">
        <v>1380</v>
      </c>
      <c r="T809" s="37"/>
      <c r="U809" s="32"/>
      <c r="V809" s="32"/>
      <c r="W809" s="32"/>
      <c r="X809" s="32">
        <f>Inventory[[#This Row],[Bsmt Area]]-Inventory[[#This Row],[FnBsmt]]</f>
        <v>0</v>
      </c>
      <c r="Y809" s="32">
        <f>Inventory[[#This Row],[MainFn]]+Inventory[[#This Row],[UpprFn]]+Inventory[[#This Row],[AddFn]]+Inventory[[#This Row],[FnBsmt]]</f>
        <v>1380</v>
      </c>
      <c r="Z809" s="32">
        <v>1500</v>
      </c>
      <c r="AA809" s="31" t="s">
        <v>56</v>
      </c>
      <c r="AB809" s="37"/>
      <c r="AC809" s="30">
        <v>428</v>
      </c>
      <c r="AD809" s="37"/>
      <c r="AE809" s="32"/>
      <c r="AF809" s="32"/>
      <c r="AG809" s="32"/>
      <c r="AH809" s="32"/>
      <c r="AI809" s="30">
        <v>323207</v>
      </c>
      <c r="AJ809" s="30">
        <v>294118</v>
      </c>
      <c r="AK809" s="30">
        <v>0</v>
      </c>
      <c r="AL809" s="30">
        <v>0</v>
      </c>
      <c r="AM809" s="30">
        <v>61700</v>
      </c>
      <c r="AN809" s="30">
        <v>286000</v>
      </c>
      <c r="AO809" s="30">
        <v>347700</v>
      </c>
      <c r="AP809" s="30">
        <f>Lookups!$B$58*0.6</f>
        <v>132535.48800000001</v>
      </c>
      <c r="AQ809" s="30">
        <f>Lookups!$B$58*0.4</f>
        <v>88356.992000000013</v>
      </c>
      <c r="AR809" s="30">
        <f>Lookups!$B$59*Inventory[[#This Row],[LnAcres]]</f>
        <v>-23255.730391660189</v>
      </c>
      <c r="AS809" s="30">
        <f>VLOOKUP(Inventory[[#This Row],[Qlty]],Lookups!$A$66:$E$79,2,FALSE)</f>
        <v>32917.849192000001</v>
      </c>
      <c r="AT809" s="30">
        <f>VLOOKUP(Inventory[[#This Row],[Cnd]],Lookups!$A$80:$E$88,2,FALSE)</f>
        <v>30300.329274</v>
      </c>
      <c r="AU809" s="30">
        <f>Inventory[[#This Row],[EffAge]]*Lookups!$B$65</f>
        <v>-2066.0808999999999</v>
      </c>
      <c r="AV809" s="30">
        <f>Inventory[[#This Row],[MainFn]]*Lookups!$B$90</f>
        <v>86126.324399999998</v>
      </c>
      <c r="AW809" s="30">
        <f>Inventory[[#This Row],[UpprFn]]*Lookups!$B$91</f>
        <v>0</v>
      </c>
      <c r="AX809" s="30">
        <f>Inventory[[#This Row],[Bsmt Area]]*Lookups!$B$95</f>
        <v>0</v>
      </c>
      <c r="AY809" s="30">
        <f>Inventory[[#This Row],[AttGar]]*Lookups!$B$93</f>
        <v>15108.841268</v>
      </c>
      <c r="AZ809" s="30">
        <f>ROUND(Inventory[[#This Row],[25Det]],-2)</f>
        <v>0</v>
      </c>
      <c r="BA809" s="30">
        <f>ROUND(SUM(Inventory[[#This Row],[Mdl Qlty]:[Mdl Garage Area]])+Inventory[[#This Row],[Mdl Res Intercept]],-2)</f>
        <v>294900</v>
      </c>
      <c r="BB809" s="30">
        <f>ROUND(Inventory[[#This Row],[Mdl Land Intercept]]+Inventory[[#This Row],[Mdl LnAcres]],-2)</f>
        <v>65100</v>
      </c>
      <c r="BC809" s="30">
        <f>Inventory[[#This Row],[Unadj Res Value]]+Inventory[[#This Row],[Unadj Det Value]]+Inventory[[#This Row],[Unadj Land Value]]</f>
        <v>360000</v>
      </c>
      <c r="BD809" s="30">
        <f>(Inventory[[#This Row],[Unadj Total Value]]-Inventory[[#This Row],[24Final]])/Inventory[[#This Row],[24Final]]</f>
        <v>3.5375323554788611E-2</v>
      </c>
      <c r="BE809" s="30">
        <f>VLOOKUP(Inventory[[#This Row],[Nbhd]],Lookups!$M$3:$P$5,4,FALSE)</f>
        <v>0.99970000000000003</v>
      </c>
      <c r="BF809" s="30">
        <f>VLOOKUP(Inventory[[#This Row],[Qlty]],Lookups!$M$8:$P$22,4,FALSE)</f>
        <v>1.0019</v>
      </c>
      <c r="BG809" s="30">
        <f>VLOOKUP(Inventory[[#This Row],[Cnd]],Lookups!$R$8:$U$17,4,FALSE)</f>
        <v>0.997</v>
      </c>
      <c r="BH809" s="30">
        <f>VLOOKUP(Inventory[[#This Row],[LivArea Range]],Lookups!$R$25:$U$43,4,FALSE)</f>
        <v>0.99519999999999997</v>
      </c>
      <c r="BI809" s="30">
        <f>VLOOKUP(Inventory[[#This Row],[Decade]],Lookups!$M$24:$P$40,4,FALSE)</f>
        <v>1.0024</v>
      </c>
      <c r="BJ809" s="30">
        <f>Inventory[[#This Row],[Nbhd Adj]]*0.95</f>
        <v>0.94971499999999998</v>
      </c>
      <c r="BK809" s="30">
        <f>AVERAGE(Inventory[[#This Row],[Nbhd Adj]],Inventory[[#This Row],[Quality Adj]],Inventory[[#This Row],[Condition Adj]],Inventory[[#This Row],[Living Area Adj]],Inventory[[#This Row],[Decade Adj]])*0.95</f>
        <v>0.94927799999999996</v>
      </c>
      <c r="BL809" s="30">
        <f>ROUND((SUM(Inventory[[#This Row],[Mdl Qlty]:[Mdl Garage Area]])+Inventory[[#This Row],[Mdl Res Intercept]])*Inventory[[#This Row],[Res Adj ]],-2)</f>
        <v>280000</v>
      </c>
      <c r="BM809" s="30">
        <f>ROUND(Inventory[[#This Row],[25Det]]*Inventory[[#This Row],[Det/Nbhd Adj]],-2)</f>
        <v>0</v>
      </c>
      <c r="BN809" s="30">
        <f>Inventory[[#This Row],[Adjusted Res]]+Inventory[[#This Row],[Adj Det ]]</f>
        <v>280000</v>
      </c>
      <c r="BO809" s="30">
        <f>ROUND((Inventory[[#This Row],[Mdl Land Intercept]]+Inventory[[#This Row],[Mdl LnAcres]])*Inventory[[#This Row],[Det/Nbhd Adj]],-2)</f>
        <v>61800</v>
      </c>
      <c r="BP809" s="30">
        <f>Inventory[[#This Row],[Adjusted Impr Total]]+Inventory[[#This Row],[Adjusted Land Total]]</f>
        <v>341800</v>
      </c>
      <c r="BQ809" s="30">
        <f>IFERROR((Inventory[[#This Row],[Adjusted Impr Total]]-Inventory[[#This Row],[24Bldg]])/Inventory[[#This Row],[24Bldg]],0)</f>
        <v>-2.097902097902098E-2</v>
      </c>
      <c r="BR809" s="43">
        <f>(Inventory[[#This Row],[Adjusted Land Total]]-Inventory[[#This Row],[24Lnd]])/Inventory[[#This Row],[24Lnd]]</f>
        <v>1.6207455429497568E-3</v>
      </c>
      <c r="BS809" s="43">
        <f>(Inventory[[#This Row],[Adjusted Total]]-Inventory[[#This Row],[24Final]])/Inventory[[#This Row],[24Final]]</f>
        <v>-1.6968651136036815E-2</v>
      </c>
    </row>
    <row r="810" spans="1:71">
      <c r="A810" s="30">
        <v>2025</v>
      </c>
      <c r="B810" s="31" t="s">
        <v>1325</v>
      </c>
      <c r="C810" s="31">
        <f>LN(Inventory[[#This Row],[Acres]])</f>
        <v>-1.7719568419318752</v>
      </c>
      <c r="D810" s="30">
        <v>0.17</v>
      </c>
      <c r="E810" s="30">
        <v>7610</v>
      </c>
      <c r="F810" s="31" t="s">
        <v>505</v>
      </c>
      <c r="G810" s="31" t="s">
        <v>155</v>
      </c>
      <c r="H810" s="31" t="s">
        <v>5</v>
      </c>
      <c r="I810" s="31" t="s">
        <v>506</v>
      </c>
      <c r="J810" s="31" t="s">
        <v>507</v>
      </c>
      <c r="K810" s="31" t="s">
        <v>193</v>
      </c>
      <c r="L810" s="31" t="s">
        <v>19</v>
      </c>
      <c r="M810" s="31" t="s">
        <v>22</v>
      </c>
      <c r="N810" s="31">
        <v>10</v>
      </c>
      <c r="O810" s="31">
        <f>2024-Inventory[[#This Row],[YrBlt]]</f>
        <v>19</v>
      </c>
      <c r="P810" s="31">
        <f>2024-Inventory[[#This Row],[EffYr]]</f>
        <v>19</v>
      </c>
      <c r="Q810" s="30">
        <v>2005</v>
      </c>
      <c r="R810" s="30">
        <v>2005</v>
      </c>
      <c r="S810" s="30">
        <v>1076</v>
      </c>
      <c r="T810" s="37"/>
      <c r="U810" s="32"/>
      <c r="V810" s="32"/>
      <c r="W810" s="32"/>
      <c r="X810" s="32">
        <f>Inventory[[#This Row],[Bsmt Area]]-Inventory[[#This Row],[FnBsmt]]</f>
        <v>0</v>
      </c>
      <c r="Y810" s="32">
        <f>Inventory[[#This Row],[MainFn]]+Inventory[[#This Row],[UpprFn]]+Inventory[[#This Row],[AddFn]]+Inventory[[#This Row],[FnBsmt]]</f>
        <v>1076</v>
      </c>
      <c r="Z810" s="32">
        <v>1500</v>
      </c>
      <c r="AA810" s="31" t="s">
        <v>56</v>
      </c>
      <c r="AB810" s="37"/>
      <c r="AC810" s="38">
        <v>440</v>
      </c>
      <c r="AD810" s="37"/>
      <c r="AE810" s="32"/>
      <c r="AF810" s="32"/>
      <c r="AG810" s="32"/>
      <c r="AH810" s="32"/>
      <c r="AI810" s="30">
        <v>229055</v>
      </c>
      <c r="AJ810" s="30">
        <v>208440</v>
      </c>
      <c r="AK810" s="30">
        <v>0</v>
      </c>
      <c r="AL810" s="30">
        <v>0</v>
      </c>
      <c r="AM810" s="30">
        <v>61700</v>
      </c>
      <c r="AN810" s="30">
        <v>291500</v>
      </c>
      <c r="AO810" s="30">
        <v>353200</v>
      </c>
      <c r="AP810" s="30">
        <f>Lookups!$B$58*0.6</f>
        <v>132535.48800000001</v>
      </c>
      <c r="AQ810" s="30">
        <f>Lookups!$B$58*0.4</f>
        <v>88356.992000000013</v>
      </c>
      <c r="AR810" s="30">
        <f>Lookups!$B$59*Inventory[[#This Row],[LnAcres]]</f>
        <v>-23255.730391660189</v>
      </c>
      <c r="AS810" s="30">
        <f>VLOOKUP(Inventory[[#This Row],[Qlty]],Lookups!$A$66:$E$79,2,FALSE)</f>
        <v>37154.252388000001</v>
      </c>
      <c r="AT810" s="30">
        <f>VLOOKUP(Inventory[[#This Row],[Cnd]],Lookups!$A$80:$E$88,2,FALSE)</f>
        <v>50438.379078999998</v>
      </c>
      <c r="AU810" s="30">
        <f>Inventory[[#This Row],[EffAge]]*Lookups!$B$65</f>
        <v>-2066.0808999999999</v>
      </c>
      <c r="AV810" s="30">
        <f>Inventory[[#This Row],[MainFn]]*Lookups!$B$90</f>
        <v>67153.568880000006</v>
      </c>
      <c r="AW810" s="30">
        <f>Inventory[[#This Row],[UpprFn]]*Lookups!$B$91</f>
        <v>0</v>
      </c>
      <c r="AX810" s="30">
        <f>Inventory[[#This Row],[Bsmt Area]]*Lookups!$B$95</f>
        <v>0</v>
      </c>
      <c r="AY810" s="30">
        <f>Inventory[[#This Row],[AttGar]]*Lookups!$B$93</f>
        <v>15532.453640000002</v>
      </c>
      <c r="AZ810" s="30">
        <f>ROUND(Inventory[[#This Row],[25Det]],-2)</f>
        <v>0</v>
      </c>
      <c r="BA810" s="30">
        <f>ROUND(SUM(Inventory[[#This Row],[Mdl Qlty]:[Mdl Garage Area]])+Inventory[[#This Row],[Mdl Res Intercept]],-2)</f>
        <v>300700</v>
      </c>
      <c r="BB810" s="30">
        <f>ROUND(Inventory[[#This Row],[Mdl Land Intercept]]+Inventory[[#This Row],[Mdl LnAcres]],-2)</f>
        <v>65100</v>
      </c>
      <c r="BC810" s="30">
        <f>Inventory[[#This Row],[Unadj Res Value]]+Inventory[[#This Row],[Unadj Det Value]]+Inventory[[#This Row],[Unadj Land Value]]</f>
        <v>365800</v>
      </c>
      <c r="BD810" s="30">
        <f>(Inventory[[#This Row],[Unadj Total Value]]-Inventory[[#This Row],[24Final]])/Inventory[[#This Row],[24Final]]</f>
        <v>3.5673839184597961E-2</v>
      </c>
      <c r="BE810" s="30">
        <f>VLOOKUP(Inventory[[#This Row],[Nbhd]],Lookups!$M$3:$P$5,4,FALSE)</f>
        <v>0.99970000000000003</v>
      </c>
      <c r="BF810" s="30">
        <f>VLOOKUP(Inventory[[#This Row],[Qlty]],Lookups!$M$8:$P$22,4,FALSE)</f>
        <v>0.99819999999999998</v>
      </c>
      <c r="BG810" s="30">
        <f>VLOOKUP(Inventory[[#This Row],[Cnd]],Lookups!$R$8:$U$17,4,FALSE)</f>
        <v>1.0007999999999999</v>
      </c>
      <c r="BH810" s="30">
        <f>VLOOKUP(Inventory[[#This Row],[LivArea Range]],Lookups!$R$25:$U$43,4,FALSE)</f>
        <v>0.99519999999999997</v>
      </c>
      <c r="BI810" s="30">
        <f>VLOOKUP(Inventory[[#This Row],[Decade]],Lookups!$M$24:$P$40,4,FALSE)</f>
        <v>1.0024</v>
      </c>
      <c r="BJ810" s="30">
        <f>Inventory[[#This Row],[Nbhd Adj]]*0.95</f>
        <v>0.94971499999999998</v>
      </c>
      <c r="BK810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810" s="30">
        <f>ROUND((SUM(Inventory[[#This Row],[Mdl Qlty]:[Mdl Garage Area]])+Inventory[[#This Row],[Mdl Res Intercept]])*Inventory[[#This Row],[Res Adj ]],-2)</f>
        <v>285500</v>
      </c>
      <c r="BM810" s="30">
        <f>ROUND(Inventory[[#This Row],[25Det]]*Inventory[[#This Row],[Det/Nbhd Adj]],-2)</f>
        <v>0</v>
      </c>
      <c r="BN810" s="30">
        <f>Inventory[[#This Row],[Adjusted Res]]+Inventory[[#This Row],[Adj Det ]]</f>
        <v>285500</v>
      </c>
      <c r="BO810" s="30">
        <f>ROUND((Inventory[[#This Row],[Mdl Land Intercept]]+Inventory[[#This Row],[Mdl LnAcres]])*Inventory[[#This Row],[Det/Nbhd Adj]],-2)</f>
        <v>61800</v>
      </c>
      <c r="BP810" s="30">
        <f>Inventory[[#This Row],[Adjusted Impr Total]]+Inventory[[#This Row],[Adjusted Land Total]]</f>
        <v>347300</v>
      </c>
      <c r="BQ810" s="30">
        <f>IFERROR((Inventory[[#This Row],[Adjusted Impr Total]]-Inventory[[#This Row],[24Bldg]])/Inventory[[#This Row],[24Bldg]],0)</f>
        <v>-2.0583190394511151E-2</v>
      </c>
      <c r="BR810" s="43">
        <f>(Inventory[[#This Row],[Adjusted Land Total]]-Inventory[[#This Row],[24Lnd]])/Inventory[[#This Row],[24Lnd]]</f>
        <v>1.6207455429497568E-3</v>
      </c>
      <c r="BS810" s="43">
        <f>(Inventory[[#This Row],[Adjusted Total]]-Inventory[[#This Row],[24Final]])/Inventory[[#This Row],[24Final]]</f>
        <v>-1.6704416761041903E-2</v>
      </c>
    </row>
    <row r="811" spans="1:71">
      <c r="A811" s="30">
        <v>2025</v>
      </c>
      <c r="B811" s="31" t="s">
        <v>1326</v>
      </c>
      <c r="C811" s="31">
        <f>LN(Inventory[[#This Row],[Acres]])</f>
        <v>-1.7719568419318752</v>
      </c>
      <c r="D811" s="30">
        <v>0.17</v>
      </c>
      <c r="E811" s="30">
        <v>7190</v>
      </c>
      <c r="F811" s="31" t="s">
        <v>505</v>
      </c>
      <c r="G811" s="31" t="s">
        <v>155</v>
      </c>
      <c r="H811" s="31" t="s">
        <v>5</v>
      </c>
      <c r="I811" s="31" t="s">
        <v>506</v>
      </c>
      <c r="J811" s="31" t="s">
        <v>507</v>
      </c>
      <c r="K811" s="31" t="s">
        <v>193</v>
      </c>
      <c r="L811" s="31" t="s">
        <v>19</v>
      </c>
      <c r="M811" s="31" t="s">
        <v>20</v>
      </c>
      <c r="N811" s="31">
        <v>10</v>
      </c>
      <c r="O811" s="31">
        <f>2024-Inventory[[#This Row],[YrBlt]]</f>
        <v>19</v>
      </c>
      <c r="P811" s="31">
        <f>2024-Inventory[[#This Row],[EffYr]]</f>
        <v>19</v>
      </c>
      <c r="Q811" s="30">
        <v>2005</v>
      </c>
      <c r="R811" s="30">
        <v>2005</v>
      </c>
      <c r="S811" s="30">
        <v>1690</v>
      </c>
      <c r="T811" s="37"/>
      <c r="U811" s="32"/>
      <c r="V811" s="32"/>
      <c r="W811" s="32"/>
      <c r="X811" s="32">
        <f>Inventory[[#This Row],[Bsmt Area]]-Inventory[[#This Row],[FnBsmt]]</f>
        <v>0</v>
      </c>
      <c r="Y811" s="32">
        <f>Inventory[[#This Row],[MainFn]]+Inventory[[#This Row],[UpprFn]]+Inventory[[#This Row],[AddFn]]+Inventory[[#This Row],[FnBsmt]]</f>
        <v>1690</v>
      </c>
      <c r="Z811" s="32">
        <v>2000</v>
      </c>
      <c r="AA811" s="31" t="s">
        <v>56</v>
      </c>
      <c r="AB811" s="30">
        <v>1</v>
      </c>
      <c r="AC811" s="30">
        <v>466</v>
      </c>
      <c r="AD811" s="32"/>
      <c r="AE811" s="32"/>
      <c r="AF811" s="32"/>
      <c r="AG811" s="32"/>
      <c r="AH811" s="32"/>
      <c r="AI811" s="30">
        <v>334072</v>
      </c>
      <c r="AJ811" s="30">
        <v>304006</v>
      </c>
      <c r="AK811" s="30">
        <v>0</v>
      </c>
      <c r="AL811" s="30">
        <v>0</v>
      </c>
      <c r="AM811" s="30">
        <v>61700</v>
      </c>
      <c r="AN811" s="30">
        <v>310200</v>
      </c>
      <c r="AO811" s="30">
        <v>371900</v>
      </c>
      <c r="AP811" s="30">
        <f>Lookups!$B$58*0.6</f>
        <v>132535.48800000001</v>
      </c>
      <c r="AQ811" s="30">
        <f>Lookups!$B$58*0.4</f>
        <v>88356.992000000013</v>
      </c>
      <c r="AR811" s="30">
        <f>Lookups!$B$59*Inventory[[#This Row],[LnAcres]]</f>
        <v>-23255.730391660189</v>
      </c>
      <c r="AS811" s="30">
        <f>VLOOKUP(Inventory[[#This Row],[Qlty]],Lookups!$A$66:$E$79,2,FALSE)</f>
        <v>37154.252388000001</v>
      </c>
      <c r="AT811" s="30">
        <f>VLOOKUP(Inventory[[#This Row],[Cnd]],Lookups!$A$80:$E$88,2,FALSE)</f>
        <v>30300.329274</v>
      </c>
      <c r="AU811" s="30">
        <f>Inventory[[#This Row],[EffAge]]*Lookups!$B$65</f>
        <v>-2066.0808999999999</v>
      </c>
      <c r="AV811" s="30">
        <f>Inventory[[#This Row],[MainFn]]*Lookups!$B$90</f>
        <v>105473.54220000001</v>
      </c>
      <c r="AW811" s="30">
        <f>Inventory[[#This Row],[UpprFn]]*Lookups!$B$91</f>
        <v>0</v>
      </c>
      <c r="AX811" s="30">
        <f>Inventory[[#This Row],[Bsmt Area]]*Lookups!$B$95</f>
        <v>0</v>
      </c>
      <c r="AY811" s="30">
        <f>Inventory[[#This Row],[AttGar]]*Lookups!$B$93</f>
        <v>16450.280446000001</v>
      </c>
      <c r="AZ811" s="30">
        <f>ROUND(Inventory[[#This Row],[25Det]],-2)</f>
        <v>0</v>
      </c>
      <c r="BA811" s="30">
        <f>ROUND(SUM(Inventory[[#This Row],[Mdl Qlty]:[Mdl Garage Area]])+Inventory[[#This Row],[Mdl Res Intercept]],-2)</f>
        <v>319800</v>
      </c>
      <c r="BB811" s="30">
        <f>ROUND(Inventory[[#This Row],[Mdl Land Intercept]]+Inventory[[#This Row],[Mdl LnAcres]],-2)</f>
        <v>65100</v>
      </c>
      <c r="BC811" s="30">
        <f>Inventory[[#This Row],[Unadj Res Value]]+Inventory[[#This Row],[Unadj Det Value]]+Inventory[[#This Row],[Unadj Land Value]]</f>
        <v>384900</v>
      </c>
      <c r="BD811" s="30">
        <f>(Inventory[[#This Row],[Unadj Total Value]]-Inventory[[#This Row],[24Final]])/Inventory[[#This Row],[24Final]]</f>
        <v>3.4955633234740519E-2</v>
      </c>
      <c r="BE811" s="30">
        <f>VLOOKUP(Inventory[[#This Row],[Nbhd]],Lookups!$M$3:$P$5,4,FALSE)</f>
        <v>0.99970000000000003</v>
      </c>
      <c r="BF811" s="30">
        <f>VLOOKUP(Inventory[[#This Row],[Qlty]],Lookups!$M$8:$P$22,4,FALSE)</f>
        <v>0.99819999999999998</v>
      </c>
      <c r="BG811" s="30">
        <f>VLOOKUP(Inventory[[#This Row],[Cnd]],Lookups!$R$8:$U$17,4,FALSE)</f>
        <v>0.997</v>
      </c>
      <c r="BH811" s="30">
        <f>VLOOKUP(Inventory[[#This Row],[LivArea Range]],Lookups!$R$25:$U$43,4,FALSE)</f>
        <v>1.0007999999999999</v>
      </c>
      <c r="BI811" s="30">
        <f>VLOOKUP(Inventory[[#This Row],[Decade]],Lookups!$M$24:$P$40,4,FALSE)</f>
        <v>1.0024</v>
      </c>
      <c r="BJ811" s="30">
        <f>Inventory[[#This Row],[Nbhd Adj]]*0.95</f>
        <v>0.94971499999999998</v>
      </c>
      <c r="BK811" s="30">
        <f>AVERAGE(Inventory[[#This Row],[Nbhd Adj]],Inventory[[#This Row],[Quality Adj]],Inventory[[#This Row],[Condition Adj]],Inventory[[#This Row],[Living Area Adj]],Inventory[[#This Row],[Decade Adj]])*0.95</f>
        <v>0.9496389999999999</v>
      </c>
      <c r="BL811" s="30">
        <f>ROUND((SUM(Inventory[[#This Row],[Mdl Qlty]:[Mdl Garage Area]])+Inventory[[#This Row],[Mdl Res Intercept]])*Inventory[[#This Row],[Res Adj ]],-2)</f>
        <v>303700</v>
      </c>
      <c r="BM811" s="30">
        <f>ROUND(Inventory[[#This Row],[25Det]]*Inventory[[#This Row],[Det/Nbhd Adj]],-2)</f>
        <v>0</v>
      </c>
      <c r="BN811" s="30">
        <f>Inventory[[#This Row],[Adjusted Res]]+Inventory[[#This Row],[Adj Det ]]</f>
        <v>303700</v>
      </c>
      <c r="BO811" s="30">
        <f>ROUND((Inventory[[#This Row],[Mdl Land Intercept]]+Inventory[[#This Row],[Mdl LnAcres]])*Inventory[[#This Row],[Det/Nbhd Adj]],-2)</f>
        <v>61800</v>
      </c>
      <c r="BP811" s="30">
        <f>Inventory[[#This Row],[Adjusted Impr Total]]+Inventory[[#This Row],[Adjusted Land Total]]</f>
        <v>365500</v>
      </c>
      <c r="BQ811" s="30">
        <f>IFERROR((Inventory[[#This Row],[Adjusted Impr Total]]-Inventory[[#This Row],[24Bldg]])/Inventory[[#This Row],[24Bldg]],0)</f>
        <v>-2.0954223081882658E-2</v>
      </c>
      <c r="BR811" s="43">
        <f>(Inventory[[#This Row],[Adjusted Land Total]]-Inventory[[#This Row],[24Lnd]])/Inventory[[#This Row],[24Lnd]]</f>
        <v>1.6207455429497568E-3</v>
      </c>
      <c r="BS811" s="43">
        <f>(Inventory[[#This Row],[Adjusted Total]]-Inventory[[#This Row],[24Final]])/Inventory[[#This Row],[24Final]]</f>
        <v>-1.7208927130949181E-2</v>
      </c>
    </row>
    <row r="812" spans="1:71">
      <c r="A812" s="30">
        <v>2025</v>
      </c>
      <c r="B812" s="31" t="s">
        <v>1327</v>
      </c>
      <c r="C812" s="31">
        <f>LN(Inventory[[#This Row],[Acres]])</f>
        <v>-1.7719568419318752</v>
      </c>
      <c r="D812" s="30">
        <v>0.17</v>
      </c>
      <c r="E812" s="30">
        <v>7193</v>
      </c>
      <c r="F812" s="31" t="s">
        <v>505</v>
      </c>
      <c r="G812" s="31" t="s">
        <v>155</v>
      </c>
      <c r="H812" s="31" t="s">
        <v>5</v>
      </c>
      <c r="I812" s="31" t="s">
        <v>506</v>
      </c>
      <c r="J812" s="31" t="s">
        <v>507</v>
      </c>
      <c r="K812" s="31" t="s">
        <v>193</v>
      </c>
      <c r="L812" s="31" t="s">
        <v>19</v>
      </c>
      <c r="M812" s="31" t="s">
        <v>20</v>
      </c>
      <c r="N812" s="31">
        <v>10</v>
      </c>
      <c r="O812" s="31">
        <f>2024-Inventory[[#This Row],[YrBlt]]</f>
        <v>19</v>
      </c>
      <c r="P812" s="31">
        <f>2024-Inventory[[#This Row],[EffYr]]</f>
        <v>19</v>
      </c>
      <c r="Q812" s="30">
        <v>2005</v>
      </c>
      <c r="R812" s="30">
        <v>2005</v>
      </c>
      <c r="S812" s="30">
        <v>1436</v>
      </c>
      <c r="T812" s="32"/>
      <c r="U812" s="32"/>
      <c r="V812" s="32"/>
      <c r="W812" s="32"/>
      <c r="X812" s="32">
        <f>Inventory[[#This Row],[Bsmt Area]]-Inventory[[#This Row],[FnBsmt]]</f>
        <v>0</v>
      </c>
      <c r="Y812" s="32">
        <f>Inventory[[#This Row],[MainFn]]+Inventory[[#This Row],[UpprFn]]+Inventory[[#This Row],[AddFn]]+Inventory[[#This Row],[FnBsmt]]</f>
        <v>1436</v>
      </c>
      <c r="Z812" s="32">
        <v>1500</v>
      </c>
      <c r="AA812" s="31" t="s">
        <v>56</v>
      </c>
      <c r="AB812" s="32"/>
      <c r="AC812" s="30">
        <v>640</v>
      </c>
      <c r="AD812" s="32"/>
      <c r="AE812" s="32"/>
      <c r="AF812" s="32"/>
      <c r="AG812" s="32"/>
      <c r="AH812" s="32"/>
      <c r="AI812" s="30">
        <v>310740</v>
      </c>
      <c r="AJ812" s="30">
        <v>282773</v>
      </c>
      <c r="AK812" s="30">
        <v>0</v>
      </c>
      <c r="AL812" s="30">
        <v>0</v>
      </c>
      <c r="AM812" s="30">
        <v>61700</v>
      </c>
      <c r="AN812" s="30">
        <v>299800</v>
      </c>
      <c r="AO812" s="30">
        <v>361500</v>
      </c>
      <c r="AP812" s="30">
        <f>Lookups!$B$58*0.6</f>
        <v>132535.48800000001</v>
      </c>
      <c r="AQ812" s="30">
        <f>Lookups!$B$58*0.4</f>
        <v>88356.992000000013</v>
      </c>
      <c r="AR812" s="30">
        <f>Lookups!$B$59*Inventory[[#This Row],[LnAcres]]</f>
        <v>-23255.730391660189</v>
      </c>
      <c r="AS812" s="30">
        <f>VLOOKUP(Inventory[[#This Row],[Qlty]],Lookups!$A$66:$E$79,2,FALSE)</f>
        <v>37154.252388000001</v>
      </c>
      <c r="AT812" s="30">
        <f>VLOOKUP(Inventory[[#This Row],[Cnd]],Lookups!$A$80:$E$88,2,FALSE)</f>
        <v>30300.329274</v>
      </c>
      <c r="AU812" s="30">
        <f>Inventory[[#This Row],[EffAge]]*Lookups!$B$65</f>
        <v>-2066.0808999999999</v>
      </c>
      <c r="AV812" s="30">
        <f>Inventory[[#This Row],[MainFn]]*Lookups!$B$90</f>
        <v>89621.305680000005</v>
      </c>
      <c r="AW812" s="30">
        <f>Inventory[[#This Row],[UpprFn]]*Lookups!$B$91</f>
        <v>0</v>
      </c>
      <c r="AX812" s="30">
        <f>Inventory[[#This Row],[Bsmt Area]]*Lookups!$B$95</f>
        <v>0</v>
      </c>
      <c r="AY812" s="30">
        <f>Inventory[[#This Row],[AttGar]]*Lookups!$B$93</f>
        <v>22592.65984</v>
      </c>
      <c r="AZ812" s="30">
        <f>ROUND(Inventory[[#This Row],[25Det]],-2)</f>
        <v>0</v>
      </c>
      <c r="BA812" s="30">
        <f>ROUND(SUM(Inventory[[#This Row],[Mdl Qlty]:[Mdl Garage Area]])+Inventory[[#This Row],[Mdl Res Intercept]],-2)</f>
        <v>310100</v>
      </c>
      <c r="BB812" s="30">
        <f>ROUND(Inventory[[#This Row],[Mdl Land Intercept]]+Inventory[[#This Row],[Mdl LnAcres]],-2)</f>
        <v>65100</v>
      </c>
      <c r="BC812" s="30">
        <f>Inventory[[#This Row],[Unadj Res Value]]+Inventory[[#This Row],[Unadj Det Value]]+Inventory[[#This Row],[Unadj Land Value]]</f>
        <v>375200</v>
      </c>
      <c r="BD812" s="30">
        <f>(Inventory[[#This Row],[Unadj Total Value]]-Inventory[[#This Row],[24Final]])/Inventory[[#This Row],[24Final]]</f>
        <v>3.7897648686030426E-2</v>
      </c>
      <c r="BE812" s="30">
        <f>VLOOKUP(Inventory[[#This Row],[Nbhd]],Lookups!$M$3:$P$5,4,FALSE)</f>
        <v>0.99970000000000003</v>
      </c>
      <c r="BF812" s="30">
        <f>VLOOKUP(Inventory[[#This Row],[Qlty]],Lookups!$M$8:$P$22,4,FALSE)</f>
        <v>0.99819999999999998</v>
      </c>
      <c r="BG812" s="30">
        <f>VLOOKUP(Inventory[[#This Row],[Cnd]],Lookups!$R$8:$U$17,4,FALSE)</f>
        <v>0.997</v>
      </c>
      <c r="BH812" s="30">
        <f>VLOOKUP(Inventory[[#This Row],[LivArea Range]],Lookups!$R$25:$U$43,4,FALSE)</f>
        <v>0.99519999999999997</v>
      </c>
      <c r="BI812" s="30">
        <f>VLOOKUP(Inventory[[#This Row],[Decade]],Lookups!$M$24:$P$40,4,FALSE)</f>
        <v>1.0024</v>
      </c>
      <c r="BJ812" s="30">
        <f>Inventory[[#This Row],[Nbhd Adj]]*0.95</f>
        <v>0.94971499999999998</v>
      </c>
      <c r="BK812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812" s="30">
        <f>ROUND((SUM(Inventory[[#This Row],[Mdl Qlty]:[Mdl Garage Area]])+Inventory[[#This Row],[Mdl Res Intercept]])*Inventory[[#This Row],[Res Adj ]],-2)</f>
        <v>294200</v>
      </c>
      <c r="BM812" s="30">
        <f>ROUND(Inventory[[#This Row],[25Det]]*Inventory[[#This Row],[Det/Nbhd Adj]],-2)</f>
        <v>0</v>
      </c>
      <c r="BN812" s="30">
        <f>Inventory[[#This Row],[Adjusted Res]]+Inventory[[#This Row],[Adj Det ]]</f>
        <v>294200</v>
      </c>
      <c r="BO812" s="30">
        <f>ROUND((Inventory[[#This Row],[Mdl Land Intercept]]+Inventory[[#This Row],[Mdl LnAcres]])*Inventory[[#This Row],[Det/Nbhd Adj]],-2)</f>
        <v>61800</v>
      </c>
      <c r="BP812" s="30">
        <f>Inventory[[#This Row],[Adjusted Impr Total]]+Inventory[[#This Row],[Adjusted Land Total]]</f>
        <v>356000</v>
      </c>
      <c r="BQ812" s="30">
        <f>IFERROR((Inventory[[#This Row],[Adjusted Impr Total]]-Inventory[[#This Row],[24Bldg]])/Inventory[[#This Row],[24Bldg]],0)</f>
        <v>-1.8679119412941963E-2</v>
      </c>
      <c r="BR812" s="43">
        <f>(Inventory[[#This Row],[Adjusted Land Total]]-Inventory[[#This Row],[24Lnd]])/Inventory[[#This Row],[24Lnd]]</f>
        <v>1.6207455429497568E-3</v>
      </c>
      <c r="BS812" s="43">
        <f>(Inventory[[#This Row],[Adjusted Total]]-Inventory[[#This Row],[24Final]])/Inventory[[#This Row],[24Final]]</f>
        <v>-1.5214384508990318E-2</v>
      </c>
    </row>
    <row r="813" spans="1:71">
      <c r="A813" s="30">
        <v>2025</v>
      </c>
      <c r="B813" s="31" t="s">
        <v>1328</v>
      </c>
      <c r="C813" s="31">
        <f>LN(Inventory[[#This Row],[Acres]])</f>
        <v>-1.7719568419318752</v>
      </c>
      <c r="D813" s="30">
        <v>0.17</v>
      </c>
      <c r="E813" s="30">
        <v>7409</v>
      </c>
      <c r="F813" s="31" t="s">
        <v>505</v>
      </c>
      <c r="G813" s="31" t="s">
        <v>155</v>
      </c>
      <c r="H813" s="31" t="s">
        <v>5</v>
      </c>
      <c r="I813" s="31" t="s">
        <v>506</v>
      </c>
      <c r="J813" s="31" t="s">
        <v>507</v>
      </c>
      <c r="K813" s="31" t="s">
        <v>157</v>
      </c>
      <c r="L813" s="31" t="s">
        <v>19</v>
      </c>
      <c r="M813" s="31" t="s">
        <v>22</v>
      </c>
      <c r="N813" s="31">
        <v>10</v>
      </c>
      <c r="O813" s="31">
        <f>2024-Inventory[[#This Row],[YrBlt]]</f>
        <v>19</v>
      </c>
      <c r="P813" s="31">
        <f>2024-Inventory[[#This Row],[EffYr]]</f>
        <v>19</v>
      </c>
      <c r="Q813" s="30">
        <v>2005</v>
      </c>
      <c r="R813" s="30">
        <v>2005</v>
      </c>
      <c r="S813" s="30">
        <v>1040</v>
      </c>
      <c r="T813" s="38">
        <v>1040</v>
      </c>
      <c r="U813" s="32"/>
      <c r="V813" s="32"/>
      <c r="W813" s="32"/>
      <c r="X813" s="32">
        <f>Inventory[[#This Row],[Bsmt Area]]-Inventory[[#This Row],[FnBsmt]]</f>
        <v>0</v>
      </c>
      <c r="Y813" s="32">
        <f>Inventory[[#This Row],[MainFn]]+Inventory[[#This Row],[UpprFn]]+Inventory[[#This Row],[AddFn]]+Inventory[[#This Row],[FnBsmt]]</f>
        <v>2080</v>
      </c>
      <c r="Z813" s="32">
        <v>2500</v>
      </c>
      <c r="AA813" s="31" t="s">
        <v>56</v>
      </c>
      <c r="AB813" s="38">
        <v>1</v>
      </c>
      <c r="AC813" s="30">
        <v>440</v>
      </c>
      <c r="AD813" s="32"/>
      <c r="AE813" s="32"/>
      <c r="AF813" s="32"/>
      <c r="AG813" s="32"/>
      <c r="AH813" s="32"/>
      <c r="AI813" s="30">
        <v>376519</v>
      </c>
      <c r="AJ813" s="30">
        <v>342632</v>
      </c>
      <c r="AK813" s="30">
        <v>0</v>
      </c>
      <c r="AL813" s="30">
        <v>0</v>
      </c>
      <c r="AM813" s="30">
        <v>61700</v>
      </c>
      <c r="AN813" s="30">
        <v>351100</v>
      </c>
      <c r="AO813" s="30">
        <v>412800</v>
      </c>
      <c r="AP813" s="30">
        <f>Lookups!$B$58*0.6</f>
        <v>132535.48800000001</v>
      </c>
      <c r="AQ813" s="30">
        <f>Lookups!$B$58*0.4</f>
        <v>88356.992000000013</v>
      </c>
      <c r="AR813" s="30">
        <f>Lookups!$B$59*Inventory[[#This Row],[LnAcres]]</f>
        <v>-23255.730391660189</v>
      </c>
      <c r="AS813" s="30">
        <f>VLOOKUP(Inventory[[#This Row],[Qlty]],Lookups!$A$66:$E$79,2,FALSE)</f>
        <v>37154.252388000001</v>
      </c>
      <c r="AT813" s="30">
        <f>VLOOKUP(Inventory[[#This Row],[Cnd]],Lookups!$A$80:$E$88,2,FALSE)</f>
        <v>50438.379078999998</v>
      </c>
      <c r="AU813" s="30">
        <f>Inventory[[#This Row],[EffAge]]*Lookups!$B$65</f>
        <v>-2066.0808999999999</v>
      </c>
      <c r="AV813" s="30">
        <f>Inventory[[#This Row],[MainFn]]*Lookups!$B$90</f>
        <v>64906.7952</v>
      </c>
      <c r="AW813" s="30">
        <f>Inventory[[#This Row],[UpprFn]]*Lookups!$B$91</f>
        <v>61963.598319999997</v>
      </c>
      <c r="AX813" s="30">
        <f>Inventory[[#This Row],[Bsmt Area]]*Lookups!$B$95</f>
        <v>0</v>
      </c>
      <c r="AY813" s="30">
        <f>Inventory[[#This Row],[AttGar]]*Lookups!$B$93</f>
        <v>15532.453640000002</v>
      </c>
      <c r="AZ813" s="30">
        <f>ROUND(Inventory[[#This Row],[25Det]],-2)</f>
        <v>0</v>
      </c>
      <c r="BA813" s="30">
        <f>ROUND(SUM(Inventory[[#This Row],[Mdl Qlty]:[Mdl Garage Area]])+Inventory[[#This Row],[Mdl Res Intercept]],-2)</f>
        <v>360500</v>
      </c>
      <c r="BB813" s="30">
        <f>ROUND(Inventory[[#This Row],[Mdl Land Intercept]]+Inventory[[#This Row],[Mdl LnAcres]],-2)</f>
        <v>65100</v>
      </c>
      <c r="BC813" s="30">
        <f>Inventory[[#This Row],[Unadj Res Value]]+Inventory[[#This Row],[Unadj Det Value]]+Inventory[[#This Row],[Unadj Land Value]]</f>
        <v>425600</v>
      </c>
      <c r="BD813" s="30">
        <f>(Inventory[[#This Row],[Unadj Total Value]]-Inventory[[#This Row],[24Final]])/Inventory[[#This Row],[24Final]]</f>
        <v>3.1007751937984496E-2</v>
      </c>
      <c r="BE813" s="30">
        <f>VLOOKUP(Inventory[[#This Row],[Nbhd]],Lookups!$M$3:$P$5,4,FALSE)</f>
        <v>0.99970000000000003</v>
      </c>
      <c r="BF813" s="30">
        <f>VLOOKUP(Inventory[[#This Row],[Qlty]],Lookups!$M$8:$P$22,4,FALSE)</f>
        <v>0.99819999999999998</v>
      </c>
      <c r="BG813" s="30">
        <f>VLOOKUP(Inventory[[#This Row],[Cnd]],Lookups!$R$8:$U$17,4,FALSE)</f>
        <v>1.0007999999999999</v>
      </c>
      <c r="BH813" s="30">
        <f>VLOOKUP(Inventory[[#This Row],[LivArea Range]],Lookups!$R$25:$U$43,4,FALSE)</f>
        <v>1.0008999999999999</v>
      </c>
      <c r="BI813" s="30">
        <f>VLOOKUP(Inventory[[#This Row],[Decade]],Lookups!$M$24:$P$40,4,FALSE)</f>
        <v>1.0024</v>
      </c>
      <c r="BJ813" s="30">
        <f>Inventory[[#This Row],[Nbhd Adj]]*0.95</f>
        <v>0.94971499999999998</v>
      </c>
      <c r="BK813" s="30">
        <f>AVERAGE(Inventory[[#This Row],[Nbhd Adj]],Inventory[[#This Row],[Quality Adj]],Inventory[[#This Row],[Condition Adj]],Inventory[[#This Row],[Living Area Adj]],Inventory[[#This Row],[Decade Adj]])*0.95</f>
        <v>0.95037999999999989</v>
      </c>
      <c r="BL813" s="30">
        <f>ROUND((SUM(Inventory[[#This Row],[Mdl Qlty]:[Mdl Garage Area]])+Inventory[[#This Row],[Mdl Res Intercept]])*Inventory[[#This Row],[Res Adj ]],-2)</f>
        <v>342600</v>
      </c>
      <c r="BM813" s="30">
        <f>ROUND(Inventory[[#This Row],[25Det]]*Inventory[[#This Row],[Det/Nbhd Adj]],-2)</f>
        <v>0</v>
      </c>
      <c r="BN813" s="30">
        <f>Inventory[[#This Row],[Adjusted Res]]+Inventory[[#This Row],[Adj Det ]]</f>
        <v>342600</v>
      </c>
      <c r="BO813" s="30">
        <f>ROUND((Inventory[[#This Row],[Mdl Land Intercept]]+Inventory[[#This Row],[Mdl LnAcres]])*Inventory[[#This Row],[Det/Nbhd Adj]],-2)</f>
        <v>61800</v>
      </c>
      <c r="BP813" s="30">
        <f>Inventory[[#This Row],[Adjusted Impr Total]]+Inventory[[#This Row],[Adjusted Land Total]]</f>
        <v>404400</v>
      </c>
      <c r="BQ813" s="30">
        <f>IFERROR((Inventory[[#This Row],[Adjusted Impr Total]]-Inventory[[#This Row],[24Bldg]])/Inventory[[#This Row],[24Bldg]],0)</f>
        <v>-2.4209626886926801E-2</v>
      </c>
      <c r="BR813" s="43">
        <f>(Inventory[[#This Row],[Adjusted Land Total]]-Inventory[[#This Row],[24Lnd]])/Inventory[[#This Row],[24Lnd]]</f>
        <v>1.6207455429497568E-3</v>
      </c>
      <c r="BS813" s="43">
        <f>(Inventory[[#This Row],[Adjusted Total]]-Inventory[[#This Row],[24Final]])/Inventory[[#This Row],[24Final]]</f>
        <v>-2.0348837209302327E-2</v>
      </c>
    </row>
    <row r="814" spans="1:71">
      <c r="A814" s="30">
        <v>2025</v>
      </c>
      <c r="B814" s="31" t="s">
        <v>1329</v>
      </c>
      <c r="C814" s="31">
        <f>LN(Inventory[[#This Row],[Acres]])</f>
        <v>-1.7719568419318752</v>
      </c>
      <c r="D814" s="30">
        <v>0.17</v>
      </c>
      <c r="E814" s="30">
        <v>7366</v>
      </c>
      <c r="F814" s="31" t="s">
        <v>505</v>
      </c>
      <c r="G814" s="31" t="s">
        <v>155</v>
      </c>
      <c r="H814" s="31" t="s">
        <v>5</v>
      </c>
      <c r="I814" s="31" t="s">
        <v>506</v>
      </c>
      <c r="J814" s="31" t="s">
        <v>507</v>
      </c>
      <c r="K814" s="31" t="s">
        <v>193</v>
      </c>
      <c r="L814" s="31" t="s">
        <v>19</v>
      </c>
      <c r="M814" s="31" t="s">
        <v>18</v>
      </c>
      <c r="N814" s="31">
        <v>10</v>
      </c>
      <c r="O814" s="31">
        <f>2024-Inventory[[#This Row],[YrBlt]]</f>
        <v>19</v>
      </c>
      <c r="P814" s="31">
        <f>2024-Inventory[[#This Row],[EffYr]]</f>
        <v>19</v>
      </c>
      <c r="Q814" s="30">
        <v>2005</v>
      </c>
      <c r="R814" s="30">
        <v>2005</v>
      </c>
      <c r="S814" s="30">
        <v>1380</v>
      </c>
      <c r="T814" s="32"/>
      <c r="U814" s="32"/>
      <c r="V814" s="32"/>
      <c r="W814" s="32"/>
      <c r="X814" s="32">
        <f>Inventory[[#This Row],[Bsmt Area]]-Inventory[[#This Row],[FnBsmt]]</f>
        <v>0</v>
      </c>
      <c r="Y814" s="32">
        <f>Inventory[[#This Row],[MainFn]]+Inventory[[#This Row],[UpprFn]]+Inventory[[#This Row],[AddFn]]+Inventory[[#This Row],[FnBsmt]]</f>
        <v>1380</v>
      </c>
      <c r="Z814" s="32">
        <v>1500</v>
      </c>
      <c r="AA814" s="31" t="s">
        <v>56</v>
      </c>
      <c r="AB814" s="32"/>
      <c r="AC814" s="30">
        <v>428</v>
      </c>
      <c r="AD814" s="32"/>
      <c r="AE814" s="32"/>
      <c r="AF814" s="32"/>
      <c r="AG814" s="32"/>
      <c r="AH814" s="32"/>
      <c r="AI814" s="30">
        <v>273487</v>
      </c>
      <c r="AJ814" s="30">
        <v>246138</v>
      </c>
      <c r="AK814" s="30">
        <v>0</v>
      </c>
      <c r="AL814" s="30">
        <v>0</v>
      </c>
      <c r="AM814" s="30">
        <v>61700</v>
      </c>
      <c r="AN814" s="30">
        <v>276000</v>
      </c>
      <c r="AO814" s="30">
        <v>337700</v>
      </c>
      <c r="AP814" s="30">
        <f>Lookups!$B$58*0.6</f>
        <v>132535.48800000001</v>
      </c>
      <c r="AQ814" s="30">
        <f>Lookups!$B$58*0.4</f>
        <v>88356.992000000013</v>
      </c>
      <c r="AR814" s="30">
        <f>Lookups!$B$59*Inventory[[#This Row],[LnAcres]]</f>
        <v>-23255.730391660189</v>
      </c>
      <c r="AS814" s="30">
        <f>VLOOKUP(Inventory[[#This Row],[Qlty]],Lookups!$A$66:$E$79,2,FALSE)</f>
        <v>37154.252388000001</v>
      </c>
      <c r="AT814" s="30">
        <f>VLOOKUP(Inventory[[#This Row],[Cnd]],Lookups!$A$80:$E$88,2,FALSE)</f>
        <v>17761.121909000001</v>
      </c>
      <c r="AU814" s="30">
        <f>Inventory[[#This Row],[EffAge]]*Lookups!$B$65</f>
        <v>-2066.0808999999999</v>
      </c>
      <c r="AV814" s="30">
        <f>Inventory[[#This Row],[MainFn]]*Lookups!$B$90</f>
        <v>86126.324399999998</v>
      </c>
      <c r="AW814" s="30">
        <f>Inventory[[#This Row],[UpprFn]]*Lookups!$B$91</f>
        <v>0</v>
      </c>
      <c r="AX814" s="30">
        <f>Inventory[[#This Row],[Bsmt Area]]*Lookups!$B$95</f>
        <v>0</v>
      </c>
      <c r="AY814" s="30">
        <f>Inventory[[#This Row],[AttGar]]*Lookups!$B$93</f>
        <v>15108.841268</v>
      </c>
      <c r="AZ814" s="30">
        <f>ROUND(Inventory[[#This Row],[25Det]],-2)</f>
        <v>0</v>
      </c>
      <c r="BA814" s="30">
        <f>ROUND(SUM(Inventory[[#This Row],[Mdl Qlty]:[Mdl Garage Area]])+Inventory[[#This Row],[Mdl Res Intercept]],-2)</f>
        <v>286600</v>
      </c>
      <c r="BB814" s="30">
        <f>ROUND(Inventory[[#This Row],[Mdl Land Intercept]]+Inventory[[#This Row],[Mdl LnAcres]],-2)</f>
        <v>65100</v>
      </c>
      <c r="BC814" s="30">
        <f>Inventory[[#This Row],[Unadj Res Value]]+Inventory[[#This Row],[Unadj Det Value]]+Inventory[[#This Row],[Unadj Land Value]]</f>
        <v>351700</v>
      </c>
      <c r="BD814" s="30">
        <f>(Inventory[[#This Row],[Unadj Total Value]]-Inventory[[#This Row],[24Final]])/Inventory[[#This Row],[24Final]]</f>
        <v>4.1456914421083804E-2</v>
      </c>
      <c r="BE814" s="30">
        <f>VLOOKUP(Inventory[[#This Row],[Nbhd]],Lookups!$M$3:$P$5,4,FALSE)</f>
        <v>0.99970000000000003</v>
      </c>
      <c r="BF814" s="30">
        <f>VLOOKUP(Inventory[[#This Row],[Qlty]],Lookups!$M$8:$P$22,4,FALSE)</f>
        <v>0.99819999999999998</v>
      </c>
      <c r="BG814" s="30">
        <f>VLOOKUP(Inventory[[#This Row],[Cnd]],Lookups!$R$8:$U$17,4,FALSE)</f>
        <v>0.99680000000000002</v>
      </c>
      <c r="BH814" s="30">
        <f>VLOOKUP(Inventory[[#This Row],[LivArea Range]],Lookups!$R$25:$U$43,4,FALSE)</f>
        <v>0.99519999999999997</v>
      </c>
      <c r="BI814" s="30">
        <f>VLOOKUP(Inventory[[#This Row],[Decade]],Lookups!$M$24:$P$40,4,FALSE)</f>
        <v>1.0024</v>
      </c>
      <c r="BJ814" s="30">
        <f>Inventory[[#This Row],[Nbhd Adj]]*0.95</f>
        <v>0.94971499999999998</v>
      </c>
      <c r="BK814" s="30">
        <f>AVERAGE(Inventory[[#This Row],[Nbhd Adj]],Inventory[[#This Row],[Quality Adj]],Inventory[[#This Row],[Condition Adj]],Inventory[[#This Row],[Living Area Adj]],Inventory[[#This Row],[Decade Adj]])*0.95</f>
        <v>0.94853699999999996</v>
      </c>
      <c r="BL814" s="30">
        <f>ROUND((SUM(Inventory[[#This Row],[Mdl Qlty]:[Mdl Garage Area]])+Inventory[[#This Row],[Mdl Res Intercept]])*Inventory[[#This Row],[Res Adj ]],-2)</f>
        <v>271900</v>
      </c>
      <c r="BM814" s="30">
        <f>ROUND(Inventory[[#This Row],[25Det]]*Inventory[[#This Row],[Det/Nbhd Adj]],-2)</f>
        <v>0</v>
      </c>
      <c r="BN814" s="30">
        <f>Inventory[[#This Row],[Adjusted Res]]+Inventory[[#This Row],[Adj Det ]]</f>
        <v>271900</v>
      </c>
      <c r="BO814" s="30">
        <f>ROUND((Inventory[[#This Row],[Mdl Land Intercept]]+Inventory[[#This Row],[Mdl LnAcres]])*Inventory[[#This Row],[Det/Nbhd Adj]],-2)</f>
        <v>61800</v>
      </c>
      <c r="BP814" s="30">
        <f>Inventory[[#This Row],[Adjusted Impr Total]]+Inventory[[#This Row],[Adjusted Land Total]]</f>
        <v>333700</v>
      </c>
      <c r="BQ814" s="30">
        <f>IFERROR((Inventory[[#This Row],[Adjusted Impr Total]]-Inventory[[#This Row],[24Bldg]])/Inventory[[#This Row],[24Bldg]],0)</f>
        <v>-1.4855072463768116E-2</v>
      </c>
      <c r="BR814" s="43">
        <f>(Inventory[[#This Row],[Adjusted Land Total]]-Inventory[[#This Row],[24Lnd]])/Inventory[[#This Row],[24Lnd]]</f>
        <v>1.6207455429497568E-3</v>
      </c>
      <c r="BS814" s="43">
        <f>(Inventory[[#This Row],[Adjusted Total]]-Inventory[[#This Row],[24Final]])/Inventory[[#This Row],[24Final]]</f>
        <v>-1.1844832691738229E-2</v>
      </c>
    </row>
    <row r="815" spans="1:71">
      <c r="A815" s="30">
        <v>2025</v>
      </c>
      <c r="B815" s="31" t="s">
        <v>1330</v>
      </c>
      <c r="C815" s="31">
        <f>LN(Inventory[[#This Row],[Acres]])</f>
        <v>-1.7719568419318752</v>
      </c>
      <c r="D815" s="30">
        <v>0.17</v>
      </c>
      <c r="E815" s="30">
        <v>7520</v>
      </c>
      <c r="F815" s="31" t="s">
        <v>505</v>
      </c>
      <c r="G815" s="31" t="s">
        <v>155</v>
      </c>
      <c r="H815" s="31" t="s">
        <v>5</v>
      </c>
      <c r="I815" s="31" t="s">
        <v>506</v>
      </c>
      <c r="J815" s="31" t="s">
        <v>507</v>
      </c>
      <c r="K815" s="31" t="s">
        <v>157</v>
      </c>
      <c r="L815" s="31" t="s">
        <v>21</v>
      </c>
      <c r="M815" s="31" t="s">
        <v>18</v>
      </c>
      <c r="N815" s="31">
        <v>10</v>
      </c>
      <c r="O815" s="31">
        <f>2024-Inventory[[#This Row],[YrBlt]]</f>
        <v>19</v>
      </c>
      <c r="P815" s="31">
        <f>2024-Inventory[[#This Row],[EffYr]]</f>
        <v>19</v>
      </c>
      <c r="Q815" s="30">
        <v>2005</v>
      </c>
      <c r="R815" s="30">
        <v>2005</v>
      </c>
      <c r="S815" s="30">
        <v>1116</v>
      </c>
      <c r="T815" s="38">
        <v>1116</v>
      </c>
      <c r="U815" s="32"/>
      <c r="V815" s="32"/>
      <c r="W815" s="32"/>
      <c r="X815" s="32">
        <f>Inventory[[#This Row],[Bsmt Area]]-Inventory[[#This Row],[FnBsmt]]</f>
        <v>0</v>
      </c>
      <c r="Y815" s="32">
        <f>Inventory[[#This Row],[MainFn]]+Inventory[[#This Row],[UpprFn]]+Inventory[[#This Row],[AddFn]]+Inventory[[#This Row],[FnBsmt]]</f>
        <v>2232</v>
      </c>
      <c r="Z815" s="32">
        <v>2500</v>
      </c>
      <c r="AA815" s="31" t="s">
        <v>56</v>
      </c>
      <c r="AB815" s="37"/>
      <c r="AC815" s="30">
        <v>440</v>
      </c>
      <c r="AD815" s="32"/>
      <c r="AE815" s="32"/>
      <c r="AF815" s="32"/>
      <c r="AG815" s="32"/>
      <c r="AH815" s="32"/>
      <c r="AI815" s="30">
        <v>442423</v>
      </c>
      <c r="AJ815" s="30">
        <v>398181</v>
      </c>
      <c r="AK815" s="30">
        <v>0</v>
      </c>
      <c r="AL815" s="30">
        <v>0</v>
      </c>
      <c r="AM815" s="30">
        <v>61700</v>
      </c>
      <c r="AN815" s="30">
        <v>322900</v>
      </c>
      <c r="AO815" s="30">
        <v>384600</v>
      </c>
      <c r="AP815" s="30">
        <f>Lookups!$B$58*0.6</f>
        <v>132535.48800000001</v>
      </c>
      <c r="AQ815" s="30">
        <f>Lookups!$B$58*0.4</f>
        <v>88356.992000000013</v>
      </c>
      <c r="AR815" s="30">
        <f>Lookups!$B$59*Inventory[[#This Row],[LnAcres]]</f>
        <v>-23255.730391660189</v>
      </c>
      <c r="AS815" s="30">
        <f>VLOOKUP(Inventory[[#This Row],[Qlty]],Lookups!$A$66:$E$79,2,FALSE)</f>
        <v>32917.849192000001</v>
      </c>
      <c r="AT815" s="30">
        <f>VLOOKUP(Inventory[[#This Row],[Cnd]],Lookups!$A$80:$E$88,2,FALSE)</f>
        <v>17761.121909000001</v>
      </c>
      <c r="AU815" s="30">
        <f>Inventory[[#This Row],[EffAge]]*Lookups!$B$65</f>
        <v>-2066.0808999999999</v>
      </c>
      <c r="AV815" s="30">
        <f>Inventory[[#This Row],[MainFn]]*Lookups!$B$90</f>
        <v>69649.984080000009</v>
      </c>
      <c r="AW815" s="30">
        <f>Inventory[[#This Row],[UpprFn]]*Lookups!$B$91</f>
        <v>66491.707427999994</v>
      </c>
      <c r="AX815" s="30">
        <f>Inventory[[#This Row],[Bsmt Area]]*Lookups!$B$95</f>
        <v>0</v>
      </c>
      <c r="AY815" s="30">
        <f>Inventory[[#This Row],[AttGar]]*Lookups!$B$93</f>
        <v>15532.453640000002</v>
      </c>
      <c r="AZ815" s="30">
        <f>ROUND(Inventory[[#This Row],[25Det]],-2)</f>
        <v>0</v>
      </c>
      <c r="BA815" s="30">
        <f>ROUND(SUM(Inventory[[#This Row],[Mdl Qlty]:[Mdl Garage Area]])+Inventory[[#This Row],[Mdl Res Intercept]],-2)</f>
        <v>332800</v>
      </c>
      <c r="BB815" s="30">
        <f>ROUND(Inventory[[#This Row],[Mdl Land Intercept]]+Inventory[[#This Row],[Mdl LnAcres]],-2)</f>
        <v>65100</v>
      </c>
      <c r="BC815" s="30">
        <f>Inventory[[#This Row],[Unadj Res Value]]+Inventory[[#This Row],[Unadj Det Value]]+Inventory[[#This Row],[Unadj Land Value]]</f>
        <v>397900</v>
      </c>
      <c r="BD815" s="30">
        <f>(Inventory[[#This Row],[Unadj Total Value]]-Inventory[[#This Row],[24Final]])/Inventory[[#This Row],[24Final]]</f>
        <v>3.4581383255330216E-2</v>
      </c>
      <c r="BE815" s="30">
        <f>VLOOKUP(Inventory[[#This Row],[Nbhd]],Lookups!$M$3:$P$5,4,FALSE)</f>
        <v>0.99970000000000003</v>
      </c>
      <c r="BF815" s="30">
        <f>VLOOKUP(Inventory[[#This Row],[Qlty]],Lookups!$M$8:$P$22,4,FALSE)</f>
        <v>1.0019</v>
      </c>
      <c r="BG815" s="30">
        <f>VLOOKUP(Inventory[[#This Row],[Cnd]],Lookups!$R$8:$U$17,4,FALSE)</f>
        <v>0.99680000000000002</v>
      </c>
      <c r="BH815" s="30">
        <f>VLOOKUP(Inventory[[#This Row],[LivArea Range]],Lookups!$R$25:$U$43,4,FALSE)</f>
        <v>1.0008999999999999</v>
      </c>
      <c r="BI815" s="30">
        <f>VLOOKUP(Inventory[[#This Row],[Decade]],Lookups!$M$24:$P$40,4,FALSE)</f>
        <v>1.0024</v>
      </c>
      <c r="BJ815" s="30">
        <f>Inventory[[#This Row],[Nbhd Adj]]*0.95</f>
        <v>0.94971499999999998</v>
      </c>
      <c r="BK815" s="30">
        <f>AVERAGE(Inventory[[#This Row],[Nbhd Adj]],Inventory[[#This Row],[Quality Adj]],Inventory[[#This Row],[Condition Adj]],Inventory[[#This Row],[Living Area Adj]],Inventory[[#This Row],[Decade Adj]])*0.95</f>
        <v>0.95032299999999992</v>
      </c>
      <c r="BL815" s="30">
        <f>ROUND((SUM(Inventory[[#This Row],[Mdl Qlty]:[Mdl Garage Area]])+Inventory[[#This Row],[Mdl Res Intercept]])*Inventory[[#This Row],[Res Adj ]],-2)</f>
        <v>316300</v>
      </c>
      <c r="BM815" s="30">
        <f>ROUND(Inventory[[#This Row],[25Det]]*Inventory[[#This Row],[Det/Nbhd Adj]],-2)</f>
        <v>0</v>
      </c>
      <c r="BN815" s="30">
        <f>Inventory[[#This Row],[Adjusted Res]]+Inventory[[#This Row],[Adj Det ]]</f>
        <v>316300</v>
      </c>
      <c r="BO815" s="30">
        <f>ROUND((Inventory[[#This Row],[Mdl Land Intercept]]+Inventory[[#This Row],[Mdl LnAcres]])*Inventory[[#This Row],[Det/Nbhd Adj]],-2)</f>
        <v>61800</v>
      </c>
      <c r="BP815" s="30">
        <f>Inventory[[#This Row],[Adjusted Impr Total]]+Inventory[[#This Row],[Adjusted Land Total]]</f>
        <v>378100</v>
      </c>
      <c r="BQ815" s="30">
        <f>IFERROR((Inventory[[#This Row],[Adjusted Impr Total]]-Inventory[[#This Row],[24Bldg]])/Inventory[[#This Row],[24Bldg]],0)</f>
        <v>-2.0439764633013318E-2</v>
      </c>
      <c r="BR815" s="43">
        <f>(Inventory[[#This Row],[Adjusted Land Total]]-Inventory[[#This Row],[24Lnd]])/Inventory[[#This Row],[24Lnd]]</f>
        <v>1.6207455429497568E-3</v>
      </c>
      <c r="BS815" s="43">
        <f>(Inventory[[#This Row],[Adjusted Total]]-Inventory[[#This Row],[24Final]])/Inventory[[#This Row],[24Final]]</f>
        <v>-1.6900676027041081E-2</v>
      </c>
    </row>
    <row r="816" spans="1:71">
      <c r="A816" s="30">
        <v>2025</v>
      </c>
      <c r="B816" s="31" t="s">
        <v>1331</v>
      </c>
      <c r="C816" s="31">
        <f>LN(Inventory[[#This Row],[Acres]])</f>
        <v>-1.7719568419318752</v>
      </c>
      <c r="D816" s="30">
        <v>0.17</v>
      </c>
      <c r="E816" s="30">
        <v>7366</v>
      </c>
      <c r="F816" s="31" t="s">
        <v>505</v>
      </c>
      <c r="G816" s="31" t="s">
        <v>155</v>
      </c>
      <c r="H816" s="31" t="s">
        <v>5</v>
      </c>
      <c r="I816" s="31" t="s">
        <v>506</v>
      </c>
      <c r="J816" s="31" t="s">
        <v>507</v>
      </c>
      <c r="K816" s="31" t="s">
        <v>330</v>
      </c>
      <c r="L816" s="31" t="s">
        <v>21</v>
      </c>
      <c r="M816" s="31" t="s">
        <v>18</v>
      </c>
      <c r="N816" s="31">
        <v>10</v>
      </c>
      <c r="O816" s="31">
        <f>2024-Inventory[[#This Row],[YrBlt]]</f>
        <v>19</v>
      </c>
      <c r="P816" s="31">
        <f>2024-Inventory[[#This Row],[EffYr]]</f>
        <v>19</v>
      </c>
      <c r="Q816" s="30">
        <v>2005</v>
      </c>
      <c r="R816" s="30">
        <v>2005</v>
      </c>
      <c r="S816" s="30">
        <v>1380</v>
      </c>
      <c r="T816" s="37"/>
      <c r="U816" s="32"/>
      <c r="V816" s="32"/>
      <c r="W816" s="32"/>
      <c r="X816" s="32">
        <f>Inventory[[#This Row],[Bsmt Area]]-Inventory[[#This Row],[FnBsmt]]</f>
        <v>0</v>
      </c>
      <c r="Y816" s="32">
        <f>Inventory[[#This Row],[MainFn]]+Inventory[[#This Row],[UpprFn]]+Inventory[[#This Row],[AddFn]]+Inventory[[#This Row],[FnBsmt]]</f>
        <v>1380</v>
      </c>
      <c r="Z816" s="32">
        <v>1500</v>
      </c>
      <c r="AA816" s="31" t="s">
        <v>56</v>
      </c>
      <c r="AB816" s="38">
        <v>1</v>
      </c>
      <c r="AC816" s="38">
        <v>428</v>
      </c>
      <c r="AD816" s="37"/>
      <c r="AE816" s="32"/>
      <c r="AF816" s="32"/>
      <c r="AG816" s="32"/>
      <c r="AH816" s="32"/>
      <c r="AI816" s="30">
        <v>313780</v>
      </c>
      <c r="AJ816" s="30">
        <v>282402</v>
      </c>
      <c r="AK816" s="30">
        <v>0</v>
      </c>
      <c r="AL816" s="30">
        <v>0</v>
      </c>
      <c r="AM816" s="30">
        <v>61700</v>
      </c>
      <c r="AN816" s="30">
        <v>271700</v>
      </c>
      <c r="AO816" s="30">
        <v>333400</v>
      </c>
      <c r="AP816" s="30">
        <f>Lookups!$B$58*0.6</f>
        <v>132535.48800000001</v>
      </c>
      <c r="AQ816" s="30">
        <f>Lookups!$B$58*0.4</f>
        <v>88356.992000000013</v>
      </c>
      <c r="AR816" s="30">
        <f>Lookups!$B$59*Inventory[[#This Row],[LnAcres]]</f>
        <v>-23255.730391660189</v>
      </c>
      <c r="AS816" s="30">
        <f>VLOOKUP(Inventory[[#This Row],[Qlty]],Lookups!$A$66:$E$79,2,FALSE)</f>
        <v>32917.849192000001</v>
      </c>
      <c r="AT816" s="30">
        <f>VLOOKUP(Inventory[[#This Row],[Cnd]],Lookups!$A$80:$E$88,2,FALSE)</f>
        <v>17761.121909000001</v>
      </c>
      <c r="AU816" s="30">
        <f>Inventory[[#This Row],[EffAge]]*Lookups!$B$65</f>
        <v>-2066.0808999999999</v>
      </c>
      <c r="AV816" s="30">
        <f>Inventory[[#This Row],[MainFn]]*Lookups!$B$90</f>
        <v>86126.324399999998</v>
      </c>
      <c r="AW816" s="30">
        <f>Inventory[[#This Row],[UpprFn]]*Lookups!$B$91</f>
        <v>0</v>
      </c>
      <c r="AX816" s="30">
        <f>Inventory[[#This Row],[Bsmt Area]]*Lookups!$B$95</f>
        <v>0</v>
      </c>
      <c r="AY816" s="30">
        <f>Inventory[[#This Row],[AttGar]]*Lookups!$B$93</f>
        <v>15108.841268</v>
      </c>
      <c r="AZ816" s="30">
        <f>ROUND(Inventory[[#This Row],[25Det]],-2)</f>
        <v>0</v>
      </c>
      <c r="BA816" s="30">
        <f>ROUND(SUM(Inventory[[#This Row],[Mdl Qlty]:[Mdl Garage Area]])+Inventory[[#This Row],[Mdl Res Intercept]],-2)</f>
        <v>282400</v>
      </c>
      <c r="BB816" s="30">
        <f>ROUND(Inventory[[#This Row],[Mdl Land Intercept]]+Inventory[[#This Row],[Mdl LnAcres]],-2)</f>
        <v>65100</v>
      </c>
      <c r="BC816" s="30">
        <f>Inventory[[#This Row],[Unadj Res Value]]+Inventory[[#This Row],[Unadj Det Value]]+Inventory[[#This Row],[Unadj Land Value]]</f>
        <v>347500</v>
      </c>
      <c r="BD816" s="30">
        <f>(Inventory[[#This Row],[Unadj Total Value]]-Inventory[[#This Row],[24Final]])/Inventory[[#This Row],[24Final]]</f>
        <v>4.2291541691661667E-2</v>
      </c>
      <c r="BE816" s="30">
        <f>VLOOKUP(Inventory[[#This Row],[Nbhd]],Lookups!$M$3:$P$5,4,FALSE)</f>
        <v>0.99970000000000003</v>
      </c>
      <c r="BF816" s="30">
        <f>VLOOKUP(Inventory[[#This Row],[Qlty]],Lookups!$M$8:$P$22,4,FALSE)</f>
        <v>1.0019</v>
      </c>
      <c r="BG816" s="30">
        <f>VLOOKUP(Inventory[[#This Row],[Cnd]],Lookups!$R$8:$U$17,4,FALSE)</f>
        <v>0.99680000000000002</v>
      </c>
      <c r="BH816" s="30">
        <f>VLOOKUP(Inventory[[#This Row],[LivArea Range]],Lookups!$R$25:$U$43,4,FALSE)</f>
        <v>0.99519999999999997</v>
      </c>
      <c r="BI816" s="30">
        <f>VLOOKUP(Inventory[[#This Row],[Decade]],Lookups!$M$24:$P$40,4,FALSE)</f>
        <v>1.0024</v>
      </c>
      <c r="BJ816" s="30">
        <f>Inventory[[#This Row],[Nbhd Adj]]*0.95</f>
        <v>0.94971499999999998</v>
      </c>
      <c r="BK816" s="30">
        <f>AVERAGE(Inventory[[#This Row],[Nbhd Adj]],Inventory[[#This Row],[Quality Adj]],Inventory[[#This Row],[Condition Adj]],Inventory[[#This Row],[Living Area Adj]],Inventory[[#This Row],[Decade Adj]])*0.95</f>
        <v>0.94923999999999986</v>
      </c>
      <c r="BL816" s="30">
        <f>ROUND((SUM(Inventory[[#This Row],[Mdl Qlty]:[Mdl Garage Area]])+Inventory[[#This Row],[Mdl Res Intercept]])*Inventory[[#This Row],[Res Adj ]],-2)</f>
        <v>268000</v>
      </c>
      <c r="BM816" s="30">
        <f>ROUND(Inventory[[#This Row],[25Det]]*Inventory[[#This Row],[Det/Nbhd Adj]],-2)</f>
        <v>0</v>
      </c>
      <c r="BN816" s="30">
        <f>Inventory[[#This Row],[Adjusted Res]]+Inventory[[#This Row],[Adj Det ]]</f>
        <v>268000</v>
      </c>
      <c r="BO816" s="30">
        <f>ROUND((Inventory[[#This Row],[Mdl Land Intercept]]+Inventory[[#This Row],[Mdl LnAcres]])*Inventory[[#This Row],[Det/Nbhd Adj]],-2)</f>
        <v>61800</v>
      </c>
      <c r="BP816" s="30">
        <f>Inventory[[#This Row],[Adjusted Impr Total]]+Inventory[[#This Row],[Adjusted Land Total]]</f>
        <v>329800</v>
      </c>
      <c r="BQ816" s="30">
        <f>IFERROR((Inventory[[#This Row],[Adjusted Impr Total]]-Inventory[[#This Row],[24Bldg]])/Inventory[[#This Row],[24Bldg]],0)</f>
        <v>-1.3617960986382039E-2</v>
      </c>
      <c r="BR816" s="43">
        <f>(Inventory[[#This Row],[Adjusted Land Total]]-Inventory[[#This Row],[24Lnd]])/Inventory[[#This Row],[24Lnd]]</f>
        <v>1.6207455429497568E-3</v>
      </c>
      <c r="BS816" s="43">
        <f>(Inventory[[#This Row],[Adjusted Total]]-Inventory[[#This Row],[24Final]])/Inventory[[#This Row],[24Final]]</f>
        <v>-1.0797840431913617E-2</v>
      </c>
    </row>
    <row r="817" spans="1:71">
      <c r="A817" s="30">
        <v>2025</v>
      </c>
      <c r="B817" s="31" t="s">
        <v>1332</v>
      </c>
      <c r="C817" s="31">
        <f>LN(Inventory[[#This Row],[Acres]])</f>
        <v>-1.7719568419318752</v>
      </c>
      <c r="D817" s="30">
        <v>0.17</v>
      </c>
      <c r="E817" s="30">
        <v>7456</v>
      </c>
      <c r="F817" s="31" t="s">
        <v>505</v>
      </c>
      <c r="G817" s="31" t="s">
        <v>155</v>
      </c>
      <c r="H817" s="31" t="s">
        <v>5</v>
      </c>
      <c r="I817" s="31" t="s">
        <v>506</v>
      </c>
      <c r="J817" s="31" t="s">
        <v>507</v>
      </c>
      <c r="K817" s="31" t="s">
        <v>193</v>
      </c>
      <c r="L817" s="31" t="s">
        <v>19</v>
      </c>
      <c r="M817" s="31" t="s">
        <v>20</v>
      </c>
      <c r="N817" s="31">
        <v>10</v>
      </c>
      <c r="O817" s="31">
        <f>2024-Inventory[[#This Row],[YrBlt]]</f>
        <v>19</v>
      </c>
      <c r="P817" s="31">
        <f>2024-Inventory[[#This Row],[EffYr]]</f>
        <v>19</v>
      </c>
      <c r="Q817" s="30">
        <v>2005</v>
      </c>
      <c r="R817" s="30">
        <v>2005</v>
      </c>
      <c r="S817" s="30">
        <v>1436</v>
      </c>
      <c r="T817" s="32"/>
      <c r="U817" s="32"/>
      <c r="V817" s="32"/>
      <c r="W817" s="32"/>
      <c r="X817" s="32">
        <f>Inventory[[#This Row],[Bsmt Area]]-Inventory[[#This Row],[FnBsmt]]</f>
        <v>0</v>
      </c>
      <c r="Y817" s="32">
        <f>Inventory[[#This Row],[MainFn]]+Inventory[[#This Row],[UpprFn]]+Inventory[[#This Row],[AddFn]]+Inventory[[#This Row],[FnBsmt]]</f>
        <v>1436</v>
      </c>
      <c r="Z817" s="32">
        <v>1500</v>
      </c>
      <c r="AA817" s="31" t="s">
        <v>56</v>
      </c>
      <c r="AB817" s="32"/>
      <c r="AC817" s="30">
        <v>400</v>
      </c>
      <c r="AD817" s="32"/>
      <c r="AE817" s="32"/>
      <c r="AF817" s="32"/>
      <c r="AG817" s="32"/>
      <c r="AH817" s="32"/>
      <c r="AI817" s="30">
        <v>280937</v>
      </c>
      <c r="AJ817" s="30">
        <v>255653</v>
      </c>
      <c r="AK817" s="30">
        <v>0</v>
      </c>
      <c r="AL817" s="30">
        <v>0</v>
      </c>
      <c r="AM817" s="30">
        <v>61700</v>
      </c>
      <c r="AN817" s="30">
        <v>289400</v>
      </c>
      <c r="AO817" s="30">
        <v>351100</v>
      </c>
      <c r="AP817" s="30">
        <f>Lookups!$B$58*0.6</f>
        <v>132535.48800000001</v>
      </c>
      <c r="AQ817" s="30">
        <f>Lookups!$B$58*0.4</f>
        <v>88356.992000000013</v>
      </c>
      <c r="AR817" s="30">
        <f>Lookups!$B$59*Inventory[[#This Row],[LnAcres]]</f>
        <v>-23255.730391660189</v>
      </c>
      <c r="AS817" s="30">
        <f>VLOOKUP(Inventory[[#This Row],[Qlty]],Lookups!$A$66:$E$79,2,FALSE)</f>
        <v>37154.252388000001</v>
      </c>
      <c r="AT817" s="30">
        <f>VLOOKUP(Inventory[[#This Row],[Cnd]],Lookups!$A$80:$E$88,2,FALSE)</f>
        <v>30300.329274</v>
      </c>
      <c r="AU817" s="30">
        <f>Inventory[[#This Row],[EffAge]]*Lookups!$B$65</f>
        <v>-2066.0808999999999</v>
      </c>
      <c r="AV817" s="30">
        <f>Inventory[[#This Row],[MainFn]]*Lookups!$B$90</f>
        <v>89621.305680000005</v>
      </c>
      <c r="AW817" s="30">
        <f>Inventory[[#This Row],[UpprFn]]*Lookups!$B$91</f>
        <v>0</v>
      </c>
      <c r="AX817" s="30">
        <f>Inventory[[#This Row],[Bsmt Area]]*Lookups!$B$95</f>
        <v>0</v>
      </c>
      <c r="AY817" s="30">
        <f>Inventory[[#This Row],[AttGar]]*Lookups!$B$93</f>
        <v>14120.412400000001</v>
      </c>
      <c r="AZ817" s="30">
        <f>ROUND(Inventory[[#This Row],[25Det]],-2)</f>
        <v>0</v>
      </c>
      <c r="BA817" s="30">
        <f>ROUND(SUM(Inventory[[#This Row],[Mdl Qlty]:[Mdl Garage Area]])+Inventory[[#This Row],[Mdl Res Intercept]],-2)</f>
        <v>301700</v>
      </c>
      <c r="BB817" s="30">
        <f>ROUND(Inventory[[#This Row],[Mdl Land Intercept]]+Inventory[[#This Row],[Mdl LnAcres]],-2)</f>
        <v>65100</v>
      </c>
      <c r="BC817" s="30">
        <f>Inventory[[#This Row],[Unadj Res Value]]+Inventory[[#This Row],[Unadj Det Value]]+Inventory[[#This Row],[Unadj Land Value]]</f>
        <v>366800</v>
      </c>
      <c r="BD817" s="30">
        <f>(Inventory[[#This Row],[Unadj Total Value]]-Inventory[[#This Row],[24Final]])/Inventory[[#This Row],[24Final]]</f>
        <v>4.4716604955853036E-2</v>
      </c>
      <c r="BE817" s="30">
        <f>VLOOKUP(Inventory[[#This Row],[Nbhd]],Lookups!$M$3:$P$5,4,FALSE)</f>
        <v>0.99970000000000003</v>
      </c>
      <c r="BF817" s="30">
        <f>VLOOKUP(Inventory[[#This Row],[Qlty]],Lookups!$M$8:$P$22,4,FALSE)</f>
        <v>0.99819999999999998</v>
      </c>
      <c r="BG817" s="30">
        <f>VLOOKUP(Inventory[[#This Row],[Cnd]],Lookups!$R$8:$U$17,4,FALSE)</f>
        <v>0.997</v>
      </c>
      <c r="BH817" s="30">
        <f>VLOOKUP(Inventory[[#This Row],[LivArea Range]],Lookups!$R$25:$U$43,4,FALSE)</f>
        <v>0.99519999999999997</v>
      </c>
      <c r="BI817" s="30">
        <f>VLOOKUP(Inventory[[#This Row],[Decade]],Lookups!$M$24:$P$40,4,FALSE)</f>
        <v>1.0024</v>
      </c>
      <c r="BJ817" s="30">
        <f>Inventory[[#This Row],[Nbhd Adj]]*0.95</f>
        <v>0.94971499999999998</v>
      </c>
      <c r="BK817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817" s="30">
        <f>ROUND((SUM(Inventory[[#This Row],[Mdl Qlty]:[Mdl Garage Area]])+Inventory[[#This Row],[Mdl Res Intercept]])*Inventory[[#This Row],[Res Adj ]],-2)</f>
        <v>286200</v>
      </c>
      <c r="BM817" s="30">
        <f>ROUND(Inventory[[#This Row],[25Det]]*Inventory[[#This Row],[Det/Nbhd Adj]],-2)</f>
        <v>0</v>
      </c>
      <c r="BN817" s="30">
        <f>Inventory[[#This Row],[Adjusted Res]]+Inventory[[#This Row],[Adj Det ]]</f>
        <v>286200</v>
      </c>
      <c r="BO817" s="30">
        <f>ROUND((Inventory[[#This Row],[Mdl Land Intercept]]+Inventory[[#This Row],[Mdl LnAcres]])*Inventory[[#This Row],[Det/Nbhd Adj]],-2)</f>
        <v>61800</v>
      </c>
      <c r="BP817" s="30">
        <f>Inventory[[#This Row],[Adjusted Impr Total]]+Inventory[[#This Row],[Adjusted Land Total]]</f>
        <v>348000</v>
      </c>
      <c r="BQ817" s="30">
        <f>IFERROR((Inventory[[#This Row],[Adjusted Impr Total]]-Inventory[[#This Row],[24Bldg]])/Inventory[[#This Row],[24Bldg]],0)</f>
        <v>-1.10573600552868E-2</v>
      </c>
      <c r="BR817" s="43">
        <f>(Inventory[[#This Row],[Adjusted Land Total]]-Inventory[[#This Row],[24Lnd]])/Inventory[[#This Row],[24Lnd]]</f>
        <v>1.6207455429497568E-3</v>
      </c>
      <c r="BS817" s="43">
        <f>(Inventory[[#This Row],[Adjusted Total]]-Inventory[[#This Row],[24Final]])/Inventory[[#This Row],[24Final]]</f>
        <v>-8.8293933352321281E-3</v>
      </c>
    </row>
    <row r="818" spans="1:71">
      <c r="A818" s="30">
        <v>2025</v>
      </c>
      <c r="B818" s="31" t="s">
        <v>1333</v>
      </c>
      <c r="C818" s="31">
        <f>LN(Inventory[[#This Row],[Acres]])</f>
        <v>-1.7719568419318752</v>
      </c>
      <c r="D818" s="30">
        <v>0.17</v>
      </c>
      <c r="E818" s="30">
        <v>7191</v>
      </c>
      <c r="F818" s="31" t="s">
        <v>505</v>
      </c>
      <c r="G818" s="31" t="s">
        <v>155</v>
      </c>
      <c r="H818" s="31" t="s">
        <v>5</v>
      </c>
      <c r="I818" s="31" t="s">
        <v>506</v>
      </c>
      <c r="J818" s="31" t="s">
        <v>507</v>
      </c>
      <c r="K818" s="31" t="s">
        <v>193</v>
      </c>
      <c r="L818" s="31" t="s">
        <v>21</v>
      </c>
      <c r="M818" s="31" t="s">
        <v>20</v>
      </c>
      <c r="N818" s="31">
        <v>10</v>
      </c>
      <c r="O818" s="31">
        <f>2024-Inventory[[#This Row],[YrBlt]]</f>
        <v>19</v>
      </c>
      <c r="P818" s="31">
        <f>2024-Inventory[[#This Row],[EffYr]]</f>
        <v>19</v>
      </c>
      <c r="Q818" s="30">
        <v>2005</v>
      </c>
      <c r="R818" s="30">
        <v>2005</v>
      </c>
      <c r="S818" s="30">
        <v>1436</v>
      </c>
      <c r="T818" s="32"/>
      <c r="U818" s="32"/>
      <c r="V818" s="32"/>
      <c r="W818" s="32"/>
      <c r="X818" s="32">
        <f>Inventory[[#This Row],[Bsmt Area]]-Inventory[[#This Row],[FnBsmt]]</f>
        <v>0</v>
      </c>
      <c r="Y818" s="32">
        <f>Inventory[[#This Row],[MainFn]]+Inventory[[#This Row],[UpprFn]]+Inventory[[#This Row],[AddFn]]+Inventory[[#This Row],[FnBsmt]]</f>
        <v>1436</v>
      </c>
      <c r="Z818" s="32">
        <v>1500</v>
      </c>
      <c r="AA818" s="31" t="s">
        <v>56</v>
      </c>
      <c r="AB818" s="32"/>
      <c r="AC818" s="30">
        <v>400</v>
      </c>
      <c r="AD818" s="32"/>
      <c r="AE818" s="32"/>
      <c r="AF818" s="32"/>
      <c r="AG818" s="32"/>
      <c r="AH818" s="32"/>
      <c r="AI818" s="30">
        <v>326923</v>
      </c>
      <c r="AJ818" s="30">
        <v>297500</v>
      </c>
      <c r="AK818" s="30">
        <v>0</v>
      </c>
      <c r="AL818" s="30">
        <v>0</v>
      </c>
      <c r="AM818" s="30">
        <v>61700</v>
      </c>
      <c r="AN818" s="30">
        <v>285000</v>
      </c>
      <c r="AO818" s="30">
        <v>346700</v>
      </c>
      <c r="AP818" s="30">
        <f>Lookups!$B$58*0.6</f>
        <v>132535.48800000001</v>
      </c>
      <c r="AQ818" s="30">
        <f>Lookups!$B$58*0.4</f>
        <v>88356.992000000013</v>
      </c>
      <c r="AR818" s="30">
        <f>Lookups!$B$59*Inventory[[#This Row],[LnAcres]]</f>
        <v>-23255.730391660189</v>
      </c>
      <c r="AS818" s="30">
        <f>VLOOKUP(Inventory[[#This Row],[Qlty]],Lookups!$A$66:$E$79,2,FALSE)</f>
        <v>32917.849192000001</v>
      </c>
      <c r="AT818" s="30">
        <f>VLOOKUP(Inventory[[#This Row],[Cnd]],Lookups!$A$80:$E$88,2,FALSE)</f>
        <v>30300.329274</v>
      </c>
      <c r="AU818" s="30">
        <f>Inventory[[#This Row],[EffAge]]*Lookups!$B$65</f>
        <v>-2066.0808999999999</v>
      </c>
      <c r="AV818" s="30">
        <f>Inventory[[#This Row],[MainFn]]*Lookups!$B$90</f>
        <v>89621.305680000005</v>
      </c>
      <c r="AW818" s="30">
        <f>Inventory[[#This Row],[UpprFn]]*Lookups!$B$91</f>
        <v>0</v>
      </c>
      <c r="AX818" s="30">
        <f>Inventory[[#This Row],[Bsmt Area]]*Lookups!$B$95</f>
        <v>0</v>
      </c>
      <c r="AY818" s="30">
        <f>Inventory[[#This Row],[AttGar]]*Lookups!$B$93</f>
        <v>14120.412400000001</v>
      </c>
      <c r="AZ818" s="30">
        <f>ROUND(Inventory[[#This Row],[25Det]],-2)</f>
        <v>0</v>
      </c>
      <c r="BA818" s="30">
        <f>ROUND(SUM(Inventory[[#This Row],[Mdl Qlty]:[Mdl Garage Area]])+Inventory[[#This Row],[Mdl Res Intercept]],-2)</f>
        <v>297400</v>
      </c>
      <c r="BB818" s="30">
        <f>ROUND(Inventory[[#This Row],[Mdl Land Intercept]]+Inventory[[#This Row],[Mdl LnAcres]],-2)</f>
        <v>65100</v>
      </c>
      <c r="BC818" s="30">
        <f>Inventory[[#This Row],[Unadj Res Value]]+Inventory[[#This Row],[Unadj Det Value]]+Inventory[[#This Row],[Unadj Land Value]]</f>
        <v>362500</v>
      </c>
      <c r="BD818" s="30">
        <f>(Inventory[[#This Row],[Unadj Total Value]]-Inventory[[#This Row],[24Final]])/Inventory[[#This Row],[24Final]]</f>
        <v>4.5572541101817132E-2</v>
      </c>
      <c r="BE818" s="30">
        <f>VLOOKUP(Inventory[[#This Row],[Nbhd]],Lookups!$M$3:$P$5,4,FALSE)</f>
        <v>0.99970000000000003</v>
      </c>
      <c r="BF818" s="30">
        <f>VLOOKUP(Inventory[[#This Row],[Qlty]],Lookups!$M$8:$P$22,4,FALSE)</f>
        <v>1.0019</v>
      </c>
      <c r="BG818" s="30">
        <f>VLOOKUP(Inventory[[#This Row],[Cnd]],Lookups!$R$8:$U$17,4,FALSE)</f>
        <v>0.997</v>
      </c>
      <c r="BH818" s="30">
        <f>VLOOKUP(Inventory[[#This Row],[LivArea Range]],Lookups!$R$25:$U$43,4,FALSE)</f>
        <v>0.99519999999999997</v>
      </c>
      <c r="BI818" s="30">
        <f>VLOOKUP(Inventory[[#This Row],[Decade]],Lookups!$M$24:$P$40,4,FALSE)</f>
        <v>1.0024</v>
      </c>
      <c r="BJ818" s="30">
        <f>Inventory[[#This Row],[Nbhd Adj]]*0.95</f>
        <v>0.94971499999999998</v>
      </c>
      <c r="BK818" s="30">
        <f>AVERAGE(Inventory[[#This Row],[Nbhd Adj]],Inventory[[#This Row],[Quality Adj]],Inventory[[#This Row],[Condition Adj]],Inventory[[#This Row],[Living Area Adj]],Inventory[[#This Row],[Decade Adj]])*0.95</f>
        <v>0.94927799999999996</v>
      </c>
      <c r="BL818" s="30">
        <f>ROUND((SUM(Inventory[[#This Row],[Mdl Qlty]:[Mdl Garage Area]])+Inventory[[#This Row],[Mdl Res Intercept]])*Inventory[[#This Row],[Res Adj ]],-2)</f>
        <v>282300</v>
      </c>
      <c r="BM818" s="30">
        <f>ROUND(Inventory[[#This Row],[25Det]]*Inventory[[#This Row],[Det/Nbhd Adj]],-2)</f>
        <v>0</v>
      </c>
      <c r="BN818" s="30">
        <f>Inventory[[#This Row],[Adjusted Res]]+Inventory[[#This Row],[Adj Det ]]</f>
        <v>282300</v>
      </c>
      <c r="BO818" s="30">
        <f>ROUND((Inventory[[#This Row],[Mdl Land Intercept]]+Inventory[[#This Row],[Mdl LnAcres]])*Inventory[[#This Row],[Det/Nbhd Adj]],-2)</f>
        <v>61800</v>
      </c>
      <c r="BP818" s="30">
        <f>Inventory[[#This Row],[Adjusted Impr Total]]+Inventory[[#This Row],[Adjusted Land Total]]</f>
        <v>344100</v>
      </c>
      <c r="BQ818" s="30">
        <f>IFERROR((Inventory[[#This Row],[Adjusted Impr Total]]-Inventory[[#This Row],[24Bldg]])/Inventory[[#This Row],[24Bldg]],0)</f>
        <v>-9.4736842105263164E-3</v>
      </c>
      <c r="BR818" s="43">
        <f>(Inventory[[#This Row],[Adjusted Land Total]]-Inventory[[#This Row],[24Lnd]])/Inventory[[#This Row],[24Lnd]]</f>
        <v>1.6207455429497568E-3</v>
      </c>
      <c r="BS818" s="43">
        <f>(Inventory[[#This Row],[Adjusted Total]]-Inventory[[#This Row],[24Final]])/Inventory[[#This Row],[24Final]]</f>
        <v>-7.4992789154888955E-3</v>
      </c>
    </row>
    <row r="819" spans="1:71">
      <c r="A819" s="30">
        <v>2025</v>
      </c>
      <c r="B819" s="31" t="s">
        <v>1334</v>
      </c>
      <c r="C819" s="31">
        <f>LN(Inventory[[#This Row],[Acres]])</f>
        <v>-1.7719568419318752</v>
      </c>
      <c r="D819" s="30">
        <v>0.17</v>
      </c>
      <c r="E819" s="30">
        <v>7395</v>
      </c>
      <c r="F819" s="31" t="s">
        <v>505</v>
      </c>
      <c r="G819" s="31" t="s">
        <v>155</v>
      </c>
      <c r="H819" s="31" t="s">
        <v>5</v>
      </c>
      <c r="I819" s="31" t="s">
        <v>506</v>
      </c>
      <c r="J819" s="31" t="s">
        <v>507</v>
      </c>
      <c r="K819" s="31" t="s">
        <v>193</v>
      </c>
      <c r="L819" s="31" t="s">
        <v>19</v>
      </c>
      <c r="M819" s="31" t="s">
        <v>20</v>
      </c>
      <c r="N819" s="31">
        <v>10</v>
      </c>
      <c r="O819" s="31">
        <f>2024-Inventory[[#This Row],[YrBlt]]</f>
        <v>19</v>
      </c>
      <c r="P819" s="31">
        <f>2024-Inventory[[#This Row],[EffYr]]</f>
        <v>19</v>
      </c>
      <c r="Q819" s="30">
        <v>2005</v>
      </c>
      <c r="R819" s="30">
        <v>2005</v>
      </c>
      <c r="S819" s="30">
        <v>1690</v>
      </c>
      <c r="T819" s="37"/>
      <c r="U819" s="32"/>
      <c r="V819" s="32"/>
      <c r="W819" s="32"/>
      <c r="X819" s="32">
        <f>Inventory[[#This Row],[Bsmt Area]]-Inventory[[#This Row],[FnBsmt]]</f>
        <v>0</v>
      </c>
      <c r="Y819" s="32">
        <f>Inventory[[#This Row],[MainFn]]+Inventory[[#This Row],[UpprFn]]+Inventory[[#This Row],[AddFn]]+Inventory[[#This Row],[FnBsmt]]</f>
        <v>1690</v>
      </c>
      <c r="Z819" s="32">
        <v>2000</v>
      </c>
      <c r="AA819" s="31" t="s">
        <v>56</v>
      </c>
      <c r="AB819" s="37"/>
      <c r="AC819" s="38">
        <v>466</v>
      </c>
      <c r="AD819" s="37"/>
      <c r="AE819" s="32"/>
      <c r="AF819" s="32"/>
      <c r="AG819" s="32"/>
      <c r="AH819" s="32"/>
      <c r="AI819" s="30">
        <v>327963</v>
      </c>
      <c r="AJ819" s="30">
        <v>298446</v>
      </c>
      <c r="AK819" s="30">
        <v>0</v>
      </c>
      <c r="AL819" s="30">
        <v>0</v>
      </c>
      <c r="AM819" s="30">
        <v>61700</v>
      </c>
      <c r="AN819" s="30">
        <v>306800</v>
      </c>
      <c r="AO819" s="30">
        <v>368500</v>
      </c>
      <c r="AP819" s="30">
        <f>Lookups!$B$58*0.6</f>
        <v>132535.48800000001</v>
      </c>
      <c r="AQ819" s="30">
        <f>Lookups!$B$58*0.4</f>
        <v>88356.992000000013</v>
      </c>
      <c r="AR819" s="30">
        <f>Lookups!$B$59*Inventory[[#This Row],[LnAcres]]</f>
        <v>-23255.730391660189</v>
      </c>
      <c r="AS819" s="30">
        <f>VLOOKUP(Inventory[[#This Row],[Qlty]],Lookups!$A$66:$E$79,2,FALSE)</f>
        <v>37154.252388000001</v>
      </c>
      <c r="AT819" s="30">
        <f>VLOOKUP(Inventory[[#This Row],[Cnd]],Lookups!$A$80:$E$88,2,FALSE)</f>
        <v>30300.329274</v>
      </c>
      <c r="AU819" s="30">
        <f>Inventory[[#This Row],[EffAge]]*Lookups!$B$65</f>
        <v>-2066.0808999999999</v>
      </c>
      <c r="AV819" s="30">
        <f>Inventory[[#This Row],[MainFn]]*Lookups!$B$90</f>
        <v>105473.54220000001</v>
      </c>
      <c r="AW819" s="30">
        <f>Inventory[[#This Row],[UpprFn]]*Lookups!$B$91</f>
        <v>0</v>
      </c>
      <c r="AX819" s="30">
        <f>Inventory[[#This Row],[Bsmt Area]]*Lookups!$B$95</f>
        <v>0</v>
      </c>
      <c r="AY819" s="30">
        <f>Inventory[[#This Row],[AttGar]]*Lookups!$B$93</f>
        <v>16450.280446000001</v>
      </c>
      <c r="AZ819" s="30">
        <f>ROUND(Inventory[[#This Row],[25Det]],-2)</f>
        <v>0</v>
      </c>
      <c r="BA819" s="30">
        <f>ROUND(SUM(Inventory[[#This Row],[Mdl Qlty]:[Mdl Garage Area]])+Inventory[[#This Row],[Mdl Res Intercept]],-2)</f>
        <v>319800</v>
      </c>
      <c r="BB819" s="30">
        <f>ROUND(Inventory[[#This Row],[Mdl Land Intercept]]+Inventory[[#This Row],[Mdl LnAcres]],-2)</f>
        <v>65100</v>
      </c>
      <c r="BC819" s="30">
        <f>Inventory[[#This Row],[Unadj Res Value]]+Inventory[[#This Row],[Unadj Det Value]]+Inventory[[#This Row],[Unadj Land Value]]</f>
        <v>384900</v>
      </c>
      <c r="BD819" s="30">
        <f>(Inventory[[#This Row],[Unadj Total Value]]-Inventory[[#This Row],[24Final]])/Inventory[[#This Row],[24Final]]</f>
        <v>4.4504748982360925E-2</v>
      </c>
      <c r="BE819" s="30">
        <f>VLOOKUP(Inventory[[#This Row],[Nbhd]],Lookups!$M$3:$P$5,4,FALSE)</f>
        <v>0.99970000000000003</v>
      </c>
      <c r="BF819" s="30">
        <f>VLOOKUP(Inventory[[#This Row],[Qlty]],Lookups!$M$8:$P$22,4,FALSE)</f>
        <v>0.99819999999999998</v>
      </c>
      <c r="BG819" s="30">
        <f>VLOOKUP(Inventory[[#This Row],[Cnd]],Lookups!$R$8:$U$17,4,FALSE)</f>
        <v>0.997</v>
      </c>
      <c r="BH819" s="30">
        <f>VLOOKUP(Inventory[[#This Row],[LivArea Range]],Lookups!$R$25:$U$43,4,FALSE)</f>
        <v>1.0007999999999999</v>
      </c>
      <c r="BI819" s="30">
        <f>VLOOKUP(Inventory[[#This Row],[Decade]],Lookups!$M$24:$P$40,4,FALSE)</f>
        <v>1.0024</v>
      </c>
      <c r="BJ819" s="30">
        <f>Inventory[[#This Row],[Nbhd Adj]]*0.95</f>
        <v>0.94971499999999998</v>
      </c>
      <c r="BK819" s="30">
        <f>AVERAGE(Inventory[[#This Row],[Nbhd Adj]],Inventory[[#This Row],[Quality Adj]],Inventory[[#This Row],[Condition Adj]],Inventory[[#This Row],[Living Area Adj]],Inventory[[#This Row],[Decade Adj]])*0.95</f>
        <v>0.9496389999999999</v>
      </c>
      <c r="BL819" s="30">
        <f>ROUND((SUM(Inventory[[#This Row],[Mdl Qlty]:[Mdl Garage Area]])+Inventory[[#This Row],[Mdl Res Intercept]])*Inventory[[#This Row],[Res Adj ]],-2)</f>
        <v>303700</v>
      </c>
      <c r="BM819" s="30">
        <f>ROUND(Inventory[[#This Row],[25Det]]*Inventory[[#This Row],[Det/Nbhd Adj]],-2)</f>
        <v>0</v>
      </c>
      <c r="BN819" s="30">
        <f>Inventory[[#This Row],[Adjusted Res]]+Inventory[[#This Row],[Adj Det ]]</f>
        <v>303700</v>
      </c>
      <c r="BO819" s="30">
        <f>ROUND((Inventory[[#This Row],[Mdl Land Intercept]]+Inventory[[#This Row],[Mdl LnAcres]])*Inventory[[#This Row],[Det/Nbhd Adj]],-2)</f>
        <v>61800</v>
      </c>
      <c r="BP819" s="30">
        <f>Inventory[[#This Row],[Adjusted Impr Total]]+Inventory[[#This Row],[Adjusted Land Total]]</f>
        <v>365500</v>
      </c>
      <c r="BQ819" s="30">
        <f>IFERROR((Inventory[[#This Row],[Adjusted Impr Total]]-Inventory[[#This Row],[24Bldg]])/Inventory[[#This Row],[24Bldg]],0)</f>
        <v>-1.0104302477183833E-2</v>
      </c>
      <c r="BR819" s="43">
        <f>(Inventory[[#This Row],[Adjusted Land Total]]-Inventory[[#This Row],[24Lnd]])/Inventory[[#This Row],[24Lnd]]</f>
        <v>1.6207455429497568E-3</v>
      </c>
      <c r="BS819" s="43">
        <f>(Inventory[[#This Row],[Adjusted Total]]-Inventory[[#This Row],[24Final]])/Inventory[[#This Row],[24Final]]</f>
        <v>-8.1411126187245584E-3</v>
      </c>
    </row>
    <row r="820" spans="1:71">
      <c r="A820" s="30">
        <v>2025</v>
      </c>
      <c r="B820" s="31" t="s">
        <v>1335</v>
      </c>
      <c r="C820" s="31">
        <f>LN(Inventory[[#This Row],[Acres]])</f>
        <v>-1.7719568419318752</v>
      </c>
      <c r="D820" s="30">
        <v>0.17</v>
      </c>
      <c r="E820" s="30">
        <v>7192</v>
      </c>
      <c r="F820" s="31" t="s">
        <v>505</v>
      </c>
      <c r="G820" s="31" t="s">
        <v>155</v>
      </c>
      <c r="H820" s="31" t="s">
        <v>5</v>
      </c>
      <c r="I820" s="31" t="s">
        <v>506</v>
      </c>
      <c r="J820" s="31" t="s">
        <v>507</v>
      </c>
      <c r="K820" s="31" t="s">
        <v>193</v>
      </c>
      <c r="L820" s="31" t="s">
        <v>19</v>
      </c>
      <c r="M820" s="31" t="s">
        <v>22</v>
      </c>
      <c r="N820" s="31">
        <v>10</v>
      </c>
      <c r="O820" s="31">
        <f>2024-Inventory[[#This Row],[YrBlt]]</f>
        <v>19</v>
      </c>
      <c r="P820" s="31">
        <f>2024-Inventory[[#This Row],[EffYr]]</f>
        <v>19</v>
      </c>
      <c r="Q820" s="30">
        <v>2005</v>
      </c>
      <c r="R820" s="30">
        <v>2005</v>
      </c>
      <c r="S820" s="30">
        <v>1380</v>
      </c>
      <c r="T820" s="37"/>
      <c r="U820" s="32"/>
      <c r="V820" s="32"/>
      <c r="W820" s="32"/>
      <c r="X820" s="32">
        <f>Inventory[[#This Row],[Bsmt Area]]-Inventory[[#This Row],[FnBsmt]]</f>
        <v>0</v>
      </c>
      <c r="Y820" s="32">
        <f>Inventory[[#This Row],[MainFn]]+Inventory[[#This Row],[UpprFn]]+Inventory[[#This Row],[AddFn]]+Inventory[[#This Row],[FnBsmt]]</f>
        <v>1380</v>
      </c>
      <c r="Z820" s="32">
        <v>1500</v>
      </c>
      <c r="AA820" s="31" t="s">
        <v>56</v>
      </c>
      <c r="AB820" s="32"/>
      <c r="AC820" s="30">
        <v>428</v>
      </c>
      <c r="AD820" s="32"/>
      <c r="AE820" s="32"/>
      <c r="AF820" s="32"/>
      <c r="AG820" s="32"/>
      <c r="AH820" s="32"/>
      <c r="AI820" s="30">
        <v>275531</v>
      </c>
      <c r="AJ820" s="30">
        <v>250733</v>
      </c>
      <c r="AK820" s="30">
        <v>0</v>
      </c>
      <c r="AL820" s="30">
        <v>0</v>
      </c>
      <c r="AM820" s="30">
        <v>61700</v>
      </c>
      <c r="AN820" s="30">
        <v>306000</v>
      </c>
      <c r="AO820" s="30">
        <v>367700</v>
      </c>
      <c r="AP820" s="30">
        <f>Lookups!$B$58*0.6</f>
        <v>132535.48800000001</v>
      </c>
      <c r="AQ820" s="30">
        <f>Lookups!$B$58*0.4</f>
        <v>88356.992000000013</v>
      </c>
      <c r="AR820" s="30">
        <f>Lookups!$B$59*Inventory[[#This Row],[LnAcres]]</f>
        <v>-23255.730391660189</v>
      </c>
      <c r="AS820" s="30">
        <f>VLOOKUP(Inventory[[#This Row],[Qlty]],Lookups!$A$66:$E$79,2,FALSE)</f>
        <v>37154.252388000001</v>
      </c>
      <c r="AT820" s="30">
        <f>VLOOKUP(Inventory[[#This Row],[Cnd]],Lookups!$A$80:$E$88,2,FALSE)</f>
        <v>50438.379078999998</v>
      </c>
      <c r="AU820" s="30">
        <f>Inventory[[#This Row],[EffAge]]*Lookups!$B$65</f>
        <v>-2066.0808999999999</v>
      </c>
      <c r="AV820" s="30">
        <f>Inventory[[#This Row],[MainFn]]*Lookups!$B$90</f>
        <v>86126.324399999998</v>
      </c>
      <c r="AW820" s="30">
        <f>Inventory[[#This Row],[UpprFn]]*Lookups!$B$91</f>
        <v>0</v>
      </c>
      <c r="AX820" s="30">
        <f>Inventory[[#This Row],[Bsmt Area]]*Lookups!$B$95</f>
        <v>0</v>
      </c>
      <c r="AY820" s="30">
        <f>Inventory[[#This Row],[AttGar]]*Lookups!$B$93</f>
        <v>15108.841268</v>
      </c>
      <c r="AZ820" s="30">
        <f>ROUND(Inventory[[#This Row],[25Det]],-2)</f>
        <v>0</v>
      </c>
      <c r="BA820" s="30">
        <f>ROUND(SUM(Inventory[[#This Row],[Mdl Qlty]:[Mdl Garage Area]])+Inventory[[#This Row],[Mdl Res Intercept]],-2)</f>
        <v>319300</v>
      </c>
      <c r="BB820" s="30">
        <f>ROUND(Inventory[[#This Row],[Mdl Land Intercept]]+Inventory[[#This Row],[Mdl LnAcres]],-2)</f>
        <v>65100</v>
      </c>
      <c r="BC820" s="30">
        <f>Inventory[[#This Row],[Unadj Res Value]]+Inventory[[#This Row],[Unadj Det Value]]+Inventory[[#This Row],[Unadj Land Value]]</f>
        <v>384400</v>
      </c>
      <c r="BD820" s="30">
        <f>(Inventory[[#This Row],[Unadj Total Value]]-Inventory[[#This Row],[24Final]])/Inventory[[#This Row],[24Final]]</f>
        <v>4.5417459885776446E-2</v>
      </c>
      <c r="BE820" s="30">
        <f>VLOOKUP(Inventory[[#This Row],[Nbhd]],Lookups!$M$3:$P$5,4,FALSE)</f>
        <v>0.99970000000000003</v>
      </c>
      <c r="BF820" s="30">
        <f>VLOOKUP(Inventory[[#This Row],[Qlty]],Lookups!$M$8:$P$22,4,FALSE)</f>
        <v>0.99819999999999998</v>
      </c>
      <c r="BG820" s="30">
        <f>VLOOKUP(Inventory[[#This Row],[Cnd]],Lookups!$R$8:$U$17,4,FALSE)</f>
        <v>1.0007999999999999</v>
      </c>
      <c r="BH820" s="30">
        <f>VLOOKUP(Inventory[[#This Row],[LivArea Range]],Lookups!$R$25:$U$43,4,FALSE)</f>
        <v>0.99519999999999997</v>
      </c>
      <c r="BI820" s="30">
        <f>VLOOKUP(Inventory[[#This Row],[Decade]],Lookups!$M$24:$P$40,4,FALSE)</f>
        <v>1.0024</v>
      </c>
      <c r="BJ820" s="30">
        <f>Inventory[[#This Row],[Nbhd Adj]]*0.95</f>
        <v>0.94971499999999998</v>
      </c>
      <c r="BK820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820" s="30">
        <f>ROUND((SUM(Inventory[[#This Row],[Mdl Qlty]:[Mdl Garage Area]])+Inventory[[#This Row],[Mdl Res Intercept]])*Inventory[[#This Row],[Res Adj ]],-2)</f>
        <v>303100</v>
      </c>
      <c r="BM820" s="30">
        <f>ROUND(Inventory[[#This Row],[25Det]]*Inventory[[#This Row],[Det/Nbhd Adj]],-2)</f>
        <v>0</v>
      </c>
      <c r="BN820" s="30">
        <f>Inventory[[#This Row],[Adjusted Res]]+Inventory[[#This Row],[Adj Det ]]</f>
        <v>303100</v>
      </c>
      <c r="BO820" s="30">
        <f>ROUND((Inventory[[#This Row],[Mdl Land Intercept]]+Inventory[[#This Row],[Mdl LnAcres]])*Inventory[[#This Row],[Det/Nbhd Adj]],-2)</f>
        <v>61800</v>
      </c>
      <c r="BP820" s="30">
        <f>Inventory[[#This Row],[Adjusted Impr Total]]+Inventory[[#This Row],[Adjusted Land Total]]</f>
        <v>364900</v>
      </c>
      <c r="BQ820" s="30">
        <f>IFERROR((Inventory[[#This Row],[Adjusted Impr Total]]-Inventory[[#This Row],[24Bldg]])/Inventory[[#This Row],[24Bldg]],0)</f>
        <v>-9.4771241830065352E-3</v>
      </c>
      <c r="BR820" s="43">
        <f>(Inventory[[#This Row],[Adjusted Land Total]]-Inventory[[#This Row],[24Lnd]])/Inventory[[#This Row],[24Lnd]]</f>
        <v>1.6207455429497568E-3</v>
      </c>
      <c r="BS820" s="43">
        <f>(Inventory[[#This Row],[Adjusted Total]]-Inventory[[#This Row],[24Final]])/Inventory[[#This Row],[24Final]]</f>
        <v>-7.6149034539026378E-3</v>
      </c>
    </row>
    <row r="821" spans="1:71">
      <c r="A821" s="30">
        <v>2025</v>
      </c>
      <c r="B821" s="31" t="s">
        <v>1336</v>
      </c>
      <c r="C821" s="31">
        <f>LN(Inventory[[#This Row],[Acres]])</f>
        <v>-1.7719568419318752</v>
      </c>
      <c r="D821" s="30">
        <v>0.17</v>
      </c>
      <c r="E821" s="30">
        <v>7256</v>
      </c>
      <c r="F821" s="31" t="s">
        <v>505</v>
      </c>
      <c r="G821" s="31" t="s">
        <v>155</v>
      </c>
      <c r="H821" s="31" t="s">
        <v>5</v>
      </c>
      <c r="I821" s="31" t="s">
        <v>506</v>
      </c>
      <c r="J821" s="31" t="s">
        <v>507</v>
      </c>
      <c r="K821" s="31" t="s">
        <v>193</v>
      </c>
      <c r="L821" s="31" t="s">
        <v>19</v>
      </c>
      <c r="M821" s="31" t="s">
        <v>22</v>
      </c>
      <c r="N821" s="31">
        <v>10</v>
      </c>
      <c r="O821" s="31">
        <f>2024-Inventory[[#This Row],[YrBlt]]</f>
        <v>19</v>
      </c>
      <c r="P821" s="31">
        <f>2024-Inventory[[#This Row],[EffYr]]</f>
        <v>19</v>
      </c>
      <c r="Q821" s="30">
        <v>2005</v>
      </c>
      <c r="R821" s="30">
        <v>2005</v>
      </c>
      <c r="S821" s="30">
        <v>1382</v>
      </c>
      <c r="T821" s="37"/>
      <c r="U821" s="32"/>
      <c r="V821" s="32"/>
      <c r="W821" s="32"/>
      <c r="X821" s="32">
        <f>Inventory[[#This Row],[Bsmt Area]]-Inventory[[#This Row],[FnBsmt]]</f>
        <v>0</v>
      </c>
      <c r="Y821" s="32">
        <f>Inventory[[#This Row],[MainFn]]+Inventory[[#This Row],[UpprFn]]+Inventory[[#This Row],[AddFn]]+Inventory[[#This Row],[FnBsmt]]</f>
        <v>1382</v>
      </c>
      <c r="Z821" s="32">
        <v>1500</v>
      </c>
      <c r="AA821" s="31" t="s">
        <v>56</v>
      </c>
      <c r="AB821" s="32"/>
      <c r="AC821" s="38">
        <v>426</v>
      </c>
      <c r="AD821" s="37"/>
      <c r="AE821" s="32"/>
      <c r="AF821" s="32"/>
      <c r="AG821" s="32"/>
      <c r="AH821" s="32"/>
      <c r="AI821" s="30">
        <v>284497</v>
      </c>
      <c r="AJ821" s="30">
        <v>258892</v>
      </c>
      <c r="AK821" s="30">
        <v>0</v>
      </c>
      <c r="AL821" s="30">
        <v>0</v>
      </c>
      <c r="AM821" s="30">
        <v>61700</v>
      </c>
      <c r="AN821" s="30">
        <v>306000</v>
      </c>
      <c r="AO821" s="30">
        <v>367700</v>
      </c>
      <c r="AP821" s="30">
        <f>Lookups!$B$58*0.6</f>
        <v>132535.48800000001</v>
      </c>
      <c r="AQ821" s="30">
        <f>Lookups!$B$58*0.4</f>
        <v>88356.992000000013</v>
      </c>
      <c r="AR821" s="30">
        <f>Lookups!$B$59*Inventory[[#This Row],[LnAcres]]</f>
        <v>-23255.730391660189</v>
      </c>
      <c r="AS821" s="30">
        <f>VLOOKUP(Inventory[[#This Row],[Qlty]],Lookups!$A$66:$E$79,2,FALSE)</f>
        <v>37154.252388000001</v>
      </c>
      <c r="AT821" s="30">
        <f>VLOOKUP(Inventory[[#This Row],[Cnd]],Lookups!$A$80:$E$88,2,FALSE)</f>
        <v>50438.379078999998</v>
      </c>
      <c r="AU821" s="30">
        <f>Inventory[[#This Row],[EffAge]]*Lookups!$B$65</f>
        <v>-2066.0808999999999</v>
      </c>
      <c r="AV821" s="30">
        <f>Inventory[[#This Row],[MainFn]]*Lookups!$B$90</f>
        <v>86251.14516</v>
      </c>
      <c r="AW821" s="30">
        <f>Inventory[[#This Row],[UpprFn]]*Lookups!$B$91</f>
        <v>0</v>
      </c>
      <c r="AX821" s="30">
        <f>Inventory[[#This Row],[Bsmt Area]]*Lookups!$B$95</f>
        <v>0</v>
      </c>
      <c r="AY821" s="30">
        <f>Inventory[[#This Row],[AttGar]]*Lookups!$B$93</f>
        <v>15038.239206</v>
      </c>
      <c r="AZ821" s="30">
        <f>ROUND(Inventory[[#This Row],[25Det]],-2)</f>
        <v>0</v>
      </c>
      <c r="BA821" s="30">
        <f>ROUND(SUM(Inventory[[#This Row],[Mdl Qlty]:[Mdl Garage Area]])+Inventory[[#This Row],[Mdl Res Intercept]],-2)</f>
        <v>319400</v>
      </c>
      <c r="BB821" s="30">
        <f>ROUND(Inventory[[#This Row],[Mdl Land Intercept]]+Inventory[[#This Row],[Mdl LnAcres]],-2)</f>
        <v>65100</v>
      </c>
      <c r="BC821" s="30">
        <f>Inventory[[#This Row],[Unadj Res Value]]+Inventory[[#This Row],[Unadj Det Value]]+Inventory[[#This Row],[Unadj Land Value]]</f>
        <v>384500</v>
      </c>
      <c r="BD821" s="30">
        <f>(Inventory[[#This Row],[Unadj Total Value]]-Inventory[[#This Row],[24Final]])/Inventory[[#This Row],[24Final]]</f>
        <v>4.5689420723415829E-2</v>
      </c>
      <c r="BE821" s="30">
        <f>VLOOKUP(Inventory[[#This Row],[Nbhd]],Lookups!$M$3:$P$5,4,FALSE)</f>
        <v>0.99970000000000003</v>
      </c>
      <c r="BF821" s="30">
        <f>VLOOKUP(Inventory[[#This Row],[Qlty]],Lookups!$M$8:$P$22,4,FALSE)</f>
        <v>0.99819999999999998</v>
      </c>
      <c r="BG821" s="30">
        <f>VLOOKUP(Inventory[[#This Row],[Cnd]],Lookups!$R$8:$U$17,4,FALSE)</f>
        <v>1.0007999999999999</v>
      </c>
      <c r="BH821" s="30">
        <f>VLOOKUP(Inventory[[#This Row],[LivArea Range]],Lookups!$R$25:$U$43,4,FALSE)</f>
        <v>0.99519999999999997</v>
      </c>
      <c r="BI821" s="30">
        <f>VLOOKUP(Inventory[[#This Row],[Decade]],Lookups!$M$24:$P$40,4,FALSE)</f>
        <v>1.0024</v>
      </c>
      <c r="BJ821" s="30">
        <f>Inventory[[#This Row],[Nbhd Adj]]*0.95</f>
        <v>0.94971499999999998</v>
      </c>
      <c r="BK821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821" s="30">
        <f>ROUND((SUM(Inventory[[#This Row],[Mdl Qlty]:[Mdl Garage Area]])+Inventory[[#This Row],[Mdl Res Intercept]])*Inventory[[#This Row],[Res Adj ]],-2)</f>
        <v>303200</v>
      </c>
      <c r="BM821" s="30">
        <f>ROUND(Inventory[[#This Row],[25Det]]*Inventory[[#This Row],[Det/Nbhd Adj]],-2)</f>
        <v>0</v>
      </c>
      <c r="BN821" s="30">
        <f>Inventory[[#This Row],[Adjusted Res]]+Inventory[[#This Row],[Adj Det ]]</f>
        <v>303200</v>
      </c>
      <c r="BO821" s="30">
        <f>ROUND((Inventory[[#This Row],[Mdl Land Intercept]]+Inventory[[#This Row],[Mdl LnAcres]])*Inventory[[#This Row],[Det/Nbhd Adj]],-2)</f>
        <v>61800</v>
      </c>
      <c r="BP821" s="30">
        <f>Inventory[[#This Row],[Adjusted Impr Total]]+Inventory[[#This Row],[Adjusted Land Total]]</f>
        <v>365000</v>
      </c>
      <c r="BQ821" s="30">
        <f>IFERROR((Inventory[[#This Row],[Adjusted Impr Total]]-Inventory[[#This Row],[24Bldg]])/Inventory[[#This Row],[24Bldg]],0)</f>
        <v>-9.1503267973856214E-3</v>
      </c>
      <c r="BR821" s="43">
        <f>(Inventory[[#This Row],[Adjusted Land Total]]-Inventory[[#This Row],[24Lnd]])/Inventory[[#This Row],[24Lnd]]</f>
        <v>1.6207455429497568E-3</v>
      </c>
      <c r="BS821" s="43">
        <f>(Inventory[[#This Row],[Adjusted Total]]-Inventory[[#This Row],[24Final]])/Inventory[[#This Row],[24Final]]</f>
        <v>-7.3429426162632582E-3</v>
      </c>
    </row>
    <row r="822" spans="1:71">
      <c r="A822" s="30">
        <v>2025</v>
      </c>
      <c r="B822" s="31" t="s">
        <v>1337</v>
      </c>
      <c r="C822" s="31">
        <f>LN(Inventory[[#This Row],[Acres]])</f>
        <v>-1.7719568419318752</v>
      </c>
      <c r="D822" s="30">
        <v>0.17</v>
      </c>
      <c r="E822" s="30">
        <v>7193</v>
      </c>
      <c r="F822" s="31" t="s">
        <v>505</v>
      </c>
      <c r="G822" s="31" t="s">
        <v>155</v>
      </c>
      <c r="H822" s="31" t="s">
        <v>5</v>
      </c>
      <c r="I822" s="31" t="s">
        <v>506</v>
      </c>
      <c r="J822" s="31" t="s">
        <v>507</v>
      </c>
      <c r="K822" s="31" t="s">
        <v>193</v>
      </c>
      <c r="L822" s="31" t="s">
        <v>19</v>
      </c>
      <c r="M822" s="31" t="s">
        <v>22</v>
      </c>
      <c r="N822" s="31">
        <v>10</v>
      </c>
      <c r="O822" s="31">
        <f>2024-Inventory[[#This Row],[YrBlt]]</f>
        <v>19</v>
      </c>
      <c r="P822" s="31">
        <f>2024-Inventory[[#This Row],[EffYr]]</f>
        <v>19</v>
      </c>
      <c r="Q822" s="30">
        <v>2005</v>
      </c>
      <c r="R822" s="30">
        <v>2005</v>
      </c>
      <c r="S822" s="30">
        <v>1543</v>
      </c>
      <c r="T822" s="32"/>
      <c r="U822" s="32"/>
      <c r="V822" s="32"/>
      <c r="W822" s="32"/>
      <c r="X822" s="32">
        <f>Inventory[[#This Row],[Bsmt Area]]-Inventory[[#This Row],[FnBsmt]]</f>
        <v>0</v>
      </c>
      <c r="Y822" s="32">
        <f>Inventory[[#This Row],[MainFn]]+Inventory[[#This Row],[UpprFn]]+Inventory[[#This Row],[AddFn]]+Inventory[[#This Row],[FnBsmt]]</f>
        <v>1543</v>
      </c>
      <c r="Z822" s="32">
        <v>2000</v>
      </c>
      <c r="AA822" s="31" t="s">
        <v>56</v>
      </c>
      <c r="AB822" s="37"/>
      <c r="AC822" s="30">
        <v>433</v>
      </c>
      <c r="AD822" s="32"/>
      <c r="AE822" s="32"/>
      <c r="AF822" s="32"/>
      <c r="AG822" s="32"/>
      <c r="AH822" s="37"/>
      <c r="AI822" s="30">
        <v>309596</v>
      </c>
      <c r="AJ822" s="30">
        <v>281732</v>
      </c>
      <c r="AK822" s="30">
        <v>0</v>
      </c>
      <c r="AL822" s="30">
        <v>0</v>
      </c>
      <c r="AM822" s="30">
        <v>61700</v>
      </c>
      <c r="AN822" s="30">
        <v>315100</v>
      </c>
      <c r="AO822" s="30">
        <v>376800</v>
      </c>
      <c r="AP822" s="30">
        <f>Lookups!$B$58*0.6</f>
        <v>132535.48800000001</v>
      </c>
      <c r="AQ822" s="30">
        <f>Lookups!$B$58*0.4</f>
        <v>88356.992000000013</v>
      </c>
      <c r="AR822" s="30">
        <f>Lookups!$B$59*Inventory[[#This Row],[LnAcres]]</f>
        <v>-23255.730391660189</v>
      </c>
      <c r="AS822" s="30">
        <f>VLOOKUP(Inventory[[#This Row],[Qlty]],Lookups!$A$66:$E$79,2,FALSE)</f>
        <v>37154.252388000001</v>
      </c>
      <c r="AT822" s="30">
        <f>VLOOKUP(Inventory[[#This Row],[Cnd]],Lookups!$A$80:$E$88,2,FALSE)</f>
        <v>50438.379078999998</v>
      </c>
      <c r="AU822" s="30">
        <f>Inventory[[#This Row],[EffAge]]*Lookups!$B$65</f>
        <v>-2066.0808999999999</v>
      </c>
      <c r="AV822" s="30">
        <f>Inventory[[#This Row],[MainFn]]*Lookups!$B$90</f>
        <v>96299.216339999999</v>
      </c>
      <c r="AW822" s="30">
        <f>Inventory[[#This Row],[UpprFn]]*Lookups!$B$91</f>
        <v>0</v>
      </c>
      <c r="AX822" s="30">
        <f>Inventory[[#This Row],[Bsmt Area]]*Lookups!$B$95</f>
        <v>0</v>
      </c>
      <c r="AY822" s="30">
        <f>Inventory[[#This Row],[AttGar]]*Lookups!$B$93</f>
        <v>15285.346423000001</v>
      </c>
      <c r="AZ822" s="30">
        <f>ROUND(Inventory[[#This Row],[25Det]],-2)</f>
        <v>0</v>
      </c>
      <c r="BA822" s="30">
        <f>ROUND(SUM(Inventory[[#This Row],[Mdl Qlty]:[Mdl Garage Area]])+Inventory[[#This Row],[Mdl Res Intercept]],-2)</f>
        <v>329600</v>
      </c>
      <c r="BB822" s="30">
        <f>ROUND(Inventory[[#This Row],[Mdl Land Intercept]]+Inventory[[#This Row],[Mdl LnAcres]],-2)</f>
        <v>65100</v>
      </c>
      <c r="BC822" s="30">
        <f>Inventory[[#This Row],[Unadj Res Value]]+Inventory[[#This Row],[Unadj Det Value]]+Inventory[[#This Row],[Unadj Land Value]]</f>
        <v>394700</v>
      </c>
      <c r="BD822" s="30">
        <f>(Inventory[[#This Row],[Unadj Total Value]]-Inventory[[#This Row],[24Final]])/Inventory[[#This Row],[24Final]]</f>
        <v>4.750530785562633E-2</v>
      </c>
      <c r="BE822" s="30">
        <f>VLOOKUP(Inventory[[#This Row],[Nbhd]],Lookups!$M$3:$P$5,4,FALSE)</f>
        <v>0.99970000000000003</v>
      </c>
      <c r="BF822" s="30">
        <f>VLOOKUP(Inventory[[#This Row],[Qlty]],Lookups!$M$8:$P$22,4,FALSE)</f>
        <v>0.99819999999999998</v>
      </c>
      <c r="BG822" s="30">
        <f>VLOOKUP(Inventory[[#This Row],[Cnd]],Lookups!$R$8:$U$17,4,FALSE)</f>
        <v>1.0007999999999999</v>
      </c>
      <c r="BH822" s="30">
        <f>VLOOKUP(Inventory[[#This Row],[LivArea Range]],Lookups!$R$25:$U$43,4,FALSE)</f>
        <v>1.0007999999999999</v>
      </c>
      <c r="BI822" s="30">
        <f>VLOOKUP(Inventory[[#This Row],[Decade]],Lookups!$M$24:$P$40,4,FALSE)</f>
        <v>1.0024</v>
      </c>
      <c r="BJ822" s="30">
        <f>Inventory[[#This Row],[Nbhd Adj]]*0.95</f>
        <v>0.94971499999999998</v>
      </c>
      <c r="BK822" s="30">
        <f>AVERAGE(Inventory[[#This Row],[Nbhd Adj]],Inventory[[#This Row],[Quality Adj]],Inventory[[#This Row],[Condition Adj]],Inventory[[#This Row],[Living Area Adj]],Inventory[[#This Row],[Decade Adj]])*0.95</f>
        <v>0.95036100000000001</v>
      </c>
      <c r="BL822" s="30">
        <f>ROUND((SUM(Inventory[[#This Row],[Mdl Qlty]:[Mdl Garage Area]])+Inventory[[#This Row],[Mdl Res Intercept]])*Inventory[[#This Row],[Res Adj ]],-2)</f>
        <v>313300</v>
      </c>
      <c r="BM822" s="30">
        <f>ROUND(Inventory[[#This Row],[25Det]]*Inventory[[#This Row],[Det/Nbhd Adj]],-2)</f>
        <v>0</v>
      </c>
      <c r="BN822" s="30">
        <f>Inventory[[#This Row],[Adjusted Res]]+Inventory[[#This Row],[Adj Det ]]</f>
        <v>313300</v>
      </c>
      <c r="BO822" s="30">
        <f>ROUND((Inventory[[#This Row],[Mdl Land Intercept]]+Inventory[[#This Row],[Mdl LnAcres]])*Inventory[[#This Row],[Det/Nbhd Adj]],-2)</f>
        <v>61800</v>
      </c>
      <c r="BP822" s="30">
        <f>Inventory[[#This Row],[Adjusted Impr Total]]+Inventory[[#This Row],[Adjusted Land Total]]</f>
        <v>375100</v>
      </c>
      <c r="BQ822" s="30">
        <f>IFERROR((Inventory[[#This Row],[Adjusted Impr Total]]-Inventory[[#This Row],[24Bldg]])/Inventory[[#This Row],[24Bldg]],0)</f>
        <v>-5.7124722310377659E-3</v>
      </c>
      <c r="BR822" s="43">
        <f>(Inventory[[#This Row],[Adjusted Land Total]]-Inventory[[#This Row],[24Lnd]])/Inventory[[#This Row],[24Lnd]]</f>
        <v>1.6207455429497568E-3</v>
      </c>
      <c r="BS822" s="43">
        <f>(Inventory[[#This Row],[Adjusted Total]]-Inventory[[#This Row],[24Final]])/Inventory[[#This Row],[24Final]]</f>
        <v>-4.5116772823779192E-3</v>
      </c>
    </row>
    <row r="823" spans="1:71">
      <c r="A823" s="30">
        <v>2025</v>
      </c>
      <c r="B823" s="31" t="s">
        <v>1338</v>
      </c>
      <c r="C823" s="31">
        <f>LN(Inventory[[#This Row],[Acres]])</f>
        <v>-1.7719568419318752</v>
      </c>
      <c r="D823" s="30">
        <v>0.17</v>
      </c>
      <c r="E823" s="30">
        <v>7334</v>
      </c>
      <c r="F823" s="31" t="s">
        <v>505</v>
      </c>
      <c r="G823" s="31" t="s">
        <v>155</v>
      </c>
      <c r="H823" s="31" t="s">
        <v>5</v>
      </c>
      <c r="I823" s="31" t="s">
        <v>506</v>
      </c>
      <c r="J823" s="31" t="s">
        <v>507</v>
      </c>
      <c r="K823" s="31" t="s">
        <v>157</v>
      </c>
      <c r="L823" s="31" t="s">
        <v>21</v>
      </c>
      <c r="M823" s="31" t="s">
        <v>22</v>
      </c>
      <c r="N823" s="31">
        <v>10</v>
      </c>
      <c r="O823" s="31">
        <f>2024-Inventory[[#This Row],[YrBlt]]</f>
        <v>19</v>
      </c>
      <c r="P823" s="31">
        <f>2024-Inventory[[#This Row],[EffYr]]</f>
        <v>19</v>
      </c>
      <c r="Q823" s="30">
        <v>2005</v>
      </c>
      <c r="R823" s="30">
        <v>2005</v>
      </c>
      <c r="S823" s="30">
        <v>1116</v>
      </c>
      <c r="T823" s="38">
        <v>1116</v>
      </c>
      <c r="U823" s="32"/>
      <c r="V823" s="32"/>
      <c r="W823" s="32"/>
      <c r="X823" s="32">
        <f>Inventory[[#This Row],[Bsmt Area]]-Inventory[[#This Row],[FnBsmt]]</f>
        <v>0</v>
      </c>
      <c r="Y823" s="32">
        <f>Inventory[[#This Row],[MainFn]]+Inventory[[#This Row],[UpprFn]]+Inventory[[#This Row],[AddFn]]+Inventory[[#This Row],[FnBsmt]]</f>
        <v>2232</v>
      </c>
      <c r="Z823" s="32">
        <v>2500</v>
      </c>
      <c r="AA823" s="31" t="s">
        <v>56</v>
      </c>
      <c r="AB823" s="32"/>
      <c r="AC823" s="30">
        <v>440</v>
      </c>
      <c r="AD823" s="32"/>
      <c r="AE823" s="32"/>
      <c r="AF823" s="32"/>
      <c r="AG823" s="32"/>
      <c r="AH823" s="32"/>
      <c r="AI823" s="30">
        <v>439327</v>
      </c>
      <c r="AJ823" s="30">
        <v>399788</v>
      </c>
      <c r="AK823" s="30">
        <v>0</v>
      </c>
      <c r="AL823" s="30">
        <v>0</v>
      </c>
      <c r="AM823" s="30">
        <v>61700</v>
      </c>
      <c r="AN823" s="30">
        <v>350000</v>
      </c>
      <c r="AO823" s="30">
        <v>411700</v>
      </c>
      <c r="AP823" s="30">
        <f>Lookups!$B$58*0.6</f>
        <v>132535.48800000001</v>
      </c>
      <c r="AQ823" s="30">
        <f>Lookups!$B$58*0.4</f>
        <v>88356.992000000013</v>
      </c>
      <c r="AR823" s="30">
        <f>Lookups!$B$59*Inventory[[#This Row],[LnAcres]]</f>
        <v>-23255.730391660189</v>
      </c>
      <c r="AS823" s="30">
        <f>VLOOKUP(Inventory[[#This Row],[Qlty]],Lookups!$A$66:$E$79,2,FALSE)</f>
        <v>32917.849192000001</v>
      </c>
      <c r="AT823" s="30">
        <f>VLOOKUP(Inventory[[#This Row],[Cnd]],Lookups!$A$80:$E$88,2,FALSE)</f>
        <v>50438.379078999998</v>
      </c>
      <c r="AU823" s="30">
        <f>Inventory[[#This Row],[EffAge]]*Lookups!$B$65</f>
        <v>-2066.0808999999999</v>
      </c>
      <c r="AV823" s="30">
        <f>Inventory[[#This Row],[MainFn]]*Lookups!$B$90</f>
        <v>69649.984080000009</v>
      </c>
      <c r="AW823" s="30">
        <f>Inventory[[#This Row],[UpprFn]]*Lookups!$B$91</f>
        <v>66491.707427999994</v>
      </c>
      <c r="AX823" s="30">
        <f>Inventory[[#This Row],[Bsmt Area]]*Lookups!$B$95</f>
        <v>0</v>
      </c>
      <c r="AY823" s="30">
        <f>Inventory[[#This Row],[AttGar]]*Lookups!$B$93</f>
        <v>15532.453640000002</v>
      </c>
      <c r="AZ823" s="30">
        <f>ROUND(Inventory[[#This Row],[25Det]],-2)</f>
        <v>0</v>
      </c>
      <c r="BA823" s="30">
        <f>ROUND(SUM(Inventory[[#This Row],[Mdl Qlty]:[Mdl Garage Area]])+Inventory[[#This Row],[Mdl Res Intercept]],-2)</f>
        <v>365500</v>
      </c>
      <c r="BB823" s="30">
        <f>ROUND(Inventory[[#This Row],[Mdl Land Intercept]]+Inventory[[#This Row],[Mdl LnAcres]],-2)</f>
        <v>65100</v>
      </c>
      <c r="BC823" s="30">
        <f>Inventory[[#This Row],[Unadj Res Value]]+Inventory[[#This Row],[Unadj Det Value]]+Inventory[[#This Row],[Unadj Land Value]]</f>
        <v>430600</v>
      </c>
      <c r="BD823" s="30">
        <f>(Inventory[[#This Row],[Unadj Total Value]]-Inventory[[#This Row],[24Final]])/Inventory[[#This Row],[24Final]]</f>
        <v>4.5907213990769975E-2</v>
      </c>
      <c r="BE823" s="30">
        <f>VLOOKUP(Inventory[[#This Row],[Nbhd]],Lookups!$M$3:$P$5,4,FALSE)</f>
        <v>0.99970000000000003</v>
      </c>
      <c r="BF823" s="30">
        <f>VLOOKUP(Inventory[[#This Row],[Qlty]],Lookups!$M$8:$P$22,4,FALSE)</f>
        <v>1.0019</v>
      </c>
      <c r="BG823" s="30">
        <f>VLOOKUP(Inventory[[#This Row],[Cnd]],Lookups!$R$8:$U$17,4,FALSE)</f>
        <v>1.0007999999999999</v>
      </c>
      <c r="BH823" s="30">
        <f>VLOOKUP(Inventory[[#This Row],[LivArea Range]],Lookups!$R$25:$U$43,4,FALSE)</f>
        <v>1.0008999999999999</v>
      </c>
      <c r="BI823" s="30">
        <f>VLOOKUP(Inventory[[#This Row],[Decade]],Lookups!$M$24:$P$40,4,FALSE)</f>
        <v>1.0024</v>
      </c>
      <c r="BJ823" s="30">
        <f>Inventory[[#This Row],[Nbhd Adj]]*0.95</f>
        <v>0.94971499999999998</v>
      </c>
      <c r="BK823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823" s="30">
        <f>ROUND((SUM(Inventory[[#This Row],[Mdl Qlty]:[Mdl Garage Area]])+Inventory[[#This Row],[Mdl Res Intercept]])*Inventory[[#This Row],[Res Adj ]],-2)</f>
        <v>347600</v>
      </c>
      <c r="BM823" s="30">
        <f>ROUND(Inventory[[#This Row],[25Det]]*Inventory[[#This Row],[Det/Nbhd Adj]],-2)</f>
        <v>0</v>
      </c>
      <c r="BN823" s="30">
        <f>Inventory[[#This Row],[Adjusted Res]]+Inventory[[#This Row],[Adj Det ]]</f>
        <v>347600</v>
      </c>
      <c r="BO823" s="30">
        <f>ROUND((Inventory[[#This Row],[Mdl Land Intercept]]+Inventory[[#This Row],[Mdl LnAcres]])*Inventory[[#This Row],[Det/Nbhd Adj]],-2)</f>
        <v>61800</v>
      </c>
      <c r="BP823" s="30">
        <f>Inventory[[#This Row],[Adjusted Impr Total]]+Inventory[[#This Row],[Adjusted Land Total]]</f>
        <v>409400</v>
      </c>
      <c r="BQ823" s="30">
        <f>IFERROR((Inventory[[#This Row],[Adjusted Impr Total]]-Inventory[[#This Row],[24Bldg]])/Inventory[[#This Row],[24Bldg]],0)</f>
        <v>-6.8571428571428568E-3</v>
      </c>
      <c r="BR823" s="43">
        <f>(Inventory[[#This Row],[Adjusted Land Total]]-Inventory[[#This Row],[24Lnd]])/Inventory[[#This Row],[24Lnd]]</f>
        <v>1.6207455429497568E-3</v>
      </c>
      <c r="BS823" s="43">
        <f>(Inventory[[#This Row],[Adjusted Total]]-Inventory[[#This Row],[24Final]])/Inventory[[#This Row],[24Final]]</f>
        <v>-5.5865921787709499E-3</v>
      </c>
    </row>
    <row r="824" spans="1:71">
      <c r="A824" s="30">
        <v>2025</v>
      </c>
      <c r="B824" s="31" t="s">
        <v>1339</v>
      </c>
      <c r="C824" s="31">
        <f>LN(Inventory[[#This Row],[Acres]])</f>
        <v>-1.7719568419318752</v>
      </c>
      <c r="D824" s="30">
        <v>0.17</v>
      </c>
      <c r="E824" s="30">
        <v>7365</v>
      </c>
      <c r="F824" s="31" t="s">
        <v>505</v>
      </c>
      <c r="G824" s="31" t="s">
        <v>155</v>
      </c>
      <c r="H824" s="31" t="s">
        <v>5</v>
      </c>
      <c r="I824" s="31" t="s">
        <v>506</v>
      </c>
      <c r="J824" s="31" t="s">
        <v>507</v>
      </c>
      <c r="K824" s="31" t="s">
        <v>157</v>
      </c>
      <c r="L824" s="31" t="s">
        <v>21</v>
      </c>
      <c r="M824" s="31" t="s">
        <v>22</v>
      </c>
      <c r="N824" s="31">
        <v>10</v>
      </c>
      <c r="O824" s="31">
        <f>2024-Inventory[[#This Row],[YrBlt]]</f>
        <v>19</v>
      </c>
      <c r="P824" s="31">
        <f>2024-Inventory[[#This Row],[EffYr]]</f>
        <v>19</v>
      </c>
      <c r="Q824" s="30">
        <v>2005</v>
      </c>
      <c r="R824" s="30">
        <v>2005</v>
      </c>
      <c r="S824" s="30">
        <v>1116</v>
      </c>
      <c r="T824" s="38">
        <v>1116</v>
      </c>
      <c r="U824" s="32"/>
      <c r="V824" s="32"/>
      <c r="W824" s="32"/>
      <c r="X824" s="32">
        <f>Inventory[[#This Row],[Bsmt Area]]-Inventory[[#This Row],[FnBsmt]]</f>
        <v>0</v>
      </c>
      <c r="Y824" s="32">
        <f>Inventory[[#This Row],[MainFn]]+Inventory[[#This Row],[UpprFn]]+Inventory[[#This Row],[AddFn]]+Inventory[[#This Row],[FnBsmt]]</f>
        <v>2232</v>
      </c>
      <c r="Z824" s="32">
        <v>2500</v>
      </c>
      <c r="AA824" s="31" t="s">
        <v>56</v>
      </c>
      <c r="AB824" s="30">
        <v>1</v>
      </c>
      <c r="AC824" s="30">
        <v>440</v>
      </c>
      <c r="AD824" s="32"/>
      <c r="AE824" s="32"/>
      <c r="AF824" s="32"/>
      <c r="AG824" s="32"/>
      <c r="AH824" s="32"/>
      <c r="AI824" s="30">
        <v>444722</v>
      </c>
      <c r="AJ824" s="30">
        <v>404697</v>
      </c>
      <c r="AK824" s="30">
        <v>0</v>
      </c>
      <c r="AL824" s="30">
        <v>0</v>
      </c>
      <c r="AM824" s="30">
        <v>61700</v>
      </c>
      <c r="AN824" s="30">
        <v>350000</v>
      </c>
      <c r="AO824" s="30">
        <v>411700</v>
      </c>
      <c r="AP824" s="30">
        <f>Lookups!$B$58*0.6</f>
        <v>132535.48800000001</v>
      </c>
      <c r="AQ824" s="30">
        <f>Lookups!$B$58*0.4</f>
        <v>88356.992000000013</v>
      </c>
      <c r="AR824" s="30">
        <f>Lookups!$B$59*Inventory[[#This Row],[LnAcres]]</f>
        <v>-23255.730391660189</v>
      </c>
      <c r="AS824" s="30">
        <f>VLOOKUP(Inventory[[#This Row],[Qlty]],Lookups!$A$66:$E$79,2,FALSE)</f>
        <v>32917.849192000001</v>
      </c>
      <c r="AT824" s="30">
        <f>VLOOKUP(Inventory[[#This Row],[Cnd]],Lookups!$A$80:$E$88,2,FALSE)</f>
        <v>50438.379078999998</v>
      </c>
      <c r="AU824" s="30">
        <f>Inventory[[#This Row],[EffAge]]*Lookups!$B$65</f>
        <v>-2066.0808999999999</v>
      </c>
      <c r="AV824" s="30">
        <f>Inventory[[#This Row],[MainFn]]*Lookups!$B$90</f>
        <v>69649.984080000009</v>
      </c>
      <c r="AW824" s="30">
        <f>Inventory[[#This Row],[UpprFn]]*Lookups!$B$91</f>
        <v>66491.707427999994</v>
      </c>
      <c r="AX824" s="30">
        <f>Inventory[[#This Row],[Bsmt Area]]*Lookups!$B$95</f>
        <v>0</v>
      </c>
      <c r="AY824" s="30">
        <f>Inventory[[#This Row],[AttGar]]*Lookups!$B$93</f>
        <v>15532.453640000002</v>
      </c>
      <c r="AZ824" s="30">
        <f>ROUND(Inventory[[#This Row],[25Det]],-2)</f>
        <v>0</v>
      </c>
      <c r="BA824" s="30">
        <f>ROUND(SUM(Inventory[[#This Row],[Mdl Qlty]:[Mdl Garage Area]])+Inventory[[#This Row],[Mdl Res Intercept]],-2)</f>
        <v>365500</v>
      </c>
      <c r="BB824" s="30">
        <f>ROUND(Inventory[[#This Row],[Mdl Land Intercept]]+Inventory[[#This Row],[Mdl LnAcres]],-2)</f>
        <v>65100</v>
      </c>
      <c r="BC824" s="30">
        <f>Inventory[[#This Row],[Unadj Res Value]]+Inventory[[#This Row],[Unadj Det Value]]+Inventory[[#This Row],[Unadj Land Value]]</f>
        <v>430600</v>
      </c>
      <c r="BD824" s="30">
        <f>(Inventory[[#This Row],[Unadj Total Value]]-Inventory[[#This Row],[24Final]])/Inventory[[#This Row],[24Final]]</f>
        <v>4.5907213990769975E-2</v>
      </c>
      <c r="BE824" s="30">
        <f>VLOOKUP(Inventory[[#This Row],[Nbhd]],Lookups!$M$3:$P$5,4,FALSE)</f>
        <v>0.99970000000000003</v>
      </c>
      <c r="BF824" s="30">
        <f>VLOOKUP(Inventory[[#This Row],[Qlty]],Lookups!$M$8:$P$22,4,FALSE)</f>
        <v>1.0019</v>
      </c>
      <c r="BG824" s="30">
        <f>VLOOKUP(Inventory[[#This Row],[Cnd]],Lookups!$R$8:$U$17,4,FALSE)</f>
        <v>1.0007999999999999</v>
      </c>
      <c r="BH824" s="30">
        <f>VLOOKUP(Inventory[[#This Row],[LivArea Range]],Lookups!$R$25:$U$43,4,FALSE)</f>
        <v>1.0008999999999999</v>
      </c>
      <c r="BI824" s="30">
        <f>VLOOKUP(Inventory[[#This Row],[Decade]],Lookups!$M$24:$P$40,4,FALSE)</f>
        <v>1.0024</v>
      </c>
      <c r="BJ824" s="30">
        <f>Inventory[[#This Row],[Nbhd Adj]]*0.95</f>
        <v>0.94971499999999998</v>
      </c>
      <c r="BK824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824" s="30">
        <f>ROUND((SUM(Inventory[[#This Row],[Mdl Qlty]:[Mdl Garage Area]])+Inventory[[#This Row],[Mdl Res Intercept]])*Inventory[[#This Row],[Res Adj ]],-2)</f>
        <v>347600</v>
      </c>
      <c r="BM824" s="30">
        <f>ROUND(Inventory[[#This Row],[25Det]]*Inventory[[#This Row],[Det/Nbhd Adj]],-2)</f>
        <v>0</v>
      </c>
      <c r="BN824" s="30">
        <f>Inventory[[#This Row],[Adjusted Res]]+Inventory[[#This Row],[Adj Det ]]</f>
        <v>347600</v>
      </c>
      <c r="BO824" s="30">
        <f>ROUND((Inventory[[#This Row],[Mdl Land Intercept]]+Inventory[[#This Row],[Mdl LnAcres]])*Inventory[[#This Row],[Det/Nbhd Adj]],-2)</f>
        <v>61800</v>
      </c>
      <c r="BP824" s="30">
        <f>Inventory[[#This Row],[Adjusted Impr Total]]+Inventory[[#This Row],[Adjusted Land Total]]</f>
        <v>409400</v>
      </c>
      <c r="BQ824" s="30">
        <f>IFERROR((Inventory[[#This Row],[Adjusted Impr Total]]-Inventory[[#This Row],[24Bldg]])/Inventory[[#This Row],[24Bldg]],0)</f>
        <v>-6.8571428571428568E-3</v>
      </c>
      <c r="BR824" s="43">
        <f>(Inventory[[#This Row],[Adjusted Land Total]]-Inventory[[#This Row],[24Lnd]])/Inventory[[#This Row],[24Lnd]]</f>
        <v>1.6207455429497568E-3</v>
      </c>
      <c r="BS824" s="43">
        <f>(Inventory[[#This Row],[Adjusted Total]]-Inventory[[#This Row],[24Final]])/Inventory[[#This Row],[24Final]]</f>
        <v>-5.5865921787709499E-3</v>
      </c>
    </row>
    <row r="825" spans="1:71">
      <c r="A825" s="30">
        <v>2025</v>
      </c>
      <c r="B825" s="31" t="s">
        <v>1340</v>
      </c>
      <c r="C825" s="31">
        <f>LN(Inventory[[#This Row],[Acres]])</f>
        <v>-1.7719568419318752</v>
      </c>
      <c r="D825" s="30">
        <v>0.17</v>
      </c>
      <c r="E825" s="30">
        <v>7426</v>
      </c>
      <c r="F825" s="31" t="s">
        <v>505</v>
      </c>
      <c r="G825" s="31" t="s">
        <v>155</v>
      </c>
      <c r="H825" s="31" t="s">
        <v>5</v>
      </c>
      <c r="I825" s="31" t="s">
        <v>506</v>
      </c>
      <c r="J825" s="31" t="s">
        <v>507</v>
      </c>
      <c r="K825" s="31" t="s">
        <v>157</v>
      </c>
      <c r="L825" s="31" t="s">
        <v>21</v>
      </c>
      <c r="M825" s="31" t="s">
        <v>22</v>
      </c>
      <c r="N825" s="31">
        <v>10</v>
      </c>
      <c r="O825" s="31">
        <f>2024-Inventory[[#This Row],[YrBlt]]</f>
        <v>19</v>
      </c>
      <c r="P825" s="31">
        <f>2024-Inventory[[#This Row],[EffYr]]</f>
        <v>19</v>
      </c>
      <c r="Q825" s="30">
        <v>2005</v>
      </c>
      <c r="R825" s="30">
        <v>2005</v>
      </c>
      <c r="S825" s="30">
        <v>1116</v>
      </c>
      <c r="T825" s="38">
        <v>1116</v>
      </c>
      <c r="U825" s="32"/>
      <c r="V825" s="32"/>
      <c r="W825" s="32"/>
      <c r="X825" s="32">
        <f>Inventory[[#This Row],[Bsmt Area]]-Inventory[[#This Row],[FnBsmt]]</f>
        <v>0</v>
      </c>
      <c r="Y825" s="32">
        <f>Inventory[[#This Row],[MainFn]]+Inventory[[#This Row],[UpprFn]]+Inventory[[#This Row],[AddFn]]+Inventory[[#This Row],[FnBsmt]]</f>
        <v>2232</v>
      </c>
      <c r="Z825" s="32">
        <v>2500</v>
      </c>
      <c r="AA825" s="31" t="s">
        <v>56</v>
      </c>
      <c r="AB825" s="32"/>
      <c r="AC825" s="30">
        <v>440</v>
      </c>
      <c r="AD825" s="32"/>
      <c r="AE825" s="32"/>
      <c r="AF825" s="32"/>
      <c r="AG825" s="32"/>
      <c r="AH825" s="32"/>
      <c r="AI825" s="30">
        <v>439327</v>
      </c>
      <c r="AJ825" s="30">
        <v>399788</v>
      </c>
      <c r="AK825" s="30">
        <v>0</v>
      </c>
      <c r="AL825" s="30">
        <v>0</v>
      </c>
      <c r="AM825" s="30">
        <v>61700</v>
      </c>
      <c r="AN825" s="30">
        <v>350000</v>
      </c>
      <c r="AO825" s="30">
        <v>411700</v>
      </c>
      <c r="AP825" s="30">
        <f>Lookups!$B$58*0.6</f>
        <v>132535.48800000001</v>
      </c>
      <c r="AQ825" s="30">
        <f>Lookups!$B$58*0.4</f>
        <v>88356.992000000013</v>
      </c>
      <c r="AR825" s="30">
        <f>Lookups!$B$59*Inventory[[#This Row],[LnAcres]]</f>
        <v>-23255.730391660189</v>
      </c>
      <c r="AS825" s="30">
        <f>VLOOKUP(Inventory[[#This Row],[Qlty]],Lookups!$A$66:$E$79,2,FALSE)</f>
        <v>32917.849192000001</v>
      </c>
      <c r="AT825" s="30">
        <f>VLOOKUP(Inventory[[#This Row],[Cnd]],Lookups!$A$80:$E$88,2,FALSE)</f>
        <v>50438.379078999998</v>
      </c>
      <c r="AU825" s="30">
        <f>Inventory[[#This Row],[EffAge]]*Lookups!$B$65</f>
        <v>-2066.0808999999999</v>
      </c>
      <c r="AV825" s="30">
        <f>Inventory[[#This Row],[MainFn]]*Lookups!$B$90</f>
        <v>69649.984080000009</v>
      </c>
      <c r="AW825" s="30">
        <f>Inventory[[#This Row],[UpprFn]]*Lookups!$B$91</f>
        <v>66491.707427999994</v>
      </c>
      <c r="AX825" s="30">
        <f>Inventory[[#This Row],[Bsmt Area]]*Lookups!$B$95</f>
        <v>0</v>
      </c>
      <c r="AY825" s="30">
        <f>Inventory[[#This Row],[AttGar]]*Lookups!$B$93</f>
        <v>15532.453640000002</v>
      </c>
      <c r="AZ825" s="30">
        <f>ROUND(Inventory[[#This Row],[25Det]],-2)</f>
        <v>0</v>
      </c>
      <c r="BA825" s="30">
        <f>ROUND(SUM(Inventory[[#This Row],[Mdl Qlty]:[Mdl Garage Area]])+Inventory[[#This Row],[Mdl Res Intercept]],-2)</f>
        <v>365500</v>
      </c>
      <c r="BB825" s="30">
        <f>ROUND(Inventory[[#This Row],[Mdl Land Intercept]]+Inventory[[#This Row],[Mdl LnAcres]],-2)</f>
        <v>65100</v>
      </c>
      <c r="BC825" s="30">
        <f>Inventory[[#This Row],[Unadj Res Value]]+Inventory[[#This Row],[Unadj Det Value]]+Inventory[[#This Row],[Unadj Land Value]]</f>
        <v>430600</v>
      </c>
      <c r="BD825" s="30">
        <f>(Inventory[[#This Row],[Unadj Total Value]]-Inventory[[#This Row],[24Final]])/Inventory[[#This Row],[24Final]]</f>
        <v>4.5907213990769975E-2</v>
      </c>
      <c r="BE825" s="30">
        <f>VLOOKUP(Inventory[[#This Row],[Nbhd]],Lookups!$M$3:$P$5,4,FALSE)</f>
        <v>0.99970000000000003</v>
      </c>
      <c r="BF825" s="30">
        <f>VLOOKUP(Inventory[[#This Row],[Qlty]],Lookups!$M$8:$P$22,4,FALSE)</f>
        <v>1.0019</v>
      </c>
      <c r="BG825" s="30">
        <f>VLOOKUP(Inventory[[#This Row],[Cnd]],Lookups!$R$8:$U$17,4,FALSE)</f>
        <v>1.0007999999999999</v>
      </c>
      <c r="BH825" s="30">
        <f>VLOOKUP(Inventory[[#This Row],[LivArea Range]],Lookups!$R$25:$U$43,4,FALSE)</f>
        <v>1.0008999999999999</v>
      </c>
      <c r="BI825" s="30">
        <f>VLOOKUP(Inventory[[#This Row],[Decade]],Lookups!$M$24:$P$40,4,FALSE)</f>
        <v>1.0024</v>
      </c>
      <c r="BJ825" s="30">
        <f>Inventory[[#This Row],[Nbhd Adj]]*0.95</f>
        <v>0.94971499999999998</v>
      </c>
      <c r="BK825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825" s="30">
        <f>ROUND((SUM(Inventory[[#This Row],[Mdl Qlty]:[Mdl Garage Area]])+Inventory[[#This Row],[Mdl Res Intercept]])*Inventory[[#This Row],[Res Adj ]],-2)</f>
        <v>347600</v>
      </c>
      <c r="BM825" s="30">
        <f>ROUND(Inventory[[#This Row],[25Det]]*Inventory[[#This Row],[Det/Nbhd Adj]],-2)</f>
        <v>0</v>
      </c>
      <c r="BN825" s="30">
        <f>Inventory[[#This Row],[Adjusted Res]]+Inventory[[#This Row],[Adj Det ]]</f>
        <v>347600</v>
      </c>
      <c r="BO825" s="30">
        <f>ROUND((Inventory[[#This Row],[Mdl Land Intercept]]+Inventory[[#This Row],[Mdl LnAcres]])*Inventory[[#This Row],[Det/Nbhd Adj]],-2)</f>
        <v>61800</v>
      </c>
      <c r="BP825" s="30">
        <f>Inventory[[#This Row],[Adjusted Impr Total]]+Inventory[[#This Row],[Adjusted Land Total]]</f>
        <v>409400</v>
      </c>
      <c r="BQ825" s="30">
        <f>IFERROR((Inventory[[#This Row],[Adjusted Impr Total]]-Inventory[[#This Row],[24Bldg]])/Inventory[[#This Row],[24Bldg]],0)</f>
        <v>-6.8571428571428568E-3</v>
      </c>
      <c r="BR825" s="43">
        <f>(Inventory[[#This Row],[Adjusted Land Total]]-Inventory[[#This Row],[24Lnd]])/Inventory[[#This Row],[24Lnd]]</f>
        <v>1.6207455429497568E-3</v>
      </c>
      <c r="BS825" s="43">
        <f>(Inventory[[#This Row],[Adjusted Total]]-Inventory[[#This Row],[24Final]])/Inventory[[#This Row],[24Final]]</f>
        <v>-5.5865921787709499E-3</v>
      </c>
    </row>
    <row r="826" spans="1:71">
      <c r="A826" s="30">
        <v>2025</v>
      </c>
      <c r="B826" s="31" t="s">
        <v>1341</v>
      </c>
      <c r="C826" s="31">
        <f>LN(Inventory[[#This Row],[Acres]])</f>
        <v>-1.7719568419318752</v>
      </c>
      <c r="D826" s="30">
        <v>0.17</v>
      </c>
      <c r="E826" s="30">
        <v>7519</v>
      </c>
      <c r="F826" s="31" t="s">
        <v>505</v>
      </c>
      <c r="G826" s="31" t="s">
        <v>155</v>
      </c>
      <c r="H826" s="31" t="s">
        <v>5</v>
      </c>
      <c r="I826" s="31" t="s">
        <v>506</v>
      </c>
      <c r="J826" s="31" t="s">
        <v>507</v>
      </c>
      <c r="K826" s="31" t="s">
        <v>157</v>
      </c>
      <c r="L826" s="31" t="s">
        <v>21</v>
      </c>
      <c r="M826" s="31" t="s">
        <v>22</v>
      </c>
      <c r="N826" s="31">
        <v>10</v>
      </c>
      <c r="O826" s="31">
        <f>2024-Inventory[[#This Row],[YrBlt]]</f>
        <v>19</v>
      </c>
      <c r="P826" s="31">
        <f>2024-Inventory[[#This Row],[EffYr]]</f>
        <v>19</v>
      </c>
      <c r="Q826" s="30">
        <v>2005</v>
      </c>
      <c r="R826" s="30">
        <v>2005</v>
      </c>
      <c r="S826" s="30">
        <v>1116</v>
      </c>
      <c r="T826" s="38">
        <v>1116</v>
      </c>
      <c r="U826" s="32"/>
      <c r="V826" s="32"/>
      <c r="W826" s="32"/>
      <c r="X826" s="32">
        <f>Inventory[[#This Row],[Bsmt Area]]-Inventory[[#This Row],[FnBsmt]]</f>
        <v>0</v>
      </c>
      <c r="Y826" s="32">
        <f>Inventory[[#This Row],[MainFn]]+Inventory[[#This Row],[UpprFn]]+Inventory[[#This Row],[AddFn]]+Inventory[[#This Row],[FnBsmt]]</f>
        <v>2232</v>
      </c>
      <c r="Z826" s="32">
        <v>2500</v>
      </c>
      <c r="AA826" s="31" t="s">
        <v>56</v>
      </c>
      <c r="AB826" s="32"/>
      <c r="AC826" s="30">
        <v>440</v>
      </c>
      <c r="AD826" s="32"/>
      <c r="AE826" s="32"/>
      <c r="AF826" s="32"/>
      <c r="AG826" s="32"/>
      <c r="AH826" s="32"/>
      <c r="AI826" s="30">
        <v>446742</v>
      </c>
      <c r="AJ826" s="30">
        <v>406535</v>
      </c>
      <c r="AK826" s="30">
        <v>0</v>
      </c>
      <c r="AL826" s="30">
        <v>0</v>
      </c>
      <c r="AM826" s="30">
        <v>61700</v>
      </c>
      <c r="AN826" s="30">
        <v>350000</v>
      </c>
      <c r="AO826" s="30">
        <v>411700</v>
      </c>
      <c r="AP826" s="30">
        <f>Lookups!$B$58*0.6</f>
        <v>132535.48800000001</v>
      </c>
      <c r="AQ826" s="30">
        <f>Lookups!$B$58*0.4</f>
        <v>88356.992000000013</v>
      </c>
      <c r="AR826" s="30">
        <f>Lookups!$B$59*Inventory[[#This Row],[LnAcres]]</f>
        <v>-23255.730391660189</v>
      </c>
      <c r="AS826" s="30">
        <f>VLOOKUP(Inventory[[#This Row],[Qlty]],Lookups!$A$66:$E$79,2,FALSE)</f>
        <v>32917.849192000001</v>
      </c>
      <c r="AT826" s="30">
        <f>VLOOKUP(Inventory[[#This Row],[Cnd]],Lookups!$A$80:$E$88,2,FALSE)</f>
        <v>50438.379078999998</v>
      </c>
      <c r="AU826" s="30">
        <f>Inventory[[#This Row],[EffAge]]*Lookups!$B$65</f>
        <v>-2066.0808999999999</v>
      </c>
      <c r="AV826" s="30">
        <f>Inventory[[#This Row],[MainFn]]*Lookups!$B$90</f>
        <v>69649.984080000009</v>
      </c>
      <c r="AW826" s="30">
        <f>Inventory[[#This Row],[UpprFn]]*Lookups!$B$91</f>
        <v>66491.707427999994</v>
      </c>
      <c r="AX826" s="30">
        <f>Inventory[[#This Row],[Bsmt Area]]*Lookups!$B$95</f>
        <v>0</v>
      </c>
      <c r="AY826" s="30">
        <f>Inventory[[#This Row],[AttGar]]*Lookups!$B$93</f>
        <v>15532.453640000002</v>
      </c>
      <c r="AZ826" s="30">
        <f>ROUND(Inventory[[#This Row],[25Det]],-2)</f>
        <v>0</v>
      </c>
      <c r="BA826" s="30">
        <f>ROUND(SUM(Inventory[[#This Row],[Mdl Qlty]:[Mdl Garage Area]])+Inventory[[#This Row],[Mdl Res Intercept]],-2)</f>
        <v>365500</v>
      </c>
      <c r="BB826" s="30">
        <f>ROUND(Inventory[[#This Row],[Mdl Land Intercept]]+Inventory[[#This Row],[Mdl LnAcres]],-2)</f>
        <v>65100</v>
      </c>
      <c r="BC826" s="30">
        <f>Inventory[[#This Row],[Unadj Res Value]]+Inventory[[#This Row],[Unadj Det Value]]+Inventory[[#This Row],[Unadj Land Value]]</f>
        <v>430600</v>
      </c>
      <c r="BD826" s="30">
        <f>(Inventory[[#This Row],[Unadj Total Value]]-Inventory[[#This Row],[24Final]])/Inventory[[#This Row],[24Final]]</f>
        <v>4.5907213990769975E-2</v>
      </c>
      <c r="BE826" s="30">
        <f>VLOOKUP(Inventory[[#This Row],[Nbhd]],Lookups!$M$3:$P$5,4,FALSE)</f>
        <v>0.99970000000000003</v>
      </c>
      <c r="BF826" s="30">
        <f>VLOOKUP(Inventory[[#This Row],[Qlty]],Lookups!$M$8:$P$22,4,FALSE)</f>
        <v>1.0019</v>
      </c>
      <c r="BG826" s="30">
        <f>VLOOKUP(Inventory[[#This Row],[Cnd]],Lookups!$R$8:$U$17,4,FALSE)</f>
        <v>1.0007999999999999</v>
      </c>
      <c r="BH826" s="30">
        <f>VLOOKUP(Inventory[[#This Row],[LivArea Range]],Lookups!$R$25:$U$43,4,FALSE)</f>
        <v>1.0008999999999999</v>
      </c>
      <c r="BI826" s="30">
        <f>VLOOKUP(Inventory[[#This Row],[Decade]],Lookups!$M$24:$P$40,4,FALSE)</f>
        <v>1.0024</v>
      </c>
      <c r="BJ826" s="30">
        <f>Inventory[[#This Row],[Nbhd Adj]]*0.95</f>
        <v>0.94971499999999998</v>
      </c>
      <c r="BK826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826" s="30">
        <f>ROUND((SUM(Inventory[[#This Row],[Mdl Qlty]:[Mdl Garage Area]])+Inventory[[#This Row],[Mdl Res Intercept]])*Inventory[[#This Row],[Res Adj ]],-2)</f>
        <v>347600</v>
      </c>
      <c r="BM826" s="30">
        <f>ROUND(Inventory[[#This Row],[25Det]]*Inventory[[#This Row],[Det/Nbhd Adj]],-2)</f>
        <v>0</v>
      </c>
      <c r="BN826" s="30">
        <f>Inventory[[#This Row],[Adjusted Res]]+Inventory[[#This Row],[Adj Det ]]</f>
        <v>347600</v>
      </c>
      <c r="BO826" s="30">
        <f>ROUND((Inventory[[#This Row],[Mdl Land Intercept]]+Inventory[[#This Row],[Mdl LnAcres]])*Inventory[[#This Row],[Det/Nbhd Adj]],-2)</f>
        <v>61800</v>
      </c>
      <c r="BP826" s="30">
        <f>Inventory[[#This Row],[Adjusted Impr Total]]+Inventory[[#This Row],[Adjusted Land Total]]</f>
        <v>409400</v>
      </c>
      <c r="BQ826" s="30">
        <f>IFERROR((Inventory[[#This Row],[Adjusted Impr Total]]-Inventory[[#This Row],[24Bldg]])/Inventory[[#This Row],[24Bldg]],0)</f>
        <v>-6.8571428571428568E-3</v>
      </c>
      <c r="BR826" s="43">
        <f>(Inventory[[#This Row],[Adjusted Land Total]]-Inventory[[#This Row],[24Lnd]])/Inventory[[#This Row],[24Lnd]]</f>
        <v>1.6207455429497568E-3</v>
      </c>
      <c r="BS826" s="43">
        <f>(Inventory[[#This Row],[Adjusted Total]]-Inventory[[#This Row],[24Final]])/Inventory[[#This Row],[24Final]]</f>
        <v>-5.5865921787709499E-3</v>
      </c>
    </row>
    <row r="827" spans="1:71">
      <c r="A827" s="30">
        <v>2025</v>
      </c>
      <c r="B827" s="31" t="s">
        <v>1342</v>
      </c>
      <c r="C827" s="31">
        <f>LN(Inventory[[#This Row],[Acres]])</f>
        <v>-1.7719568419318752</v>
      </c>
      <c r="D827" s="30">
        <v>0.17</v>
      </c>
      <c r="E827" s="30">
        <v>7366</v>
      </c>
      <c r="F827" s="31" t="s">
        <v>505</v>
      </c>
      <c r="G827" s="31" t="s">
        <v>155</v>
      </c>
      <c r="H827" s="31" t="s">
        <v>5</v>
      </c>
      <c r="I827" s="31" t="s">
        <v>506</v>
      </c>
      <c r="J827" s="31" t="s">
        <v>507</v>
      </c>
      <c r="K827" s="31" t="s">
        <v>193</v>
      </c>
      <c r="L827" s="31" t="s">
        <v>21</v>
      </c>
      <c r="M827" s="31" t="s">
        <v>22</v>
      </c>
      <c r="N827" s="31">
        <v>10</v>
      </c>
      <c r="O827" s="31">
        <f>2024-Inventory[[#This Row],[YrBlt]]</f>
        <v>19</v>
      </c>
      <c r="P827" s="31">
        <f>2024-Inventory[[#This Row],[EffYr]]</f>
        <v>19</v>
      </c>
      <c r="Q827" s="30">
        <v>2005</v>
      </c>
      <c r="R827" s="30">
        <v>2005</v>
      </c>
      <c r="S827" s="30">
        <v>1706</v>
      </c>
      <c r="T827" s="37"/>
      <c r="U827" s="32"/>
      <c r="V827" s="32"/>
      <c r="W827" s="32"/>
      <c r="X827" s="32">
        <f>Inventory[[#This Row],[Bsmt Area]]-Inventory[[#This Row],[FnBsmt]]</f>
        <v>0</v>
      </c>
      <c r="Y827" s="32">
        <f>Inventory[[#This Row],[MainFn]]+Inventory[[#This Row],[UpprFn]]+Inventory[[#This Row],[AddFn]]+Inventory[[#This Row],[FnBsmt]]</f>
        <v>1706</v>
      </c>
      <c r="Z827" s="32">
        <v>2000</v>
      </c>
      <c r="AA827" s="31" t="s">
        <v>56</v>
      </c>
      <c r="AB827" s="32"/>
      <c r="AC827" s="38">
        <v>466</v>
      </c>
      <c r="AD827" s="37"/>
      <c r="AE827" s="32"/>
      <c r="AF827" s="32"/>
      <c r="AG827" s="32"/>
      <c r="AH827" s="32"/>
      <c r="AI827" s="30">
        <v>372217</v>
      </c>
      <c r="AJ827" s="30">
        <v>338717</v>
      </c>
      <c r="AK827" s="30">
        <v>0</v>
      </c>
      <c r="AL827" s="30">
        <v>0</v>
      </c>
      <c r="AM827" s="30">
        <v>61700</v>
      </c>
      <c r="AN827" s="30">
        <v>317700</v>
      </c>
      <c r="AO827" s="30">
        <v>379400</v>
      </c>
      <c r="AP827" s="30">
        <f>Lookups!$B$58*0.6</f>
        <v>132535.48800000001</v>
      </c>
      <c r="AQ827" s="30">
        <f>Lookups!$B$58*0.4</f>
        <v>88356.992000000013</v>
      </c>
      <c r="AR827" s="30">
        <f>Lookups!$B$59*Inventory[[#This Row],[LnAcres]]</f>
        <v>-23255.730391660189</v>
      </c>
      <c r="AS827" s="30">
        <f>VLOOKUP(Inventory[[#This Row],[Qlty]],Lookups!$A$66:$E$79,2,FALSE)</f>
        <v>32917.849192000001</v>
      </c>
      <c r="AT827" s="30">
        <f>VLOOKUP(Inventory[[#This Row],[Cnd]],Lookups!$A$80:$E$88,2,FALSE)</f>
        <v>50438.379078999998</v>
      </c>
      <c r="AU827" s="30">
        <f>Inventory[[#This Row],[EffAge]]*Lookups!$B$65</f>
        <v>-2066.0808999999999</v>
      </c>
      <c r="AV827" s="30">
        <f>Inventory[[#This Row],[MainFn]]*Lookups!$B$90</f>
        <v>106472.10828</v>
      </c>
      <c r="AW827" s="30">
        <f>Inventory[[#This Row],[UpprFn]]*Lookups!$B$91</f>
        <v>0</v>
      </c>
      <c r="AX827" s="30">
        <f>Inventory[[#This Row],[Bsmt Area]]*Lookups!$B$95</f>
        <v>0</v>
      </c>
      <c r="AY827" s="30">
        <f>Inventory[[#This Row],[AttGar]]*Lookups!$B$93</f>
        <v>16450.280446000001</v>
      </c>
      <c r="AZ827" s="30">
        <f>ROUND(Inventory[[#This Row],[25Det]],-2)</f>
        <v>0</v>
      </c>
      <c r="BA827" s="30">
        <f>ROUND(SUM(Inventory[[#This Row],[Mdl Qlty]:[Mdl Garage Area]])+Inventory[[#This Row],[Mdl Res Intercept]],-2)</f>
        <v>336700</v>
      </c>
      <c r="BB827" s="30">
        <f>ROUND(Inventory[[#This Row],[Mdl Land Intercept]]+Inventory[[#This Row],[Mdl LnAcres]],-2)</f>
        <v>65100</v>
      </c>
      <c r="BC827" s="30">
        <f>Inventory[[#This Row],[Unadj Res Value]]+Inventory[[#This Row],[Unadj Det Value]]+Inventory[[#This Row],[Unadj Land Value]]</f>
        <v>401800</v>
      </c>
      <c r="BD827" s="30">
        <f>(Inventory[[#This Row],[Unadj Total Value]]-Inventory[[#This Row],[24Final]])/Inventory[[#This Row],[24Final]]</f>
        <v>5.9040590405904057E-2</v>
      </c>
      <c r="BE827" s="30">
        <f>VLOOKUP(Inventory[[#This Row],[Nbhd]],Lookups!$M$3:$P$5,4,FALSE)</f>
        <v>0.99970000000000003</v>
      </c>
      <c r="BF827" s="30">
        <f>VLOOKUP(Inventory[[#This Row],[Qlty]],Lookups!$M$8:$P$22,4,FALSE)</f>
        <v>1.0019</v>
      </c>
      <c r="BG827" s="30">
        <f>VLOOKUP(Inventory[[#This Row],[Cnd]],Lookups!$R$8:$U$17,4,FALSE)</f>
        <v>1.0007999999999999</v>
      </c>
      <c r="BH827" s="30">
        <f>VLOOKUP(Inventory[[#This Row],[LivArea Range]],Lookups!$R$25:$U$43,4,FALSE)</f>
        <v>1.0007999999999999</v>
      </c>
      <c r="BI827" s="30">
        <f>VLOOKUP(Inventory[[#This Row],[Decade]],Lookups!$M$24:$P$40,4,FALSE)</f>
        <v>1.0024</v>
      </c>
      <c r="BJ827" s="30">
        <f>Inventory[[#This Row],[Nbhd Adj]]*0.95</f>
        <v>0.94971499999999998</v>
      </c>
      <c r="BK827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827" s="30">
        <f>ROUND((SUM(Inventory[[#This Row],[Mdl Qlty]:[Mdl Garage Area]])+Inventory[[#This Row],[Mdl Res Intercept]])*Inventory[[#This Row],[Res Adj ]],-2)</f>
        <v>320300</v>
      </c>
      <c r="BM827" s="30">
        <f>ROUND(Inventory[[#This Row],[25Det]]*Inventory[[#This Row],[Det/Nbhd Adj]],-2)</f>
        <v>0</v>
      </c>
      <c r="BN827" s="30">
        <f>Inventory[[#This Row],[Adjusted Res]]+Inventory[[#This Row],[Adj Det ]]</f>
        <v>320300</v>
      </c>
      <c r="BO827" s="30">
        <f>ROUND((Inventory[[#This Row],[Mdl Land Intercept]]+Inventory[[#This Row],[Mdl LnAcres]])*Inventory[[#This Row],[Det/Nbhd Adj]],-2)</f>
        <v>61800</v>
      </c>
      <c r="BP827" s="30">
        <f>Inventory[[#This Row],[Adjusted Impr Total]]+Inventory[[#This Row],[Adjusted Land Total]]</f>
        <v>382100</v>
      </c>
      <c r="BQ827" s="30">
        <f>IFERROR((Inventory[[#This Row],[Adjusted Impr Total]]-Inventory[[#This Row],[24Bldg]])/Inventory[[#This Row],[24Bldg]],0)</f>
        <v>8.1838212149826887E-3</v>
      </c>
      <c r="BR827" s="43">
        <f>(Inventory[[#This Row],[Adjusted Land Total]]-Inventory[[#This Row],[24Lnd]])/Inventory[[#This Row],[24Lnd]]</f>
        <v>1.6207455429497568E-3</v>
      </c>
      <c r="BS827" s="43">
        <f>(Inventory[[#This Row],[Adjusted Total]]-Inventory[[#This Row],[24Final]])/Inventory[[#This Row],[24Final]]</f>
        <v>7.1164997364259359E-3</v>
      </c>
    </row>
    <row r="828" spans="1:71">
      <c r="A828" s="30">
        <v>2025</v>
      </c>
      <c r="B828" s="31" t="s">
        <v>1343</v>
      </c>
      <c r="C828" s="31">
        <f>LN(Inventory[[#This Row],[Acres]])</f>
        <v>-1.7719568419318752</v>
      </c>
      <c r="D828" s="30">
        <v>0.17</v>
      </c>
      <c r="E828" s="30">
        <v>7395</v>
      </c>
      <c r="F828" s="31" t="s">
        <v>505</v>
      </c>
      <c r="G828" s="31" t="s">
        <v>155</v>
      </c>
      <c r="H828" s="31" t="s">
        <v>5</v>
      </c>
      <c r="I828" s="31" t="s">
        <v>506</v>
      </c>
      <c r="J828" s="31" t="s">
        <v>507</v>
      </c>
      <c r="K828" s="31" t="s">
        <v>330</v>
      </c>
      <c r="L828" s="31" t="s">
        <v>21</v>
      </c>
      <c r="M828" s="31" t="s">
        <v>20</v>
      </c>
      <c r="N828" s="31">
        <v>10</v>
      </c>
      <c r="O828" s="31">
        <f>2024-Inventory[[#This Row],[YrBlt]]</f>
        <v>19</v>
      </c>
      <c r="P828" s="31">
        <f>2024-Inventory[[#This Row],[EffYr]]</f>
        <v>19</v>
      </c>
      <c r="Q828" s="30">
        <v>2005</v>
      </c>
      <c r="R828" s="30">
        <v>2005</v>
      </c>
      <c r="S828" s="30">
        <v>2154</v>
      </c>
      <c r="T828" s="37"/>
      <c r="U828" s="32"/>
      <c r="V828" s="32"/>
      <c r="W828" s="32"/>
      <c r="X828" s="32">
        <f>Inventory[[#This Row],[Bsmt Area]]-Inventory[[#This Row],[FnBsmt]]</f>
        <v>0</v>
      </c>
      <c r="Y828" s="32">
        <f>Inventory[[#This Row],[MainFn]]+Inventory[[#This Row],[UpprFn]]+Inventory[[#This Row],[AddFn]]+Inventory[[#This Row],[FnBsmt]]</f>
        <v>2154</v>
      </c>
      <c r="Z828" s="32">
        <v>2500</v>
      </c>
      <c r="AA828" s="31" t="s">
        <v>56</v>
      </c>
      <c r="AB828" s="37"/>
      <c r="AC828" s="30">
        <v>730</v>
      </c>
      <c r="AD828" s="32"/>
      <c r="AE828" s="32"/>
      <c r="AF828" s="32"/>
      <c r="AG828" s="32"/>
      <c r="AH828" s="32"/>
      <c r="AI828" s="30">
        <v>455555</v>
      </c>
      <c r="AJ828" s="30">
        <v>414555</v>
      </c>
      <c r="AK828" s="30">
        <v>0</v>
      </c>
      <c r="AL828" s="30">
        <v>0</v>
      </c>
      <c r="AM828" s="30">
        <v>61700</v>
      </c>
      <c r="AN828" s="30">
        <v>332200</v>
      </c>
      <c r="AO828" s="30">
        <v>393900</v>
      </c>
      <c r="AP828" s="30">
        <f>Lookups!$B$58*0.6</f>
        <v>132535.48800000001</v>
      </c>
      <c r="AQ828" s="30">
        <f>Lookups!$B$58*0.4</f>
        <v>88356.992000000013</v>
      </c>
      <c r="AR828" s="30">
        <f>Lookups!$B$59*Inventory[[#This Row],[LnAcres]]</f>
        <v>-23255.730391660189</v>
      </c>
      <c r="AS828" s="30">
        <f>VLOOKUP(Inventory[[#This Row],[Qlty]],Lookups!$A$66:$E$79,2,FALSE)</f>
        <v>32917.849192000001</v>
      </c>
      <c r="AT828" s="30">
        <f>VLOOKUP(Inventory[[#This Row],[Cnd]],Lookups!$A$80:$E$88,2,FALSE)</f>
        <v>30300.329274</v>
      </c>
      <c r="AU828" s="30">
        <f>Inventory[[#This Row],[EffAge]]*Lookups!$B$65</f>
        <v>-2066.0808999999999</v>
      </c>
      <c r="AV828" s="30">
        <f>Inventory[[#This Row],[MainFn]]*Lookups!$B$90</f>
        <v>134431.95852000001</v>
      </c>
      <c r="AW828" s="30">
        <f>Inventory[[#This Row],[UpprFn]]*Lookups!$B$91</f>
        <v>0</v>
      </c>
      <c r="AX828" s="30">
        <f>Inventory[[#This Row],[Bsmt Area]]*Lookups!$B$95</f>
        <v>0</v>
      </c>
      <c r="AY828" s="30">
        <f>Inventory[[#This Row],[AttGar]]*Lookups!$B$93</f>
        <v>25769.752630000003</v>
      </c>
      <c r="AZ828" s="30">
        <f>ROUND(Inventory[[#This Row],[25Det]],-2)</f>
        <v>0</v>
      </c>
      <c r="BA828" s="30">
        <f>ROUND(SUM(Inventory[[#This Row],[Mdl Qlty]:[Mdl Garage Area]])+Inventory[[#This Row],[Mdl Res Intercept]],-2)</f>
        <v>353900</v>
      </c>
      <c r="BB828" s="30">
        <f>ROUND(Inventory[[#This Row],[Mdl Land Intercept]]+Inventory[[#This Row],[Mdl LnAcres]],-2)</f>
        <v>65100</v>
      </c>
      <c r="BC828" s="30">
        <f>Inventory[[#This Row],[Unadj Res Value]]+Inventory[[#This Row],[Unadj Det Value]]+Inventory[[#This Row],[Unadj Land Value]]</f>
        <v>419000</v>
      </c>
      <c r="BD828" s="30">
        <f>(Inventory[[#This Row],[Unadj Total Value]]-Inventory[[#This Row],[24Final]])/Inventory[[#This Row],[24Final]]</f>
        <v>6.3721756791063719E-2</v>
      </c>
      <c r="BE828" s="30">
        <f>VLOOKUP(Inventory[[#This Row],[Nbhd]],Lookups!$M$3:$P$5,4,FALSE)</f>
        <v>0.99970000000000003</v>
      </c>
      <c r="BF828" s="30">
        <f>VLOOKUP(Inventory[[#This Row],[Qlty]],Lookups!$M$8:$P$22,4,FALSE)</f>
        <v>1.0019</v>
      </c>
      <c r="BG828" s="30">
        <f>VLOOKUP(Inventory[[#This Row],[Cnd]],Lookups!$R$8:$U$17,4,FALSE)</f>
        <v>0.997</v>
      </c>
      <c r="BH828" s="30">
        <f>VLOOKUP(Inventory[[#This Row],[LivArea Range]],Lookups!$R$25:$U$43,4,FALSE)</f>
        <v>1.0008999999999999</v>
      </c>
      <c r="BI828" s="30">
        <f>VLOOKUP(Inventory[[#This Row],[Decade]],Lookups!$M$24:$P$40,4,FALSE)</f>
        <v>1.0024</v>
      </c>
      <c r="BJ828" s="30">
        <f>Inventory[[#This Row],[Nbhd Adj]]*0.95</f>
        <v>0.94971499999999998</v>
      </c>
      <c r="BK828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828" s="30">
        <f>ROUND((SUM(Inventory[[#This Row],[Mdl Qlty]:[Mdl Garage Area]])+Inventory[[#This Row],[Mdl Res Intercept]])*Inventory[[#This Row],[Res Adj ]],-2)</f>
        <v>336300</v>
      </c>
      <c r="BM828" s="30">
        <f>ROUND(Inventory[[#This Row],[25Det]]*Inventory[[#This Row],[Det/Nbhd Adj]],-2)</f>
        <v>0</v>
      </c>
      <c r="BN828" s="30">
        <f>Inventory[[#This Row],[Adjusted Res]]+Inventory[[#This Row],[Adj Det ]]</f>
        <v>336300</v>
      </c>
      <c r="BO828" s="30">
        <f>ROUND((Inventory[[#This Row],[Mdl Land Intercept]]+Inventory[[#This Row],[Mdl LnAcres]])*Inventory[[#This Row],[Det/Nbhd Adj]],-2)</f>
        <v>61800</v>
      </c>
      <c r="BP828" s="30">
        <f>Inventory[[#This Row],[Adjusted Impr Total]]+Inventory[[#This Row],[Adjusted Land Total]]</f>
        <v>398100</v>
      </c>
      <c r="BQ828" s="30">
        <f>IFERROR((Inventory[[#This Row],[Adjusted Impr Total]]-Inventory[[#This Row],[24Bldg]])/Inventory[[#This Row],[24Bldg]],0)</f>
        <v>1.2341962673088501E-2</v>
      </c>
      <c r="BR828" s="43">
        <f>(Inventory[[#This Row],[Adjusted Land Total]]-Inventory[[#This Row],[24Lnd]])/Inventory[[#This Row],[24Lnd]]</f>
        <v>1.6207455429497568E-3</v>
      </c>
      <c r="BS828" s="43">
        <f>(Inventory[[#This Row],[Adjusted Total]]-Inventory[[#This Row],[24Final]])/Inventory[[#This Row],[24Final]]</f>
        <v>1.0662604722010662E-2</v>
      </c>
    </row>
    <row r="829" spans="1:71">
      <c r="A829" s="30">
        <v>2025</v>
      </c>
      <c r="B829" s="31" t="s">
        <v>1344</v>
      </c>
      <c r="C829" s="31">
        <f>LN(Inventory[[#This Row],[Acres]])</f>
        <v>-1.7147984280919266</v>
      </c>
      <c r="D829" s="30">
        <v>0.18</v>
      </c>
      <c r="E829" s="30">
        <v>7941</v>
      </c>
      <c r="F829" s="31" t="s">
        <v>505</v>
      </c>
      <c r="G829" s="31" t="s">
        <v>155</v>
      </c>
      <c r="H829" s="31" t="s">
        <v>5</v>
      </c>
      <c r="I829" s="31" t="s">
        <v>506</v>
      </c>
      <c r="J829" s="31" t="s">
        <v>507</v>
      </c>
      <c r="K829" s="31" t="s">
        <v>157</v>
      </c>
      <c r="L829" s="31" t="s">
        <v>21</v>
      </c>
      <c r="M829" s="31" t="s">
        <v>22</v>
      </c>
      <c r="N829" s="31">
        <v>10</v>
      </c>
      <c r="O829" s="31">
        <f>2024-Inventory[[#This Row],[YrBlt]]</f>
        <v>19</v>
      </c>
      <c r="P829" s="31">
        <f>2024-Inventory[[#This Row],[EffYr]]</f>
        <v>19</v>
      </c>
      <c r="Q829" s="30">
        <v>2005</v>
      </c>
      <c r="R829" s="30">
        <v>2005</v>
      </c>
      <c r="S829" s="30">
        <v>1382</v>
      </c>
      <c r="T829" s="32"/>
      <c r="U829" s="32"/>
      <c r="V829" s="32"/>
      <c r="W829" s="32"/>
      <c r="X829" s="32">
        <f>Inventory[[#This Row],[Bsmt Area]]-Inventory[[#This Row],[FnBsmt]]</f>
        <v>0</v>
      </c>
      <c r="Y829" s="32">
        <f>Inventory[[#This Row],[MainFn]]+Inventory[[#This Row],[UpprFn]]+Inventory[[#This Row],[AddFn]]+Inventory[[#This Row],[FnBsmt]]</f>
        <v>1382</v>
      </c>
      <c r="Z829" s="32">
        <v>1500</v>
      </c>
      <c r="AA829" s="31" t="s">
        <v>57</v>
      </c>
      <c r="AB829" s="32"/>
      <c r="AC829" s="30">
        <v>426</v>
      </c>
      <c r="AD829" s="32"/>
      <c r="AE829" s="32"/>
      <c r="AF829" s="32"/>
      <c r="AG829" s="32"/>
      <c r="AH829" s="32"/>
      <c r="AI829" s="30">
        <v>314516</v>
      </c>
      <c r="AJ829" s="30">
        <v>286210</v>
      </c>
      <c r="AK829" s="30">
        <v>0</v>
      </c>
      <c r="AL829" s="30">
        <v>0</v>
      </c>
      <c r="AM829" s="30">
        <v>62500</v>
      </c>
      <c r="AN829" s="30">
        <v>301600</v>
      </c>
      <c r="AO829" s="30">
        <v>364100</v>
      </c>
      <c r="AP829" s="30">
        <f>Lookups!$B$58*0.6</f>
        <v>132535.48800000001</v>
      </c>
      <c r="AQ829" s="30">
        <f>Lookups!$B$58*0.4</f>
        <v>88356.992000000013</v>
      </c>
      <c r="AR829" s="30">
        <f>Lookups!$B$59*Inventory[[#This Row],[LnAcres]]</f>
        <v>-22505.565020573864</v>
      </c>
      <c r="AS829" s="30">
        <f>VLOOKUP(Inventory[[#This Row],[Qlty]],Lookups!$A$66:$E$79,2,FALSE)</f>
        <v>32917.849192000001</v>
      </c>
      <c r="AT829" s="30">
        <f>VLOOKUP(Inventory[[#This Row],[Cnd]],Lookups!$A$80:$E$88,2,FALSE)</f>
        <v>50438.379078999998</v>
      </c>
      <c r="AU829" s="30">
        <f>Inventory[[#This Row],[EffAge]]*Lookups!$B$65</f>
        <v>-2066.0808999999999</v>
      </c>
      <c r="AV829" s="30">
        <f>Inventory[[#This Row],[MainFn]]*Lookups!$B$90</f>
        <v>86251.14516</v>
      </c>
      <c r="AW829" s="30">
        <f>Inventory[[#This Row],[UpprFn]]*Lookups!$B$91</f>
        <v>0</v>
      </c>
      <c r="AX829" s="30">
        <f>Inventory[[#This Row],[Bsmt Area]]*Lookups!$B$95</f>
        <v>0</v>
      </c>
      <c r="AY829" s="30">
        <f>Inventory[[#This Row],[AttGar]]*Lookups!$B$93</f>
        <v>15038.239206</v>
      </c>
      <c r="AZ829" s="30">
        <f>ROUND(Inventory[[#This Row],[25Det]],-2)</f>
        <v>0</v>
      </c>
      <c r="BA829" s="30">
        <f>ROUND(SUM(Inventory[[#This Row],[Mdl Qlty]:[Mdl Garage Area]])+Inventory[[#This Row],[Mdl Res Intercept]],-2)</f>
        <v>315100</v>
      </c>
      <c r="BB829" s="30">
        <f>ROUND(Inventory[[#This Row],[Mdl Land Intercept]]+Inventory[[#This Row],[Mdl LnAcres]],-2)</f>
        <v>65900</v>
      </c>
      <c r="BC829" s="30">
        <f>Inventory[[#This Row],[Unadj Res Value]]+Inventory[[#This Row],[Unadj Det Value]]+Inventory[[#This Row],[Unadj Land Value]]</f>
        <v>381000</v>
      </c>
      <c r="BD829" s="30">
        <f>(Inventory[[#This Row],[Unadj Total Value]]-Inventory[[#This Row],[24Final]])/Inventory[[#This Row],[24Final]]</f>
        <v>4.6415819829717112E-2</v>
      </c>
      <c r="BE829" s="30">
        <f>VLOOKUP(Inventory[[#This Row],[Nbhd]],Lookups!$M$3:$P$5,4,FALSE)</f>
        <v>0.99970000000000003</v>
      </c>
      <c r="BF829" s="30">
        <f>VLOOKUP(Inventory[[#This Row],[Qlty]],Lookups!$M$8:$P$22,4,FALSE)</f>
        <v>1.0019</v>
      </c>
      <c r="BG829" s="30">
        <f>VLOOKUP(Inventory[[#This Row],[Cnd]],Lookups!$R$8:$U$17,4,FALSE)</f>
        <v>1.0007999999999999</v>
      </c>
      <c r="BH829" s="30">
        <f>VLOOKUP(Inventory[[#This Row],[LivArea Range]],Lookups!$R$25:$U$43,4,FALSE)</f>
        <v>0.99519999999999997</v>
      </c>
      <c r="BI829" s="30">
        <f>VLOOKUP(Inventory[[#This Row],[Decade]],Lookups!$M$24:$P$40,4,FALSE)</f>
        <v>1.0024</v>
      </c>
      <c r="BJ829" s="30">
        <f>Inventory[[#This Row],[Nbhd Adj]]*0.95</f>
        <v>0.94971499999999998</v>
      </c>
      <c r="BK829" s="30">
        <f>AVERAGE(Inventory[[#This Row],[Nbhd Adj]],Inventory[[#This Row],[Quality Adj]],Inventory[[#This Row],[Condition Adj]],Inventory[[#This Row],[Living Area Adj]],Inventory[[#This Row],[Decade Adj]])*0.95</f>
        <v>0.95</v>
      </c>
      <c r="BL829" s="30">
        <f>ROUND((SUM(Inventory[[#This Row],[Mdl Qlty]:[Mdl Garage Area]])+Inventory[[#This Row],[Mdl Res Intercept]])*Inventory[[#This Row],[Res Adj ]],-2)</f>
        <v>299400</v>
      </c>
      <c r="BM829" s="30">
        <f>ROUND(Inventory[[#This Row],[25Det]]*Inventory[[#This Row],[Det/Nbhd Adj]],-2)</f>
        <v>0</v>
      </c>
      <c r="BN829" s="30">
        <f>Inventory[[#This Row],[Adjusted Res]]+Inventory[[#This Row],[Adj Det ]]</f>
        <v>299400</v>
      </c>
      <c r="BO829" s="30">
        <f>ROUND((Inventory[[#This Row],[Mdl Land Intercept]]+Inventory[[#This Row],[Mdl LnAcres]])*Inventory[[#This Row],[Det/Nbhd Adj]],-2)</f>
        <v>62500</v>
      </c>
      <c r="BP829" s="30">
        <f>Inventory[[#This Row],[Adjusted Impr Total]]+Inventory[[#This Row],[Adjusted Land Total]]</f>
        <v>361900</v>
      </c>
      <c r="BQ829" s="30">
        <f>IFERROR((Inventory[[#This Row],[Adjusted Impr Total]]-Inventory[[#This Row],[24Bldg]])/Inventory[[#This Row],[24Bldg]],0)</f>
        <v>-7.2944297082228118E-3</v>
      </c>
      <c r="BR829" s="43">
        <f>(Inventory[[#This Row],[Adjusted Land Total]]-Inventory[[#This Row],[24Lnd]])/Inventory[[#This Row],[24Lnd]]</f>
        <v>0</v>
      </c>
      <c r="BS829" s="43">
        <f>(Inventory[[#This Row],[Adjusted Total]]-Inventory[[#This Row],[24Final]])/Inventory[[#This Row],[24Final]]</f>
        <v>-6.0422960725075529E-3</v>
      </c>
    </row>
    <row r="830" spans="1:71">
      <c r="A830" s="30">
        <v>2025</v>
      </c>
      <c r="B830" s="31" t="s">
        <v>1345</v>
      </c>
      <c r="C830" s="31">
        <f>LN(Inventory[[#This Row],[Acres]])</f>
        <v>-1.7147984280919266</v>
      </c>
      <c r="D830" s="30">
        <v>0.18</v>
      </c>
      <c r="E830" s="38">
        <v>7657</v>
      </c>
      <c r="F830" s="31" t="s">
        <v>505</v>
      </c>
      <c r="G830" s="31" t="s">
        <v>155</v>
      </c>
      <c r="H830" s="31" t="s">
        <v>5</v>
      </c>
      <c r="I830" s="31" t="s">
        <v>506</v>
      </c>
      <c r="J830" s="31" t="s">
        <v>507</v>
      </c>
      <c r="K830" s="31" t="s">
        <v>193</v>
      </c>
      <c r="L830" s="31" t="s">
        <v>21</v>
      </c>
      <c r="M830" s="31" t="s">
        <v>22</v>
      </c>
      <c r="N830" s="31">
        <v>10</v>
      </c>
      <c r="O830" s="31">
        <f>2024-Inventory[[#This Row],[YrBlt]]</f>
        <v>19</v>
      </c>
      <c r="P830" s="31">
        <f>2024-Inventory[[#This Row],[EffYr]]</f>
        <v>19</v>
      </c>
      <c r="Q830" s="30">
        <v>2005</v>
      </c>
      <c r="R830" s="30">
        <v>2005</v>
      </c>
      <c r="S830" s="30">
        <v>1706</v>
      </c>
      <c r="T830" s="37"/>
      <c r="U830" s="32"/>
      <c r="V830" s="32"/>
      <c r="W830" s="32"/>
      <c r="X830" s="32">
        <f>Inventory[[#This Row],[Bsmt Area]]-Inventory[[#This Row],[FnBsmt]]</f>
        <v>0</v>
      </c>
      <c r="Y830" s="32">
        <f>Inventory[[#This Row],[MainFn]]+Inventory[[#This Row],[UpprFn]]+Inventory[[#This Row],[AddFn]]+Inventory[[#This Row],[FnBsmt]]</f>
        <v>1706</v>
      </c>
      <c r="Z830" s="32">
        <v>2000</v>
      </c>
      <c r="AA830" s="31" t="s">
        <v>57</v>
      </c>
      <c r="AB830" s="32"/>
      <c r="AC830" s="30">
        <v>466</v>
      </c>
      <c r="AD830" s="32"/>
      <c r="AE830" s="32"/>
      <c r="AF830" s="32"/>
      <c r="AG830" s="32"/>
      <c r="AH830" s="32"/>
      <c r="AI830" s="30">
        <v>373267</v>
      </c>
      <c r="AJ830" s="30">
        <v>339673</v>
      </c>
      <c r="AK830" s="30">
        <v>0</v>
      </c>
      <c r="AL830" s="30">
        <v>0</v>
      </c>
      <c r="AM830" s="30">
        <v>62500</v>
      </c>
      <c r="AN830" s="30">
        <v>321000</v>
      </c>
      <c r="AO830" s="30">
        <v>383500</v>
      </c>
      <c r="AP830" s="30">
        <f>Lookups!$B$58*0.6</f>
        <v>132535.48800000001</v>
      </c>
      <c r="AQ830" s="30">
        <f>Lookups!$B$58*0.4</f>
        <v>88356.992000000013</v>
      </c>
      <c r="AR830" s="30">
        <f>Lookups!$B$59*Inventory[[#This Row],[LnAcres]]</f>
        <v>-22505.565020573864</v>
      </c>
      <c r="AS830" s="30">
        <f>VLOOKUP(Inventory[[#This Row],[Qlty]],Lookups!$A$66:$E$79,2,FALSE)</f>
        <v>32917.849192000001</v>
      </c>
      <c r="AT830" s="30">
        <f>VLOOKUP(Inventory[[#This Row],[Cnd]],Lookups!$A$80:$E$88,2,FALSE)</f>
        <v>50438.379078999998</v>
      </c>
      <c r="AU830" s="30">
        <f>Inventory[[#This Row],[EffAge]]*Lookups!$B$65</f>
        <v>-2066.0808999999999</v>
      </c>
      <c r="AV830" s="30">
        <f>Inventory[[#This Row],[MainFn]]*Lookups!$B$90</f>
        <v>106472.10828</v>
      </c>
      <c r="AW830" s="30">
        <f>Inventory[[#This Row],[UpprFn]]*Lookups!$B$91</f>
        <v>0</v>
      </c>
      <c r="AX830" s="30">
        <f>Inventory[[#This Row],[Bsmt Area]]*Lookups!$B$95</f>
        <v>0</v>
      </c>
      <c r="AY830" s="30">
        <f>Inventory[[#This Row],[AttGar]]*Lookups!$B$93</f>
        <v>16450.280446000001</v>
      </c>
      <c r="AZ830" s="30">
        <f>ROUND(Inventory[[#This Row],[25Det]],-2)</f>
        <v>0</v>
      </c>
      <c r="BA830" s="30">
        <f>ROUND(SUM(Inventory[[#This Row],[Mdl Qlty]:[Mdl Garage Area]])+Inventory[[#This Row],[Mdl Res Intercept]],-2)</f>
        <v>336700</v>
      </c>
      <c r="BB830" s="30">
        <f>ROUND(Inventory[[#This Row],[Mdl Land Intercept]]+Inventory[[#This Row],[Mdl LnAcres]],-2)</f>
        <v>65900</v>
      </c>
      <c r="BC830" s="30">
        <f>Inventory[[#This Row],[Unadj Res Value]]+Inventory[[#This Row],[Unadj Det Value]]+Inventory[[#This Row],[Unadj Land Value]]</f>
        <v>402600</v>
      </c>
      <c r="BD830" s="30">
        <f>(Inventory[[#This Row],[Unadj Total Value]]-Inventory[[#This Row],[24Final]])/Inventory[[#This Row],[24Final]]</f>
        <v>4.9804432855280314E-2</v>
      </c>
      <c r="BE830" s="30">
        <f>VLOOKUP(Inventory[[#This Row],[Nbhd]],Lookups!$M$3:$P$5,4,FALSE)</f>
        <v>0.99970000000000003</v>
      </c>
      <c r="BF830" s="30">
        <f>VLOOKUP(Inventory[[#This Row],[Qlty]],Lookups!$M$8:$P$22,4,FALSE)</f>
        <v>1.0019</v>
      </c>
      <c r="BG830" s="30">
        <f>VLOOKUP(Inventory[[#This Row],[Cnd]],Lookups!$R$8:$U$17,4,FALSE)</f>
        <v>1.0007999999999999</v>
      </c>
      <c r="BH830" s="30">
        <f>VLOOKUP(Inventory[[#This Row],[LivArea Range]],Lookups!$R$25:$U$43,4,FALSE)</f>
        <v>1.0007999999999999</v>
      </c>
      <c r="BI830" s="30">
        <f>VLOOKUP(Inventory[[#This Row],[Decade]],Lookups!$M$24:$P$40,4,FALSE)</f>
        <v>1.0024</v>
      </c>
      <c r="BJ830" s="30">
        <f>Inventory[[#This Row],[Nbhd Adj]]*0.95</f>
        <v>0.94971499999999998</v>
      </c>
      <c r="BK830" s="30">
        <f>AVERAGE(Inventory[[#This Row],[Nbhd Adj]],Inventory[[#This Row],[Quality Adj]],Inventory[[#This Row],[Condition Adj]],Inventory[[#This Row],[Living Area Adj]],Inventory[[#This Row],[Decade Adj]])*0.95</f>
        <v>0.9510639999999998</v>
      </c>
      <c r="BL830" s="30">
        <f>ROUND((SUM(Inventory[[#This Row],[Mdl Qlty]:[Mdl Garage Area]])+Inventory[[#This Row],[Mdl Res Intercept]])*Inventory[[#This Row],[Res Adj ]],-2)</f>
        <v>320300</v>
      </c>
      <c r="BM830" s="30">
        <f>ROUND(Inventory[[#This Row],[25Det]]*Inventory[[#This Row],[Det/Nbhd Adj]],-2)</f>
        <v>0</v>
      </c>
      <c r="BN830" s="30">
        <f>Inventory[[#This Row],[Adjusted Res]]+Inventory[[#This Row],[Adj Det ]]</f>
        <v>320300</v>
      </c>
      <c r="BO830" s="30">
        <f>ROUND((Inventory[[#This Row],[Mdl Land Intercept]]+Inventory[[#This Row],[Mdl LnAcres]])*Inventory[[#This Row],[Det/Nbhd Adj]],-2)</f>
        <v>62500</v>
      </c>
      <c r="BP830" s="30">
        <f>Inventory[[#This Row],[Adjusted Impr Total]]+Inventory[[#This Row],[Adjusted Land Total]]</f>
        <v>382800</v>
      </c>
      <c r="BQ830" s="30">
        <f>IFERROR((Inventory[[#This Row],[Adjusted Impr Total]]-Inventory[[#This Row],[24Bldg]])/Inventory[[#This Row],[24Bldg]],0)</f>
        <v>-2.1806853582554517E-3</v>
      </c>
      <c r="BR830" s="43">
        <f>(Inventory[[#This Row],[Adjusted Land Total]]-Inventory[[#This Row],[24Lnd]])/Inventory[[#This Row],[24Lnd]]</f>
        <v>0</v>
      </c>
      <c r="BS830" s="43">
        <f>(Inventory[[#This Row],[Adjusted Total]]-Inventory[[#This Row],[24Final]])/Inventory[[#This Row],[24Final]]</f>
        <v>-1.8252933507170795E-3</v>
      </c>
    </row>
    <row r="831" spans="1:71">
      <c r="A831" s="30">
        <v>2025</v>
      </c>
      <c r="B831" s="31" t="s">
        <v>1346</v>
      </c>
      <c r="C831" s="31">
        <f>LN(Inventory[[#This Row],[Acres]])</f>
        <v>-1.7147984280919266</v>
      </c>
      <c r="D831" s="30">
        <v>0.18</v>
      </c>
      <c r="E831" s="30">
        <v>7640</v>
      </c>
      <c r="F831" s="31" t="s">
        <v>505</v>
      </c>
      <c r="G831" s="31" t="s">
        <v>155</v>
      </c>
      <c r="H831" s="31" t="s">
        <v>5</v>
      </c>
      <c r="I831" s="31" t="s">
        <v>506</v>
      </c>
      <c r="J831" s="31" t="s">
        <v>507</v>
      </c>
      <c r="K831" s="31" t="s">
        <v>157</v>
      </c>
      <c r="L831" s="31" t="s">
        <v>19</v>
      </c>
      <c r="M831" s="31" t="s">
        <v>22</v>
      </c>
      <c r="N831" s="31">
        <v>10</v>
      </c>
      <c r="O831" s="31">
        <f>2024-Inventory[[#This Row],[YrBlt]]</f>
        <v>19</v>
      </c>
      <c r="P831" s="31">
        <f>2024-Inventory[[#This Row],[EffYr]]</f>
        <v>19</v>
      </c>
      <c r="Q831" s="30">
        <v>2005</v>
      </c>
      <c r="R831" s="30">
        <v>2005</v>
      </c>
      <c r="S831" s="30">
        <v>1040</v>
      </c>
      <c r="T831" s="38">
        <v>1040</v>
      </c>
      <c r="U831" s="32"/>
      <c r="V831" s="32"/>
      <c r="W831" s="32"/>
      <c r="X831" s="32">
        <f>Inventory[[#This Row],[Bsmt Area]]-Inventory[[#This Row],[FnBsmt]]</f>
        <v>0</v>
      </c>
      <c r="Y831" s="32">
        <f>Inventory[[#This Row],[MainFn]]+Inventory[[#This Row],[UpprFn]]+Inventory[[#This Row],[AddFn]]+Inventory[[#This Row],[FnBsmt]]</f>
        <v>2080</v>
      </c>
      <c r="Z831" s="32">
        <v>2500</v>
      </c>
      <c r="AA831" s="31" t="s">
        <v>56</v>
      </c>
      <c r="AB831" s="32"/>
      <c r="AC831" s="30">
        <v>440</v>
      </c>
      <c r="AD831" s="32"/>
      <c r="AE831" s="32"/>
      <c r="AF831" s="32"/>
      <c r="AG831" s="32"/>
      <c r="AH831" s="32"/>
      <c r="AI831" s="30">
        <v>380605</v>
      </c>
      <c r="AJ831" s="30">
        <v>346351</v>
      </c>
      <c r="AK831" s="30">
        <v>0</v>
      </c>
      <c r="AL831" s="30">
        <v>0</v>
      </c>
      <c r="AM831" s="30">
        <v>62500</v>
      </c>
      <c r="AN831" s="30">
        <v>369500</v>
      </c>
      <c r="AO831" s="30">
        <v>432000</v>
      </c>
      <c r="AP831" s="30">
        <f>Lookups!$B$58*0.6</f>
        <v>132535.48800000001</v>
      </c>
      <c r="AQ831" s="30">
        <f>Lookups!$B$58*0.4</f>
        <v>88356.992000000013</v>
      </c>
      <c r="AR831" s="30">
        <f>Lookups!$B$59*Inventory[[#This Row],[LnAcres]]</f>
        <v>-22505.565020573864</v>
      </c>
      <c r="AS831" s="30">
        <f>VLOOKUP(Inventory[[#This Row],[Qlty]],Lookups!$A$66:$E$79,2,FALSE)</f>
        <v>37154.252388000001</v>
      </c>
      <c r="AT831" s="30">
        <f>VLOOKUP(Inventory[[#This Row],[Cnd]],Lookups!$A$80:$E$88,2,FALSE)</f>
        <v>50438.379078999998</v>
      </c>
      <c r="AU831" s="30">
        <f>Inventory[[#This Row],[EffAge]]*Lookups!$B$65</f>
        <v>-2066.0808999999999</v>
      </c>
      <c r="AV831" s="30">
        <f>Inventory[[#This Row],[MainFn]]*Lookups!$B$90</f>
        <v>64906.7952</v>
      </c>
      <c r="AW831" s="30">
        <f>Inventory[[#This Row],[UpprFn]]*Lookups!$B$91</f>
        <v>61963.598319999997</v>
      </c>
      <c r="AX831" s="30">
        <f>Inventory[[#This Row],[Bsmt Area]]*Lookups!$B$95</f>
        <v>0</v>
      </c>
      <c r="AY831" s="30">
        <f>Inventory[[#This Row],[AttGar]]*Lookups!$B$93</f>
        <v>15532.453640000002</v>
      </c>
      <c r="AZ831" s="30">
        <f>ROUND(Inventory[[#This Row],[25Det]],-2)</f>
        <v>0</v>
      </c>
      <c r="BA831" s="30">
        <f>ROUND(SUM(Inventory[[#This Row],[Mdl Qlty]:[Mdl Garage Area]])+Inventory[[#This Row],[Mdl Res Intercept]],-2)</f>
        <v>360500</v>
      </c>
      <c r="BB831" s="30">
        <f>ROUND(Inventory[[#This Row],[Mdl Land Intercept]]+Inventory[[#This Row],[Mdl LnAcres]],-2)</f>
        <v>65900</v>
      </c>
      <c r="BC831" s="30">
        <f>Inventory[[#This Row],[Unadj Res Value]]+Inventory[[#This Row],[Unadj Det Value]]+Inventory[[#This Row],[Unadj Land Value]]</f>
        <v>426400</v>
      </c>
      <c r="BD831" s="30">
        <f>(Inventory[[#This Row],[Unadj Total Value]]-Inventory[[#This Row],[24Final]])/Inventory[[#This Row],[24Final]]</f>
        <v>-1.2962962962962963E-2</v>
      </c>
      <c r="BE831" s="30">
        <f>VLOOKUP(Inventory[[#This Row],[Nbhd]],Lookups!$M$3:$P$5,4,FALSE)</f>
        <v>0.99970000000000003</v>
      </c>
      <c r="BF831" s="30">
        <f>VLOOKUP(Inventory[[#This Row],[Qlty]],Lookups!$M$8:$P$22,4,FALSE)</f>
        <v>0.99819999999999998</v>
      </c>
      <c r="BG831" s="30">
        <f>VLOOKUP(Inventory[[#This Row],[Cnd]],Lookups!$R$8:$U$17,4,FALSE)</f>
        <v>1.0007999999999999</v>
      </c>
      <c r="BH831" s="30">
        <f>VLOOKUP(Inventory[[#This Row],[LivArea Range]],Lookups!$R$25:$U$43,4,FALSE)</f>
        <v>1.0008999999999999</v>
      </c>
      <c r="BI831" s="30">
        <f>VLOOKUP(Inventory[[#This Row],[Decade]],Lookups!$M$24:$P$40,4,FALSE)</f>
        <v>1.0024</v>
      </c>
      <c r="BJ831" s="30">
        <f>Inventory[[#This Row],[Nbhd Adj]]*0.95</f>
        <v>0.94971499999999998</v>
      </c>
      <c r="BK831" s="30">
        <f>AVERAGE(Inventory[[#This Row],[Nbhd Adj]],Inventory[[#This Row],[Quality Adj]],Inventory[[#This Row],[Condition Adj]],Inventory[[#This Row],[Living Area Adj]],Inventory[[#This Row],[Decade Adj]])*0.95</f>
        <v>0.95037999999999989</v>
      </c>
      <c r="BL831" s="30">
        <f>ROUND((SUM(Inventory[[#This Row],[Mdl Qlty]:[Mdl Garage Area]])+Inventory[[#This Row],[Mdl Res Intercept]])*Inventory[[#This Row],[Res Adj ]],-2)</f>
        <v>342600</v>
      </c>
      <c r="BM831" s="30">
        <f>ROUND(Inventory[[#This Row],[25Det]]*Inventory[[#This Row],[Det/Nbhd Adj]],-2)</f>
        <v>0</v>
      </c>
      <c r="BN831" s="30">
        <f>Inventory[[#This Row],[Adjusted Res]]+Inventory[[#This Row],[Adj Det ]]</f>
        <v>342600</v>
      </c>
      <c r="BO831" s="30">
        <f>ROUND((Inventory[[#This Row],[Mdl Land Intercept]]+Inventory[[#This Row],[Mdl LnAcres]])*Inventory[[#This Row],[Det/Nbhd Adj]],-2)</f>
        <v>62500</v>
      </c>
      <c r="BP831" s="30">
        <f>Inventory[[#This Row],[Adjusted Impr Total]]+Inventory[[#This Row],[Adjusted Land Total]]</f>
        <v>405100</v>
      </c>
      <c r="BQ831" s="30">
        <f>IFERROR((Inventory[[#This Row],[Adjusted Impr Total]]-Inventory[[#This Row],[24Bldg]])/Inventory[[#This Row],[24Bldg]],0)</f>
        <v>-7.2801082543978352E-2</v>
      </c>
      <c r="BR831" s="43">
        <f>(Inventory[[#This Row],[Adjusted Land Total]]-Inventory[[#This Row],[24Lnd]])/Inventory[[#This Row],[24Lnd]]</f>
        <v>0</v>
      </c>
      <c r="BS831" s="43">
        <f>(Inventory[[#This Row],[Adjusted Total]]-Inventory[[#This Row],[24Final]])/Inventory[[#This Row],[24Final]]</f>
        <v>-6.2268518518518522E-2</v>
      </c>
    </row>
    <row r="832" spans="1:71">
      <c r="A832" s="30">
        <v>2025</v>
      </c>
      <c r="B832" s="31" t="s">
        <v>1347</v>
      </c>
      <c r="C832" s="31">
        <f>LN(Inventory[[#This Row],[Acres]])</f>
        <v>-1.7147984280919266</v>
      </c>
      <c r="D832" s="30">
        <v>0.18</v>
      </c>
      <c r="E832" s="30">
        <v>7672</v>
      </c>
      <c r="F832" s="31" t="s">
        <v>505</v>
      </c>
      <c r="G832" s="31" t="s">
        <v>155</v>
      </c>
      <c r="H832" s="31" t="s">
        <v>5</v>
      </c>
      <c r="I832" s="31" t="s">
        <v>506</v>
      </c>
      <c r="J832" s="31" t="s">
        <v>507</v>
      </c>
      <c r="K832" s="31" t="s">
        <v>157</v>
      </c>
      <c r="L832" s="31" t="s">
        <v>21</v>
      </c>
      <c r="M832" s="31" t="s">
        <v>20</v>
      </c>
      <c r="N832" s="31">
        <v>10</v>
      </c>
      <c r="O832" s="31">
        <f>2024-Inventory[[#This Row],[YrBlt]]</f>
        <v>19</v>
      </c>
      <c r="P832" s="31">
        <f>2024-Inventory[[#This Row],[EffYr]]</f>
        <v>19</v>
      </c>
      <c r="Q832" s="30">
        <v>2005</v>
      </c>
      <c r="R832" s="30">
        <v>2005</v>
      </c>
      <c r="S832" s="30">
        <v>1158</v>
      </c>
      <c r="T832" s="38">
        <v>1332</v>
      </c>
      <c r="U832" s="32"/>
      <c r="V832" s="32"/>
      <c r="W832" s="32"/>
      <c r="X832" s="32">
        <f>Inventory[[#This Row],[Bsmt Area]]-Inventory[[#This Row],[FnBsmt]]</f>
        <v>0</v>
      </c>
      <c r="Y832" s="32">
        <f>Inventory[[#This Row],[MainFn]]+Inventory[[#This Row],[UpprFn]]+Inventory[[#This Row],[AddFn]]+Inventory[[#This Row],[FnBsmt]]</f>
        <v>2490</v>
      </c>
      <c r="Z832" s="32">
        <v>2500</v>
      </c>
      <c r="AA832" s="31" t="s">
        <v>56</v>
      </c>
      <c r="AB832" s="30">
        <v>1</v>
      </c>
      <c r="AC832" s="37"/>
      <c r="AD832" s="38">
        <v>502</v>
      </c>
      <c r="AE832" s="32"/>
      <c r="AF832" s="32"/>
      <c r="AG832" s="32"/>
      <c r="AH832" s="32"/>
      <c r="AI832" s="30">
        <v>483279</v>
      </c>
      <c r="AJ832" s="30">
        <v>439784</v>
      </c>
      <c r="AK832" s="30">
        <v>0</v>
      </c>
      <c r="AL832" s="30">
        <v>0</v>
      </c>
      <c r="AM832" s="30">
        <v>62500</v>
      </c>
      <c r="AN832" s="30">
        <v>351800</v>
      </c>
      <c r="AO832" s="30">
        <v>414300</v>
      </c>
      <c r="AP832" s="30">
        <f>Lookups!$B$58*0.6</f>
        <v>132535.48800000001</v>
      </c>
      <c r="AQ832" s="30">
        <f>Lookups!$B$58*0.4</f>
        <v>88356.992000000013</v>
      </c>
      <c r="AR832" s="30">
        <f>Lookups!$B$59*Inventory[[#This Row],[LnAcres]]</f>
        <v>-22505.565020573864</v>
      </c>
      <c r="AS832" s="30">
        <f>VLOOKUP(Inventory[[#This Row],[Qlty]],Lookups!$A$66:$E$79,2,FALSE)</f>
        <v>32917.849192000001</v>
      </c>
      <c r="AT832" s="30">
        <f>VLOOKUP(Inventory[[#This Row],[Cnd]],Lookups!$A$80:$E$88,2,FALSE)</f>
        <v>30300.329274</v>
      </c>
      <c r="AU832" s="30">
        <f>Inventory[[#This Row],[EffAge]]*Lookups!$B$65</f>
        <v>-2066.0808999999999</v>
      </c>
      <c r="AV832" s="30">
        <f>Inventory[[#This Row],[MainFn]]*Lookups!$B$90</f>
        <v>72271.22004</v>
      </c>
      <c r="AW832" s="30">
        <f>Inventory[[#This Row],[UpprFn]]*Lookups!$B$91</f>
        <v>79361.070156000002</v>
      </c>
      <c r="AX832" s="30">
        <f>Inventory[[#This Row],[Bsmt Area]]*Lookups!$B$95</f>
        <v>0</v>
      </c>
      <c r="AY832" s="30">
        <f>Inventory[[#This Row],[AttGar]]*Lookups!$B$93</f>
        <v>0</v>
      </c>
      <c r="AZ832" s="30">
        <f>ROUND(Inventory[[#This Row],[25Det]],-2)</f>
        <v>0</v>
      </c>
      <c r="BA832" s="30">
        <f>ROUND(SUM(Inventory[[#This Row],[Mdl Qlty]:[Mdl Garage Area]])+Inventory[[#This Row],[Mdl Res Intercept]],-2)</f>
        <v>345300</v>
      </c>
      <c r="BB832" s="30">
        <f>ROUND(Inventory[[#This Row],[Mdl Land Intercept]]+Inventory[[#This Row],[Mdl LnAcres]],-2)</f>
        <v>65900</v>
      </c>
      <c r="BC832" s="30">
        <f>Inventory[[#This Row],[Unadj Res Value]]+Inventory[[#This Row],[Unadj Det Value]]+Inventory[[#This Row],[Unadj Land Value]]</f>
        <v>411200</v>
      </c>
      <c r="BD832" s="30">
        <f>(Inventory[[#This Row],[Unadj Total Value]]-Inventory[[#This Row],[24Final]])/Inventory[[#This Row],[24Final]]</f>
        <v>-7.4825006034274682E-3</v>
      </c>
      <c r="BE832" s="30">
        <f>VLOOKUP(Inventory[[#This Row],[Nbhd]],Lookups!$M$3:$P$5,4,FALSE)</f>
        <v>0.99970000000000003</v>
      </c>
      <c r="BF832" s="30">
        <f>VLOOKUP(Inventory[[#This Row],[Qlty]],Lookups!$M$8:$P$22,4,FALSE)</f>
        <v>1.0019</v>
      </c>
      <c r="BG832" s="30">
        <f>VLOOKUP(Inventory[[#This Row],[Cnd]],Lookups!$R$8:$U$17,4,FALSE)</f>
        <v>0.997</v>
      </c>
      <c r="BH832" s="30">
        <f>VLOOKUP(Inventory[[#This Row],[LivArea Range]],Lookups!$R$25:$U$43,4,FALSE)</f>
        <v>1.0008999999999999</v>
      </c>
      <c r="BI832" s="30">
        <f>VLOOKUP(Inventory[[#This Row],[Decade]],Lookups!$M$24:$P$40,4,FALSE)</f>
        <v>1.0024</v>
      </c>
      <c r="BJ832" s="30">
        <f>Inventory[[#This Row],[Nbhd Adj]]*0.95</f>
        <v>0.94971499999999998</v>
      </c>
      <c r="BK832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832" s="30">
        <f>ROUND((SUM(Inventory[[#This Row],[Mdl Qlty]:[Mdl Garage Area]])+Inventory[[#This Row],[Mdl Res Intercept]])*Inventory[[#This Row],[Res Adj ]],-2)</f>
        <v>328200</v>
      </c>
      <c r="BM832" s="30">
        <f>ROUND(Inventory[[#This Row],[25Det]]*Inventory[[#This Row],[Det/Nbhd Adj]],-2)</f>
        <v>0</v>
      </c>
      <c r="BN832" s="30">
        <f>Inventory[[#This Row],[Adjusted Res]]+Inventory[[#This Row],[Adj Det ]]</f>
        <v>328200</v>
      </c>
      <c r="BO832" s="30">
        <f>ROUND((Inventory[[#This Row],[Mdl Land Intercept]]+Inventory[[#This Row],[Mdl LnAcres]])*Inventory[[#This Row],[Det/Nbhd Adj]],-2)</f>
        <v>62500</v>
      </c>
      <c r="BP832" s="30">
        <f>Inventory[[#This Row],[Adjusted Impr Total]]+Inventory[[#This Row],[Adjusted Land Total]]</f>
        <v>390700</v>
      </c>
      <c r="BQ832" s="30">
        <f>IFERROR((Inventory[[#This Row],[Adjusted Impr Total]]-Inventory[[#This Row],[24Bldg]])/Inventory[[#This Row],[24Bldg]],0)</f>
        <v>-6.7083570210346791E-2</v>
      </c>
      <c r="BR832" s="43">
        <f>(Inventory[[#This Row],[Adjusted Land Total]]-Inventory[[#This Row],[24Lnd]])/Inventory[[#This Row],[24Lnd]]</f>
        <v>0</v>
      </c>
      <c r="BS832" s="43">
        <f>(Inventory[[#This Row],[Adjusted Total]]-Inventory[[#This Row],[24Final]])/Inventory[[#This Row],[24Final]]</f>
        <v>-5.6963552980931691E-2</v>
      </c>
    </row>
    <row r="833" spans="1:71">
      <c r="A833" s="30">
        <v>2025</v>
      </c>
      <c r="B833" s="31" t="s">
        <v>1348</v>
      </c>
      <c r="C833" s="31">
        <f>LN(Inventory[[#This Row],[Acres]])</f>
        <v>-1.7147984280919266</v>
      </c>
      <c r="D833" s="30">
        <v>0.18</v>
      </c>
      <c r="E833" s="30">
        <v>7795</v>
      </c>
      <c r="F833" s="31" t="s">
        <v>505</v>
      </c>
      <c r="G833" s="31" t="s">
        <v>155</v>
      </c>
      <c r="H833" s="31" t="s">
        <v>5</v>
      </c>
      <c r="I833" s="31" t="s">
        <v>506</v>
      </c>
      <c r="J833" s="31" t="s">
        <v>507</v>
      </c>
      <c r="K833" s="31" t="s">
        <v>157</v>
      </c>
      <c r="L833" s="31" t="s">
        <v>21</v>
      </c>
      <c r="M833" s="31" t="s">
        <v>20</v>
      </c>
      <c r="N833" s="31">
        <v>10</v>
      </c>
      <c r="O833" s="31">
        <f>2024-Inventory[[#This Row],[YrBlt]]</f>
        <v>19</v>
      </c>
      <c r="P833" s="31">
        <f>2024-Inventory[[#This Row],[EffYr]]</f>
        <v>19</v>
      </c>
      <c r="Q833" s="30">
        <v>2005</v>
      </c>
      <c r="R833" s="30">
        <v>2005</v>
      </c>
      <c r="S833" s="30">
        <v>1116</v>
      </c>
      <c r="T833" s="30">
        <v>1116</v>
      </c>
      <c r="U833" s="32"/>
      <c r="V833" s="32"/>
      <c r="W833" s="32"/>
      <c r="X833" s="32">
        <f>Inventory[[#This Row],[Bsmt Area]]-Inventory[[#This Row],[FnBsmt]]</f>
        <v>0</v>
      </c>
      <c r="Y833" s="32">
        <f>Inventory[[#This Row],[MainFn]]+Inventory[[#This Row],[UpprFn]]+Inventory[[#This Row],[AddFn]]+Inventory[[#This Row],[FnBsmt]]</f>
        <v>2232</v>
      </c>
      <c r="Z833" s="32">
        <v>2500</v>
      </c>
      <c r="AA833" s="31" t="s">
        <v>56</v>
      </c>
      <c r="AB833" s="38">
        <v>1</v>
      </c>
      <c r="AC833" s="30">
        <v>440</v>
      </c>
      <c r="AD833" s="32"/>
      <c r="AE833" s="32"/>
      <c r="AF833" s="32"/>
      <c r="AG833" s="32"/>
      <c r="AH833" s="32"/>
      <c r="AI833" s="30">
        <v>454484</v>
      </c>
      <c r="AJ833" s="30">
        <v>413580</v>
      </c>
      <c r="AK833" s="30">
        <v>0</v>
      </c>
      <c r="AL833" s="30">
        <v>0</v>
      </c>
      <c r="AM833" s="30">
        <v>62500</v>
      </c>
      <c r="AN833" s="30">
        <v>349900</v>
      </c>
      <c r="AO833" s="30">
        <v>412400</v>
      </c>
      <c r="AP833" s="30">
        <f>Lookups!$B$58*0.6</f>
        <v>132535.48800000001</v>
      </c>
      <c r="AQ833" s="30">
        <f>Lookups!$B$58*0.4</f>
        <v>88356.992000000013</v>
      </c>
      <c r="AR833" s="30">
        <f>Lookups!$B$59*Inventory[[#This Row],[LnAcres]]</f>
        <v>-22505.565020573864</v>
      </c>
      <c r="AS833" s="30">
        <f>VLOOKUP(Inventory[[#This Row],[Qlty]],Lookups!$A$66:$E$79,2,FALSE)</f>
        <v>32917.849192000001</v>
      </c>
      <c r="AT833" s="30">
        <f>VLOOKUP(Inventory[[#This Row],[Cnd]],Lookups!$A$80:$E$88,2,FALSE)</f>
        <v>30300.329274</v>
      </c>
      <c r="AU833" s="30">
        <f>Inventory[[#This Row],[EffAge]]*Lookups!$B$65</f>
        <v>-2066.0808999999999</v>
      </c>
      <c r="AV833" s="30">
        <f>Inventory[[#This Row],[MainFn]]*Lookups!$B$90</f>
        <v>69649.984080000009</v>
      </c>
      <c r="AW833" s="30">
        <f>Inventory[[#This Row],[UpprFn]]*Lookups!$B$91</f>
        <v>66491.707427999994</v>
      </c>
      <c r="AX833" s="30">
        <f>Inventory[[#This Row],[Bsmt Area]]*Lookups!$B$95</f>
        <v>0</v>
      </c>
      <c r="AY833" s="30">
        <f>Inventory[[#This Row],[AttGar]]*Lookups!$B$93</f>
        <v>15532.453640000002</v>
      </c>
      <c r="AZ833" s="30">
        <f>ROUND(Inventory[[#This Row],[25Det]],-2)</f>
        <v>0</v>
      </c>
      <c r="BA833" s="30">
        <f>ROUND(SUM(Inventory[[#This Row],[Mdl Qlty]:[Mdl Garage Area]])+Inventory[[#This Row],[Mdl Res Intercept]],-2)</f>
        <v>345400</v>
      </c>
      <c r="BB833" s="30">
        <f>ROUND(Inventory[[#This Row],[Mdl Land Intercept]]+Inventory[[#This Row],[Mdl LnAcres]],-2)</f>
        <v>65900</v>
      </c>
      <c r="BC833" s="30">
        <f>Inventory[[#This Row],[Unadj Res Value]]+Inventory[[#This Row],[Unadj Det Value]]+Inventory[[#This Row],[Unadj Land Value]]</f>
        <v>411300</v>
      </c>
      <c r="BD833" s="30">
        <f>(Inventory[[#This Row],[Unadj Total Value]]-Inventory[[#This Row],[24Final]])/Inventory[[#This Row],[24Final]]</f>
        <v>-2.6673132880698351E-3</v>
      </c>
      <c r="BE833" s="30">
        <f>VLOOKUP(Inventory[[#This Row],[Nbhd]],Lookups!$M$3:$P$5,4,FALSE)</f>
        <v>0.99970000000000003</v>
      </c>
      <c r="BF833" s="30">
        <f>VLOOKUP(Inventory[[#This Row],[Qlty]],Lookups!$M$8:$P$22,4,FALSE)</f>
        <v>1.0019</v>
      </c>
      <c r="BG833" s="30">
        <f>VLOOKUP(Inventory[[#This Row],[Cnd]],Lookups!$R$8:$U$17,4,FALSE)</f>
        <v>0.997</v>
      </c>
      <c r="BH833" s="30">
        <f>VLOOKUP(Inventory[[#This Row],[LivArea Range]],Lookups!$R$25:$U$43,4,FALSE)</f>
        <v>1.0008999999999999</v>
      </c>
      <c r="BI833" s="30">
        <f>VLOOKUP(Inventory[[#This Row],[Decade]],Lookups!$M$24:$P$40,4,FALSE)</f>
        <v>1.0024</v>
      </c>
      <c r="BJ833" s="30">
        <f>Inventory[[#This Row],[Nbhd Adj]]*0.95</f>
        <v>0.94971499999999998</v>
      </c>
      <c r="BK833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833" s="30">
        <f>ROUND((SUM(Inventory[[#This Row],[Mdl Qlty]:[Mdl Garage Area]])+Inventory[[#This Row],[Mdl Res Intercept]])*Inventory[[#This Row],[Res Adj ]],-2)</f>
        <v>328200</v>
      </c>
      <c r="BM833" s="30">
        <f>ROUND(Inventory[[#This Row],[25Det]]*Inventory[[#This Row],[Det/Nbhd Adj]],-2)</f>
        <v>0</v>
      </c>
      <c r="BN833" s="30">
        <f>Inventory[[#This Row],[Adjusted Res]]+Inventory[[#This Row],[Adj Det ]]</f>
        <v>328200</v>
      </c>
      <c r="BO833" s="30">
        <f>ROUND((Inventory[[#This Row],[Mdl Land Intercept]]+Inventory[[#This Row],[Mdl LnAcres]])*Inventory[[#This Row],[Det/Nbhd Adj]],-2)</f>
        <v>62500</v>
      </c>
      <c r="BP833" s="30">
        <f>Inventory[[#This Row],[Adjusted Impr Total]]+Inventory[[#This Row],[Adjusted Land Total]]</f>
        <v>390700</v>
      </c>
      <c r="BQ833" s="30">
        <f>IFERROR((Inventory[[#This Row],[Adjusted Impr Total]]-Inventory[[#This Row],[24Bldg]])/Inventory[[#This Row],[24Bldg]],0)</f>
        <v>-6.201771934838525E-2</v>
      </c>
      <c r="BR833" s="43">
        <f>(Inventory[[#This Row],[Adjusted Land Total]]-Inventory[[#This Row],[24Lnd]])/Inventory[[#This Row],[24Lnd]]</f>
        <v>0</v>
      </c>
      <c r="BS833" s="43">
        <f>(Inventory[[#This Row],[Adjusted Total]]-Inventory[[#This Row],[24Final]])/Inventory[[#This Row],[24Final]]</f>
        <v>-5.2618816682832199E-2</v>
      </c>
    </row>
    <row r="834" spans="1:71">
      <c r="A834" s="30">
        <v>2025</v>
      </c>
      <c r="B834" s="31" t="s">
        <v>1349</v>
      </c>
      <c r="C834" s="31">
        <f>LN(Inventory[[#This Row],[Acres]])</f>
        <v>-1.7147984280919266</v>
      </c>
      <c r="D834" s="30">
        <v>0.18</v>
      </c>
      <c r="E834" s="30">
        <v>7835</v>
      </c>
      <c r="F834" s="31" t="s">
        <v>505</v>
      </c>
      <c r="G834" s="31" t="s">
        <v>155</v>
      </c>
      <c r="H834" s="31" t="s">
        <v>5</v>
      </c>
      <c r="I834" s="31" t="s">
        <v>506</v>
      </c>
      <c r="J834" s="31" t="s">
        <v>507</v>
      </c>
      <c r="K834" s="31" t="s">
        <v>193</v>
      </c>
      <c r="L834" s="31" t="s">
        <v>21</v>
      </c>
      <c r="M834" s="31" t="s">
        <v>22</v>
      </c>
      <c r="N834" s="31">
        <v>10</v>
      </c>
      <c r="O834" s="31">
        <f>2024-Inventory[[#This Row],[YrBlt]]</f>
        <v>19</v>
      </c>
      <c r="P834" s="31">
        <f>2024-Inventory[[#This Row],[EffYr]]</f>
        <v>19</v>
      </c>
      <c r="Q834" s="30">
        <v>2005</v>
      </c>
      <c r="R834" s="30">
        <v>2005</v>
      </c>
      <c r="S834" s="30">
        <v>1382</v>
      </c>
      <c r="T834" s="32"/>
      <c r="U834" s="32"/>
      <c r="V834" s="32"/>
      <c r="W834" s="32"/>
      <c r="X834" s="32">
        <f>Inventory[[#This Row],[Bsmt Area]]-Inventory[[#This Row],[FnBsmt]]</f>
        <v>0</v>
      </c>
      <c r="Y834" s="32">
        <f>Inventory[[#This Row],[MainFn]]+Inventory[[#This Row],[UpprFn]]+Inventory[[#This Row],[AddFn]]+Inventory[[#This Row],[FnBsmt]]</f>
        <v>1382</v>
      </c>
      <c r="Z834" s="32">
        <v>1500</v>
      </c>
      <c r="AA834" s="31" t="s">
        <v>56</v>
      </c>
      <c r="AB834" s="38">
        <v>1</v>
      </c>
      <c r="AC834" s="30">
        <v>666</v>
      </c>
      <c r="AD834" s="32"/>
      <c r="AE834" s="32"/>
      <c r="AF834" s="32"/>
      <c r="AG834" s="32"/>
      <c r="AH834" s="32"/>
      <c r="AI834" s="30">
        <v>347670</v>
      </c>
      <c r="AJ834" s="30">
        <v>316380</v>
      </c>
      <c r="AK834" s="30">
        <v>0</v>
      </c>
      <c r="AL834" s="30">
        <v>0</v>
      </c>
      <c r="AM834" s="30">
        <v>62500</v>
      </c>
      <c r="AN834" s="30">
        <v>323000</v>
      </c>
      <c r="AO834" s="30">
        <v>385500</v>
      </c>
      <c r="AP834" s="30">
        <f>Lookups!$B$58*0.6</f>
        <v>132535.48800000001</v>
      </c>
      <c r="AQ834" s="30">
        <f>Lookups!$B$58*0.4</f>
        <v>88356.992000000013</v>
      </c>
      <c r="AR834" s="30">
        <f>Lookups!$B$59*Inventory[[#This Row],[LnAcres]]</f>
        <v>-22505.565020573864</v>
      </c>
      <c r="AS834" s="30">
        <f>VLOOKUP(Inventory[[#This Row],[Qlty]],Lookups!$A$66:$E$79,2,FALSE)</f>
        <v>32917.849192000001</v>
      </c>
      <c r="AT834" s="30">
        <f>VLOOKUP(Inventory[[#This Row],[Cnd]],Lookups!$A$80:$E$88,2,FALSE)</f>
        <v>50438.379078999998</v>
      </c>
      <c r="AU834" s="30">
        <f>Inventory[[#This Row],[EffAge]]*Lookups!$B$65</f>
        <v>-2066.0808999999999</v>
      </c>
      <c r="AV834" s="30">
        <f>Inventory[[#This Row],[MainFn]]*Lookups!$B$90</f>
        <v>86251.14516</v>
      </c>
      <c r="AW834" s="30">
        <f>Inventory[[#This Row],[UpprFn]]*Lookups!$B$91</f>
        <v>0</v>
      </c>
      <c r="AX834" s="30">
        <f>Inventory[[#This Row],[Bsmt Area]]*Lookups!$B$95</f>
        <v>0</v>
      </c>
      <c r="AY834" s="30">
        <f>Inventory[[#This Row],[AttGar]]*Lookups!$B$93</f>
        <v>23510.486646000001</v>
      </c>
      <c r="AZ834" s="30">
        <f>ROUND(Inventory[[#This Row],[25Det]],-2)</f>
        <v>0</v>
      </c>
      <c r="BA834" s="30">
        <f>ROUND(SUM(Inventory[[#This Row],[Mdl Qlty]:[Mdl Garage Area]])+Inventory[[#This Row],[Mdl Res Intercept]],-2)</f>
        <v>323600</v>
      </c>
      <c r="BB834" s="30">
        <f>ROUND(Inventory[[#This Row],[Mdl Land Intercept]]+Inventory[[#This Row],[Mdl LnAcres]],-2)</f>
        <v>65900</v>
      </c>
      <c r="BC834" s="30">
        <f>Inventory[[#This Row],[Unadj Res Value]]+Inventory[[#This Row],[Unadj Det Value]]+Inventory[[#This Row],[Unadj Land Value]]</f>
        <v>389500</v>
      </c>
      <c r="BD834" s="30">
        <f>(Inventory[[#This Row],[Unadj Total Value]]-Inventory[[#This Row],[24Final]])/Inventory[[#This Row],[24Final]]</f>
        <v>1.0376134889753566E-2</v>
      </c>
      <c r="BE834" s="30">
        <f>VLOOKUP(Inventory[[#This Row],[Nbhd]],Lookups!$M$3:$P$5,4,FALSE)</f>
        <v>0.99970000000000003</v>
      </c>
      <c r="BF834" s="30">
        <f>VLOOKUP(Inventory[[#This Row],[Qlty]],Lookups!$M$8:$P$22,4,FALSE)</f>
        <v>1.0019</v>
      </c>
      <c r="BG834" s="30">
        <f>VLOOKUP(Inventory[[#This Row],[Cnd]],Lookups!$R$8:$U$17,4,FALSE)</f>
        <v>1.0007999999999999</v>
      </c>
      <c r="BH834" s="30">
        <f>VLOOKUP(Inventory[[#This Row],[LivArea Range]],Lookups!$R$25:$U$43,4,FALSE)</f>
        <v>0.99519999999999997</v>
      </c>
      <c r="BI834" s="30">
        <f>VLOOKUP(Inventory[[#This Row],[Decade]],Lookups!$M$24:$P$40,4,FALSE)</f>
        <v>1.0024</v>
      </c>
      <c r="BJ834" s="30">
        <f>Inventory[[#This Row],[Nbhd Adj]]*0.95</f>
        <v>0.94971499999999998</v>
      </c>
      <c r="BK834" s="30">
        <f>AVERAGE(Inventory[[#This Row],[Nbhd Adj]],Inventory[[#This Row],[Quality Adj]],Inventory[[#This Row],[Condition Adj]],Inventory[[#This Row],[Living Area Adj]],Inventory[[#This Row],[Decade Adj]])*0.95</f>
        <v>0.95</v>
      </c>
      <c r="BL834" s="30">
        <f>ROUND((SUM(Inventory[[#This Row],[Mdl Qlty]:[Mdl Garage Area]])+Inventory[[#This Row],[Mdl Res Intercept]])*Inventory[[#This Row],[Res Adj ]],-2)</f>
        <v>307400</v>
      </c>
      <c r="BM834" s="30">
        <f>ROUND(Inventory[[#This Row],[25Det]]*Inventory[[#This Row],[Det/Nbhd Adj]],-2)</f>
        <v>0</v>
      </c>
      <c r="BN834" s="30">
        <f>Inventory[[#This Row],[Adjusted Res]]+Inventory[[#This Row],[Adj Det ]]</f>
        <v>307400</v>
      </c>
      <c r="BO834" s="30">
        <f>ROUND((Inventory[[#This Row],[Mdl Land Intercept]]+Inventory[[#This Row],[Mdl LnAcres]])*Inventory[[#This Row],[Det/Nbhd Adj]],-2)</f>
        <v>62500</v>
      </c>
      <c r="BP834" s="30">
        <f>Inventory[[#This Row],[Adjusted Impr Total]]+Inventory[[#This Row],[Adjusted Land Total]]</f>
        <v>369900</v>
      </c>
      <c r="BQ834" s="30">
        <f>IFERROR((Inventory[[#This Row],[Adjusted Impr Total]]-Inventory[[#This Row],[24Bldg]])/Inventory[[#This Row],[24Bldg]],0)</f>
        <v>-4.8297213622291023E-2</v>
      </c>
      <c r="BR834" s="43">
        <f>(Inventory[[#This Row],[Adjusted Land Total]]-Inventory[[#This Row],[24Lnd]])/Inventory[[#This Row],[24Lnd]]</f>
        <v>0</v>
      </c>
      <c r="BS834" s="43">
        <f>(Inventory[[#This Row],[Adjusted Total]]-Inventory[[#This Row],[24Final]])/Inventory[[#This Row],[24Final]]</f>
        <v>-4.0466926070038912E-2</v>
      </c>
    </row>
    <row r="835" spans="1:71">
      <c r="A835" s="30">
        <v>2025</v>
      </c>
      <c r="B835" s="31" t="s">
        <v>1350</v>
      </c>
      <c r="C835" s="31">
        <f>LN(Inventory[[#This Row],[Acres]])</f>
        <v>-1.7147984280919266</v>
      </c>
      <c r="D835" s="30">
        <v>0.18</v>
      </c>
      <c r="E835" s="30">
        <v>7846</v>
      </c>
      <c r="F835" s="31" t="s">
        <v>505</v>
      </c>
      <c r="G835" s="31" t="s">
        <v>155</v>
      </c>
      <c r="H835" s="31" t="s">
        <v>5</v>
      </c>
      <c r="I835" s="31" t="s">
        <v>506</v>
      </c>
      <c r="J835" s="31" t="s">
        <v>507</v>
      </c>
      <c r="K835" s="31" t="s">
        <v>157</v>
      </c>
      <c r="L835" s="31" t="s">
        <v>19</v>
      </c>
      <c r="M835" s="31" t="s">
        <v>20</v>
      </c>
      <c r="N835" s="31">
        <v>10</v>
      </c>
      <c r="O835" s="31">
        <f>2024-Inventory[[#This Row],[YrBlt]]</f>
        <v>19</v>
      </c>
      <c r="P835" s="31">
        <f>2024-Inventory[[#This Row],[EffYr]]</f>
        <v>19</v>
      </c>
      <c r="Q835" s="30">
        <v>2005</v>
      </c>
      <c r="R835" s="30">
        <v>2005</v>
      </c>
      <c r="S835" s="30">
        <v>1040</v>
      </c>
      <c r="T835" s="38">
        <v>1040</v>
      </c>
      <c r="U835" s="32"/>
      <c r="V835" s="32"/>
      <c r="W835" s="32"/>
      <c r="X835" s="32">
        <f>Inventory[[#This Row],[Bsmt Area]]-Inventory[[#This Row],[FnBsmt]]</f>
        <v>0</v>
      </c>
      <c r="Y835" s="32">
        <f>Inventory[[#This Row],[MainFn]]+Inventory[[#This Row],[UpprFn]]+Inventory[[#This Row],[AddFn]]+Inventory[[#This Row],[FnBsmt]]</f>
        <v>2080</v>
      </c>
      <c r="Z835" s="32">
        <v>2500</v>
      </c>
      <c r="AA835" s="31" t="s">
        <v>56</v>
      </c>
      <c r="AB835" s="32"/>
      <c r="AC835" s="30">
        <v>716</v>
      </c>
      <c r="AD835" s="32"/>
      <c r="AE835" s="32"/>
      <c r="AF835" s="32"/>
      <c r="AG835" s="32"/>
      <c r="AH835" s="32"/>
      <c r="AI835" s="30">
        <v>383541</v>
      </c>
      <c r="AJ835" s="30">
        <v>349022</v>
      </c>
      <c r="AK835" s="30">
        <v>0</v>
      </c>
      <c r="AL835" s="30">
        <v>0</v>
      </c>
      <c r="AM835" s="30">
        <v>62500</v>
      </c>
      <c r="AN835" s="30">
        <v>347500</v>
      </c>
      <c r="AO835" s="30">
        <v>410000</v>
      </c>
      <c r="AP835" s="30">
        <f>Lookups!$B$58*0.6</f>
        <v>132535.48800000001</v>
      </c>
      <c r="AQ835" s="30">
        <f>Lookups!$B$58*0.4</f>
        <v>88356.992000000013</v>
      </c>
      <c r="AR835" s="30">
        <f>Lookups!$B$59*Inventory[[#This Row],[LnAcres]]</f>
        <v>-22505.565020573864</v>
      </c>
      <c r="AS835" s="30">
        <f>VLOOKUP(Inventory[[#This Row],[Qlty]],Lookups!$A$66:$E$79,2,FALSE)</f>
        <v>37154.252388000001</v>
      </c>
      <c r="AT835" s="30">
        <f>VLOOKUP(Inventory[[#This Row],[Cnd]],Lookups!$A$80:$E$88,2,FALSE)</f>
        <v>30300.329274</v>
      </c>
      <c r="AU835" s="30">
        <f>Inventory[[#This Row],[EffAge]]*Lookups!$B$65</f>
        <v>-2066.0808999999999</v>
      </c>
      <c r="AV835" s="30">
        <f>Inventory[[#This Row],[MainFn]]*Lookups!$B$90</f>
        <v>64906.7952</v>
      </c>
      <c r="AW835" s="30">
        <f>Inventory[[#This Row],[UpprFn]]*Lookups!$B$91</f>
        <v>61963.598319999997</v>
      </c>
      <c r="AX835" s="30">
        <f>Inventory[[#This Row],[Bsmt Area]]*Lookups!$B$95</f>
        <v>0</v>
      </c>
      <c r="AY835" s="30">
        <f>Inventory[[#This Row],[AttGar]]*Lookups!$B$93</f>
        <v>25275.538196000001</v>
      </c>
      <c r="AZ835" s="30">
        <f>ROUND(Inventory[[#This Row],[25Det]],-2)</f>
        <v>0</v>
      </c>
      <c r="BA835" s="30">
        <f>ROUND(SUM(Inventory[[#This Row],[Mdl Qlty]:[Mdl Garage Area]])+Inventory[[#This Row],[Mdl Res Intercept]],-2)</f>
        <v>350100</v>
      </c>
      <c r="BB835" s="30">
        <f>ROUND(Inventory[[#This Row],[Mdl Land Intercept]]+Inventory[[#This Row],[Mdl LnAcres]],-2)</f>
        <v>65900</v>
      </c>
      <c r="BC835" s="30">
        <f>Inventory[[#This Row],[Unadj Res Value]]+Inventory[[#This Row],[Unadj Det Value]]+Inventory[[#This Row],[Unadj Land Value]]</f>
        <v>416000</v>
      </c>
      <c r="BD835" s="30">
        <f>(Inventory[[#This Row],[Unadj Total Value]]-Inventory[[#This Row],[24Final]])/Inventory[[#This Row],[24Final]]</f>
        <v>1.4634146341463415E-2</v>
      </c>
      <c r="BE835" s="30">
        <f>VLOOKUP(Inventory[[#This Row],[Nbhd]],Lookups!$M$3:$P$5,4,FALSE)</f>
        <v>0.99970000000000003</v>
      </c>
      <c r="BF835" s="30">
        <f>VLOOKUP(Inventory[[#This Row],[Qlty]],Lookups!$M$8:$P$22,4,FALSE)</f>
        <v>0.99819999999999998</v>
      </c>
      <c r="BG835" s="30">
        <f>VLOOKUP(Inventory[[#This Row],[Cnd]],Lookups!$R$8:$U$17,4,FALSE)</f>
        <v>0.997</v>
      </c>
      <c r="BH835" s="30">
        <f>VLOOKUP(Inventory[[#This Row],[LivArea Range]],Lookups!$R$25:$U$43,4,FALSE)</f>
        <v>1.0008999999999999</v>
      </c>
      <c r="BI835" s="30">
        <f>VLOOKUP(Inventory[[#This Row],[Decade]],Lookups!$M$24:$P$40,4,FALSE)</f>
        <v>1.0024</v>
      </c>
      <c r="BJ835" s="30">
        <f>Inventory[[#This Row],[Nbhd Adj]]*0.95</f>
        <v>0.94971499999999998</v>
      </c>
      <c r="BK835" s="30">
        <f>AVERAGE(Inventory[[#This Row],[Nbhd Adj]],Inventory[[#This Row],[Quality Adj]],Inventory[[#This Row],[Condition Adj]],Inventory[[#This Row],[Living Area Adj]],Inventory[[#This Row],[Decade Adj]])*0.95</f>
        <v>0.94965799999999989</v>
      </c>
      <c r="BL835" s="30">
        <f>ROUND((SUM(Inventory[[#This Row],[Mdl Qlty]:[Mdl Garage Area]])+Inventory[[#This Row],[Mdl Res Intercept]])*Inventory[[#This Row],[Res Adj ]],-2)</f>
        <v>332400</v>
      </c>
      <c r="BM835" s="30">
        <f>ROUND(Inventory[[#This Row],[25Det]]*Inventory[[#This Row],[Det/Nbhd Adj]],-2)</f>
        <v>0</v>
      </c>
      <c r="BN835" s="30">
        <f>Inventory[[#This Row],[Adjusted Res]]+Inventory[[#This Row],[Adj Det ]]</f>
        <v>332400</v>
      </c>
      <c r="BO835" s="30">
        <f>ROUND((Inventory[[#This Row],[Mdl Land Intercept]]+Inventory[[#This Row],[Mdl LnAcres]])*Inventory[[#This Row],[Det/Nbhd Adj]],-2)</f>
        <v>62500</v>
      </c>
      <c r="BP835" s="30">
        <f>Inventory[[#This Row],[Adjusted Impr Total]]+Inventory[[#This Row],[Adjusted Land Total]]</f>
        <v>394900</v>
      </c>
      <c r="BQ835" s="30">
        <f>IFERROR((Inventory[[#This Row],[Adjusted Impr Total]]-Inventory[[#This Row],[24Bldg]])/Inventory[[#This Row],[24Bldg]],0)</f>
        <v>-4.345323741007194E-2</v>
      </c>
      <c r="BR835" s="43">
        <f>(Inventory[[#This Row],[Adjusted Land Total]]-Inventory[[#This Row],[24Lnd]])/Inventory[[#This Row],[24Lnd]]</f>
        <v>0</v>
      </c>
      <c r="BS835" s="43">
        <f>(Inventory[[#This Row],[Adjusted Total]]-Inventory[[#This Row],[24Final]])/Inventory[[#This Row],[24Final]]</f>
        <v>-3.6829268292682925E-2</v>
      </c>
    </row>
    <row r="836" spans="1:71">
      <c r="A836" s="30">
        <v>2025</v>
      </c>
      <c r="B836" s="31" t="s">
        <v>1351</v>
      </c>
      <c r="C836" s="31">
        <f>LN(Inventory[[#This Row],[Acres]])</f>
        <v>-1.7147984280919266</v>
      </c>
      <c r="D836" s="30">
        <v>0.18</v>
      </c>
      <c r="E836" s="30">
        <v>7962</v>
      </c>
      <c r="F836" s="31" t="s">
        <v>505</v>
      </c>
      <c r="G836" s="31" t="s">
        <v>155</v>
      </c>
      <c r="H836" s="31" t="s">
        <v>5</v>
      </c>
      <c r="I836" s="31" t="s">
        <v>506</v>
      </c>
      <c r="J836" s="31" t="s">
        <v>507</v>
      </c>
      <c r="K836" s="31" t="s">
        <v>157</v>
      </c>
      <c r="L836" s="31" t="s">
        <v>19</v>
      </c>
      <c r="M836" s="31" t="s">
        <v>20</v>
      </c>
      <c r="N836" s="31">
        <v>10</v>
      </c>
      <c r="O836" s="31">
        <f>2024-Inventory[[#This Row],[YrBlt]]</f>
        <v>19</v>
      </c>
      <c r="P836" s="31">
        <f>2024-Inventory[[#This Row],[EffYr]]</f>
        <v>19</v>
      </c>
      <c r="Q836" s="30">
        <v>2005</v>
      </c>
      <c r="R836" s="30">
        <v>2005</v>
      </c>
      <c r="S836" s="30">
        <v>1040</v>
      </c>
      <c r="T836" s="38">
        <v>1040</v>
      </c>
      <c r="U836" s="32"/>
      <c r="V836" s="32"/>
      <c r="W836" s="32"/>
      <c r="X836" s="32">
        <f>Inventory[[#This Row],[Bsmt Area]]-Inventory[[#This Row],[FnBsmt]]</f>
        <v>0</v>
      </c>
      <c r="Y836" s="32">
        <f>Inventory[[#This Row],[MainFn]]+Inventory[[#This Row],[UpprFn]]+Inventory[[#This Row],[AddFn]]+Inventory[[#This Row],[FnBsmt]]</f>
        <v>2080</v>
      </c>
      <c r="Z836" s="32">
        <v>2500</v>
      </c>
      <c r="AA836" s="31" t="s">
        <v>56</v>
      </c>
      <c r="AB836" s="32"/>
      <c r="AC836" s="30">
        <v>440</v>
      </c>
      <c r="AD836" s="32"/>
      <c r="AE836" s="32"/>
      <c r="AF836" s="32"/>
      <c r="AG836" s="32"/>
      <c r="AH836" s="32"/>
      <c r="AI836" s="30">
        <v>371322</v>
      </c>
      <c r="AJ836" s="30">
        <v>337903</v>
      </c>
      <c r="AK836" s="30">
        <v>0</v>
      </c>
      <c r="AL836" s="30">
        <v>0</v>
      </c>
      <c r="AM836" s="30">
        <v>62500</v>
      </c>
      <c r="AN836" s="30">
        <v>335600</v>
      </c>
      <c r="AO836" s="30">
        <v>398100</v>
      </c>
      <c r="AP836" s="30">
        <f>Lookups!$B$58*0.6</f>
        <v>132535.48800000001</v>
      </c>
      <c r="AQ836" s="30">
        <f>Lookups!$B$58*0.4</f>
        <v>88356.992000000013</v>
      </c>
      <c r="AR836" s="30">
        <f>Lookups!$B$59*Inventory[[#This Row],[LnAcres]]</f>
        <v>-22505.565020573864</v>
      </c>
      <c r="AS836" s="30">
        <f>VLOOKUP(Inventory[[#This Row],[Qlty]],Lookups!$A$66:$E$79,2,FALSE)</f>
        <v>37154.252388000001</v>
      </c>
      <c r="AT836" s="30">
        <f>VLOOKUP(Inventory[[#This Row],[Cnd]],Lookups!$A$80:$E$88,2,FALSE)</f>
        <v>30300.329274</v>
      </c>
      <c r="AU836" s="30">
        <f>Inventory[[#This Row],[EffAge]]*Lookups!$B$65</f>
        <v>-2066.0808999999999</v>
      </c>
      <c r="AV836" s="30">
        <f>Inventory[[#This Row],[MainFn]]*Lookups!$B$90</f>
        <v>64906.7952</v>
      </c>
      <c r="AW836" s="30">
        <f>Inventory[[#This Row],[UpprFn]]*Lookups!$B$91</f>
        <v>61963.598319999997</v>
      </c>
      <c r="AX836" s="30">
        <f>Inventory[[#This Row],[Bsmt Area]]*Lookups!$B$95</f>
        <v>0</v>
      </c>
      <c r="AY836" s="30">
        <f>Inventory[[#This Row],[AttGar]]*Lookups!$B$93</f>
        <v>15532.453640000002</v>
      </c>
      <c r="AZ836" s="30">
        <f>ROUND(Inventory[[#This Row],[25Det]],-2)</f>
        <v>0</v>
      </c>
      <c r="BA836" s="30">
        <f>ROUND(SUM(Inventory[[#This Row],[Mdl Qlty]:[Mdl Garage Area]])+Inventory[[#This Row],[Mdl Res Intercept]],-2)</f>
        <v>340300</v>
      </c>
      <c r="BB836" s="30">
        <f>ROUND(Inventory[[#This Row],[Mdl Land Intercept]]+Inventory[[#This Row],[Mdl LnAcres]],-2)</f>
        <v>65900</v>
      </c>
      <c r="BC836" s="30">
        <f>Inventory[[#This Row],[Unadj Res Value]]+Inventory[[#This Row],[Unadj Det Value]]+Inventory[[#This Row],[Unadj Land Value]]</f>
        <v>406200</v>
      </c>
      <c r="BD836" s="30">
        <f>(Inventory[[#This Row],[Unadj Total Value]]-Inventory[[#This Row],[24Final]])/Inventory[[#This Row],[24Final]]</f>
        <v>2.0346646571213264E-2</v>
      </c>
      <c r="BE836" s="30">
        <f>VLOOKUP(Inventory[[#This Row],[Nbhd]],Lookups!$M$3:$P$5,4,FALSE)</f>
        <v>0.99970000000000003</v>
      </c>
      <c r="BF836" s="30">
        <f>VLOOKUP(Inventory[[#This Row],[Qlty]],Lookups!$M$8:$P$22,4,FALSE)</f>
        <v>0.99819999999999998</v>
      </c>
      <c r="BG836" s="30">
        <f>VLOOKUP(Inventory[[#This Row],[Cnd]],Lookups!$R$8:$U$17,4,FALSE)</f>
        <v>0.997</v>
      </c>
      <c r="BH836" s="30">
        <f>VLOOKUP(Inventory[[#This Row],[LivArea Range]],Lookups!$R$25:$U$43,4,FALSE)</f>
        <v>1.0008999999999999</v>
      </c>
      <c r="BI836" s="30">
        <f>VLOOKUP(Inventory[[#This Row],[Decade]],Lookups!$M$24:$P$40,4,FALSE)</f>
        <v>1.0024</v>
      </c>
      <c r="BJ836" s="30">
        <f>Inventory[[#This Row],[Nbhd Adj]]*0.95</f>
        <v>0.94971499999999998</v>
      </c>
      <c r="BK836" s="30">
        <f>AVERAGE(Inventory[[#This Row],[Nbhd Adj]],Inventory[[#This Row],[Quality Adj]],Inventory[[#This Row],[Condition Adj]],Inventory[[#This Row],[Living Area Adj]],Inventory[[#This Row],[Decade Adj]])*0.95</f>
        <v>0.94965799999999989</v>
      </c>
      <c r="BL836" s="30">
        <f>ROUND((SUM(Inventory[[#This Row],[Mdl Qlty]:[Mdl Garage Area]])+Inventory[[#This Row],[Mdl Res Intercept]])*Inventory[[#This Row],[Res Adj ]],-2)</f>
        <v>323200</v>
      </c>
      <c r="BM836" s="30">
        <f>ROUND(Inventory[[#This Row],[25Det]]*Inventory[[#This Row],[Det/Nbhd Adj]],-2)</f>
        <v>0</v>
      </c>
      <c r="BN836" s="30">
        <f>Inventory[[#This Row],[Adjusted Res]]+Inventory[[#This Row],[Adj Det ]]</f>
        <v>323200</v>
      </c>
      <c r="BO836" s="30">
        <f>ROUND((Inventory[[#This Row],[Mdl Land Intercept]]+Inventory[[#This Row],[Mdl LnAcres]])*Inventory[[#This Row],[Det/Nbhd Adj]],-2)</f>
        <v>62500</v>
      </c>
      <c r="BP836" s="30">
        <f>Inventory[[#This Row],[Adjusted Impr Total]]+Inventory[[#This Row],[Adjusted Land Total]]</f>
        <v>385700</v>
      </c>
      <c r="BQ836" s="30">
        <f>IFERROR((Inventory[[#This Row],[Adjusted Impr Total]]-Inventory[[#This Row],[24Bldg]])/Inventory[[#This Row],[24Bldg]],0)</f>
        <v>-3.6948748510131108E-2</v>
      </c>
      <c r="BR836" s="43">
        <f>(Inventory[[#This Row],[Adjusted Land Total]]-Inventory[[#This Row],[24Lnd]])/Inventory[[#This Row],[24Lnd]]</f>
        <v>0</v>
      </c>
      <c r="BS836" s="43">
        <f>(Inventory[[#This Row],[Adjusted Total]]-Inventory[[#This Row],[24Final]])/Inventory[[#This Row],[24Final]]</f>
        <v>-3.1147952775684502E-2</v>
      </c>
    </row>
    <row r="837" spans="1:71">
      <c r="A837" s="30">
        <v>2025</v>
      </c>
      <c r="B837" s="31" t="s">
        <v>1352</v>
      </c>
      <c r="C837" s="31">
        <f>LN(Inventory[[#This Row],[Acres]])</f>
        <v>-1.7147984280919266</v>
      </c>
      <c r="D837" s="30">
        <v>0.18</v>
      </c>
      <c r="E837" s="30">
        <v>7934</v>
      </c>
      <c r="F837" s="31" t="s">
        <v>505</v>
      </c>
      <c r="G837" s="31" t="s">
        <v>155</v>
      </c>
      <c r="H837" s="31" t="s">
        <v>5</v>
      </c>
      <c r="I837" s="31" t="s">
        <v>506</v>
      </c>
      <c r="J837" s="31" t="s">
        <v>507</v>
      </c>
      <c r="K837" s="31" t="s">
        <v>193</v>
      </c>
      <c r="L837" s="31" t="s">
        <v>17</v>
      </c>
      <c r="M837" s="31" t="s">
        <v>20</v>
      </c>
      <c r="N837" s="31">
        <v>10</v>
      </c>
      <c r="O837" s="31">
        <f>2024-Inventory[[#This Row],[YrBlt]]</f>
        <v>19</v>
      </c>
      <c r="P837" s="31">
        <f>2024-Inventory[[#This Row],[EffYr]]</f>
        <v>19</v>
      </c>
      <c r="Q837" s="30">
        <v>2005</v>
      </c>
      <c r="R837" s="30">
        <v>2005</v>
      </c>
      <c r="S837" s="30">
        <v>1080</v>
      </c>
      <c r="T837" s="37"/>
      <c r="U837" s="32"/>
      <c r="V837" s="32"/>
      <c r="W837" s="32"/>
      <c r="X837" s="32">
        <f>Inventory[[#This Row],[Bsmt Area]]-Inventory[[#This Row],[FnBsmt]]</f>
        <v>0</v>
      </c>
      <c r="Y837" s="32">
        <f>Inventory[[#This Row],[MainFn]]+Inventory[[#This Row],[UpprFn]]+Inventory[[#This Row],[AddFn]]+Inventory[[#This Row],[FnBsmt]]</f>
        <v>1080</v>
      </c>
      <c r="Z837" s="32">
        <v>1500</v>
      </c>
      <c r="AA837" s="31" t="s">
        <v>56</v>
      </c>
      <c r="AB837" s="37"/>
      <c r="AC837" s="38">
        <v>440</v>
      </c>
      <c r="AD837" s="37"/>
      <c r="AE837" s="32"/>
      <c r="AF837" s="32"/>
      <c r="AG837" s="32"/>
      <c r="AH837" s="32"/>
      <c r="AI837" s="30">
        <v>207686</v>
      </c>
      <c r="AJ837" s="30">
        <v>188994</v>
      </c>
      <c r="AK837" s="30">
        <v>0</v>
      </c>
      <c r="AL837" s="30">
        <v>0</v>
      </c>
      <c r="AM837" s="30">
        <v>62500</v>
      </c>
      <c r="AN837" s="30">
        <v>258700</v>
      </c>
      <c r="AO837" s="30">
        <v>321200</v>
      </c>
      <c r="AP837" s="30">
        <f>Lookups!$B$58*0.6</f>
        <v>132535.48800000001</v>
      </c>
      <c r="AQ837" s="30">
        <f>Lookups!$B$58*0.4</f>
        <v>88356.992000000013</v>
      </c>
      <c r="AR837" s="30">
        <f>Lookups!$B$59*Inventory[[#This Row],[LnAcres]]</f>
        <v>-22505.565020573864</v>
      </c>
      <c r="AS837" s="30">
        <f>VLOOKUP(Inventory[[#This Row],[Qlty]],Lookups!$A$66:$E$79,2,FALSE)</f>
        <v>24371.765965999999</v>
      </c>
      <c r="AT837" s="30">
        <f>VLOOKUP(Inventory[[#This Row],[Cnd]],Lookups!$A$80:$E$88,2,FALSE)</f>
        <v>30300.329274</v>
      </c>
      <c r="AU837" s="30">
        <f>Inventory[[#This Row],[EffAge]]*Lookups!$B$65</f>
        <v>-2066.0808999999999</v>
      </c>
      <c r="AV837" s="30">
        <f>Inventory[[#This Row],[MainFn]]*Lookups!$B$90</f>
        <v>67403.210400000011</v>
      </c>
      <c r="AW837" s="30">
        <f>Inventory[[#This Row],[UpprFn]]*Lookups!$B$91</f>
        <v>0</v>
      </c>
      <c r="AX837" s="30">
        <f>Inventory[[#This Row],[Bsmt Area]]*Lookups!$B$95</f>
        <v>0</v>
      </c>
      <c r="AY837" s="30">
        <f>Inventory[[#This Row],[AttGar]]*Lookups!$B$93</f>
        <v>15532.453640000002</v>
      </c>
      <c r="AZ837" s="30">
        <f>ROUND(Inventory[[#This Row],[25Det]],-2)</f>
        <v>0</v>
      </c>
      <c r="BA837" s="30">
        <f>ROUND(SUM(Inventory[[#This Row],[Mdl Qlty]:[Mdl Garage Area]])+Inventory[[#This Row],[Mdl Res Intercept]],-2)</f>
        <v>268100</v>
      </c>
      <c r="BB837" s="30">
        <f>ROUND(Inventory[[#This Row],[Mdl Land Intercept]]+Inventory[[#This Row],[Mdl LnAcres]],-2)</f>
        <v>65900</v>
      </c>
      <c r="BC837" s="30">
        <f>Inventory[[#This Row],[Unadj Res Value]]+Inventory[[#This Row],[Unadj Det Value]]+Inventory[[#This Row],[Unadj Land Value]]</f>
        <v>334000</v>
      </c>
      <c r="BD837" s="30">
        <f>(Inventory[[#This Row],[Unadj Total Value]]-Inventory[[#This Row],[24Final]])/Inventory[[#This Row],[24Final]]</f>
        <v>3.9850560398505604E-2</v>
      </c>
      <c r="BE837" s="30">
        <f>VLOOKUP(Inventory[[#This Row],[Nbhd]],Lookups!$M$3:$P$5,4,FALSE)</f>
        <v>0.99970000000000003</v>
      </c>
      <c r="BF837" s="30">
        <f>VLOOKUP(Inventory[[#This Row],[Qlty]],Lookups!$M$8:$P$22,4,FALSE)</f>
        <v>0.99199999999999999</v>
      </c>
      <c r="BG837" s="30">
        <f>VLOOKUP(Inventory[[#This Row],[Cnd]],Lookups!$R$8:$U$17,4,FALSE)</f>
        <v>0.997</v>
      </c>
      <c r="BH837" s="30">
        <f>VLOOKUP(Inventory[[#This Row],[LivArea Range]],Lookups!$R$25:$U$43,4,FALSE)</f>
        <v>0.99519999999999997</v>
      </c>
      <c r="BI837" s="30">
        <f>VLOOKUP(Inventory[[#This Row],[Decade]],Lookups!$M$24:$P$40,4,FALSE)</f>
        <v>1.0024</v>
      </c>
      <c r="BJ837" s="30">
        <f>Inventory[[#This Row],[Nbhd Adj]]*0.95</f>
        <v>0.94971499999999998</v>
      </c>
      <c r="BK837" s="30">
        <f>AVERAGE(Inventory[[#This Row],[Nbhd Adj]],Inventory[[#This Row],[Quality Adj]],Inventory[[#This Row],[Condition Adj]],Inventory[[#This Row],[Living Area Adj]],Inventory[[#This Row],[Decade Adj]])*0.95</f>
        <v>0.94739700000000004</v>
      </c>
      <c r="BL837" s="30">
        <f>ROUND((SUM(Inventory[[#This Row],[Mdl Qlty]:[Mdl Garage Area]])+Inventory[[#This Row],[Mdl Res Intercept]])*Inventory[[#This Row],[Res Adj ]],-2)</f>
        <v>254000</v>
      </c>
      <c r="BM837" s="30">
        <f>ROUND(Inventory[[#This Row],[25Det]]*Inventory[[#This Row],[Det/Nbhd Adj]],-2)</f>
        <v>0</v>
      </c>
      <c r="BN837" s="30">
        <f>Inventory[[#This Row],[Adjusted Res]]+Inventory[[#This Row],[Adj Det ]]</f>
        <v>254000</v>
      </c>
      <c r="BO837" s="30">
        <f>ROUND((Inventory[[#This Row],[Mdl Land Intercept]]+Inventory[[#This Row],[Mdl LnAcres]])*Inventory[[#This Row],[Det/Nbhd Adj]],-2)</f>
        <v>62500</v>
      </c>
      <c r="BP837" s="30">
        <f>Inventory[[#This Row],[Adjusted Impr Total]]+Inventory[[#This Row],[Adjusted Land Total]]</f>
        <v>316500</v>
      </c>
      <c r="BQ837" s="30">
        <f>IFERROR((Inventory[[#This Row],[Adjusted Impr Total]]-Inventory[[#This Row],[24Bldg]])/Inventory[[#This Row],[24Bldg]],0)</f>
        <v>-1.8167761886354852E-2</v>
      </c>
      <c r="BR837" s="43">
        <f>(Inventory[[#This Row],[Adjusted Land Total]]-Inventory[[#This Row],[24Lnd]])/Inventory[[#This Row],[24Lnd]]</f>
        <v>0</v>
      </c>
      <c r="BS837" s="43">
        <f>(Inventory[[#This Row],[Adjusted Total]]-Inventory[[#This Row],[24Final]])/Inventory[[#This Row],[24Final]]</f>
        <v>-1.4632627646326276E-2</v>
      </c>
    </row>
    <row r="838" spans="1:71">
      <c r="A838" s="30">
        <v>2025</v>
      </c>
      <c r="B838" s="31" t="s">
        <v>1353</v>
      </c>
      <c r="C838" s="31">
        <f>LN(Inventory[[#This Row],[Acres]])</f>
        <v>-1.7147984280919266</v>
      </c>
      <c r="D838" s="30">
        <v>0.18</v>
      </c>
      <c r="E838" s="30">
        <v>7951</v>
      </c>
      <c r="F838" s="31" t="s">
        <v>505</v>
      </c>
      <c r="G838" s="31" t="s">
        <v>155</v>
      </c>
      <c r="H838" s="31" t="s">
        <v>5</v>
      </c>
      <c r="I838" s="31" t="s">
        <v>506</v>
      </c>
      <c r="J838" s="31" t="s">
        <v>507</v>
      </c>
      <c r="K838" s="31" t="s">
        <v>193</v>
      </c>
      <c r="L838" s="31" t="s">
        <v>19</v>
      </c>
      <c r="M838" s="31" t="s">
        <v>18</v>
      </c>
      <c r="N838" s="31">
        <v>10</v>
      </c>
      <c r="O838" s="31">
        <f>2024-Inventory[[#This Row],[YrBlt]]</f>
        <v>19</v>
      </c>
      <c r="P838" s="31">
        <f>2024-Inventory[[#This Row],[EffYr]]</f>
        <v>19</v>
      </c>
      <c r="Q838" s="30">
        <v>2005</v>
      </c>
      <c r="R838" s="30">
        <v>2005</v>
      </c>
      <c r="S838" s="30">
        <v>1420</v>
      </c>
      <c r="T838" s="32"/>
      <c r="U838" s="32"/>
      <c r="V838" s="32"/>
      <c r="W838" s="32"/>
      <c r="X838" s="32">
        <f>Inventory[[#This Row],[Bsmt Area]]-Inventory[[#This Row],[FnBsmt]]</f>
        <v>0</v>
      </c>
      <c r="Y838" s="32">
        <f>Inventory[[#This Row],[MainFn]]+Inventory[[#This Row],[UpprFn]]+Inventory[[#This Row],[AddFn]]+Inventory[[#This Row],[FnBsmt]]</f>
        <v>1420</v>
      </c>
      <c r="Z838" s="32">
        <v>1500</v>
      </c>
      <c r="AA838" s="31" t="s">
        <v>56</v>
      </c>
      <c r="AB838" s="32"/>
      <c r="AC838" s="30">
        <v>400</v>
      </c>
      <c r="AD838" s="32"/>
      <c r="AE838" s="32"/>
      <c r="AF838" s="32"/>
      <c r="AG838" s="32"/>
      <c r="AH838" s="32"/>
      <c r="AI838" s="30">
        <v>281928</v>
      </c>
      <c r="AJ838" s="30">
        <v>253735</v>
      </c>
      <c r="AK838" s="30">
        <v>0</v>
      </c>
      <c r="AL838" s="30">
        <v>0</v>
      </c>
      <c r="AM838" s="30">
        <v>62500</v>
      </c>
      <c r="AN838" s="30">
        <v>277100</v>
      </c>
      <c r="AO838" s="30">
        <v>339600</v>
      </c>
      <c r="AP838" s="30">
        <f>Lookups!$B$58*0.6</f>
        <v>132535.48800000001</v>
      </c>
      <c r="AQ838" s="30">
        <f>Lookups!$B$58*0.4</f>
        <v>88356.992000000013</v>
      </c>
      <c r="AR838" s="30">
        <f>Lookups!$B$59*Inventory[[#This Row],[LnAcres]]</f>
        <v>-22505.565020573864</v>
      </c>
      <c r="AS838" s="30">
        <f>VLOOKUP(Inventory[[#This Row],[Qlty]],Lookups!$A$66:$E$79,2,FALSE)</f>
        <v>37154.252388000001</v>
      </c>
      <c r="AT838" s="30">
        <f>VLOOKUP(Inventory[[#This Row],[Cnd]],Lookups!$A$80:$E$88,2,FALSE)</f>
        <v>17761.121909000001</v>
      </c>
      <c r="AU838" s="30">
        <f>Inventory[[#This Row],[EffAge]]*Lookups!$B$65</f>
        <v>-2066.0808999999999</v>
      </c>
      <c r="AV838" s="30">
        <f>Inventory[[#This Row],[MainFn]]*Lookups!$B$90</f>
        <v>88622.739600000001</v>
      </c>
      <c r="AW838" s="30">
        <f>Inventory[[#This Row],[UpprFn]]*Lookups!$B$91</f>
        <v>0</v>
      </c>
      <c r="AX838" s="30">
        <f>Inventory[[#This Row],[Bsmt Area]]*Lookups!$B$95</f>
        <v>0</v>
      </c>
      <c r="AY838" s="30">
        <f>Inventory[[#This Row],[AttGar]]*Lookups!$B$93</f>
        <v>14120.412400000001</v>
      </c>
      <c r="AZ838" s="30">
        <f>ROUND(Inventory[[#This Row],[25Det]],-2)</f>
        <v>0</v>
      </c>
      <c r="BA838" s="30">
        <f>ROUND(SUM(Inventory[[#This Row],[Mdl Qlty]:[Mdl Garage Area]])+Inventory[[#This Row],[Mdl Res Intercept]],-2)</f>
        <v>288100</v>
      </c>
      <c r="BB838" s="30">
        <f>ROUND(Inventory[[#This Row],[Mdl Land Intercept]]+Inventory[[#This Row],[Mdl LnAcres]],-2)</f>
        <v>65900</v>
      </c>
      <c r="BC838" s="30">
        <f>Inventory[[#This Row],[Unadj Res Value]]+Inventory[[#This Row],[Unadj Det Value]]+Inventory[[#This Row],[Unadj Land Value]]</f>
        <v>354000</v>
      </c>
      <c r="BD838" s="30">
        <f>(Inventory[[#This Row],[Unadj Total Value]]-Inventory[[#This Row],[24Final]])/Inventory[[#This Row],[24Final]]</f>
        <v>4.2402826855123678E-2</v>
      </c>
      <c r="BE838" s="30">
        <f>VLOOKUP(Inventory[[#This Row],[Nbhd]],Lookups!$M$3:$P$5,4,FALSE)</f>
        <v>0.99970000000000003</v>
      </c>
      <c r="BF838" s="30">
        <f>VLOOKUP(Inventory[[#This Row],[Qlty]],Lookups!$M$8:$P$22,4,FALSE)</f>
        <v>0.99819999999999998</v>
      </c>
      <c r="BG838" s="30">
        <f>VLOOKUP(Inventory[[#This Row],[Cnd]],Lookups!$R$8:$U$17,4,FALSE)</f>
        <v>0.99680000000000002</v>
      </c>
      <c r="BH838" s="30">
        <f>VLOOKUP(Inventory[[#This Row],[LivArea Range]],Lookups!$R$25:$U$43,4,FALSE)</f>
        <v>0.99519999999999997</v>
      </c>
      <c r="BI838" s="30">
        <f>VLOOKUP(Inventory[[#This Row],[Decade]],Lookups!$M$24:$P$40,4,FALSE)</f>
        <v>1.0024</v>
      </c>
      <c r="BJ838" s="30">
        <f>Inventory[[#This Row],[Nbhd Adj]]*0.95</f>
        <v>0.94971499999999998</v>
      </c>
      <c r="BK838" s="30">
        <f>AVERAGE(Inventory[[#This Row],[Nbhd Adj]],Inventory[[#This Row],[Quality Adj]],Inventory[[#This Row],[Condition Adj]],Inventory[[#This Row],[Living Area Adj]],Inventory[[#This Row],[Decade Adj]])*0.95</f>
        <v>0.94853699999999996</v>
      </c>
      <c r="BL838" s="30">
        <f>ROUND((SUM(Inventory[[#This Row],[Mdl Qlty]:[Mdl Garage Area]])+Inventory[[#This Row],[Mdl Res Intercept]])*Inventory[[#This Row],[Res Adj ]],-2)</f>
        <v>273300</v>
      </c>
      <c r="BM838" s="30">
        <f>ROUND(Inventory[[#This Row],[25Det]]*Inventory[[#This Row],[Det/Nbhd Adj]],-2)</f>
        <v>0</v>
      </c>
      <c r="BN838" s="30">
        <f>Inventory[[#This Row],[Adjusted Res]]+Inventory[[#This Row],[Adj Det ]]</f>
        <v>273300</v>
      </c>
      <c r="BO838" s="30">
        <f>ROUND((Inventory[[#This Row],[Mdl Land Intercept]]+Inventory[[#This Row],[Mdl LnAcres]])*Inventory[[#This Row],[Det/Nbhd Adj]],-2)</f>
        <v>62500</v>
      </c>
      <c r="BP838" s="30">
        <f>Inventory[[#This Row],[Adjusted Impr Total]]+Inventory[[#This Row],[Adjusted Land Total]]</f>
        <v>335800</v>
      </c>
      <c r="BQ838" s="30">
        <f>IFERROR((Inventory[[#This Row],[Adjusted Impr Total]]-Inventory[[#This Row],[24Bldg]])/Inventory[[#This Row],[24Bldg]],0)</f>
        <v>-1.3713460844460484E-2</v>
      </c>
      <c r="BR838" s="43">
        <f>(Inventory[[#This Row],[Adjusted Land Total]]-Inventory[[#This Row],[24Lnd]])/Inventory[[#This Row],[24Lnd]]</f>
        <v>0</v>
      </c>
      <c r="BS838" s="43">
        <f>(Inventory[[#This Row],[Adjusted Total]]-Inventory[[#This Row],[24Final]])/Inventory[[#This Row],[24Final]]</f>
        <v>-1.1189634864546525E-2</v>
      </c>
    </row>
    <row r="839" spans="1:71">
      <c r="A839" s="30">
        <v>2025</v>
      </c>
      <c r="B839" s="31" t="s">
        <v>1354</v>
      </c>
      <c r="C839" s="31">
        <f>LN(Inventory[[#This Row],[Acres]])</f>
        <v>-1.7147984280919266</v>
      </c>
      <c r="D839" s="30">
        <v>0.18</v>
      </c>
      <c r="E839" s="30">
        <v>7853</v>
      </c>
      <c r="F839" s="31" t="s">
        <v>505</v>
      </c>
      <c r="G839" s="31" t="s">
        <v>155</v>
      </c>
      <c r="H839" s="31" t="s">
        <v>5</v>
      </c>
      <c r="I839" s="31" t="s">
        <v>506</v>
      </c>
      <c r="J839" s="31" t="s">
        <v>507</v>
      </c>
      <c r="K839" s="31" t="s">
        <v>193</v>
      </c>
      <c r="L839" s="31" t="s">
        <v>19</v>
      </c>
      <c r="M839" s="31" t="s">
        <v>22</v>
      </c>
      <c r="N839" s="31">
        <v>10</v>
      </c>
      <c r="O839" s="31">
        <f>2024-Inventory[[#This Row],[YrBlt]]</f>
        <v>19</v>
      </c>
      <c r="P839" s="31">
        <f>2024-Inventory[[#This Row],[EffYr]]</f>
        <v>19</v>
      </c>
      <c r="Q839" s="30">
        <v>2005</v>
      </c>
      <c r="R839" s="30">
        <v>2005</v>
      </c>
      <c r="S839" s="30">
        <v>1382</v>
      </c>
      <c r="T839" s="37"/>
      <c r="U839" s="32"/>
      <c r="V839" s="32"/>
      <c r="W839" s="32"/>
      <c r="X839" s="32">
        <f>Inventory[[#This Row],[Bsmt Area]]-Inventory[[#This Row],[FnBsmt]]</f>
        <v>0</v>
      </c>
      <c r="Y839" s="32">
        <f>Inventory[[#This Row],[MainFn]]+Inventory[[#This Row],[UpprFn]]+Inventory[[#This Row],[AddFn]]+Inventory[[#This Row],[FnBsmt]]</f>
        <v>1382</v>
      </c>
      <c r="Z839" s="32">
        <v>1500</v>
      </c>
      <c r="AA839" s="31" t="s">
        <v>56</v>
      </c>
      <c r="AB839" s="32"/>
      <c r="AC839" s="30">
        <v>426</v>
      </c>
      <c r="AD839" s="37"/>
      <c r="AE839" s="32"/>
      <c r="AF839" s="32"/>
      <c r="AG839" s="32"/>
      <c r="AH839" s="32"/>
      <c r="AI839" s="30">
        <v>284993</v>
      </c>
      <c r="AJ839" s="30">
        <v>259344</v>
      </c>
      <c r="AK839" s="30">
        <v>0</v>
      </c>
      <c r="AL839" s="30">
        <v>0</v>
      </c>
      <c r="AM839" s="30">
        <v>62500</v>
      </c>
      <c r="AN839" s="30">
        <v>306000</v>
      </c>
      <c r="AO839" s="30">
        <v>368500</v>
      </c>
      <c r="AP839" s="30">
        <f>Lookups!$B$58*0.6</f>
        <v>132535.48800000001</v>
      </c>
      <c r="AQ839" s="30">
        <f>Lookups!$B$58*0.4</f>
        <v>88356.992000000013</v>
      </c>
      <c r="AR839" s="30">
        <f>Lookups!$B$59*Inventory[[#This Row],[LnAcres]]</f>
        <v>-22505.565020573864</v>
      </c>
      <c r="AS839" s="30">
        <f>VLOOKUP(Inventory[[#This Row],[Qlty]],Lookups!$A$66:$E$79,2,FALSE)</f>
        <v>37154.252388000001</v>
      </c>
      <c r="AT839" s="30">
        <f>VLOOKUP(Inventory[[#This Row],[Cnd]],Lookups!$A$80:$E$88,2,FALSE)</f>
        <v>50438.379078999998</v>
      </c>
      <c r="AU839" s="30">
        <f>Inventory[[#This Row],[EffAge]]*Lookups!$B$65</f>
        <v>-2066.0808999999999</v>
      </c>
      <c r="AV839" s="30">
        <f>Inventory[[#This Row],[MainFn]]*Lookups!$B$90</f>
        <v>86251.14516</v>
      </c>
      <c r="AW839" s="30">
        <f>Inventory[[#This Row],[UpprFn]]*Lookups!$B$91</f>
        <v>0</v>
      </c>
      <c r="AX839" s="30">
        <f>Inventory[[#This Row],[Bsmt Area]]*Lookups!$B$95</f>
        <v>0</v>
      </c>
      <c r="AY839" s="30">
        <f>Inventory[[#This Row],[AttGar]]*Lookups!$B$93</f>
        <v>15038.239206</v>
      </c>
      <c r="AZ839" s="30">
        <f>ROUND(Inventory[[#This Row],[25Det]],-2)</f>
        <v>0</v>
      </c>
      <c r="BA839" s="30">
        <f>ROUND(SUM(Inventory[[#This Row],[Mdl Qlty]:[Mdl Garage Area]])+Inventory[[#This Row],[Mdl Res Intercept]],-2)</f>
        <v>319400</v>
      </c>
      <c r="BB839" s="30">
        <f>ROUND(Inventory[[#This Row],[Mdl Land Intercept]]+Inventory[[#This Row],[Mdl LnAcres]],-2)</f>
        <v>65900</v>
      </c>
      <c r="BC839" s="30">
        <f>Inventory[[#This Row],[Unadj Res Value]]+Inventory[[#This Row],[Unadj Det Value]]+Inventory[[#This Row],[Unadj Land Value]]</f>
        <v>385300</v>
      </c>
      <c r="BD839" s="30">
        <f>(Inventory[[#This Row],[Unadj Total Value]]-Inventory[[#This Row],[24Final]])/Inventory[[#This Row],[24Final]]</f>
        <v>4.5590230664857533E-2</v>
      </c>
      <c r="BE839" s="30">
        <f>VLOOKUP(Inventory[[#This Row],[Nbhd]],Lookups!$M$3:$P$5,4,FALSE)</f>
        <v>0.99970000000000003</v>
      </c>
      <c r="BF839" s="30">
        <f>VLOOKUP(Inventory[[#This Row],[Qlty]],Lookups!$M$8:$P$22,4,FALSE)</f>
        <v>0.99819999999999998</v>
      </c>
      <c r="BG839" s="30">
        <f>VLOOKUP(Inventory[[#This Row],[Cnd]],Lookups!$R$8:$U$17,4,FALSE)</f>
        <v>1.0007999999999999</v>
      </c>
      <c r="BH839" s="30">
        <f>VLOOKUP(Inventory[[#This Row],[LivArea Range]],Lookups!$R$25:$U$43,4,FALSE)</f>
        <v>0.99519999999999997</v>
      </c>
      <c r="BI839" s="30">
        <f>VLOOKUP(Inventory[[#This Row],[Decade]],Lookups!$M$24:$P$40,4,FALSE)</f>
        <v>1.0024</v>
      </c>
      <c r="BJ839" s="30">
        <f>Inventory[[#This Row],[Nbhd Adj]]*0.95</f>
        <v>0.94971499999999998</v>
      </c>
      <c r="BK839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839" s="30">
        <f>ROUND((SUM(Inventory[[#This Row],[Mdl Qlty]:[Mdl Garage Area]])+Inventory[[#This Row],[Mdl Res Intercept]])*Inventory[[#This Row],[Res Adj ]],-2)</f>
        <v>303200</v>
      </c>
      <c r="BM839" s="30">
        <f>ROUND(Inventory[[#This Row],[25Det]]*Inventory[[#This Row],[Det/Nbhd Adj]],-2)</f>
        <v>0</v>
      </c>
      <c r="BN839" s="30">
        <f>Inventory[[#This Row],[Adjusted Res]]+Inventory[[#This Row],[Adj Det ]]</f>
        <v>303200</v>
      </c>
      <c r="BO839" s="30">
        <f>ROUND((Inventory[[#This Row],[Mdl Land Intercept]]+Inventory[[#This Row],[Mdl LnAcres]])*Inventory[[#This Row],[Det/Nbhd Adj]],-2)</f>
        <v>62500</v>
      </c>
      <c r="BP839" s="30">
        <f>Inventory[[#This Row],[Adjusted Impr Total]]+Inventory[[#This Row],[Adjusted Land Total]]</f>
        <v>365700</v>
      </c>
      <c r="BQ839" s="30">
        <f>IFERROR((Inventory[[#This Row],[Adjusted Impr Total]]-Inventory[[#This Row],[24Bldg]])/Inventory[[#This Row],[24Bldg]],0)</f>
        <v>-9.1503267973856214E-3</v>
      </c>
      <c r="BR839" s="43">
        <f>(Inventory[[#This Row],[Adjusted Land Total]]-Inventory[[#This Row],[24Lnd]])/Inventory[[#This Row],[24Lnd]]</f>
        <v>0</v>
      </c>
      <c r="BS839" s="43">
        <f>(Inventory[[#This Row],[Adjusted Total]]-Inventory[[#This Row],[24Final]])/Inventory[[#This Row],[24Final]]</f>
        <v>-7.5983717774762548E-3</v>
      </c>
    </row>
    <row r="840" spans="1:71">
      <c r="A840" s="30">
        <v>2025</v>
      </c>
      <c r="B840" s="31" t="s">
        <v>1355</v>
      </c>
      <c r="C840" s="31">
        <f>LN(Inventory[[#This Row],[Acres]])</f>
        <v>-1.7147984280919266</v>
      </c>
      <c r="D840" s="30">
        <v>0.18</v>
      </c>
      <c r="E840" s="30">
        <v>7840</v>
      </c>
      <c r="F840" s="31" t="s">
        <v>505</v>
      </c>
      <c r="G840" s="31" t="s">
        <v>155</v>
      </c>
      <c r="H840" s="31" t="s">
        <v>5</v>
      </c>
      <c r="I840" s="31" t="s">
        <v>506</v>
      </c>
      <c r="J840" s="31" t="s">
        <v>507</v>
      </c>
      <c r="K840" s="31" t="s">
        <v>157</v>
      </c>
      <c r="L840" s="31" t="s">
        <v>21</v>
      </c>
      <c r="M840" s="31" t="s">
        <v>22</v>
      </c>
      <c r="N840" s="31">
        <v>10</v>
      </c>
      <c r="O840" s="31">
        <f>2024-Inventory[[#This Row],[YrBlt]]</f>
        <v>19</v>
      </c>
      <c r="P840" s="31">
        <f>2024-Inventory[[#This Row],[EffYr]]</f>
        <v>19</v>
      </c>
      <c r="Q840" s="30">
        <v>2005</v>
      </c>
      <c r="R840" s="30">
        <v>2005</v>
      </c>
      <c r="S840" s="30">
        <v>1116</v>
      </c>
      <c r="T840" s="38">
        <v>1116</v>
      </c>
      <c r="U840" s="32"/>
      <c r="V840" s="32"/>
      <c r="W840" s="32"/>
      <c r="X840" s="32">
        <f>Inventory[[#This Row],[Bsmt Area]]-Inventory[[#This Row],[FnBsmt]]</f>
        <v>0</v>
      </c>
      <c r="Y840" s="32">
        <f>Inventory[[#This Row],[MainFn]]+Inventory[[#This Row],[UpprFn]]+Inventory[[#This Row],[AddFn]]+Inventory[[#This Row],[FnBsmt]]</f>
        <v>2232</v>
      </c>
      <c r="Z840" s="32">
        <v>2500</v>
      </c>
      <c r="AA840" s="31" t="s">
        <v>56</v>
      </c>
      <c r="AB840" s="38">
        <v>1</v>
      </c>
      <c r="AC840" s="30">
        <v>440</v>
      </c>
      <c r="AD840" s="32"/>
      <c r="AE840" s="32"/>
      <c r="AF840" s="32"/>
      <c r="AG840" s="32"/>
      <c r="AH840" s="32"/>
      <c r="AI840" s="30">
        <v>456102</v>
      </c>
      <c r="AJ840" s="30">
        <v>415053</v>
      </c>
      <c r="AK840" s="30">
        <v>0</v>
      </c>
      <c r="AL840" s="30">
        <v>0</v>
      </c>
      <c r="AM840" s="30">
        <v>62500</v>
      </c>
      <c r="AN840" s="30">
        <v>350000</v>
      </c>
      <c r="AO840" s="30">
        <v>412500</v>
      </c>
      <c r="AP840" s="30">
        <f>Lookups!$B$58*0.6</f>
        <v>132535.48800000001</v>
      </c>
      <c r="AQ840" s="30">
        <f>Lookups!$B$58*0.4</f>
        <v>88356.992000000013</v>
      </c>
      <c r="AR840" s="30">
        <f>Lookups!$B$59*Inventory[[#This Row],[LnAcres]]</f>
        <v>-22505.565020573864</v>
      </c>
      <c r="AS840" s="30">
        <f>VLOOKUP(Inventory[[#This Row],[Qlty]],Lookups!$A$66:$E$79,2,FALSE)</f>
        <v>32917.849192000001</v>
      </c>
      <c r="AT840" s="30">
        <f>VLOOKUP(Inventory[[#This Row],[Cnd]],Lookups!$A$80:$E$88,2,FALSE)</f>
        <v>50438.379078999998</v>
      </c>
      <c r="AU840" s="30">
        <f>Inventory[[#This Row],[EffAge]]*Lookups!$B$65</f>
        <v>-2066.0808999999999</v>
      </c>
      <c r="AV840" s="30">
        <f>Inventory[[#This Row],[MainFn]]*Lookups!$B$90</f>
        <v>69649.984080000009</v>
      </c>
      <c r="AW840" s="30">
        <f>Inventory[[#This Row],[UpprFn]]*Lookups!$B$91</f>
        <v>66491.707427999994</v>
      </c>
      <c r="AX840" s="30">
        <f>Inventory[[#This Row],[Bsmt Area]]*Lookups!$B$95</f>
        <v>0</v>
      </c>
      <c r="AY840" s="30">
        <f>Inventory[[#This Row],[AttGar]]*Lookups!$B$93</f>
        <v>15532.453640000002</v>
      </c>
      <c r="AZ840" s="30">
        <f>ROUND(Inventory[[#This Row],[25Det]],-2)</f>
        <v>0</v>
      </c>
      <c r="BA840" s="30">
        <f>ROUND(SUM(Inventory[[#This Row],[Mdl Qlty]:[Mdl Garage Area]])+Inventory[[#This Row],[Mdl Res Intercept]],-2)</f>
        <v>365500</v>
      </c>
      <c r="BB840" s="30">
        <f>ROUND(Inventory[[#This Row],[Mdl Land Intercept]]+Inventory[[#This Row],[Mdl LnAcres]],-2)</f>
        <v>65900</v>
      </c>
      <c r="BC840" s="30">
        <f>Inventory[[#This Row],[Unadj Res Value]]+Inventory[[#This Row],[Unadj Det Value]]+Inventory[[#This Row],[Unadj Land Value]]</f>
        <v>431400</v>
      </c>
      <c r="BD840" s="30">
        <f>(Inventory[[#This Row],[Unadj Total Value]]-Inventory[[#This Row],[24Final]])/Inventory[[#This Row],[24Final]]</f>
        <v>4.581818181818182E-2</v>
      </c>
      <c r="BE840" s="30">
        <f>VLOOKUP(Inventory[[#This Row],[Nbhd]],Lookups!$M$3:$P$5,4,FALSE)</f>
        <v>0.99970000000000003</v>
      </c>
      <c r="BF840" s="30">
        <f>VLOOKUP(Inventory[[#This Row],[Qlty]],Lookups!$M$8:$P$22,4,FALSE)</f>
        <v>1.0019</v>
      </c>
      <c r="BG840" s="30">
        <f>VLOOKUP(Inventory[[#This Row],[Cnd]],Lookups!$R$8:$U$17,4,FALSE)</f>
        <v>1.0007999999999999</v>
      </c>
      <c r="BH840" s="30">
        <f>VLOOKUP(Inventory[[#This Row],[LivArea Range]],Lookups!$R$25:$U$43,4,FALSE)</f>
        <v>1.0008999999999999</v>
      </c>
      <c r="BI840" s="30">
        <f>VLOOKUP(Inventory[[#This Row],[Decade]],Lookups!$M$24:$P$40,4,FALSE)</f>
        <v>1.0024</v>
      </c>
      <c r="BJ840" s="30">
        <f>Inventory[[#This Row],[Nbhd Adj]]*0.95</f>
        <v>0.94971499999999998</v>
      </c>
      <c r="BK840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840" s="30">
        <f>ROUND((SUM(Inventory[[#This Row],[Mdl Qlty]:[Mdl Garage Area]])+Inventory[[#This Row],[Mdl Res Intercept]])*Inventory[[#This Row],[Res Adj ]],-2)</f>
        <v>347600</v>
      </c>
      <c r="BM840" s="30">
        <f>ROUND(Inventory[[#This Row],[25Det]]*Inventory[[#This Row],[Det/Nbhd Adj]],-2)</f>
        <v>0</v>
      </c>
      <c r="BN840" s="30">
        <f>Inventory[[#This Row],[Adjusted Res]]+Inventory[[#This Row],[Adj Det ]]</f>
        <v>347600</v>
      </c>
      <c r="BO840" s="30">
        <f>ROUND((Inventory[[#This Row],[Mdl Land Intercept]]+Inventory[[#This Row],[Mdl LnAcres]])*Inventory[[#This Row],[Det/Nbhd Adj]],-2)</f>
        <v>62500</v>
      </c>
      <c r="BP840" s="30">
        <f>Inventory[[#This Row],[Adjusted Impr Total]]+Inventory[[#This Row],[Adjusted Land Total]]</f>
        <v>410100</v>
      </c>
      <c r="BQ840" s="30">
        <f>IFERROR((Inventory[[#This Row],[Adjusted Impr Total]]-Inventory[[#This Row],[24Bldg]])/Inventory[[#This Row],[24Bldg]],0)</f>
        <v>-6.8571428571428568E-3</v>
      </c>
      <c r="BR840" s="43">
        <f>(Inventory[[#This Row],[Adjusted Land Total]]-Inventory[[#This Row],[24Lnd]])/Inventory[[#This Row],[24Lnd]]</f>
        <v>0</v>
      </c>
      <c r="BS840" s="43">
        <f>(Inventory[[#This Row],[Adjusted Total]]-Inventory[[#This Row],[24Final]])/Inventory[[#This Row],[24Final]]</f>
        <v>-5.8181818181818178E-3</v>
      </c>
    </row>
    <row r="841" spans="1:71">
      <c r="A841" s="30">
        <v>2025</v>
      </c>
      <c r="B841" s="31" t="s">
        <v>1356</v>
      </c>
      <c r="C841" s="31">
        <f>LN(Inventory[[#This Row],[Acres]])</f>
        <v>-1.7147984280919266</v>
      </c>
      <c r="D841" s="30">
        <v>0.18</v>
      </c>
      <c r="E841" s="30">
        <v>7973</v>
      </c>
      <c r="F841" s="31" t="s">
        <v>505</v>
      </c>
      <c r="G841" s="31" t="s">
        <v>155</v>
      </c>
      <c r="H841" s="31" t="s">
        <v>5</v>
      </c>
      <c r="I841" s="31" t="s">
        <v>506</v>
      </c>
      <c r="J841" s="31" t="s">
        <v>507</v>
      </c>
      <c r="K841" s="31" t="s">
        <v>157</v>
      </c>
      <c r="L841" s="31" t="s">
        <v>21</v>
      </c>
      <c r="M841" s="31" t="s">
        <v>22</v>
      </c>
      <c r="N841" s="31">
        <v>10</v>
      </c>
      <c r="O841" s="31">
        <f>2024-Inventory[[#This Row],[YrBlt]]</f>
        <v>19</v>
      </c>
      <c r="P841" s="31">
        <f>2024-Inventory[[#This Row],[EffYr]]</f>
        <v>19</v>
      </c>
      <c r="Q841" s="30">
        <v>2005</v>
      </c>
      <c r="R841" s="30">
        <v>2005</v>
      </c>
      <c r="S841" s="30">
        <v>1116</v>
      </c>
      <c r="T841" s="30">
        <v>1116</v>
      </c>
      <c r="U841" s="32"/>
      <c r="V841" s="32"/>
      <c r="W841" s="32"/>
      <c r="X841" s="32">
        <f>Inventory[[#This Row],[Bsmt Area]]-Inventory[[#This Row],[FnBsmt]]</f>
        <v>0</v>
      </c>
      <c r="Y841" s="32">
        <f>Inventory[[#This Row],[MainFn]]+Inventory[[#This Row],[UpprFn]]+Inventory[[#This Row],[AddFn]]+Inventory[[#This Row],[FnBsmt]]</f>
        <v>2232</v>
      </c>
      <c r="Z841" s="32">
        <v>2500</v>
      </c>
      <c r="AA841" s="31" t="s">
        <v>56</v>
      </c>
      <c r="AB841" s="32"/>
      <c r="AC841" s="30">
        <v>440</v>
      </c>
      <c r="AD841" s="37"/>
      <c r="AE841" s="32"/>
      <c r="AF841" s="32"/>
      <c r="AG841" s="32"/>
      <c r="AH841" s="32"/>
      <c r="AI841" s="30">
        <v>439327</v>
      </c>
      <c r="AJ841" s="30">
        <v>399788</v>
      </c>
      <c r="AK841" s="30">
        <v>0</v>
      </c>
      <c r="AL841" s="30">
        <v>0</v>
      </c>
      <c r="AM841" s="30">
        <v>62500</v>
      </c>
      <c r="AN841" s="30">
        <v>350000</v>
      </c>
      <c r="AO841" s="30">
        <v>412500</v>
      </c>
      <c r="AP841" s="30">
        <f>Lookups!$B$58*0.6</f>
        <v>132535.48800000001</v>
      </c>
      <c r="AQ841" s="30">
        <f>Lookups!$B$58*0.4</f>
        <v>88356.992000000013</v>
      </c>
      <c r="AR841" s="30">
        <f>Lookups!$B$59*Inventory[[#This Row],[LnAcres]]</f>
        <v>-22505.565020573864</v>
      </c>
      <c r="AS841" s="30">
        <f>VLOOKUP(Inventory[[#This Row],[Qlty]],Lookups!$A$66:$E$79,2,FALSE)</f>
        <v>32917.849192000001</v>
      </c>
      <c r="AT841" s="30">
        <f>VLOOKUP(Inventory[[#This Row],[Cnd]],Lookups!$A$80:$E$88,2,FALSE)</f>
        <v>50438.379078999998</v>
      </c>
      <c r="AU841" s="30">
        <f>Inventory[[#This Row],[EffAge]]*Lookups!$B$65</f>
        <v>-2066.0808999999999</v>
      </c>
      <c r="AV841" s="30">
        <f>Inventory[[#This Row],[MainFn]]*Lookups!$B$90</f>
        <v>69649.984080000009</v>
      </c>
      <c r="AW841" s="30">
        <f>Inventory[[#This Row],[UpprFn]]*Lookups!$B$91</f>
        <v>66491.707427999994</v>
      </c>
      <c r="AX841" s="30">
        <f>Inventory[[#This Row],[Bsmt Area]]*Lookups!$B$95</f>
        <v>0</v>
      </c>
      <c r="AY841" s="30">
        <f>Inventory[[#This Row],[AttGar]]*Lookups!$B$93</f>
        <v>15532.453640000002</v>
      </c>
      <c r="AZ841" s="30">
        <f>ROUND(Inventory[[#This Row],[25Det]],-2)</f>
        <v>0</v>
      </c>
      <c r="BA841" s="30">
        <f>ROUND(SUM(Inventory[[#This Row],[Mdl Qlty]:[Mdl Garage Area]])+Inventory[[#This Row],[Mdl Res Intercept]],-2)</f>
        <v>365500</v>
      </c>
      <c r="BB841" s="30">
        <f>ROUND(Inventory[[#This Row],[Mdl Land Intercept]]+Inventory[[#This Row],[Mdl LnAcres]],-2)</f>
        <v>65900</v>
      </c>
      <c r="BC841" s="30">
        <f>Inventory[[#This Row],[Unadj Res Value]]+Inventory[[#This Row],[Unadj Det Value]]+Inventory[[#This Row],[Unadj Land Value]]</f>
        <v>431400</v>
      </c>
      <c r="BD841" s="30">
        <f>(Inventory[[#This Row],[Unadj Total Value]]-Inventory[[#This Row],[24Final]])/Inventory[[#This Row],[24Final]]</f>
        <v>4.581818181818182E-2</v>
      </c>
      <c r="BE841" s="30">
        <f>VLOOKUP(Inventory[[#This Row],[Nbhd]],Lookups!$M$3:$P$5,4,FALSE)</f>
        <v>0.99970000000000003</v>
      </c>
      <c r="BF841" s="30">
        <f>VLOOKUP(Inventory[[#This Row],[Qlty]],Lookups!$M$8:$P$22,4,FALSE)</f>
        <v>1.0019</v>
      </c>
      <c r="BG841" s="30">
        <f>VLOOKUP(Inventory[[#This Row],[Cnd]],Lookups!$R$8:$U$17,4,FALSE)</f>
        <v>1.0007999999999999</v>
      </c>
      <c r="BH841" s="30">
        <f>VLOOKUP(Inventory[[#This Row],[LivArea Range]],Lookups!$R$25:$U$43,4,FALSE)</f>
        <v>1.0008999999999999</v>
      </c>
      <c r="BI841" s="30">
        <f>VLOOKUP(Inventory[[#This Row],[Decade]],Lookups!$M$24:$P$40,4,FALSE)</f>
        <v>1.0024</v>
      </c>
      <c r="BJ841" s="30">
        <f>Inventory[[#This Row],[Nbhd Adj]]*0.95</f>
        <v>0.94971499999999998</v>
      </c>
      <c r="BK841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841" s="30">
        <f>ROUND((SUM(Inventory[[#This Row],[Mdl Qlty]:[Mdl Garage Area]])+Inventory[[#This Row],[Mdl Res Intercept]])*Inventory[[#This Row],[Res Adj ]],-2)</f>
        <v>347600</v>
      </c>
      <c r="BM841" s="30">
        <f>ROUND(Inventory[[#This Row],[25Det]]*Inventory[[#This Row],[Det/Nbhd Adj]],-2)</f>
        <v>0</v>
      </c>
      <c r="BN841" s="30">
        <f>Inventory[[#This Row],[Adjusted Res]]+Inventory[[#This Row],[Adj Det ]]</f>
        <v>347600</v>
      </c>
      <c r="BO841" s="30">
        <f>ROUND((Inventory[[#This Row],[Mdl Land Intercept]]+Inventory[[#This Row],[Mdl LnAcres]])*Inventory[[#This Row],[Det/Nbhd Adj]],-2)</f>
        <v>62500</v>
      </c>
      <c r="BP841" s="30">
        <f>Inventory[[#This Row],[Adjusted Impr Total]]+Inventory[[#This Row],[Adjusted Land Total]]</f>
        <v>410100</v>
      </c>
      <c r="BQ841" s="30">
        <f>IFERROR((Inventory[[#This Row],[Adjusted Impr Total]]-Inventory[[#This Row],[24Bldg]])/Inventory[[#This Row],[24Bldg]],0)</f>
        <v>-6.8571428571428568E-3</v>
      </c>
      <c r="BR841" s="43">
        <f>(Inventory[[#This Row],[Adjusted Land Total]]-Inventory[[#This Row],[24Lnd]])/Inventory[[#This Row],[24Lnd]]</f>
        <v>0</v>
      </c>
      <c r="BS841" s="43">
        <f>(Inventory[[#This Row],[Adjusted Total]]-Inventory[[#This Row],[24Final]])/Inventory[[#This Row],[24Final]]</f>
        <v>-5.8181818181818178E-3</v>
      </c>
    </row>
    <row r="842" spans="1:71">
      <c r="A842" s="30">
        <v>2025</v>
      </c>
      <c r="B842" s="31" t="s">
        <v>1357</v>
      </c>
      <c r="C842" s="31">
        <f>LN(Inventory[[#This Row],[Acres]])</f>
        <v>-1.6607312068216509</v>
      </c>
      <c r="D842" s="30">
        <v>0.19</v>
      </c>
      <c r="E842" s="30">
        <v>8257</v>
      </c>
      <c r="F842" s="31" t="s">
        <v>505</v>
      </c>
      <c r="G842" s="31" t="s">
        <v>155</v>
      </c>
      <c r="H842" s="31" t="s">
        <v>5</v>
      </c>
      <c r="I842" s="31" t="s">
        <v>506</v>
      </c>
      <c r="J842" s="31" t="s">
        <v>507</v>
      </c>
      <c r="K842" s="31" t="s">
        <v>157</v>
      </c>
      <c r="L842" s="31" t="s">
        <v>21</v>
      </c>
      <c r="M842" s="31" t="s">
        <v>22</v>
      </c>
      <c r="N842" s="31">
        <v>10</v>
      </c>
      <c r="O842" s="31">
        <f>2024-Inventory[[#This Row],[YrBlt]]</f>
        <v>19</v>
      </c>
      <c r="P842" s="31">
        <f>2024-Inventory[[#This Row],[EffYr]]</f>
        <v>19</v>
      </c>
      <c r="Q842" s="30">
        <v>2005</v>
      </c>
      <c r="R842" s="30">
        <v>2005</v>
      </c>
      <c r="S842" s="30">
        <v>1158</v>
      </c>
      <c r="T842" s="38">
        <v>1322</v>
      </c>
      <c r="U842" s="32"/>
      <c r="V842" s="32"/>
      <c r="W842" s="32"/>
      <c r="X842" s="32">
        <f>Inventory[[#This Row],[Bsmt Area]]-Inventory[[#This Row],[FnBsmt]]</f>
        <v>0</v>
      </c>
      <c r="Y842" s="32">
        <f>Inventory[[#This Row],[MainFn]]+Inventory[[#This Row],[UpprFn]]+Inventory[[#This Row],[AddFn]]+Inventory[[#This Row],[FnBsmt]]</f>
        <v>2480</v>
      </c>
      <c r="Z842" s="32">
        <v>2500</v>
      </c>
      <c r="AA842" s="31" t="s">
        <v>57</v>
      </c>
      <c r="AB842" s="32"/>
      <c r="AC842" s="37"/>
      <c r="AD842" s="38">
        <v>502</v>
      </c>
      <c r="AE842" s="32"/>
      <c r="AF842" s="32"/>
      <c r="AG842" s="32"/>
      <c r="AH842" s="32"/>
      <c r="AI842" s="30">
        <v>476396</v>
      </c>
      <c r="AJ842" s="30">
        <v>433520</v>
      </c>
      <c r="AK842" s="30">
        <v>0</v>
      </c>
      <c r="AL842" s="30">
        <v>0</v>
      </c>
      <c r="AM842" s="30">
        <v>63200</v>
      </c>
      <c r="AN842" s="30">
        <v>366800</v>
      </c>
      <c r="AO842" s="30">
        <v>430000</v>
      </c>
      <c r="AP842" s="30">
        <f>Lookups!$B$58*0.6</f>
        <v>132535.48800000001</v>
      </c>
      <c r="AQ842" s="30">
        <f>Lookups!$B$58*0.4</f>
        <v>88356.992000000013</v>
      </c>
      <c r="AR842" s="30">
        <f>Lookups!$B$59*Inventory[[#This Row],[LnAcres]]</f>
        <v>-21795.969453044734</v>
      </c>
      <c r="AS842" s="30">
        <f>VLOOKUP(Inventory[[#This Row],[Qlty]],Lookups!$A$66:$E$79,2,FALSE)</f>
        <v>32917.849192000001</v>
      </c>
      <c r="AT842" s="30">
        <f>VLOOKUP(Inventory[[#This Row],[Cnd]],Lookups!$A$80:$E$88,2,FALSE)</f>
        <v>50438.379078999998</v>
      </c>
      <c r="AU842" s="30">
        <f>Inventory[[#This Row],[EffAge]]*Lookups!$B$65</f>
        <v>-2066.0808999999999</v>
      </c>
      <c r="AV842" s="30">
        <f>Inventory[[#This Row],[MainFn]]*Lookups!$B$90</f>
        <v>72271.22004</v>
      </c>
      <c r="AW842" s="30">
        <f>Inventory[[#This Row],[UpprFn]]*Lookups!$B$91</f>
        <v>78765.266325999997</v>
      </c>
      <c r="AX842" s="30">
        <f>Inventory[[#This Row],[Bsmt Area]]*Lookups!$B$95</f>
        <v>0</v>
      </c>
      <c r="AY842" s="30">
        <f>Inventory[[#This Row],[AttGar]]*Lookups!$B$93</f>
        <v>0</v>
      </c>
      <c r="AZ842" s="30">
        <f>ROUND(Inventory[[#This Row],[25Det]],-2)</f>
        <v>0</v>
      </c>
      <c r="BA842" s="30">
        <f>ROUND(SUM(Inventory[[#This Row],[Mdl Qlty]:[Mdl Garage Area]])+Inventory[[#This Row],[Mdl Res Intercept]],-2)</f>
        <v>364900</v>
      </c>
      <c r="BB842" s="30">
        <f>ROUND(Inventory[[#This Row],[Mdl Land Intercept]]+Inventory[[#This Row],[Mdl LnAcres]],-2)</f>
        <v>66600</v>
      </c>
      <c r="BC842" s="30">
        <f>Inventory[[#This Row],[Unadj Res Value]]+Inventory[[#This Row],[Unadj Det Value]]+Inventory[[#This Row],[Unadj Land Value]]</f>
        <v>431500</v>
      </c>
      <c r="BD842" s="30">
        <f>(Inventory[[#This Row],[Unadj Total Value]]-Inventory[[#This Row],[24Final]])/Inventory[[#This Row],[24Final]]</f>
        <v>3.4883720930232558E-3</v>
      </c>
      <c r="BE842" s="30">
        <f>VLOOKUP(Inventory[[#This Row],[Nbhd]],Lookups!$M$3:$P$5,4,FALSE)</f>
        <v>0.99970000000000003</v>
      </c>
      <c r="BF842" s="30">
        <f>VLOOKUP(Inventory[[#This Row],[Qlty]],Lookups!$M$8:$P$22,4,FALSE)</f>
        <v>1.0019</v>
      </c>
      <c r="BG842" s="30">
        <f>VLOOKUP(Inventory[[#This Row],[Cnd]],Lookups!$R$8:$U$17,4,FALSE)</f>
        <v>1.0007999999999999</v>
      </c>
      <c r="BH842" s="30">
        <f>VLOOKUP(Inventory[[#This Row],[LivArea Range]],Lookups!$R$25:$U$43,4,FALSE)</f>
        <v>1.0008999999999999</v>
      </c>
      <c r="BI842" s="30">
        <f>VLOOKUP(Inventory[[#This Row],[Decade]],Lookups!$M$24:$P$40,4,FALSE)</f>
        <v>1.0024</v>
      </c>
      <c r="BJ842" s="30">
        <f>Inventory[[#This Row],[Nbhd Adj]]*0.95</f>
        <v>0.94971499999999998</v>
      </c>
      <c r="BK842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842" s="30">
        <f>ROUND((SUM(Inventory[[#This Row],[Mdl Qlty]:[Mdl Garage Area]])+Inventory[[#This Row],[Mdl Res Intercept]])*Inventory[[#This Row],[Res Adj ]],-2)</f>
        <v>347000</v>
      </c>
      <c r="BM842" s="30">
        <f>ROUND(Inventory[[#This Row],[25Det]]*Inventory[[#This Row],[Det/Nbhd Adj]],-2)</f>
        <v>0</v>
      </c>
      <c r="BN842" s="30">
        <f>Inventory[[#This Row],[Adjusted Res]]+Inventory[[#This Row],[Adj Det ]]</f>
        <v>347000</v>
      </c>
      <c r="BO842" s="30">
        <f>ROUND((Inventory[[#This Row],[Mdl Land Intercept]]+Inventory[[#This Row],[Mdl LnAcres]])*Inventory[[#This Row],[Det/Nbhd Adj]],-2)</f>
        <v>63200</v>
      </c>
      <c r="BP842" s="30">
        <f>Inventory[[#This Row],[Adjusted Impr Total]]+Inventory[[#This Row],[Adjusted Land Total]]</f>
        <v>410200</v>
      </c>
      <c r="BQ842" s="30">
        <f>IFERROR((Inventory[[#This Row],[Adjusted Impr Total]]-Inventory[[#This Row],[24Bldg]])/Inventory[[#This Row],[24Bldg]],0)</f>
        <v>-5.3980370774263903E-2</v>
      </c>
      <c r="BR842" s="43">
        <f>(Inventory[[#This Row],[Adjusted Land Total]]-Inventory[[#This Row],[24Lnd]])/Inventory[[#This Row],[24Lnd]]</f>
        <v>0</v>
      </c>
      <c r="BS842" s="43">
        <f>(Inventory[[#This Row],[Adjusted Total]]-Inventory[[#This Row],[24Final]])/Inventory[[#This Row],[24Final]]</f>
        <v>-4.6046511627906975E-2</v>
      </c>
    </row>
    <row r="843" spans="1:71">
      <c r="A843" s="30">
        <v>2025</v>
      </c>
      <c r="B843" s="31" t="s">
        <v>1358</v>
      </c>
      <c r="C843" s="31">
        <f>LN(Inventory[[#This Row],[Acres]])</f>
        <v>-1.6607312068216509</v>
      </c>
      <c r="D843" s="30">
        <v>0.19</v>
      </c>
      <c r="E843" s="30">
        <v>8262</v>
      </c>
      <c r="F843" s="31" t="s">
        <v>505</v>
      </c>
      <c r="G843" s="31" t="s">
        <v>155</v>
      </c>
      <c r="H843" s="31" t="s">
        <v>5</v>
      </c>
      <c r="I843" s="31" t="s">
        <v>506</v>
      </c>
      <c r="J843" s="31" t="s">
        <v>507</v>
      </c>
      <c r="K843" s="31" t="s">
        <v>157</v>
      </c>
      <c r="L843" s="31" t="s">
        <v>21</v>
      </c>
      <c r="M843" s="31" t="s">
        <v>22</v>
      </c>
      <c r="N843" s="31">
        <v>10</v>
      </c>
      <c r="O843" s="31">
        <f>2024-Inventory[[#This Row],[YrBlt]]</f>
        <v>19</v>
      </c>
      <c r="P843" s="31">
        <f>2024-Inventory[[#This Row],[EffYr]]</f>
        <v>19</v>
      </c>
      <c r="Q843" s="30">
        <v>2005</v>
      </c>
      <c r="R843" s="30">
        <v>2005</v>
      </c>
      <c r="S843" s="30">
        <v>1158</v>
      </c>
      <c r="T843" s="38">
        <v>1322</v>
      </c>
      <c r="U843" s="32"/>
      <c r="V843" s="32"/>
      <c r="W843" s="32"/>
      <c r="X843" s="32">
        <f>Inventory[[#This Row],[Bsmt Area]]-Inventory[[#This Row],[FnBsmt]]</f>
        <v>0</v>
      </c>
      <c r="Y843" s="32">
        <f>Inventory[[#This Row],[MainFn]]+Inventory[[#This Row],[UpprFn]]+Inventory[[#This Row],[AddFn]]+Inventory[[#This Row],[FnBsmt]]</f>
        <v>2480</v>
      </c>
      <c r="Z843" s="32">
        <v>2500</v>
      </c>
      <c r="AA843" s="31" t="s">
        <v>55</v>
      </c>
      <c r="AB843" s="38">
        <v>1</v>
      </c>
      <c r="AC843" s="30">
        <v>300</v>
      </c>
      <c r="AD843" s="38">
        <v>502</v>
      </c>
      <c r="AE843" s="32"/>
      <c r="AF843" s="32"/>
      <c r="AG843" s="32"/>
      <c r="AH843" s="32"/>
      <c r="AI843" s="30">
        <v>503193</v>
      </c>
      <c r="AJ843" s="30">
        <v>457906</v>
      </c>
      <c r="AK843" s="30">
        <v>0</v>
      </c>
      <c r="AL843" s="30">
        <v>0</v>
      </c>
      <c r="AM843" s="30">
        <v>63200</v>
      </c>
      <c r="AN843" s="30">
        <v>379700</v>
      </c>
      <c r="AO843" s="30">
        <v>442900</v>
      </c>
      <c r="AP843" s="30">
        <f>Lookups!$B$58*0.6</f>
        <v>132535.48800000001</v>
      </c>
      <c r="AQ843" s="30">
        <f>Lookups!$B$58*0.4</f>
        <v>88356.992000000013</v>
      </c>
      <c r="AR843" s="30">
        <f>Lookups!$B$59*Inventory[[#This Row],[LnAcres]]</f>
        <v>-21795.969453044734</v>
      </c>
      <c r="AS843" s="30">
        <f>VLOOKUP(Inventory[[#This Row],[Qlty]],Lookups!$A$66:$E$79,2,FALSE)</f>
        <v>32917.849192000001</v>
      </c>
      <c r="AT843" s="30">
        <f>VLOOKUP(Inventory[[#This Row],[Cnd]],Lookups!$A$80:$E$88,2,FALSE)</f>
        <v>50438.379078999998</v>
      </c>
      <c r="AU843" s="30">
        <f>Inventory[[#This Row],[EffAge]]*Lookups!$B$65</f>
        <v>-2066.0808999999999</v>
      </c>
      <c r="AV843" s="30">
        <f>Inventory[[#This Row],[MainFn]]*Lookups!$B$90</f>
        <v>72271.22004</v>
      </c>
      <c r="AW843" s="30">
        <f>Inventory[[#This Row],[UpprFn]]*Lookups!$B$91</f>
        <v>78765.266325999997</v>
      </c>
      <c r="AX843" s="30">
        <f>Inventory[[#This Row],[Bsmt Area]]*Lookups!$B$95</f>
        <v>0</v>
      </c>
      <c r="AY843" s="30">
        <f>Inventory[[#This Row],[AttGar]]*Lookups!$B$93</f>
        <v>10590.309300000001</v>
      </c>
      <c r="AZ843" s="30">
        <f>ROUND(Inventory[[#This Row],[25Det]],-2)</f>
        <v>0</v>
      </c>
      <c r="BA843" s="30">
        <f>ROUND(SUM(Inventory[[#This Row],[Mdl Qlty]:[Mdl Garage Area]])+Inventory[[#This Row],[Mdl Res Intercept]],-2)</f>
        <v>375500</v>
      </c>
      <c r="BB843" s="30">
        <f>ROUND(Inventory[[#This Row],[Mdl Land Intercept]]+Inventory[[#This Row],[Mdl LnAcres]],-2)</f>
        <v>66600</v>
      </c>
      <c r="BC843" s="30">
        <f>Inventory[[#This Row],[Unadj Res Value]]+Inventory[[#This Row],[Unadj Det Value]]+Inventory[[#This Row],[Unadj Land Value]]</f>
        <v>442100</v>
      </c>
      <c r="BD843" s="30">
        <f>(Inventory[[#This Row],[Unadj Total Value]]-Inventory[[#This Row],[24Final]])/Inventory[[#This Row],[24Final]]</f>
        <v>-1.8062768119214269E-3</v>
      </c>
      <c r="BE843" s="30">
        <f>VLOOKUP(Inventory[[#This Row],[Nbhd]],Lookups!$M$3:$P$5,4,FALSE)</f>
        <v>0.99970000000000003</v>
      </c>
      <c r="BF843" s="30">
        <f>VLOOKUP(Inventory[[#This Row],[Qlty]],Lookups!$M$8:$P$22,4,FALSE)</f>
        <v>1.0019</v>
      </c>
      <c r="BG843" s="30">
        <f>VLOOKUP(Inventory[[#This Row],[Cnd]],Lookups!$R$8:$U$17,4,FALSE)</f>
        <v>1.0007999999999999</v>
      </c>
      <c r="BH843" s="30">
        <f>VLOOKUP(Inventory[[#This Row],[LivArea Range]],Lookups!$R$25:$U$43,4,FALSE)</f>
        <v>1.0008999999999999</v>
      </c>
      <c r="BI843" s="30">
        <f>VLOOKUP(Inventory[[#This Row],[Decade]],Lookups!$M$24:$P$40,4,FALSE)</f>
        <v>1.0024</v>
      </c>
      <c r="BJ843" s="30">
        <f>Inventory[[#This Row],[Nbhd Adj]]*0.95</f>
        <v>0.94971499999999998</v>
      </c>
      <c r="BK843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843" s="30">
        <f>ROUND((SUM(Inventory[[#This Row],[Mdl Qlty]:[Mdl Garage Area]])+Inventory[[#This Row],[Mdl Res Intercept]])*Inventory[[#This Row],[Res Adj ]],-2)</f>
        <v>357100</v>
      </c>
      <c r="BM843" s="30">
        <f>ROUND(Inventory[[#This Row],[25Det]]*Inventory[[#This Row],[Det/Nbhd Adj]],-2)</f>
        <v>0</v>
      </c>
      <c r="BN843" s="30">
        <f>Inventory[[#This Row],[Adjusted Res]]+Inventory[[#This Row],[Adj Det ]]</f>
        <v>357100</v>
      </c>
      <c r="BO843" s="30">
        <f>ROUND((Inventory[[#This Row],[Mdl Land Intercept]]+Inventory[[#This Row],[Mdl LnAcres]])*Inventory[[#This Row],[Det/Nbhd Adj]],-2)</f>
        <v>63200</v>
      </c>
      <c r="BP843" s="30">
        <f>Inventory[[#This Row],[Adjusted Impr Total]]+Inventory[[#This Row],[Adjusted Land Total]]</f>
        <v>420300</v>
      </c>
      <c r="BQ843" s="30">
        <f>IFERROR((Inventory[[#This Row],[Adjusted Impr Total]]-Inventory[[#This Row],[24Bldg]])/Inventory[[#This Row],[24Bldg]],0)</f>
        <v>-5.9520674216486699E-2</v>
      </c>
      <c r="BR843" s="43">
        <f>(Inventory[[#This Row],[Adjusted Land Total]]-Inventory[[#This Row],[24Lnd]])/Inventory[[#This Row],[24Lnd]]</f>
        <v>0</v>
      </c>
      <c r="BS843" s="43">
        <f>(Inventory[[#This Row],[Adjusted Total]]-Inventory[[#This Row],[24Final]])/Inventory[[#This Row],[24Final]]</f>
        <v>-5.1027319936780315E-2</v>
      </c>
    </row>
    <row r="844" spans="1:71">
      <c r="A844" s="30">
        <v>2025</v>
      </c>
      <c r="B844" s="31" t="s">
        <v>1359</v>
      </c>
      <c r="C844" s="31">
        <f>LN(Inventory[[#This Row],[Acres]])</f>
        <v>-1.6607312068216509</v>
      </c>
      <c r="D844" s="30">
        <v>0.19</v>
      </c>
      <c r="E844" s="30">
        <v>8443</v>
      </c>
      <c r="F844" s="31" t="s">
        <v>505</v>
      </c>
      <c r="G844" s="31" t="s">
        <v>155</v>
      </c>
      <c r="H844" s="31" t="s">
        <v>5</v>
      </c>
      <c r="I844" s="31" t="s">
        <v>506</v>
      </c>
      <c r="J844" s="31" t="s">
        <v>507</v>
      </c>
      <c r="K844" s="31" t="s">
        <v>330</v>
      </c>
      <c r="L844" s="31" t="s">
        <v>21</v>
      </c>
      <c r="M844" s="31" t="s">
        <v>20</v>
      </c>
      <c r="N844" s="31">
        <v>10</v>
      </c>
      <c r="O844" s="31">
        <f>2024-Inventory[[#This Row],[YrBlt]]</f>
        <v>19</v>
      </c>
      <c r="P844" s="31">
        <f>2024-Inventory[[#This Row],[EffYr]]</f>
        <v>19</v>
      </c>
      <c r="Q844" s="30">
        <v>2005</v>
      </c>
      <c r="R844" s="30">
        <v>2005</v>
      </c>
      <c r="S844" s="30">
        <v>1116</v>
      </c>
      <c r="T844" s="38">
        <v>1116</v>
      </c>
      <c r="U844" s="32"/>
      <c r="V844" s="32"/>
      <c r="W844" s="32"/>
      <c r="X844" s="32">
        <f>Inventory[[#This Row],[Bsmt Area]]-Inventory[[#This Row],[FnBsmt]]</f>
        <v>0</v>
      </c>
      <c r="Y844" s="32">
        <f>Inventory[[#This Row],[MainFn]]+Inventory[[#This Row],[UpprFn]]+Inventory[[#This Row],[AddFn]]+Inventory[[#This Row],[FnBsmt]]</f>
        <v>2232</v>
      </c>
      <c r="Z844" s="32">
        <v>2500</v>
      </c>
      <c r="AA844" s="31" t="s">
        <v>55</v>
      </c>
      <c r="AB844" s="37"/>
      <c r="AC844" s="30">
        <v>440</v>
      </c>
      <c r="AD844" s="32"/>
      <c r="AE844" s="32"/>
      <c r="AF844" s="32"/>
      <c r="AG844" s="32"/>
      <c r="AH844" s="32"/>
      <c r="AI844" s="30">
        <v>439327</v>
      </c>
      <c r="AJ844" s="30">
        <v>399788</v>
      </c>
      <c r="AK844" s="30">
        <v>0</v>
      </c>
      <c r="AL844" s="30">
        <v>0</v>
      </c>
      <c r="AM844" s="30">
        <v>63200</v>
      </c>
      <c r="AN844" s="30">
        <v>334500</v>
      </c>
      <c r="AO844" s="30">
        <v>397700</v>
      </c>
      <c r="AP844" s="30">
        <f>Lookups!$B$58*0.6</f>
        <v>132535.48800000001</v>
      </c>
      <c r="AQ844" s="30">
        <f>Lookups!$B$58*0.4</f>
        <v>88356.992000000013</v>
      </c>
      <c r="AR844" s="30">
        <f>Lookups!$B$59*Inventory[[#This Row],[LnAcres]]</f>
        <v>-21795.969453044734</v>
      </c>
      <c r="AS844" s="30">
        <f>VLOOKUP(Inventory[[#This Row],[Qlty]],Lookups!$A$66:$E$79,2,FALSE)</f>
        <v>32917.849192000001</v>
      </c>
      <c r="AT844" s="30">
        <f>VLOOKUP(Inventory[[#This Row],[Cnd]],Lookups!$A$80:$E$88,2,FALSE)</f>
        <v>30300.329274</v>
      </c>
      <c r="AU844" s="30">
        <f>Inventory[[#This Row],[EffAge]]*Lookups!$B$65</f>
        <v>-2066.0808999999999</v>
      </c>
      <c r="AV844" s="30">
        <f>Inventory[[#This Row],[MainFn]]*Lookups!$B$90</f>
        <v>69649.984080000009</v>
      </c>
      <c r="AW844" s="30">
        <f>Inventory[[#This Row],[UpprFn]]*Lookups!$B$91</f>
        <v>66491.707427999994</v>
      </c>
      <c r="AX844" s="30">
        <f>Inventory[[#This Row],[Bsmt Area]]*Lookups!$B$95</f>
        <v>0</v>
      </c>
      <c r="AY844" s="30">
        <f>Inventory[[#This Row],[AttGar]]*Lookups!$B$93</f>
        <v>15532.453640000002</v>
      </c>
      <c r="AZ844" s="30">
        <f>ROUND(Inventory[[#This Row],[25Det]],-2)</f>
        <v>0</v>
      </c>
      <c r="BA844" s="30">
        <f>ROUND(SUM(Inventory[[#This Row],[Mdl Qlty]:[Mdl Garage Area]])+Inventory[[#This Row],[Mdl Res Intercept]],-2)</f>
        <v>345400</v>
      </c>
      <c r="BB844" s="30">
        <f>ROUND(Inventory[[#This Row],[Mdl Land Intercept]]+Inventory[[#This Row],[Mdl LnAcres]],-2)</f>
        <v>66600</v>
      </c>
      <c r="BC844" s="30">
        <f>Inventory[[#This Row],[Unadj Res Value]]+Inventory[[#This Row],[Unadj Det Value]]+Inventory[[#This Row],[Unadj Land Value]]</f>
        <v>412000</v>
      </c>
      <c r="BD844" s="30">
        <f>(Inventory[[#This Row],[Unadj Total Value]]-Inventory[[#This Row],[24Final]])/Inventory[[#This Row],[24Final]]</f>
        <v>3.5956751320090519E-2</v>
      </c>
      <c r="BE844" s="30">
        <f>VLOOKUP(Inventory[[#This Row],[Nbhd]],Lookups!$M$3:$P$5,4,FALSE)</f>
        <v>0.99970000000000003</v>
      </c>
      <c r="BF844" s="30">
        <f>VLOOKUP(Inventory[[#This Row],[Qlty]],Lookups!$M$8:$P$22,4,FALSE)</f>
        <v>1.0019</v>
      </c>
      <c r="BG844" s="30">
        <f>VLOOKUP(Inventory[[#This Row],[Cnd]],Lookups!$R$8:$U$17,4,FALSE)</f>
        <v>0.997</v>
      </c>
      <c r="BH844" s="30">
        <f>VLOOKUP(Inventory[[#This Row],[LivArea Range]],Lookups!$R$25:$U$43,4,FALSE)</f>
        <v>1.0008999999999999</v>
      </c>
      <c r="BI844" s="30">
        <f>VLOOKUP(Inventory[[#This Row],[Decade]],Lookups!$M$24:$P$40,4,FALSE)</f>
        <v>1.0024</v>
      </c>
      <c r="BJ844" s="30">
        <f>Inventory[[#This Row],[Nbhd Adj]]*0.95</f>
        <v>0.94971499999999998</v>
      </c>
      <c r="BK844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844" s="30">
        <f>ROUND((SUM(Inventory[[#This Row],[Mdl Qlty]:[Mdl Garage Area]])+Inventory[[#This Row],[Mdl Res Intercept]])*Inventory[[#This Row],[Res Adj ]],-2)</f>
        <v>328200</v>
      </c>
      <c r="BM844" s="30">
        <f>ROUND(Inventory[[#This Row],[25Det]]*Inventory[[#This Row],[Det/Nbhd Adj]],-2)</f>
        <v>0</v>
      </c>
      <c r="BN844" s="30">
        <f>Inventory[[#This Row],[Adjusted Res]]+Inventory[[#This Row],[Adj Det ]]</f>
        <v>328200</v>
      </c>
      <c r="BO844" s="30">
        <f>ROUND((Inventory[[#This Row],[Mdl Land Intercept]]+Inventory[[#This Row],[Mdl LnAcres]])*Inventory[[#This Row],[Det/Nbhd Adj]],-2)</f>
        <v>63200</v>
      </c>
      <c r="BP844" s="30">
        <f>Inventory[[#This Row],[Adjusted Impr Total]]+Inventory[[#This Row],[Adjusted Land Total]]</f>
        <v>391400</v>
      </c>
      <c r="BQ844" s="30">
        <f>IFERROR((Inventory[[#This Row],[Adjusted Impr Total]]-Inventory[[#This Row],[24Bldg]])/Inventory[[#This Row],[24Bldg]],0)</f>
        <v>-1.883408071748879E-2</v>
      </c>
      <c r="BR844" s="43">
        <f>(Inventory[[#This Row],[Adjusted Land Total]]-Inventory[[#This Row],[24Lnd]])/Inventory[[#This Row],[24Lnd]]</f>
        <v>0</v>
      </c>
      <c r="BS844" s="43">
        <f>(Inventory[[#This Row],[Adjusted Total]]-Inventory[[#This Row],[24Final]])/Inventory[[#This Row],[24Final]]</f>
        <v>-1.5841086245914005E-2</v>
      </c>
    </row>
    <row r="845" spans="1:71">
      <c r="A845" s="30">
        <v>2025</v>
      </c>
      <c r="B845" s="31" t="s">
        <v>1360</v>
      </c>
      <c r="C845" s="31">
        <f>LN(Inventory[[#This Row],[Acres]])</f>
        <v>-1.6607312068216509</v>
      </c>
      <c r="D845" s="30">
        <v>0.19</v>
      </c>
      <c r="E845" s="30">
        <v>8255</v>
      </c>
      <c r="F845" s="31" t="s">
        <v>505</v>
      </c>
      <c r="G845" s="31" t="s">
        <v>155</v>
      </c>
      <c r="H845" s="31" t="s">
        <v>5</v>
      </c>
      <c r="I845" s="31" t="s">
        <v>506</v>
      </c>
      <c r="J845" s="31" t="s">
        <v>507</v>
      </c>
      <c r="K845" s="31" t="s">
        <v>157</v>
      </c>
      <c r="L845" s="31" t="s">
        <v>21</v>
      </c>
      <c r="M845" s="31" t="s">
        <v>22</v>
      </c>
      <c r="N845" s="31">
        <v>10</v>
      </c>
      <c r="O845" s="31">
        <f>2024-Inventory[[#This Row],[YrBlt]]</f>
        <v>19</v>
      </c>
      <c r="P845" s="31">
        <f>2024-Inventory[[#This Row],[EffYr]]</f>
        <v>19</v>
      </c>
      <c r="Q845" s="30">
        <v>2005</v>
      </c>
      <c r="R845" s="30">
        <v>2005</v>
      </c>
      <c r="S845" s="30">
        <v>1158</v>
      </c>
      <c r="T845" s="30">
        <v>1322</v>
      </c>
      <c r="U845" s="32"/>
      <c r="V845" s="32"/>
      <c r="W845" s="32"/>
      <c r="X845" s="32">
        <f>Inventory[[#This Row],[Bsmt Area]]-Inventory[[#This Row],[FnBsmt]]</f>
        <v>0</v>
      </c>
      <c r="Y845" s="32">
        <f>Inventory[[#This Row],[MainFn]]+Inventory[[#This Row],[UpprFn]]+Inventory[[#This Row],[AddFn]]+Inventory[[#This Row],[FnBsmt]]</f>
        <v>2480</v>
      </c>
      <c r="Z845" s="32">
        <v>2500</v>
      </c>
      <c r="AA845" s="31" t="s">
        <v>56</v>
      </c>
      <c r="AB845" s="38">
        <v>1</v>
      </c>
      <c r="AC845" s="30">
        <v>300</v>
      </c>
      <c r="AD845" s="30">
        <v>502</v>
      </c>
      <c r="AE845" s="32"/>
      <c r="AF845" s="32"/>
      <c r="AG845" s="32"/>
      <c r="AH845" s="32"/>
      <c r="AI845" s="30">
        <v>519514</v>
      </c>
      <c r="AJ845" s="30">
        <v>472758</v>
      </c>
      <c r="AK845" s="30">
        <v>0</v>
      </c>
      <c r="AL845" s="30">
        <v>0</v>
      </c>
      <c r="AM845" s="30">
        <v>63200</v>
      </c>
      <c r="AN845" s="30">
        <v>401900</v>
      </c>
      <c r="AO845" s="30">
        <v>465100</v>
      </c>
      <c r="AP845" s="30">
        <f>Lookups!$B$58*0.6</f>
        <v>132535.48800000001</v>
      </c>
      <c r="AQ845" s="30">
        <f>Lookups!$B$58*0.4</f>
        <v>88356.992000000013</v>
      </c>
      <c r="AR845" s="30">
        <f>Lookups!$B$59*Inventory[[#This Row],[LnAcres]]</f>
        <v>-21795.969453044734</v>
      </c>
      <c r="AS845" s="30">
        <f>VLOOKUP(Inventory[[#This Row],[Qlty]],Lookups!$A$66:$E$79,2,FALSE)</f>
        <v>32917.849192000001</v>
      </c>
      <c r="AT845" s="30">
        <f>VLOOKUP(Inventory[[#This Row],[Cnd]],Lookups!$A$80:$E$88,2,FALSE)</f>
        <v>50438.379078999998</v>
      </c>
      <c r="AU845" s="30">
        <f>Inventory[[#This Row],[EffAge]]*Lookups!$B$65</f>
        <v>-2066.0808999999999</v>
      </c>
      <c r="AV845" s="30">
        <f>Inventory[[#This Row],[MainFn]]*Lookups!$B$90</f>
        <v>72271.22004</v>
      </c>
      <c r="AW845" s="30">
        <f>Inventory[[#This Row],[UpprFn]]*Lookups!$B$91</f>
        <v>78765.266325999997</v>
      </c>
      <c r="AX845" s="30">
        <f>Inventory[[#This Row],[Bsmt Area]]*Lookups!$B$95</f>
        <v>0</v>
      </c>
      <c r="AY845" s="30">
        <f>Inventory[[#This Row],[AttGar]]*Lookups!$B$93</f>
        <v>10590.309300000001</v>
      </c>
      <c r="AZ845" s="30">
        <f>ROUND(Inventory[[#This Row],[25Det]],-2)</f>
        <v>0</v>
      </c>
      <c r="BA845" s="30">
        <f>ROUND(SUM(Inventory[[#This Row],[Mdl Qlty]:[Mdl Garage Area]])+Inventory[[#This Row],[Mdl Res Intercept]],-2)</f>
        <v>375500</v>
      </c>
      <c r="BB845" s="30">
        <f>ROUND(Inventory[[#This Row],[Mdl Land Intercept]]+Inventory[[#This Row],[Mdl LnAcres]],-2)</f>
        <v>66600</v>
      </c>
      <c r="BC845" s="30">
        <f>Inventory[[#This Row],[Unadj Res Value]]+Inventory[[#This Row],[Unadj Det Value]]+Inventory[[#This Row],[Unadj Land Value]]</f>
        <v>442100</v>
      </c>
      <c r="BD845" s="30">
        <f>(Inventory[[#This Row],[Unadj Total Value]]-Inventory[[#This Row],[24Final]])/Inventory[[#This Row],[24Final]]</f>
        <v>-4.9451730810578368E-2</v>
      </c>
      <c r="BE845" s="30">
        <f>VLOOKUP(Inventory[[#This Row],[Nbhd]],Lookups!$M$3:$P$5,4,FALSE)</f>
        <v>0.99970000000000003</v>
      </c>
      <c r="BF845" s="30">
        <f>VLOOKUP(Inventory[[#This Row],[Qlty]],Lookups!$M$8:$P$22,4,FALSE)</f>
        <v>1.0019</v>
      </c>
      <c r="BG845" s="30">
        <f>VLOOKUP(Inventory[[#This Row],[Cnd]],Lookups!$R$8:$U$17,4,FALSE)</f>
        <v>1.0007999999999999</v>
      </c>
      <c r="BH845" s="30">
        <f>VLOOKUP(Inventory[[#This Row],[LivArea Range]],Lookups!$R$25:$U$43,4,FALSE)</f>
        <v>1.0008999999999999</v>
      </c>
      <c r="BI845" s="30">
        <f>VLOOKUP(Inventory[[#This Row],[Decade]],Lookups!$M$24:$P$40,4,FALSE)</f>
        <v>1.0024</v>
      </c>
      <c r="BJ845" s="30">
        <f>Inventory[[#This Row],[Nbhd Adj]]*0.95</f>
        <v>0.94971499999999998</v>
      </c>
      <c r="BK845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845" s="30">
        <f>ROUND((SUM(Inventory[[#This Row],[Mdl Qlty]:[Mdl Garage Area]])+Inventory[[#This Row],[Mdl Res Intercept]])*Inventory[[#This Row],[Res Adj ]],-2)</f>
        <v>357100</v>
      </c>
      <c r="BM845" s="30">
        <f>ROUND(Inventory[[#This Row],[25Det]]*Inventory[[#This Row],[Det/Nbhd Adj]],-2)</f>
        <v>0</v>
      </c>
      <c r="BN845" s="30">
        <f>Inventory[[#This Row],[Adjusted Res]]+Inventory[[#This Row],[Adj Det ]]</f>
        <v>357100</v>
      </c>
      <c r="BO845" s="30">
        <f>ROUND((Inventory[[#This Row],[Mdl Land Intercept]]+Inventory[[#This Row],[Mdl LnAcres]])*Inventory[[#This Row],[Det/Nbhd Adj]],-2)</f>
        <v>63200</v>
      </c>
      <c r="BP845" s="30">
        <f>Inventory[[#This Row],[Adjusted Impr Total]]+Inventory[[#This Row],[Adjusted Land Total]]</f>
        <v>420300</v>
      </c>
      <c r="BQ845" s="30">
        <f>IFERROR((Inventory[[#This Row],[Adjusted Impr Total]]-Inventory[[#This Row],[24Bldg]])/Inventory[[#This Row],[24Bldg]],0)</f>
        <v>-0.11147051505349589</v>
      </c>
      <c r="BR845" s="43">
        <f>(Inventory[[#This Row],[Adjusted Land Total]]-Inventory[[#This Row],[24Lnd]])/Inventory[[#This Row],[24Lnd]]</f>
        <v>0</v>
      </c>
      <c r="BS845" s="43">
        <f>(Inventory[[#This Row],[Adjusted Total]]-Inventory[[#This Row],[24Final]])/Inventory[[#This Row],[24Final]]</f>
        <v>-9.6323371317996134E-2</v>
      </c>
    </row>
    <row r="846" spans="1:71">
      <c r="A846" s="30">
        <v>2025</v>
      </c>
      <c r="B846" s="31" t="s">
        <v>1361</v>
      </c>
      <c r="C846" s="31">
        <f>LN(Inventory[[#This Row],[Acres]])</f>
        <v>-1.6607312068216509</v>
      </c>
      <c r="D846" s="30">
        <v>0.19</v>
      </c>
      <c r="E846" s="30">
        <v>8258</v>
      </c>
      <c r="F846" s="31" t="s">
        <v>505</v>
      </c>
      <c r="G846" s="31" t="s">
        <v>155</v>
      </c>
      <c r="H846" s="31" t="s">
        <v>5</v>
      </c>
      <c r="I846" s="31" t="s">
        <v>506</v>
      </c>
      <c r="J846" s="31" t="s">
        <v>507</v>
      </c>
      <c r="K846" s="31" t="s">
        <v>157</v>
      </c>
      <c r="L846" s="31" t="s">
        <v>21</v>
      </c>
      <c r="M846" s="31" t="s">
        <v>22</v>
      </c>
      <c r="N846" s="31">
        <v>10</v>
      </c>
      <c r="O846" s="31">
        <f>2024-Inventory[[#This Row],[YrBlt]]</f>
        <v>19</v>
      </c>
      <c r="P846" s="31">
        <f>2024-Inventory[[#This Row],[EffYr]]</f>
        <v>19</v>
      </c>
      <c r="Q846" s="30">
        <v>2005</v>
      </c>
      <c r="R846" s="30">
        <v>2005</v>
      </c>
      <c r="S846" s="30">
        <v>1116</v>
      </c>
      <c r="T846" s="38">
        <v>1116</v>
      </c>
      <c r="U846" s="32"/>
      <c r="V846" s="32"/>
      <c r="W846" s="32"/>
      <c r="X846" s="32">
        <f>Inventory[[#This Row],[Bsmt Area]]-Inventory[[#This Row],[FnBsmt]]</f>
        <v>0</v>
      </c>
      <c r="Y846" s="32">
        <f>Inventory[[#This Row],[MainFn]]+Inventory[[#This Row],[UpprFn]]+Inventory[[#This Row],[AddFn]]+Inventory[[#This Row],[FnBsmt]]</f>
        <v>2232</v>
      </c>
      <c r="Z846" s="32">
        <v>2500</v>
      </c>
      <c r="AA846" s="31" t="s">
        <v>56</v>
      </c>
      <c r="AB846" s="38">
        <v>1</v>
      </c>
      <c r="AC846" s="30">
        <v>440</v>
      </c>
      <c r="AD846" s="32"/>
      <c r="AE846" s="32"/>
      <c r="AF846" s="32"/>
      <c r="AG846" s="32"/>
      <c r="AH846" s="32"/>
      <c r="AI846" s="30">
        <v>445974</v>
      </c>
      <c r="AJ846" s="30">
        <v>405836</v>
      </c>
      <c r="AK846" s="30">
        <v>0</v>
      </c>
      <c r="AL846" s="30">
        <v>0</v>
      </c>
      <c r="AM846" s="30">
        <v>63200</v>
      </c>
      <c r="AN846" s="30">
        <v>350000</v>
      </c>
      <c r="AO846" s="30">
        <v>413200</v>
      </c>
      <c r="AP846" s="30">
        <f>Lookups!$B$58*0.6</f>
        <v>132535.48800000001</v>
      </c>
      <c r="AQ846" s="30">
        <f>Lookups!$B$58*0.4</f>
        <v>88356.992000000013</v>
      </c>
      <c r="AR846" s="30">
        <f>Lookups!$B$59*Inventory[[#This Row],[LnAcres]]</f>
        <v>-21795.969453044734</v>
      </c>
      <c r="AS846" s="30">
        <f>VLOOKUP(Inventory[[#This Row],[Qlty]],Lookups!$A$66:$E$79,2,FALSE)</f>
        <v>32917.849192000001</v>
      </c>
      <c r="AT846" s="30">
        <f>VLOOKUP(Inventory[[#This Row],[Cnd]],Lookups!$A$80:$E$88,2,FALSE)</f>
        <v>50438.379078999998</v>
      </c>
      <c r="AU846" s="30">
        <f>Inventory[[#This Row],[EffAge]]*Lookups!$B$65</f>
        <v>-2066.0808999999999</v>
      </c>
      <c r="AV846" s="30">
        <f>Inventory[[#This Row],[MainFn]]*Lookups!$B$90</f>
        <v>69649.984080000009</v>
      </c>
      <c r="AW846" s="30">
        <f>Inventory[[#This Row],[UpprFn]]*Lookups!$B$91</f>
        <v>66491.707427999994</v>
      </c>
      <c r="AX846" s="30">
        <f>Inventory[[#This Row],[Bsmt Area]]*Lookups!$B$95</f>
        <v>0</v>
      </c>
      <c r="AY846" s="30">
        <f>Inventory[[#This Row],[AttGar]]*Lookups!$B$93</f>
        <v>15532.453640000002</v>
      </c>
      <c r="AZ846" s="30">
        <f>ROUND(Inventory[[#This Row],[25Det]],-2)</f>
        <v>0</v>
      </c>
      <c r="BA846" s="30">
        <f>ROUND(SUM(Inventory[[#This Row],[Mdl Qlty]:[Mdl Garage Area]])+Inventory[[#This Row],[Mdl Res Intercept]],-2)</f>
        <v>365500</v>
      </c>
      <c r="BB846" s="30">
        <f>ROUND(Inventory[[#This Row],[Mdl Land Intercept]]+Inventory[[#This Row],[Mdl LnAcres]],-2)</f>
        <v>66600</v>
      </c>
      <c r="BC846" s="30">
        <f>Inventory[[#This Row],[Unadj Res Value]]+Inventory[[#This Row],[Unadj Det Value]]+Inventory[[#This Row],[Unadj Land Value]]</f>
        <v>432100</v>
      </c>
      <c r="BD846" s="30">
        <f>(Inventory[[#This Row],[Unadj Total Value]]-Inventory[[#This Row],[24Final]])/Inventory[[#This Row],[24Final]]</f>
        <v>4.5740561471442398E-2</v>
      </c>
      <c r="BE846" s="30">
        <f>VLOOKUP(Inventory[[#This Row],[Nbhd]],Lookups!$M$3:$P$5,4,FALSE)</f>
        <v>0.99970000000000003</v>
      </c>
      <c r="BF846" s="30">
        <f>VLOOKUP(Inventory[[#This Row],[Qlty]],Lookups!$M$8:$P$22,4,FALSE)</f>
        <v>1.0019</v>
      </c>
      <c r="BG846" s="30">
        <f>VLOOKUP(Inventory[[#This Row],[Cnd]],Lookups!$R$8:$U$17,4,FALSE)</f>
        <v>1.0007999999999999</v>
      </c>
      <c r="BH846" s="30">
        <f>VLOOKUP(Inventory[[#This Row],[LivArea Range]],Lookups!$R$25:$U$43,4,FALSE)</f>
        <v>1.0008999999999999</v>
      </c>
      <c r="BI846" s="30">
        <f>VLOOKUP(Inventory[[#This Row],[Decade]],Lookups!$M$24:$P$40,4,FALSE)</f>
        <v>1.0024</v>
      </c>
      <c r="BJ846" s="30">
        <f>Inventory[[#This Row],[Nbhd Adj]]*0.95</f>
        <v>0.94971499999999998</v>
      </c>
      <c r="BK846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846" s="30">
        <f>ROUND((SUM(Inventory[[#This Row],[Mdl Qlty]:[Mdl Garage Area]])+Inventory[[#This Row],[Mdl Res Intercept]])*Inventory[[#This Row],[Res Adj ]],-2)</f>
        <v>347600</v>
      </c>
      <c r="BM846" s="30">
        <f>ROUND(Inventory[[#This Row],[25Det]]*Inventory[[#This Row],[Det/Nbhd Adj]],-2)</f>
        <v>0</v>
      </c>
      <c r="BN846" s="30">
        <f>Inventory[[#This Row],[Adjusted Res]]+Inventory[[#This Row],[Adj Det ]]</f>
        <v>347600</v>
      </c>
      <c r="BO846" s="30">
        <f>ROUND((Inventory[[#This Row],[Mdl Land Intercept]]+Inventory[[#This Row],[Mdl LnAcres]])*Inventory[[#This Row],[Det/Nbhd Adj]],-2)</f>
        <v>63200</v>
      </c>
      <c r="BP846" s="30">
        <f>Inventory[[#This Row],[Adjusted Impr Total]]+Inventory[[#This Row],[Adjusted Land Total]]</f>
        <v>410800</v>
      </c>
      <c r="BQ846" s="30">
        <f>IFERROR((Inventory[[#This Row],[Adjusted Impr Total]]-Inventory[[#This Row],[24Bldg]])/Inventory[[#This Row],[24Bldg]],0)</f>
        <v>-6.8571428571428568E-3</v>
      </c>
      <c r="BR846" s="43">
        <f>(Inventory[[#This Row],[Adjusted Land Total]]-Inventory[[#This Row],[24Lnd]])/Inventory[[#This Row],[24Lnd]]</f>
        <v>0</v>
      </c>
      <c r="BS846" s="43">
        <f>(Inventory[[#This Row],[Adjusted Total]]-Inventory[[#This Row],[24Final]])/Inventory[[#This Row],[24Final]]</f>
        <v>-5.8083252662149082E-3</v>
      </c>
    </row>
    <row r="847" spans="1:71">
      <c r="A847" s="30">
        <v>2025</v>
      </c>
      <c r="B847" s="31" t="s">
        <v>1362</v>
      </c>
      <c r="C847" s="31">
        <f>LN(Inventory[[#This Row],[Acres]])</f>
        <v>-1.6094379124341003</v>
      </c>
      <c r="D847" s="30">
        <v>0.2</v>
      </c>
      <c r="E847" s="30">
        <v>8552</v>
      </c>
      <c r="F847" s="31" t="s">
        <v>505</v>
      </c>
      <c r="G847" s="31" t="s">
        <v>155</v>
      </c>
      <c r="H847" s="31" t="s">
        <v>5</v>
      </c>
      <c r="I847" s="31" t="s">
        <v>506</v>
      </c>
      <c r="J847" s="31" t="s">
        <v>507</v>
      </c>
      <c r="K847" s="31" t="s">
        <v>157</v>
      </c>
      <c r="L847" s="31" t="s">
        <v>21</v>
      </c>
      <c r="M847" s="31" t="s">
        <v>20</v>
      </c>
      <c r="N847" s="31">
        <v>10</v>
      </c>
      <c r="O847" s="31">
        <f>2024-Inventory[[#This Row],[YrBlt]]</f>
        <v>19</v>
      </c>
      <c r="P847" s="31">
        <f>2024-Inventory[[#This Row],[EffYr]]</f>
        <v>19</v>
      </c>
      <c r="Q847" s="30">
        <v>2005</v>
      </c>
      <c r="R847" s="30">
        <v>2005</v>
      </c>
      <c r="S847" s="30">
        <v>1116</v>
      </c>
      <c r="T847" s="30">
        <v>1116</v>
      </c>
      <c r="U847" s="32"/>
      <c r="V847" s="32"/>
      <c r="W847" s="32"/>
      <c r="X847" s="32">
        <f>Inventory[[#This Row],[Bsmt Area]]-Inventory[[#This Row],[FnBsmt]]</f>
        <v>0</v>
      </c>
      <c r="Y847" s="32">
        <f>Inventory[[#This Row],[MainFn]]+Inventory[[#This Row],[UpprFn]]+Inventory[[#This Row],[AddFn]]+Inventory[[#This Row],[FnBsmt]]</f>
        <v>2232</v>
      </c>
      <c r="Z847" s="32">
        <v>2500</v>
      </c>
      <c r="AA847" s="31" t="s">
        <v>55</v>
      </c>
      <c r="AB847" s="37"/>
      <c r="AC847" s="30">
        <v>440</v>
      </c>
      <c r="AD847" s="37"/>
      <c r="AE847" s="32"/>
      <c r="AF847" s="32"/>
      <c r="AG847" s="32"/>
      <c r="AH847" s="32"/>
      <c r="AI847" s="30">
        <v>449012</v>
      </c>
      <c r="AJ847" s="30">
        <v>408601</v>
      </c>
      <c r="AK847" s="30">
        <v>0</v>
      </c>
      <c r="AL847" s="30">
        <v>0</v>
      </c>
      <c r="AM847" s="30">
        <v>64000</v>
      </c>
      <c r="AN847" s="30">
        <v>334500</v>
      </c>
      <c r="AO847" s="30">
        <v>398500</v>
      </c>
      <c r="AP847" s="30">
        <f>Lookups!$B$58*0.6</f>
        <v>132535.48800000001</v>
      </c>
      <c r="AQ847" s="30">
        <f>Lookups!$B$58*0.4</f>
        <v>88356.992000000013</v>
      </c>
      <c r="AR847" s="30">
        <f>Lookups!$B$59*Inventory[[#This Row],[LnAcres]]</f>
        <v>-21122.779792355024</v>
      </c>
      <c r="AS847" s="30">
        <f>VLOOKUP(Inventory[[#This Row],[Qlty]],Lookups!$A$66:$E$79,2,FALSE)</f>
        <v>32917.849192000001</v>
      </c>
      <c r="AT847" s="30">
        <f>VLOOKUP(Inventory[[#This Row],[Cnd]],Lookups!$A$80:$E$88,2,FALSE)</f>
        <v>30300.329274</v>
      </c>
      <c r="AU847" s="30">
        <f>Inventory[[#This Row],[EffAge]]*Lookups!$B$65</f>
        <v>-2066.0808999999999</v>
      </c>
      <c r="AV847" s="30">
        <f>Inventory[[#This Row],[MainFn]]*Lookups!$B$90</f>
        <v>69649.984080000009</v>
      </c>
      <c r="AW847" s="30">
        <f>Inventory[[#This Row],[UpprFn]]*Lookups!$B$91</f>
        <v>66491.707427999994</v>
      </c>
      <c r="AX847" s="30">
        <f>Inventory[[#This Row],[Bsmt Area]]*Lookups!$B$95</f>
        <v>0</v>
      </c>
      <c r="AY847" s="30">
        <f>Inventory[[#This Row],[AttGar]]*Lookups!$B$93</f>
        <v>15532.453640000002</v>
      </c>
      <c r="AZ847" s="30">
        <f>ROUND(Inventory[[#This Row],[25Det]],-2)</f>
        <v>0</v>
      </c>
      <c r="BA847" s="30">
        <f>ROUND(SUM(Inventory[[#This Row],[Mdl Qlty]:[Mdl Garage Area]])+Inventory[[#This Row],[Mdl Res Intercept]],-2)</f>
        <v>345400</v>
      </c>
      <c r="BB847" s="30">
        <f>ROUND(Inventory[[#This Row],[Mdl Land Intercept]]+Inventory[[#This Row],[Mdl LnAcres]],-2)</f>
        <v>67200</v>
      </c>
      <c r="BC847" s="30">
        <f>Inventory[[#This Row],[Unadj Res Value]]+Inventory[[#This Row],[Unadj Det Value]]+Inventory[[#This Row],[Unadj Land Value]]</f>
        <v>412600</v>
      </c>
      <c r="BD847" s="30">
        <f>(Inventory[[#This Row],[Unadj Total Value]]-Inventory[[#This Row],[24Final]])/Inventory[[#This Row],[24Final]]</f>
        <v>3.5382685069008782E-2</v>
      </c>
      <c r="BE847" s="30">
        <f>VLOOKUP(Inventory[[#This Row],[Nbhd]],Lookups!$M$3:$P$5,4,FALSE)</f>
        <v>0.99970000000000003</v>
      </c>
      <c r="BF847" s="30">
        <f>VLOOKUP(Inventory[[#This Row],[Qlty]],Lookups!$M$8:$P$22,4,FALSE)</f>
        <v>1.0019</v>
      </c>
      <c r="BG847" s="30">
        <f>VLOOKUP(Inventory[[#This Row],[Cnd]],Lookups!$R$8:$U$17,4,FALSE)</f>
        <v>0.997</v>
      </c>
      <c r="BH847" s="30">
        <f>VLOOKUP(Inventory[[#This Row],[LivArea Range]],Lookups!$R$25:$U$43,4,FALSE)</f>
        <v>1.0008999999999999</v>
      </c>
      <c r="BI847" s="30">
        <f>VLOOKUP(Inventory[[#This Row],[Decade]],Lookups!$M$24:$P$40,4,FALSE)</f>
        <v>1.0024</v>
      </c>
      <c r="BJ847" s="30">
        <f>Inventory[[#This Row],[Nbhd Adj]]*0.95</f>
        <v>0.94971499999999998</v>
      </c>
      <c r="BK847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847" s="30">
        <f>ROUND((SUM(Inventory[[#This Row],[Mdl Qlty]:[Mdl Garage Area]])+Inventory[[#This Row],[Mdl Res Intercept]])*Inventory[[#This Row],[Res Adj ]],-2)</f>
        <v>328200</v>
      </c>
      <c r="BM847" s="30">
        <f>ROUND(Inventory[[#This Row],[25Det]]*Inventory[[#This Row],[Det/Nbhd Adj]],-2)</f>
        <v>0</v>
      </c>
      <c r="BN847" s="30">
        <f>Inventory[[#This Row],[Adjusted Res]]+Inventory[[#This Row],[Adj Det ]]</f>
        <v>328200</v>
      </c>
      <c r="BO847" s="30">
        <f>ROUND((Inventory[[#This Row],[Mdl Land Intercept]]+Inventory[[#This Row],[Mdl LnAcres]])*Inventory[[#This Row],[Det/Nbhd Adj]],-2)</f>
        <v>63900</v>
      </c>
      <c r="BP847" s="30">
        <f>Inventory[[#This Row],[Adjusted Impr Total]]+Inventory[[#This Row],[Adjusted Land Total]]</f>
        <v>392100</v>
      </c>
      <c r="BQ847" s="30">
        <f>IFERROR((Inventory[[#This Row],[Adjusted Impr Total]]-Inventory[[#This Row],[24Bldg]])/Inventory[[#This Row],[24Bldg]],0)</f>
        <v>-1.883408071748879E-2</v>
      </c>
      <c r="BR847" s="43">
        <f>(Inventory[[#This Row],[Adjusted Land Total]]-Inventory[[#This Row],[24Lnd]])/Inventory[[#This Row],[24Lnd]]</f>
        <v>-1.5625000000000001E-3</v>
      </c>
      <c r="BS847" s="43">
        <f>(Inventory[[#This Row],[Adjusted Total]]-Inventory[[#This Row],[24Final]])/Inventory[[#This Row],[24Final]]</f>
        <v>-1.6060225846925971E-2</v>
      </c>
    </row>
    <row r="848" spans="1:71">
      <c r="A848" s="30">
        <v>2025</v>
      </c>
      <c r="B848" s="31" t="s">
        <v>1363</v>
      </c>
      <c r="C848" s="31">
        <f>LN(Inventory[[#This Row],[Acres]])</f>
        <v>-1.5606477482646683</v>
      </c>
      <c r="D848" s="30">
        <v>0.21</v>
      </c>
      <c r="E848" s="30">
        <v>9331</v>
      </c>
      <c r="F848" s="31" t="s">
        <v>505</v>
      </c>
      <c r="G848" s="31" t="s">
        <v>155</v>
      </c>
      <c r="H848" s="31" t="s">
        <v>5</v>
      </c>
      <c r="I848" s="31" t="s">
        <v>506</v>
      </c>
      <c r="J848" s="31" t="s">
        <v>507</v>
      </c>
      <c r="K848" s="31" t="s">
        <v>157</v>
      </c>
      <c r="L848" s="31" t="s">
        <v>21</v>
      </c>
      <c r="M848" s="31" t="s">
        <v>22</v>
      </c>
      <c r="N848" s="31">
        <v>10</v>
      </c>
      <c r="O848" s="31">
        <f>2024-Inventory[[#This Row],[YrBlt]]</f>
        <v>19</v>
      </c>
      <c r="P848" s="31">
        <f>2024-Inventory[[#This Row],[EffYr]]</f>
        <v>19</v>
      </c>
      <c r="Q848" s="30">
        <v>2005</v>
      </c>
      <c r="R848" s="30">
        <v>2005</v>
      </c>
      <c r="S848" s="30">
        <v>1116</v>
      </c>
      <c r="T848" s="38">
        <v>1116</v>
      </c>
      <c r="U848" s="32"/>
      <c r="V848" s="32"/>
      <c r="W848" s="32"/>
      <c r="X848" s="32">
        <f>Inventory[[#This Row],[Bsmt Area]]-Inventory[[#This Row],[FnBsmt]]</f>
        <v>0</v>
      </c>
      <c r="Y848" s="32">
        <f>Inventory[[#This Row],[MainFn]]+Inventory[[#This Row],[UpprFn]]+Inventory[[#This Row],[AddFn]]+Inventory[[#This Row],[FnBsmt]]</f>
        <v>2232</v>
      </c>
      <c r="Z848" s="32">
        <v>2500</v>
      </c>
      <c r="AA848" s="31" t="s">
        <v>57</v>
      </c>
      <c r="AB848" s="38">
        <v>1</v>
      </c>
      <c r="AC848" s="30">
        <v>440</v>
      </c>
      <c r="AD848" s="32"/>
      <c r="AE848" s="32"/>
      <c r="AF848" s="32"/>
      <c r="AG848" s="32"/>
      <c r="AH848" s="32"/>
      <c r="AI848" s="30">
        <v>449015</v>
      </c>
      <c r="AJ848" s="30">
        <v>408604</v>
      </c>
      <c r="AK848" s="30">
        <v>0</v>
      </c>
      <c r="AL848" s="30">
        <v>0</v>
      </c>
      <c r="AM848" s="30">
        <v>64600</v>
      </c>
      <c r="AN848" s="30">
        <v>350000</v>
      </c>
      <c r="AO848" s="30">
        <v>414600</v>
      </c>
      <c r="AP848" s="30">
        <f>Lookups!$B$58*0.6</f>
        <v>132535.48800000001</v>
      </c>
      <c r="AQ848" s="30">
        <f>Lookups!$B$58*0.4</f>
        <v>88356.992000000013</v>
      </c>
      <c r="AR848" s="30">
        <f>Lookups!$B$59*Inventory[[#This Row],[LnAcres]]</f>
        <v>-20482.442016152701</v>
      </c>
      <c r="AS848" s="30">
        <f>VLOOKUP(Inventory[[#This Row],[Qlty]],Lookups!$A$66:$E$79,2,FALSE)</f>
        <v>32917.849192000001</v>
      </c>
      <c r="AT848" s="30">
        <f>VLOOKUP(Inventory[[#This Row],[Cnd]],Lookups!$A$80:$E$88,2,FALSE)</f>
        <v>50438.379078999998</v>
      </c>
      <c r="AU848" s="30">
        <f>Inventory[[#This Row],[EffAge]]*Lookups!$B$65</f>
        <v>-2066.0808999999999</v>
      </c>
      <c r="AV848" s="30">
        <f>Inventory[[#This Row],[MainFn]]*Lookups!$B$90</f>
        <v>69649.984080000009</v>
      </c>
      <c r="AW848" s="30">
        <f>Inventory[[#This Row],[UpprFn]]*Lookups!$B$91</f>
        <v>66491.707427999994</v>
      </c>
      <c r="AX848" s="30">
        <f>Inventory[[#This Row],[Bsmt Area]]*Lookups!$B$95</f>
        <v>0</v>
      </c>
      <c r="AY848" s="30">
        <f>Inventory[[#This Row],[AttGar]]*Lookups!$B$93</f>
        <v>15532.453640000002</v>
      </c>
      <c r="AZ848" s="30">
        <f>ROUND(Inventory[[#This Row],[25Det]],-2)</f>
        <v>0</v>
      </c>
      <c r="BA848" s="30">
        <f>ROUND(SUM(Inventory[[#This Row],[Mdl Qlty]:[Mdl Garage Area]])+Inventory[[#This Row],[Mdl Res Intercept]],-2)</f>
        <v>365500</v>
      </c>
      <c r="BB848" s="30">
        <f>ROUND(Inventory[[#This Row],[Mdl Land Intercept]]+Inventory[[#This Row],[Mdl LnAcres]],-2)</f>
        <v>67900</v>
      </c>
      <c r="BC848" s="30">
        <f>Inventory[[#This Row],[Unadj Res Value]]+Inventory[[#This Row],[Unadj Det Value]]+Inventory[[#This Row],[Unadj Land Value]]</f>
        <v>433400</v>
      </c>
      <c r="BD848" s="30">
        <f>(Inventory[[#This Row],[Unadj Total Value]]-Inventory[[#This Row],[24Final]])/Inventory[[#This Row],[24Final]]</f>
        <v>4.5344910757356485E-2</v>
      </c>
      <c r="BE848" s="30">
        <f>VLOOKUP(Inventory[[#This Row],[Nbhd]],Lookups!$M$3:$P$5,4,FALSE)</f>
        <v>0.99970000000000003</v>
      </c>
      <c r="BF848" s="30">
        <f>VLOOKUP(Inventory[[#This Row],[Qlty]],Lookups!$M$8:$P$22,4,FALSE)</f>
        <v>1.0019</v>
      </c>
      <c r="BG848" s="30">
        <f>VLOOKUP(Inventory[[#This Row],[Cnd]],Lookups!$R$8:$U$17,4,FALSE)</f>
        <v>1.0007999999999999</v>
      </c>
      <c r="BH848" s="30">
        <f>VLOOKUP(Inventory[[#This Row],[LivArea Range]],Lookups!$R$25:$U$43,4,FALSE)</f>
        <v>1.0008999999999999</v>
      </c>
      <c r="BI848" s="30">
        <f>VLOOKUP(Inventory[[#This Row],[Decade]],Lookups!$M$24:$P$40,4,FALSE)</f>
        <v>1.0024</v>
      </c>
      <c r="BJ848" s="30">
        <f>Inventory[[#This Row],[Nbhd Adj]]*0.95</f>
        <v>0.94971499999999998</v>
      </c>
      <c r="BK848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848" s="30">
        <f>ROUND((SUM(Inventory[[#This Row],[Mdl Qlty]:[Mdl Garage Area]])+Inventory[[#This Row],[Mdl Res Intercept]])*Inventory[[#This Row],[Res Adj ]],-2)</f>
        <v>347600</v>
      </c>
      <c r="BM848" s="30">
        <f>ROUND(Inventory[[#This Row],[25Det]]*Inventory[[#This Row],[Det/Nbhd Adj]],-2)</f>
        <v>0</v>
      </c>
      <c r="BN848" s="30">
        <f>Inventory[[#This Row],[Adjusted Res]]+Inventory[[#This Row],[Adj Det ]]</f>
        <v>347600</v>
      </c>
      <c r="BO848" s="30">
        <f>ROUND((Inventory[[#This Row],[Mdl Land Intercept]]+Inventory[[#This Row],[Mdl LnAcres]])*Inventory[[#This Row],[Det/Nbhd Adj]],-2)</f>
        <v>64500</v>
      </c>
      <c r="BP848" s="30">
        <f>Inventory[[#This Row],[Adjusted Impr Total]]+Inventory[[#This Row],[Adjusted Land Total]]</f>
        <v>412100</v>
      </c>
      <c r="BQ848" s="30">
        <f>IFERROR((Inventory[[#This Row],[Adjusted Impr Total]]-Inventory[[#This Row],[24Bldg]])/Inventory[[#This Row],[24Bldg]],0)</f>
        <v>-6.8571428571428568E-3</v>
      </c>
      <c r="BR848" s="43">
        <f>(Inventory[[#This Row],[Adjusted Land Total]]-Inventory[[#This Row],[24Lnd]])/Inventory[[#This Row],[24Lnd]]</f>
        <v>-1.5479876160990713E-3</v>
      </c>
      <c r="BS848" s="43">
        <f>(Inventory[[#This Row],[Adjusted Total]]-Inventory[[#This Row],[24Final]])/Inventory[[#This Row],[24Final]]</f>
        <v>-6.0299083453931503E-3</v>
      </c>
    </row>
    <row r="849" spans="1:71">
      <c r="A849" s="30">
        <v>2025</v>
      </c>
      <c r="B849" s="31" t="s">
        <v>1364</v>
      </c>
      <c r="C849" s="31">
        <f>LN(Inventory[[#This Row],[Acres]])</f>
        <v>-1.5606477482646683</v>
      </c>
      <c r="D849" s="30">
        <v>0.21</v>
      </c>
      <c r="E849" s="30">
        <v>9214</v>
      </c>
      <c r="F849" s="31" t="s">
        <v>505</v>
      </c>
      <c r="G849" s="31" t="s">
        <v>155</v>
      </c>
      <c r="H849" s="31" t="s">
        <v>5</v>
      </c>
      <c r="I849" s="31" t="s">
        <v>506</v>
      </c>
      <c r="J849" s="31" t="s">
        <v>507</v>
      </c>
      <c r="K849" s="31" t="s">
        <v>330</v>
      </c>
      <c r="L849" s="31" t="s">
        <v>23</v>
      </c>
      <c r="M849" s="31" t="s">
        <v>22</v>
      </c>
      <c r="N849" s="31">
        <v>10</v>
      </c>
      <c r="O849" s="31">
        <f>2024-Inventory[[#This Row],[YrBlt]]</f>
        <v>19</v>
      </c>
      <c r="P849" s="31">
        <f>2024-Inventory[[#This Row],[EffYr]]</f>
        <v>19</v>
      </c>
      <c r="Q849" s="30">
        <v>2005</v>
      </c>
      <c r="R849" s="30">
        <v>2005</v>
      </c>
      <c r="S849" s="30">
        <v>1807</v>
      </c>
      <c r="T849" s="32"/>
      <c r="U849" s="32"/>
      <c r="V849" s="32"/>
      <c r="W849" s="32"/>
      <c r="X849" s="32">
        <f>Inventory[[#This Row],[Bsmt Area]]-Inventory[[#This Row],[FnBsmt]]</f>
        <v>0</v>
      </c>
      <c r="Y849" s="32">
        <f>Inventory[[#This Row],[MainFn]]+Inventory[[#This Row],[UpprFn]]+Inventory[[#This Row],[AddFn]]+Inventory[[#This Row],[FnBsmt]]</f>
        <v>1807</v>
      </c>
      <c r="Z849" s="32">
        <v>2000</v>
      </c>
      <c r="AA849" s="31" t="s">
        <v>55</v>
      </c>
      <c r="AB849" s="38">
        <v>1</v>
      </c>
      <c r="AC849" s="30">
        <v>939</v>
      </c>
      <c r="AD849" s="32"/>
      <c r="AE849" s="32"/>
      <c r="AF849" s="32"/>
      <c r="AG849" s="32"/>
      <c r="AH849" s="32"/>
      <c r="AI849" s="30">
        <v>475549</v>
      </c>
      <c r="AJ849" s="30">
        <v>442261</v>
      </c>
      <c r="AK849" s="30">
        <v>0</v>
      </c>
      <c r="AL849" s="30">
        <v>0</v>
      </c>
      <c r="AM849" s="30">
        <v>64600</v>
      </c>
      <c r="AN849" s="30">
        <v>369400</v>
      </c>
      <c r="AO849" s="30">
        <v>434000</v>
      </c>
      <c r="AP849" s="30">
        <f>Lookups!$B$58*0.6</f>
        <v>132535.48800000001</v>
      </c>
      <c r="AQ849" s="30">
        <f>Lookups!$B$58*0.4</f>
        <v>88356.992000000013</v>
      </c>
      <c r="AR849" s="30">
        <f>Lookups!$B$59*Inventory[[#This Row],[LnAcres]]</f>
        <v>-20482.442016152701</v>
      </c>
      <c r="AS849" s="30">
        <f>VLOOKUP(Inventory[[#This Row],[Qlty]],Lookups!$A$66:$E$79,2,FALSE)</f>
        <v>39366.494398000003</v>
      </c>
      <c r="AT849" s="30">
        <f>VLOOKUP(Inventory[[#This Row],[Cnd]],Lookups!$A$80:$E$88,2,FALSE)</f>
        <v>50438.379078999998</v>
      </c>
      <c r="AU849" s="30">
        <f>Inventory[[#This Row],[EffAge]]*Lookups!$B$65</f>
        <v>-2066.0808999999999</v>
      </c>
      <c r="AV849" s="30">
        <f>Inventory[[#This Row],[MainFn]]*Lookups!$B$90</f>
        <v>112775.55666</v>
      </c>
      <c r="AW849" s="30">
        <f>Inventory[[#This Row],[UpprFn]]*Lookups!$B$91</f>
        <v>0</v>
      </c>
      <c r="AX849" s="30">
        <f>Inventory[[#This Row],[Bsmt Area]]*Lookups!$B$95</f>
        <v>0</v>
      </c>
      <c r="AY849" s="30">
        <f>Inventory[[#This Row],[AttGar]]*Lookups!$B$93</f>
        <v>33147.668108999998</v>
      </c>
      <c r="AZ849" s="30">
        <f>ROUND(Inventory[[#This Row],[25Det]],-2)</f>
        <v>0</v>
      </c>
      <c r="BA849" s="30">
        <f>ROUND(SUM(Inventory[[#This Row],[Mdl Qlty]:[Mdl Garage Area]])+Inventory[[#This Row],[Mdl Res Intercept]],-2)</f>
        <v>366200</v>
      </c>
      <c r="BB849" s="30">
        <f>ROUND(Inventory[[#This Row],[Mdl Land Intercept]]+Inventory[[#This Row],[Mdl LnAcres]],-2)</f>
        <v>67900</v>
      </c>
      <c r="BC849" s="30">
        <f>Inventory[[#This Row],[Unadj Res Value]]+Inventory[[#This Row],[Unadj Det Value]]+Inventory[[#This Row],[Unadj Land Value]]</f>
        <v>434100</v>
      </c>
      <c r="BD849" s="30">
        <f>(Inventory[[#This Row],[Unadj Total Value]]-Inventory[[#This Row],[24Final]])/Inventory[[#This Row],[24Final]]</f>
        <v>2.304147465437788E-4</v>
      </c>
      <c r="BE849" s="30">
        <f>VLOOKUP(Inventory[[#This Row],[Nbhd]],Lookups!$M$3:$P$5,4,FALSE)</f>
        <v>0.99970000000000003</v>
      </c>
      <c r="BF849" s="30">
        <f>VLOOKUP(Inventory[[#This Row],[Qlty]],Lookups!$M$8:$P$22,4,FALSE)</f>
        <v>0.99980000000000002</v>
      </c>
      <c r="BG849" s="30">
        <f>VLOOKUP(Inventory[[#This Row],[Cnd]],Lookups!$R$8:$U$17,4,FALSE)</f>
        <v>1.0007999999999999</v>
      </c>
      <c r="BH849" s="30">
        <f>VLOOKUP(Inventory[[#This Row],[LivArea Range]],Lookups!$R$25:$U$43,4,FALSE)</f>
        <v>1.0007999999999999</v>
      </c>
      <c r="BI849" s="30">
        <f>VLOOKUP(Inventory[[#This Row],[Decade]],Lookups!$M$24:$P$40,4,FALSE)</f>
        <v>1.0024</v>
      </c>
      <c r="BJ849" s="30">
        <f>Inventory[[#This Row],[Nbhd Adj]]*0.95</f>
        <v>0.94971499999999998</v>
      </c>
      <c r="BK849" s="30">
        <f>AVERAGE(Inventory[[#This Row],[Nbhd Adj]],Inventory[[#This Row],[Quality Adj]],Inventory[[#This Row],[Condition Adj]],Inventory[[#This Row],[Living Area Adj]],Inventory[[#This Row],[Decade Adj]])*0.95</f>
        <v>0.95066499999999987</v>
      </c>
      <c r="BL849" s="30">
        <f>ROUND((SUM(Inventory[[#This Row],[Mdl Qlty]:[Mdl Garage Area]])+Inventory[[#This Row],[Mdl Res Intercept]])*Inventory[[#This Row],[Res Adj ]],-2)</f>
        <v>348100</v>
      </c>
      <c r="BM849" s="30">
        <f>ROUND(Inventory[[#This Row],[25Det]]*Inventory[[#This Row],[Det/Nbhd Adj]],-2)</f>
        <v>0</v>
      </c>
      <c r="BN849" s="30">
        <f>Inventory[[#This Row],[Adjusted Res]]+Inventory[[#This Row],[Adj Det ]]</f>
        <v>348100</v>
      </c>
      <c r="BO849" s="30">
        <f>ROUND((Inventory[[#This Row],[Mdl Land Intercept]]+Inventory[[#This Row],[Mdl LnAcres]])*Inventory[[#This Row],[Det/Nbhd Adj]],-2)</f>
        <v>64500</v>
      </c>
      <c r="BP849" s="30">
        <f>Inventory[[#This Row],[Adjusted Impr Total]]+Inventory[[#This Row],[Adjusted Land Total]]</f>
        <v>412600</v>
      </c>
      <c r="BQ849" s="30">
        <f>IFERROR((Inventory[[#This Row],[Adjusted Impr Total]]-Inventory[[#This Row],[24Bldg]])/Inventory[[#This Row],[24Bldg]],0)</f>
        <v>-5.7661072008662696E-2</v>
      </c>
      <c r="BR849" s="43">
        <f>(Inventory[[#This Row],[Adjusted Land Total]]-Inventory[[#This Row],[24Lnd]])/Inventory[[#This Row],[24Lnd]]</f>
        <v>-1.5479876160990713E-3</v>
      </c>
      <c r="BS849" s="43">
        <f>(Inventory[[#This Row],[Adjusted Total]]-Inventory[[#This Row],[24Final]])/Inventory[[#This Row],[24Final]]</f>
        <v>-4.9308755760368667E-2</v>
      </c>
    </row>
    <row r="850" spans="1:71">
      <c r="A850" s="30">
        <v>2025</v>
      </c>
      <c r="B850" s="31" t="s">
        <v>1365</v>
      </c>
      <c r="C850" s="31">
        <f>LN(Inventory[[#This Row],[Acres]])</f>
        <v>-1.5606477482646683</v>
      </c>
      <c r="D850" s="30">
        <v>0.21</v>
      </c>
      <c r="E850" s="30">
        <v>9027</v>
      </c>
      <c r="F850" s="31" t="s">
        <v>505</v>
      </c>
      <c r="G850" s="31" t="s">
        <v>155</v>
      </c>
      <c r="H850" s="31" t="s">
        <v>5</v>
      </c>
      <c r="I850" s="31" t="s">
        <v>506</v>
      </c>
      <c r="J850" s="31" t="s">
        <v>507</v>
      </c>
      <c r="K850" s="31" t="s">
        <v>157</v>
      </c>
      <c r="L850" s="31" t="s">
        <v>21</v>
      </c>
      <c r="M850" s="31" t="s">
        <v>22</v>
      </c>
      <c r="N850" s="31">
        <v>10</v>
      </c>
      <c r="O850" s="31">
        <f>2024-Inventory[[#This Row],[YrBlt]]</f>
        <v>19</v>
      </c>
      <c r="P850" s="31">
        <f>2024-Inventory[[#This Row],[EffYr]]</f>
        <v>19</v>
      </c>
      <c r="Q850" s="30">
        <v>2005</v>
      </c>
      <c r="R850" s="30">
        <v>2005</v>
      </c>
      <c r="S850" s="30">
        <v>1116</v>
      </c>
      <c r="T850" s="38">
        <v>1116</v>
      </c>
      <c r="U850" s="32"/>
      <c r="V850" s="32"/>
      <c r="W850" s="32"/>
      <c r="X850" s="32">
        <f>Inventory[[#This Row],[Bsmt Area]]-Inventory[[#This Row],[FnBsmt]]</f>
        <v>0</v>
      </c>
      <c r="Y850" s="32">
        <f>Inventory[[#This Row],[MainFn]]+Inventory[[#This Row],[UpprFn]]+Inventory[[#This Row],[AddFn]]+Inventory[[#This Row],[FnBsmt]]</f>
        <v>2232</v>
      </c>
      <c r="Z850" s="32">
        <v>2500</v>
      </c>
      <c r="AA850" s="31" t="s">
        <v>55</v>
      </c>
      <c r="AB850" s="32"/>
      <c r="AC850" s="30">
        <v>440</v>
      </c>
      <c r="AD850" s="32"/>
      <c r="AE850" s="32"/>
      <c r="AF850" s="32"/>
      <c r="AG850" s="32"/>
      <c r="AH850" s="32"/>
      <c r="AI850" s="30">
        <v>439327</v>
      </c>
      <c r="AJ850" s="30">
        <v>399788</v>
      </c>
      <c r="AK850" s="30">
        <v>0</v>
      </c>
      <c r="AL850" s="30">
        <v>0</v>
      </c>
      <c r="AM850" s="30">
        <v>64600</v>
      </c>
      <c r="AN850" s="30">
        <v>350000</v>
      </c>
      <c r="AO850" s="30">
        <v>414600</v>
      </c>
      <c r="AP850" s="30">
        <f>Lookups!$B$58*0.6</f>
        <v>132535.48800000001</v>
      </c>
      <c r="AQ850" s="30">
        <f>Lookups!$B$58*0.4</f>
        <v>88356.992000000013</v>
      </c>
      <c r="AR850" s="30">
        <f>Lookups!$B$59*Inventory[[#This Row],[LnAcres]]</f>
        <v>-20482.442016152701</v>
      </c>
      <c r="AS850" s="30">
        <f>VLOOKUP(Inventory[[#This Row],[Qlty]],Lookups!$A$66:$E$79,2,FALSE)</f>
        <v>32917.849192000001</v>
      </c>
      <c r="AT850" s="30">
        <f>VLOOKUP(Inventory[[#This Row],[Cnd]],Lookups!$A$80:$E$88,2,FALSE)</f>
        <v>50438.379078999998</v>
      </c>
      <c r="AU850" s="30">
        <f>Inventory[[#This Row],[EffAge]]*Lookups!$B$65</f>
        <v>-2066.0808999999999</v>
      </c>
      <c r="AV850" s="30">
        <f>Inventory[[#This Row],[MainFn]]*Lookups!$B$90</f>
        <v>69649.984080000009</v>
      </c>
      <c r="AW850" s="30">
        <f>Inventory[[#This Row],[UpprFn]]*Lookups!$B$91</f>
        <v>66491.707427999994</v>
      </c>
      <c r="AX850" s="30">
        <f>Inventory[[#This Row],[Bsmt Area]]*Lookups!$B$95</f>
        <v>0</v>
      </c>
      <c r="AY850" s="30">
        <f>Inventory[[#This Row],[AttGar]]*Lookups!$B$93</f>
        <v>15532.453640000002</v>
      </c>
      <c r="AZ850" s="30">
        <f>ROUND(Inventory[[#This Row],[25Det]],-2)</f>
        <v>0</v>
      </c>
      <c r="BA850" s="30">
        <f>ROUND(SUM(Inventory[[#This Row],[Mdl Qlty]:[Mdl Garage Area]])+Inventory[[#This Row],[Mdl Res Intercept]],-2)</f>
        <v>365500</v>
      </c>
      <c r="BB850" s="30">
        <f>ROUND(Inventory[[#This Row],[Mdl Land Intercept]]+Inventory[[#This Row],[Mdl LnAcres]],-2)</f>
        <v>67900</v>
      </c>
      <c r="BC850" s="30">
        <f>Inventory[[#This Row],[Unadj Res Value]]+Inventory[[#This Row],[Unadj Det Value]]+Inventory[[#This Row],[Unadj Land Value]]</f>
        <v>433400</v>
      </c>
      <c r="BD850" s="30">
        <f>(Inventory[[#This Row],[Unadj Total Value]]-Inventory[[#This Row],[24Final]])/Inventory[[#This Row],[24Final]]</f>
        <v>4.5344910757356485E-2</v>
      </c>
      <c r="BE850" s="30">
        <f>VLOOKUP(Inventory[[#This Row],[Nbhd]],Lookups!$M$3:$P$5,4,FALSE)</f>
        <v>0.99970000000000003</v>
      </c>
      <c r="BF850" s="30">
        <f>VLOOKUP(Inventory[[#This Row],[Qlty]],Lookups!$M$8:$P$22,4,FALSE)</f>
        <v>1.0019</v>
      </c>
      <c r="BG850" s="30">
        <f>VLOOKUP(Inventory[[#This Row],[Cnd]],Lookups!$R$8:$U$17,4,FALSE)</f>
        <v>1.0007999999999999</v>
      </c>
      <c r="BH850" s="30">
        <f>VLOOKUP(Inventory[[#This Row],[LivArea Range]],Lookups!$R$25:$U$43,4,FALSE)</f>
        <v>1.0008999999999999</v>
      </c>
      <c r="BI850" s="30">
        <f>VLOOKUP(Inventory[[#This Row],[Decade]],Lookups!$M$24:$P$40,4,FALSE)</f>
        <v>1.0024</v>
      </c>
      <c r="BJ850" s="30">
        <f>Inventory[[#This Row],[Nbhd Adj]]*0.95</f>
        <v>0.94971499999999998</v>
      </c>
      <c r="BK850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850" s="30">
        <f>ROUND((SUM(Inventory[[#This Row],[Mdl Qlty]:[Mdl Garage Area]])+Inventory[[#This Row],[Mdl Res Intercept]])*Inventory[[#This Row],[Res Adj ]],-2)</f>
        <v>347600</v>
      </c>
      <c r="BM850" s="30">
        <f>ROUND(Inventory[[#This Row],[25Det]]*Inventory[[#This Row],[Det/Nbhd Adj]],-2)</f>
        <v>0</v>
      </c>
      <c r="BN850" s="30">
        <f>Inventory[[#This Row],[Adjusted Res]]+Inventory[[#This Row],[Adj Det ]]</f>
        <v>347600</v>
      </c>
      <c r="BO850" s="30">
        <f>ROUND((Inventory[[#This Row],[Mdl Land Intercept]]+Inventory[[#This Row],[Mdl LnAcres]])*Inventory[[#This Row],[Det/Nbhd Adj]],-2)</f>
        <v>64500</v>
      </c>
      <c r="BP850" s="30">
        <f>Inventory[[#This Row],[Adjusted Impr Total]]+Inventory[[#This Row],[Adjusted Land Total]]</f>
        <v>412100</v>
      </c>
      <c r="BQ850" s="30">
        <f>IFERROR((Inventory[[#This Row],[Adjusted Impr Total]]-Inventory[[#This Row],[24Bldg]])/Inventory[[#This Row],[24Bldg]],0)</f>
        <v>-6.8571428571428568E-3</v>
      </c>
      <c r="BR850" s="43">
        <f>(Inventory[[#This Row],[Adjusted Land Total]]-Inventory[[#This Row],[24Lnd]])/Inventory[[#This Row],[24Lnd]]</f>
        <v>-1.5479876160990713E-3</v>
      </c>
      <c r="BS850" s="43">
        <f>(Inventory[[#This Row],[Adjusted Total]]-Inventory[[#This Row],[24Final]])/Inventory[[#This Row],[24Final]]</f>
        <v>-6.0299083453931503E-3</v>
      </c>
    </row>
    <row r="851" spans="1:71">
      <c r="A851" s="30">
        <v>2025</v>
      </c>
      <c r="B851" s="31" t="s">
        <v>1366</v>
      </c>
      <c r="C851" s="31">
        <f>LN(Inventory[[#This Row],[Acres]])</f>
        <v>-1.5606477482646683</v>
      </c>
      <c r="D851" s="30">
        <v>0.21</v>
      </c>
      <c r="E851" s="30">
        <v>9169</v>
      </c>
      <c r="F851" s="31" t="s">
        <v>505</v>
      </c>
      <c r="G851" s="31" t="s">
        <v>155</v>
      </c>
      <c r="H851" s="31" t="s">
        <v>5</v>
      </c>
      <c r="I851" s="31" t="s">
        <v>506</v>
      </c>
      <c r="J851" s="31" t="s">
        <v>507</v>
      </c>
      <c r="K851" s="31" t="s">
        <v>157</v>
      </c>
      <c r="L851" s="31" t="s">
        <v>19</v>
      </c>
      <c r="M851" s="31" t="s">
        <v>20</v>
      </c>
      <c r="N851" s="31">
        <v>10</v>
      </c>
      <c r="O851" s="31">
        <f>2024-Inventory[[#This Row],[YrBlt]]</f>
        <v>19</v>
      </c>
      <c r="P851" s="31">
        <f>2024-Inventory[[#This Row],[EffYr]]</f>
        <v>19</v>
      </c>
      <c r="Q851" s="30">
        <v>2005</v>
      </c>
      <c r="R851" s="30">
        <v>2005</v>
      </c>
      <c r="S851" s="30">
        <v>1040</v>
      </c>
      <c r="T851" s="38">
        <v>1040</v>
      </c>
      <c r="U851" s="32"/>
      <c r="V851" s="32"/>
      <c r="W851" s="32"/>
      <c r="X851" s="32">
        <f>Inventory[[#This Row],[Bsmt Area]]-Inventory[[#This Row],[FnBsmt]]</f>
        <v>0</v>
      </c>
      <c r="Y851" s="32">
        <f>Inventory[[#This Row],[MainFn]]+Inventory[[#This Row],[UpprFn]]+Inventory[[#This Row],[AddFn]]+Inventory[[#This Row],[FnBsmt]]</f>
        <v>2080</v>
      </c>
      <c r="Z851" s="32">
        <v>2500</v>
      </c>
      <c r="AA851" s="31" t="s">
        <v>56</v>
      </c>
      <c r="AB851" s="32"/>
      <c r="AC851" s="30">
        <v>440</v>
      </c>
      <c r="AD851" s="32"/>
      <c r="AE851" s="32"/>
      <c r="AF851" s="32"/>
      <c r="AG851" s="32"/>
      <c r="AH851" s="32"/>
      <c r="AI851" s="30">
        <v>370173</v>
      </c>
      <c r="AJ851" s="30">
        <v>336857</v>
      </c>
      <c r="AK851" s="30">
        <v>0</v>
      </c>
      <c r="AL851" s="30">
        <v>0</v>
      </c>
      <c r="AM851" s="30">
        <v>64600</v>
      </c>
      <c r="AN851" s="30">
        <v>335600</v>
      </c>
      <c r="AO851" s="30">
        <v>400200</v>
      </c>
      <c r="AP851" s="30">
        <f>Lookups!$B$58*0.6</f>
        <v>132535.48800000001</v>
      </c>
      <c r="AQ851" s="30">
        <f>Lookups!$B$58*0.4</f>
        <v>88356.992000000013</v>
      </c>
      <c r="AR851" s="30">
        <f>Lookups!$B$59*Inventory[[#This Row],[LnAcres]]</f>
        <v>-20482.442016152701</v>
      </c>
      <c r="AS851" s="30">
        <f>VLOOKUP(Inventory[[#This Row],[Qlty]],Lookups!$A$66:$E$79,2,FALSE)</f>
        <v>37154.252388000001</v>
      </c>
      <c r="AT851" s="30">
        <f>VLOOKUP(Inventory[[#This Row],[Cnd]],Lookups!$A$80:$E$88,2,FALSE)</f>
        <v>30300.329274</v>
      </c>
      <c r="AU851" s="30">
        <f>Inventory[[#This Row],[EffAge]]*Lookups!$B$65</f>
        <v>-2066.0808999999999</v>
      </c>
      <c r="AV851" s="30">
        <f>Inventory[[#This Row],[MainFn]]*Lookups!$B$90</f>
        <v>64906.7952</v>
      </c>
      <c r="AW851" s="30">
        <f>Inventory[[#This Row],[UpprFn]]*Lookups!$B$91</f>
        <v>61963.598319999997</v>
      </c>
      <c r="AX851" s="30">
        <f>Inventory[[#This Row],[Bsmt Area]]*Lookups!$B$95</f>
        <v>0</v>
      </c>
      <c r="AY851" s="30">
        <f>Inventory[[#This Row],[AttGar]]*Lookups!$B$93</f>
        <v>15532.453640000002</v>
      </c>
      <c r="AZ851" s="30">
        <f>ROUND(Inventory[[#This Row],[25Det]],-2)</f>
        <v>0</v>
      </c>
      <c r="BA851" s="30">
        <f>ROUND(SUM(Inventory[[#This Row],[Mdl Qlty]:[Mdl Garage Area]])+Inventory[[#This Row],[Mdl Res Intercept]],-2)</f>
        <v>340300</v>
      </c>
      <c r="BB851" s="30">
        <f>ROUND(Inventory[[#This Row],[Mdl Land Intercept]]+Inventory[[#This Row],[Mdl LnAcres]],-2)</f>
        <v>67900</v>
      </c>
      <c r="BC851" s="30">
        <f>Inventory[[#This Row],[Unadj Res Value]]+Inventory[[#This Row],[Unadj Det Value]]+Inventory[[#This Row],[Unadj Land Value]]</f>
        <v>408200</v>
      </c>
      <c r="BD851" s="30">
        <f>(Inventory[[#This Row],[Unadj Total Value]]-Inventory[[#This Row],[24Final]])/Inventory[[#This Row],[24Final]]</f>
        <v>1.999000499750125E-2</v>
      </c>
      <c r="BE851" s="30">
        <f>VLOOKUP(Inventory[[#This Row],[Nbhd]],Lookups!$M$3:$P$5,4,FALSE)</f>
        <v>0.99970000000000003</v>
      </c>
      <c r="BF851" s="30">
        <f>VLOOKUP(Inventory[[#This Row],[Qlty]],Lookups!$M$8:$P$22,4,FALSE)</f>
        <v>0.99819999999999998</v>
      </c>
      <c r="BG851" s="30">
        <f>VLOOKUP(Inventory[[#This Row],[Cnd]],Lookups!$R$8:$U$17,4,FALSE)</f>
        <v>0.997</v>
      </c>
      <c r="BH851" s="30">
        <f>VLOOKUP(Inventory[[#This Row],[LivArea Range]],Lookups!$R$25:$U$43,4,FALSE)</f>
        <v>1.0008999999999999</v>
      </c>
      <c r="BI851" s="30">
        <f>VLOOKUP(Inventory[[#This Row],[Decade]],Lookups!$M$24:$P$40,4,FALSE)</f>
        <v>1.0024</v>
      </c>
      <c r="BJ851" s="30">
        <f>Inventory[[#This Row],[Nbhd Adj]]*0.95</f>
        <v>0.94971499999999998</v>
      </c>
      <c r="BK851" s="30">
        <f>AVERAGE(Inventory[[#This Row],[Nbhd Adj]],Inventory[[#This Row],[Quality Adj]],Inventory[[#This Row],[Condition Adj]],Inventory[[#This Row],[Living Area Adj]],Inventory[[#This Row],[Decade Adj]])*0.95</f>
        <v>0.94965799999999989</v>
      </c>
      <c r="BL851" s="30">
        <f>ROUND((SUM(Inventory[[#This Row],[Mdl Qlty]:[Mdl Garage Area]])+Inventory[[#This Row],[Mdl Res Intercept]])*Inventory[[#This Row],[Res Adj ]],-2)</f>
        <v>323200</v>
      </c>
      <c r="BM851" s="30">
        <f>ROUND(Inventory[[#This Row],[25Det]]*Inventory[[#This Row],[Det/Nbhd Adj]],-2)</f>
        <v>0</v>
      </c>
      <c r="BN851" s="30">
        <f>Inventory[[#This Row],[Adjusted Res]]+Inventory[[#This Row],[Adj Det ]]</f>
        <v>323200</v>
      </c>
      <c r="BO851" s="30">
        <f>ROUND((Inventory[[#This Row],[Mdl Land Intercept]]+Inventory[[#This Row],[Mdl LnAcres]])*Inventory[[#This Row],[Det/Nbhd Adj]],-2)</f>
        <v>64500</v>
      </c>
      <c r="BP851" s="30">
        <f>Inventory[[#This Row],[Adjusted Impr Total]]+Inventory[[#This Row],[Adjusted Land Total]]</f>
        <v>387700</v>
      </c>
      <c r="BQ851" s="30">
        <f>IFERROR((Inventory[[#This Row],[Adjusted Impr Total]]-Inventory[[#This Row],[24Bldg]])/Inventory[[#This Row],[24Bldg]],0)</f>
        <v>-3.6948748510131108E-2</v>
      </c>
      <c r="BR851" s="43">
        <f>(Inventory[[#This Row],[Adjusted Land Total]]-Inventory[[#This Row],[24Lnd]])/Inventory[[#This Row],[24Lnd]]</f>
        <v>-1.5479876160990713E-3</v>
      </c>
      <c r="BS851" s="43">
        <f>(Inventory[[#This Row],[Adjusted Total]]-Inventory[[#This Row],[24Final]])/Inventory[[#This Row],[24Final]]</f>
        <v>-3.1234382808595702E-2</v>
      </c>
    </row>
    <row r="852" spans="1:71">
      <c r="A852" s="30">
        <v>2025</v>
      </c>
      <c r="B852" s="31" t="s">
        <v>1367</v>
      </c>
      <c r="C852" s="31">
        <f>LN(Inventory[[#This Row],[Acres]])</f>
        <v>-1.5141277326297755</v>
      </c>
      <c r="D852" s="30">
        <v>0.22</v>
      </c>
      <c r="E852" s="30">
        <v>9744</v>
      </c>
      <c r="F852" s="31" t="s">
        <v>505</v>
      </c>
      <c r="G852" s="31" t="s">
        <v>155</v>
      </c>
      <c r="H852" s="31" t="s">
        <v>5</v>
      </c>
      <c r="I852" s="31" t="s">
        <v>506</v>
      </c>
      <c r="J852" s="31" t="s">
        <v>507</v>
      </c>
      <c r="K852" s="31" t="s">
        <v>193</v>
      </c>
      <c r="L852" s="31" t="s">
        <v>19</v>
      </c>
      <c r="M852" s="31" t="s">
        <v>22</v>
      </c>
      <c r="N852" s="31">
        <v>10</v>
      </c>
      <c r="O852" s="31">
        <f>2024-Inventory[[#This Row],[YrBlt]]</f>
        <v>19</v>
      </c>
      <c r="P852" s="31">
        <f>2024-Inventory[[#This Row],[EffYr]]</f>
        <v>19</v>
      </c>
      <c r="Q852" s="30">
        <v>2005</v>
      </c>
      <c r="R852" s="30">
        <v>2005</v>
      </c>
      <c r="S852" s="30">
        <v>1380</v>
      </c>
      <c r="T852" s="32"/>
      <c r="U852" s="32"/>
      <c r="V852" s="32"/>
      <c r="W852" s="32"/>
      <c r="X852" s="32">
        <f>Inventory[[#This Row],[Bsmt Area]]-Inventory[[#This Row],[FnBsmt]]</f>
        <v>0</v>
      </c>
      <c r="Y852" s="32">
        <f>Inventory[[#This Row],[MainFn]]+Inventory[[#This Row],[UpprFn]]+Inventory[[#This Row],[AddFn]]+Inventory[[#This Row],[FnBsmt]]</f>
        <v>1380</v>
      </c>
      <c r="Z852" s="32">
        <v>1500</v>
      </c>
      <c r="AA852" s="31" t="s">
        <v>56</v>
      </c>
      <c r="AB852" s="32"/>
      <c r="AC852" s="30">
        <v>428</v>
      </c>
      <c r="AD852" s="32"/>
      <c r="AE852" s="32"/>
      <c r="AF852" s="32"/>
      <c r="AG852" s="32"/>
      <c r="AH852" s="32"/>
      <c r="AI852" s="30">
        <v>275531</v>
      </c>
      <c r="AJ852" s="30">
        <v>250733</v>
      </c>
      <c r="AK852" s="30">
        <v>0</v>
      </c>
      <c r="AL852" s="30">
        <v>0</v>
      </c>
      <c r="AM852" s="30">
        <v>65300</v>
      </c>
      <c r="AN852" s="30">
        <v>306000</v>
      </c>
      <c r="AO852" s="30">
        <v>371300</v>
      </c>
      <c r="AP852" s="30">
        <f>Lookups!$B$58*0.6</f>
        <v>132535.48800000001</v>
      </c>
      <c r="AQ852" s="30">
        <f>Lookups!$B$58*0.4</f>
        <v>88356.992000000013</v>
      </c>
      <c r="AR852" s="30">
        <f>Lookups!$B$59*Inventory[[#This Row],[LnAcres]]</f>
        <v>-19871.898398035348</v>
      </c>
      <c r="AS852" s="30">
        <f>VLOOKUP(Inventory[[#This Row],[Qlty]],Lookups!$A$66:$E$79,2,FALSE)</f>
        <v>37154.252388000001</v>
      </c>
      <c r="AT852" s="30">
        <f>VLOOKUP(Inventory[[#This Row],[Cnd]],Lookups!$A$80:$E$88,2,FALSE)</f>
        <v>50438.379078999998</v>
      </c>
      <c r="AU852" s="30">
        <f>Inventory[[#This Row],[EffAge]]*Lookups!$B$65</f>
        <v>-2066.0808999999999</v>
      </c>
      <c r="AV852" s="30">
        <f>Inventory[[#This Row],[MainFn]]*Lookups!$B$90</f>
        <v>86126.324399999998</v>
      </c>
      <c r="AW852" s="30">
        <f>Inventory[[#This Row],[UpprFn]]*Lookups!$B$91</f>
        <v>0</v>
      </c>
      <c r="AX852" s="30">
        <f>Inventory[[#This Row],[Bsmt Area]]*Lookups!$B$95</f>
        <v>0</v>
      </c>
      <c r="AY852" s="30">
        <f>Inventory[[#This Row],[AttGar]]*Lookups!$B$93</f>
        <v>15108.841268</v>
      </c>
      <c r="AZ852" s="30">
        <f>ROUND(Inventory[[#This Row],[25Det]],-2)</f>
        <v>0</v>
      </c>
      <c r="BA852" s="30">
        <f>ROUND(SUM(Inventory[[#This Row],[Mdl Qlty]:[Mdl Garage Area]])+Inventory[[#This Row],[Mdl Res Intercept]],-2)</f>
        <v>319300</v>
      </c>
      <c r="BB852" s="30">
        <f>ROUND(Inventory[[#This Row],[Mdl Land Intercept]]+Inventory[[#This Row],[Mdl LnAcres]],-2)</f>
        <v>68500</v>
      </c>
      <c r="BC852" s="30">
        <f>Inventory[[#This Row],[Unadj Res Value]]+Inventory[[#This Row],[Unadj Det Value]]+Inventory[[#This Row],[Unadj Land Value]]</f>
        <v>387800</v>
      </c>
      <c r="BD852" s="30">
        <f>(Inventory[[#This Row],[Unadj Total Value]]-Inventory[[#This Row],[24Final]])/Inventory[[#This Row],[24Final]]</f>
        <v>4.4438459466738488E-2</v>
      </c>
      <c r="BE852" s="30">
        <f>VLOOKUP(Inventory[[#This Row],[Nbhd]],Lookups!$M$3:$P$5,4,FALSE)</f>
        <v>0.99970000000000003</v>
      </c>
      <c r="BF852" s="30">
        <f>VLOOKUP(Inventory[[#This Row],[Qlty]],Lookups!$M$8:$P$22,4,FALSE)</f>
        <v>0.99819999999999998</v>
      </c>
      <c r="BG852" s="30">
        <f>VLOOKUP(Inventory[[#This Row],[Cnd]],Lookups!$R$8:$U$17,4,FALSE)</f>
        <v>1.0007999999999999</v>
      </c>
      <c r="BH852" s="30">
        <f>VLOOKUP(Inventory[[#This Row],[LivArea Range]],Lookups!$R$25:$U$43,4,FALSE)</f>
        <v>0.99519999999999997</v>
      </c>
      <c r="BI852" s="30">
        <f>VLOOKUP(Inventory[[#This Row],[Decade]],Lookups!$M$24:$P$40,4,FALSE)</f>
        <v>1.0024</v>
      </c>
      <c r="BJ852" s="30">
        <f>Inventory[[#This Row],[Nbhd Adj]]*0.95</f>
        <v>0.94971499999999998</v>
      </c>
      <c r="BK852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852" s="30">
        <f>ROUND((SUM(Inventory[[#This Row],[Mdl Qlty]:[Mdl Garage Area]])+Inventory[[#This Row],[Mdl Res Intercept]])*Inventory[[#This Row],[Res Adj ]],-2)</f>
        <v>303100</v>
      </c>
      <c r="BM852" s="30">
        <f>ROUND(Inventory[[#This Row],[25Det]]*Inventory[[#This Row],[Det/Nbhd Adj]],-2)</f>
        <v>0</v>
      </c>
      <c r="BN852" s="30">
        <f>Inventory[[#This Row],[Adjusted Res]]+Inventory[[#This Row],[Adj Det ]]</f>
        <v>303100</v>
      </c>
      <c r="BO852" s="30">
        <f>ROUND((Inventory[[#This Row],[Mdl Land Intercept]]+Inventory[[#This Row],[Mdl LnAcres]])*Inventory[[#This Row],[Det/Nbhd Adj]],-2)</f>
        <v>65000</v>
      </c>
      <c r="BP852" s="30">
        <f>Inventory[[#This Row],[Adjusted Impr Total]]+Inventory[[#This Row],[Adjusted Land Total]]</f>
        <v>368100</v>
      </c>
      <c r="BQ852" s="30">
        <f>IFERROR((Inventory[[#This Row],[Adjusted Impr Total]]-Inventory[[#This Row],[24Bldg]])/Inventory[[#This Row],[24Bldg]],0)</f>
        <v>-9.4771241830065352E-3</v>
      </c>
      <c r="BR852" s="43">
        <f>(Inventory[[#This Row],[Adjusted Land Total]]-Inventory[[#This Row],[24Lnd]])/Inventory[[#This Row],[24Lnd]]</f>
        <v>-4.5941807044410417E-3</v>
      </c>
      <c r="BS852" s="43">
        <f>(Inventory[[#This Row],[Adjusted Total]]-Inventory[[#This Row],[24Final]])/Inventory[[#This Row],[24Final]]</f>
        <v>-8.6183678965795849E-3</v>
      </c>
    </row>
    <row r="853" spans="1:71">
      <c r="A853" s="30">
        <v>2025</v>
      </c>
      <c r="B853" s="31" t="s">
        <v>1368</v>
      </c>
      <c r="C853" s="31">
        <f>LN(Inventory[[#This Row],[Acres]])</f>
        <v>-1.4271163556401458</v>
      </c>
      <c r="D853" s="30">
        <v>0.24</v>
      </c>
      <c r="E853" s="38">
        <v>10323</v>
      </c>
      <c r="F853" s="31" t="s">
        <v>505</v>
      </c>
      <c r="G853" s="31" t="s">
        <v>155</v>
      </c>
      <c r="H853" s="31" t="s">
        <v>5</v>
      </c>
      <c r="I853" s="31" t="s">
        <v>506</v>
      </c>
      <c r="J853" s="31" t="s">
        <v>507</v>
      </c>
      <c r="K853" s="31" t="s">
        <v>193</v>
      </c>
      <c r="L853" s="31" t="s">
        <v>21</v>
      </c>
      <c r="M853" s="31" t="s">
        <v>22</v>
      </c>
      <c r="N853" s="31">
        <v>10</v>
      </c>
      <c r="O853" s="31">
        <f>2024-Inventory[[#This Row],[YrBlt]]</f>
        <v>19</v>
      </c>
      <c r="P853" s="31">
        <f>2024-Inventory[[#This Row],[EffYr]]</f>
        <v>19</v>
      </c>
      <c r="Q853" s="30">
        <v>2005</v>
      </c>
      <c r="R853" s="30">
        <v>2005</v>
      </c>
      <c r="S853" s="30">
        <v>1380</v>
      </c>
      <c r="T853" s="32"/>
      <c r="U853" s="32"/>
      <c r="V853" s="32"/>
      <c r="W853" s="32"/>
      <c r="X853" s="32">
        <f>Inventory[[#This Row],[Bsmt Area]]-Inventory[[#This Row],[FnBsmt]]</f>
        <v>0</v>
      </c>
      <c r="Y853" s="32">
        <f>Inventory[[#This Row],[MainFn]]+Inventory[[#This Row],[UpprFn]]+Inventory[[#This Row],[AddFn]]+Inventory[[#This Row],[FnBsmt]]</f>
        <v>1380</v>
      </c>
      <c r="Z853" s="32">
        <v>1500</v>
      </c>
      <c r="AA853" s="31" t="s">
        <v>57</v>
      </c>
      <c r="AB853" s="38">
        <v>1</v>
      </c>
      <c r="AC853" s="30">
        <v>428</v>
      </c>
      <c r="AD853" s="32"/>
      <c r="AE853" s="32"/>
      <c r="AF853" s="32"/>
      <c r="AG853" s="32"/>
      <c r="AH853" s="32"/>
      <c r="AI853" s="30">
        <v>313845</v>
      </c>
      <c r="AJ853" s="30">
        <v>285599</v>
      </c>
      <c r="AK853" s="30">
        <v>0</v>
      </c>
      <c r="AL853" s="30">
        <v>0</v>
      </c>
      <c r="AM853" s="30">
        <v>66500</v>
      </c>
      <c r="AN853" s="30">
        <v>301600</v>
      </c>
      <c r="AO853" s="30">
        <v>368100</v>
      </c>
      <c r="AP853" s="30">
        <f>Lookups!$B$58*0.6</f>
        <v>132535.48800000001</v>
      </c>
      <c r="AQ853" s="30">
        <f>Lookups!$B$58*0.4</f>
        <v>88356.992000000013</v>
      </c>
      <c r="AR853" s="30">
        <f>Lookups!$B$59*Inventory[[#This Row],[LnAcres]]</f>
        <v>-18729.933155771436</v>
      </c>
      <c r="AS853" s="30">
        <f>VLOOKUP(Inventory[[#This Row],[Qlty]],Lookups!$A$66:$E$79,2,FALSE)</f>
        <v>32917.849192000001</v>
      </c>
      <c r="AT853" s="30">
        <f>VLOOKUP(Inventory[[#This Row],[Cnd]],Lookups!$A$80:$E$88,2,FALSE)</f>
        <v>50438.379078999998</v>
      </c>
      <c r="AU853" s="30">
        <f>Inventory[[#This Row],[EffAge]]*Lookups!$B$65</f>
        <v>-2066.0808999999999</v>
      </c>
      <c r="AV853" s="30">
        <f>Inventory[[#This Row],[MainFn]]*Lookups!$B$90</f>
        <v>86126.324399999998</v>
      </c>
      <c r="AW853" s="30">
        <f>Inventory[[#This Row],[UpprFn]]*Lookups!$B$91</f>
        <v>0</v>
      </c>
      <c r="AX853" s="30">
        <f>Inventory[[#This Row],[Bsmt Area]]*Lookups!$B$95</f>
        <v>0</v>
      </c>
      <c r="AY853" s="30">
        <f>Inventory[[#This Row],[AttGar]]*Lookups!$B$93</f>
        <v>15108.841268</v>
      </c>
      <c r="AZ853" s="30">
        <f>ROUND(Inventory[[#This Row],[25Det]],-2)</f>
        <v>0</v>
      </c>
      <c r="BA853" s="30">
        <f>ROUND(SUM(Inventory[[#This Row],[Mdl Qlty]:[Mdl Garage Area]])+Inventory[[#This Row],[Mdl Res Intercept]],-2)</f>
        <v>315100</v>
      </c>
      <c r="BB853" s="30">
        <f>ROUND(Inventory[[#This Row],[Mdl Land Intercept]]+Inventory[[#This Row],[Mdl LnAcres]],-2)</f>
        <v>69600</v>
      </c>
      <c r="BC853" s="30">
        <f>Inventory[[#This Row],[Unadj Res Value]]+Inventory[[#This Row],[Unadj Det Value]]+Inventory[[#This Row],[Unadj Land Value]]</f>
        <v>384700</v>
      </c>
      <c r="BD853" s="30">
        <f>(Inventory[[#This Row],[Unadj Total Value]]-Inventory[[#This Row],[24Final]])/Inventory[[#This Row],[24Final]]</f>
        <v>4.5096441184460746E-2</v>
      </c>
      <c r="BE853" s="30">
        <f>VLOOKUP(Inventory[[#This Row],[Nbhd]],Lookups!$M$3:$P$5,4,FALSE)</f>
        <v>0.99970000000000003</v>
      </c>
      <c r="BF853" s="30">
        <f>VLOOKUP(Inventory[[#This Row],[Qlty]],Lookups!$M$8:$P$22,4,FALSE)</f>
        <v>1.0019</v>
      </c>
      <c r="BG853" s="30">
        <f>VLOOKUP(Inventory[[#This Row],[Cnd]],Lookups!$R$8:$U$17,4,FALSE)</f>
        <v>1.0007999999999999</v>
      </c>
      <c r="BH853" s="30">
        <f>VLOOKUP(Inventory[[#This Row],[LivArea Range]],Lookups!$R$25:$U$43,4,FALSE)</f>
        <v>0.99519999999999997</v>
      </c>
      <c r="BI853" s="30">
        <f>VLOOKUP(Inventory[[#This Row],[Decade]],Lookups!$M$24:$P$40,4,FALSE)</f>
        <v>1.0024</v>
      </c>
      <c r="BJ853" s="30">
        <f>Inventory[[#This Row],[Nbhd Adj]]*0.95</f>
        <v>0.94971499999999998</v>
      </c>
      <c r="BK853" s="30">
        <f>AVERAGE(Inventory[[#This Row],[Nbhd Adj]],Inventory[[#This Row],[Quality Adj]],Inventory[[#This Row],[Condition Adj]],Inventory[[#This Row],[Living Area Adj]],Inventory[[#This Row],[Decade Adj]])*0.95</f>
        <v>0.95</v>
      </c>
      <c r="BL853" s="30">
        <f>ROUND((SUM(Inventory[[#This Row],[Mdl Qlty]:[Mdl Garage Area]])+Inventory[[#This Row],[Mdl Res Intercept]])*Inventory[[#This Row],[Res Adj ]],-2)</f>
        <v>299300</v>
      </c>
      <c r="BM853" s="30">
        <f>ROUND(Inventory[[#This Row],[25Det]]*Inventory[[#This Row],[Det/Nbhd Adj]],-2)</f>
        <v>0</v>
      </c>
      <c r="BN853" s="30">
        <f>Inventory[[#This Row],[Adjusted Res]]+Inventory[[#This Row],[Adj Det ]]</f>
        <v>299300</v>
      </c>
      <c r="BO853" s="30">
        <f>ROUND((Inventory[[#This Row],[Mdl Land Intercept]]+Inventory[[#This Row],[Mdl LnAcres]])*Inventory[[#This Row],[Det/Nbhd Adj]],-2)</f>
        <v>66100</v>
      </c>
      <c r="BP853" s="30">
        <f>Inventory[[#This Row],[Adjusted Impr Total]]+Inventory[[#This Row],[Adjusted Land Total]]</f>
        <v>365400</v>
      </c>
      <c r="BQ853" s="30">
        <f>IFERROR((Inventory[[#This Row],[Adjusted Impr Total]]-Inventory[[#This Row],[24Bldg]])/Inventory[[#This Row],[24Bldg]],0)</f>
        <v>-7.6259946949602123E-3</v>
      </c>
      <c r="BR853" s="43">
        <f>(Inventory[[#This Row],[Adjusted Land Total]]-Inventory[[#This Row],[24Lnd]])/Inventory[[#This Row],[24Lnd]]</f>
        <v>-6.0150375939849628E-3</v>
      </c>
      <c r="BS853" s="43">
        <f>(Inventory[[#This Row],[Adjusted Total]]-Inventory[[#This Row],[24Final]])/Inventory[[#This Row],[24Final]]</f>
        <v>-7.3349633251833741E-3</v>
      </c>
    </row>
    <row r="854" spans="1:71">
      <c r="A854" s="30">
        <v>2025</v>
      </c>
      <c r="B854" s="31" t="s">
        <v>1369</v>
      </c>
      <c r="C854" s="31">
        <f>LN(Inventory[[#This Row],[Acres]])</f>
        <v>-1.4271163556401458</v>
      </c>
      <c r="D854" s="30">
        <v>0.24</v>
      </c>
      <c r="E854" s="30">
        <v>10566</v>
      </c>
      <c r="F854" s="31" t="s">
        <v>505</v>
      </c>
      <c r="G854" s="31" t="s">
        <v>155</v>
      </c>
      <c r="H854" s="31" t="s">
        <v>5</v>
      </c>
      <c r="I854" s="31" t="s">
        <v>506</v>
      </c>
      <c r="J854" s="31" t="s">
        <v>507</v>
      </c>
      <c r="K854" s="31" t="s">
        <v>330</v>
      </c>
      <c r="L854" s="31" t="s">
        <v>21</v>
      </c>
      <c r="M854" s="31" t="s">
        <v>22</v>
      </c>
      <c r="N854" s="31">
        <v>10</v>
      </c>
      <c r="O854" s="31">
        <f>2024-Inventory[[#This Row],[YrBlt]]</f>
        <v>19</v>
      </c>
      <c r="P854" s="31">
        <f>2024-Inventory[[#This Row],[EffYr]]</f>
        <v>19</v>
      </c>
      <c r="Q854" s="30">
        <v>2005</v>
      </c>
      <c r="R854" s="30">
        <v>2005</v>
      </c>
      <c r="S854" s="30">
        <v>2154</v>
      </c>
      <c r="T854" s="37"/>
      <c r="U854" s="32"/>
      <c r="V854" s="32"/>
      <c r="W854" s="32"/>
      <c r="X854" s="32">
        <f>Inventory[[#This Row],[Bsmt Area]]-Inventory[[#This Row],[FnBsmt]]</f>
        <v>0</v>
      </c>
      <c r="Y854" s="32">
        <f>Inventory[[#This Row],[MainFn]]+Inventory[[#This Row],[UpprFn]]+Inventory[[#This Row],[AddFn]]+Inventory[[#This Row],[FnBsmt]]</f>
        <v>2154</v>
      </c>
      <c r="Z854" s="32">
        <v>2500</v>
      </c>
      <c r="AA854" s="31" t="s">
        <v>55</v>
      </c>
      <c r="AB854" s="38">
        <v>1</v>
      </c>
      <c r="AC854" s="30">
        <v>730</v>
      </c>
      <c r="AD854" s="37"/>
      <c r="AE854" s="32"/>
      <c r="AF854" s="32"/>
      <c r="AG854" s="32"/>
      <c r="AH854" s="32"/>
      <c r="AI854" s="30">
        <v>459402</v>
      </c>
      <c r="AJ854" s="30">
        <v>418056</v>
      </c>
      <c r="AK854" s="30">
        <v>0</v>
      </c>
      <c r="AL854" s="30">
        <v>0</v>
      </c>
      <c r="AM854" s="30">
        <v>66500</v>
      </c>
      <c r="AN854" s="30">
        <v>347200</v>
      </c>
      <c r="AO854" s="30">
        <v>413700</v>
      </c>
      <c r="AP854" s="30">
        <f>Lookups!$B$58*0.6</f>
        <v>132535.48800000001</v>
      </c>
      <c r="AQ854" s="30">
        <f>Lookups!$B$58*0.4</f>
        <v>88356.992000000013</v>
      </c>
      <c r="AR854" s="30">
        <f>Lookups!$B$59*Inventory[[#This Row],[LnAcres]]</f>
        <v>-18729.933155771436</v>
      </c>
      <c r="AS854" s="30">
        <f>VLOOKUP(Inventory[[#This Row],[Qlty]],Lookups!$A$66:$E$79,2,FALSE)</f>
        <v>32917.849192000001</v>
      </c>
      <c r="AT854" s="30">
        <f>VLOOKUP(Inventory[[#This Row],[Cnd]],Lookups!$A$80:$E$88,2,FALSE)</f>
        <v>50438.379078999998</v>
      </c>
      <c r="AU854" s="30">
        <f>Inventory[[#This Row],[EffAge]]*Lookups!$B$65</f>
        <v>-2066.0808999999999</v>
      </c>
      <c r="AV854" s="30">
        <f>Inventory[[#This Row],[MainFn]]*Lookups!$B$90</f>
        <v>134431.95852000001</v>
      </c>
      <c r="AW854" s="30">
        <f>Inventory[[#This Row],[UpprFn]]*Lookups!$B$91</f>
        <v>0</v>
      </c>
      <c r="AX854" s="30">
        <f>Inventory[[#This Row],[Bsmt Area]]*Lookups!$B$95</f>
        <v>0</v>
      </c>
      <c r="AY854" s="30">
        <f>Inventory[[#This Row],[AttGar]]*Lookups!$B$93</f>
        <v>25769.752630000003</v>
      </c>
      <c r="AZ854" s="30">
        <f>ROUND(Inventory[[#This Row],[25Det]],-2)</f>
        <v>0</v>
      </c>
      <c r="BA854" s="30">
        <f>ROUND(SUM(Inventory[[#This Row],[Mdl Qlty]:[Mdl Garage Area]])+Inventory[[#This Row],[Mdl Res Intercept]],-2)</f>
        <v>374000</v>
      </c>
      <c r="BB854" s="30">
        <f>ROUND(Inventory[[#This Row],[Mdl Land Intercept]]+Inventory[[#This Row],[Mdl LnAcres]],-2)</f>
        <v>69600</v>
      </c>
      <c r="BC854" s="30">
        <f>Inventory[[#This Row],[Unadj Res Value]]+Inventory[[#This Row],[Unadj Det Value]]+Inventory[[#This Row],[Unadj Land Value]]</f>
        <v>443600</v>
      </c>
      <c r="BD854" s="30">
        <f>(Inventory[[#This Row],[Unadj Total Value]]-Inventory[[#This Row],[24Final]])/Inventory[[#This Row],[24Final]]</f>
        <v>7.2274595117234705E-2</v>
      </c>
      <c r="BE854" s="30">
        <f>VLOOKUP(Inventory[[#This Row],[Nbhd]],Lookups!$M$3:$P$5,4,FALSE)</f>
        <v>0.99970000000000003</v>
      </c>
      <c r="BF854" s="30">
        <f>VLOOKUP(Inventory[[#This Row],[Qlty]],Lookups!$M$8:$P$22,4,FALSE)</f>
        <v>1.0019</v>
      </c>
      <c r="BG854" s="30">
        <f>VLOOKUP(Inventory[[#This Row],[Cnd]],Lookups!$R$8:$U$17,4,FALSE)</f>
        <v>1.0007999999999999</v>
      </c>
      <c r="BH854" s="30">
        <f>VLOOKUP(Inventory[[#This Row],[LivArea Range]],Lookups!$R$25:$U$43,4,FALSE)</f>
        <v>1.0008999999999999</v>
      </c>
      <c r="BI854" s="30">
        <f>VLOOKUP(Inventory[[#This Row],[Decade]],Lookups!$M$24:$P$40,4,FALSE)</f>
        <v>1.0024</v>
      </c>
      <c r="BJ854" s="30">
        <f>Inventory[[#This Row],[Nbhd Adj]]*0.95</f>
        <v>0.94971499999999998</v>
      </c>
      <c r="BK854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854" s="30">
        <f>ROUND((SUM(Inventory[[#This Row],[Mdl Qlty]:[Mdl Garage Area]])+Inventory[[#This Row],[Mdl Res Intercept]])*Inventory[[#This Row],[Res Adj ]],-2)</f>
        <v>355700</v>
      </c>
      <c r="BM854" s="30">
        <f>ROUND(Inventory[[#This Row],[25Det]]*Inventory[[#This Row],[Det/Nbhd Adj]],-2)</f>
        <v>0</v>
      </c>
      <c r="BN854" s="30">
        <f>Inventory[[#This Row],[Adjusted Res]]+Inventory[[#This Row],[Adj Det ]]</f>
        <v>355700</v>
      </c>
      <c r="BO854" s="30">
        <f>ROUND((Inventory[[#This Row],[Mdl Land Intercept]]+Inventory[[#This Row],[Mdl LnAcres]])*Inventory[[#This Row],[Det/Nbhd Adj]],-2)</f>
        <v>66100</v>
      </c>
      <c r="BP854" s="30">
        <f>Inventory[[#This Row],[Adjusted Impr Total]]+Inventory[[#This Row],[Adjusted Land Total]]</f>
        <v>421800</v>
      </c>
      <c r="BQ854" s="30">
        <f>IFERROR((Inventory[[#This Row],[Adjusted Impr Total]]-Inventory[[#This Row],[24Bldg]])/Inventory[[#This Row],[24Bldg]],0)</f>
        <v>2.4481566820276499E-2</v>
      </c>
      <c r="BR854" s="43">
        <f>(Inventory[[#This Row],[Adjusted Land Total]]-Inventory[[#This Row],[24Lnd]])/Inventory[[#This Row],[24Lnd]]</f>
        <v>-6.0150375939849628E-3</v>
      </c>
      <c r="BS854" s="43">
        <f>(Inventory[[#This Row],[Adjusted Total]]-Inventory[[#This Row],[24Final]])/Inventory[[#This Row],[24Final]]</f>
        <v>1.9579405366207395E-2</v>
      </c>
    </row>
    <row r="855" spans="1:71">
      <c r="A855" s="30">
        <v>2025</v>
      </c>
      <c r="B855" s="31" t="s">
        <v>1370</v>
      </c>
      <c r="C855" s="31">
        <f>LN(Inventory[[#This Row],[Acres]])</f>
        <v>-1.3862943611198906</v>
      </c>
      <c r="D855" s="30">
        <v>0.25</v>
      </c>
      <c r="E855" s="30">
        <v>10881</v>
      </c>
      <c r="F855" s="31" t="s">
        <v>505</v>
      </c>
      <c r="G855" s="31" t="s">
        <v>155</v>
      </c>
      <c r="H855" s="31" t="s">
        <v>5</v>
      </c>
      <c r="I855" s="31" t="s">
        <v>506</v>
      </c>
      <c r="J855" s="31" t="s">
        <v>507</v>
      </c>
      <c r="K855" s="31" t="s">
        <v>193</v>
      </c>
      <c r="L855" s="31" t="s">
        <v>19</v>
      </c>
      <c r="M855" s="31" t="s">
        <v>20</v>
      </c>
      <c r="N855" s="31">
        <v>10</v>
      </c>
      <c r="O855" s="31">
        <f>2024-Inventory[[#This Row],[YrBlt]]</f>
        <v>19</v>
      </c>
      <c r="P855" s="31">
        <f>2024-Inventory[[#This Row],[EffYr]]</f>
        <v>19</v>
      </c>
      <c r="Q855" s="30">
        <v>2005</v>
      </c>
      <c r="R855" s="30">
        <v>2005</v>
      </c>
      <c r="S855" s="30">
        <v>1380</v>
      </c>
      <c r="T855" s="32"/>
      <c r="U855" s="32"/>
      <c r="V855" s="32"/>
      <c r="W855" s="32"/>
      <c r="X855" s="32">
        <f>Inventory[[#This Row],[Bsmt Area]]-Inventory[[#This Row],[FnBsmt]]</f>
        <v>0</v>
      </c>
      <c r="Y855" s="32">
        <f>Inventory[[#This Row],[MainFn]]+Inventory[[#This Row],[UpprFn]]+Inventory[[#This Row],[AddFn]]+Inventory[[#This Row],[FnBsmt]]</f>
        <v>1380</v>
      </c>
      <c r="Z855" s="32">
        <v>1500</v>
      </c>
      <c r="AA855" s="31" t="s">
        <v>56</v>
      </c>
      <c r="AB855" s="32"/>
      <c r="AC855" s="30">
        <v>668</v>
      </c>
      <c r="AD855" s="32"/>
      <c r="AE855" s="32"/>
      <c r="AF855" s="32"/>
      <c r="AG855" s="32"/>
      <c r="AH855" s="32"/>
      <c r="AI855" s="30">
        <v>291703</v>
      </c>
      <c r="AJ855" s="30">
        <v>265450</v>
      </c>
      <c r="AK855" s="30">
        <v>0</v>
      </c>
      <c r="AL855" s="30">
        <v>0</v>
      </c>
      <c r="AM855" s="30">
        <v>67100</v>
      </c>
      <c r="AN855" s="30">
        <v>313600</v>
      </c>
      <c r="AO855" s="30">
        <v>380700</v>
      </c>
      <c r="AP855" s="30">
        <f>Lookups!$B$58*0.6</f>
        <v>132535.48800000001</v>
      </c>
      <c r="AQ855" s="30">
        <f>Lookups!$B$58*0.4</f>
        <v>88356.992000000013</v>
      </c>
      <c r="AR855" s="30">
        <f>Lookups!$B$59*Inventory[[#This Row],[LnAcres]]</f>
        <v>-18194.172195827363</v>
      </c>
      <c r="AS855" s="30">
        <f>VLOOKUP(Inventory[[#This Row],[Qlty]],Lookups!$A$66:$E$79,2,FALSE)</f>
        <v>37154.252388000001</v>
      </c>
      <c r="AT855" s="30">
        <f>VLOOKUP(Inventory[[#This Row],[Cnd]],Lookups!$A$80:$E$88,2,FALSE)</f>
        <v>30300.329274</v>
      </c>
      <c r="AU855" s="30">
        <f>Inventory[[#This Row],[EffAge]]*Lookups!$B$65</f>
        <v>-2066.0808999999999</v>
      </c>
      <c r="AV855" s="30">
        <f>Inventory[[#This Row],[MainFn]]*Lookups!$B$90</f>
        <v>86126.324399999998</v>
      </c>
      <c r="AW855" s="30">
        <f>Inventory[[#This Row],[UpprFn]]*Lookups!$B$91</f>
        <v>0</v>
      </c>
      <c r="AX855" s="30">
        <f>Inventory[[#This Row],[Bsmt Area]]*Lookups!$B$95</f>
        <v>0</v>
      </c>
      <c r="AY855" s="30">
        <f>Inventory[[#This Row],[AttGar]]*Lookups!$B$93</f>
        <v>23581.088708000003</v>
      </c>
      <c r="AZ855" s="30">
        <f>ROUND(Inventory[[#This Row],[25Det]],-2)</f>
        <v>0</v>
      </c>
      <c r="BA855" s="30">
        <f>ROUND(SUM(Inventory[[#This Row],[Mdl Qlty]:[Mdl Garage Area]])+Inventory[[#This Row],[Mdl Res Intercept]],-2)</f>
        <v>307600</v>
      </c>
      <c r="BB855" s="30">
        <f>ROUND(Inventory[[#This Row],[Mdl Land Intercept]]+Inventory[[#This Row],[Mdl LnAcres]],-2)</f>
        <v>70200</v>
      </c>
      <c r="BC855" s="30">
        <f>Inventory[[#This Row],[Unadj Res Value]]+Inventory[[#This Row],[Unadj Det Value]]+Inventory[[#This Row],[Unadj Land Value]]</f>
        <v>377800</v>
      </c>
      <c r="BD855" s="30">
        <f>(Inventory[[#This Row],[Unadj Total Value]]-Inventory[[#This Row],[24Final]])/Inventory[[#This Row],[24Final]]</f>
        <v>-7.6175466246388235E-3</v>
      </c>
      <c r="BE855" s="30">
        <f>VLOOKUP(Inventory[[#This Row],[Nbhd]],Lookups!$M$3:$P$5,4,FALSE)</f>
        <v>0.99970000000000003</v>
      </c>
      <c r="BF855" s="30">
        <f>VLOOKUP(Inventory[[#This Row],[Qlty]],Lookups!$M$8:$P$22,4,FALSE)</f>
        <v>0.99819999999999998</v>
      </c>
      <c r="BG855" s="30">
        <f>VLOOKUP(Inventory[[#This Row],[Cnd]],Lookups!$R$8:$U$17,4,FALSE)</f>
        <v>0.997</v>
      </c>
      <c r="BH855" s="30">
        <f>VLOOKUP(Inventory[[#This Row],[LivArea Range]],Lookups!$R$25:$U$43,4,FALSE)</f>
        <v>0.99519999999999997</v>
      </c>
      <c r="BI855" s="30">
        <f>VLOOKUP(Inventory[[#This Row],[Decade]],Lookups!$M$24:$P$40,4,FALSE)</f>
        <v>1.0024</v>
      </c>
      <c r="BJ855" s="30">
        <f>Inventory[[#This Row],[Nbhd Adj]]*0.95</f>
        <v>0.94971499999999998</v>
      </c>
      <c r="BK855" s="30">
        <f>AVERAGE(Inventory[[#This Row],[Nbhd Adj]],Inventory[[#This Row],[Quality Adj]],Inventory[[#This Row],[Condition Adj]],Inventory[[#This Row],[Living Area Adj]],Inventory[[#This Row],[Decade Adj]])*0.95</f>
        <v>0.94857499999999995</v>
      </c>
      <c r="BL855" s="30">
        <f>ROUND((SUM(Inventory[[#This Row],[Mdl Qlty]:[Mdl Garage Area]])+Inventory[[#This Row],[Mdl Res Intercept]])*Inventory[[#This Row],[Res Adj ]],-2)</f>
        <v>291800</v>
      </c>
      <c r="BM855" s="30">
        <f>ROUND(Inventory[[#This Row],[25Det]]*Inventory[[#This Row],[Det/Nbhd Adj]],-2)</f>
        <v>0</v>
      </c>
      <c r="BN855" s="30">
        <f>Inventory[[#This Row],[Adjusted Res]]+Inventory[[#This Row],[Adj Det ]]</f>
        <v>291800</v>
      </c>
      <c r="BO855" s="30">
        <f>ROUND((Inventory[[#This Row],[Mdl Land Intercept]]+Inventory[[#This Row],[Mdl LnAcres]])*Inventory[[#This Row],[Det/Nbhd Adj]],-2)</f>
        <v>66600</v>
      </c>
      <c r="BP855" s="30">
        <f>Inventory[[#This Row],[Adjusted Impr Total]]+Inventory[[#This Row],[Adjusted Land Total]]</f>
        <v>358400</v>
      </c>
      <c r="BQ855" s="30">
        <f>IFERROR((Inventory[[#This Row],[Adjusted Impr Total]]-Inventory[[#This Row],[24Bldg]])/Inventory[[#This Row],[24Bldg]],0)</f>
        <v>-6.951530612244898E-2</v>
      </c>
      <c r="BR855" s="43">
        <f>(Inventory[[#This Row],[Adjusted Land Total]]-Inventory[[#This Row],[24Lnd]])/Inventory[[#This Row],[24Lnd]]</f>
        <v>-7.4515648286140089E-3</v>
      </c>
      <c r="BS855" s="43">
        <f>(Inventory[[#This Row],[Adjusted Total]]-Inventory[[#This Row],[24Final]])/Inventory[[#This Row],[24Final]]</f>
        <v>-5.8576306803257157E-2</v>
      </c>
    </row>
    <row r="856" spans="1:71">
      <c r="A856" s="30">
        <v>2025</v>
      </c>
      <c r="B856" s="31" t="s">
        <v>1371</v>
      </c>
      <c r="C856" s="31">
        <f>LN(Inventory[[#This Row],[Acres]])</f>
        <v>-1.2039728043259361</v>
      </c>
      <c r="D856" s="30">
        <v>0.3</v>
      </c>
      <c r="E856" s="30">
        <v>12874</v>
      </c>
      <c r="F856" s="31" t="s">
        <v>505</v>
      </c>
      <c r="G856" s="31" t="s">
        <v>155</v>
      </c>
      <c r="H856" s="31" t="s">
        <v>5</v>
      </c>
      <c r="I856" s="31" t="s">
        <v>506</v>
      </c>
      <c r="J856" s="31" t="s">
        <v>507</v>
      </c>
      <c r="K856" s="31" t="s">
        <v>330</v>
      </c>
      <c r="L856" s="31" t="s">
        <v>21</v>
      </c>
      <c r="M856" s="31" t="s">
        <v>22</v>
      </c>
      <c r="N856" s="31">
        <v>10</v>
      </c>
      <c r="O856" s="31">
        <f>2024-Inventory[[#This Row],[YrBlt]]</f>
        <v>19</v>
      </c>
      <c r="P856" s="31">
        <f>2024-Inventory[[#This Row],[EffYr]]</f>
        <v>19</v>
      </c>
      <c r="Q856" s="30">
        <v>2005</v>
      </c>
      <c r="R856" s="30">
        <v>2005</v>
      </c>
      <c r="S856" s="30">
        <v>2121</v>
      </c>
      <c r="T856" s="32"/>
      <c r="U856" s="32"/>
      <c r="V856" s="32"/>
      <c r="W856" s="32"/>
      <c r="X856" s="32">
        <f>Inventory[[#This Row],[Bsmt Area]]-Inventory[[#This Row],[FnBsmt]]</f>
        <v>0</v>
      </c>
      <c r="Y856" s="32">
        <f>Inventory[[#This Row],[MainFn]]+Inventory[[#This Row],[UpprFn]]+Inventory[[#This Row],[AddFn]]+Inventory[[#This Row],[FnBsmt]]</f>
        <v>2121</v>
      </c>
      <c r="Z856" s="32">
        <v>2500</v>
      </c>
      <c r="AA856" s="31" t="s">
        <v>55</v>
      </c>
      <c r="AB856" s="37"/>
      <c r="AC856" s="30">
        <v>1248</v>
      </c>
      <c r="AD856" s="32"/>
      <c r="AE856" s="32"/>
      <c r="AF856" s="32"/>
      <c r="AG856" s="32"/>
      <c r="AH856" s="32"/>
      <c r="AI856" s="30">
        <v>503885</v>
      </c>
      <c r="AJ856" s="30">
        <v>458535</v>
      </c>
      <c r="AK856" s="30">
        <v>16722</v>
      </c>
      <c r="AL856" s="30">
        <v>0</v>
      </c>
      <c r="AM856" s="30">
        <v>69600</v>
      </c>
      <c r="AN856" s="30">
        <v>388100</v>
      </c>
      <c r="AO856" s="30">
        <v>457700</v>
      </c>
      <c r="AP856" s="30">
        <f>Lookups!$B$58*0.6</f>
        <v>132535.48800000001</v>
      </c>
      <c r="AQ856" s="30">
        <f>Lookups!$B$58*0.4</f>
        <v>88356.992000000013</v>
      </c>
      <c r="AR856" s="30">
        <f>Lookups!$B$59*Inventory[[#This Row],[LnAcres]]</f>
        <v>-15801.325559243774</v>
      </c>
      <c r="AS856" s="30">
        <f>VLOOKUP(Inventory[[#This Row],[Qlty]],Lookups!$A$66:$E$79,2,FALSE)</f>
        <v>32917.849192000001</v>
      </c>
      <c r="AT856" s="30">
        <f>VLOOKUP(Inventory[[#This Row],[Cnd]],Lookups!$A$80:$E$88,2,FALSE)</f>
        <v>50438.379078999998</v>
      </c>
      <c r="AU856" s="30">
        <f>Inventory[[#This Row],[EffAge]]*Lookups!$B$65</f>
        <v>-2066.0808999999999</v>
      </c>
      <c r="AV856" s="30">
        <f>Inventory[[#This Row],[MainFn]]*Lookups!$B$90</f>
        <v>132372.41598000002</v>
      </c>
      <c r="AW856" s="30">
        <f>Inventory[[#This Row],[UpprFn]]*Lookups!$B$91</f>
        <v>0</v>
      </c>
      <c r="AX856" s="30">
        <f>Inventory[[#This Row],[Bsmt Area]]*Lookups!$B$95</f>
        <v>0</v>
      </c>
      <c r="AY856" s="30">
        <f>Inventory[[#This Row],[AttGar]]*Lookups!$B$93</f>
        <v>44055.686688000002</v>
      </c>
      <c r="AZ856" s="30">
        <f>ROUND(Inventory[[#This Row],[25Det]],-2)</f>
        <v>16700</v>
      </c>
      <c r="BA856" s="30">
        <f>ROUND(SUM(Inventory[[#This Row],[Mdl Qlty]:[Mdl Garage Area]])+Inventory[[#This Row],[Mdl Res Intercept]],-2)</f>
        <v>390300</v>
      </c>
      <c r="BB856" s="30">
        <f>ROUND(Inventory[[#This Row],[Mdl Land Intercept]]+Inventory[[#This Row],[Mdl LnAcres]],-2)</f>
        <v>72600</v>
      </c>
      <c r="BC856" s="30">
        <f>Inventory[[#This Row],[Unadj Res Value]]+Inventory[[#This Row],[Unadj Det Value]]+Inventory[[#This Row],[Unadj Land Value]]</f>
        <v>479600</v>
      </c>
      <c r="BD856" s="30">
        <f>(Inventory[[#This Row],[Unadj Total Value]]-Inventory[[#This Row],[24Final]])/Inventory[[#This Row],[24Final]]</f>
        <v>4.7847935328818002E-2</v>
      </c>
      <c r="BE856" s="30">
        <f>VLOOKUP(Inventory[[#This Row],[Nbhd]],Lookups!$M$3:$P$5,4,FALSE)</f>
        <v>0.99970000000000003</v>
      </c>
      <c r="BF856" s="30">
        <f>VLOOKUP(Inventory[[#This Row],[Qlty]],Lookups!$M$8:$P$22,4,FALSE)</f>
        <v>1.0019</v>
      </c>
      <c r="BG856" s="30">
        <f>VLOOKUP(Inventory[[#This Row],[Cnd]],Lookups!$R$8:$U$17,4,FALSE)</f>
        <v>1.0007999999999999</v>
      </c>
      <c r="BH856" s="30">
        <f>VLOOKUP(Inventory[[#This Row],[LivArea Range]],Lookups!$R$25:$U$43,4,FALSE)</f>
        <v>1.0008999999999999</v>
      </c>
      <c r="BI856" s="30">
        <f>VLOOKUP(Inventory[[#This Row],[Decade]],Lookups!$M$24:$P$40,4,FALSE)</f>
        <v>1.0024</v>
      </c>
      <c r="BJ856" s="30">
        <f>Inventory[[#This Row],[Nbhd Adj]]*0.95</f>
        <v>0.94971499999999998</v>
      </c>
      <c r="BK856" s="30">
        <f>AVERAGE(Inventory[[#This Row],[Nbhd Adj]],Inventory[[#This Row],[Quality Adj]],Inventory[[#This Row],[Condition Adj]],Inventory[[#This Row],[Living Area Adj]],Inventory[[#This Row],[Decade Adj]])*0.95</f>
        <v>0.9510829999999999</v>
      </c>
      <c r="BL856" s="30">
        <f>ROUND((SUM(Inventory[[#This Row],[Mdl Qlty]:[Mdl Garage Area]])+Inventory[[#This Row],[Mdl Res Intercept]])*Inventory[[#This Row],[Res Adj ]],-2)</f>
        <v>371200</v>
      </c>
      <c r="BM856" s="30">
        <f>ROUND(Inventory[[#This Row],[25Det]]*Inventory[[#This Row],[Det/Nbhd Adj]],-2)</f>
        <v>15900</v>
      </c>
      <c r="BN856" s="30">
        <f>Inventory[[#This Row],[Adjusted Res]]+Inventory[[#This Row],[Adj Det ]]</f>
        <v>387100</v>
      </c>
      <c r="BO856" s="30">
        <f>ROUND((Inventory[[#This Row],[Mdl Land Intercept]]+Inventory[[#This Row],[Mdl LnAcres]])*Inventory[[#This Row],[Det/Nbhd Adj]],-2)</f>
        <v>68900</v>
      </c>
      <c r="BP856" s="30">
        <f>Inventory[[#This Row],[Adjusted Impr Total]]+Inventory[[#This Row],[Adjusted Land Total]]</f>
        <v>456000</v>
      </c>
      <c r="BQ856" s="30">
        <f>IFERROR((Inventory[[#This Row],[Adjusted Impr Total]]-Inventory[[#This Row],[24Bldg]])/Inventory[[#This Row],[24Bldg]],0)</f>
        <v>-2.5766555011594952E-3</v>
      </c>
      <c r="BR856" s="43">
        <f>(Inventory[[#This Row],[Adjusted Land Total]]-Inventory[[#This Row],[24Lnd]])/Inventory[[#This Row],[24Lnd]]</f>
        <v>-1.0057471264367816E-2</v>
      </c>
      <c r="BS856" s="43">
        <f>(Inventory[[#This Row],[Adjusted Total]]-Inventory[[#This Row],[24Final]])/Inventory[[#This Row],[24Final]]</f>
        <v>-3.714223290364868E-3</v>
      </c>
    </row>
    <row r="857" spans="1:71">
      <c r="A857" s="30">
        <v>2025</v>
      </c>
      <c r="B857" s="31" t="s">
        <v>1372</v>
      </c>
      <c r="C857" s="31">
        <f>LN(Inventory[[#This Row],[Acres]])</f>
        <v>-1.1711829815029451</v>
      </c>
      <c r="D857" s="30">
        <v>0.31</v>
      </c>
      <c r="E857" s="30">
        <v>13700</v>
      </c>
      <c r="F857" s="31" t="s">
        <v>505</v>
      </c>
      <c r="G857" s="31" t="s">
        <v>155</v>
      </c>
      <c r="H857" s="31" t="s">
        <v>5</v>
      </c>
      <c r="I857" s="31" t="s">
        <v>506</v>
      </c>
      <c r="J857" s="31" t="s">
        <v>507</v>
      </c>
      <c r="K857" s="31" t="s">
        <v>330</v>
      </c>
      <c r="L857" s="31" t="s">
        <v>21</v>
      </c>
      <c r="M857" s="31" t="s">
        <v>20</v>
      </c>
      <c r="N857" s="31">
        <v>10</v>
      </c>
      <c r="O857" s="31">
        <f>2024-Inventory[[#This Row],[YrBlt]]</f>
        <v>19</v>
      </c>
      <c r="P857" s="31">
        <f>2024-Inventory[[#This Row],[EffYr]]</f>
        <v>19</v>
      </c>
      <c r="Q857" s="30">
        <v>2005</v>
      </c>
      <c r="R857" s="30">
        <v>2005</v>
      </c>
      <c r="S857" s="30">
        <v>2154</v>
      </c>
      <c r="T857" s="32"/>
      <c r="U857" s="32"/>
      <c r="V857" s="32"/>
      <c r="W857" s="32"/>
      <c r="X857" s="32">
        <f>Inventory[[#This Row],[Bsmt Area]]-Inventory[[#This Row],[FnBsmt]]</f>
        <v>0</v>
      </c>
      <c r="Y857" s="32">
        <f>Inventory[[#This Row],[MainFn]]+Inventory[[#This Row],[UpprFn]]+Inventory[[#This Row],[AddFn]]+Inventory[[#This Row],[FnBsmt]]</f>
        <v>2154</v>
      </c>
      <c r="Z857" s="32">
        <v>2500</v>
      </c>
      <c r="AA857" s="31" t="s">
        <v>56</v>
      </c>
      <c r="AB857" s="30">
        <v>1</v>
      </c>
      <c r="AC857" s="30">
        <v>730</v>
      </c>
      <c r="AD857" s="32"/>
      <c r="AE857" s="32"/>
      <c r="AF857" s="32"/>
      <c r="AG857" s="32"/>
      <c r="AH857" s="32"/>
      <c r="AI857" s="30">
        <v>459402</v>
      </c>
      <c r="AJ857" s="30">
        <v>418056</v>
      </c>
      <c r="AK857" s="30">
        <v>0</v>
      </c>
      <c r="AL857" s="30">
        <v>0</v>
      </c>
      <c r="AM857" s="30">
        <v>70100</v>
      </c>
      <c r="AN857" s="30">
        <v>331700</v>
      </c>
      <c r="AO857" s="30">
        <v>401800</v>
      </c>
      <c r="AP857" s="30">
        <f>Lookups!$B$58*0.6</f>
        <v>132535.48800000001</v>
      </c>
      <c r="AQ857" s="30">
        <f>Lookups!$B$58*0.4</f>
        <v>88356.992000000013</v>
      </c>
      <c r="AR857" s="30">
        <f>Lookups!$B$59*Inventory[[#This Row],[LnAcres]]</f>
        <v>-15370.981398981714</v>
      </c>
      <c r="AS857" s="30">
        <f>VLOOKUP(Inventory[[#This Row],[Qlty]],Lookups!$A$66:$E$79,2,FALSE)</f>
        <v>32917.849192000001</v>
      </c>
      <c r="AT857" s="30">
        <f>VLOOKUP(Inventory[[#This Row],[Cnd]],Lookups!$A$80:$E$88,2,FALSE)</f>
        <v>30300.329274</v>
      </c>
      <c r="AU857" s="30">
        <f>Inventory[[#This Row],[EffAge]]*Lookups!$B$65</f>
        <v>-2066.0808999999999</v>
      </c>
      <c r="AV857" s="30">
        <f>Inventory[[#This Row],[MainFn]]*Lookups!$B$90</f>
        <v>134431.95852000001</v>
      </c>
      <c r="AW857" s="30">
        <f>Inventory[[#This Row],[UpprFn]]*Lookups!$B$91</f>
        <v>0</v>
      </c>
      <c r="AX857" s="30">
        <f>Inventory[[#This Row],[Bsmt Area]]*Lookups!$B$95</f>
        <v>0</v>
      </c>
      <c r="AY857" s="30">
        <f>Inventory[[#This Row],[AttGar]]*Lookups!$B$93</f>
        <v>25769.752630000003</v>
      </c>
      <c r="AZ857" s="30">
        <f>ROUND(Inventory[[#This Row],[25Det]],-2)</f>
        <v>0</v>
      </c>
      <c r="BA857" s="30">
        <f>ROUND(SUM(Inventory[[#This Row],[Mdl Qlty]:[Mdl Garage Area]])+Inventory[[#This Row],[Mdl Res Intercept]],-2)</f>
        <v>353900</v>
      </c>
      <c r="BB857" s="30">
        <f>ROUND(Inventory[[#This Row],[Mdl Land Intercept]]+Inventory[[#This Row],[Mdl LnAcres]],-2)</f>
        <v>73000</v>
      </c>
      <c r="BC857" s="30">
        <f>Inventory[[#This Row],[Unadj Res Value]]+Inventory[[#This Row],[Unadj Det Value]]+Inventory[[#This Row],[Unadj Land Value]]</f>
        <v>426900</v>
      </c>
      <c r="BD857" s="30">
        <f>(Inventory[[#This Row],[Unadj Total Value]]-Inventory[[#This Row],[24Final]])/Inventory[[#This Row],[24Final]]</f>
        <v>6.2468889995022397E-2</v>
      </c>
      <c r="BE857" s="30">
        <f>VLOOKUP(Inventory[[#This Row],[Nbhd]],Lookups!$M$3:$P$5,4,FALSE)</f>
        <v>0.99970000000000003</v>
      </c>
      <c r="BF857" s="30">
        <f>VLOOKUP(Inventory[[#This Row],[Qlty]],Lookups!$M$8:$P$22,4,FALSE)</f>
        <v>1.0019</v>
      </c>
      <c r="BG857" s="30">
        <f>VLOOKUP(Inventory[[#This Row],[Cnd]],Lookups!$R$8:$U$17,4,FALSE)</f>
        <v>0.997</v>
      </c>
      <c r="BH857" s="30">
        <f>VLOOKUP(Inventory[[#This Row],[LivArea Range]],Lookups!$R$25:$U$43,4,FALSE)</f>
        <v>1.0008999999999999</v>
      </c>
      <c r="BI857" s="30">
        <f>VLOOKUP(Inventory[[#This Row],[Decade]],Lookups!$M$24:$P$40,4,FALSE)</f>
        <v>1.0024</v>
      </c>
      <c r="BJ857" s="30">
        <f>Inventory[[#This Row],[Nbhd Adj]]*0.95</f>
        <v>0.94971499999999998</v>
      </c>
      <c r="BK857" s="30">
        <f>AVERAGE(Inventory[[#This Row],[Nbhd Adj]],Inventory[[#This Row],[Quality Adj]],Inventory[[#This Row],[Condition Adj]],Inventory[[#This Row],[Living Area Adj]],Inventory[[#This Row],[Decade Adj]])*0.95</f>
        <v>0.95036099999999979</v>
      </c>
      <c r="BL857" s="30">
        <f>ROUND((SUM(Inventory[[#This Row],[Mdl Qlty]:[Mdl Garage Area]])+Inventory[[#This Row],[Mdl Res Intercept]])*Inventory[[#This Row],[Res Adj ]],-2)</f>
        <v>336300</v>
      </c>
      <c r="BM857" s="30">
        <f>ROUND(Inventory[[#This Row],[25Det]]*Inventory[[#This Row],[Det/Nbhd Adj]],-2)</f>
        <v>0</v>
      </c>
      <c r="BN857" s="30">
        <f>Inventory[[#This Row],[Adjusted Res]]+Inventory[[#This Row],[Adj Det ]]</f>
        <v>336300</v>
      </c>
      <c r="BO857" s="30">
        <f>ROUND((Inventory[[#This Row],[Mdl Land Intercept]]+Inventory[[#This Row],[Mdl LnAcres]])*Inventory[[#This Row],[Det/Nbhd Adj]],-2)</f>
        <v>69300</v>
      </c>
      <c r="BP857" s="30">
        <f>Inventory[[#This Row],[Adjusted Impr Total]]+Inventory[[#This Row],[Adjusted Land Total]]</f>
        <v>405600</v>
      </c>
      <c r="BQ857" s="30">
        <f>IFERROR((Inventory[[#This Row],[Adjusted Impr Total]]-Inventory[[#This Row],[24Bldg]])/Inventory[[#This Row],[24Bldg]],0)</f>
        <v>1.3867952969550798E-2</v>
      </c>
      <c r="BR857" s="43">
        <f>(Inventory[[#This Row],[Adjusted Land Total]]-Inventory[[#This Row],[24Lnd]])/Inventory[[#This Row],[24Lnd]]</f>
        <v>-1.1412268188302425E-2</v>
      </c>
      <c r="BS857" s="43">
        <f>(Inventory[[#This Row],[Adjusted Total]]-Inventory[[#This Row],[24Final]])/Inventory[[#This Row],[24Final]]</f>
        <v>9.4574415131906415E-3</v>
      </c>
    </row>
    <row r="858" spans="1:71">
      <c r="A858" s="30">
        <v>2025</v>
      </c>
      <c r="B858" s="31" t="s">
        <v>1373</v>
      </c>
      <c r="C858" s="31">
        <f>LN(Inventory[[#This Row],[Acres]])</f>
        <v>0.55961578793542266</v>
      </c>
      <c r="D858" s="30">
        <v>1.75</v>
      </c>
      <c r="E858" s="37"/>
      <c r="F858" s="31" t="s">
        <v>505</v>
      </c>
      <c r="G858" s="31" t="s">
        <v>155</v>
      </c>
      <c r="H858" s="31" t="s">
        <v>5</v>
      </c>
      <c r="I858" s="31" t="s">
        <v>506</v>
      </c>
      <c r="J858" s="31" t="s">
        <v>507</v>
      </c>
      <c r="K858" s="31" t="s">
        <v>157</v>
      </c>
      <c r="L858" s="31" t="s">
        <v>19</v>
      </c>
      <c r="M858" s="31" t="s">
        <v>20</v>
      </c>
      <c r="N858" s="31">
        <v>10</v>
      </c>
      <c r="O858" s="31">
        <f>2024-Inventory[[#This Row],[YrBlt]]</f>
        <v>19</v>
      </c>
      <c r="P858" s="31">
        <f>2024-Inventory[[#This Row],[EffYr]]</f>
        <v>19</v>
      </c>
      <c r="Q858" s="30">
        <v>2005</v>
      </c>
      <c r="R858" s="30">
        <v>2005</v>
      </c>
      <c r="S858" s="30">
        <v>1248</v>
      </c>
      <c r="T858" s="30">
        <v>1248</v>
      </c>
      <c r="U858" s="32"/>
      <c r="V858" s="32"/>
      <c r="W858" s="32"/>
      <c r="X858" s="32">
        <f>Inventory[[#This Row],[Bsmt Area]]-Inventory[[#This Row],[FnBsmt]]</f>
        <v>0</v>
      </c>
      <c r="Y858" s="32">
        <f>Inventory[[#This Row],[MainFn]]+Inventory[[#This Row],[UpprFn]]+Inventory[[#This Row],[AddFn]]+Inventory[[#This Row],[FnBsmt]]</f>
        <v>2496</v>
      </c>
      <c r="Z858" s="32">
        <v>2500</v>
      </c>
      <c r="AA858" s="31" t="s">
        <v>56</v>
      </c>
      <c r="AB858" s="37"/>
      <c r="AC858" s="32"/>
      <c r="AD858" s="37"/>
      <c r="AE858" s="32"/>
      <c r="AF858" s="32"/>
      <c r="AG858" s="32"/>
      <c r="AH858" s="32"/>
      <c r="AI858" s="30">
        <v>392775</v>
      </c>
      <c r="AJ858" s="30">
        <v>357425</v>
      </c>
      <c r="AK858" s="30">
        <v>152266</v>
      </c>
      <c r="AL858" s="30">
        <v>0</v>
      </c>
      <c r="AM858" s="30">
        <v>94300</v>
      </c>
      <c r="AN858" s="30">
        <v>458500</v>
      </c>
      <c r="AO858" s="30">
        <v>552800</v>
      </c>
      <c r="AP858" s="30">
        <f>Lookups!$B$58*0.6</f>
        <v>132535.48800000001</v>
      </c>
      <c r="AQ858" s="30">
        <f>Lookups!$B$58*0.4</f>
        <v>88356.992000000013</v>
      </c>
      <c r="AR858" s="30">
        <f>Lookups!$B$59*Inventory[[#This Row],[LnAcres]]</f>
        <v>7344.5772375324141</v>
      </c>
      <c r="AS858" s="30">
        <f>VLOOKUP(Inventory[[#This Row],[Qlty]],Lookups!$A$66:$E$79,2,FALSE)</f>
        <v>37154.252388000001</v>
      </c>
      <c r="AT858" s="30">
        <f>VLOOKUP(Inventory[[#This Row],[Cnd]],Lookups!$A$80:$E$88,2,FALSE)</f>
        <v>30300.329274</v>
      </c>
      <c r="AU858" s="30">
        <f>Inventory[[#This Row],[EffAge]]*Lookups!$B$65</f>
        <v>-2066.0808999999999</v>
      </c>
      <c r="AV858" s="30">
        <f>Inventory[[#This Row],[MainFn]]*Lookups!$B$90</f>
        <v>77888.154240000003</v>
      </c>
      <c r="AW858" s="30">
        <f>Inventory[[#This Row],[UpprFn]]*Lookups!$B$91</f>
        <v>74356.317983999994</v>
      </c>
      <c r="AX858" s="30">
        <f>Inventory[[#This Row],[Bsmt Area]]*Lookups!$B$95</f>
        <v>0</v>
      </c>
      <c r="AY858" s="30">
        <f>Inventory[[#This Row],[AttGar]]*Lookups!$B$93</f>
        <v>0</v>
      </c>
      <c r="AZ858" s="30">
        <f>ROUND(Inventory[[#This Row],[25Det]],-2)</f>
        <v>152300</v>
      </c>
      <c r="BA858" s="30">
        <f>ROUND(SUM(Inventory[[#This Row],[Mdl Qlty]:[Mdl Garage Area]])+Inventory[[#This Row],[Mdl Res Intercept]],-2)</f>
        <v>350200</v>
      </c>
      <c r="BB858" s="30">
        <f>ROUND(Inventory[[#This Row],[Mdl Land Intercept]]+Inventory[[#This Row],[Mdl LnAcres]],-2)</f>
        <v>95700</v>
      </c>
      <c r="BC858" s="30">
        <f>Inventory[[#This Row],[Unadj Res Value]]+Inventory[[#This Row],[Unadj Det Value]]+Inventory[[#This Row],[Unadj Land Value]]</f>
        <v>598200</v>
      </c>
      <c r="BD858" s="30">
        <f>(Inventory[[#This Row],[Unadj Total Value]]-Inventory[[#This Row],[24Final]])/Inventory[[#This Row],[24Final]]</f>
        <v>8.2127351664254708E-2</v>
      </c>
      <c r="BE858" s="30">
        <f>VLOOKUP(Inventory[[#This Row],[Nbhd]],Lookups!$M$3:$P$5,4,FALSE)</f>
        <v>0.99970000000000003</v>
      </c>
      <c r="BF858" s="30">
        <f>VLOOKUP(Inventory[[#This Row],[Qlty]],Lookups!$M$8:$P$22,4,FALSE)</f>
        <v>0.99819999999999998</v>
      </c>
      <c r="BG858" s="30">
        <f>VLOOKUP(Inventory[[#This Row],[Cnd]],Lookups!$R$8:$U$17,4,FALSE)</f>
        <v>0.997</v>
      </c>
      <c r="BH858" s="30">
        <f>VLOOKUP(Inventory[[#This Row],[LivArea Range]],Lookups!$R$25:$U$43,4,FALSE)</f>
        <v>1.0008999999999999</v>
      </c>
      <c r="BI858" s="30">
        <f>VLOOKUP(Inventory[[#This Row],[Decade]],Lookups!$M$24:$P$40,4,FALSE)</f>
        <v>1.0024</v>
      </c>
      <c r="BJ858" s="30">
        <f>Inventory[[#This Row],[Nbhd Adj]]*0.95</f>
        <v>0.94971499999999998</v>
      </c>
      <c r="BK858" s="30">
        <f>AVERAGE(Inventory[[#This Row],[Nbhd Adj]],Inventory[[#This Row],[Quality Adj]],Inventory[[#This Row],[Condition Adj]],Inventory[[#This Row],[Living Area Adj]],Inventory[[#This Row],[Decade Adj]])*0.95</f>
        <v>0.94965799999999989</v>
      </c>
      <c r="BL858" s="30">
        <f>ROUND((SUM(Inventory[[#This Row],[Mdl Qlty]:[Mdl Garage Area]])+Inventory[[#This Row],[Mdl Res Intercept]])*Inventory[[#This Row],[Res Adj ]],-2)</f>
        <v>332500</v>
      </c>
      <c r="BM858" s="30">
        <f>ROUND(Inventory[[#This Row],[25Det]]*Inventory[[#This Row],[Det/Nbhd Adj]],-2)</f>
        <v>144600</v>
      </c>
      <c r="BN858" s="30">
        <f>Inventory[[#This Row],[Adjusted Res]]+Inventory[[#This Row],[Adj Det ]]</f>
        <v>477100</v>
      </c>
      <c r="BO858" s="30">
        <f>ROUND((Inventory[[#This Row],[Mdl Land Intercept]]+Inventory[[#This Row],[Mdl LnAcres]])*Inventory[[#This Row],[Det/Nbhd Adj]],-2)</f>
        <v>90900</v>
      </c>
      <c r="BP858" s="30">
        <f>Inventory[[#This Row],[Adjusted Impr Total]]+Inventory[[#This Row],[Adjusted Land Total]]</f>
        <v>568000</v>
      </c>
      <c r="BQ858" s="30">
        <f>IFERROR((Inventory[[#This Row],[Adjusted Impr Total]]-Inventory[[#This Row],[24Bldg]])/Inventory[[#This Row],[24Bldg]],0)</f>
        <v>4.0567066521264995E-2</v>
      </c>
      <c r="BR858" s="43">
        <f>(Inventory[[#This Row],[Adjusted Land Total]]-Inventory[[#This Row],[24Lnd]])/Inventory[[#This Row],[24Lnd]]</f>
        <v>-3.6055143160127257E-2</v>
      </c>
      <c r="BS858" s="43">
        <f>(Inventory[[#This Row],[Adjusted Total]]-Inventory[[#This Row],[24Final]])/Inventory[[#This Row],[24Final]]</f>
        <v>2.7496382054992764E-2</v>
      </c>
    </row>
    <row r="859" spans="1:71">
      <c r="A859" s="30">
        <v>2025</v>
      </c>
      <c r="B859" s="31" t="s">
        <v>1374</v>
      </c>
      <c r="C859" s="31">
        <f>LN(Inventory[[#This Row],[Acres]])</f>
        <v>-2.120263536200091</v>
      </c>
      <c r="D859" s="30">
        <v>0.12</v>
      </c>
      <c r="E859" s="30">
        <v>5385</v>
      </c>
      <c r="F859" s="31" t="s">
        <v>505</v>
      </c>
      <c r="G859" s="31" t="s">
        <v>155</v>
      </c>
      <c r="H859" s="31" t="s">
        <v>5</v>
      </c>
      <c r="I859" s="31" t="s">
        <v>506</v>
      </c>
      <c r="J859" s="31" t="s">
        <v>507</v>
      </c>
      <c r="K859" s="31" t="s">
        <v>193</v>
      </c>
      <c r="L859" s="31" t="s">
        <v>19</v>
      </c>
      <c r="M859" s="31" t="s">
        <v>22</v>
      </c>
      <c r="N859" s="31">
        <v>20</v>
      </c>
      <c r="O859" s="31">
        <f>2024-Inventory[[#This Row],[YrBlt]]</f>
        <v>20</v>
      </c>
      <c r="P859" s="31">
        <f>2024-Inventory[[#This Row],[EffYr]]</f>
        <v>20</v>
      </c>
      <c r="Q859" s="30">
        <v>2004</v>
      </c>
      <c r="R859" s="30">
        <v>2004</v>
      </c>
      <c r="S859" s="30">
        <v>1092</v>
      </c>
      <c r="T859" s="37"/>
      <c r="U859" s="32"/>
      <c r="V859" s="32"/>
      <c r="W859" s="32"/>
      <c r="X859" s="32">
        <f>Inventory[[#This Row],[Bsmt Area]]-Inventory[[#This Row],[FnBsmt]]</f>
        <v>0</v>
      </c>
      <c r="Y859" s="32">
        <f>Inventory[[#This Row],[MainFn]]+Inventory[[#This Row],[UpprFn]]+Inventory[[#This Row],[AddFn]]+Inventory[[#This Row],[FnBsmt]]</f>
        <v>1092</v>
      </c>
      <c r="Z859" s="32">
        <v>1500</v>
      </c>
      <c r="AA859" s="31" t="s">
        <v>56</v>
      </c>
      <c r="AB859" s="32"/>
      <c r="AC859" s="30">
        <v>440</v>
      </c>
      <c r="AD859" s="37"/>
      <c r="AE859" s="32"/>
      <c r="AF859" s="32"/>
      <c r="AG859" s="32"/>
      <c r="AH859" s="32"/>
      <c r="AI859" s="30">
        <v>256202</v>
      </c>
      <c r="AJ859" s="30">
        <v>235706</v>
      </c>
      <c r="AK859" s="30">
        <v>0</v>
      </c>
      <c r="AL859" s="30">
        <v>0</v>
      </c>
      <c r="AM859" s="30">
        <v>56800</v>
      </c>
      <c r="AN859" s="30">
        <v>328300</v>
      </c>
      <c r="AO859" s="30">
        <v>385100</v>
      </c>
      <c r="AP859" s="30">
        <f>Lookups!$B$58*0.6</f>
        <v>132535.48800000001</v>
      </c>
      <c r="AQ859" s="30">
        <f>Lookups!$B$58*0.4</f>
        <v>88356.992000000013</v>
      </c>
      <c r="AR859" s="30">
        <f>Lookups!$B$59*Inventory[[#This Row],[LnAcres]]</f>
        <v>-27827.019253685114</v>
      </c>
      <c r="AS859" s="30">
        <f>VLOOKUP(Inventory[[#This Row],[Qlty]],Lookups!$A$66:$E$79,2,FALSE)</f>
        <v>37154.252388000001</v>
      </c>
      <c r="AT859" s="30">
        <f>VLOOKUP(Inventory[[#This Row],[Cnd]],Lookups!$A$80:$E$88,2,FALSE)</f>
        <v>50438.379078999998</v>
      </c>
      <c r="AU859" s="30">
        <f>Inventory[[#This Row],[EffAge]]*Lookups!$B$65</f>
        <v>-2174.8220000000001</v>
      </c>
      <c r="AV859" s="30">
        <f>Inventory[[#This Row],[MainFn]]*Lookups!$B$90</f>
        <v>68152.13496000001</v>
      </c>
      <c r="AW859" s="30">
        <f>Inventory[[#This Row],[UpprFn]]*Lookups!$B$91</f>
        <v>0</v>
      </c>
      <c r="AX859" s="30">
        <f>Inventory[[#This Row],[Bsmt Area]]*Lookups!$B$95</f>
        <v>0</v>
      </c>
      <c r="AY859" s="30">
        <f>Inventory[[#This Row],[AttGar]]*Lookups!$B$93</f>
        <v>15532.453640000002</v>
      </c>
      <c r="AZ859" s="30">
        <f>ROUND(Inventory[[#This Row],[25Det]],-2)</f>
        <v>0</v>
      </c>
      <c r="BA859" s="30">
        <f>ROUND(SUM(Inventory[[#This Row],[Mdl Qlty]:[Mdl Garage Area]])+Inventory[[#This Row],[Mdl Res Intercept]],-2)</f>
        <v>301600</v>
      </c>
      <c r="BB859" s="30">
        <f>ROUND(Inventory[[#This Row],[Mdl Land Intercept]]+Inventory[[#This Row],[Mdl LnAcres]],-2)</f>
        <v>60500</v>
      </c>
      <c r="BC859" s="30">
        <f>Inventory[[#This Row],[Unadj Res Value]]+Inventory[[#This Row],[Unadj Det Value]]+Inventory[[#This Row],[Unadj Land Value]]</f>
        <v>362100</v>
      </c>
      <c r="BD859" s="30">
        <f>(Inventory[[#This Row],[Unadj Total Value]]-Inventory[[#This Row],[24Final]])/Inventory[[#This Row],[24Final]]</f>
        <v>-5.9724746819008051E-2</v>
      </c>
      <c r="BE859" s="30">
        <f>VLOOKUP(Inventory[[#This Row],[Nbhd]],Lookups!$M$3:$P$5,4,FALSE)</f>
        <v>0.99970000000000003</v>
      </c>
      <c r="BF859" s="30">
        <f>VLOOKUP(Inventory[[#This Row],[Qlty]],Lookups!$M$8:$P$22,4,FALSE)</f>
        <v>0.99819999999999998</v>
      </c>
      <c r="BG859" s="30">
        <f>VLOOKUP(Inventory[[#This Row],[Cnd]],Lookups!$R$8:$U$17,4,FALSE)</f>
        <v>1.0007999999999999</v>
      </c>
      <c r="BH859" s="30">
        <f>VLOOKUP(Inventory[[#This Row],[LivArea Range]],Lookups!$R$25:$U$43,4,FALSE)</f>
        <v>0.99519999999999997</v>
      </c>
      <c r="BI859" s="30">
        <f>VLOOKUP(Inventory[[#This Row],[Decade]],Lookups!$M$24:$P$40,4,FALSE)</f>
        <v>0.99560000000000004</v>
      </c>
      <c r="BJ859" s="30">
        <f>Inventory[[#This Row],[Nbhd Adj]]*0.95</f>
        <v>0.94971499999999998</v>
      </c>
      <c r="BK859" s="30">
        <f>AVERAGE(Inventory[[#This Row],[Nbhd Adj]],Inventory[[#This Row],[Quality Adj]],Inventory[[#This Row],[Condition Adj]],Inventory[[#This Row],[Living Area Adj]],Inventory[[#This Row],[Decade Adj]])*0.95</f>
        <v>0.94800499999999988</v>
      </c>
      <c r="BL859" s="30">
        <f>ROUND((SUM(Inventory[[#This Row],[Mdl Qlty]:[Mdl Garage Area]])+Inventory[[#This Row],[Mdl Res Intercept]])*Inventory[[#This Row],[Res Adj ]],-2)</f>
        <v>286000</v>
      </c>
      <c r="BM859" s="30">
        <f>ROUND(Inventory[[#This Row],[25Det]]*Inventory[[#This Row],[Det/Nbhd Adj]],-2)</f>
        <v>0</v>
      </c>
      <c r="BN859" s="30">
        <f>Inventory[[#This Row],[Adjusted Res]]+Inventory[[#This Row],[Adj Det ]]</f>
        <v>286000</v>
      </c>
      <c r="BO859" s="30">
        <f>ROUND((Inventory[[#This Row],[Mdl Land Intercept]]+Inventory[[#This Row],[Mdl LnAcres]])*Inventory[[#This Row],[Det/Nbhd Adj]],-2)</f>
        <v>57500</v>
      </c>
      <c r="BP859" s="30">
        <f>Inventory[[#This Row],[Adjusted Impr Total]]+Inventory[[#This Row],[Adjusted Land Total]]</f>
        <v>343500</v>
      </c>
      <c r="BQ859" s="30">
        <f>IFERROR((Inventory[[#This Row],[Adjusted Impr Total]]-Inventory[[#This Row],[24Bldg]])/Inventory[[#This Row],[24Bldg]],0)</f>
        <v>-0.12884556807797745</v>
      </c>
      <c r="BR859" s="43">
        <f>(Inventory[[#This Row],[Adjusted Land Total]]-Inventory[[#This Row],[24Lnd]])/Inventory[[#This Row],[24Lnd]]</f>
        <v>1.232394366197183E-2</v>
      </c>
      <c r="BS859" s="43">
        <f>(Inventory[[#This Row],[Adjusted Total]]-Inventory[[#This Row],[24Final]])/Inventory[[#This Row],[24Final]]</f>
        <v>-0.1080238898987276</v>
      </c>
    </row>
    <row r="860" spans="1:71">
      <c r="A860" s="30">
        <v>2025</v>
      </c>
      <c r="B860" s="31" t="s">
        <v>1375</v>
      </c>
      <c r="C860" s="31">
        <f>LN(Inventory[[#This Row],[Acres]])</f>
        <v>-1.8971199848858813</v>
      </c>
      <c r="D860" s="30">
        <v>0.15</v>
      </c>
      <c r="E860" s="30">
        <v>6688</v>
      </c>
      <c r="F860" s="31" t="s">
        <v>505</v>
      </c>
      <c r="G860" s="31" t="s">
        <v>155</v>
      </c>
      <c r="H860" s="31" t="s">
        <v>5</v>
      </c>
      <c r="I860" s="31" t="s">
        <v>506</v>
      </c>
      <c r="J860" s="31" t="s">
        <v>507</v>
      </c>
      <c r="K860" s="31" t="s">
        <v>157</v>
      </c>
      <c r="L860" s="31" t="s">
        <v>21</v>
      </c>
      <c r="M860" s="31" t="s">
        <v>20</v>
      </c>
      <c r="N860" s="31">
        <v>20</v>
      </c>
      <c r="O860" s="31">
        <f>2024-Inventory[[#This Row],[YrBlt]]</f>
        <v>20</v>
      </c>
      <c r="P860" s="31">
        <f>2024-Inventory[[#This Row],[EffYr]]</f>
        <v>20</v>
      </c>
      <c r="Q860" s="30">
        <v>2004</v>
      </c>
      <c r="R860" s="30">
        <v>2004</v>
      </c>
      <c r="S860" s="30">
        <v>1158</v>
      </c>
      <c r="T860" s="30">
        <v>1322</v>
      </c>
      <c r="U860" s="32"/>
      <c r="V860" s="32"/>
      <c r="W860" s="32"/>
      <c r="X860" s="32">
        <f>Inventory[[#This Row],[Bsmt Area]]-Inventory[[#This Row],[FnBsmt]]</f>
        <v>0</v>
      </c>
      <c r="Y860" s="32">
        <f>Inventory[[#This Row],[MainFn]]+Inventory[[#This Row],[UpprFn]]+Inventory[[#This Row],[AddFn]]+Inventory[[#This Row],[FnBsmt]]</f>
        <v>2480</v>
      </c>
      <c r="Z860" s="32">
        <v>2500</v>
      </c>
      <c r="AA860" s="31" t="s">
        <v>56</v>
      </c>
      <c r="AB860" s="30">
        <v>1</v>
      </c>
      <c r="AC860" s="37"/>
      <c r="AD860" s="38">
        <v>502</v>
      </c>
      <c r="AE860" s="32"/>
      <c r="AF860" s="32"/>
      <c r="AG860" s="32"/>
      <c r="AH860" s="32"/>
      <c r="AI860" s="30">
        <v>481791</v>
      </c>
      <c r="AJ860" s="30">
        <v>438430</v>
      </c>
      <c r="AK860" s="30">
        <v>0</v>
      </c>
      <c r="AL860" s="30">
        <v>0</v>
      </c>
      <c r="AM860" s="30">
        <v>59900</v>
      </c>
      <c r="AN860" s="30">
        <v>350400</v>
      </c>
      <c r="AO860" s="30">
        <v>410300</v>
      </c>
      <c r="AP860" s="30">
        <f>Lookups!$B$58*0.6</f>
        <v>132535.48800000001</v>
      </c>
      <c r="AQ860" s="30">
        <f>Lookups!$B$58*0.4</f>
        <v>88356.992000000013</v>
      </c>
      <c r="AR860" s="30">
        <f>Lookups!$B$59*Inventory[[#This Row],[LnAcres]]</f>
        <v>-24898.411657157456</v>
      </c>
      <c r="AS860" s="30">
        <f>VLOOKUP(Inventory[[#This Row],[Qlty]],Lookups!$A$66:$E$79,2,FALSE)</f>
        <v>32917.849192000001</v>
      </c>
      <c r="AT860" s="30">
        <f>VLOOKUP(Inventory[[#This Row],[Cnd]],Lookups!$A$80:$E$88,2,FALSE)</f>
        <v>30300.329274</v>
      </c>
      <c r="AU860" s="30">
        <f>Inventory[[#This Row],[EffAge]]*Lookups!$B$65</f>
        <v>-2174.8220000000001</v>
      </c>
      <c r="AV860" s="30">
        <f>Inventory[[#This Row],[MainFn]]*Lookups!$B$90</f>
        <v>72271.22004</v>
      </c>
      <c r="AW860" s="30">
        <f>Inventory[[#This Row],[UpprFn]]*Lookups!$B$91</f>
        <v>78765.266325999997</v>
      </c>
      <c r="AX860" s="30">
        <f>Inventory[[#This Row],[Bsmt Area]]*Lookups!$B$95</f>
        <v>0</v>
      </c>
      <c r="AY860" s="30">
        <f>Inventory[[#This Row],[AttGar]]*Lookups!$B$93</f>
        <v>0</v>
      </c>
      <c r="AZ860" s="30">
        <f>ROUND(Inventory[[#This Row],[25Det]],-2)</f>
        <v>0</v>
      </c>
      <c r="BA860" s="30">
        <f>ROUND(SUM(Inventory[[#This Row],[Mdl Qlty]:[Mdl Garage Area]])+Inventory[[#This Row],[Mdl Res Intercept]],-2)</f>
        <v>344600</v>
      </c>
      <c r="BB860" s="30">
        <f>ROUND(Inventory[[#This Row],[Mdl Land Intercept]]+Inventory[[#This Row],[Mdl LnAcres]],-2)</f>
        <v>63500</v>
      </c>
      <c r="BC860" s="30">
        <f>Inventory[[#This Row],[Unadj Res Value]]+Inventory[[#This Row],[Unadj Det Value]]+Inventory[[#This Row],[Unadj Land Value]]</f>
        <v>408100</v>
      </c>
      <c r="BD860" s="30">
        <f>(Inventory[[#This Row],[Unadj Total Value]]-Inventory[[#This Row],[24Final]])/Inventory[[#This Row],[24Final]]</f>
        <v>-5.3619302949061663E-3</v>
      </c>
      <c r="BE860" s="30">
        <f>VLOOKUP(Inventory[[#This Row],[Nbhd]],Lookups!$M$3:$P$5,4,FALSE)</f>
        <v>0.99970000000000003</v>
      </c>
      <c r="BF860" s="30">
        <f>VLOOKUP(Inventory[[#This Row],[Qlty]],Lookups!$M$8:$P$22,4,FALSE)</f>
        <v>1.0019</v>
      </c>
      <c r="BG860" s="30">
        <f>VLOOKUP(Inventory[[#This Row],[Cnd]],Lookups!$R$8:$U$17,4,FALSE)</f>
        <v>0.997</v>
      </c>
      <c r="BH860" s="30">
        <f>VLOOKUP(Inventory[[#This Row],[LivArea Range]],Lookups!$R$25:$U$43,4,FALSE)</f>
        <v>1.0008999999999999</v>
      </c>
      <c r="BI860" s="30">
        <f>VLOOKUP(Inventory[[#This Row],[Decade]],Lookups!$M$24:$P$40,4,FALSE)</f>
        <v>0.99560000000000004</v>
      </c>
      <c r="BJ860" s="30">
        <f>Inventory[[#This Row],[Nbhd Adj]]*0.95</f>
        <v>0.94971499999999998</v>
      </c>
      <c r="BK860" s="30">
        <f>AVERAGE(Inventory[[#This Row],[Nbhd Adj]],Inventory[[#This Row],[Quality Adj]],Inventory[[#This Row],[Condition Adj]],Inventory[[#This Row],[Living Area Adj]],Inventory[[#This Row],[Decade Adj]])*0.95</f>
        <v>0.94906899999999972</v>
      </c>
      <c r="BL860" s="30">
        <f>ROUND((SUM(Inventory[[#This Row],[Mdl Qlty]:[Mdl Garage Area]])+Inventory[[#This Row],[Mdl Res Intercept]])*Inventory[[#This Row],[Res Adj ]],-2)</f>
        <v>327100</v>
      </c>
      <c r="BM860" s="30">
        <f>ROUND(Inventory[[#This Row],[25Det]]*Inventory[[#This Row],[Det/Nbhd Adj]],-2)</f>
        <v>0</v>
      </c>
      <c r="BN860" s="30">
        <f>Inventory[[#This Row],[Adjusted Res]]+Inventory[[#This Row],[Adj Det ]]</f>
        <v>327100</v>
      </c>
      <c r="BO860" s="30">
        <f>ROUND((Inventory[[#This Row],[Mdl Land Intercept]]+Inventory[[#This Row],[Mdl LnAcres]])*Inventory[[#This Row],[Det/Nbhd Adj]],-2)</f>
        <v>60300</v>
      </c>
      <c r="BP860" s="30">
        <f>Inventory[[#This Row],[Adjusted Impr Total]]+Inventory[[#This Row],[Adjusted Land Total]]</f>
        <v>387400</v>
      </c>
      <c r="BQ860" s="30">
        <f>IFERROR((Inventory[[#This Row],[Adjusted Impr Total]]-Inventory[[#This Row],[24Bldg]])/Inventory[[#This Row],[24Bldg]],0)</f>
        <v>-6.6495433789954345E-2</v>
      </c>
      <c r="BR860" s="43">
        <f>(Inventory[[#This Row],[Adjusted Land Total]]-Inventory[[#This Row],[24Lnd]])/Inventory[[#This Row],[24Lnd]]</f>
        <v>6.6777963272120202E-3</v>
      </c>
      <c r="BS860" s="43">
        <f>(Inventory[[#This Row],[Adjusted Total]]-Inventory[[#This Row],[24Final]])/Inventory[[#This Row],[24Final]]</f>
        <v>-5.5812819887886909E-2</v>
      </c>
    </row>
    <row r="861" spans="1:71">
      <c r="A861" s="30">
        <v>2025</v>
      </c>
      <c r="B861" s="31" t="s">
        <v>1376</v>
      </c>
      <c r="C861" s="31">
        <f>LN(Inventory[[#This Row],[Acres]])</f>
        <v>-1.8971199848858813</v>
      </c>
      <c r="D861" s="30">
        <v>0.15</v>
      </c>
      <c r="E861" s="30">
        <v>6688</v>
      </c>
      <c r="F861" s="31" t="s">
        <v>505</v>
      </c>
      <c r="G861" s="31" t="s">
        <v>155</v>
      </c>
      <c r="H861" s="31" t="s">
        <v>5</v>
      </c>
      <c r="I861" s="31" t="s">
        <v>506</v>
      </c>
      <c r="J861" s="31" t="s">
        <v>507</v>
      </c>
      <c r="K861" s="31" t="s">
        <v>193</v>
      </c>
      <c r="L861" s="31" t="s">
        <v>19</v>
      </c>
      <c r="M861" s="31" t="s">
        <v>22</v>
      </c>
      <c r="N861" s="31">
        <v>20</v>
      </c>
      <c r="O861" s="31">
        <f>2024-Inventory[[#This Row],[YrBlt]]</f>
        <v>20</v>
      </c>
      <c r="P861" s="31">
        <f>2024-Inventory[[#This Row],[EffYr]]</f>
        <v>20</v>
      </c>
      <c r="Q861" s="30">
        <v>2004</v>
      </c>
      <c r="R861" s="30">
        <v>2004</v>
      </c>
      <c r="S861" s="30">
        <v>1690</v>
      </c>
      <c r="T861" s="37"/>
      <c r="U861" s="32"/>
      <c r="V861" s="32"/>
      <c r="W861" s="32"/>
      <c r="X861" s="32">
        <f>Inventory[[#This Row],[Bsmt Area]]-Inventory[[#This Row],[FnBsmt]]</f>
        <v>0</v>
      </c>
      <c r="Y861" s="32">
        <f>Inventory[[#This Row],[MainFn]]+Inventory[[#This Row],[UpprFn]]+Inventory[[#This Row],[AddFn]]+Inventory[[#This Row],[FnBsmt]]</f>
        <v>1690</v>
      </c>
      <c r="Z861" s="32">
        <v>2000</v>
      </c>
      <c r="AA861" s="31" t="s">
        <v>56</v>
      </c>
      <c r="AB861" s="32"/>
      <c r="AC861" s="38">
        <v>466</v>
      </c>
      <c r="AD861" s="37"/>
      <c r="AE861" s="32"/>
      <c r="AF861" s="32"/>
      <c r="AG861" s="32"/>
      <c r="AH861" s="32"/>
      <c r="AI861" s="30">
        <v>330383</v>
      </c>
      <c r="AJ861" s="30">
        <v>303952</v>
      </c>
      <c r="AK861" s="30">
        <v>0</v>
      </c>
      <c r="AL861" s="30">
        <v>0</v>
      </c>
      <c r="AM861" s="30">
        <v>59900</v>
      </c>
      <c r="AN861" s="30">
        <v>324900</v>
      </c>
      <c r="AO861" s="30">
        <v>384800</v>
      </c>
      <c r="AP861" s="30">
        <f>Lookups!$B$58*0.6</f>
        <v>132535.48800000001</v>
      </c>
      <c r="AQ861" s="30">
        <f>Lookups!$B$58*0.4</f>
        <v>88356.992000000013</v>
      </c>
      <c r="AR861" s="30">
        <f>Lookups!$B$59*Inventory[[#This Row],[LnAcres]]</f>
        <v>-24898.411657157456</v>
      </c>
      <c r="AS861" s="30">
        <f>VLOOKUP(Inventory[[#This Row],[Qlty]],Lookups!$A$66:$E$79,2,FALSE)</f>
        <v>37154.252388000001</v>
      </c>
      <c r="AT861" s="30">
        <f>VLOOKUP(Inventory[[#This Row],[Cnd]],Lookups!$A$80:$E$88,2,FALSE)</f>
        <v>50438.379078999998</v>
      </c>
      <c r="AU861" s="30">
        <f>Inventory[[#This Row],[EffAge]]*Lookups!$B$65</f>
        <v>-2174.8220000000001</v>
      </c>
      <c r="AV861" s="30">
        <f>Inventory[[#This Row],[MainFn]]*Lookups!$B$90</f>
        <v>105473.54220000001</v>
      </c>
      <c r="AW861" s="30">
        <f>Inventory[[#This Row],[UpprFn]]*Lookups!$B$91</f>
        <v>0</v>
      </c>
      <c r="AX861" s="30">
        <f>Inventory[[#This Row],[Bsmt Area]]*Lookups!$B$95</f>
        <v>0</v>
      </c>
      <c r="AY861" s="30">
        <f>Inventory[[#This Row],[AttGar]]*Lookups!$B$93</f>
        <v>16450.280446000001</v>
      </c>
      <c r="AZ861" s="30">
        <f>ROUND(Inventory[[#This Row],[25Det]],-2)</f>
        <v>0</v>
      </c>
      <c r="BA861" s="30">
        <f>ROUND(SUM(Inventory[[#This Row],[Mdl Qlty]:[Mdl Garage Area]])+Inventory[[#This Row],[Mdl Res Intercept]],-2)</f>
        <v>339900</v>
      </c>
      <c r="BB861" s="30">
        <f>ROUND(Inventory[[#This Row],[Mdl Land Intercept]]+Inventory[[#This Row],[Mdl LnAcres]],-2)</f>
        <v>63500</v>
      </c>
      <c r="BC861" s="30">
        <f>Inventory[[#This Row],[Unadj Res Value]]+Inventory[[#This Row],[Unadj Det Value]]+Inventory[[#This Row],[Unadj Land Value]]</f>
        <v>403400</v>
      </c>
      <c r="BD861" s="30">
        <f>(Inventory[[#This Row],[Unadj Total Value]]-Inventory[[#This Row],[24Final]])/Inventory[[#This Row],[24Final]]</f>
        <v>4.8336798336798339E-2</v>
      </c>
      <c r="BE861" s="30">
        <f>VLOOKUP(Inventory[[#This Row],[Nbhd]],Lookups!$M$3:$P$5,4,FALSE)</f>
        <v>0.99970000000000003</v>
      </c>
      <c r="BF861" s="30">
        <f>VLOOKUP(Inventory[[#This Row],[Qlty]],Lookups!$M$8:$P$22,4,FALSE)</f>
        <v>0.99819999999999998</v>
      </c>
      <c r="BG861" s="30">
        <f>VLOOKUP(Inventory[[#This Row],[Cnd]],Lookups!$R$8:$U$17,4,FALSE)</f>
        <v>1.0007999999999999</v>
      </c>
      <c r="BH861" s="30">
        <f>VLOOKUP(Inventory[[#This Row],[LivArea Range]],Lookups!$R$25:$U$43,4,FALSE)</f>
        <v>1.0007999999999999</v>
      </c>
      <c r="BI861" s="30">
        <f>VLOOKUP(Inventory[[#This Row],[Decade]],Lookups!$M$24:$P$40,4,FALSE)</f>
        <v>0.99560000000000004</v>
      </c>
      <c r="BJ861" s="30">
        <f>Inventory[[#This Row],[Nbhd Adj]]*0.95</f>
        <v>0.94971499999999998</v>
      </c>
      <c r="BK861" s="30">
        <f>AVERAGE(Inventory[[#This Row],[Nbhd Adj]],Inventory[[#This Row],[Quality Adj]],Inventory[[#This Row],[Condition Adj]],Inventory[[#This Row],[Living Area Adj]],Inventory[[#This Row],[Decade Adj]])*0.95</f>
        <v>0.94906899999999994</v>
      </c>
      <c r="BL861" s="30">
        <f>ROUND((SUM(Inventory[[#This Row],[Mdl Qlty]:[Mdl Garage Area]])+Inventory[[#This Row],[Mdl Res Intercept]])*Inventory[[#This Row],[Res Adj ]],-2)</f>
        <v>322600</v>
      </c>
      <c r="BM861" s="30">
        <f>ROUND(Inventory[[#This Row],[25Det]]*Inventory[[#This Row],[Det/Nbhd Adj]],-2)</f>
        <v>0</v>
      </c>
      <c r="BN861" s="30">
        <f>Inventory[[#This Row],[Adjusted Res]]+Inventory[[#This Row],[Adj Det ]]</f>
        <v>322600</v>
      </c>
      <c r="BO861" s="30">
        <f>ROUND((Inventory[[#This Row],[Mdl Land Intercept]]+Inventory[[#This Row],[Mdl LnAcres]])*Inventory[[#This Row],[Det/Nbhd Adj]],-2)</f>
        <v>60300</v>
      </c>
      <c r="BP861" s="30">
        <f>Inventory[[#This Row],[Adjusted Impr Total]]+Inventory[[#This Row],[Adjusted Land Total]]</f>
        <v>382900</v>
      </c>
      <c r="BQ861" s="30">
        <f>IFERROR((Inventory[[#This Row],[Adjusted Impr Total]]-Inventory[[#This Row],[24Bldg]])/Inventory[[#This Row],[24Bldg]],0)</f>
        <v>-7.0791012619267468E-3</v>
      </c>
      <c r="BR861" s="43">
        <f>(Inventory[[#This Row],[Adjusted Land Total]]-Inventory[[#This Row],[24Lnd]])/Inventory[[#This Row],[24Lnd]]</f>
        <v>6.6777963272120202E-3</v>
      </c>
      <c r="BS861" s="43">
        <f>(Inventory[[#This Row],[Adjusted Total]]-Inventory[[#This Row],[24Final]])/Inventory[[#This Row],[24Final]]</f>
        <v>-4.9376299376299379E-3</v>
      </c>
    </row>
    <row r="862" spans="1:71">
      <c r="A862" s="30">
        <v>2025</v>
      </c>
      <c r="B862" s="31" t="s">
        <v>1377</v>
      </c>
      <c r="C862" s="31">
        <f>LN(Inventory[[#This Row],[Acres]])</f>
        <v>-1.8325814637483102</v>
      </c>
      <c r="D862" s="30">
        <v>0.16</v>
      </c>
      <c r="E862" s="30">
        <v>7013</v>
      </c>
      <c r="F862" s="31" t="s">
        <v>505</v>
      </c>
      <c r="G862" s="31" t="s">
        <v>155</v>
      </c>
      <c r="H862" s="31" t="s">
        <v>5</v>
      </c>
      <c r="I862" s="31" t="s">
        <v>506</v>
      </c>
      <c r="J862" s="31" t="s">
        <v>773</v>
      </c>
      <c r="K862" s="31" t="s">
        <v>157</v>
      </c>
      <c r="L862" s="31" t="s">
        <v>21</v>
      </c>
      <c r="M862" s="31" t="s">
        <v>20</v>
      </c>
      <c r="N862" s="31">
        <v>20</v>
      </c>
      <c r="O862" s="31">
        <f>2024-Inventory[[#This Row],[YrBlt]]</f>
        <v>20</v>
      </c>
      <c r="P862" s="31">
        <f>2024-Inventory[[#This Row],[EffYr]]</f>
        <v>20</v>
      </c>
      <c r="Q862" s="30">
        <v>2004</v>
      </c>
      <c r="R862" s="30">
        <v>2004</v>
      </c>
      <c r="S862" s="30">
        <v>1158</v>
      </c>
      <c r="T862" s="30">
        <v>1322</v>
      </c>
      <c r="U862" s="32"/>
      <c r="V862" s="32"/>
      <c r="W862" s="32"/>
      <c r="X862" s="32">
        <f>Inventory[[#This Row],[Bsmt Area]]-Inventory[[#This Row],[FnBsmt]]</f>
        <v>0</v>
      </c>
      <c r="Y862" s="32">
        <f>Inventory[[#This Row],[MainFn]]+Inventory[[#This Row],[UpprFn]]+Inventory[[#This Row],[AddFn]]+Inventory[[#This Row],[FnBsmt]]</f>
        <v>2480</v>
      </c>
      <c r="Z862" s="32">
        <v>2500</v>
      </c>
      <c r="AA862" s="31" t="s">
        <v>57</v>
      </c>
      <c r="AB862" s="30">
        <v>1</v>
      </c>
      <c r="AC862" s="37"/>
      <c r="AD862" s="38">
        <v>502</v>
      </c>
      <c r="AE862" s="32"/>
      <c r="AF862" s="32"/>
      <c r="AG862" s="32"/>
      <c r="AH862" s="32"/>
      <c r="AI862" s="30">
        <v>481791</v>
      </c>
      <c r="AJ862" s="30">
        <v>438430</v>
      </c>
      <c r="AK862" s="30">
        <v>0</v>
      </c>
      <c r="AL862" s="30">
        <v>0</v>
      </c>
      <c r="AM862" s="30">
        <v>60800</v>
      </c>
      <c r="AN862" s="30">
        <v>350400</v>
      </c>
      <c r="AO862" s="30">
        <v>411200</v>
      </c>
      <c r="AP862" s="30">
        <f>Lookups!$B$58*0.6</f>
        <v>132535.48800000001</v>
      </c>
      <c r="AQ862" s="30">
        <f>Lookups!$B$58*0.4</f>
        <v>88356.992000000013</v>
      </c>
      <c r="AR862" s="30">
        <f>Lookups!$B$59*Inventory[[#This Row],[LnAcres]]</f>
        <v>-24051.387388882686</v>
      </c>
      <c r="AS862" s="30">
        <f>VLOOKUP(Inventory[[#This Row],[Qlty]],Lookups!$A$66:$E$79,2,FALSE)</f>
        <v>32917.849192000001</v>
      </c>
      <c r="AT862" s="30">
        <f>VLOOKUP(Inventory[[#This Row],[Cnd]],Lookups!$A$80:$E$88,2,FALSE)</f>
        <v>30300.329274</v>
      </c>
      <c r="AU862" s="30">
        <f>Inventory[[#This Row],[EffAge]]*Lookups!$B$65</f>
        <v>-2174.8220000000001</v>
      </c>
      <c r="AV862" s="30">
        <f>Inventory[[#This Row],[MainFn]]*Lookups!$B$90</f>
        <v>72271.22004</v>
      </c>
      <c r="AW862" s="30">
        <f>Inventory[[#This Row],[UpprFn]]*Lookups!$B$91</f>
        <v>78765.266325999997</v>
      </c>
      <c r="AX862" s="30">
        <f>Inventory[[#This Row],[Bsmt Area]]*Lookups!$B$95</f>
        <v>0</v>
      </c>
      <c r="AY862" s="30">
        <f>Inventory[[#This Row],[AttGar]]*Lookups!$B$93</f>
        <v>0</v>
      </c>
      <c r="AZ862" s="30">
        <f>ROUND(Inventory[[#This Row],[25Det]],-2)</f>
        <v>0</v>
      </c>
      <c r="BA862" s="30">
        <f>ROUND(SUM(Inventory[[#This Row],[Mdl Qlty]:[Mdl Garage Area]])+Inventory[[#This Row],[Mdl Res Intercept]],-2)</f>
        <v>344600</v>
      </c>
      <c r="BB862" s="30">
        <f>ROUND(Inventory[[#This Row],[Mdl Land Intercept]]+Inventory[[#This Row],[Mdl LnAcres]],-2)</f>
        <v>64300</v>
      </c>
      <c r="BC862" s="30">
        <f>Inventory[[#This Row],[Unadj Res Value]]+Inventory[[#This Row],[Unadj Det Value]]+Inventory[[#This Row],[Unadj Land Value]]</f>
        <v>408900</v>
      </c>
      <c r="BD862" s="30">
        <f>(Inventory[[#This Row],[Unadj Total Value]]-Inventory[[#This Row],[24Final]])/Inventory[[#This Row],[24Final]]</f>
        <v>-5.5933852140077822E-3</v>
      </c>
      <c r="BE862" s="30">
        <f>VLOOKUP(Inventory[[#This Row],[Nbhd]],Lookups!$M$3:$P$5,4,FALSE)</f>
        <v>0.99970000000000003</v>
      </c>
      <c r="BF862" s="30">
        <f>VLOOKUP(Inventory[[#This Row],[Qlty]],Lookups!$M$8:$P$22,4,FALSE)</f>
        <v>1.0019</v>
      </c>
      <c r="BG862" s="30">
        <f>VLOOKUP(Inventory[[#This Row],[Cnd]],Lookups!$R$8:$U$17,4,FALSE)</f>
        <v>0.997</v>
      </c>
      <c r="BH862" s="30">
        <f>VLOOKUP(Inventory[[#This Row],[LivArea Range]],Lookups!$R$25:$U$43,4,FALSE)</f>
        <v>1.0008999999999999</v>
      </c>
      <c r="BI862" s="30">
        <f>VLOOKUP(Inventory[[#This Row],[Decade]],Lookups!$M$24:$P$40,4,FALSE)</f>
        <v>0.99560000000000004</v>
      </c>
      <c r="BJ862" s="30">
        <f>Inventory[[#This Row],[Nbhd Adj]]*0.95</f>
        <v>0.94971499999999998</v>
      </c>
      <c r="BK862" s="30">
        <f>AVERAGE(Inventory[[#This Row],[Nbhd Adj]],Inventory[[#This Row],[Quality Adj]],Inventory[[#This Row],[Condition Adj]],Inventory[[#This Row],[Living Area Adj]],Inventory[[#This Row],[Decade Adj]])*0.95</f>
        <v>0.94906899999999972</v>
      </c>
      <c r="BL862" s="30">
        <f>ROUND((SUM(Inventory[[#This Row],[Mdl Qlty]:[Mdl Garage Area]])+Inventory[[#This Row],[Mdl Res Intercept]])*Inventory[[#This Row],[Res Adj ]],-2)</f>
        <v>327100</v>
      </c>
      <c r="BM862" s="30">
        <f>ROUND(Inventory[[#This Row],[25Det]]*Inventory[[#This Row],[Det/Nbhd Adj]],-2)</f>
        <v>0</v>
      </c>
      <c r="BN862" s="30">
        <f>Inventory[[#This Row],[Adjusted Res]]+Inventory[[#This Row],[Adj Det ]]</f>
        <v>327100</v>
      </c>
      <c r="BO862" s="30">
        <f>ROUND((Inventory[[#This Row],[Mdl Land Intercept]]+Inventory[[#This Row],[Mdl LnAcres]])*Inventory[[#This Row],[Det/Nbhd Adj]],-2)</f>
        <v>61100</v>
      </c>
      <c r="BP862" s="30">
        <f>Inventory[[#This Row],[Adjusted Impr Total]]+Inventory[[#This Row],[Adjusted Land Total]]</f>
        <v>388200</v>
      </c>
      <c r="BQ862" s="30">
        <f>IFERROR((Inventory[[#This Row],[Adjusted Impr Total]]-Inventory[[#This Row],[24Bldg]])/Inventory[[#This Row],[24Bldg]],0)</f>
        <v>-6.6495433789954345E-2</v>
      </c>
      <c r="BR862" s="43">
        <f>(Inventory[[#This Row],[Adjusted Land Total]]-Inventory[[#This Row],[24Lnd]])/Inventory[[#This Row],[24Lnd]]</f>
        <v>4.9342105263157892E-3</v>
      </c>
      <c r="BS862" s="43">
        <f>(Inventory[[#This Row],[Adjusted Total]]-Inventory[[#This Row],[24Final]])/Inventory[[#This Row],[24Final]]</f>
        <v>-5.5933852140077824E-2</v>
      </c>
    </row>
    <row r="863" spans="1:71">
      <c r="A863" s="30">
        <v>2025</v>
      </c>
      <c r="B863" s="31" t="s">
        <v>1378</v>
      </c>
      <c r="C863" s="31">
        <f>LN(Inventory[[#This Row],[Acres]])</f>
        <v>-1.8325814637483102</v>
      </c>
      <c r="D863" s="30">
        <v>0.16</v>
      </c>
      <c r="E863" s="30">
        <v>7014</v>
      </c>
      <c r="F863" s="31" t="s">
        <v>505</v>
      </c>
      <c r="G863" s="31" t="s">
        <v>155</v>
      </c>
      <c r="H863" s="31" t="s">
        <v>5</v>
      </c>
      <c r="I863" s="31" t="s">
        <v>506</v>
      </c>
      <c r="J863" s="31" t="s">
        <v>507</v>
      </c>
      <c r="K863" s="31" t="s">
        <v>157</v>
      </c>
      <c r="L863" s="31" t="s">
        <v>21</v>
      </c>
      <c r="M863" s="31" t="s">
        <v>20</v>
      </c>
      <c r="N863" s="31">
        <v>20</v>
      </c>
      <c r="O863" s="31">
        <f>2024-Inventory[[#This Row],[YrBlt]]</f>
        <v>20</v>
      </c>
      <c r="P863" s="31">
        <f>2024-Inventory[[#This Row],[EffYr]]</f>
        <v>20</v>
      </c>
      <c r="Q863" s="30">
        <v>2004</v>
      </c>
      <c r="R863" s="30">
        <v>2004</v>
      </c>
      <c r="S863" s="30">
        <v>1158</v>
      </c>
      <c r="T863" s="38">
        <v>1322</v>
      </c>
      <c r="U863" s="32"/>
      <c r="V863" s="32"/>
      <c r="W863" s="32"/>
      <c r="X863" s="32">
        <f>Inventory[[#This Row],[Bsmt Area]]-Inventory[[#This Row],[FnBsmt]]</f>
        <v>0</v>
      </c>
      <c r="Y863" s="32">
        <f>Inventory[[#This Row],[MainFn]]+Inventory[[#This Row],[UpprFn]]+Inventory[[#This Row],[AddFn]]+Inventory[[#This Row],[FnBsmt]]</f>
        <v>2480</v>
      </c>
      <c r="Z863" s="32">
        <v>2500</v>
      </c>
      <c r="AA863" s="31" t="s">
        <v>57</v>
      </c>
      <c r="AB863" s="38">
        <v>1</v>
      </c>
      <c r="AC863" s="37"/>
      <c r="AD863" s="38">
        <v>502</v>
      </c>
      <c r="AE863" s="32"/>
      <c r="AF863" s="32"/>
      <c r="AG863" s="32"/>
      <c r="AH863" s="37"/>
      <c r="AI863" s="30">
        <v>481791</v>
      </c>
      <c r="AJ863" s="30">
        <v>438430</v>
      </c>
      <c r="AK863" s="30">
        <v>0</v>
      </c>
      <c r="AL863" s="30">
        <v>0</v>
      </c>
      <c r="AM863" s="30">
        <v>60800</v>
      </c>
      <c r="AN863" s="30">
        <v>350400</v>
      </c>
      <c r="AO863" s="30">
        <v>411200</v>
      </c>
      <c r="AP863" s="30">
        <f>Lookups!$B$58*0.6</f>
        <v>132535.48800000001</v>
      </c>
      <c r="AQ863" s="30">
        <f>Lookups!$B$58*0.4</f>
        <v>88356.992000000013</v>
      </c>
      <c r="AR863" s="30">
        <f>Lookups!$B$59*Inventory[[#This Row],[LnAcres]]</f>
        <v>-24051.387388882686</v>
      </c>
      <c r="AS863" s="30">
        <f>VLOOKUP(Inventory[[#This Row],[Qlty]],Lookups!$A$66:$E$79,2,FALSE)</f>
        <v>32917.849192000001</v>
      </c>
      <c r="AT863" s="30">
        <f>VLOOKUP(Inventory[[#This Row],[Cnd]],Lookups!$A$80:$E$88,2,FALSE)</f>
        <v>30300.329274</v>
      </c>
      <c r="AU863" s="30">
        <f>Inventory[[#This Row],[EffAge]]*Lookups!$B$65</f>
        <v>-2174.8220000000001</v>
      </c>
      <c r="AV863" s="30">
        <f>Inventory[[#This Row],[MainFn]]*Lookups!$B$90</f>
        <v>72271.22004</v>
      </c>
      <c r="AW863" s="30">
        <f>Inventory[[#This Row],[UpprFn]]*Lookups!$B$91</f>
        <v>78765.266325999997</v>
      </c>
      <c r="AX863" s="30">
        <f>Inventory[[#This Row],[Bsmt Area]]*Lookups!$B$95</f>
        <v>0</v>
      </c>
      <c r="AY863" s="30">
        <f>Inventory[[#This Row],[AttGar]]*Lookups!$B$93</f>
        <v>0</v>
      </c>
      <c r="AZ863" s="30">
        <f>ROUND(Inventory[[#This Row],[25Det]],-2)</f>
        <v>0</v>
      </c>
      <c r="BA863" s="30">
        <f>ROUND(SUM(Inventory[[#This Row],[Mdl Qlty]:[Mdl Garage Area]])+Inventory[[#This Row],[Mdl Res Intercept]],-2)</f>
        <v>344600</v>
      </c>
      <c r="BB863" s="30">
        <f>ROUND(Inventory[[#This Row],[Mdl Land Intercept]]+Inventory[[#This Row],[Mdl LnAcres]],-2)</f>
        <v>64300</v>
      </c>
      <c r="BC863" s="30">
        <f>Inventory[[#This Row],[Unadj Res Value]]+Inventory[[#This Row],[Unadj Det Value]]+Inventory[[#This Row],[Unadj Land Value]]</f>
        <v>408900</v>
      </c>
      <c r="BD863" s="30">
        <f>(Inventory[[#This Row],[Unadj Total Value]]-Inventory[[#This Row],[24Final]])/Inventory[[#This Row],[24Final]]</f>
        <v>-5.5933852140077822E-3</v>
      </c>
      <c r="BE863" s="30">
        <f>VLOOKUP(Inventory[[#This Row],[Nbhd]],Lookups!$M$3:$P$5,4,FALSE)</f>
        <v>0.99970000000000003</v>
      </c>
      <c r="BF863" s="30">
        <f>VLOOKUP(Inventory[[#This Row],[Qlty]],Lookups!$M$8:$P$22,4,FALSE)</f>
        <v>1.0019</v>
      </c>
      <c r="BG863" s="30">
        <f>VLOOKUP(Inventory[[#This Row],[Cnd]],Lookups!$R$8:$U$17,4,FALSE)</f>
        <v>0.997</v>
      </c>
      <c r="BH863" s="30">
        <f>VLOOKUP(Inventory[[#This Row],[LivArea Range]],Lookups!$R$25:$U$43,4,FALSE)</f>
        <v>1.0008999999999999</v>
      </c>
      <c r="BI863" s="30">
        <f>VLOOKUP(Inventory[[#This Row],[Decade]],Lookups!$M$24:$P$40,4,FALSE)</f>
        <v>0.99560000000000004</v>
      </c>
      <c r="BJ863" s="30">
        <f>Inventory[[#This Row],[Nbhd Adj]]*0.95</f>
        <v>0.94971499999999998</v>
      </c>
      <c r="BK863" s="30">
        <f>AVERAGE(Inventory[[#This Row],[Nbhd Adj]],Inventory[[#This Row],[Quality Adj]],Inventory[[#This Row],[Condition Adj]],Inventory[[#This Row],[Living Area Adj]],Inventory[[#This Row],[Decade Adj]])*0.95</f>
        <v>0.94906899999999972</v>
      </c>
      <c r="BL863" s="30">
        <f>ROUND((SUM(Inventory[[#This Row],[Mdl Qlty]:[Mdl Garage Area]])+Inventory[[#This Row],[Mdl Res Intercept]])*Inventory[[#This Row],[Res Adj ]],-2)</f>
        <v>327100</v>
      </c>
      <c r="BM863" s="30">
        <f>ROUND(Inventory[[#This Row],[25Det]]*Inventory[[#This Row],[Det/Nbhd Adj]],-2)</f>
        <v>0</v>
      </c>
      <c r="BN863" s="30">
        <f>Inventory[[#This Row],[Adjusted Res]]+Inventory[[#This Row],[Adj Det ]]</f>
        <v>327100</v>
      </c>
      <c r="BO863" s="30">
        <f>ROUND((Inventory[[#This Row],[Mdl Land Intercept]]+Inventory[[#This Row],[Mdl LnAcres]])*Inventory[[#This Row],[Det/Nbhd Adj]],-2)</f>
        <v>61100</v>
      </c>
      <c r="BP863" s="30">
        <f>Inventory[[#This Row],[Adjusted Impr Total]]+Inventory[[#This Row],[Adjusted Land Total]]</f>
        <v>388200</v>
      </c>
      <c r="BQ863" s="30">
        <f>IFERROR((Inventory[[#This Row],[Adjusted Impr Total]]-Inventory[[#This Row],[24Bldg]])/Inventory[[#This Row],[24Bldg]],0)</f>
        <v>-6.6495433789954345E-2</v>
      </c>
      <c r="BR863" s="43">
        <f>(Inventory[[#This Row],[Adjusted Land Total]]-Inventory[[#This Row],[24Lnd]])/Inventory[[#This Row],[24Lnd]]</f>
        <v>4.9342105263157892E-3</v>
      </c>
      <c r="BS863" s="43">
        <f>(Inventory[[#This Row],[Adjusted Total]]-Inventory[[#This Row],[24Final]])/Inventory[[#This Row],[24Final]]</f>
        <v>-5.5933852140077824E-2</v>
      </c>
    </row>
    <row r="864" spans="1:71">
      <c r="A864" s="30">
        <v>2025</v>
      </c>
      <c r="B864" s="31" t="s">
        <v>1379</v>
      </c>
      <c r="C864" s="31">
        <f>LN(Inventory[[#This Row],[Acres]])</f>
        <v>-1.8325814637483102</v>
      </c>
      <c r="D864" s="30">
        <v>0.16</v>
      </c>
      <c r="E864" s="30">
        <v>7015</v>
      </c>
      <c r="F864" s="31" t="s">
        <v>505</v>
      </c>
      <c r="G864" s="31" t="s">
        <v>155</v>
      </c>
      <c r="H864" s="31" t="s">
        <v>5</v>
      </c>
      <c r="I864" s="31" t="s">
        <v>506</v>
      </c>
      <c r="J864" s="31" t="s">
        <v>507</v>
      </c>
      <c r="K864" s="31" t="s">
        <v>157</v>
      </c>
      <c r="L864" s="31" t="s">
        <v>21</v>
      </c>
      <c r="M864" s="31" t="s">
        <v>20</v>
      </c>
      <c r="N864" s="31">
        <v>20</v>
      </c>
      <c r="O864" s="31">
        <f>2024-Inventory[[#This Row],[YrBlt]]</f>
        <v>20</v>
      </c>
      <c r="P864" s="31">
        <f>2024-Inventory[[#This Row],[EffYr]]</f>
        <v>20</v>
      </c>
      <c r="Q864" s="30">
        <v>2004</v>
      </c>
      <c r="R864" s="30">
        <v>2004</v>
      </c>
      <c r="S864" s="30">
        <v>1158</v>
      </c>
      <c r="T864" s="38">
        <v>1322</v>
      </c>
      <c r="U864" s="32"/>
      <c r="V864" s="32"/>
      <c r="W864" s="32"/>
      <c r="X864" s="32">
        <f>Inventory[[#This Row],[Bsmt Area]]-Inventory[[#This Row],[FnBsmt]]</f>
        <v>0</v>
      </c>
      <c r="Y864" s="32">
        <f>Inventory[[#This Row],[MainFn]]+Inventory[[#This Row],[UpprFn]]+Inventory[[#This Row],[AddFn]]+Inventory[[#This Row],[FnBsmt]]</f>
        <v>2480</v>
      </c>
      <c r="Z864" s="32">
        <v>2500</v>
      </c>
      <c r="AA864" s="31" t="s">
        <v>57</v>
      </c>
      <c r="AB864" s="38">
        <v>1</v>
      </c>
      <c r="AC864" s="37"/>
      <c r="AD864" s="38">
        <v>502</v>
      </c>
      <c r="AE864" s="32"/>
      <c r="AF864" s="32"/>
      <c r="AG864" s="32"/>
      <c r="AH864" s="32"/>
      <c r="AI864" s="30">
        <v>481791</v>
      </c>
      <c r="AJ864" s="30">
        <v>438430</v>
      </c>
      <c r="AK864" s="30">
        <v>0</v>
      </c>
      <c r="AL864" s="30">
        <v>0</v>
      </c>
      <c r="AM864" s="30">
        <v>60800</v>
      </c>
      <c r="AN864" s="30">
        <v>350400</v>
      </c>
      <c r="AO864" s="30">
        <v>411200</v>
      </c>
      <c r="AP864" s="30">
        <f>Lookups!$B$58*0.6</f>
        <v>132535.48800000001</v>
      </c>
      <c r="AQ864" s="30">
        <f>Lookups!$B$58*0.4</f>
        <v>88356.992000000013</v>
      </c>
      <c r="AR864" s="30">
        <f>Lookups!$B$59*Inventory[[#This Row],[LnAcres]]</f>
        <v>-24051.387388882686</v>
      </c>
      <c r="AS864" s="30">
        <f>VLOOKUP(Inventory[[#This Row],[Qlty]],Lookups!$A$66:$E$79,2,FALSE)</f>
        <v>32917.849192000001</v>
      </c>
      <c r="AT864" s="30">
        <f>VLOOKUP(Inventory[[#This Row],[Cnd]],Lookups!$A$80:$E$88,2,FALSE)</f>
        <v>30300.329274</v>
      </c>
      <c r="AU864" s="30">
        <f>Inventory[[#This Row],[EffAge]]*Lookups!$B$65</f>
        <v>-2174.8220000000001</v>
      </c>
      <c r="AV864" s="30">
        <f>Inventory[[#This Row],[MainFn]]*Lookups!$B$90</f>
        <v>72271.22004</v>
      </c>
      <c r="AW864" s="30">
        <f>Inventory[[#This Row],[UpprFn]]*Lookups!$B$91</f>
        <v>78765.266325999997</v>
      </c>
      <c r="AX864" s="30">
        <f>Inventory[[#This Row],[Bsmt Area]]*Lookups!$B$95</f>
        <v>0</v>
      </c>
      <c r="AY864" s="30">
        <f>Inventory[[#This Row],[AttGar]]*Lookups!$B$93</f>
        <v>0</v>
      </c>
      <c r="AZ864" s="30">
        <f>ROUND(Inventory[[#This Row],[25Det]],-2)</f>
        <v>0</v>
      </c>
      <c r="BA864" s="30">
        <f>ROUND(SUM(Inventory[[#This Row],[Mdl Qlty]:[Mdl Garage Area]])+Inventory[[#This Row],[Mdl Res Intercept]],-2)</f>
        <v>344600</v>
      </c>
      <c r="BB864" s="30">
        <f>ROUND(Inventory[[#This Row],[Mdl Land Intercept]]+Inventory[[#This Row],[Mdl LnAcres]],-2)</f>
        <v>64300</v>
      </c>
      <c r="BC864" s="30">
        <f>Inventory[[#This Row],[Unadj Res Value]]+Inventory[[#This Row],[Unadj Det Value]]+Inventory[[#This Row],[Unadj Land Value]]</f>
        <v>408900</v>
      </c>
      <c r="BD864" s="30">
        <f>(Inventory[[#This Row],[Unadj Total Value]]-Inventory[[#This Row],[24Final]])/Inventory[[#This Row],[24Final]]</f>
        <v>-5.5933852140077822E-3</v>
      </c>
      <c r="BE864" s="30">
        <f>VLOOKUP(Inventory[[#This Row],[Nbhd]],Lookups!$M$3:$P$5,4,FALSE)</f>
        <v>0.99970000000000003</v>
      </c>
      <c r="BF864" s="30">
        <f>VLOOKUP(Inventory[[#This Row],[Qlty]],Lookups!$M$8:$P$22,4,FALSE)</f>
        <v>1.0019</v>
      </c>
      <c r="BG864" s="30">
        <f>VLOOKUP(Inventory[[#This Row],[Cnd]],Lookups!$R$8:$U$17,4,FALSE)</f>
        <v>0.997</v>
      </c>
      <c r="BH864" s="30">
        <f>VLOOKUP(Inventory[[#This Row],[LivArea Range]],Lookups!$R$25:$U$43,4,FALSE)</f>
        <v>1.0008999999999999</v>
      </c>
      <c r="BI864" s="30">
        <f>VLOOKUP(Inventory[[#This Row],[Decade]],Lookups!$M$24:$P$40,4,FALSE)</f>
        <v>0.99560000000000004</v>
      </c>
      <c r="BJ864" s="30">
        <f>Inventory[[#This Row],[Nbhd Adj]]*0.95</f>
        <v>0.94971499999999998</v>
      </c>
      <c r="BK864" s="30">
        <f>AVERAGE(Inventory[[#This Row],[Nbhd Adj]],Inventory[[#This Row],[Quality Adj]],Inventory[[#This Row],[Condition Adj]],Inventory[[#This Row],[Living Area Adj]],Inventory[[#This Row],[Decade Adj]])*0.95</f>
        <v>0.94906899999999972</v>
      </c>
      <c r="BL864" s="30">
        <f>ROUND((SUM(Inventory[[#This Row],[Mdl Qlty]:[Mdl Garage Area]])+Inventory[[#This Row],[Mdl Res Intercept]])*Inventory[[#This Row],[Res Adj ]],-2)</f>
        <v>327100</v>
      </c>
      <c r="BM864" s="30">
        <f>ROUND(Inventory[[#This Row],[25Det]]*Inventory[[#This Row],[Det/Nbhd Adj]],-2)</f>
        <v>0</v>
      </c>
      <c r="BN864" s="30">
        <f>Inventory[[#This Row],[Adjusted Res]]+Inventory[[#This Row],[Adj Det ]]</f>
        <v>327100</v>
      </c>
      <c r="BO864" s="30">
        <f>ROUND((Inventory[[#This Row],[Mdl Land Intercept]]+Inventory[[#This Row],[Mdl LnAcres]])*Inventory[[#This Row],[Det/Nbhd Adj]],-2)</f>
        <v>61100</v>
      </c>
      <c r="BP864" s="30">
        <f>Inventory[[#This Row],[Adjusted Impr Total]]+Inventory[[#This Row],[Adjusted Land Total]]</f>
        <v>388200</v>
      </c>
      <c r="BQ864" s="30">
        <f>IFERROR((Inventory[[#This Row],[Adjusted Impr Total]]-Inventory[[#This Row],[24Bldg]])/Inventory[[#This Row],[24Bldg]],0)</f>
        <v>-6.6495433789954345E-2</v>
      </c>
      <c r="BR864" s="43">
        <f>(Inventory[[#This Row],[Adjusted Land Total]]-Inventory[[#This Row],[24Lnd]])/Inventory[[#This Row],[24Lnd]]</f>
        <v>4.9342105263157892E-3</v>
      </c>
      <c r="BS864" s="43">
        <f>(Inventory[[#This Row],[Adjusted Total]]-Inventory[[#This Row],[24Final]])/Inventory[[#This Row],[24Final]]</f>
        <v>-5.5933852140077824E-2</v>
      </c>
    </row>
    <row r="865" spans="1:71">
      <c r="A865" s="30">
        <v>2025</v>
      </c>
      <c r="B865" s="31" t="s">
        <v>1380</v>
      </c>
      <c r="C865" s="31">
        <f>LN(Inventory[[#This Row],[Acres]])</f>
        <v>-1.8325814637483102</v>
      </c>
      <c r="D865" s="30">
        <v>0.16</v>
      </c>
      <c r="E865" s="30">
        <v>7017</v>
      </c>
      <c r="F865" s="31" t="s">
        <v>505</v>
      </c>
      <c r="G865" s="31" t="s">
        <v>155</v>
      </c>
      <c r="H865" s="31" t="s">
        <v>5</v>
      </c>
      <c r="I865" s="31" t="s">
        <v>506</v>
      </c>
      <c r="J865" s="31" t="s">
        <v>773</v>
      </c>
      <c r="K865" s="31" t="s">
        <v>157</v>
      </c>
      <c r="L865" s="31" t="s">
        <v>21</v>
      </c>
      <c r="M865" s="31" t="s">
        <v>22</v>
      </c>
      <c r="N865" s="31">
        <v>20</v>
      </c>
      <c r="O865" s="31">
        <f>2024-Inventory[[#This Row],[YrBlt]]</f>
        <v>20</v>
      </c>
      <c r="P865" s="31">
        <f>2024-Inventory[[#This Row],[EffYr]]</f>
        <v>20</v>
      </c>
      <c r="Q865" s="30">
        <v>2004</v>
      </c>
      <c r="R865" s="30">
        <v>2004</v>
      </c>
      <c r="S865" s="30">
        <v>1158</v>
      </c>
      <c r="T865" s="38">
        <v>1322</v>
      </c>
      <c r="U865" s="32"/>
      <c r="V865" s="32"/>
      <c r="W865" s="32"/>
      <c r="X865" s="32">
        <f>Inventory[[#This Row],[Bsmt Area]]-Inventory[[#This Row],[FnBsmt]]</f>
        <v>0</v>
      </c>
      <c r="Y865" s="32">
        <f>Inventory[[#This Row],[MainFn]]+Inventory[[#This Row],[UpprFn]]+Inventory[[#This Row],[AddFn]]+Inventory[[#This Row],[FnBsmt]]</f>
        <v>2480</v>
      </c>
      <c r="Z865" s="32">
        <v>2500</v>
      </c>
      <c r="AA865" s="31" t="s">
        <v>57</v>
      </c>
      <c r="AB865" s="38">
        <v>1</v>
      </c>
      <c r="AC865" s="37"/>
      <c r="AD865" s="38">
        <v>502</v>
      </c>
      <c r="AE865" s="32"/>
      <c r="AF865" s="32"/>
      <c r="AG865" s="32"/>
      <c r="AH865" s="32"/>
      <c r="AI865" s="30">
        <v>494127</v>
      </c>
      <c r="AJ865" s="30">
        <v>454597</v>
      </c>
      <c r="AK865" s="30">
        <v>0</v>
      </c>
      <c r="AL865" s="30">
        <v>0</v>
      </c>
      <c r="AM865" s="30">
        <v>60800</v>
      </c>
      <c r="AN865" s="30">
        <v>365900</v>
      </c>
      <c r="AO865" s="30">
        <v>426700</v>
      </c>
      <c r="AP865" s="30">
        <f>Lookups!$B$58*0.6</f>
        <v>132535.48800000001</v>
      </c>
      <c r="AQ865" s="30">
        <f>Lookups!$B$58*0.4</f>
        <v>88356.992000000013</v>
      </c>
      <c r="AR865" s="30">
        <f>Lookups!$B$59*Inventory[[#This Row],[LnAcres]]</f>
        <v>-24051.387388882686</v>
      </c>
      <c r="AS865" s="30">
        <f>VLOOKUP(Inventory[[#This Row],[Qlty]],Lookups!$A$66:$E$79,2,FALSE)</f>
        <v>32917.849192000001</v>
      </c>
      <c r="AT865" s="30">
        <f>VLOOKUP(Inventory[[#This Row],[Cnd]],Lookups!$A$80:$E$88,2,FALSE)</f>
        <v>50438.379078999998</v>
      </c>
      <c r="AU865" s="30">
        <f>Inventory[[#This Row],[EffAge]]*Lookups!$B$65</f>
        <v>-2174.8220000000001</v>
      </c>
      <c r="AV865" s="30">
        <f>Inventory[[#This Row],[MainFn]]*Lookups!$B$90</f>
        <v>72271.22004</v>
      </c>
      <c r="AW865" s="30">
        <f>Inventory[[#This Row],[UpprFn]]*Lookups!$B$91</f>
        <v>78765.266325999997</v>
      </c>
      <c r="AX865" s="30">
        <f>Inventory[[#This Row],[Bsmt Area]]*Lookups!$B$95</f>
        <v>0</v>
      </c>
      <c r="AY865" s="30">
        <f>Inventory[[#This Row],[AttGar]]*Lookups!$B$93</f>
        <v>0</v>
      </c>
      <c r="AZ865" s="30">
        <f>ROUND(Inventory[[#This Row],[25Det]],-2)</f>
        <v>0</v>
      </c>
      <c r="BA865" s="30">
        <f>ROUND(SUM(Inventory[[#This Row],[Mdl Qlty]:[Mdl Garage Area]])+Inventory[[#This Row],[Mdl Res Intercept]],-2)</f>
        <v>364800</v>
      </c>
      <c r="BB865" s="30">
        <f>ROUND(Inventory[[#This Row],[Mdl Land Intercept]]+Inventory[[#This Row],[Mdl LnAcres]],-2)</f>
        <v>64300</v>
      </c>
      <c r="BC865" s="30">
        <f>Inventory[[#This Row],[Unadj Res Value]]+Inventory[[#This Row],[Unadj Det Value]]+Inventory[[#This Row],[Unadj Land Value]]</f>
        <v>429100</v>
      </c>
      <c r="BD865" s="30">
        <f>(Inventory[[#This Row],[Unadj Total Value]]-Inventory[[#This Row],[24Final]])/Inventory[[#This Row],[24Final]]</f>
        <v>5.6245605812045938E-3</v>
      </c>
      <c r="BE865" s="30">
        <f>VLOOKUP(Inventory[[#This Row],[Nbhd]],Lookups!$M$3:$P$5,4,FALSE)</f>
        <v>0.99970000000000003</v>
      </c>
      <c r="BF865" s="30">
        <f>VLOOKUP(Inventory[[#This Row],[Qlty]],Lookups!$M$8:$P$22,4,FALSE)</f>
        <v>1.0019</v>
      </c>
      <c r="BG865" s="30">
        <f>VLOOKUP(Inventory[[#This Row],[Cnd]],Lookups!$R$8:$U$17,4,FALSE)</f>
        <v>1.0007999999999999</v>
      </c>
      <c r="BH865" s="30">
        <f>VLOOKUP(Inventory[[#This Row],[LivArea Range]],Lookups!$R$25:$U$43,4,FALSE)</f>
        <v>1.0008999999999999</v>
      </c>
      <c r="BI865" s="30">
        <f>VLOOKUP(Inventory[[#This Row],[Decade]],Lookups!$M$24:$P$40,4,FALSE)</f>
        <v>0.99560000000000004</v>
      </c>
      <c r="BJ865" s="30">
        <f>Inventory[[#This Row],[Nbhd Adj]]*0.95</f>
        <v>0.94971499999999998</v>
      </c>
      <c r="BK865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865" s="30">
        <f>ROUND((SUM(Inventory[[#This Row],[Mdl Qlty]:[Mdl Garage Area]])+Inventory[[#This Row],[Mdl Res Intercept]])*Inventory[[#This Row],[Res Adj ]],-2)</f>
        <v>346400</v>
      </c>
      <c r="BM865" s="30">
        <f>ROUND(Inventory[[#This Row],[25Det]]*Inventory[[#This Row],[Det/Nbhd Adj]],-2)</f>
        <v>0</v>
      </c>
      <c r="BN865" s="30">
        <f>Inventory[[#This Row],[Adjusted Res]]+Inventory[[#This Row],[Adj Det ]]</f>
        <v>346400</v>
      </c>
      <c r="BO865" s="30">
        <f>ROUND((Inventory[[#This Row],[Mdl Land Intercept]]+Inventory[[#This Row],[Mdl LnAcres]])*Inventory[[#This Row],[Det/Nbhd Adj]],-2)</f>
        <v>61100</v>
      </c>
      <c r="BP865" s="30">
        <f>Inventory[[#This Row],[Adjusted Impr Total]]+Inventory[[#This Row],[Adjusted Land Total]]</f>
        <v>407500</v>
      </c>
      <c r="BQ865" s="30">
        <f>IFERROR((Inventory[[#This Row],[Adjusted Impr Total]]-Inventory[[#This Row],[24Bldg]])/Inventory[[#This Row],[24Bldg]],0)</f>
        <v>-5.3293249521727246E-2</v>
      </c>
      <c r="BR865" s="43">
        <f>(Inventory[[#This Row],[Adjusted Land Total]]-Inventory[[#This Row],[24Lnd]])/Inventory[[#This Row],[24Lnd]]</f>
        <v>4.9342105263157892E-3</v>
      </c>
      <c r="BS865" s="43">
        <f>(Inventory[[#This Row],[Adjusted Total]]-Inventory[[#This Row],[24Final]])/Inventory[[#This Row],[24Final]]</f>
        <v>-4.499648464963675E-2</v>
      </c>
    </row>
    <row r="866" spans="1:71">
      <c r="A866" s="30">
        <v>2025</v>
      </c>
      <c r="B866" s="31" t="s">
        <v>1381</v>
      </c>
      <c r="C866" s="31">
        <f>LN(Inventory[[#This Row],[Acres]])</f>
        <v>-1.8325814637483102</v>
      </c>
      <c r="D866" s="30">
        <v>0.16</v>
      </c>
      <c r="E866" s="30">
        <v>7013</v>
      </c>
      <c r="F866" s="31" t="s">
        <v>505</v>
      </c>
      <c r="G866" s="31" t="s">
        <v>155</v>
      </c>
      <c r="H866" s="31" t="s">
        <v>5</v>
      </c>
      <c r="I866" s="31" t="s">
        <v>506</v>
      </c>
      <c r="J866" s="31" t="s">
        <v>507</v>
      </c>
      <c r="K866" s="31" t="s">
        <v>157</v>
      </c>
      <c r="L866" s="31" t="s">
        <v>21</v>
      </c>
      <c r="M866" s="31" t="s">
        <v>22</v>
      </c>
      <c r="N866" s="31">
        <v>20</v>
      </c>
      <c r="O866" s="31">
        <f>2024-Inventory[[#This Row],[YrBlt]]</f>
        <v>20</v>
      </c>
      <c r="P866" s="31">
        <f>2024-Inventory[[#This Row],[EffYr]]</f>
        <v>20</v>
      </c>
      <c r="Q866" s="30">
        <v>2004</v>
      </c>
      <c r="R866" s="30">
        <v>2004</v>
      </c>
      <c r="S866" s="30">
        <v>1158</v>
      </c>
      <c r="T866" s="30">
        <v>1322</v>
      </c>
      <c r="U866" s="32"/>
      <c r="V866" s="32"/>
      <c r="W866" s="32"/>
      <c r="X866" s="32">
        <f>Inventory[[#This Row],[Bsmt Area]]-Inventory[[#This Row],[FnBsmt]]</f>
        <v>0</v>
      </c>
      <c r="Y866" s="32">
        <f>Inventory[[#This Row],[MainFn]]+Inventory[[#This Row],[UpprFn]]+Inventory[[#This Row],[AddFn]]+Inventory[[#This Row],[FnBsmt]]</f>
        <v>2480</v>
      </c>
      <c r="Z866" s="32">
        <v>2500</v>
      </c>
      <c r="AA866" s="31" t="s">
        <v>57</v>
      </c>
      <c r="AB866" s="30">
        <v>1</v>
      </c>
      <c r="AC866" s="32"/>
      <c r="AD866" s="30">
        <v>502</v>
      </c>
      <c r="AE866" s="32"/>
      <c r="AF866" s="32"/>
      <c r="AG866" s="32"/>
      <c r="AH866" s="32"/>
      <c r="AI866" s="30">
        <v>481791</v>
      </c>
      <c r="AJ866" s="30">
        <v>443248</v>
      </c>
      <c r="AK866" s="30">
        <v>0</v>
      </c>
      <c r="AL866" s="30">
        <v>0</v>
      </c>
      <c r="AM866" s="30">
        <v>60800</v>
      </c>
      <c r="AN866" s="30">
        <v>365900</v>
      </c>
      <c r="AO866" s="30">
        <v>426700</v>
      </c>
      <c r="AP866" s="30">
        <f>Lookups!$B$58*0.6</f>
        <v>132535.48800000001</v>
      </c>
      <c r="AQ866" s="30">
        <f>Lookups!$B$58*0.4</f>
        <v>88356.992000000013</v>
      </c>
      <c r="AR866" s="30">
        <f>Lookups!$B$59*Inventory[[#This Row],[LnAcres]]</f>
        <v>-24051.387388882686</v>
      </c>
      <c r="AS866" s="30">
        <f>VLOOKUP(Inventory[[#This Row],[Qlty]],Lookups!$A$66:$E$79,2,FALSE)</f>
        <v>32917.849192000001</v>
      </c>
      <c r="AT866" s="30">
        <f>VLOOKUP(Inventory[[#This Row],[Cnd]],Lookups!$A$80:$E$88,2,FALSE)</f>
        <v>50438.379078999998</v>
      </c>
      <c r="AU866" s="30">
        <f>Inventory[[#This Row],[EffAge]]*Lookups!$B$65</f>
        <v>-2174.8220000000001</v>
      </c>
      <c r="AV866" s="30">
        <f>Inventory[[#This Row],[MainFn]]*Lookups!$B$90</f>
        <v>72271.22004</v>
      </c>
      <c r="AW866" s="30">
        <f>Inventory[[#This Row],[UpprFn]]*Lookups!$B$91</f>
        <v>78765.266325999997</v>
      </c>
      <c r="AX866" s="30">
        <f>Inventory[[#This Row],[Bsmt Area]]*Lookups!$B$95</f>
        <v>0</v>
      </c>
      <c r="AY866" s="30">
        <f>Inventory[[#This Row],[AttGar]]*Lookups!$B$93</f>
        <v>0</v>
      </c>
      <c r="AZ866" s="30">
        <f>ROUND(Inventory[[#This Row],[25Det]],-2)</f>
        <v>0</v>
      </c>
      <c r="BA866" s="30">
        <f>ROUND(SUM(Inventory[[#This Row],[Mdl Qlty]:[Mdl Garage Area]])+Inventory[[#This Row],[Mdl Res Intercept]],-2)</f>
        <v>364800</v>
      </c>
      <c r="BB866" s="30">
        <f>ROUND(Inventory[[#This Row],[Mdl Land Intercept]]+Inventory[[#This Row],[Mdl LnAcres]],-2)</f>
        <v>64300</v>
      </c>
      <c r="BC866" s="30">
        <f>Inventory[[#This Row],[Unadj Res Value]]+Inventory[[#This Row],[Unadj Det Value]]+Inventory[[#This Row],[Unadj Land Value]]</f>
        <v>429100</v>
      </c>
      <c r="BD866" s="30">
        <f>(Inventory[[#This Row],[Unadj Total Value]]-Inventory[[#This Row],[24Final]])/Inventory[[#This Row],[24Final]]</f>
        <v>5.6245605812045938E-3</v>
      </c>
      <c r="BE866" s="30">
        <f>VLOOKUP(Inventory[[#This Row],[Nbhd]],Lookups!$M$3:$P$5,4,FALSE)</f>
        <v>0.99970000000000003</v>
      </c>
      <c r="BF866" s="30">
        <f>VLOOKUP(Inventory[[#This Row],[Qlty]],Lookups!$M$8:$P$22,4,FALSE)</f>
        <v>1.0019</v>
      </c>
      <c r="BG866" s="30">
        <f>VLOOKUP(Inventory[[#This Row],[Cnd]],Lookups!$R$8:$U$17,4,FALSE)</f>
        <v>1.0007999999999999</v>
      </c>
      <c r="BH866" s="30">
        <f>VLOOKUP(Inventory[[#This Row],[LivArea Range]],Lookups!$R$25:$U$43,4,FALSE)</f>
        <v>1.0008999999999999</v>
      </c>
      <c r="BI866" s="30">
        <f>VLOOKUP(Inventory[[#This Row],[Decade]],Lookups!$M$24:$P$40,4,FALSE)</f>
        <v>0.99560000000000004</v>
      </c>
      <c r="BJ866" s="30">
        <f>Inventory[[#This Row],[Nbhd Adj]]*0.95</f>
        <v>0.94971499999999998</v>
      </c>
      <c r="BK866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866" s="30">
        <f>ROUND((SUM(Inventory[[#This Row],[Mdl Qlty]:[Mdl Garage Area]])+Inventory[[#This Row],[Mdl Res Intercept]])*Inventory[[#This Row],[Res Adj ]],-2)</f>
        <v>346400</v>
      </c>
      <c r="BM866" s="30">
        <f>ROUND(Inventory[[#This Row],[25Det]]*Inventory[[#This Row],[Det/Nbhd Adj]],-2)</f>
        <v>0</v>
      </c>
      <c r="BN866" s="30">
        <f>Inventory[[#This Row],[Adjusted Res]]+Inventory[[#This Row],[Adj Det ]]</f>
        <v>346400</v>
      </c>
      <c r="BO866" s="30">
        <f>ROUND((Inventory[[#This Row],[Mdl Land Intercept]]+Inventory[[#This Row],[Mdl LnAcres]])*Inventory[[#This Row],[Det/Nbhd Adj]],-2)</f>
        <v>61100</v>
      </c>
      <c r="BP866" s="30">
        <f>Inventory[[#This Row],[Adjusted Impr Total]]+Inventory[[#This Row],[Adjusted Land Total]]</f>
        <v>407500</v>
      </c>
      <c r="BQ866" s="30">
        <f>IFERROR((Inventory[[#This Row],[Adjusted Impr Total]]-Inventory[[#This Row],[24Bldg]])/Inventory[[#This Row],[24Bldg]],0)</f>
        <v>-5.3293249521727246E-2</v>
      </c>
      <c r="BR866" s="43">
        <f>(Inventory[[#This Row],[Adjusted Land Total]]-Inventory[[#This Row],[24Lnd]])/Inventory[[#This Row],[24Lnd]]</f>
        <v>4.9342105263157892E-3</v>
      </c>
      <c r="BS866" s="43">
        <f>(Inventory[[#This Row],[Adjusted Total]]-Inventory[[#This Row],[24Final]])/Inventory[[#This Row],[24Final]]</f>
        <v>-4.499648464963675E-2</v>
      </c>
    </row>
    <row r="867" spans="1:71">
      <c r="A867" s="30">
        <v>2025</v>
      </c>
      <c r="B867" s="31" t="s">
        <v>1382</v>
      </c>
      <c r="C867" s="31">
        <f>LN(Inventory[[#This Row],[Acres]])</f>
        <v>-1.8325814637483102</v>
      </c>
      <c r="D867" s="30">
        <v>0.16</v>
      </c>
      <c r="E867" s="30">
        <v>7112</v>
      </c>
      <c r="F867" s="31" t="s">
        <v>505</v>
      </c>
      <c r="G867" s="31" t="s">
        <v>155</v>
      </c>
      <c r="H867" s="31" t="s">
        <v>5</v>
      </c>
      <c r="I867" s="31" t="s">
        <v>506</v>
      </c>
      <c r="J867" s="31" t="s">
        <v>507</v>
      </c>
      <c r="K867" s="31" t="s">
        <v>157</v>
      </c>
      <c r="L867" s="31" t="s">
        <v>21</v>
      </c>
      <c r="M867" s="31" t="s">
        <v>22</v>
      </c>
      <c r="N867" s="31">
        <v>20</v>
      </c>
      <c r="O867" s="31">
        <f>2024-Inventory[[#This Row],[YrBlt]]</f>
        <v>20</v>
      </c>
      <c r="P867" s="31">
        <f>2024-Inventory[[#This Row],[EffYr]]</f>
        <v>20</v>
      </c>
      <c r="Q867" s="30">
        <v>2004</v>
      </c>
      <c r="R867" s="30">
        <v>2004</v>
      </c>
      <c r="S867" s="30">
        <v>1158</v>
      </c>
      <c r="T867" s="38">
        <v>1322</v>
      </c>
      <c r="U867" s="32"/>
      <c r="V867" s="32"/>
      <c r="W867" s="32"/>
      <c r="X867" s="32">
        <f>Inventory[[#This Row],[Bsmt Area]]-Inventory[[#This Row],[FnBsmt]]</f>
        <v>0</v>
      </c>
      <c r="Y867" s="32">
        <f>Inventory[[#This Row],[MainFn]]+Inventory[[#This Row],[UpprFn]]+Inventory[[#This Row],[AddFn]]+Inventory[[#This Row],[FnBsmt]]</f>
        <v>2480</v>
      </c>
      <c r="Z867" s="32">
        <v>2500</v>
      </c>
      <c r="AA867" s="31" t="s">
        <v>57</v>
      </c>
      <c r="AB867" s="38">
        <v>1</v>
      </c>
      <c r="AC867" s="37"/>
      <c r="AD867" s="38">
        <v>502</v>
      </c>
      <c r="AE867" s="32"/>
      <c r="AF867" s="32"/>
      <c r="AG867" s="32"/>
      <c r="AH867" s="32"/>
      <c r="AI867" s="30">
        <v>490722</v>
      </c>
      <c r="AJ867" s="30">
        <v>451464</v>
      </c>
      <c r="AK867" s="30">
        <v>0</v>
      </c>
      <c r="AL867" s="30">
        <v>0</v>
      </c>
      <c r="AM867" s="30">
        <v>60800</v>
      </c>
      <c r="AN867" s="30">
        <v>365900</v>
      </c>
      <c r="AO867" s="30">
        <v>426700</v>
      </c>
      <c r="AP867" s="30">
        <f>Lookups!$B$58*0.6</f>
        <v>132535.48800000001</v>
      </c>
      <c r="AQ867" s="30">
        <f>Lookups!$B$58*0.4</f>
        <v>88356.992000000013</v>
      </c>
      <c r="AR867" s="30">
        <f>Lookups!$B$59*Inventory[[#This Row],[LnAcres]]</f>
        <v>-24051.387388882686</v>
      </c>
      <c r="AS867" s="30">
        <f>VLOOKUP(Inventory[[#This Row],[Qlty]],Lookups!$A$66:$E$79,2,FALSE)</f>
        <v>32917.849192000001</v>
      </c>
      <c r="AT867" s="30">
        <f>VLOOKUP(Inventory[[#This Row],[Cnd]],Lookups!$A$80:$E$88,2,FALSE)</f>
        <v>50438.379078999998</v>
      </c>
      <c r="AU867" s="30">
        <f>Inventory[[#This Row],[EffAge]]*Lookups!$B$65</f>
        <v>-2174.8220000000001</v>
      </c>
      <c r="AV867" s="30">
        <f>Inventory[[#This Row],[MainFn]]*Lookups!$B$90</f>
        <v>72271.22004</v>
      </c>
      <c r="AW867" s="30">
        <f>Inventory[[#This Row],[UpprFn]]*Lookups!$B$91</f>
        <v>78765.266325999997</v>
      </c>
      <c r="AX867" s="30">
        <f>Inventory[[#This Row],[Bsmt Area]]*Lookups!$B$95</f>
        <v>0</v>
      </c>
      <c r="AY867" s="30">
        <f>Inventory[[#This Row],[AttGar]]*Lookups!$B$93</f>
        <v>0</v>
      </c>
      <c r="AZ867" s="30">
        <f>ROUND(Inventory[[#This Row],[25Det]],-2)</f>
        <v>0</v>
      </c>
      <c r="BA867" s="30">
        <f>ROUND(SUM(Inventory[[#This Row],[Mdl Qlty]:[Mdl Garage Area]])+Inventory[[#This Row],[Mdl Res Intercept]],-2)</f>
        <v>364800</v>
      </c>
      <c r="BB867" s="30">
        <f>ROUND(Inventory[[#This Row],[Mdl Land Intercept]]+Inventory[[#This Row],[Mdl LnAcres]],-2)</f>
        <v>64300</v>
      </c>
      <c r="BC867" s="30">
        <f>Inventory[[#This Row],[Unadj Res Value]]+Inventory[[#This Row],[Unadj Det Value]]+Inventory[[#This Row],[Unadj Land Value]]</f>
        <v>429100</v>
      </c>
      <c r="BD867" s="30">
        <f>(Inventory[[#This Row],[Unadj Total Value]]-Inventory[[#This Row],[24Final]])/Inventory[[#This Row],[24Final]]</f>
        <v>5.6245605812045938E-3</v>
      </c>
      <c r="BE867" s="30">
        <f>VLOOKUP(Inventory[[#This Row],[Nbhd]],Lookups!$M$3:$P$5,4,FALSE)</f>
        <v>0.99970000000000003</v>
      </c>
      <c r="BF867" s="30">
        <f>VLOOKUP(Inventory[[#This Row],[Qlty]],Lookups!$M$8:$P$22,4,FALSE)</f>
        <v>1.0019</v>
      </c>
      <c r="BG867" s="30">
        <f>VLOOKUP(Inventory[[#This Row],[Cnd]],Lookups!$R$8:$U$17,4,FALSE)</f>
        <v>1.0007999999999999</v>
      </c>
      <c r="BH867" s="30">
        <f>VLOOKUP(Inventory[[#This Row],[LivArea Range]],Lookups!$R$25:$U$43,4,FALSE)</f>
        <v>1.0008999999999999</v>
      </c>
      <c r="BI867" s="30">
        <f>VLOOKUP(Inventory[[#This Row],[Decade]],Lookups!$M$24:$P$40,4,FALSE)</f>
        <v>0.99560000000000004</v>
      </c>
      <c r="BJ867" s="30">
        <f>Inventory[[#This Row],[Nbhd Adj]]*0.95</f>
        <v>0.94971499999999998</v>
      </c>
      <c r="BK867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867" s="30">
        <f>ROUND((SUM(Inventory[[#This Row],[Mdl Qlty]:[Mdl Garage Area]])+Inventory[[#This Row],[Mdl Res Intercept]])*Inventory[[#This Row],[Res Adj ]],-2)</f>
        <v>346400</v>
      </c>
      <c r="BM867" s="30">
        <f>ROUND(Inventory[[#This Row],[25Det]]*Inventory[[#This Row],[Det/Nbhd Adj]],-2)</f>
        <v>0</v>
      </c>
      <c r="BN867" s="30">
        <f>Inventory[[#This Row],[Adjusted Res]]+Inventory[[#This Row],[Adj Det ]]</f>
        <v>346400</v>
      </c>
      <c r="BO867" s="30">
        <f>ROUND((Inventory[[#This Row],[Mdl Land Intercept]]+Inventory[[#This Row],[Mdl LnAcres]])*Inventory[[#This Row],[Det/Nbhd Adj]],-2)</f>
        <v>61100</v>
      </c>
      <c r="BP867" s="30">
        <f>Inventory[[#This Row],[Adjusted Impr Total]]+Inventory[[#This Row],[Adjusted Land Total]]</f>
        <v>407500</v>
      </c>
      <c r="BQ867" s="30">
        <f>IFERROR((Inventory[[#This Row],[Adjusted Impr Total]]-Inventory[[#This Row],[24Bldg]])/Inventory[[#This Row],[24Bldg]],0)</f>
        <v>-5.3293249521727246E-2</v>
      </c>
      <c r="BR867" s="43">
        <f>(Inventory[[#This Row],[Adjusted Land Total]]-Inventory[[#This Row],[24Lnd]])/Inventory[[#This Row],[24Lnd]]</f>
        <v>4.9342105263157892E-3</v>
      </c>
      <c r="BS867" s="43">
        <f>(Inventory[[#This Row],[Adjusted Total]]-Inventory[[#This Row],[24Final]])/Inventory[[#This Row],[24Final]]</f>
        <v>-4.499648464963675E-2</v>
      </c>
    </row>
    <row r="868" spans="1:71">
      <c r="A868" s="30">
        <v>2025</v>
      </c>
      <c r="B868" s="31" t="s">
        <v>1383</v>
      </c>
      <c r="C868" s="31">
        <f>LN(Inventory[[#This Row],[Acres]])</f>
        <v>-1.8325814637483102</v>
      </c>
      <c r="D868" s="30">
        <v>0.16</v>
      </c>
      <c r="E868" s="30">
        <v>7025</v>
      </c>
      <c r="F868" s="31" t="s">
        <v>505</v>
      </c>
      <c r="G868" s="31" t="s">
        <v>155</v>
      </c>
      <c r="H868" s="31" t="s">
        <v>5</v>
      </c>
      <c r="I868" s="31" t="s">
        <v>506</v>
      </c>
      <c r="J868" s="31" t="s">
        <v>507</v>
      </c>
      <c r="K868" s="31" t="s">
        <v>157</v>
      </c>
      <c r="L868" s="31" t="s">
        <v>21</v>
      </c>
      <c r="M868" s="31" t="s">
        <v>22</v>
      </c>
      <c r="N868" s="31">
        <v>20</v>
      </c>
      <c r="O868" s="31">
        <f>2024-Inventory[[#This Row],[YrBlt]]</f>
        <v>20</v>
      </c>
      <c r="P868" s="31">
        <f>2024-Inventory[[#This Row],[EffYr]]</f>
        <v>20</v>
      </c>
      <c r="Q868" s="30">
        <v>2004</v>
      </c>
      <c r="R868" s="30">
        <v>2004</v>
      </c>
      <c r="S868" s="30">
        <v>1458</v>
      </c>
      <c r="T868" s="38">
        <v>1322</v>
      </c>
      <c r="U868" s="32"/>
      <c r="V868" s="32"/>
      <c r="W868" s="32"/>
      <c r="X868" s="32">
        <f>Inventory[[#This Row],[Bsmt Area]]-Inventory[[#This Row],[FnBsmt]]</f>
        <v>0</v>
      </c>
      <c r="Y868" s="32">
        <f>Inventory[[#This Row],[MainFn]]+Inventory[[#This Row],[UpprFn]]+Inventory[[#This Row],[AddFn]]+Inventory[[#This Row],[FnBsmt]]</f>
        <v>2780</v>
      </c>
      <c r="Z868" s="32">
        <v>3000</v>
      </c>
      <c r="AA868" s="31" t="s">
        <v>57</v>
      </c>
      <c r="AB868" s="38">
        <v>1</v>
      </c>
      <c r="AC868" s="37"/>
      <c r="AD868" s="38">
        <v>502</v>
      </c>
      <c r="AE868" s="32"/>
      <c r="AF868" s="32"/>
      <c r="AG868" s="32"/>
      <c r="AH868" s="32"/>
      <c r="AI868" s="30">
        <v>539324</v>
      </c>
      <c r="AJ868" s="30">
        <v>496178</v>
      </c>
      <c r="AK868" s="30">
        <v>0</v>
      </c>
      <c r="AL868" s="30">
        <v>0</v>
      </c>
      <c r="AM868" s="30">
        <v>60800</v>
      </c>
      <c r="AN868" s="30">
        <v>380500</v>
      </c>
      <c r="AO868" s="30">
        <v>441300</v>
      </c>
      <c r="AP868" s="30">
        <f>Lookups!$B$58*0.6</f>
        <v>132535.48800000001</v>
      </c>
      <c r="AQ868" s="30">
        <f>Lookups!$B$58*0.4</f>
        <v>88356.992000000013</v>
      </c>
      <c r="AR868" s="30">
        <f>Lookups!$B$59*Inventory[[#This Row],[LnAcres]]</f>
        <v>-24051.387388882686</v>
      </c>
      <c r="AS868" s="30">
        <f>VLOOKUP(Inventory[[#This Row],[Qlty]],Lookups!$A$66:$E$79,2,FALSE)</f>
        <v>32917.849192000001</v>
      </c>
      <c r="AT868" s="30">
        <f>VLOOKUP(Inventory[[#This Row],[Cnd]],Lookups!$A$80:$E$88,2,FALSE)</f>
        <v>50438.379078999998</v>
      </c>
      <c r="AU868" s="30">
        <f>Inventory[[#This Row],[EffAge]]*Lookups!$B$65</f>
        <v>-2174.8220000000001</v>
      </c>
      <c r="AV868" s="30">
        <f>Inventory[[#This Row],[MainFn]]*Lookups!$B$90</f>
        <v>90994.334040000002</v>
      </c>
      <c r="AW868" s="30">
        <f>Inventory[[#This Row],[UpprFn]]*Lookups!$B$91</f>
        <v>78765.266325999997</v>
      </c>
      <c r="AX868" s="30">
        <f>Inventory[[#This Row],[Bsmt Area]]*Lookups!$B$95</f>
        <v>0</v>
      </c>
      <c r="AY868" s="30">
        <f>Inventory[[#This Row],[AttGar]]*Lookups!$B$93</f>
        <v>0</v>
      </c>
      <c r="AZ868" s="30">
        <f>ROUND(Inventory[[#This Row],[25Det]],-2)</f>
        <v>0</v>
      </c>
      <c r="BA868" s="30">
        <f>ROUND(SUM(Inventory[[#This Row],[Mdl Qlty]:[Mdl Garage Area]])+Inventory[[#This Row],[Mdl Res Intercept]],-2)</f>
        <v>383500</v>
      </c>
      <c r="BB868" s="30">
        <f>ROUND(Inventory[[#This Row],[Mdl Land Intercept]]+Inventory[[#This Row],[Mdl LnAcres]],-2)</f>
        <v>64300</v>
      </c>
      <c r="BC868" s="30">
        <f>Inventory[[#This Row],[Unadj Res Value]]+Inventory[[#This Row],[Unadj Det Value]]+Inventory[[#This Row],[Unadj Land Value]]</f>
        <v>447800</v>
      </c>
      <c r="BD868" s="30">
        <f>(Inventory[[#This Row],[Unadj Total Value]]-Inventory[[#This Row],[24Final]])/Inventory[[#This Row],[24Final]]</f>
        <v>1.4729209154769997E-2</v>
      </c>
      <c r="BE868" s="30">
        <f>VLOOKUP(Inventory[[#This Row],[Nbhd]],Lookups!$M$3:$P$5,4,FALSE)</f>
        <v>0.99970000000000003</v>
      </c>
      <c r="BF868" s="30">
        <f>VLOOKUP(Inventory[[#This Row],[Qlty]],Lookups!$M$8:$P$22,4,FALSE)</f>
        <v>1.0019</v>
      </c>
      <c r="BG868" s="30">
        <f>VLOOKUP(Inventory[[#This Row],[Cnd]],Lookups!$R$8:$U$17,4,FALSE)</f>
        <v>1.0007999999999999</v>
      </c>
      <c r="BH868" s="30">
        <f>VLOOKUP(Inventory[[#This Row],[LivArea Range]],Lookups!$R$25:$U$43,4,FALSE)</f>
        <v>1.0099</v>
      </c>
      <c r="BI868" s="30">
        <f>VLOOKUP(Inventory[[#This Row],[Decade]],Lookups!$M$24:$P$40,4,FALSE)</f>
        <v>0.99560000000000004</v>
      </c>
      <c r="BJ868" s="30">
        <f>Inventory[[#This Row],[Nbhd Adj]]*0.95</f>
        <v>0.94971499999999998</v>
      </c>
      <c r="BK868" s="30">
        <f>AVERAGE(Inventory[[#This Row],[Nbhd Adj]],Inventory[[#This Row],[Quality Adj]],Inventory[[#This Row],[Condition Adj]],Inventory[[#This Row],[Living Area Adj]],Inventory[[#This Row],[Decade Adj]])*0.95</f>
        <v>0.95150099999999982</v>
      </c>
      <c r="BL868" s="30">
        <f>ROUND((SUM(Inventory[[#This Row],[Mdl Qlty]:[Mdl Garage Area]])+Inventory[[#This Row],[Mdl Res Intercept]])*Inventory[[#This Row],[Res Adj ]],-2)</f>
        <v>364900</v>
      </c>
      <c r="BM868" s="30">
        <f>ROUND(Inventory[[#This Row],[25Det]]*Inventory[[#This Row],[Det/Nbhd Adj]],-2)</f>
        <v>0</v>
      </c>
      <c r="BN868" s="30">
        <f>Inventory[[#This Row],[Adjusted Res]]+Inventory[[#This Row],[Adj Det ]]</f>
        <v>364900</v>
      </c>
      <c r="BO868" s="30">
        <f>ROUND((Inventory[[#This Row],[Mdl Land Intercept]]+Inventory[[#This Row],[Mdl LnAcres]])*Inventory[[#This Row],[Det/Nbhd Adj]],-2)</f>
        <v>61100</v>
      </c>
      <c r="BP868" s="30">
        <f>Inventory[[#This Row],[Adjusted Impr Total]]+Inventory[[#This Row],[Adjusted Land Total]]</f>
        <v>426000</v>
      </c>
      <c r="BQ868" s="30">
        <f>IFERROR((Inventory[[#This Row],[Adjusted Impr Total]]-Inventory[[#This Row],[24Bldg]])/Inventory[[#This Row],[24Bldg]],0)</f>
        <v>-4.099868593955322E-2</v>
      </c>
      <c r="BR868" s="43">
        <f>(Inventory[[#This Row],[Adjusted Land Total]]-Inventory[[#This Row],[24Lnd]])/Inventory[[#This Row],[24Lnd]]</f>
        <v>4.9342105263157892E-3</v>
      </c>
      <c r="BS868" s="43">
        <f>(Inventory[[#This Row],[Adjusted Total]]-Inventory[[#This Row],[24Final]])/Inventory[[#This Row],[24Final]]</f>
        <v>-3.4670292318150921E-2</v>
      </c>
    </row>
    <row r="869" spans="1:71">
      <c r="A869" s="30">
        <v>2025</v>
      </c>
      <c r="B869" s="31" t="s">
        <v>1384</v>
      </c>
      <c r="C869" s="31">
        <f>LN(Inventory[[#This Row],[Acres]])</f>
        <v>-1.8325814637483102</v>
      </c>
      <c r="D869" s="30">
        <v>0.16</v>
      </c>
      <c r="E869" s="30">
        <v>6944</v>
      </c>
      <c r="F869" s="31" t="s">
        <v>505</v>
      </c>
      <c r="G869" s="31" t="s">
        <v>155</v>
      </c>
      <c r="H869" s="31" t="s">
        <v>5</v>
      </c>
      <c r="I869" s="31" t="s">
        <v>506</v>
      </c>
      <c r="J869" s="31" t="s">
        <v>507</v>
      </c>
      <c r="K869" s="31" t="s">
        <v>193</v>
      </c>
      <c r="L869" s="31" t="s">
        <v>21</v>
      </c>
      <c r="M869" s="31" t="s">
        <v>20</v>
      </c>
      <c r="N869" s="31">
        <v>20</v>
      </c>
      <c r="O869" s="31">
        <f>2024-Inventory[[#This Row],[YrBlt]]</f>
        <v>20</v>
      </c>
      <c r="P869" s="31">
        <f>2024-Inventory[[#This Row],[EffYr]]</f>
        <v>20</v>
      </c>
      <c r="Q869" s="30">
        <v>2004</v>
      </c>
      <c r="R869" s="30">
        <v>2004</v>
      </c>
      <c r="S869" s="30">
        <v>1092</v>
      </c>
      <c r="T869" s="32"/>
      <c r="U869" s="32"/>
      <c r="V869" s="32"/>
      <c r="W869" s="32"/>
      <c r="X869" s="32">
        <f>Inventory[[#This Row],[Bsmt Area]]-Inventory[[#This Row],[FnBsmt]]</f>
        <v>0</v>
      </c>
      <c r="Y869" s="32">
        <f>Inventory[[#This Row],[MainFn]]+Inventory[[#This Row],[UpprFn]]+Inventory[[#This Row],[AddFn]]+Inventory[[#This Row],[FnBsmt]]</f>
        <v>1092</v>
      </c>
      <c r="Z869" s="32">
        <v>1500</v>
      </c>
      <c r="AA869" s="31" t="s">
        <v>57</v>
      </c>
      <c r="AB869" s="32"/>
      <c r="AC869" s="30">
        <v>440</v>
      </c>
      <c r="AD869" s="32"/>
      <c r="AE869" s="32"/>
      <c r="AF869" s="32"/>
      <c r="AG869" s="32"/>
      <c r="AH869" s="32"/>
      <c r="AI869" s="30">
        <v>258810</v>
      </c>
      <c r="AJ869" s="30">
        <v>235517</v>
      </c>
      <c r="AK869" s="30">
        <v>0</v>
      </c>
      <c r="AL869" s="30">
        <v>0</v>
      </c>
      <c r="AM869" s="30">
        <v>60800</v>
      </c>
      <c r="AN869" s="30">
        <v>271500</v>
      </c>
      <c r="AO869" s="30">
        <v>332300</v>
      </c>
      <c r="AP869" s="30">
        <f>Lookups!$B$58*0.6</f>
        <v>132535.48800000001</v>
      </c>
      <c r="AQ869" s="30">
        <f>Lookups!$B$58*0.4</f>
        <v>88356.992000000013</v>
      </c>
      <c r="AR869" s="30">
        <f>Lookups!$B$59*Inventory[[#This Row],[LnAcres]]</f>
        <v>-24051.387388882686</v>
      </c>
      <c r="AS869" s="30">
        <f>VLOOKUP(Inventory[[#This Row],[Qlty]],Lookups!$A$66:$E$79,2,FALSE)</f>
        <v>32917.849192000001</v>
      </c>
      <c r="AT869" s="30">
        <f>VLOOKUP(Inventory[[#This Row],[Cnd]],Lookups!$A$80:$E$88,2,FALSE)</f>
        <v>30300.329274</v>
      </c>
      <c r="AU869" s="30">
        <f>Inventory[[#This Row],[EffAge]]*Lookups!$B$65</f>
        <v>-2174.8220000000001</v>
      </c>
      <c r="AV869" s="30">
        <f>Inventory[[#This Row],[MainFn]]*Lookups!$B$90</f>
        <v>68152.13496000001</v>
      </c>
      <c r="AW869" s="30">
        <f>Inventory[[#This Row],[UpprFn]]*Lookups!$B$91</f>
        <v>0</v>
      </c>
      <c r="AX869" s="30">
        <f>Inventory[[#This Row],[Bsmt Area]]*Lookups!$B$95</f>
        <v>0</v>
      </c>
      <c r="AY869" s="30">
        <f>Inventory[[#This Row],[AttGar]]*Lookups!$B$93</f>
        <v>15532.453640000002</v>
      </c>
      <c r="AZ869" s="30">
        <f>ROUND(Inventory[[#This Row],[25Det]],-2)</f>
        <v>0</v>
      </c>
      <c r="BA869" s="30">
        <f>ROUND(SUM(Inventory[[#This Row],[Mdl Qlty]:[Mdl Garage Area]])+Inventory[[#This Row],[Mdl Res Intercept]],-2)</f>
        <v>277300</v>
      </c>
      <c r="BB869" s="30">
        <f>ROUND(Inventory[[#This Row],[Mdl Land Intercept]]+Inventory[[#This Row],[Mdl LnAcres]],-2)</f>
        <v>64300</v>
      </c>
      <c r="BC869" s="30">
        <f>Inventory[[#This Row],[Unadj Res Value]]+Inventory[[#This Row],[Unadj Det Value]]+Inventory[[#This Row],[Unadj Land Value]]</f>
        <v>341600</v>
      </c>
      <c r="BD869" s="30">
        <f>(Inventory[[#This Row],[Unadj Total Value]]-Inventory[[#This Row],[24Final]])/Inventory[[#This Row],[24Final]]</f>
        <v>2.7986758952753536E-2</v>
      </c>
      <c r="BE869" s="30">
        <f>VLOOKUP(Inventory[[#This Row],[Nbhd]],Lookups!$M$3:$P$5,4,FALSE)</f>
        <v>0.99970000000000003</v>
      </c>
      <c r="BF869" s="30">
        <f>VLOOKUP(Inventory[[#This Row],[Qlty]],Lookups!$M$8:$P$22,4,FALSE)</f>
        <v>1.0019</v>
      </c>
      <c r="BG869" s="30">
        <f>VLOOKUP(Inventory[[#This Row],[Cnd]],Lookups!$R$8:$U$17,4,FALSE)</f>
        <v>0.997</v>
      </c>
      <c r="BH869" s="30">
        <f>VLOOKUP(Inventory[[#This Row],[LivArea Range]],Lookups!$R$25:$U$43,4,FALSE)</f>
        <v>0.99519999999999997</v>
      </c>
      <c r="BI869" s="30">
        <f>VLOOKUP(Inventory[[#This Row],[Decade]],Lookups!$M$24:$P$40,4,FALSE)</f>
        <v>0.99560000000000004</v>
      </c>
      <c r="BJ869" s="30">
        <f>Inventory[[#This Row],[Nbhd Adj]]*0.95</f>
        <v>0.94971499999999998</v>
      </c>
      <c r="BK869" s="30">
        <f>AVERAGE(Inventory[[#This Row],[Nbhd Adj]],Inventory[[#This Row],[Quality Adj]],Inventory[[#This Row],[Condition Adj]],Inventory[[#This Row],[Living Area Adj]],Inventory[[#This Row],[Decade Adj]])*0.95</f>
        <v>0.947986</v>
      </c>
      <c r="BL869" s="30">
        <f>ROUND((SUM(Inventory[[#This Row],[Mdl Qlty]:[Mdl Garage Area]])+Inventory[[#This Row],[Mdl Res Intercept]])*Inventory[[#This Row],[Res Adj ]],-2)</f>
        <v>262800</v>
      </c>
      <c r="BM869" s="30">
        <f>ROUND(Inventory[[#This Row],[25Det]]*Inventory[[#This Row],[Det/Nbhd Adj]],-2)</f>
        <v>0</v>
      </c>
      <c r="BN869" s="30">
        <f>Inventory[[#This Row],[Adjusted Res]]+Inventory[[#This Row],[Adj Det ]]</f>
        <v>262800</v>
      </c>
      <c r="BO869" s="30">
        <f>ROUND((Inventory[[#This Row],[Mdl Land Intercept]]+Inventory[[#This Row],[Mdl LnAcres]])*Inventory[[#This Row],[Det/Nbhd Adj]],-2)</f>
        <v>61100</v>
      </c>
      <c r="BP869" s="30">
        <f>Inventory[[#This Row],[Adjusted Impr Total]]+Inventory[[#This Row],[Adjusted Land Total]]</f>
        <v>323900</v>
      </c>
      <c r="BQ869" s="30">
        <f>IFERROR((Inventory[[#This Row],[Adjusted Impr Total]]-Inventory[[#This Row],[24Bldg]])/Inventory[[#This Row],[24Bldg]],0)</f>
        <v>-3.2044198895027624E-2</v>
      </c>
      <c r="BR869" s="43">
        <f>(Inventory[[#This Row],[Adjusted Land Total]]-Inventory[[#This Row],[24Lnd]])/Inventory[[#This Row],[24Lnd]]</f>
        <v>4.9342105263157892E-3</v>
      </c>
      <c r="BS869" s="43">
        <f>(Inventory[[#This Row],[Adjusted Total]]-Inventory[[#This Row],[24Final]])/Inventory[[#This Row],[24Final]]</f>
        <v>-2.5278362925067709E-2</v>
      </c>
    </row>
    <row r="870" spans="1:71">
      <c r="A870" s="30">
        <v>2025</v>
      </c>
      <c r="B870" s="31" t="s">
        <v>1385</v>
      </c>
      <c r="C870" s="31">
        <f>LN(Inventory[[#This Row],[Acres]])</f>
        <v>-1.8325814637483102</v>
      </c>
      <c r="D870" s="30">
        <v>0.16</v>
      </c>
      <c r="E870" s="30">
        <v>7000</v>
      </c>
      <c r="F870" s="31" t="s">
        <v>505</v>
      </c>
      <c r="G870" s="31" t="s">
        <v>155</v>
      </c>
      <c r="H870" s="31" t="s">
        <v>5</v>
      </c>
      <c r="I870" s="31" t="s">
        <v>506</v>
      </c>
      <c r="J870" s="31" t="s">
        <v>507</v>
      </c>
      <c r="K870" s="31" t="s">
        <v>193</v>
      </c>
      <c r="L870" s="31" t="s">
        <v>21</v>
      </c>
      <c r="M870" s="31" t="s">
        <v>20</v>
      </c>
      <c r="N870" s="31">
        <v>20</v>
      </c>
      <c r="O870" s="31">
        <f>2024-Inventory[[#This Row],[YrBlt]]</f>
        <v>20</v>
      </c>
      <c r="P870" s="31">
        <f>2024-Inventory[[#This Row],[EffYr]]</f>
        <v>20</v>
      </c>
      <c r="Q870" s="30">
        <v>2004</v>
      </c>
      <c r="R870" s="30">
        <v>2004</v>
      </c>
      <c r="S870" s="30">
        <v>1092</v>
      </c>
      <c r="T870" s="32"/>
      <c r="U870" s="32"/>
      <c r="V870" s="32"/>
      <c r="W870" s="32"/>
      <c r="X870" s="32">
        <f>Inventory[[#This Row],[Bsmt Area]]-Inventory[[#This Row],[FnBsmt]]</f>
        <v>0</v>
      </c>
      <c r="Y870" s="32">
        <f>Inventory[[#This Row],[MainFn]]+Inventory[[#This Row],[UpprFn]]+Inventory[[#This Row],[AddFn]]+Inventory[[#This Row],[FnBsmt]]</f>
        <v>1092</v>
      </c>
      <c r="Z870" s="32">
        <v>1500</v>
      </c>
      <c r="AA870" s="31" t="s">
        <v>57</v>
      </c>
      <c r="AB870" s="32"/>
      <c r="AC870" s="30">
        <v>440</v>
      </c>
      <c r="AD870" s="32"/>
      <c r="AE870" s="32"/>
      <c r="AF870" s="32"/>
      <c r="AG870" s="32"/>
      <c r="AH870" s="32"/>
      <c r="AI870" s="30">
        <v>259269</v>
      </c>
      <c r="AJ870" s="30">
        <v>235935</v>
      </c>
      <c r="AK870" s="30">
        <v>0</v>
      </c>
      <c r="AL870" s="30">
        <v>0</v>
      </c>
      <c r="AM870" s="30">
        <v>60800</v>
      </c>
      <c r="AN870" s="30">
        <v>271500</v>
      </c>
      <c r="AO870" s="30">
        <v>332300</v>
      </c>
      <c r="AP870" s="30">
        <f>Lookups!$B$58*0.6</f>
        <v>132535.48800000001</v>
      </c>
      <c r="AQ870" s="30">
        <f>Lookups!$B$58*0.4</f>
        <v>88356.992000000013</v>
      </c>
      <c r="AR870" s="30">
        <f>Lookups!$B$59*Inventory[[#This Row],[LnAcres]]</f>
        <v>-24051.387388882686</v>
      </c>
      <c r="AS870" s="30">
        <f>VLOOKUP(Inventory[[#This Row],[Qlty]],Lookups!$A$66:$E$79,2,FALSE)</f>
        <v>32917.849192000001</v>
      </c>
      <c r="AT870" s="30">
        <f>VLOOKUP(Inventory[[#This Row],[Cnd]],Lookups!$A$80:$E$88,2,FALSE)</f>
        <v>30300.329274</v>
      </c>
      <c r="AU870" s="30">
        <f>Inventory[[#This Row],[EffAge]]*Lookups!$B$65</f>
        <v>-2174.8220000000001</v>
      </c>
      <c r="AV870" s="30">
        <f>Inventory[[#This Row],[MainFn]]*Lookups!$B$90</f>
        <v>68152.13496000001</v>
      </c>
      <c r="AW870" s="30">
        <f>Inventory[[#This Row],[UpprFn]]*Lookups!$B$91</f>
        <v>0</v>
      </c>
      <c r="AX870" s="30">
        <f>Inventory[[#This Row],[Bsmt Area]]*Lookups!$B$95</f>
        <v>0</v>
      </c>
      <c r="AY870" s="30">
        <f>Inventory[[#This Row],[AttGar]]*Lookups!$B$93</f>
        <v>15532.453640000002</v>
      </c>
      <c r="AZ870" s="30">
        <f>ROUND(Inventory[[#This Row],[25Det]],-2)</f>
        <v>0</v>
      </c>
      <c r="BA870" s="30">
        <f>ROUND(SUM(Inventory[[#This Row],[Mdl Qlty]:[Mdl Garage Area]])+Inventory[[#This Row],[Mdl Res Intercept]],-2)</f>
        <v>277300</v>
      </c>
      <c r="BB870" s="30">
        <f>ROUND(Inventory[[#This Row],[Mdl Land Intercept]]+Inventory[[#This Row],[Mdl LnAcres]],-2)</f>
        <v>64300</v>
      </c>
      <c r="BC870" s="30">
        <f>Inventory[[#This Row],[Unadj Res Value]]+Inventory[[#This Row],[Unadj Det Value]]+Inventory[[#This Row],[Unadj Land Value]]</f>
        <v>341600</v>
      </c>
      <c r="BD870" s="30">
        <f>(Inventory[[#This Row],[Unadj Total Value]]-Inventory[[#This Row],[24Final]])/Inventory[[#This Row],[24Final]]</f>
        <v>2.7986758952753536E-2</v>
      </c>
      <c r="BE870" s="30">
        <f>VLOOKUP(Inventory[[#This Row],[Nbhd]],Lookups!$M$3:$P$5,4,FALSE)</f>
        <v>0.99970000000000003</v>
      </c>
      <c r="BF870" s="30">
        <f>VLOOKUP(Inventory[[#This Row],[Qlty]],Lookups!$M$8:$P$22,4,FALSE)</f>
        <v>1.0019</v>
      </c>
      <c r="BG870" s="30">
        <f>VLOOKUP(Inventory[[#This Row],[Cnd]],Lookups!$R$8:$U$17,4,FALSE)</f>
        <v>0.997</v>
      </c>
      <c r="BH870" s="30">
        <f>VLOOKUP(Inventory[[#This Row],[LivArea Range]],Lookups!$R$25:$U$43,4,FALSE)</f>
        <v>0.99519999999999997</v>
      </c>
      <c r="BI870" s="30">
        <f>VLOOKUP(Inventory[[#This Row],[Decade]],Lookups!$M$24:$P$40,4,FALSE)</f>
        <v>0.99560000000000004</v>
      </c>
      <c r="BJ870" s="30">
        <f>Inventory[[#This Row],[Nbhd Adj]]*0.95</f>
        <v>0.94971499999999998</v>
      </c>
      <c r="BK870" s="30">
        <f>AVERAGE(Inventory[[#This Row],[Nbhd Adj]],Inventory[[#This Row],[Quality Adj]],Inventory[[#This Row],[Condition Adj]],Inventory[[#This Row],[Living Area Adj]],Inventory[[#This Row],[Decade Adj]])*0.95</f>
        <v>0.947986</v>
      </c>
      <c r="BL870" s="30">
        <f>ROUND((SUM(Inventory[[#This Row],[Mdl Qlty]:[Mdl Garage Area]])+Inventory[[#This Row],[Mdl Res Intercept]])*Inventory[[#This Row],[Res Adj ]],-2)</f>
        <v>262800</v>
      </c>
      <c r="BM870" s="30">
        <f>ROUND(Inventory[[#This Row],[25Det]]*Inventory[[#This Row],[Det/Nbhd Adj]],-2)</f>
        <v>0</v>
      </c>
      <c r="BN870" s="30">
        <f>Inventory[[#This Row],[Adjusted Res]]+Inventory[[#This Row],[Adj Det ]]</f>
        <v>262800</v>
      </c>
      <c r="BO870" s="30">
        <f>ROUND((Inventory[[#This Row],[Mdl Land Intercept]]+Inventory[[#This Row],[Mdl LnAcres]])*Inventory[[#This Row],[Det/Nbhd Adj]],-2)</f>
        <v>61100</v>
      </c>
      <c r="BP870" s="30">
        <f>Inventory[[#This Row],[Adjusted Impr Total]]+Inventory[[#This Row],[Adjusted Land Total]]</f>
        <v>323900</v>
      </c>
      <c r="BQ870" s="30">
        <f>IFERROR((Inventory[[#This Row],[Adjusted Impr Total]]-Inventory[[#This Row],[24Bldg]])/Inventory[[#This Row],[24Bldg]],0)</f>
        <v>-3.2044198895027624E-2</v>
      </c>
      <c r="BR870" s="43">
        <f>(Inventory[[#This Row],[Adjusted Land Total]]-Inventory[[#This Row],[24Lnd]])/Inventory[[#This Row],[24Lnd]]</f>
        <v>4.9342105263157892E-3</v>
      </c>
      <c r="BS870" s="43">
        <f>(Inventory[[#This Row],[Adjusted Total]]-Inventory[[#This Row],[24Final]])/Inventory[[#This Row],[24Final]]</f>
        <v>-2.5278362925067709E-2</v>
      </c>
    </row>
    <row r="871" spans="1:71">
      <c r="A871" s="30">
        <v>2025</v>
      </c>
      <c r="B871" s="31" t="s">
        <v>1386</v>
      </c>
      <c r="C871" s="31">
        <f>LN(Inventory[[#This Row],[Acres]])</f>
        <v>-1.8325814637483102</v>
      </c>
      <c r="D871" s="30">
        <v>0.16</v>
      </c>
      <c r="E871" s="30">
        <v>7148</v>
      </c>
      <c r="F871" s="31" t="s">
        <v>505</v>
      </c>
      <c r="G871" s="31" t="s">
        <v>155</v>
      </c>
      <c r="H871" s="31" t="s">
        <v>5</v>
      </c>
      <c r="I871" s="31" t="s">
        <v>506</v>
      </c>
      <c r="J871" s="31" t="s">
        <v>507</v>
      </c>
      <c r="K871" s="31" t="s">
        <v>193</v>
      </c>
      <c r="L871" s="31" t="s">
        <v>19</v>
      </c>
      <c r="M871" s="31" t="s">
        <v>20</v>
      </c>
      <c r="N871" s="31">
        <v>20</v>
      </c>
      <c r="O871" s="31">
        <f>2024-Inventory[[#This Row],[YrBlt]]</f>
        <v>20</v>
      </c>
      <c r="P871" s="31">
        <f>2024-Inventory[[#This Row],[EffYr]]</f>
        <v>20</v>
      </c>
      <c r="Q871" s="30">
        <v>2004</v>
      </c>
      <c r="R871" s="30">
        <v>2004</v>
      </c>
      <c r="S871" s="30">
        <v>1364</v>
      </c>
      <c r="T871" s="32"/>
      <c r="U871" s="32"/>
      <c r="V871" s="32"/>
      <c r="W871" s="32"/>
      <c r="X871" s="32">
        <f>Inventory[[#This Row],[Bsmt Area]]-Inventory[[#This Row],[FnBsmt]]</f>
        <v>0</v>
      </c>
      <c r="Y871" s="32">
        <f>Inventory[[#This Row],[MainFn]]+Inventory[[#This Row],[UpprFn]]+Inventory[[#This Row],[AddFn]]+Inventory[[#This Row],[FnBsmt]]</f>
        <v>1364</v>
      </c>
      <c r="Z871" s="32">
        <v>1500</v>
      </c>
      <c r="AA871" s="31" t="s">
        <v>57</v>
      </c>
      <c r="AB871" s="37"/>
      <c r="AC871" s="30">
        <v>428</v>
      </c>
      <c r="AD871" s="32"/>
      <c r="AE871" s="32"/>
      <c r="AF871" s="32"/>
      <c r="AG871" s="32"/>
      <c r="AH871" s="32"/>
      <c r="AI871" s="30">
        <v>273939</v>
      </c>
      <c r="AJ871" s="30">
        <v>249284</v>
      </c>
      <c r="AK871" s="30">
        <v>0</v>
      </c>
      <c r="AL871" s="30">
        <v>0</v>
      </c>
      <c r="AM871" s="30">
        <v>60800</v>
      </c>
      <c r="AN871" s="30">
        <v>289900</v>
      </c>
      <c r="AO871" s="30">
        <v>350700</v>
      </c>
      <c r="AP871" s="30">
        <f>Lookups!$B$58*0.6</f>
        <v>132535.48800000001</v>
      </c>
      <c r="AQ871" s="30">
        <f>Lookups!$B$58*0.4</f>
        <v>88356.992000000013</v>
      </c>
      <c r="AR871" s="30">
        <f>Lookups!$B$59*Inventory[[#This Row],[LnAcres]]</f>
        <v>-24051.387388882686</v>
      </c>
      <c r="AS871" s="30">
        <f>VLOOKUP(Inventory[[#This Row],[Qlty]],Lookups!$A$66:$E$79,2,FALSE)</f>
        <v>37154.252388000001</v>
      </c>
      <c r="AT871" s="30">
        <f>VLOOKUP(Inventory[[#This Row],[Cnd]],Lookups!$A$80:$E$88,2,FALSE)</f>
        <v>30300.329274</v>
      </c>
      <c r="AU871" s="30">
        <f>Inventory[[#This Row],[EffAge]]*Lookups!$B$65</f>
        <v>-2174.8220000000001</v>
      </c>
      <c r="AV871" s="30">
        <f>Inventory[[#This Row],[MainFn]]*Lookups!$B$90</f>
        <v>85127.758320000008</v>
      </c>
      <c r="AW871" s="30">
        <f>Inventory[[#This Row],[UpprFn]]*Lookups!$B$91</f>
        <v>0</v>
      </c>
      <c r="AX871" s="30">
        <f>Inventory[[#This Row],[Bsmt Area]]*Lookups!$B$95</f>
        <v>0</v>
      </c>
      <c r="AY871" s="30">
        <f>Inventory[[#This Row],[AttGar]]*Lookups!$B$93</f>
        <v>15108.841268</v>
      </c>
      <c r="AZ871" s="30">
        <f>ROUND(Inventory[[#This Row],[25Det]],-2)</f>
        <v>0</v>
      </c>
      <c r="BA871" s="30">
        <f>ROUND(SUM(Inventory[[#This Row],[Mdl Qlty]:[Mdl Garage Area]])+Inventory[[#This Row],[Mdl Res Intercept]],-2)</f>
        <v>298100</v>
      </c>
      <c r="BB871" s="30">
        <f>ROUND(Inventory[[#This Row],[Mdl Land Intercept]]+Inventory[[#This Row],[Mdl LnAcres]],-2)</f>
        <v>64300</v>
      </c>
      <c r="BC871" s="30">
        <f>Inventory[[#This Row],[Unadj Res Value]]+Inventory[[#This Row],[Unadj Det Value]]+Inventory[[#This Row],[Unadj Land Value]]</f>
        <v>362400</v>
      </c>
      <c r="BD871" s="30">
        <f>(Inventory[[#This Row],[Unadj Total Value]]-Inventory[[#This Row],[24Final]])/Inventory[[#This Row],[24Final]]</f>
        <v>3.3361847733105215E-2</v>
      </c>
      <c r="BE871" s="30">
        <f>VLOOKUP(Inventory[[#This Row],[Nbhd]],Lookups!$M$3:$P$5,4,FALSE)</f>
        <v>0.99970000000000003</v>
      </c>
      <c r="BF871" s="30">
        <f>VLOOKUP(Inventory[[#This Row],[Qlty]],Lookups!$M$8:$P$22,4,FALSE)</f>
        <v>0.99819999999999998</v>
      </c>
      <c r="BG871" s="30">
        <f>VLOOKUP(Inventory[[#This Row],[Cnd]],Lookups!$R$8:$U$17,4,FALSE)</f>
        <v>0.997</v>
      </c>
      <c r="BH871" s="30">
        <f>VLOOKUP(Inventory[[#This Row],[LivArea Range]],Lookups!$R$25:$U$43,4,FALSE)</f>
        <v>0.99519999999999997</v>
      </c>
      <c r="BI871" s="30">
        <f>VLOOKUP(Inventory[[#This Row],[Decade]],Lookups!$M$24:$P$40,4,FALSE)</f>
        <v>0.99560000000000004</v>
      </c>
      <c r="BJ871" s="30">
        <f>Inventory[[#This Row],[Nbhd Adj]]*0.95</f>
        <v>0.94971499999999998</v>
      </c>
      <c r="BK871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871" s="30">
        <f>ROUND((SUM(Inventory[[#This Row],[Mdl Qlty]:[Mdl Garage Area]])+Inventory[[#This Row],[Mdl Res Intercept]])*Inventory[[#This Row],[Res Adj ]],-2)</f>
        <v>282300</v>
      </c>
      <c r="BM871" s="30">
        <f>ROUND(Inventory[[#This Row],[25Det]]*Inventory[[#This Row],[Det/Nbhd Adj]],-2)</f>
        <v>0</v>
      </c>
      <c r="BN871" s="30">
        <f>Inventory[[#This Row],[Adjusted Res]]+Inventory[[#This Row],[Adj Det ]]</f>
        <v>282300</v>
      </c>
      <c r="BO871" s="30">
        <f>ROUND((Inventory[[#This Row],[Mdl Land Intercept]]+Inventory[[#This Row],[Mdl LnAcres]])*Inventory[[#This Row],[Det/Nbhd Adj]],-2)</f>
        <v>61100</v>
      </c>
      <c r="BP871" s="30">
        <f>Inventory[[#This Row],[Adjusted Impr Total]]+Inventory[[#This Row],[Adjusted Land Total]]</f>
        <v>343400</v>
      </c>
      <c r="BQ871" s="30">
        <f>IFERROR((Inventory[[#This Row],[Adjusted Impr Total]]-Inventory[[#This Row],[24Bldg]])/Inventory[[#This Row],[24Bldg]],0)</f>
        <v>-2.6215936529837874E-2</v>
      </c>
      <c r="BR871" s="43">
        <f>(Inventory[[#This Row],[Adjusted Land Total]]-Inventory[[#This Row],[24Lnd]])/Inventory[[#This Row],[24Lnd]]</f>
        <v>4.9342105263157892E-3</v>
      </c>
      <c r="BS871" s="43">
        <f>(Inventory[[#This Row],[Adjusted Total]]-Inventory[[#This Row],[24Final]])/Inventory[[#This Row],[24Final]]</f>
        <v>-2.0815511833475905E-2</v>
      </c>
    </row>
    <row r="872" spans="1:71">
      <c r="A872" s="30">
        <v>2025</v>
      </c>
      <c r="B872" s="31" t="s">
        <v>1387</v>
      </c>
      <c r="C872" s="31">
        <f>LN(Inventory[[#This Row],[Acres]])</f>
        <v>-1.8325814637483102</v>
      </c>
      <c r="D872" s="30">
        <v>0.16</v>
      </c>
      <c r="E872" s="30">
        <v>7001</v>
      </c>
      <c r="F872" s="31" t="s">
        <v>505</v>
      </c>
      <c r="G872" s="31" t="s">
        <v>155</v>
      </c>
      <c r="H872" s="31" t="s">
        <v>5</v>
      </c>
      <c r="I872" s="31" t="s">
        <v>506</v>
      </c>
      <c r="J872" s="31" t="s">
        <v>507</v>
      </c>
      <c r="K872" s="31" t="s">
        <v>193</v>
      </c>
      <c r="L872" s="31" t="s">
        <v>21</v>
      </c>
      <c r="M872" s="31" t="s">
        <v>20</v>
      </c>
      <c r="N872" s="31">
        <v>20</v>
      </c>
      <c r="O872" s="31">
        <f>2024-Inventory[[#This Row],[YrBlt]]</f>
        <v>20</v>
      </c>
      <c r="P872" s="31">
        <f>2024-Inventory[[#This Row],[EffYr]]</f>
        <v>20</v>
      </c>
      <c r="Q872" s="30">
        <v>2004</v>
      </c>
      <c r="R872" s="30">
        <v>2004</v>
      </c>
      <c r="S872" s="30">
        <v>1380</v>
      </c>
      <c r="T872" s="32"/>
      <c r="U872" s="32"/>
      <c r="V872" s="32"/>
      <c r="W872" s="32"/>
      <c r="X872" s="32">
        <f>Inventory[[#This Row],[Bsmt Area]]-Inventory[[#This Row],[FnBsmt]]</f>
        <v>0</v>
      </c>
      <c r="Y872" s="32">
        <f>Inventory[[#This Row],[MainFn]]+Inventory[[#This Row],[UpprFn]]+Inventory[[#This Row],[AddFn]]+Inventory[[#This Row],[FnBsmt]]</f>
        <v>1380</v>
      </c>
      <c r="Z872" s="32">
        <v>1500</v>
      </c>
      <c r="AA872" s="31" t="s">
        <v>57</v>
      </c>
      <c r="AB872" s="32"/>
      <c r="AC872" s="30">
        <v>428</v>
      </c>
      <c r="AD872" s="32"/>
      <c r="AE872" s="32"/>
      <c r="AF872" s="32"/>
      <c r="AG872" s="32"/>
      <c r="AH872" s="32"/>
      <c r="AI872" s="30">
        <v>308394</v>
      </c>
      <c r="AJ872" s="30">
        <v>280639</v>
      </c>
      <c r="AK872" s="30">
        <v>0</v>
      </c>
      <c r="AL872" s="30">
        <v>0</v>
      </c>
      <c r="AM872" s="30">
        <v>60800</v>
      </c>
      <c r="AN872" s="30">
        <v>285100</v>
      </c>
      <c r="AO872" s="30">
        <v>345900</v>
      </c>
      <c r="AP872" s="30">
        <f>Lookups!$B$58*0.6</f>
        <v>132535.48800000001</v>
      </c>
      <c r="AQ872" s="30">
        <f>Lookups!$B$58*0.4</f>
        <v>88356.992000000013</v>
      </c>
      <c r="AR872" s="30">
        <f>Lookups!$B$59*Inventory[[#This Row],[LnAcres]]</f>
        <v>-24051.387388882686</v>
      </c>
      <c r="AS872" s="30">
        <f>VLOOKUP(Inventory[[#This Row],[Qlty]],Lookups!$A$66:$E$79,2,FALSE)</f>
        <v>32917.849192000001</v>
      </c>
      <c r="AT872" s="30">
        <f>VLOOKUP(Inventory[[#This Row],[Cnd]],Lookups!$A$80:$E$88,2,FALSE)</f>
        <v>30300.329274</v>
      </c>
      <c r="AU872" s="30">
        <f>Inventory[[#This Row],[EffAge]]*Lookups!$B$65</f>
        <v>-2174.8220000000001</v>
      </c>
      <c r="AV872" s="30">
        <f>Inventory[[#This Row],[MainFn]]*Lookups!$B$90</f>
        <v>86126.324399999998</v>
      </c>
      <c r="AW872" s="30">
        <f>Inventory[[#This Row],[UpprFn]]*Lookups!$B$91</f>
        <v>0</v>
      </c>
      <c r="AX872" s="30">
        <f>Inventory[[#This Row],[Bsmt Area]]*Lookups!$B$95</f>
        <v>0</v>
      </c>
      <c r="AY872" s="30">
        <f>Inventory[[#This Row],[AttGar]]*Lookups!$B$93</f>
        <v>15108.841268</v>
      </c>
      <c r="AZ872" s="30">
        <f>ROUND(Inventory[[#This Row],[25Det]],-2)</f>
        <v>0</v>
      </c>
      <c r="BA872" s="30">
        <f>ROUND(SUM(Inventory[[#This Row],[Mdl Qlty]:[Mdl Garage Area]])+Inventory[[#This Row],[Mdl Res Intercept]],-2)</f>
        <v>294800</v>
      </c>
      <c r="BB872" s="30">
        <f>ROUND(Inventory[[#This Row],[Mdl Land Intercept]]+Inventory[[#This Row],[Mdl LnAcres]],-2)</f>
        <v>64300</v>
      </c>
      <c r="BC872" s="30">
        <f>Inventory[[#This Row],[Unadj Res Value]]+Inventory[[#This Row],[Unadj Det Value]]+Inventory[[#This Row],[Unadj Land Value]]</f>
        <v>359100</v>
      </c>
      <c r="BD872" s="30">
        <f>(Inventory[[#This Row],[Unadj Total Value]]-Inventory[[#This Row],[24Final]])/Inventory[[#This Row],[24Final]]</f>
        <v>3.8161318300086733E-2</v>
      </c>
      <c r="BE872" s="30">
        <f>VLOOKUP(Inventory[[#This Row],[Nbhd]],Lookups!$M$3:$P$5,4,FALSE)</f>
        <v>0.99970000000000003</v>
      </c>
      <c r="BF872" s="30">
        <f>VLOOKUP(Inventory[[#This Row],[Qlty]],Lookups!$M$8:$P$22,4,FALSE)</f>
        <v>1.0019</v>
      </c>
      <c r="BG872" s="30">
        <f>VLOOKUP(Inventory[[#This Row],[Cnd]],Lookups!$R$8:$U$17,4,FALSE)</f>
        <v>0.997</v>
      </c>
      <c r="BH872" s="30">
        <f>VLOOKUP(Inventory[[#This Row],[LivArea Range]],Lookups!$R$25:$U$43,4,FALSE)</f>
        <v>0.99519999999999997</v>
      </c>
      <c r="BI872" s="30">
        <f>VLOOKUP(Inventory[[#This Row],[Decade]],Lookups!$M$24:$P$40,4,FALSE)</f>
        <v>0.99560000000000004</v>
      </c>
      <c r="BJ872" s="30">
        <f>Inventory[[#This Row],[Nbhd Adj]]*0.95</f>
        <v>0.94971499999999998</v>
      </c>
      <c r="BK872" s="30">
        <f>AVERAGE(Inventory[[#This Row],[Nbhd Adj]],Inventory[[#This Row],[Quality Adj]],Inventory[[#This Row],[Condition Adj]],Inventory[[#This Row],[Living Area Adj]],Inventory[[#This Row],[Decade Adj]])*0.95</f>
        <v>0.947986</v>
      </c>
      <c r="BL872" s="30">
        <f>ROUND((SUM(Inventory[[#This Row],[Mdl Qlty]:[Mdl Garage Area]])+Inventory[[#This Row],[Mdl Res Intercept]])*Inventory[[#This Row],[Res Adj ]],-2)</f>
        <v>279500</v>
      </c>
      <c r="BM872" s="30">
        <f>ROUND(Inventory[[#This Row],[25Det]]*Inventory[[#This Row],[Det/Nbhd Adj]],-2)</f>
        <v>0</v>
      </c>
      <c r="BN872" s="30">
        <f>Inventory[[#This Row],[Adjusted Res]]+Inventory[[#This Row],[Adj Det ]]</f>
        <v>279500</v>
      </c>
      <c r="BO872" s="30">
        <f>ROUND((Inventory[[#This Row],[Mdl Land Intercept]]+Inventory[[#This Row],[Mdl LnAcres]])*Inventory[[#This Row],[Det/Nbhd Adj]],-2)</f>
        <v>61100</v>
      </c>
      <c r="BP872" s="30">
        <f>Inventory[[#This Row],[Adjusted Impr Total]]+Inventory[[#This Row],[Adjusted Land Total]]</f>
        <v>340600</v>
      </c>
      <c r="BQ872" s="30">
        <f>IFERROR((Inventory[[#This Row],[Adjusted Impr Total]]-Inventory[[#This Row],[24Bldg]])/Inventory[[#This Row],[24Bldg]],0)</f>
        <v>-1.9642230796211857E-2</v>
      </c>
      <c r="BR872" s="43">
        <f>(Inventory[[#This Row],[Adjusted Land Total]]-Inventory[[#This Row],[24Lnd]])/Inventory[[#This Row],[24Lnd]]</f>
        <v>4.9342105263157892E-3</v>
      </c>
      <c r="BS872" s="43">
        <f>(Inventory[[#This Row],[Adjusted Total]]-Inventory[[#This Row],[24Final]])/Inventory[[#This Row],[24Final]]</f>
        <v>-1.5322347499277248E-2</v>
      </c>
    </row>
    <row r="873" spans="1:71">
      <c r="A873" s="30">
        <v>2025</v>
      </c>
      <c r="B873" s="31" t="s">
        <v>1388</v>
      </c>
      <c r="C873" s="31">
        <f>LN(Inventory[[#This Row],[Acres]])</f>
        <v>-1.8325814637483102</v>
      </c>
      <c r="D873" s="30">
        <v>0.16</v>
      </c>
      <c r="E873" s="30">
        <v>7183</v>
      </c>
      <c r="F873" s="31" t="s">
        <v>505</v>
      </c>
      <c r="G873" s="31" t="s">
        <v>155</v>
      </c>
      <c r="H873" s="31" t="s">
        <v>5</v>
      </c>
      <c r="I873" s="31" t="s">
        <v>506</v>
      </c>
      <c r="J873" s="31" t="s">
        <v>507</v>
      </c>
      <c r="K873" s="31" t="s">
        <v>193</v>
      </c>
      <c r="L873" s="31" t="s">
        <v>21</v>
      </c>
      <c r="M873" s="31" t="s">
        <v>22</v>
      </c>
      <c r="N873" s="31">
        <v>20</v>
      </c>
      <c r="O873" s="31">
        <f>2024-Inventory[[#This Row],[YrBlt]]</f>
        <v>20</v>
      </c>
      <c r="P873" s="31">
        <f>2024-Inventory[[#This Row],[EffYr]]</f>
        <v>20</v>
      </c>
      <c r="Q873" s="30">
        <v>2004</v>
      </c>
      <c r="R873" s="30">
        <v>2004</v>
      </c>
      <c r="S873" s="30">
        <v>2154</v>
      </c>
      <c r="T873" s="32"/>
      <c r="U873" s="32"/>
      <c r="V873" s="32"/>
      <c r="W873" s="32"/>
      <c r="X873" s="32">
        <f>Inventory[[#This Row],[Bsmt Area]]-Inventory[[#This Row],[FnBsmt]]</f>
        <v>0</v>
      </c>
      <c r="Y873" s="32">
        <f>Inventory[[#This Row],[MainFn]]+Inventory[[#This Row],[UpprFn]]+Inventory[[#This Row],[AddFn]]+Inventory[[#This Row],[FnBsmt]]</f>
        <v>2154</v>
      </c>
      <c r="Z873" s="32">
        <v>2500</v>
      </c>
      <c r="AA873" s="31" t="s">
        <v>57</v>
      </c>
      <c r="AB873" s="38">
        <v>1</v>
      </c>
      <c r="AC873" s="30">
        <v>730</v>
      </c>
      <c r="AD873" s="32"/>
      <c r="AE873" s="32"/>
      <c r="AF873" s="32"/>
      <c r="AG873" s="32"/>
      <c r="AH873" s="32"/>
      <c r="AI873" s="30">
        <v>471548</v>
      </c>
      <c r="AJ873" s="30">
        <v>433824</v>
      </c>
      <c r="AK873" s="30">
        <v>0</v>
      </c>
      <c r="AL873" s="30">
        <v>0</v>
      </c>
      <c r="AM873" s="30">
        <v>60800</v>
      </c>
      <c r="AN873" s="30">
        <v>363400</v>
      </c>
      <c r="AO873" s="30">
        <v>424200</v>
      </c>
      <c r="AP873" s="30">
        <f>Lookups!$B$58*0.6</f>
        <v>132535.48800000001</v>
      </c>
      <c r="AQ873" s="30">
        <f>Lookups!$B$58*0.4</f>
        <v>88356.992000000013</v>
      </c>
      <c r="AR873" s="30">
        <f>Lookups!$B$59*Inventory[[#This Row],[LnAcres]]</f>
        <v>-24051.387388882686</v>
      </c>
      <c r="AS873" s="30">
        <f>VLOOKUP(Inventory[[#This Row],[Qlty]],Lookups!$A$66:$E$79,2,FALSE)</f>
        <v>32917.849192000001</v>
      </c>
      <c r="AT873" s="30">
        <f>VLOOKUP(Inventory[[#This Row],[Cnd]],Lookups!$A$80:$E$88,2,FALSE)</f>
        <v>50438.379078999998</v>
      </c>
      <c r="AU873" s="30">
        <f>Inventory[[#This Row],[EffAge]]*Lookups!$B$65</f>
        <v>-2174.8220000000001</v>
      </c>
      <c r="AV873" s="30">
        <f>Inventory[[#This Row],[MainFn]]*Lookups!$B$90</f>
        <v>134431.95852000001</v>
      </c>
      <c r="AW873" s="30">
        <f>Inventory[[#This Row],[UpprFn]]*Lookups!$B$91</f>
        <v>0</v>
      </c>
      <c r="AX873" s="30">
        <f>Inventory[[#This Row],[Bsmt Area]]*Lookups!$B$95</f>
        <v>0</v>
      </c>
      <c r="AY873" s="30">
        <f>Inventory[[#This Row],[AttGar]]*Lookups!$B$93</f>
        <v>25769.752630000003</v>
      </c>
      <c r="AZ873" s="30">
        <f>ROUND(Inventory[[#This Row],[25Det]],-2)</f>
        <v>0</v>
      </c>
      <c r="BA873" s="30">
        <f>ROUND(SUM(Inventory[[#This Row],[Mdl Qlty]:[Mdl Garage Area]])+Inventory[[#This Row],[Mdl Res Intercept]],-2)</f>
        <v>373900</v>
      </c>
      <c r="BB873" s="30">
        <f>ROUND(Inventory[[#This Row],[Mdl Land Intercept]]+Inventory[[#This Row],[Mdl LnAcres]],-2)</f>
        <v>64300</v>
      </c>
      <c r="BC873" s="30">
        <f>Inventory[[#This Row],[Unadj Res Value]]+Inventory[[#This Row],[Unadj Det Value]]+Inventory[[#This Row],[Unadj Land Value]]</f>
        <v>438200</v>
      </c>
      <c r="BD873" s="30">
        <f>(Inventory[[#This Row],[Unadj Total Value]]-Inventory[[#This Row],[24Final]])/Inventory[[#This Row],[24Final]]</f>
        <v>3.3003300330033E-2</v>
      </c>
      <c r="BE873" s="30">
        <f>VLOOKUP(Inventory[[#This Row],[Nbhd]],Lookups!$M$3:$P$5,4,FALSE)</f>
        <v>0.99970000000000003</v>
      </c>
      <c r="BF873" s="30">
        <f>VLOOKUP(Inventory[[#This Row],[Qlty]],Lookups!$M$8:$P$22,4,FALSE)</f>
        <v>1.0019</v>
      </c>
      <c r="BG873" s="30">
        <f>VLOOKUP(Inventory[[#This Row],[Cnd]],Lookups!$R$8:$U$17,4,FALSE)</f>
        <v>1.0007999999999999</v>
      </c>
      <c r="BH873" s="30">
        <f>VLOOKUP(Inventory[[#This Row],[LivArea Range]],Lookups!$R$25:$U$43,4,FALSE)</f>
        <v>1.0008999999999999</v>
      </c>
      <c r="BI873" s="30">
        <f>VLOOKUP(Inventory[[#This Row],[Decade]],Lookups!$M$24:$P$40,4,FALSE)</f>
        <v>0.99560000000000004</v>
      </c>
      <c r="BJ873" s="30">
        <f>Inventory[[#This Row],[Nbhd Adj]]*0.95</f>
        <v>0.94971499999999998</v>
      </c>
      <c r="BK873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873" s="30">
        <f>ROUND((SUM(Inventory[[#This Row],[Mdl Qlty]:[Mdl Garage Area]])+Inventory[[#This Row],[Mdl Res Intercept]])*Inventory[[#This Row],[Res Adj ]],-2)</f>
        <v>355100</v>
      </c>
      <c r="BM873" s="30">
        <f>ROUND(Inventory[[#This Row],[25Det]]*Inventory[[#This Row],[Det/Nbhd Adj]],-2)</f>
        <v>0</v>
      </c>
      <c r="BN873" s="30">
        <f>Inventory[[#This Row],[Adjusted Res]]+Inventory[[#This Row],[Adj Det ]]</f>
        <v>355100</v>
      </c>
      <c r="BO873" s="30">
        <f>ROUND((Inventory[[#This Row],[Mdl Land Intercept]]+Inventory[[#This Row],[Mdl LnAcres]])*Inventory[[#This Row],[Det/Nbhd Adj]],-2)</f>
        <v>61100</v>
      </c>
      <c r="BP873" s="30">
        <f>Inventory[[#This Row],[Adjusted Impr Total]]+Inventory[[#This Row],[Adjusted Land Total]]</f>
        <v>416200</v>
      </c>
      <c r="BQ873" s="30">
        <f>IFERROR((Inventory[[#This Row],[Adjusted Impr Total]]-Inventory[[#This Row],[24Bldg]])/Inventory[[#This Row],[24Bldg]],0)</f>
        <v>-2.2839845899834892E-2</v>
      </c>
      <c r="BR873" s="43">
        <f>(Inventory[[#This Row],[Adjusted Land Total]]-Inventory[[#This Row],[24Lnd]])/Inventory[[#This Row],[24Lnd]]</f>
        <v>4.9342105263157892E-3</v>
      </c>
      <c r="BS873" s="43">
        <f>(Inventory[[#This Row],[Adjusted Total]]-Inventory[[#This Row],[24Final]])/Inventory[[#This Row],[24Final]]</f>
        <v>-1.885902876001886E-2</v>
      </c>
    </row>
    <row r="874" spans="1:71">
      <c r="A874" s="30">
        <v>2025</v>
      </c>
      <c r="B874" s="31" t="s">
        <v>1389</v>
      </c>
      <c r="C874" s="31">
        <f>LN(Inventory[[#This Row],[Acres]])</f>
        <v>-1.8325814637483102</v>
      </c>
      <c r="D874" s="30">
        <v>0.16</v>
      </c>
      <c r="E874" s="30">
        <v>7168</v>
      </c>
      <c r="F874" s="31" t="s">
        <v>505</v>
      </c>
      <c r="G874" s="31" t="s">
        <v>155</v>
      </c>
      <c r="H874" s="31" t="s">
        <v>5</v>
      </c>
      <c r="I874" s="31" t="s">
        <v>506</v>
      </c>
      <c r="J874" s="31" t="s">
        <v>507</v>
      </c>
      <c r="K874" s="31" t="s">
        <v>193</v>
      </c>
      <c r="L874" s="31" t="s">
        <v>21</v>
      </c>
      <c r="M874" s="31" t="s">
        <v>22</v>
      </c>
      <c r="N874" s="31">
        <v>20</v>
      </c>
      <c r="O874" s="31">
        <f>2024-Inventory[[#This Row],[YrBlt]]</f>
        <v>20</v>
      </c>
      <c r="P874" s="31">
        <f>2024-Inventory[[#This Row],[EffYr]]</f>
        <v>20</v>
      </c>
      <c r="Q874" s="30">
        <v>2004</v>
      </c>
      <c r="R874" s="30">
        <v>2004</v>
      </c>
      <c r="S874" s="30">
        <v>1106</v>
      </c>
      <c r="T874" s="37"/>
      <c r="U874" s="32"/>
      <c r="V874" s="32"/>
      <c r="W874" s="32"/>
      <c r="X874" s="32">
        <f>Inventory[[#This Row],[Bsmt Area]]-Inventory[[#This Row],[FnBsmt]]</f>
        <v>0</v>
      </c>
      <c r="Y874" s="32">
        <f>Inventory[[#This Row],[MainFn]]+Inventory[[#This Row],[UpprFn]]+Inventory[[#This Row],[AddFn]]+Inventory[[#This Row],[FnBsmt]]</f>
        <v>1106</v>
      </c>
      <c r="Z874" s="32">
        <v>1500</v>
      </c>
      <c r="AA874" s="31" t="s">
        <v>57</v>
      </c>
      <c r="AB874" s="32"/>
      <c r="AC874" s="30">
        <v>426</v>
      </c>
      <c r="AD874" s="37"/>
      <c r="AE874" s="32"/>
      <c r="AF874" s="32"/>
      <c r="AG874" s="32"/>
      <c r="AH874" s="32"/>
      <c r="AI874" s="30">
        <v>260551</v>
      </c>
      <c r="AJ874" s="30">
        <v>239707</v>
      </c>
      <c r="AK874" s="30">
        <v>0</v>
      </c>
      <c r="AL874" s="30">
        <v>0</v>
      </c>
      <c r="AM874" s="30">
        <v>60800</v>
      </c>
      <c r="AN874" s="30">
        <v>287300</v>
      </c>
      <c r="AO874" s="30">
        <v>348100</v>
      </c>
      <c r="AP874" s="30">
        <f>Lookups!$B$58*0.6</f>
        <v>132535.48800000001</v>
      </c>
      <c r="AQ874" s="30">
        <f>Lookups!$B$58*0.4</f>
        <v>88356.992000000013</v>
      </c>
      <c r="AR874" s="30">
        <f>Lookups!$B$59*Inventory[[#This Row],[LnAcres]]</f>
        <v>-24051.387388882686</v>
      </c>
      <c r="AS874" s="30">
        <f>VLOOKUP(Inventory[[#This Row],[Qlty]],Lookups!$A$66:$E$79,2,FALSE)</f>
        <v>32917.849192000001</v>
      </c>
      <c r="AT874" s="30">
        <f>VLOOKUP(Inventory[[#This Row],[Cnd]],Lookups!$A$80:$E$88,2,FALSE)</f>
        <v>50438.379078999998</v>
      </c>
      <c r="AU874" s="30">
        <f>Inventory[[#This Row],[EffAge]]*Lookups!$B$65</f>
        <v>-2174.8220000000001</v>
      </c>
      <c r="AV874" s="30">
        <f>Inventory[[#This Row],[MainFn]]*Lookups!$B$90</f>
        <v>69025.880279999998</v>
      </c>
      <c r="AW874" s="30">
        <f>Inventory[[#This Row],[UpprFn]]*Lookups!$B$91</f>
        <v>0</v>
      </c>
      <c r="AX874" s="30">
        <f>Inventory[[#This Row],[Bsmt Area]]*Lookups!$B$95</f>
        <v>0</v>
      </c>
      <c r="AY874" s="30">
        <f>Inventory[[#This Row],[AttGar]]*Lookups!$B$93</f>
        <v>15038.239206</v>
      </c>
      <c r="AZ874" s="30">
        <f>ROUND(Inventory[[#This Row],[25Det]],-2)</f>
        <v>0</v>
      </c>
      <c r="BA874" s="30">
        <f>ROUND(SUM(Inventory[[#This Row],[Mdl Qlty]:[Mdl Garage Area]])+Inventory[[#This Row],[Mdl Res Intercept]],-2)</f>
        <v>297800</v>
      </c>
      <c r="BB874" s="30">
        <f>ROUND(Inventory[[#This Row],[Mdl Land Intercept]]+Inventory[[#This Row],[Mdl LnAcres]],-2)</f>
        <v>64300</v>
      </c>
      <c r="BC874" s="30">
        <f>Inventory[[#This Row],[Unadj Res Value]]+Inventory[[#This Row],[Unadj Det Value]]+Inventory[[#This Row],[Unadj Land Value]]</f>
        <v>362100</v>
      </c>
      <c r="BD874" s="30">
        <f>(Inventory[[#This Row],[Unadj Total Value]]-Inventory[[#This Row],[24Final]])/Inventory[[#This Row],[24Final]]</f>
        <v>4.0218328066647518E-2</v>
      </c>
      <c r="BE874" s="30">
        <f>VLOOKUP(Inventory[[#This Row],[Nbhd]],Lookups!$M$3:$P$5,4,FALSE)</f>
        <v>0.99970000000000003</v>
      </c>
      <c r="BF874" s="30">
        <f>VLOOKUP(Inventory[[#This Row],[Qlty]],Lookups!$M$8:$P$22,4,FALSE)</f>
        <v>1.0019</v>
      </c>
      <c r="BG874" s="30">
        <f>VLOOKUP(Inventory[[#This Row],[Cnd]],Lookups!$R$8:$U$17,4,FALSE)</f>
        <v>1.0007999999999999</v>
      </c>
      <c r="BH874" s="30">
        <f>VLOOKUP(Inventory[[#This Row],[LivArea Range]],Lookups!$R$25:$U$43,4,FALSE)</f>
        <v>0.99519999999999997</v>
      </c>
      <c r="BI874" s="30">
        <f>VLOOKUP(Inventory[[#This Row],[Decade]],Lookups!$M$24:$P$40,4,FALSE)</f>
        <v>0.99560000000000004</v>
      </c>
      <c r="BJ874" s="30">
        <f>Inventory[[#This Row],[Nbhd Adj]]*0.95</f>
        <v>0.94971499999999998</v>
      </c>
      <c r="BK874" s="30">
        <f>AVERAGE(Inventory[[#This Row],[Nbhd Adj]],Inventory[[#This Row],[Quality Adj]],Inventory[[#This Row],[Condition Adj]],Inventory[[#This Row],[Living Area Adj]],Inventory[[#This Row],[Decade Adj]])*0.95</f>
        <v>0.94870799999999988</v>
      </c>
      <c r="BL874" s="30">
        <f>ROUND((SUM(Inventory[[#This Row],[Mdl Qlty]:[Mdl Garage Area]])+Inventory[[#This Row],[Mdl Res Intercept]])*Inventory[[#This Row],[Res Adj ]],-2)</f>
        <v>282500</v>
      </c>
      <c r="BM874" s="30">
        <f>ROUND(Inventory[[#This Row],[25Det]]*Inventory[[#This Row],[Det/Nbhd Adj]],-2)</f>
        <v>0</v>
      </c>
      <c r="BN874" s="30">
        <f>Inventory[[#This Row],[Adjusted Res]]+Inventory[[#This Row],[Adj Det ]]</f>
        <v>282500</v>
      </c>
      <c r="BO874" s="30">
        <f>ROUND((Inventory[[#This Row],[Mdl Land Intercept]]+Inventory[[#This Row],[Mdl LnAcres]])*Inventory[[#This Row],[Det/Nbhd Adj]],-2)</f>
        <v>61100</v>
      </c>
      <c r="BP874" s="30">
        <f>Inventory[[#This Row],[Adjusted Impr Total]]+Inventory[[#This Row],[Adjusted Land Total]]</f>
        <v>343600</v>
      </c>
      <c r="BQ874" s="30">
        <f>IFERROR((Inventory[[#This Row],[Adjusted Impr Total]]-Inventory[[#This Row],[24Bldg]])/Inventory[[#This Row],[24Bldg]],0)</f>
        <v>-1.6707274625826662E-2</v>
      </c>
      <c r="BR874" s="43">
        <f>(Inventory[[#This Row],[Adjusted Land Total]]-Inventory[[#This Row],[24Lnd]])/Inventory[[#This Row],[24Lnd]]</f>
        <v>4.9342105263157892E-3</v>
      </c>
      <c r="BS874" s="43">
        <f>(Inventory[[#This Row],[Adjusted Total]]-Inventory[[#This Row],[24Final]])/Inventory[[#This Row],[24Final]]</f>
        <v>-1.2927319735708129E-2</v>
      </c>
    </row>
    <row r="875" spans="1:71">
      <c r="A875" s="30">
        <v>2025</v>
      </c>
      <c r="B875" s="31" t="s">
        <v>1390</v>
      </c>
      <c r="C875" s="31">
        <f>LN(Inventory[[#This Row],[Acres]])</f>
        <v>-1.8325814637483102</v>
      </c>
      <c r="D875" s="30">
        <v>0.16</v>
      </c>
      <c r="E875" s="30">
        <v>7017</v>
      </c>
      <c r="F875" s="31" t="s">
        <v>505</v>
      </c>
      <c r="G875" s="31" t="s">
        <v>155</v>
      </c>
      <c r="H875" s="31" t="s">
        <v>5</v>
      </c>
      <c r="I875" s="31" t="s">
        <v>506</v>
      </c>
      <c r="J875" s="31" t="s">
        <v>507</v>
      </c>
      <c r="K875" s="31" t="s">
        <v>193</v>
      </c>
      <c r="L875" s="31" t="s">
        <v>21</v>
      </c>
      <c r="M875" s="31" t="s">
        <v>20</v>
      </c>
      <c r="N875" s="31">
        <v>20</v>
      </c>
      <c r="O875" s="31">
        <f>2024-Inventory[[#This Row],[YrBlt]]</f>
        <v>20</v>
      </c>
      <c r="P875" s="31">
        <f>2024-Inventory[[#This Row],[EffYr]]</f>
        <v>20</v>
      </c>
      <c r="Q875" s="30">
        <v>2004</v>
      </c>
      <c r="R875" s="30">
        <v>2004</v>
      </c>
      <c r="S875" s="30">
        <v>1543</v>
      </c>
      <c r="T875" s="32"/>
      <c r="U875" s="32"/>
      <c r="V875" s="32"/>
      <c r="W875" s="32"/>
      <c r="X875" s="32">
        <f>Inventory[[#This Row],[Bsmt Area]]-Inventory[[#This Row],[FnBsmt]]</f>
        <v>0</v>
      </c>
      <c r="Y875" s="32">
        <f>Inventory[[#This Row],[MainFn]]+Inventory[[#This Row],[UpprFn]]+Inventory[[#This Row],[AddFn]]+Inventory[[#This Row],[FnBsmt]]</f>
        <v>1543</v>
      </c>
      <c r="Z875" s="32">
        <v>2000</v>
      </c>
      <c r="AA875" s="31" t="s">
        <v>57</v>
      </c>
      <c r="AB875" s="32"/>
      <c r="AC875" s="30">
        <v>433</v>
      </c>
      <c r="AD875" s="32"/>
      <c r="AE875" s="32"/>
      <c r="AF875" s="32"/>
      <c r="AG875" s="32"/>
      <c r="AH875" s="32"/>
      <c r="AI875" s="30">
        <v>336552</v>
      </c>
      <c r="AJ875" s="30">
        <v>306262</v>
      </c>
      <c r="AK875" s="30">
        <v>0</v>
      </c>
      <c r="AL875" s="30">
        <v>0</v>
      </c>
      <c r="AM875" s="30">
        <v>60800</v>
      </c>
      <c r="AN875" s="30">
        <v>294200</v>
      </c>
      <c r="AO875" s="30">
        <v>355000</v>
      </c>
      <c r="AP875" s="30">
        <f>Lookups!$B$58*0.6</f>
        <v>132535.48800000001</v>
      </c>
      <c r="AQ875" s="30">
        <f>Lookups!$B$58*0.4</f>
        <v>88356.992000000013</v>
      </c>
      <c r="AR875" s="30">
        <f>Lookups!$B$59*Inventory[[#This Row],[LnAcres]]</f>
        <v>-24051.387388882686</v>
      </c>
      <c r="AS875" s="30">
        <f>VLOOKUP(Inventory[[#This Row],[Qlty]],Lookups!$A$66:$E$79,2,FALSE)</f>
        <v>32917.849192000001</v>
      </c>
      <c r="AT875" s="30">
        <f>VLOOKUP(Inventory[[#This Row],[Cnd]],Lookups!$A$80:$E$88,2,FALSE)</f>
        <v>30300.329274</v>
      </c>
      <c r="AU875" s="30">
        <f>Inventory[[#This Row],[EffAge]]*Lookups!$B$65</f>
        <v>-2174.8220000000001</v>
      </c>
      <c r="AV875" s="30">
        <f>Inventory[[#This Row],[MainFn]]*Lookups!$B$90</f>
        <v>96299.216339999999</v>
      </c>
      <c r="AW875" s="30">
        <f>Inventory[[#This Row],[UpprFn]]*Lookups!$B$91</f>
        <v>0</v>
      </c>
      <c r="AX875" s="30">
        <f>Inventory[[#This Row],[Bsmt Area]]*Lookups!$B$95</f>
        <v>0</v>
      </c>
      <c r="AY875" s="30">
        <f>Inventory[[#This Row],[AttGar]]*Lookups!$B$93</f>
        <v>15285.346423000001</v>
      </c>
      <c r="AZ875" s="30">
        <f>ROUND(Inventory[[#This Row],[25Det]],-2)</f>
        <v>0</v>
      </c>
      <c r="BA875" s="30">
        <f>ROUND(SUM(Inventory[[#This Row],[Mdl Qlty]:[Mdl Garage Area]])+Inventory[[#This Row],[Mdl Res Intercept]],-2)</f>
        <v>305200</v>
      </c>
      <c r="BB875" s="30">
        <f>ROUND(Inventory[[#This Row],[Mdl Land Intercept]]+Inventory[[#This Row],[Mdl LnAcres]],-2)</f>
        <v>64300</v>
      </c>
      <c r="BC875" s="30">
        <f>Inventory[[#This Row],[Unadj Res Value]]+Inventory[[#This Row],[Unadj Det Value]]+Inventory[[#This Row],[Unadj Land Value]]</f>
        <v>369500</v>
      </c>
      <c r="BD875" s="30">
        <f>(Inventory[[#This Row],[Unadj Total Value]]-Inventory[[#This Row],[24Final]])/Inventory[[#This Row],[24Final]]</f>
        <v>4.0845070422535212E-2</v>
      </c>
      <c r="BE875" s="30">
        <f>VLOOKUP(Inventory[[#This Row],[Nbhd]],Lookups!$M$3:$P$5,4,FALSE)</f>
        <v>0.99970000000000003</v>
      </c>
      <c r="BF875" s="30">
        <f>VLOOKUP(Inventory[[#This Row],[Qlty]],Lookups!$M$8:$P$22,4,FALSE)</f>
        <v>1.0019</v>
      </c>
      <c r="BG875" s="30">
        <f>VLOOKUP(Inventory[[#This Row],[Cnd]],Lookups!$R$8:$U$17,4,FALSE)</f>
        <v>0.997</v>
      </c>
      <c r="BH875" s="30">
        <f>VLOOKUP(Inventory[[#This Row],[LivArea Range]],Lookups!$R$25:$U$43,4,FALSE)</f>
        <v>1.0007999999999999</v>
      </c>
      <c r="BI875" s="30">
        <f>VLOOKUP(Inventory[[#This Row],[Decade]],Lookups!$M$24:$P$40,4,FALSE)</f>
        <v>0.99560000000000004</v>
      </c>
      <c r="BJ875" s="30">
        <f>Inventory[[#This Row],[Nbhd Adj]]*0.95</f>
        <v>0.94971499999999998</v>
      </c>
      <c r="BK875" s="30">
        <f>AVERAGE(Inventory[[#This Row],[Nbhd Adj]],Inventory[[#This Row],[Quality Adj]],Inventory[[#This Row],[Condition Adj]],Inventory[[#This Row],[Living Area Adj]],Inventory[[#This Row],[Decade Adj]])*0.95</f>
        <v>0.94904999999999984</v>
      </c>
      <c r="BL875" s="30">
        <f>ROUND((SUM(Inventory[[#This Row],[Mdl Qlty]:[Mdl Garage Area]])+Inventory[[#This Row],[Mdl Res Intercept]])*Inventory[[#This Row],[Res Adj ]],-2)</f>
        <v>289600</v>
      </c>
      <c r="BM875" s="30">
        <f>ROUND(Inventory[[#This Row],[25Det]]*Inventory[[#This Row],[Det/Nbhd Adj]],-2)</f>
        <v>0</v>
      </c>
      <c r="BN875" s="30">
        <f>Inventory[[#This Row],[Adjusted Res]]+Inventory[[#This Row],[Adj Det ]]</f>
        <v>289600</v>
      </c>
      <c r="BO875" s="30">
        <f>ROUND((Inventory[[#This Row],[Mdl Land Intercept]]+Inventory[[#This Row],[Mdl LnAcres]])*Inventory[[#This Row],[Det/Nbhd Adj]],-2)</f>
        <v>61100</v>
      </c>
      <c r="BP875" s="30">
        <f>Inventory[[#This Row],[Adjusted Impr Total]]+Inventory[[#This Row],[Adjusted Land Total]]</f>
        <v>350700</v>
      </c>
      <c r="BQ875" s="30">
        <f>IFERROR((Inventory[[#This Row],[Adjusted Impr Total]]-Inventory[[#This Row],[24Bldg]])/Inventory[[#This Row],[24Bldg]],0)</f>
        <v>-1.5635622025832768E-2</v>
      </c>
      <c r="BR875" s="43">
        <f>(Inventory[[#This Row],[Adjusted Land Total]]-Inventory[[#This Row],[24Lnd]])/Inventory[[#This Row],[24Lnd]]</f>
        <v>4.9342105263157892E-3</v>
      </c>
      <c r="BS875" s="43">
        <f>(Inventory[[#This Row],[Adjusted Total]]-Inventory[[#This Row],[24Final]])/Inventory[[#This Row],[24Final]]</f>
        <v>-1.2112676056338029E-2</v>
      </c>
    </row>
    <row r="876" spans="1:71">
      <c r="A876" s="30">
        <v>2025</v>
      </c>
      <c r="B876" s="31" t="s">
        <v>1391</v>
      </c>
      <c r="C876" s="31">
        <f>LN(Inventory[[#This Row],[Acres]])</f>
        <v>-1.8325814637483102</v>
      </c>
      <c r="D876" s="30">
        <v>0.16</v>
      </c>
      <c r="E876" s="30">
        <v>7000</v>
      </c>
      <c r="F876" s="31" t="s">
        <v>505</v>
      </c>
      <c r="G876" s="31" t="s">
        <v>155</v>
      </c>
      <c r="H876" s="31" t="s">
        <v>5</v>
      </c>
      <c r="I876" s="31" t="s">
        <v>506</v>
      </c>
      <c r="J876" s="31" t="s">
        <v>507</v>
      </c>
      <c r="K876" s="31" t="s">
        <v>157</v>
      </c>
      <c r="L876" s="31" t="s">
        <v>21</v>
      </c>
      <c r="M876" s="31" t="s">
        <v>20</v>
      </c>
      <c r="N876" s="31">
        <v>20</v>
      </c>
      <c r="O876" s="31">
        <f>2024-Inventory[[#This Row],[YrBlt]]</f>
        <v>20</v>
      </c>
      <c r="P876" s="31">
        <f>2024-Inventory[[#This Row],[EffYr]]</f>
        <v>20</v>
      </c>
      <c r="Q876" s="30">
        <v>2004</v>
      </c>
      <c r="R876" s="30">
        <v>2004</v>
      </c>
      <c r="S876" s="30">
        <v>1116</v>
      </c>
      <c r="T876" s="38">
        <v>1116</v>
      </c>
      <c r="U876" s="32"/>
      <c r="V876" s="32"/>
      <c r="W876" s="32"/>
      <c r="X876" s="32">
        <f>Inventory[[#This Row],[Bsmt Area]]-Inventory[[#This Row],[FnBsmt]]</f>
        <v>0</v>
      </c>
      <c r="Y876" s="32">
        <f>Inventory[[#This Row],[MainFn]]+Inventory[[#This Row],[UpprFn]]+Inventory[[#This Row],[AddFn]]+Inventory[[#This Row],[FnBsmt]]</f>
        <v>2232</v>
      </c>
      <c r="Z876" s="32">
        <v>2500</v>
      </c>
      <c r="AA876" s="31" t="s">
        <v>57</v>
      </c>
      <c r="AB876" s="38">
        <v>1</v>
      </c>
      <c r="AC876" s="30">
        <v>440</v>
      </c>
      <c r="AD876" s="32"/>
      <c r="AE876" s="32"/>
      <c r="AF876" s="32"/>
      <c r="AG876" s="32"/>
      <c r="AH876" s="32"/>
      <c r="AI876" s="30">
        <v>463055</v>
      </c>
      <c r="AJ876" s="30">
        <v>421380</v>
      </c>
      <c r="AK876" s="30">
        <v>0</v>
      </c>
      <c r="AL876" s="30">
        <v>0</v>
      </c>
      <c r="AM876" s="30">
        <v>60800</v>
      </c>
      <c r="AN876" s="30">
        <v>333600</v>
      </c>
      <c r="AO876" s="30">
        <v>394400</v>
      </c>
      <c r="AP876" s="30">
        <f>Lookups!$B$58*0.6</f>
        <v>132535.48800000001</v>
      </c>
      <c r="AQ876" s="30">
        <f>Lookups!$B$58*0.4</f>
        <v>88356.992000000013</v>
      </c>
      <c r="AR876" s="30">
        <f>Lookups!$B$59*Inventory[[#This Row],[LnAcres]]</f>
        <v>-24051.387388882686</v>
      </c>
      <c r="AS876" s="30">
        <f>VLOOKUP(Inventory[[#This Row],[Qlty]],Lookups!$A$66:$E$79,2,FALSE)</f>
        <v>32917.849192000001</v>
      </c>
      <c r="AT876" s="30">
        <f>VLOOKUP(Inventory[[#This Row],[Cnd]],Lookups!$A$80:$E$88,2,FALSE)</f>
        <v>30300.329274</v>
      </c>
      <c r="AU876" s="30">
        <f>Inventory[[#This Row],[EffAge]]*Lookups!$B$65</f>
        <v>-2174.8220000000001</v>
      </c>
      <c r="AV876" s="30">
        <f>Inventory[[#This Row],[MainFn]]*Lookups!$B$90</f>
        <v>69649.984080000009</v>
      </c>
      <c r="AW876" s="30">
        <f>Inventory[[#This Row],[UpprFn]]*Lookups!$B$91</f>
        <v>66491.707427999994</v>
      </c>
      <c r="AX876" s="30">
        <f>Inventory[[#This Row],[Bsmt Area]]*Lookups!$B$95</f>
        <v>0</v>
      </c>
      <c r="AY876" s="30">
        <f>Inventory[[#This Row],[AttGar]]*Lookups!$B$93</f>
        <v>15532.453640000002</v>
      </c>
      <c r="AZ876" s="30">
        <f>ROUND(Inventory[[#This Row],[25Det]],-2)</f>
        <v>0</v>
      </c>
      <c r="BA876" s="30">
        <f>ROUND(SUM(Inventory[[#This Row],[Mdl Qlty]:[Mdl Garage Area]])+Inventory[[#This Row],[Mdl Res Intercept]],-2)</f>
        <v>345300</v>
      </c>
      <c r="BB876" s="30">
        <f>ROUND(Inventory[[#This Row],[Mdl Land Intercept]]+Inventory[[#This Row],[Mdl LnAcres]],-2)</f>
        <v>64300</v>
      </c>
      <c r="BC876" s="30">
        <f>Inventory[[#This Row],[Unadj Res Value]]+Inventory[[#This Row],[Unadj Det Value]]+Inventory[[#This Row],[Unadj Land Value]]</f>
        <v>409600</v>
      </c>
      <c r="BD876" s="30">
        <f>(Inventory[[#This Row],[Unadj Total Value]]-Inventory[[#This Row],[24Final]])/Inventory[[#This Row],[24Final]]</f>
        <v>3.8539553752535496E-2</v>
      </c>
      <c r="BE876" s="30">
        <f>VLOOKUP(Inventory[[#This Row],[Nbhd]],Lookups!$M$3:$P$5,4,FALSE)</f>
        <v>0.99970000000000003</v>
      </c>
      <c r="BF876" s="30">
        <f>VLOOKUP(Inventory[[#This Row],[Qlty]],Lookups!$M$8:$P$22,4,FALSE)</f>
        <v>1.0019</v>
      </c>
      <c r="BG876" s="30">
        <f>VLOOKUP(Inventory[[#This Row],[Cnd]],Lookups!$R$8:$U$17,4,FALSE)</f>
        <v>0.997</v>
      </c>
      <c r="BH876" s="30">
        <f>VLOOKUP(Inventory[[#This Row],[LivArea Range]],Lookups!$R$25:$U$43,4,FALSE)</f>
        <v>1.0008999999999999</v>
      </c>
      <c r="BI876" s="30">
        <f>VLOOKUP(Inventory[[#This Row],[Decade]],Lookups!$M$24:$P$40,4,FALSE)</f>
        <v>0.99560000000000004</v>
      </c>
      <c r="BJ876" s="30">
        <f>Inventory[[#This Row],[Nbhd Adj]]*0.95</f>
        <v>0.94971499999999998</v>
      </c>
      <c r="BK876" s="30">
        <f>AVERAGE(Inventory[[#This Row],[Nbhd Adj]],Inventory[[#This Row],[Quality Adj]],Inventory[[#This Row],[Condition Adj]],Inventory[[#This Row],[Living Area Adj]],Inventory[[#This Row],[Decade Adj]])*0.95</f>
        <v>0.94906899999999972</v>
      </c>
      <c r="BL876" s="30">
        <f>ROUND((SUM(Inventory[[#This Row],[Mdl Qlty]:[Mdl Garage Area]])+Inventory[[#This Row],[Mdl Res Intercept]])*Inventory[[#This Row],[Res Adj ]],-2)</f>
        <v>327700</v>
      </c>
      <c r="BM876" s="30">
        <f>ROUND(Inventory[[#This Row],[25Det]]*Inventory[[#This Row],[Det/Nbhd Adj]],-2)</f>
        <v>0</v>
      </c>
      <c r="BN876" s="30">
        <f>Inventory[[#This Row],[Adjusted Res]]+Inventory[[#This Row],[Adj Det ]]</f>
        <v>327700</v>
      </c>
      <c r="BO876" s="30">
        <f>ROUND((Inventory[[#This Row],[Mdl Land Intercept]]+Inventory[[#This Row],[Mdl LnAcres]])*Inventory[[#This Row],[Det/Nbhd Adj]],-2)</f>
        <v>61100</v>
      </c>
      <c r="BP876" s="30">
        <f>Inventory[[#This Row],[Adjusted Impr Total]]+Inventory[[#This Row],[Adjusted Land Total]]</f>
        <v>388800</v>
      </c>
      <c r="BQ876" s="30">
        <f>IFERROR((Inventory[[#This Row],[Adjusted Impr Total]]-Inventory[[#This Row],[24Bldg]])/Inventory[[#This Row],[24Bldg]],0)</f>
        <v>-1.7685851318944845E-2</v>
      </c>
      <c r="BR876" s="43">
        <f>(Inventory[[#This Row],[Adjusted Land Total]]-Inventory[[#This Row],[24Lnd]])/Inventory[[#This Row],[24Lnd]]</f>
        <v>4.9342105263157892E-3</v>
      </c>
      <c r="BS876" s="43">
        <f>(Inventory[[#This Row],[Adjusted Total]]-Inventory[[#This Row],[24Final]])/Inventory[[#This Row],[24Final]]</f>
        <v>-1.4198782961460446E-2</v>
      </c>
    </row>
    <row r="877" spans="1:71">
      <c r="A877" s="30">
        <v>2025</v>
      </c>
      <c r="B877" s="31" t="s">
        <v>1392</v>
      </c>
      <c r="C877" s="31">
        <f>LN(Inventory[[#This Row],[Acres]])</f>
        <v>-1.8325814637483102</v>
      </c>
      <c r="D877" s="30">
        <v>0.16</v>
      </c>
      <c r="E877" s="30">
        <v>7002</v>
      </c>
      <c r="F877" s="31" t="s">
        <v>505</v>
      </c>
      <c r="G877" s="31" t="s">
        <v>155</v>
      </c>
      <c r="H877" s="31" t="s">
        <v>5</v>
      </c>
      <c r="I877" s="31" t="s">
        <v>506</v>
      </c>
      <c r="J877" s="31" t="s">
        <v>507</v>
      </c>
      <c r="K877" s="31" t="s">
        <v>193</v>
      </c>
      <c r="L877" s="31" t="s">
        <v>21</v>
      </c>
      <c r="M877" s="31" t="s">
        <v>22</v>
      </c>
      <c r="N877" s="31">
        <v>20</v>
      </c>
      <c r="O877" s="31">
        <f>2024-Inventory[[#This Row],[YrBlt]]</f>
        <v>20</v>
      </c>
      <c r="P877" s="31">
        <f>2024-Inventory[[#This Row],[EffYr]]</f>
        <v>20</v>
      </c>
      <c r="Q877" s="30">
        <v>2004</v>
      </c>
      <c r="R877" s="30">
        <v>2004</v>
      </c>
      <c r="S877" s="30">
        <v>1380</v>
      </c>
      <c r="T877" s="32"/>
      <c r="U877" s="32"/>
      <c r="V877" s="32"/>
      <c r="W877" s="32"/>
      <c r="X877" s="32">
        <f>Inventory[[#This Row],[Bsmt Area]]-Inventory[[#This Row],[FnBsmt]]</f>
        <v>0</v>
      </c>
      <c r="Y877" s="32">
        <f>Inventory[[#This Row],[MainFn]]+Inventory[[#This Row],[UpprFn]]+Inventory[[#This Row],[AddFn]]+Inventory[[#This Row],[FnBsmt]]</f>
        <v>1380</v>
      </c>
      <c r="Z877" s="32">
        <v>1500</v>
      </c>
      <c r="AA877" s="31" t="s">
        <v>57</v>
      </c>
      <c r="AB877" s="32"/>
      <c r="AC877" s="30">
        <v>668</v>
      </c>
      <c r="AD877" s="32"/>
      <c r="AE877" s="32"/>
      <c r="AF877" s="32"/>
      <c r="AG877" s="32"/>
      <c r="AH877" s="32"/>
      <c r="AI877" s="30">
        <v>319006</v>
      </c>
      <c r="AJ877" s="30">
        <v>293486</v>
      </c>
      <c r="AK877" s="30">
        <v>0</v>
      </c>
      <c r="AL877" s="30">
        <v>0</v>
      </c>
      <c r="AM877" s="30">
        <v>60800</v>
      </c>
      <c r="AN877" s="30">
        <v>311100</v>
      </c>
      <c r="AO877" s="30">
        <v>371900</v>
      </c>
      <c r="AP877" s="30">
        <f>Lookups!$B$58*0.6</f>
        <v>132535.48800000001</v>
      </c>
      <c r="AQ877" s="30">
        <f>Lookups!$B$58*0.4</f>
        <v>88356.992000000013</v>
      </c>
      <c r="AR877" s="30">
        <f>Lookups!$B$59*Inventory[[#This Row],[LnAcres]]</f>
        <v>-24051.387388882686</v>
      </c>
      <c r="AS877" s="30">
        <f>VLOOKUP(Inventory[[#This Row],[Qlty]],Lookups!$A$66:$E$79,2,FALSE)</f>
        <v>32917.849192000001</v>
      </c>
      <c r="AT877" s="30">
        <f>VLOOKUP(Inventory[[#This Row],[Cnd]],Lookups!$A$80:$E$88,2,FALSE)</f>
        <v>50438.379078999998</v>
      </c>
      <c r="AU877" s="30">
        <f>Inventory[[#This Row],[EffAge]]*Lookups!$B$65</f>
        <v>-2174.8220000000001</v>
      </c>
      <c r="AV877" s="30">
        <f>Inventory[[#This Row],[MainFn]]*Lookups!$B$90</f>
        <v>86126.324399999998</v>
      </c>
      <c r="AW877" s="30">
        <f>Inventory[[#This Row],[UpprFn]]*Lookups!$B$91</f>
        <v>0</v>
      </c>
      <c r="AX877" s="30">
        <f>Inventory[[#This Row],[Bsmt Area]]*Lookups!$B$95</f>
        <v>0</v>
      </c>
      <c r="AY877" s="30">
        <f>Inventory[[#This Row],[AttGar]]*Lookups!$B$93</f>
        <v>23581.088708000003</v>
      </c>
      <c r="AZ877" s="30">
        <f>ROUND(Inventory[[#This Row],[25Det]],-2)</f>
        <v>0</v>
      </c>
      <c r="BA877" s="30">
        <f>ROUND(SUM(Inventory[[#This Row],[Mdl Qlty]:[Mdl Garage Area]])+Inventory[[#This Row],[Mdl Res Intercept]],-2)</f>
        <v>323400</v>
      </c>
      <c r="BB877" s="30">
        <f>ROUND(Inventory[[#This Row],[Mdl Land Intercept]]+Inventory[[#This Row],[Mdl LnAcres]],-2)</f>
        <v>64300</v>
      </c>
      <c r="BC877" s="30">
        <f>Inventory[[#This Row],[Unadj Res Value]]+Inventory[[#This Row],[Unadj Det Value]]+Inventory[[#This Row],[Unadj Land Value]]</f>
        <v>387700</v>
      </c>
      <c r="BD877" s="30">
        <f>(Inventory[[#This Row],[Unadj Total Value]]-Inventory[[#This Row],[24Final]])/Inventory[[#This Row],[24Final]]</f>
        <v>4.2484538854530789E-2</v>
      </c>
      <c r="BE877" s="30">
        <f>VLOOKUP(Inventory[[#This Row],[Nbhd]],Lookups!$M$3:$P$5,4,FALSE)</f>
        <v>0.99970000000000003</v>
      </c>
      <c r="BF877" s="30">
        <f>VLOOKUP(Inventory[[#This Row],[Qlty]],Lookups!$M$8:$P$22,4,FALSE)</f>
        <v>1.0019</v>
      </c>
      <c r="BG877" s="30">
        <f>VLOOKUP(Inventory[[#This Row],[Cnd]],Lookups!$R$8:$U$17,4,FALSE)</f>
        <v>1.0007999999999999</v>
      </c>
      <c r="BH877" s="30">
        <f>VLOOKUP(Inventory[[#This Row],[LivArea Range]],Lookups!$R$25:$U$43,4,FALSE)</f>
        <v>0.99519999999999997</v>
      </c>
      <c r="BI877" s="30">
        <f>VLOOKUP(Inventory[[#This Row],[Decade]],Lookups!$M$24:$P$40,4,FALSE)</f>
        <v>0.99560000000000004</v>
      </c>
      <c r="BJ877" s="30">
        <f>Inventory[[#This Row],[Nbhd Adj]]*0.95</f>
        <v>0.94971499999999998</v>
      </c>
      <c r="BK877" s="30">
        <f>AVERAGE(Inventory[[#This Row],[Nbhd Adj]],Inventory[[#This Row],[Quality Adj]],Inventory[[#This Row],[Condition Adj]],Inventory[[#This Row],[Living Area Adj]],Inventory[[#This Row],[Decade Adj]])*0.95</f>
        <v>0.94870799999999988</v>
      </c>
      <c r="BL877" s="30">
        <f>ROUND((SUM(Inventory[[#This Row],[Mdl Qlty]:[Mdl Garage Area]])+Inventory[[#This Row],[Mdl Res Intercept]])*Inventory[[#This Row],[Res Adj ]],-2)</f>
        <v>306800</v>
      </c>
      <c r="BM877" s="30">
        <f>ROUND(Inventory[[#This Row],[25Det]]*Inventory[[#This Row],[Det/Nbhd Adj]],-2)</f>
        <v>0</v>
      </c>
      <c r="BN877" s="30">
        <f>Inventory[[#This Row],[Adjusted Res]]+Inventory[[#This Row],[Adj Det ]]</f>
        <v>306800</v>
      </c>
      <c r="BO877" s="30">
        <f>ROUND((Inventory[[#This Row],[Mdl Land Intercept]]+Inventory[[#This Row],[Mdl LnAcres]])*Inventory[[#This Row],[Det/Nbhd Adj]],-2)</f>
        <v>61100</v>
      </c>
      <c r="BP877" s="30">
        <f>Inventory[[#This Row],[Adjusted Impr Total]]+Inventory[[#This Row],[Adjusted Land Total]]</f>
        <v>367900</v>
      </c>
      <c r="BQ877" s="30">
        <f>IFERROR((Inventory[[#This Row],[Adjusted Impr Total]]-Inventory[[#This Row],[24Bldg]])/Inventory[[#This Row],[24Bldg]],0)</f>
        <v>-1.3821922211507553E-2</v>
      </c>
      <c r="BR877" s="43">
        <f>(Inventory[[#This Row],[Adjusted Land Total]]-Inventory[[#This Row],[24Lnd]])/Inventory[[#This Row],[24Lnd]]</f>
        <v>4.9342105263157892E-3</v>
      </c>
      <c r="BS877" s="43">
        <f>(Inventory[[#This Row],[Adjusted Total]]-Inventory[[#This Row],[24Final]])/Inventory[[#This Row],[24Final]]</f>
        <v>-1.0755579456843238E-2</v>
      </c>
    </row>
    <row r="878" spans="1:71">
      <c r="A878" s="30">
        <v>2025</v>
      </c>
      <c r="B878" s="31" t="s">
        <v>1393</v>
      </c>
      <c r="C878" s="31">
        <f>LN(Inventory[[#This Row],[Acres]])</f>
        <v>-1.8325814637483102</v>
      </c>
      <c r="D878" s="30">
        <v>0.16</v>
      </c>
      <c r="E878" s="38">
        <v>7094</v>
      </c>
      <c r="F878" s="31" t="s">
        <v>505</v>
      </c>
      <c r="G878" s="31" t="s">
        <v>155</v>
      </c>
      <c r="H878" s="31" t="s">
        <v>5</v>
      </c>
      <c r="I878" s="31" t="s">
        <v>506</v>
      </c>
      <c r="J878" s="31" t="s">
        <v>507</v>
      </c>
      <c r="K878" s="31" t="s">
        <v>193</v>
      </c>
      <c r="L878" s="31" t="s">
        <v>21</v>
      </c>
      <c r="M878" s="31" t="s">
        <v>20</v>
      </c>
      <c r="N878" s="31">
        <v>20</v>
      </c>
      <c r="O878" s="31">
        <f>2024-Inventory[[#This Row],[YrBlt]]</f>
        <v>20</v>
      </c>
      <c r="P878" s="31">
        <f>2024-Inventory[[#This Row],[EffYr]]</f>
        <v>20</v>
      </c>
      <c r="Q878" s="30">
        <v>2004</v>
      </c>
      <c r="R878" s="30">
        <v>2004</v>
      </c>
      <c r="S878" s="30">
        <v>1436</v>
      </c>
      <c r="T878" s="37"/>
      <c r="U878" s="32"/>
      <c r="V878" s="32"/>
      <c r="W878" s="32"/>
      <c r="X878" s="32">
        <f>Inventory[[#This Row],[Bsmt Area]]-Inventory[[#This Row],[FnBsmt]]</f>
        <v>0</v>
      </c>
      <c r="Y878" s="32">
        <f>Inventory[[#This Row],[MainFn]]+Inventory[[#This Row],[UpprFn]]+Inventory[[#This Row],[AddFn]]+Inventory[[#This Row],[FnBsmt]]</f>
        <v>1436</v>
      </c>
      <c r="Z878" s="32">
        <v>1500</v>
      </c>
      <c r="AA878" s="31" t="s">
        <v>57</v>
      </c>
      <c r="AB878" s="32"/>
      <c r="AC878" s="30">
        <v>400</v>
      </c>
      <c r="AD878" s="32"/>
      <c r="AE878" s="32"/>
      <c r="AF878" s="37"/>
      <c r="AG878" s="32"/>
      <c r="AH878" s="32"/>
      <c r="AI878" s="30">
        <v>314411</v>
      </c>
      <c r="AJ878" s="30">
        <v>286114</v>
      </c>
      <c r="AK878" s="30">
        <v>0</v>
      </c>
      <c r="AL878" s="30">
        <v>0</v>
      </c>
      <c r="AM878" s="30">
        <v>60800</v>
      </c>
      <c r="AN878" s="30">
        <v>284100</v>
      </c>
      <c r="AO878" s="30">
        <v>344900</v>
      </c>
      <c r="AP878" s="30">
        <f>Lookups!$B$58*0.6</f>
        <v>132535.48800000001</v>
      </c>
      <c r="AQ878" s="30">
        <f>Lookups!$B$58*0.4</f>
        <v>88356.992000000013</v>
      </c>
      <c r="AR878" s="30">
        <f>Lookups!$B$59*Inventory[[#This Row],[LnAcres]]</f>
        <v>-24051.387388882686</v>
      </c>
      <c r="AS878" s="30">
        <f>VLOOKUP(Inventory[[#This Row],[Qlty]],Lookups!$A$66:$E$79,2,FALSE)</f>
        <v>32917.849192000001</v>
      </c>
      <c r="AT878" s="30">
        <f>VLOOKUP(Inventory[[#This Row],[Cnd]],Lookups!$A$80:$E$88,2,FALSE)</f>
        <v>30300.329274</v>
      </c>
      <c r="AU878" s="30">
        <f>Inventory[[#This Row],[EffAge]]*Lookups!$B$65</f>
        <v>-2174.8220000000001</v>
      </c>
      <c r="AV878" s="30">
        <f>Inventory[[#This Row],[MainFn]]*Lookups!$B$90</f>
        <v>89621.305680000005</v>
      </c>
      <c r="AW878" s="30">
        <f>Inventory[[#This Row],[UpprFn]]*Lookups!$B$91</f>
        <v>0</v>
      </c>
      <c r="AX878" s="30">
        <f>Inventory[[#This Row],[Bsmt Area]]*Lookups!$B$95</f>
        <v>0</v>
      </c>
      <c r="AY878" s="30">
        <f>Inventory[[#This Row],[AttGar]]*Lookups!$B$93</f>
        <v>14120.412400000001</v>
      </c>
      <c r="AZ878" s="30">
        <f>ROUND(Inventory[[#This Row],[25Det]],-2)</f>
        <v>0</v>
      </c>
      <c r="BA878" s="30">
        <f>ROUND(SUM(Inventory[[#This Row],[Mdl Qlty]:[Mdl Garage Area]])+Inventory[[#This Row],[Mdl Res Intercept]],-2)</f>
        <v>297300</v>
      </c>
      <c r="BB878" s="30">
        <f>ROUND(Inventory[[#This Row],[Mdl Land Intercept]]+Inventory[[#This Row],[Mdl LnAcres]],-2)</f>
        <v>64300</v>
      </c>
      <c r="BC878" s="30">
        <f>Inventory[[#This Row],[Unadj Res Value]]+Inventory[[#This Row],[Unadj Det Value]]+Inventory[[#This Row],[Unadj Land Value]]</f>
        <v>361600</v>
      </c>
      <c r="BD878" s="30">
        <f>(Inventory[[#This Row],[Unadj Total Value]]-Inventory[[#This Row],[24Final]])/Inventory[[#This Row],[24Final]]</f>
        <v>4.8419831835314585E-2</v>
      </c>
      <c r="BE878" s="30">
        <f>VLOOKUP(Inventory[[#This Row],[Nbhd]],Lookups!$M$3:$P$5,4,FALSE)</f>
        <v>0.99970000000000003</v>
      </c>
      <c r="BF878" s="30">
        <f>VLOOKUP(Inventory[[#This Row],[Qlty]],Lookups!$M$8:$P$22,4,FALSE)</f>
        <v>1.0019</v>
      </c>
      <c r="BG878" s="30">
        <f>VLOOKUP(Inventory[[#This Row],[Cnd]],Lookups!$R$8:$U$17,4,FALSE)</f>
        <v>0.997</v>
      </c>
      <c r="BH878" s="30">
        <f>VLOOKUP(Inventory[[#This Row],[LivArea Range]],Lookups!$R$25:$U$43,4,FALSE)</f>
        <v>0.99519999999999997</v>
      </c>
      <c r="BI878" s="30">
        <f>VLOOKUP(Inventory[[#This Row],[Decade]],Lookups!$M$24:$P$40,4,FALSE)</f>
        <v>0.99560000000000004</v>
      </c>
      <c r="BJ878" s="30">
        <f>Inventory[[#This Row],[Nbhd Adj]]*0.95</f>
        <v>0.94971499999999998</v>
      </c>
      <c r="BK878" s="30">
        <f>AVERAGE(Inventory[[#This Row],[Nbhd Adj]],Inventory[[#This Row],[Quality Adj]],Inventory[[#This Row],[Condition Adj]],Inventory[[#This Row],[Living Area Adj]],Inventory[[#This Row],[Decade Adj]])*0.95</f>
        <v>0.947986</v>
      </c>
      <c r="BL878" s="30">
        <f>ROUND((SUM(Inventory[[#This Row],[Mdl Qlty]:[Mdl Garage Area]])+Inventory[[#This Row],[Mdl Res Intercept]])*Inventory[[#This Row],[Res Adj ]],-2)</f>
        <v>281900</v>
      </c>
      <c r="BM878" s="30">
        <f>ROUND(Inventory[[#This Row],[25Det]]*Inventory[[#This Row],[Det/Nbhd Adj]],-2)</f>
        <v>0</v>
      </c>
      <c r="BN878" s="30">
        <f>Inventory[[#This Row],[Adjusted Res]]+Inventory[[#This Row],[Adj Det ]]</f>
        <v>281900</v>
      </c>
      <c r="BO878" s="30">
        <f>ROUND((Inventory[[#This Row],[Mdl Land Intercept]]+Inventory[[#This Row],[Mdl LnAcres]])*Inventory[[#This Row],[Det/Nbhd Adj]],-2)</f>
        <v>61100</v>
      </c>
      <c r="BP878" s="30">
        <f>Inventory[[#This Row],[Adjusted Impr Total]]+Inventory[[#This Row],[Adjusted Land Total]]</f>
        <v>343000</v>
      </c>
      <c r="BQ878" s="30">
        <f>IFERROR((Inventory[[#This Row],[Adjusted Impr Total]]-Inventory[[#This Row],[24Bldg]])/Inventory[[#This Row],[24Bldg]],0)</f>
        <v>-7.743752199929602E-3</v>
      </c>
      <c r="BR878" s="43">
        <f>(Inventory[[#This Row],[Adjusted Land Total]]-Inventory[[#This Row],[24Lnd]])/Inventory[[#This Row],[24Lnd]]</f>
        <v>4.9342105263157892E-3</v>
      </c>
      <c r="BS878" s="43">
        <f>(Inventory[[#This Row],[Adjusted Total]]-Inventory[[#This Row],[24Final]])/Inventory[[#This Row],[24Final]]</f>
        <v>-5.508843142939983E-3</v>
      </c>
    </row>
    <row r="879" spans="1:71">
      <c r="A879" s="30">
        <v>2025</v>
      </c>
      <c r="B879" s="31" t="s">
        <v>1394</v>
      </c>
      <c r="C879" s="31">
        <f>LN(Inventory[[#This Row],[Acres]])</f>
        <v>-1.8325814637483102</v>
      </c>
      <c r="D879" s="30">
        <v>0.16</v>
      </c>
      <c r="E879" s="30">
        <v>7018</v>
      </c>
      <c r="F879" s="31" t="s">
        <v>505</v>
      </c>
      <c r="G879" s="31" t="s">
        <v>155</v>
      </c>
      <c r="H879" s="31" t="s">
        <v>5</v>
      </c>
      <c r="I879" s="31" t="s">
        <v>506</v>
      </c>
      <c r="J879" s="31" t="s">
        <v>507</v>
      </c>
      <c r="K879" s="31" t="s">
        <v>157</v>
      </c>
      <c r="L879" s="31" t="s">
        <v>21</v>
      </c>
      <c r="M879" s="31" t="s">
        <v>22</v>
      </c>
      <c r="N879" s="31">
        <v>20</v>
      </c>
      <c r="O879" s="31">
        <f>2024-Inventory[[#This Row],[YrBlt]]</f>
        <v>20</v>
      </c>
      <c r="P879" s="31">
        <f>2024-Inventory[[#This Row],[EffYr]]</f>
        <v>20</v>
      </c>
      <c r="Q879" s="30">
        <v>2004</v>
      </c>
      <c r="R879" s="30">
        <v>2004</v>
      </c>
      <c r="S879" s="30">
        <v>1116</v>
      </c>
      <c r="T879" s="38">
        <v>1116</v>
      </c>
      <c r="U879" s="32"/>
      <c r="V879" s="32"/>
      <c r="W879" s="32"/>
      <c r="X879" s="32">
        <f>Inventory[[#This Row],[Bsmt Area]]-Inventory[[#This Row],[FnBsmt]]</f>
        <v>0</v>
      </c>
      <c r="Y879" s="32">
        <f>Inventory[[#This Row],[MainFn]]+Inventory[[#This Row],[UpprFn]]+Inventory[[#This Row],[AddFn]]+Inventory[[#This Row],[FnBsmt]]</f>
        <v>2232</v>
      </c>
      <c r="Z879" s="32">
        <v>2500</v>
      </c>
      <c r="AA879" s="31" t="s">
        <v>57</v>
      </c>
      <c r="AB879" s="38">
        <v>1</v>
      </c>
      <c r="AC879" s="30">
        <v>440</v>
      </c>
      <c r="AD879" s="32"/>
      <c r="AE879" s="32"/>
      <c r="AF879" s="32"/>
      <c r="AG879" s="32"/>
      <c r="AH879" s="32"/>
      <c r="AI879" s="30">
        <v>448140</v>
      </c>
      <c r="AJ879" s="30">
        <v>412289</v>
      </c>
      <c r="AK879" s="30">
        <v>0</v>
      </c>
      <c r="AL879" s="30">
        <v>0</v>
      </c>
      <c r="AM879" s="30">
        <v>60800</v>
      </c>
      <c r="AN879" s="30">
        <v>349100</v>
      </c>
      <c r="AO879" s="30">
        <v>409900</v>
      </c>
      <c r="AP879" s="30">
        <f>Lookups!$B$58*0.6</f>
        <v>132535.48800000001</v>
      </c>
      <c r="AQ879" s="30">
        <f>Lookups!$B$58*0.4</f>
        <v>88356.992000000013</v>
      </c>
      <c r="AR879" s="30">
        <f>Lookups!$B$59*Inventory[[#This Row],[LnAcres]]</f>
        <v>-24051.387388882686</v>
      </c>
      <c r="AS879" s="30">
        <f>VLOOKUP(Inventory[[#This Row],[Qlty]],Lookups!$A$66:$E$79,2,FALSE)</f>
        <v>32917.849192000001</v>
      </c>
      <c r="AT879" s="30">
        <f>VLOOKUP(Inventory[[#This Row],[Cnd]],Lookups!$A$80:$E$88,2,FALSE)</f>
        <v>50438.379078999998</v>
      </c>
      <c r="AU879" s="30">
        <f>Inventory[[#This Row],[EffAge]]*Lookups!$B$65</f>
        <v>-2174.8220000000001</v>
      </c>
      <c r="AV879" s="30">
        <f>Inventory[[#This Row],[MainFn]]*Lookups!$B$90</f>
        <v>69649.984080000009</v>
      </c>
      <c r="AW879" s="30">
        <f>Inventory[[#This Row],[UpprFn]]*Lookups!$B$91</f>
        <v>66491.707427999994</v>
      </c>
      <c r="AX879" s="30">
        <f>Inventory[[#This Row],[Bsmt Area]]*Lookups!$B$95</f>
        <v>0</v>
      </c>
      <c r="AY879" s="30">
        <f>Inventory[[#This Row],[AttGar]]*Lookups!$B$93</f>
        <v>15532.453640000002</v>
      </c>
      <c r="AZ879" s="30">
        <f>ROUND(Inventory[[#This Row],[25Det]],-2)</f>
        <v>0</v>
      </c>
      <c r="BA879" s="30">
        <f>ROUND(SUM(Inventory[[#This Row],[Mdl Qlty]:[Mdl Garage Area]])+Inventory[[#This Row],[Mdl Res Intercept]],-2)</f>
        <v>365400</v>
      </c>
      <c r="BB879" s="30">
        <f>ROUND(Inventory[[#This Row],[Mdl Land Intercept]]+Inventory[[#This Row],[Mdl LnAcres]],-2)</f>
        <v>64300</v>
      </c>
      <c r="BC879" s="30">
        <f>Inventory[[#This Row],[Unadj Res Value]]+Inventory[[#This Row],[Unadj Det Value]]+Inventory[[#This Row],[Unadj Land Value]]</f>
        <v>429700</v>
      </c>
      <c r="BD879" s="30">
        <f>(Inventory[[#This Row],[Unadj Total Value]]-Inventory[[#This Row],[24Final]])/Inventory[[#This Row],[24Final]]</f>
        <v>4.8304464503537446E-2</v>
      </c>
      <c r="BE879" s="30">
        <f>VLOOKUP(Inventory[[#This Row],[Nbhd]],Lookups!$M$3:$P$5,4,FALSE)</f>
        <v>0.99970000000000003</v>
      </c>
      <c r="BF879" s="30">
        <f>VLOOKUP(Inventory[[#This Row],[Qlty]],Lookups!$M$8:$P$22,4,FALSE)</f>
        <v>1.0019</v>
      </c>
      <c r="BG879" s="30">
        <f>VLOOKUP(Inventory[[#This Row],[Cnd]],Lookups!$R$8:$U$17,4,FALSE)</f>
        <v>1.0007999999999999</v>
      </c>
      <c r="BH879" s="30">
        <f>VLOOKUP(Inventory[[#This Row],[LivArea Range]],Lookups!$R$25:$U$43,4,FALSE)</f>
        <v>1.0008999999999999</v>
      </c>
      <c r="BI879" s="30">
        <f>VLOOKUP(Inventory[[#This Row],[Decade]],Lookups!$M$24:$P$40,4,FALSE)</f>
        <v>0.99560000000000004</v>
      </c>
      <c r="BJ879" s="30">
        <f>Inventory[[#This Row],[Nbhd Adj]]*0.95</f>
        <v>0.94971499999999998</v>
      </c>
      <c r="BK879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879" s="30">
        <f>ROUND((SUM(Inventory[[#This Row],[Mdl Qlty]:[Mdl Garage Area]])+Inventory[[#This Row],[Mdl Res Intercept]])*Inventory[[#This Row],[Res Adj ]],-2)</f>
        <v>347000</v>
      </c>
      <c r="BM879" s="30">
        <f>ROUND(Inventory[[#This Row],[25Det]]*Inventory[[#This Row],[Det/Nbhd Adj]],-2)</f>
        <v>0</v>
      </c>
      <c r="BN879" s="30">
        <f>Inventory[[#This Row],[Adjusted Res]]+Inventory[[#This Row],[Adj Det ]]</f>
        <v>347000</v>
      </c>
      <c r="BO879" s="30">
        <f>ROUND((Inventory[[#This Row],[Mdl Land Intercept]]+Inventory[[#This Row],[Mdl LnAcres]])*Inventory[[#This Row],[Det/Nbhd Adj]],-2)</f>
        <v>61100</v>
      </c>
      <c r="BP879" s="30">
        <f>Inventory[[#This Row],[Adjusted Impr Total]]+Inventory[[#This Row],[Adjusted Land Total]]</f>
        <v>408100</v>
      </c>
      <c r="BQ879" s="30">
        <f>IFERROR((Inventory[[#This Row],[Adjusted Impr Total]]-Inventory[[#This Row],[24Bldg]])/Inventory[[#This Row],[24Bldg]],0)</f>
        <v>-6.0154683471784591E-3</v>
      </c>
      <c r="BR879" s="43">
        <f>(Inventory[[#This Row],[Adjusted Land Total]]-Inventory[[#This Row],[24Lnd]])/Inventory[[#This Row],[24Lnd]]</f>
        <v>4.9342105263157892E-3</v>
      </c>
      <c r="BS879" s="43">
        <f>(Inventory[[#This Row],[Adjusted Total]]-Inventory[[#This Row],[24Final]])/Inventory[[#This Row],[24Final]]</f>
        <v>-4.3913149548670408E-3</v>
      </c>
    </row>
    <row r="880" spans="1:71">
      <c r="A880" s="30">
        <v>2025</v>
      </c>
      <c r="B880" s="31" t="s">
        <v>1395</v>
      </c>
      <c r="C880" s="31">
        <f>LN(Inventory[[#This Row],[Acres]])</f>
        <v>-1.8325814637483102</v>
      </c>
      <c r="D880" s="30">
        <v>0.16</v>
      </c>
      <c r="E880" s="30">
        <v>7159</v>
      </c>
      <c r="F880" s="31" t="s">
        <v>505</v>
      </c>
      <c r="G880" s="31" t="s">
        <v>155</v>
      </c>
      <c r="H880" s="31" t="s">
        <v>5</v>
      </c>
      <c r="I880" s="31" t="s">
        <v>506</v>
      </c>
      <c r="J880" s="31" t="s">
        <v>507</v>
      </c>
      <c r="K880" s="31" t="s">
        <v>193</v>
      </c>
      <c r="L880" s="31" t="s">
        <v>21</v>
      </c>
      <c r="M880" s="31" t="s">
        <v>22</v>
      </c>
      <c r="N880" s="31">
        <v>20</v>
      </c>
      <c r="O880" s="31">
        <f>2024-Inventory[[#This Row],[YrBlt]]</f>
        <v>20</v>
      </c>
      <c r="P880" s="31">
        <f>2024-Inventory[[#This Row],[EffYr]]</f>
        <v>20</v>
      </c>
      <c r="Q880" s="30">
        <v>2004</v>
      </c>
      <c r="R880" s="30">
        <v>2004</v>
      </c>
      <c r="S880" s="30">
        <v>1543</v>
      </c>
      <c r="T880" s="37"/>
      <c r="U880" s="32"/>
      <c r="V880" s="32"/>
      <c r="W880" s="32"/>
      <c r="X880" s="32">
        <f>Inventory[[#This Row],[Bsmt Area]]-Inventory[[#This Row],[FnBsmt]]</f>
        <v>0</v>
      </c>
      <c r="Y880" s="32">
        <f>Inventory[[#This Row],[MainFn]]+Inventory[[#This Row],[UpprFn]]+Inventory[[#This Row],[AddFn]]+Inventory[[#This Row],[FnBsmt]]</f>
        <v>1543</v>
      </c>
      <c r="Z880" s="32">
        <v>2000</v>
      </c>
      <c r="AA880" s="31" t="s">
        <v>57</v>
      </c>
      <c r="AB880" s="32"/>
      <c r="AC880" s="30">
        <v>433</v>
      </c>
      <c r="AD880" s="32"/>
      <c r="AE880" s="32"/>
      <c r="AF880" s="32"/>
      <c r="AG880" s="32"/>
      <c r="AH880" s="32"/>
      <c r="AI880" s="30">
        <v>341469</v>
      </c>
      <c r="AJ880" s="30">
        <v>314151</v>
      </c>
      <c r="AK880" s="30">
        <v>0</v>
      </c>
      <c r="AL880" s="30">
        <v>0</v>
      </c>
      <c r="AM880" s="30">
        <v>60800</v>
      </c>
      <c r="AN880" s="30">
        <v>309800</v>
      </c>
      <c r="AO880" s="30">
        <v>370600</v>
      </c>
      <c r="AP880" s="30">
        <f>Lookups!$B$58*0.6</f>
        <v>132535.48800000001</v>
      </c>
      <c r="AQ880" s="30">
        <f>Lookups!$B$58*0.4</f>
        <v>88356.992000000013</v>
      </c>
      <c r="AR880" s="30">
        <f>Lookups!$B$59*Inventory[[#This Row],[LnAcres]]</f>
        <v>-24051.387388882686</v>
      </c>
      <c r="AS880" s="30">
        <f>VLOOKUP(Inventory[[#This Row],[Qlty]],Lookups!$A$66:$E$79,2,FALSE)</f>
        <v>32917.849192000001</v>
      </c>
      <c r="AT880" s="30">
        <f>VLOOKUP(Inventory[[#This Row],[Cnd]],Lookups!$A$80:$E$88,2,FALSE)</f>
        <v>50438.379078999998</v>
      </c>
      <c r="AU880" s="30">
        <f>Inventory[[#This Row],[EffAge]]*Lookups!$B$65</f>
        <v>-2174.8220000000001</v>
      </c>
      <c r="AV880" s="30">
        <f>Inventory[[#This Row],[MainFn]]*Lookups!$B$90</f>
        <v>96299.216339999999</v>
      </c>
      <c r="AW880" s="30">
        <f>Inventory[[#This Row],[UpprFn]]*Lookups!$B$91</f>
        <v>0</v>
      </c>
      <c r="AX880" s="30">
        <f>Inventory[[#This Row],[Bsmt Area]]*Lookups!$B$95</f>
        <v>0</v>
      </c>
      <c r="AY880" s="30">
        <f>Inventory[[#This Row],[AttGar]]*Lookups!$B$93</f>
        <v>15285.346423000001</v>
      </c>
      <c r="AZ880" s="30">
        <f>ROUND(Inventory[[#This Row],[25Det]],-2)</f>
        <v>0</v>
      </c>
      <c r="BA880" s="30">
        <f>ROUND(SUM(Inventory[[#This Row],[Mdl Qlty]:[Mdl Garage Area]])+Inventory[[#This Row],[Mdl Res Intercept]],-2)</f>
        <v>325300</v>
      </c>
      <c r="BB880" s="30">
        <f>ROUND(Inventory[[#This Row],[Mdl Land Intercept]]+Inventory[[#This Row],[Mdl LnAcres]],-2)</f>
        <v>64300</v>
      </c>
      <c r="BC880" s="30">
        <f>Inventory[[#This Row],[Unadj Res Value]]+Inventory[[#This Row],[Unadj Det Value]]+Inventory[[#This Row],[Unadj Land Value]]</f>
        <v>389600</v>
      </c>
      <c r="BD880" s="30">
        <f>(Inventory[[#This Row],[Unadj Total Value]]-Inventory[[#This Row],[24Final]])/Inventory[[#This Row],[24Final]]</f>
        <v>5.1268213707501349E-2</v>
      </c>
      <c r="BE880" s="30">
        <f>VLOOKUP(Inventory[[#This Row],[Nbhd]],Lookups!$M$3:$P$5,4,FALSE)</f>
        <v>0.99970000000000003</v>
      </c>
      <c r="BF880" s="30">
        <f>VLOOKUP(Inventory[[#This Row],[Qlty]],Lookups!$M$8:$P$22,4,FALSE)</f>
        <v>1.0019</v>
      </c>
      <c r="BG880" s="30">
        <f>VLOOKUP(Inventory[[#This Row],[Cnd]],Lookups!$R$8:$U$17,4,FALSE)</f>
        <v>1.0007999999999999</v>
      </c>
      <c r="BH880" s="30">
        <f>VLOOKUP(Inventory[[#This Row],[LivArea Range]],Lookups!$R$25:$U$43,4,FALSE)</f>
        <v>1.0007999999999999</v>
      </c>
      <c r="BI880" s="30">
        <f>VLOOKUP(Inventory[[#This Row],[Decade]],Lookups!$M$24:$P$40,4,FALSE)</f>
        <v>0.99560000000000004</v>
      </c>
      <c r="BJ880" s="30">
        <f>Inventory[[#This Row],[Nbhd Adj]]*0.95</f>
        <v>0.94971499999999998</v>
      </c>
      <c r="BK880" s="30">
        <f>AVERAGE(Inventory[[#This Row],[Nbhd Adj]],Inventory[[#This Row],[Quality Adj]],Inventory[[#This Row],[Condition Adj]],Inventory[[#This Row],[Living Area Adj]],Inventory[[#This Row],[Decade Adj]])*0.95</f>
        <v>0.94977199999999984</v>
      </c>
      <c r="BL880" s="30">
        <f>ROUND((SUM(Inventory[[#This Row],[Mdl Qlty]:[Mdl Garage Area]])+Inventory[[#This Row],[Mdl Res Intercept]])*Inventory[[#This Row],[Res Adj ]],-2)</f>
        <v>309000</v>
      </c>
      <c r="BM880" s="30">
        <f>ROUND(Inventory[[#This Row],[25Det]]*Inventory[[#This Row],[Det/Nbhd Adj]],-2)</f>
        <v>0</v>
      </c>
      <c r="BN880" s="30">
        <f>Inventory[[#This Row],[Adjusted Res]]+Inventory[[#This Row],[Adj Det ]]</f>
        <v>309000</v>
      </c>
      <c r="BO880" s="30">
        <f>ROUND((Inventory[[#This Row],[Mdl Land Intercept]]+Inventory[[#This Row],[Mdl LnAcres]])*Inventory[[#This Row],[Det/Nbhd Adj]],-2)</f>
        <v>61100</v>
      </c>
      <c r="BP880" s="30">
        <f>Inventory[[#This Row],[Adjusted Impr Total]]+Inventory[[#This Row],[Adjusted Land Total]]</f>
        <v>370100</v>
      </c>
      <c r="BQ880" s="30">
        <f>IFERROR((Inventory[[#This Row],[Adjusted Impr Total]]-Inventory[[#This Row],[24Bldg]])/Inventory[[#This Row],[24Bldg]],0)</f>
        <v>-2.5823111684958036E-3</v>
      </c>
      <c r="BR880" s="43">
        <f>(Inventory[[#This Row],[Adjusted Land Total]]-Inventory[[#This Row],[24Lnd]])/Inventory[[#This Row],[24Lnd]]</f>
        <v>4.9342105263157892E-3</v>
      </c>
      <c r="BS880" s="43">
        <f>(Inventory[[#This Row],[Adjusted Total]]-Inventory[[#This Row],[24Final]])/Inventory[[#This Row],[24Final]]</f>
        <v>-1.3491635186184566E-3</v>
      </c>
    </row>
    <row r="881" spans="1:71">
      <c r="A881" s="30">
        <v>2025</v>
      </c>
      <c r="B881" s="31" t="s">
        <v>1396</v>
      </c>
      <c r="C881" s="31">
        <f>LN(Inventory[[#This Row],[Acres]])</f>
        <v>-1.8325814637483102</v>
      </c>
      <c r="D881" s="30">
        <v>0.16</v>
      </c>
      <c r="E881" s="30">
        <v>7014</v>
      </c>
      <c r="F881" s="31" t="s">
        <v>505</v>
      </c>
      <c r="G881" s="31" t="s">
        <v>155</v>
      </c>
      <c r="H881" s="31" t="s">
        <v>5</v>
      </c>
      <c r="I881" s="31" t="s">
        <v>506</v>
      </c>
      <c r="J881" s="31" t="s">
        <v>507</v>
      </c>
      <c r="K881" s="31" t="s">
        <v>193</v>
      </c>
      <c r="L881" s="31" t="s">
        <v>21</v>
      </c>
      <c r="M881" s="31" t="s">
        <v>22</v>
      </c>
      <c r="N881" s="31">
        <v>20</v>
      </c>
      <c r="O881" s="31">
        <f>2024-Inventory[[#This Row],[YrBlt]]</f>
        <v>20</v>
      </c>
      <c r="P881" s="31">
        <f>2024-Inventory[[#This Row],[EffYr]]</f>
        <v>20</v>
      </c>
      <c r="Q881" s="30">
        <v>2004</v>
      </c>
      <c r="R881" s="30">
        <v>2004</v>
      </c>
      <c r="S881" s="30">
        <v>1706</v>
      </c>
      <c r="T881" s="37"/>
      <c r="U881" s="32"/>
      <c r="V881" s="32"/>
      <c r="W881" s="32"/>
      <c r="X881" s="32">
        <f>Inventory[[#This Row],[Bsmt Area]]-Inventory[[#This Row],[FnBsmt]]</f>
        <v>0</v>
      </c>
      <c r="Y881" s="32">
        <f>Inventory[[#This Row],[MainFn]]+Inventory[[#This Row],[UpprFn]]+Inventory[[#This Row],[AddFn]]+Inventory[[#This Row],[FnBsmt]]</f>
        <v>1706</v>
      </c>
      <c r="Z881" s="32">
        <v>2000</v>
      </c>
      <c r="AA881" s="31" t="s">
        <v>57</v>
      </c>
      <c r="AB881" s="32"/>
      <c r="AC881" s="30">
        <v>466</v>
      </c>
      <c r="AD881" s="32"/>
      <c r="AE881" s="32"/>
      <c r="AF881" s="32"/>
      <c r="AG881" s="32"/>
      <c r="AH881" s="37"/>
      <c r="AI881" s="30">
        <v>386357</v>
      </c>
      <c r="AJ881" s="30">
        <v>355448</v>
      </c>
      <c r="AK881" s="30">
        <v>0</v>
      </c>
      <c r="AL881" s="30">
        <v>0</v>
      </c>
      <c r="AM881" s="30">
        <v>60800</v>
      </c>
      <c r="AN881" s="30">
        <v>320100</v>
      </c>
      <c r="AO881" s="30">
        <v>380900</v>
      </c>
      <c r="AP881" s="30">
        <f>Lookups!$B$58*0.6</f>
        <v>132535.48800000001</v>
      </c>
      <c r="AQ881" s="30">
        <f>Lookups!$B$58*0.4</f>
        <v>88356.992000000013</v>
      </c>
      <c r="AR881" s="30">
        <f>Lookups!$B$59*Inventory[[#This Row],[LnAcres]]</f>
        <v>-24051.387388882686</v>
      </c>
      <c r="AS881" s="30">
        <f>VLOOKUP(Inventory[[#This Row],[Qlty]],Lookups!$A$66:$E$79,2,FALSE)</f>
        <v>32917.849192000001</v>
      </c>
      <c r="AT881" s="30">
        <f>VLOOKUP(Inventory[[#This Row],[Cnd]],Lookups!$A$80:$E$88,2,FALSE)</f>
        <v>50438.379078999998</v>
      </c>
      <c r="AU881" s="30">
        <f>Inventory[[#This Row],[EffAge]]*Lookups!$B$65</f>
        <v>-2174.8220000000001</v>
      </c>
      <c r="AV881" s="30">
        <f>Inventory[[#This Row],[MainFn]]*Lookups!$B$90</f>
        <v>106472.10828</v>
      </c>
      <c r="AW881" s="30">
        <f>Inventory[[#This Row],[UpprFn]]*Lookups!$B$91</f>
        <v>0</v>
      </c>
      <c r="AX881" s="30">
        <f>Inventory[[#This Row],[Bsmt Area]]*Lookups!$B$95</f>
        <v>0</v>
      </c>
      <c r="AY881" s="30">
        <f>Inventory[[#This Row],[AttGar]]*Lookups!$B$93</f>
        <v>16450.280446000001</v>
      </c>
      <c r="AZ881" s="30">
        <f>ROUND(Inventory[[#This Row],[25Det]],-2)</f>
        <v>0</v>
      </c>
      <c r="BA881" s="30">
        <f>ROUND(SUM(Inventory[[#This Row],[Mdl Qlty]:[Mdl Garage Area]])+Inventory[[#This Row],[Mdl Res Intercept]],-2)</f>
        <v>336600</v>
      </c>
      <c r="BB881" s="30">
        <f>ROUND(Inventory[[#This Row],[Mdl Land Intercept]]+Inventory[[#This Row],[Mdl LnAcres]],-2)</f>
        <v>64300</v>
      </c>
      <c r="BC881" s="30">
        <f>Inventory[[#This Row],[Unadj Res Value]]+Inventory[[#This Row],[Unadj Det Value]]+Inventory[[#This Row],[Unadj Land Value]]</f>
        <v>400900</v>
      </c>
      <c r="BD881" s="30">
        <f>(Inventory[[#This Row],[Unadj Total Value]]-Inventory[[#This Row],[24Final]])/Inventory[[#This Row],[24Final]]</f>
        <v>5.2507219742714627E-2</v>
      </c>
      <c r="BE881" s="30">
        <f>VLOOKUP(Inventory[[#This Row],[Nbhd]],Lookups!$M$3:$P$5,4,FALSE)</f>
        <v>0.99970000000000003</v>
      </c>
      <c r="BF881" s="30">
        <f>VLOOKUP(Inventory[[#This Row],[Qlty]],Lookups!$M$8:$P$22,4,FALSE)</f>
        <v>1.0019</v>
      </c>
      <c r="BG881" s="30">
        <f>VLOOKUP(Inventory[[#This Row],[Cnd]],Lookups!$R$8:$U$17,4,FALSE)</f>
        <v>1.0007999999999999</v>
      </c>
      <c r="BH881" s="30">
        <f>VLOOKUP(Inventory[[#This Row],[LivArea Range]],Lookups!$R$25:$U$43,4,FALSE)</f>
        <v>1.0007999999999999</v>
      </c>
      <c r="BI881" s="30">
        <f>VLOOKUP(Inventory[[#This Row],[Decade]],Lookups!$M$24:$P$40,4,FALSE)</f>
        <v>0.99560000000000004</v>
      </c>
      <c r="BJ881" s="30">
        <f>Inventory[[#This Row],[Nbhd Adj]]*0.95</f>
        <v>0.94971499999999998</v>
      </c>
      <c r="BK881" s="30">
        <f>AVERAGE(Inventory[[#This Row],[Nbhd Adj]],Inventory[[#This Row],[Quality Adj]],Inventory[[#This Row],[Condition Adj]],Inventory[[#This Row],[Living Area Adj]],Inventory[[#This Row],[Decade Adj]])*0.95</f>
        <v>0.94977199999999984</v>
      </c>
      <c r="BL881" s="30">
        <f>ROUND((SUM(Inventory[[#This Row],[Mdl Qlty]:[Mdl Garage Area]])+Inventory[[#This Row],[Mdl Res Intercept]])*Inventory[[#This Row],[Res Adj ]],-2)</f>
        <v>319700</v>
      </c>
      <c r="BM881" s="30">
        <f>ROUND(Inventory[[#This Row],[25Det]]*Inventory[[#This Row],[Det/Nbhd Adj]],-2)</f>
        <v>0</v>
      </c>
      <c r="BN881" s="30">
        <f>Inventory[[#This Row],[Adjusted Res]]+Inventory[[#This Row],[Adj Det ]]</f>
        <v>319700</v>
      </c>
      <c r="BO881" s="30">
        <f>ROUND((Inventory[[#This Row],[Mdl Land Intercept]]+Inventory[[#This Row],[Mdl LnAcres]])*Inventory[[#This Row],[Det/Nbhd Adj]],-2)</f>
        <v>61100</v>
      </c>
      <c r="BP881" s="30">
        <f>Inventory[[#This Row],[Adjusted Impr Total]]+Inventory[[#This Row],[Adjusted Land Total]]</f>
        <v>380800</v>
      </c>
      <c r="BQ881" s="30">
        <f>IFERROR((Inventory[[#This Row],[Adjusted Impr Total]]-Inventory[[#This Row],[24Bldg]])/Inventory[[#This Row],[24Bldg]],0)</f>
        <v>-1.2496094970321774E-3</v>
      </c>
      <c r="BR881" s="43">
        <f>(Inventory[[#This Row],[Adjusted Land Total]]-Inventory[[#This Row],[24Lnd]])/Inventory[[#This Row],[24Lnd]]</f>
        <v>4.9342105263157892E-3</v>
      </c>
      <c r="BS881" s="43">
        <f>(Inventory[[#This Row],[Adjusted Total]]-Inventory[[#This Row],[24Final]])/Inventory[[#This Row],[24Final]]</f>
        <v>-2.6253609871357313E-4</v>
      </c>
    </row>
    <row r="882" spans="1:71">
      <c r="A882" s="30">
        <v>2025</v>
      </c>
      <c r="B882" s="31" t="s">
        <v>1397</v>
      </c>
      <c r="C882" s="31">
        <f>LN(Inventory[[#This Row],[Acres]])</f>
        <v>-1.8325814637483102</v>
      </c>
      <c r="D882" s="30">
        <v>0.16</v>
      </c>
      <c r="E882" s="30">
        <v>7015</v>
      </c>
      <c r="F882" s="31" t="s">
        <v>505</v>
      </c>
      <c r="G882" s="31" t="s">
        <v>155</v>
      </c>
      <c r="H882" s="31" t="s">
        <v>5</v>
      </c>
      <c r="I882" s="31" t="s">
        <v>506</v>
      </c>
      <c r="J882" s="31" t="s">
        <v>507</v>
      </c>
      <c r="K882" s="31" t="s">
        <v>193</v>
      </c>
      <c r="L882" s="31" t="s">
        <v>21</v>
      </c>
      <c r="M882" s="31" t="s">
        <v>22</v>
      </c>
      <c r="N882" s="31">
        <v>20</v>
      </c>
      <c r="O882" s="31">
        <f>2024-Inventory[[#This Row],[YrBlt]]</f>
        <v>20</v>
      </c>
      <c r="P882" s="31">
        <f>2024-Inventory[[#This Row],[EffYr]]</f>
        <v>20</v>
      </c>
      <c r="Q882" s="30">
        <v>2004</v>
      </c>
      <c r="R882" s="30">
        <v>2004</v>
      </c>
      <c r="S882" s="30">
        <v>1436</v>
      </c>
      <c r="T882" s="32"/>
      <c r="U882" s="32"/>
      <c r="V882" s="32"/>
      <c r="W882" s="32"/>
      <c r="X882" s="32">
        <f>Inventory[[#This Row],[Bsmt Area]]-Inventory[[#This Row],[FnBsmt]]</f>
        <v>0</v>
      </c>
      <c r="Y882" s="32">
        <f>Inventory[[#This Row],[MainFn]]+Inventory[[#This Row],[UpprFn]]+Inventory[[#This Row],[AddFn]]+Inventory[[#This Row],[FnBsmt]]</f>
        <v>1436</v>
      </c>
      <c r="Z882" s="32">
        <v>1500</v>
      </c>
      <c r="AA882" s="31" t="s">
        <v>57</v>
      </c>
      <c r="AB882" s="38">
        <v>1</v>
      </c>
      <c r="AC882" s="30">
        <v>400</v>
      </c>
      <c r="AD882" s="32"/>
      <c r="AE882" s="32"/>
      <c r="AF882" s="32"/>
      <c r="AG882" s="32"/>
      <c r="AH882" s="32"/>
      <c r="AI882" s="30">
        <v>318731</v>
      </c>
      <c r="AJ882" s="30">
        <v>293233</v>
      </c>
      <c r="AK882" s="30">
        <v>0</v>
      </c>
      <c r="AL882" s="30">
        <v>0</v>
      </c>
      <c r="AM882" s="30">
        <v>60800</v>
      </c>
      <c r="AN882" s="30">
        <v>299800</v>
      </c>
      <c r="AO882" s="30">
        <v>360600</v>
      </c>
      <c r="AP882" s="30">
        <f>Lookups!$B$58*0.6</f>
        <v>132535.48800000001</v>
      </c>
      <c r="AQ882" s="30">
        <f>Lookups!$B$58*0.4</f>
        <v>88356.992000000013</v>
      </c>
      <c r="AR882" s="30">
        <f>Lookups!$B$59*Inventory[[#This Row],[LnAcres]]</f>
        <v>-24051.387388882686</v>
      </c>
      <c r="AS882" s="30">
        <f>VLOOKUP(Inventory[[#This Row],[Qlty]],Lookups!$A$66:$E$79,2,FALSE)</f>
        <v>32917.849192000001</v>
      </c>
      <c r="AT882" s="30">
        <f>VLOOKUP(Inventory[[#This Row],[Cnd]],Lookups!$A$80:$E$88,2,FALSE)</f>
        <v>50438.379078999998</v>
      </c>
      <c r="AU882" s="30">
        <f>Inventory[[#This Row],[EffAge]]*Lookups!$B$65</f>
        <v>-2174.8220000000001</v>
      </c>
      <c r="AV882" s="30">
        <f>Inventory[[#This Row],[MainFn]]*Lookups!$B$90</f>
        <v>89621.305680000005</v>
      </c>
      <c r="AW882" s="30">
        <f>Inventory[[#This Row],[UpprFn]]*Lookups!$B$91</f>
        <v>0</v>
      </c>
      <c r="AX882" s="30">
        <f>Inventory[[#This Row],[Bsmt Area]]*Lookups!$B$95</f>
        <v>0</v>
      </c>
      <c r="AY882" s="30">
        <f>Inventory[[#This Row],[AttGar]]*Lookups!$B$93</f>
        <v>14120.412400000001</v>
      </c>
      <c r="AZ882" s="30">
        <f>ROUND(Inventory[[#This Row],[25Det]],-2)</f>
        <v>0</v>
      </c>
      <c r="BA882" s="30">
        <f>ROUND(SUM(Inventory[[#This Row],[Mdl Qlty]:[Mdl Garage Area]])+Inventory[[#This Row],[Mdl Res Intercept]],-2)</f>
        <v>317500</v>
      </c>
      <c r="BB882" s="30">
        <f>ROUND(Inventory[[#This Row],[Mdl Land Intercept]]+Inventory[[#This Row],[Mdl LnAcres]],-2)</f>
        <v>64300</v>
      </c>
      <c r="BC882" s="30">
        <f>Inventory[[#This Row],[Unadj Res Value]]+Inventory[[#This Row],[Unadj Det Value]]+Inventory[[#This Row],[Unadj Land Value]]</f>
        <v>381800</v>
      </c>
      <c r="BD882" s="30">
        <f>(Inventory[[#This Row],[Unadj Total Value]]-Inventory[[#This Row],[24Final]])/Inventory[[#This Row],[24Final]]</f>
        <v>5.8790904048807546E-2</v>
      </c>
      <c r="BE882" s="30">
        <f>VLOOKUP(Inventory[[#This Row],[Nbhd]],Lookups!$M$3:$P$5,4,FALSE)</f>
        <v>0.99970000000000003</v>
      </c>
      <c r="BF882" s="30">
        <f>VLOOKUP(Inventory[[#This Row],[Qlty]],Lookups!$M$8:$P$22,4,FALSE)</f>
        <v>1.0019</v>
      </c>
      <c r="BG882" s="30">
        <f>VLOOKUP(Inventory[[#This Row],[Cnd]],Lookups!$R$8:$U$17,4,FALSE)</f>
        <v>1.0007999999999999</v>
      </c>
      <c r="BH882" s="30">
        <f>VLOOKUP(Inventory[[#This Row],[LivArea Range]],Lookups!$R$25:$U$43,4,FALSE)</f>
        <v>0.99519999999999997</v>
      </c>
      <c r="BI882" s="30">
        <f>VLOOKUP(Inventory[[#This Row],[Decade]],Lookups!$M$24:$P$40,4,FALSE)</f>
        <v>0.99560000000000004</v>
      </c>
      <c r="BJ882" s="30">
        <f>Inventory[[#This Row],[Nbhd Adj]]*0.95</f>
        <v>0.94971499999999998</v>
      </c>
      <c r="BK882" s="30">
        <f>AVERAGE(Inventory[[#This Row],[Nbhd Adj]],Inventory[[#This Row],[Quality Adj]],Inventory[[#This Row],[Condition Adj]],Inventory[[#This Row],[Living Area Adj]],Inventory[[#This Row],[Decade Adj]])*0.95</f>
        <v>0.94870799999999988</v>
      </c>
      <c r="BL882" s="30">
        <f>ROUND((SUM(Inventory[[#This Row],[Mdl Qlty]:[Mdl Garage Area]])+Inventory[[#This Row],[Mdl Res Intercept]])*Inventory[[#This Row],[Res Adj ]],-2)</f>
        <v>301200</v>
      </c>
      <c r="BM882" s="30">
        <f>ROUND(Inventory[[#This Row],[25Det]]*Inventory[[#This Row],[Det/Nbhd Adj]],-2)</f>
        <v>0</v>
      </c>
      <c r="BN882" s="30">
        <f>Inventory[[#This Row],[Adjusted Res]]+Inventory[[#This Row],[Adj Det ]]</f>
        <v>301200</v>
      </c>
      <c r="BO882" s="30">
        <f>ROUND((Inventory[[#This Row],[Mdl Land Intercept]]+Inventory[[#This Row],[Mdl LnAcres]])*Inventory[[#This Row],[Det/Nbhd Adj]],-2)</f>
        <v>61100</v>
      </c>
      <c r="BP882" s="30">
        <f>Inventory[[#This Row],[Adjusted Impr Total]]+Inventory[[#This Row],[Adjusted Land Total]]</f>
        <v>362300</v>
      </c>
      <c r="BQ882" s="30">
        <f>IFERROR((Inventory[[#This Row],[Adjusted Impr Total]]-Inventory[[#This Row],[24Bldg]])/Inventory[[#This Row],[24Bldg]],0)</f>
        <v>4.6697798532354907E-3</v>
      </c>
      <c r="BR882" s="43">
        <f>(Inventory[[#This Row],[Adjusted Land Total]]-Inventory[[#This Row],[24Lnd]])/Inventory[[#This Row],[24Lnd]]</f>
        <v>4.9342105263157892E-3</v>
      </c>
      <c r="BS882" s="43">
        <f>(Inventory[[#This Row],[Adjusted Total]]-Inventory[[#This Row],[24Final]])/Inventory[[#This Row],[24Final]]</f>
        <v>4.714364947310039E-3</v>
      </c>
    </row>
    <row r="883" spans="1:71">
      <c r="A883" s="30">
        <v>2025</v>
      </c>
      <c r="B883" s="31" t="s">
        <v>1398</v>
      </c>
      <c r="C883" s="31">
        <f>LN(Inventory[[#This Row],[Acres]])</f>
        <v>-1.8325814637483102</v>
      </c>
      <c r="D883" s="30">
        <v>0.16</v>
      </c>
      <c r="E883" s="30">
        <v>7002</v>
      </c>
      <c r="F883" s="31" t="s">
        <v>505</v>
      </c>
      <c r="G883" s="31" t="s">
        <v>155</v>
      </c>
      <c r="H883" s="31" t="s">
        <v>5</v>
      </c>
      <c r="I883" s="31" t="s">
        <v>506</v>
      </c>
      <c r="J883" s="31" t="s">
        <v>507</v>
      </c>
      <c r="K883" s="31" t="s">
        <v>193</v>
      </c>
      <c r="L883" s="31" t="s">
        <v>21</v>
      </c>
      <c r="M883" s="31" t="s">
        <v>22</v>
      </c>
      <c r="N883" s="31">
        <v>20</v>
      </c>
      <c r="O883" s="31">
        <f>2024-Inventory[[#This Row],[YrBlt]]</f>
        <v>20</v>
      </c>
      <c r="P883" s="31">
        <f>2024-Inventory[[#This Row],[EffYr]]</f>
        <v>20</v>
      </c>
      <c r="Q883" s="30">
        <v>2004</v>
      </c>
      <c r="R883" s="30">
        <v>2004</v>
      </c>
      <c r="S883" s="30">
        <v>1706</v>
      </c>
      <c r="T883" s="32"/>
      <c r="U883" s="32"/>
      <c r="V883" s="32"/>
      <c r="W883" s="32"/>
      <c r="X883" s="32">
        <f>Inventory[[#This Row],[Bsmt Area]]-Inventory[[#This Row],[FnBsmt]]</f>
        <v>0</v>
      </c>
      <c r="Y883" s="32">
        <f>Inventory[[#This Row],[MainFn]]+Inventory[[#This Row],[UpprFn]]+Inventory[[#This Row],[AddFn]]+Inventory[[#This Row],[FnBsmt]]</f>
        <v>1706</v>
      </c>
      <c r="Z883" s="32">
        <v>2000</v>
      </c>
      <c r="AA883" s="31" t="s">
        <v>57</v>
      </c>
      <c r="AB883" s="38">
        <v>1</v>
      </c>
      <c r="AC883" s="30">
        <v>466</v>
      </c>
      <c r="AD883" s="32"/>
      <c r="AE883" s="32"/>
      <c r="AF883" s="32"/>
      <c r="AG883" s="32"/>
      <c r="AH883" s="32"/>
      <c r="AI883" s="30">
        <v>380860</v>
      </c>
      <c r="AJ883" s="30">
        <v>350391</v>
      </c>
      <c r="AK883" s="30">
        <v>0</v>
      </c>
      <c r="AL883" s="30">
        <v>0</v>
      </c>
      <c r="AM883" s="30">
        <v>60800</v>
      </c>
      <c r="AN883" s="30">
        <v>318500</v>
      </c>
      <c r="AO883" s="30">
        <v>379300</v>
      </c>
      <c r="AP883" s="30">
        <f>Lookups!$B$58*0.6</f>
        <v>132535.48800000001</v>
      </c>
      <c r="AQ883" s="30">
        <f>Lookups!$B$58*0.4</f>
        <v>88356.992000000013</v>
      </c>
      <c r="AR883" s="30">
        <f>Lookups!$B$59*Inventory[[#This Row],[LnAcres]]</f>
        <v>-24051.387388882686</v>
      </c>
      <c r="AS883" s="30">
        <f>VLOOKUP(Inventory[[#This Row],[Qlty]],Lookups!$A$66:$E$79,2,FALSE)</f>
        <v>32917.849192000001</v>
      </c>
      <c r="AT883" s="30">
        <f>VLOOKUP(Inventory[[#This Row],[Cnd]],Lookups!$A$80:$E$88,2,FALSE)</f>
        <v>50438.379078999998</v>
      </c>
      <c r="AU883" s="30">
        <f>Inventory[[#This Row],[EffAge]]*Lookups!$B$65</f>
        <v>-2174.8220000000001</v>
      </c>
      <c r="AV883" s="30">
        <f>Inventory[[#This Row],[MainFn]]*Lookups!$B$90</f>
        <v>106472.10828</v>
      </c>
      <c r="AW883" s="30">
        <f>Inventory[[#This Row],[UpprFn]]*Lookups!$B$91</f>
        <v>0</v>
      </c>
      <c r="AX883" s="30">
        <f>Inventory[[#This Row],[Bsmt Area]]*Lookups!$B$95</f>
        <v>0</v>
      </c>
      <c r="AY883" s="30">
        <f>Inventory[[#This Row],[AttGar]]*Lookups!$B$93</f>
        <v>16450.280446000001</v>
      </c>
      <c r="AZ883" s="30">
        <f>ROUND(Inventory[[#This Row],[25Det]],-2)</f>
        <v>0</v>
      </c>
      <c r="BA883" s="30">
        <f>ROUND(SUM(Inventory[[#This Row],[Mdl Qlty]:[Mdl Garage Area]])+Inventory[[#This Row],[Mdl Res Intercept]],-2)</f>
        <v>336600</v>
      </c>
      <c r="BB883" s="30">
        <f>ROUND(Inventory[[#This Row],[Mdl Land Intercept]]+Inventory[[#This Row],[Mdl LnAcres]],-2)</f>
        <v>64300</v>
      </c>
      <c r="BC883" s="30">
        <f>Inventory[[#This Row],[Unadj Res Value]]+Inventory[[#This Row],[Unadj Det Value]]+Inventory[[#This Row],[Unadj Land Value]]</f>
        <v>400900</v>
      </c>
      <c r="BD883" s="30">
        <f>(Inventory[[#This Row],[Unadj Total Value]]-Inventory[[#This Row],[24Final]])/Inventory[[#This Row],[24Final]]</f>
        <v>5.6947007645663066E-2</v>
      </c>
      <c r="BE883" s="30">
        <f>VLOOKUP(Inventory[[#This Row],[Nbhd]],Lookups!$M$3:$P$5,4,FALSE)</f>
        <v>0.99970000000000003</v>
      </c>
      <c r="BF883" s="30">
        <f>VLOOKUP(Inventory[[#This Row],[Qlty]],Lookups!$M$8:$P$22,4,FALSE)</f>
        <v>1.0019</v>
      </c>
      <c r="BG883" s="30">
        <f>VLOOKUP(Inventory[[#This Row],[Cnd]],Lookups!$R$8:$U$17,4,FALSE)</f>
        <v>1.0007999999999999</v>
      </c>
      <c r="BH883" s="30">
        <f>VLOOKUP(Inventory[[#This Row],[LivArea Range]],Lookups!$R$25:$U$43,4,FALSE)</f>
        <v>1.0007999999999999</v>
      </c>
      <c r="BI883" s="30">
        <f>VLOOKUP(Inventory[[#This Row],[Decade]],Lookups!$M$24:$P$40,4,FALSE)</f>
        <v>0.99560000000000004</v>
      </c>
      <c r="BJ883" s="30">
        <f>Inventory[[#This Row],[Nbhd Adj]]*0.95</f>
        <v>0.94971499999999998</v>
      </c>
      <c r="BK883" s="30">
        <f>AVERAGE(Inventory[[#This Row],[Nbhd Adj]],Inventory[[#This Row],[Quality Adj]],Inventory[[#This Row],[Condition Adj]],Inventory[[#This Row],[Living Area Adj]],Inventory[[#This Row],[Decade Adj]])*0.95</f>
        <v>0.94977199999999984</v>
      </c>
      <c r="BL883" s="30">
        <f>ROUND((SUM(Inventory[[#This Row],[Mdl Qlty]:[Mdl Garage Area]])+Inventory[[#This Row],[Mdl Res Intercept]])*Inventory[[#This Row],[Res Adj ]],-2)</f>
        <v>319700</v>
      </c>
      <c r="BM883" s="30">
        <f>ROUND(Inventory[[#This Row],[25Det]]*Inventory[[#This Row],[Det/Nbhd Adj]],-2)</f>
        <v>0</v>
      </c>
      <c r="BN883" s="30">
        <f>Inventory[[#This Row],[Adjusted Res]]+Inventory[[#This Row],[Adj Det ]]</f>
        <v>319700</v>
      </c>
      <c r="BO883" s="30">
        <f>ROUND((Inventory[[#This Row],[Mdl Land Intercept]]+Inventory[[#This Row],[Mdl LnAcres]])*Inventory[[#This Row],[Det/Nbhd Adj]],-2)</f>
        <v>61100</v>
      </c>
      <c r="BP883" s="30">
        <f>Inventory[[#This Row],[Adjusted Impr Total]]+Inventory[[#This Row],[Adjusted Land Total]]</f>
        <v>380800</v>
      </c>
      <c r="BQ883" s="30">
        <f>IFERROR((Inventory[[#This Row],[Adjusted Impr Total]]-Inventory[[#This Row],[24Bldg]])/Inventory[[#This Row],[24Bldg]],0)</f>
        <v>3.7676609105180532E-3</v>
      </c>
      <c r="BR883" s="43">
        <f>(Inventory[[#This Row],[Adjusted Land Total]]-Inventory[[#This Row],[24Lnd]])/Inventory[[#This Row],[24Lnd]]</f>
        <v>4.9342105263157892E-3</v>
      </c>
      <c r="BS883" s="43">
        <f>(Inventory[[#This Row],[Adjusted Total]]-Inventory[[#This Row],[24Final]])/Inventory[[#This Row],[24Final]]</f>
        <v>3.9546533087266014E-3</v>
      </c>
    </row>
    <row r="884" spans="1:71">
      <c r="A884" s="30">
        <v>2025</v>
      </c>
      <c r="B884" s="31" t="s">
        <v>1399</v>
      </c>
      <c r="C884" s="31">
        <f>LN(Inventory[[#This Row],[Acres]])</f>
        <v>-1.8325814637483102</v>
      </c>
      <c r="D884" s="30">
        <v>0.16</v>
      </c>
      <c r="E884" s="30">
        <v>7159</v>
      </c>
      <c r="F884" s="31" t="s">
        <v>505</v>
      </c>
      <c r="G884" s="31" t="s">
        <v>155</v>
      </c>
      <c r="H884" s="31" t="s">
        <v>5</v>
      </c>
      <c r="I884" s="31" t="s">
        <v>506</v>
      </c>
      <c r="J884" s="31" t="s">
        <v>507</v>
      </c>
      <c r="K884" s="31" t="s">
        <v>193</v>
      </c>
      <c r="L884" s="31" t="s">
        <v>21</v>
      </c>
      <c r="M884" s="31" t="s">
        <v>22</v>
      </c>
      <c r="N884" s="31">
        <v>20</v>
      </c>
      <c r="O884" s="31">
        <f>2024-Inventory[[#This Row],[YrBlt]]</f>
        <v>20</v>
      </c>
      <c r="P884" s="31">
        <f>2024-Inventory[[#This Row],[EffYr]]</f>
        <v>20</v>
      </c>
      <c r="Q884" s="30">
        <v>2004</v>
      </c>
      <c r="R884" s="30">
        <v>2004</v>
      </c>
      <c r="S884" s="30">
        <v>2154</v>
      </c>
      <c r="T884" s="32"/>
      <c r="U884" s="32"/>
      <c r="V884" s="32"/>
      <c r="W884" s="32"/>
      <c r="X884" s="32">
        <f>Inventory[[#This Row],[Bsmt Area]]-Inventory[[#This Row],[FnBsmt]]</f>
        <v>0</v>
      </c>
      <c r="Y884" s="32">
        <f>Inventory[[#This Row],[MainFn]]+Inventory[[#This Row],[UpprFn]]+Inventory[[#This Row],[AddFn]]+Inventory[[#This Row],[FnBsmt]]</f>
        <v>2154</v>
      </c>
      <c r="Z884" s="32">
        <v>2500</v>
      </c>
      <c r="AA884" s="31" t="s">
        <v>57</v>
      </c>
      <c r="AB884" s="38">
        <v>1</v>
      </c>
      <c r="AC884" s="30">
        <v>730</v>
      </c>
      <c r="AD884" s="32"/>
      <c r="AE884" s="32"/>
      <c r="AF884" s="32"/>
      <c r="AG884" s="32"/>
      <c r="AH884" s="32"/>
      <c r="AI884" s="30">
        <v>479572</v>
      </c>
      <c r="AJ884" s="30">
        <v>441206</v>
      </c>
      <c r="AK884" s="30">
        <v>0</v>
      </c>
      <c r="AL884" s="30">
        <v>0</v>
      </c>
      <c r="AM884" s="30">
        <v>60800</v>
      </c>
      <c r="AN884" s="30">
        <v>346300</v>
      </c>
      <c r="AO884" s="30">
        <v>407100</v>
      </c>
      <c r="AP884" s="30">
        <f>Lookups!$B$58*0.6</f>
        <v>132535.48800000001</v>
      </c>
      <c r="AQ884" s="30">
        <f>Lookups!$B$58*0.4</f>
        <v>88356.992000000013</v>
      </c>
      <c r="AR884" s="30">
        <f>Lookups!$B$59*Inventory[[#This Row],[LnAcres]]</f>
        <v>-24051.387388882686</v>
      </c>
      <c r="AS884" s="30">
        <f>VLOOKUP(Inventory[[#This Row],[Qlty]],Lookups!$A$66:$E$79,2,FALSE)</f>
        <v>32917.849192000001</v>
      </c>
      <c r="AT884" s="30">
        <f>VLOOKUP(Inventory[[#This Row],[Cnd]],Lookups!$A$80:$E$88,2,FALSE)</f>
        <v>50438.379078999998</v>
      </c>
      <c r="AU884" s="30">
        <f>Inventory[[#This Row],[EffAge]]*Lookups!$B$65</f>
        <v>-2174.8220000000001</v>
      </c>
      <c r="AV884" s="30">
        <f>Inventory[[#This Row],[MainFn]]*Lookups!$B$90</f>
        <v>134431.95852000001</v>
      </c>
      <c r="AW884" s="30">
        <f>Inventory[[#This Row],[UpprFn]]*Lookups!$B$91</f>
        <v>0</v>
      </c>
      <c r="AX884" s="30">
        <f>Inventory[[#This Row],[Bsmt Area]]*Lookups!$B$95</f>
        <v>0</v>
      </c>
      <c r="AY884" s="30">
        <f>Inventory[[#This Row],[AttGar]]*Lookups!$B$93</f>
        <v>25769.752630000003</v>
      </c>
      <c r="AZ884" s="30">
        <f>ROUND(Inventory[[#This Row],[25Det]],-2)</f>
        <v>0</v>
      </c>
      <c r="BA884" s="30">
        <f>ROUND(SUM(Inventory[[#This Row],[Mdl Qlty]:[Mdl Garage Area]])+Inventory[[#This Row],[Mdl Res Intercept]],-2)</f>
        <v>373900</v>
      </c>
      <c r="BB884" s="30">
        <f>ROUND(Inventory[[#This Row],[Mdl Land Intercept]]+Inventory[[#This Row],[Mdl LnAcres]],-2)</f>
        <v>64300</v>
      </c>
      <c r="BC884" s="30">
        <f>Inventory[[#This Row],[Unadj Res Value]]+Inventory[[#This Row],[Unadj Det Value]]+Inventory[[#This Row],[Unadj Land Value]]</f>
        <v>438200</v>
      </c>
      <c r="BD884" s="30">
        <f>(Inventory[[#This Row],[Unadj Total Value]]-Inventory[[#This Row],[24Final]])/Inventory[[#This Row],[24Final]]</f>
        <v>7.6394006386637195E-2</v>
      </c>
      <c r="BE884" s="30">
        <f>VLOOKUP(Inventory[[#This Row],[Nbhd]],Lookups!$M$3:$P$5,4,FALSE)</f>
        <v>0.99970000000000003</v>
      </c>
      <c r="BF884" s="30">
        <f>VLOOKUP(Inventory[[#This Row],[Qlty]],Lookups!$M$8:$P$22,4,FALSE)</f>
        <v>1.0019</v>
      </c>
      <c r="BG884" s="30">
        <f>VLOOKUP(Inventory[[#This Row],[Cnd]],Lookups!$R$8:$U$17,4,FALSE)</f>
        <v>1.0007999999999999</v>
      </c>
      <c r="BH884" s="30">
        <f>VLOOKUP(Inventory[[#This Row],[LivArea Range]],Lookups!$R$25:$U$43,4,FALSE)</f>
        <v>1.0008999999999999</v>
      </c>
      <c r="BI884" s="30">
        <f>VLOOKUP(Inventory[[#This Row],[Decade]],Lookups!$M$24:$P$40,4,FALSE)</f>
        <v>0.99560000000000004</v>
      </c>
      <c r="BJ884" s="30">
        <f>Inventory[[#This Row],[Nbhd Adj]]*0.95</f>
        <v>0.94971499999999998</v>
      </c>
      <c r="BK884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884" s="30">
        <f>ROUND((SUM(Inventory[[#This Row],[Mdl Qlty]:[Mdl Garage Area]])+Inventory[[#This Row],[Mdl Res Intercept]])*Inventory[[#This Row],[Res Adj ]],-2)</f>
        <v>355100</v>
      </c>
      <c r="BM884" s="30">
        <f>ROUND(Inventory[[#This Row],[25Det]]*Inventory[[#This Row],[Det/Nbhd Adj]],-2)</f>
        <v>0</v>
      </c>
      <c r="BN884" s="30">
        <f>Inventory[[#This Row],[Adjusted Res]]+Inventory[[#This Row],[Adj Det ]]</f>
        <v>355100</v>
      </c>
      <c r="BO884" s="30">
        <f>ROUND((Inventory[[#This Row],[Mdl Land Intercept]]+Inventory[[#This Row],[Mdl LnAcres]])*Inventory[[#This Row],[Det/Nbhd Adj]],-2)</f>
        <v>61100</v>
      </c>
      <c r="BP884" s="30">
        <f>Inventory[[#This Row],[Adjusted Impr Total]]+Inventory[[#This Row],[Adjusted Land Total]]</f>
        <v>416200</v>
      </c>
      <c r="BQ884" s="30">
        <f>IFERROR((Inventory[[#This Row],[Adjusted Impr Total]]-Inventory[[#This Row],[24Bldg]])/Inventory[[#This Row],[24Bldg]],0)</f>
        <v>2.5411492925209354E-2</v>
      </c>
      <c r="BR884" s="43">
        <f>(Inventory[[#This Row],[Adjusted Land Total]]-Inventory[[#This Row],[24Lnd]])/Inventory[[#This Row],[24Lnd]]</f>
        <v>4.9342105263157892E-3</v>
      </c>
      <c r="BS884" s="43">
        <f>(Inventory[[#This Row],[Adjusted Total]]-Inventory[[#This Row],[24Final]])/Inventory[[#This Row],[24Final]]</f>
        <v>2.2353230164578727E-2</v>
      </c>
    </row>
    <row r="885" spans="1:71">
      <c r="A885" s="30">
        <v>2025</v>
      </c>
      <c r="B885" s="31" t="s">
        <v>1400</v>
      </c>
      <c r="C885" s="31">
        <f>LN(Inventory[[#This Row],[Acres]])</f>
        <v>-1.8325814637483102</v>
      </c>
      <c r="D885" s="30">
        <v>0.16</v>
      </c>
      <c r="E885" s="30">
        <v>7001</v>
      </c>
      <c r="F885" s="31" t="s">
        <v>505</v>
      </c>
      <c r="G885" s="31" t="s">
        <v>155</v>
      </c>
      <c r="H885" s="31" t="s">
        <v>5</v>
      </c>
      <c r="I885" s="31" t="s">
        <v>506</v>
      </c>
      <c r="J885" s="31" t="s">
        <v>507</v>
      </c>
      <c r="K885" s="31" t="s">
        <v>157</v>
      </c>
      <c r="L885" s="31" t="s">
        <v>21</v>
      </c>
      <c r="M885" s="31" t="s">
        <v>20</v>
      </c>
      <c r="N885" s="31">
        <v>20</v>
      </c>
      <c r="O885" s="31">
        <f>2024-Inventory[[#This Row],[YrBlt]]</f>
        <v>20</v>
      </c>
      <c r="P885" s="31">
        <f>2024-Inventory[[#This Row],[EffYr]]</f>
        <v>20</v>
      </c>
      <c r="Q885" s="30">
        <v>2004</v>
      </c>
      <c r="R885" s="30">
        <v>2004</v>
      </c>
      <c r="S885" s="30">
        <v>1158</v>
      </c>
      <c r="T885" s="38">
        <v>1322</v>
      </c>
      <c r="U885" s="32"/>
      <c r="V885" s="32"/>
      <c r="W885" s="32"/>
      <c r="X885" s="32">
        <f>Inventory[[#This Row],[Bsmt Area]]-Inventory[[#This Row],[FnBsmt]]</f>
        <v>0</v>
      </c>
      <c r="Y885" s="32">
        <f>Inventory[[#This Row],[MainFn]]+Inventory[[#This Row],[UpprFn]]+Inventory[[#This Row],[AddFn]]+Inventory[[#This Row],[FnBsmt]]</f>
        <v>2480</v>
      </c>
      <c r="Z885" s="32">
        <v>2500</v>
      </c>
      <c r="AA885" s="31" t="s">
        <v>55</v>
      </c>
      <c r="AB885" s="30">
        <v>1</v>
      </c>
      <c r="AC885" s="37"/>
      <c r="AD885" s="38">
        <v>502</v>
      </c>
      <c r="AE885" s="32"/>
      <c r="AF885" s="32"/>
      <c r="AG885" s="32"/>
      <c r="AH885" s="32"/>
      <c r="AI885" s="30">
        <v>481791</v>
      </c>
      <c r="AJ885" s="30">
        <v>438430</v>
      </c>
      <c r="AK885" s="30">
        <v>0</v>
      </c>
      <c r="AL885" s="30">
        <v>0</v>
      </c>
      <c r="AM885" s="30">
        <v>60800</v>
      </c>
      <c r="AN885" s="30">
        <v>350400</v>
      </c>
      <c r="AO885" s="30">
        <v>411200</v>
      </c>
      <c r="AP885" s="30">
        <f>Lookups!$B$58*0.6</f>
        <v>132535.48800000001</v>
      </c>
      <c r="AQ885" s="30">
        <f>Lookups!$B$58*0.4</f>
        <v>88356.992000000013</v>
      </c>
      <c r="AR885" s="30">
        <f>Lookups!$B$59*Inventory[[#This Row],[LnAcres]]</f>
        <v>-24051.387388882686</v>
      </c>
      <c r="AS885" s="30">
        <f>VLOOKUP(Inventory[[#This Row],[Qlty]],Lookups!$A$66:$E$79,2,FALSE)</f>
        <v>32917.849192000001</v>
      </c>
      <c r="AT885" s="30">
        <f>VLOOKUP(Inventory[[#This Row],[Cnd]],Lookups!$A$80:$E$88,2,FALSE)</f>
        <v>30300.329274</v>
      </c>
      <c r="AU885" s="30">
        <f>Inventory[[#This Row],[EffAge]]*Lookups!$B$65</f>
        <v>-2174.8220000000001</v>
      </c>
      <c r="AV885" s="30">
        <f>Inventory[[#This Row],[MainFn]]*Lookups!$B$90</f>
        <v>72271.22004</v>
      </c>
      <c r="AW885" s="30">
        <f>Inventory[[#This Row],[UpprFn]]*Lookups!$B$91</f>
        <v>78765.266325999997</v>
      </c>
      <c r="AX885" s="30">
        <f>Inventory[[#This Row],[Bsmt Area]]*Lookups!$B$95</f>
        <v>0</v>
      </c>
      <c r="AY885" s="30">
        <f>Inventory[[#This Row],[AttGar]]*Lookups!$B$93</f>
        <v>0</v>
      </c>
      <c r="AZ885" s="30">
        <f>ROUND(Inventory[[#This Row],[25Det]],-2)</f>
        <v>0</v>
      </c>
      <c r="BA885" s="30">
        <f>ROUND(SUM(Inventory[[#This Row],[Mdl Qlty]:[Mdl Garage Area]])+Inventory[[#This Row],[Mdl Res Intercept]],-2)</f>
        <v>344600</v>
      </c>
      <c r="BB885" s="30">
        <f>ROUND(Inventory[[#This Row],[Mdl Land Intercept]]+Inventory[[#This Row],[Mdl LnAcres]],-2)</f>
        <v>64300</v>
      </c>
      <c r="BC885" s="30">
        <f>Inventory[[#This Row],[Unadj Res Value]]+Inventory[[#This Row],[Unadj Det Value]]+Inventory[[#This Row],[Unadj Land Value]]</f>
        <v>408900</v>
      </c>
      <c r="BD885" s="30">
        <f>(Inventory[[#This Row],[Unadj Total Value]]-Inventory[[#This Row],[24Final]])/Inventory[[#This Row],[24Final]]</f>
        <v>-5.5933852140077822E-3</v>
      </c>
      <c r="BE885" s="30">
        <f>VLOOKUP(Inventory[[#This Row],[Nbhd]],Lookups!$M$3:$P$5,4,FALSE)</f>
        <v>0.99970000000000003</v>
      </c>
      <c r="BF885" s="30">
        <f>VLOOKUP(Inventory[[#This Row],[Qlty]],Lookups!$M$8:$P$22,4,FALSE)</f>
        <v>1.0019</v>
      </c>
      <c r="BG885" s="30">
        <f>VLOOKUP(Inventory[[#This Row],[Cnd]],Lookups!$R$8:$U$17,4,FALSE)</f>
        <v>0.997</v>
      </c>
      <c r="BH885" s="30">
        <f>VLOOKUP(Inventory[[#This Row],[LivArea Range]],Lookups!$R$25:$U$43,4,FALSE)</f>
        <v>1.0008999999999999</v>
      </c>
      <c r="BI885" s="30">
        <f>VLOOKUP(Inventory[[#This Row],[Decade]],Lookups!$M$24:$P$40,4,FALSE)</f>
        <v>0.99560000000000004</v>
      </c>
      <c r="BJ885" s="30">
        <f>Inventory[[#This Row],[Nbhd Adj]]*0.95</f>
        <v>0.94971499999999998</v>
      </c>
      <c r="BK885" s="30">
        <f>AVERAGE(Inventory[[#This Row],[Nbhd Adj]],Inventory[[#This Row],[Quality Adj]],Inventory[[#This Row],[Condition Adj]],Inventory[[#This Row],[Living Area Adj]],Inventory[[#This Row],[Decade Adj]])*0.95</f>
        <v>0.94906899999999972</v>
      </c>
      <c r="BL885" s="30">
        <f>ROUND((SUM(Inventory[[#This Row],[Mdl Qlty]:[Mdl Garage Area]])+Inventory[[#This Row],[Mdl Res Intercept]])*Inventory[[#This Row],[Res Adj ]],-2)</f>
        <v>327100</v>
      </c>
      <c r="BM885" s="30">
        <f>ROUND(Inventory[[#This Row],[25Det]]*Inventory[[#This Row],[Det/Nbhd Adj]],-2)</f>
        <v>0</v>
      </c>
      <c r="BN885" s="30">
        <f>Inventory[[#This Row],[Adjusted Res]]+Inventory[[#This Row],[Adj Det ]]</f>
        <v>327100</v>
      </c>
      <c r="BO885" s="30">
        <f>ROUND((Inventory[[#This Row],[Mdl Land Intercept]]+Inventory[[#This Row],[Mdl LnAcres]])*Inventory[[#This Row],[Det/Nbhd Adj]],-2)</f>
        <v>61100</v>
      </c>
      <c r="BP885" s="30">
        <f>Inventory[[#This Row],[Adjusted Impr Total]]+Inventory[[#This Row],[Adjusted Land Total]]</f>
        <v>388200</v>
      </c>
      <c r="BQ885" s="30">
        <f>IFERROR((Inventory[[#This Row],[Adjusted Impr Total]]-Inventory[[#This Row],[24Bldg]])/Inventory[[#This Row],[24Bldg]],0)</f>
        <v>-6.6495433789954345E-2</v>
      </c>
      <c r="BR885" s="43">
        <f>(Inventory[[#This Row],[Adjusted Land Total]]-Inventory[[#This Row],[24Lnd]])/Inventory[[#This Row],[24Lnd]]</f>
        <v>4.9342105263157892E-3</v>
      </c>
      <c r="BS885" s="43">
        <f>(Inventory[[#This Row],[Adjusted Total]]-Inventory[[#This Row],[24Final]])/Inventory[[#This Row],[24Final]]</f>
        <v>-5.5933852140077824E-2</v>
      </c>
    </row>
    <row r="886" spans="1:71">
      <c r="A886" s="30">
        <v>2025</v>
      </c>
      <c r="B886" s="31" t="s">
        <v>1401</v>
      </c>
      <c r="C886" s="31">
        <f>LN(Inventory[[#This Row],[Acres]])</f>
        <v>-1.8325814637483102</v>
      </c>
      <c r="D886" s="30">
        <v>0.16</v>
      </c>
      <c r="E886" s="30">
        <v>7010</v>
      </c>
      <c r="F886" s="31" t="s">
        <v>505</v>
      </c>
      <c r="G886" s="31" t="s">
        <v>155</v>
      </c>
      <c r="H886" s="31" t="s">
        <v>5</v>
      </c>
      <c r="I886" s="31" t="s">
        <v>506</v>
      </c>
      <c r="J886" s="31" t="s">
        <v>507</v>
      </c>
      <c r="K886" s="31" t="s">
        <v>157</v>
      </c>
      <c r="L886" s="31" t="s">
        <v>21</v>
      </c>
      <c r="M886" s="31" t="s">
        <v>20</v>
      </c>
      <c r="N886" s="31">
        <v>20</v>
      </c>
      <c r="O886" s="31">
        <f>2024-Inventory[[#This Row],[YrBlt]]</f>
        <v>20</v>
      </c>
      <c r="P886" s="31">
        <f>2024-Inventory[[#This Row],[EffYr]]</f>
        <v>20</v>
      </c>
      <c r="Q886" s="30">
        <v>2004</v>
      </c>
      <c r="R886" s="30">
        <v>2004</v>
      </c>
      <c r="S886" s="30">
        <v>1158</v>
      </c>
      <c r="T886" s="38">
        <v>1322</v>
      </c>
      <c r="U886" s="32"/>
      <c r="V886" s="32"/>
      <c r="W886" s="32"/>
      <c r="X886" s="32">
        <f>Inventory[[#This Row],[Bsmt Area]]-Inventory[[#This Row],[FnBsmt]]</f>
        <v>0</v>
      </c>
      <c r="Y886" s="32">
        <f>Inventory[[#This Row],[MainFn]]+Inventory[[#This Row],[UpprFn]]+Inventory[[#This Row],[AddFn]]+Inventory[[#This Row],[FnBsmt]]</f>
        <v>2480</v>
      </c>
      <c r="Z886" s="32">
        <v>2500</v>
      </c>
      <c r="AA886" s="31" t="s">
        <v>55</v>
      </c>
      <c r="AB886" s="38">
        <v>1</v>
      </c>
      <c r="AC886" s="37"/>
      <c r="AD886" s="38">
        <v>502</v>
      </c>
      <c r="AE886" s="32"/>
      <c r="AF886" s="32"/>
      <c r="AG886" s="32"/>
      <c r="AH886" s="32"/>
      <c r="AI886" s="30">
        <v>481791</v>
      </c>
      <c r="AJ886" s="30">
        <v>438430</v>
      </c>
      <c r="AK886" s="30">
        <v>0</v>
      </c>
      <c r="AL886" s="30">
        <v>0</v>
      </c>
      <c r="AM886" s="30">
        <v>60800</v>
      </c>
      <c r="AN886" s="30">
        <v>350400</v>
      </c>
      <c r="AO886" s="30">
        <v>411200</v>
      </c>
      <c r="AP886" s="30">
        <f>Lookups!$B$58*0.6</f>
        <v>132535.48800000001</v>
      </c>
      <c r="AQ886" s="30">
        <f>Lookups!$B$58*0.4</f>
        <v>88356.992000000013</v>
      </c>
      <c r="AR886" s="30">
        <f>Lookups!$B$59*Inventory[[#This Row],[LnAcres]]</f>
        <v>-24051.387388882686</v>
      </c>
      <c r="AS886" s="30">
        <f>VLOOKUP(Inventory[[#This Row],[Qlty]],Lookups!$A$66:$E$79,2,FALSE)</f>
        <v>32917.849192000001</v>
      </c>
      <c r="AT886" s="30">
        <f>VLOOKUP(Inventory[[#This Row],[Cnd]],Lookups!$A$80:$E$88,2,FALSE)</f>
        <v>30300.329274</v>
      </c>
      <c r="AU886" s="30">
        <f>Inventory[[#This Row],[EffAge]]*Lookups!$B$65</f>
        <v>-2174.8220000000001</v>
      </c>
      <c r="AV886" s="30">
        <f>Inventory[[#This Row],[MainFn]]*Lookups!$B$90</f>
        <v>72271.22004</v>
      </c>
      <c r="AW886" s="30">
        <f>Inventory[[#This Row],[UpprFn]]*Lookups!$B$91</f>
        <v>78765.266325999997</v>
      </c>
      <c r="AX886" s="30">
        <f>Inventory[[#This Row],[Bsmt Area]]*Lookups!$B$95</f>
        <v>0</v>
      </c>
      <c r="AY886" s="30">
        <f>Inventory[[#This Row],[AttGar]]*Lookups!$B$93</f>
        <v>0</v>
      </c>
      <c r="AZ886" s="30">
        <f>ROUND(Inventory[[#This Row],[25Det]],-2)</f>
        <v>0</v>
      </c>
      <c r="BA886" s="30">
        <f>ROUND(SUM(Inventory[[#This Row],[Mdl Qlty]:[Mdl Garage Area]])+Inventory[[#This Row],[Mdl Res Intercept]],-2)</f>
        <v>344600</v>
      </c>
      <c r="BB886" s="30">
        <f>ROUND(Inventory[[#This Row],[Mdl Land Intercept]]+Inventory[[#This Row],[Mdl LnAcres]],-2)</f>
        <v>64300</v>
      </c>
      <c r="BC886" s="30">
        <f>Inventory[[#This Row],[Unadj Res Value]]+Inventory[[#This Row],[Unadj Det Value]]+Inventory[[#This Row],[Unadj Land Value]]</f>
        <v>408900</v>
      </c>
      <c r="BD886" s="30">
        <f>(Inventory[[#This Row],[Unadj Total Value]]-Inventory[[#This Row],[24Final]])/Inventory[[#This Row],[24Final]]</f>
        <v>-5.5933852140077822E-3</v>
      </c>
      <c r="BE886" s="30">
        <f>VLOOKUP(Inventory[[#This Row],[Nbhd]],Lookups!$M$3:$P$5,4,FALSE)</f>
        <v>0.99970000000000003</v>
      </c>
      <c r="BF886" s="30">
        <f>VLOOKUP(Inventory[[#This Row],[Qlty]],Lookups!$M$8:$P$22,4,FALSE)</f>
        <v>1.0019</v>
      </c>
      <c r="BG886" s="30">
        <f>VLOOKUP(Inventory[[#This Row],[Cnd]],Lookups!$R$8:$U$17,4,FALSE)</f>
        <v>0.997</v>
      </c>
      <c r="BH886" s="30">
        <f>VLOOKUP(Inventory[[#This Row],[LivArea Range]],Lookups!$R$25:$U$43,4,FALSE)</f>
        <v>1.0008999999999999</v>
      </c>
      <c r="BI886" s="30">
        <f>VLOOKUP(Inventory[[#This Row],[Decade]],Lookups!$M$24:$P$40,4,FALSE)</f>
        <v>0.99560000000000004</v>
      </c>
      <c r="BJ886" s="30">
        <f>Inventory[[#This Row],[Nbhd Adj]]*0.95</f>
        <v>0.94971499999999998</v>
      </c>
      <c r="BK886" s="30">
        <f>AVERAGE(Inventory[[#This Row],[Nbhd Adj]],Inventory[[#This Row],[Quality Adj]],Inventory[[#This Row],[Condition Adj]],Inventory[[#This Row],[Living Area Adj]],Inventory[[#This Row],[Decade Adj]])*0.95</f>
        <v>0.94906899999999972</v>
      </c>
      <c r="BL886" s="30">
        <f>ROUND((SUM(Inventory[[#This Row],[Mdl Qlty]:[Mdl Garage Area]])+Inventory[[#This Row],[Mdl Res Intercept]])*Inventory[[#This Row],[Res Adj ]],-2)</f>
        <v>327100</v>
      </c>
      <c r="BM886" s="30">
        <f>ROUND(Inventory[[#This Row],[25Det]]*Inventory[[#This Row],[Det/Nbhd Adj]],-2)</f>
        <v>0</v>
      </c>
      <c r="BN886" s="30">
        <f>Inventory[[#This Row],[Adjusted Res]]+Inventory[[#This Row],[Adj Det ]]</f>
        <v>327100</v>
      </c>
      <c r="BO886" s="30">
        <f>ROUND((Inventory[[#This Row],[Mdl Land Intercept]]+Inventory[[#This Row],[Mdl LnAcres]])*Inventory[[#This Row],[Det/Nbhd Adj]],-2)</f>
        <v>61100</v>
      </c>
      <c r="BP886" s="30">
        <f>Inventory[[#This Row],[Adjusted Impr Total]]+Inventory[[#This Row],[Adjusted Land Total]]</f>
        <v>388200</v>
      </c>
      <c r="BQ886" s="30">
        <f>IFERROR((Inventory[[#This Row],[Adjusted Impr Total]]-Inventory[[#This Row],[24Bldg]])/Inventory[[#This Row],[24Bldg]],0)</f>
        <v>-6.6495433789954345E-2</v>
      </c>
      <c r="BR886" s="43">
        <f>(Inventory[[#This Row],[Adjusted Land Total]]-Inventory[[#This Row],[24Lnd]])/Inventory[[#This Row],[24Lnd]]</f>
        <v>4.9342105263157892E-3</v>
      </c>
      <c r="BS886" s="43">
        <f>(Inventory[[#This Row],[Adjusted Total]]-Inventory[[#This Row],[24Final]])/Inventory[[#This Row],[24Final]]</f>
        <v>-5.5933852140077824E-2</v>
      </c>
    </row>
    <row r="887" spans="1:71">
      <c r="A887" s="30">
        <v>2025</v>
      </c>
      <c r="B887" s="31" t="s">
        <v>1402</v>
      </c>
      <c r="C887" s="31">
        <f>LN(Inventory[[#This Row],[Acres]])</f>
        <v>-1.8325814637483102</v>
      </c>
      <c r="D887" s="30">
        <v>0.16</v>
      </c>
      <c r="E887" s="30">
        <v>7161</v>
      </c>
      <c r="F887" s="31" t="s">
        <v>505</v>
      </c>
      <c r="G887" s="31" t="s">
        <v>155</v>
      </c>
      <c r="H887" s="31" t="s">
        <v>5</v>
      </c>
      <c r="I887" s="31" t="s">
        <v>506</v>
      </c>
      <c r="J887" s="31" t="s">
        <v>507</v>
      </c>
      <c r="K887" s="31" t="s">
        <v>157</v>
      </c>
      <c r="L887" s="31" t="s">
        <v>21</v>
      </c>
      <c r="M887" s="31" t="s">
        <v>22</v>
      </c>
      <c r="N887" s="31">
        <v>20</v>
      </c>
      <c r="O887" s="31">
        <f>2024-Inventory[[#This Row],[YrBlt]]</f>
        <v>20</v>
      </c>
      <c r="P887" s="31">
        <f>2024-Inventory[[#This Row],[EffYr]]</f>
        <v>20</v>
      </c>
      <c r="Q887" s="30">
        <v>2004</v>
      </c>
      <c r="R887" s="30">
        <v>2004</v>
      </c>
      <c r="S887" s="30">
        <v>1158</v>
      </c>
      <c r="T887" s="30">
        <v>1322</v>
      </c>
      <c r="U887" s="32"/>
      <c r="V887" s="32"/>
      <c r="W887" s="32"/>
      <c r="X887" s="32">
        <f>Inventory[[#This Row],[Bsmt Area]]-Inventory[[#This Row],[FnBsmt]]</f>
        <v>0</v>
      </c>
      <c r="Y887" s="32">
        <f>Inventory[[#This Row],[MainFn]]+Inventory[[#This Row],[UpprFn]]+Inventory[[#This Row],[AddFn]]+Inventory[[#This Row],[FnBsmt]]</f>
        <v>2480</v>
      </c>
      <c r="Z887" s="32">
        <v>2500</v>
      </c>
      <c r="AA887" s="31" t="s">
        <v>55</v>
      </c>
      <c r="AB887" s="30">
        <v>1</v>
      </c>
      <c r="AC887" s="30">
        <v>300</v>
      </c>
      <c r="AD887" s="38">
        <v>502</v>
      </c>
      <c r="AE887" s="32"/>
      <c r="AF887" s="32"/>
      <c r="AG887" s="32"/>
      <c r="AH887" s="32"/>
      <c r="AI887" s="30">
        <v>540884</v>
      </c>
      <c r="AJ887" s="30">
        <v>497613</v>
      </c>
      <c r="AK887" s="30">
        <v>0</v>
      </c>
      <c r="AL887" s="30">
        <v>0</v>
      </c>
      <c r="AM887" s="30">
        <v>60800</v>
      </c>
      <c r="AN887" s="30">
        <v>378800</v>
      </c>
      <c r="AO887" s="30">
        <v>439600</v>
      </c>
      <c r="AP887" s="30">
        <f>Lookups!$B$58*0.6</f>
        <v>132535.48800000001</v>
      </c>
      <c r="AQ887" s="30">
        <f>Lookups!$B$58*0.4</f>
        <v>88356.992000000013</v>
      </c>
      <c r="AR887" s="30">
        <f>Lookups!$B$59*Inventory[[#This Row],[LnAcres]]</f>
        <v>-24051.387388882686</v>
      </c>
      <c r="AS887" s="30">
        <f>VLOOKUP(Inventory[[#This Row],[Qlty]],Lookups!$A$66:$E$79,2,FALSE)</f>
        <v>32917.849192000001</v>
      </c>
      <c r="AT887" s="30">
        <f>VLOOKUP(Inventory[[#This Row],[Cnd]],Lookups!$A$80:$E$88,2,FALSE)</f>
        <v>50438.379078999998</v>
      </c>
      <c r="AU887" s="30">
        <f>Inventory[[#This Row],[EffAge]]*Lookups!$B$65</f>
        <v>-2174.8220000000001</v>
      </c>
      <c r="AV887" s="30">
        <f>Inventory[[#This Row],[MainFn]]*Lookups!$B$90</f>
        <v>72271.22004</v>
      </c>
      <c r="AW887" s="30">
        <f>Inventory[[#This Row],[UpprFn]]*Lookups!$B$91</f>
        <v>78765.266325999997</v>
      </c>
      <c r="AX887" s="30">
        <f>Inventory[[#This Row],[Bsmt Area]]*Lookups!$B$95</f>
        <v>0</v>
      </c>
      <c r="AY887" s="30">
        <f>Inventory[[#This Row],[AttGar]]*Lookups!$B$93</f>
        <v>10590.309300000001</v>
      </c>
      <c r="AZ887" s="30">
        <f>ROUND(Inventory[[#This Row],[25Det]],-2)</f>
        <v>0</v>
      </c>
      <c r="BA887" s="30">
        <f>ROUND(SUM(Inventory[[#This Row],[Mdl Qlty]:[Mdl Garage Area]])+Inventory[[#This Row],[Mdl Res Intercept]],-2)</f>
        <v>375300</v>
      </c>
      <c r="BB887" s="30">
        <f>ROUND(Inventory[[#This Row],[Mdl Land Intercept]]+Inventory[[#This Row],[Mdl LnAcres]],-2)</f>
        <v>64300</v>
      </c>
      <c r="BC887" s="30">
        <f>Inventory[[#This Row],[Unadj Res Value]]+Inventory[[#This Row],[Unadj Det Value]]+Inventory[[#This Row],[Unadj Land Value]]</f>
        <v>439600</v>
      </c>
      <c r="BD887" s="30">
        <f>(Inventory[[#This Row],[Unadj Total Value]]-Inventory[[#This Row],[24Final]])/Inventory[[#This Row],[24Final]]</f>
        <v>0</v>
      </c>
      <c r="BE887" s="30">
        <f>VLOOKUP(Inventory[[#This Row],[Nbhd]],Lookups!$M$3:$P$5,4,FALSE)</f>
        <v>0.99970000000000003</v>
      </c>
      <c r="BF887" s="30">
        <f>VLOOKUP(Inventory[[#This Row],[Qlty]],Lookups!$M$8:$P$22,4,FALSE)</f>
        <v>1.0019</v>
      </c>
      <c r="BG887" s="30">
        <f>VLOOKUP(Inventory[[#This Row],[Cnd]],Lookups!$R$8:$U$17,4,FALSE)</f>
        <v>1.0007999999999999</v>
      </c>
      <c r="BH887" s="30">
        <f>VLOOKUP(Inventory[[#This Row],[LivArea Range]],Lookups!$R$25:$U$43,4,FALSE)</f>
        <v>1.0008999999999999</v>
      </c>
      <c r="BI887" s="30">
        <f>VLOOKUP(Inventory[[#This Row],[Decade]],Lookups!$M$24:$P$40,4,FALSE)</f>
        <v>0.99560000000000004</v>
      </c>
      <c r="BJ887" s="30">
        <f>Inventory[[#This Row],[Nbhd Adj]]*0.95</f>
        <v>0.94971499999999998</v>
      </c>
      <c r="BK887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887" s="30">
        <f>ROUND((SUM(Inventory[[#This Row],[Mdl Qlty]:[Mdl Garage Area]])+Inventory[[#This Row],[Mdl Res Intercept]])*Inventory[[#This Row],[Res Adj ]],-2)</f>
        <v>356500</v>
      </c>
      <c r="BM887" s="30">
        <f>ROUND(Inventory[[#This Row],[25Det]]*Inventory[[#This Row],[Det/Nbhd Adj]],-2)</f>
        <v>0</v>
      </c>
      <c r="BN887" s="30">
        <f>Inventory[[#This Row],[Adjusted Res]]+Inventory[[#This Row],[Adj Det ]]</f>
        <v>356500</v>
      </c>
      <c r="BO887" s="30">
        <f>ROUND((Inventory[[#This Row],[Mdl Land Intercept]]+Inventory[[#This Row],[Mdl LnAcres]])*Inventory[[#This Row],[Det/Nbhd Adj]],-2)</f>
        <v>61100</v>
      </c>
      <c r="BP887" s="30">
        <f>Inventory[[#This Row],[Adjusted Impr Total]]+Inventory[[#This Row],[Adjusted Land Total]]</f>
        <v>417600</v>
      </c>
      <c r="BQ887" s="30">
        <f>IFERROR((Inventory[[#This Row],[Adjusted Impr Total]]-Inventory[[#This Row],[24Bldg]])/Inventory[[#This Row],[24Bldg]],0)</f>
        <v>-5.8870116156283001E-2</v>
      </c>
      <c r="BR887" s="43">
        <f>(Inventory[[#This Row],[Adjusted Land Total]]-Inventory[[#This Row],[24Lnd]])/Inventory[[#This Row],[24Lnd]]</f>
        <v>4.9342105263157892E-3</v>
      </c>
      <c r="BS887" s="43">
        <f>(Inventory[[#This Row],[Adjusted Total]]-Inventory[[#This Row],[24Final]])/Inventory[[#This Row],[24Final]]</f>
        <v>-5.0045495905368519E-2</v>
      </c>
    </row>
    <row r="888" spans="1:71">
      <c r="A888" s="30">
        <v>2025</v>
      </c>
      <c r="B888" s="31" t="s">
        <v>1403</v>
      </c>
      <c r="C888" s="31">
        <f>LN(Inventory[[#This Row],[Acres]])</f>
        <v>-1.8325814637483102</v>
      </c>
      <c r="D888" s="30">
        <v>0.16</v>
      </c>
      <c r="E888" s="30">
        <v>7001</v>
      </c>
      <c r="F888" s="31" t="s">
        <v>505</v>
      </c>
      <c r="G888" s="31" t="s">
        <v>155</v>
      </c>
      <c r="H888" s="31" t="s">
        <v>5</v>
      </c>
      <c r="I888" s="31" t="s">
        <v>506</v>
      </c>
      <c r="J888" s="31" t="s">
        <v>507</v>
      </c>
      <c r="K888" s="31" t="s">
        <v>193</v>
      </c>
      <c r="L888" s="31" t="s">
        <v>21</v>
      </c>
      <c r="M888" s="31" t="s">
        <v>20</v>
      </c>
      <c r="N888" s="31">
        <v>20</v>
      </c>
      <c r="O888" s="31">
        <f>2024-Inventory[[#This Row],[YrBlt]]</f>
        <v>20</v>
      </c>
      <c r="P888" s="31">
        <f>2024-Inventory[[#This Row],[EffYr]]</f>
        <v>20</v>
      </c>
      <c r="Q888" s="30">
        <v>2004</v>
      </c>
      <c r="R888" s="30">
        <v>2004</v>
      </c>
      <c r="S888" s="30">
        <v>1436</v>
      </c>
      <c r="T888" s="37"/>
      <c r="U888" s="32"/>
      <c r="V888" s="32"/>
      <c r="W888" s="32"/>
      <c r="X888" s="32">
        <f>Inventory[[#This Row],[Bsmt Area]]-Inventory[[#This Row],[FnBsmt]]</f>
        <v>0</v>
      </c>
      <c r="Y888" s="32">
        <f>Inventory[[#This Row],[MainFn]]+Inventory[[#This Row],[UpprFn]]+Inventory[[#This Row],[AddFn]]+Inventory[[#This Row],[FnBsmt]]</f>
        <v>1436</v>
      </c>
      <c r="Z888" s="32">
        <v>1500</v>
      </c>
      <c r="AA888" s="31" t="s">
        <v>55</v>
      </c>
      <c r="AB888" s="38">
        <v>1</v>
      </c>
      <c r="AC888" s="30">
        <v>400</v>
      </c>
      <c r="AD888" s="32"/>
      <c r="AE888" s="32"/>
      <c r="AF888" s="32"/>
      <c r="AG888" s="32"/>
      <c r="AH888" s="32"/>
      <c r="AI888" s="30">
        <v>320830</v>
      </c>
      <c r="AJ888" s="30">
        <v>291955</v>
      </c>
      <c r="AK888" s="30">
        <v>0</v>
      </c>
      <c r="AL888" s="30">
        <v>0</v>
      </c>
      <c r="AM888" s="30">
        <v>60800</v>
      </c>
      <c r="AN888" s="30">
        <v>284100</v>
      </c>
      <c r="AO888" s="30">
        <v>344900</v>
      </c>
      <c r="AP888" s="30">
        <f>Lookups!$B$58*0.6</f>
        <v>132535.48800000001</v>
      </c>
      <c r="AQ888" s="30">
        <f>Lookups!$B$58*0.4</f>
        <v>88356.992000000013</v>
      </c>
      <c r="AR888" s="30">
        <f>Lookups!$B$59*Inventory[[#This Row],[LnAcres]]</f>
        <v>-24051.387388882686</v>
      </c>
      <c r="AS888" s="30">
        <f>VLOOKUP(Inventory[[#This Row],[Qlty]],Lookups!$A$66:$E$79,2,FALSE)</f>
        <v>32917.849192000001</v>
      </c>
      <c r="AT888" s="30">
        <f>VLOOKUP(Inventory[[#This Row],[Cnd]],Lookups!$A$80:$E$88,2,FALSE)</f>
        <v>30300.329274</v>
      </c>
      <c r="AU888" s="30">
        <f>Inventory[[#This Row],[EffAge]]*Lookups!$B$65</f>
        <v>-2174.8220000000001</v>
      </c>
      <c r="AV888" s="30">
        <f>Inventory[[#This Row],[MainFn]]*Lookups!$B$90</f>
        <v>89621.305680000005</v>
      </c>
      <c r="AW888" s="30">
        <f>Inventory[[#This Row],[UpprFn]]*Lookups!$B$91</f>
        <v>0</v>
      </c>
      <c r="AX888" s="30">
        <f>Inventory[[#This Row],[Bsmt Area]]*Lookups!$B$95</f>
        <v>0</v>
      </c>
      <c r="AY888" s="30">
        <f>Inventory[[#This Row],[AttGar]]*Lookups!$B$93</f>
        <v>14120.412400000001</v>
      </c>
      <c r="AZ888" s="30">
        <f>ROUND(Inventory[[#This Row],[25Det]],-2)</f>
        <v>0</v>
      </c>
      <c r="BA888" s="30">
        <f>ROUND(SUM(Inventory[[#This Row],[Mdl Qlty]:[Mdl Garage Area]])+Inventory[[#This Row],[Mdl Res Intercept]],-2)</f>
        <v>297300</v>
      </c>
      <c r="BB888" s="30">
        <f>ROUND(Inventory[[#This Row],[Mdl Land Intercept]]+Inventory[[#This Row],[Mdl LnAcres]],-2)</f>
        <v>64300</v>
      </c>
      <c r="BC888" s="30">
        <f>Inventory[[#This Row],[Unadj Res Value]]+Inventory[[#This Row],[Unadj Det Value]]+Inventory[[#This Row],[Unadj Land Value]]</f>
        <v>361600</v>
      </c>
      <c r="BD888" s="30">
        <f>(Inventory[[#This Row],[Unadj Total Value]]-Inventory[[#This Row],[24Final]])/Inventory[[#This Row],[24Final]]</f>
        <v>4.8419831835314585E-2</v>
      </c>
      <c r="BE888" s="30">
        <f>VLOOKUP(Inventory[[#This Row],[Nbhd]],Lookups!$M$3:$P$5,4,FALSE)</f>
        <v>0.99970000000000003</v>
      </c>
      <c r="BF888" s="30">
        <f>VLOOKUP(Inventory[[#This Row],[Qlty]],Lookups!$M$8:$P$22,4,FALSE)</f>
        <v>1.0019</v>
      </c>
      <c r="BG888" s="30">
        <f>VLOOKUP(Inventory[[#This Row],[Cnd]],Lookups!$R$8:$U$17,4,FALSE)</f>
        <v>0.997</v>
      </c>
      <c r="BH888" s="30">
        <f>VLOOKUP(Inventory[[#This Row],[LivArea Range]],Lookups!$R$25:$U$43,4,FALSE)</f>
        <v>0.99519999999999997</v>
      </c>
      <c r="BI888" s="30">
        <f>VLOOKUP(Inventory[[#This Row],[Decade]],Lookups!$M$24:$P$40,4,FALSE)</f>
        <v>0.99560000000000004</v>
      </c>
      <c r="BJ888" s="30">
        <f>Inventory[[#This Row],[Nbhd Adj]]*0.95</f>
        <v>0.94971499999999998</v>
      </c>
      <c r="BK888" s="30">
        <f>AVERAGE(Inventory[[#This Row],[Nbhd Adj]],Inventory[[#This Row],[Quality Adj]],Inventory[[#This Row],[Condition Adj]],Inventory[[#This Row],[Living Area Adj]],Inventory[[#This Row],[Decade Adj]])*0.95</f>
        <v>0.947986</v>
      </c>
      <c r="BL888" s="30">
        <f>ROUND((SUM(Inventory[[#This Row],[Mdl Qlty]:[Mdl Garage Area]])+Inventory[[#This Row],[Mdl Res Intercept]])*Inventory[[#This Row],[Res Adj ]],-2)</f>
        <v>281900</v>
      </c>
      <c r="BM888" s="30">
        <f>ROUND(Inventory[[#This Row],[25Det]]*Inventory[[#This Row],[Det/Nbhd Adj]],-2)</f>
        <v>0</v>
      </c>
      <c r="BN888" s="30">
        <f>Inventory[[#This Row],[Adjusted Res]]+Inventory[[#This Row],[Adj Det ]]</f>
        <v>281900</v>
      </c>
      <c r="BO888" s="30">
        <f>ROUND((Inventory[[#This Row],[Mdl Land Intercept]]+Inventory[[#This Row],[Mdl LnAcres]])*Inventory[[#This Row],[Det/Nbhd Adj]],-2)</f>
        <v>61100</v>
      </c>
      <c r="BP888" s="30">
        <f>Inventory[[#This Row],[Adjusted Impr Total]]+Inventory[[#This Row],[Adjusted Land Total]]</f>
        <v>343000</v>
      </c>
      <c r="BQ888" s="30">
        <f>IFERROR((Inventory[[#This Row],[Adjusted Impr Total]]-Inventory[[#This Row],[24Bldg]])/Inventory[[#This Row],[24Bldg]],0)</f>
        <v>-7.743752199929602E-3</v>
      </c>
      <c r="BR888" s="43">
        <f>(Inventory[[#This Row],[Adjusted Land Total]]-Inventory[[#This Row],[24Lnd]])/Inventory[[#This Row],[24Lnd]]</f>
        <v>4.9342105263157892E-3</v>
      </c>
      <c r="BS888" s="43">
        <f>(Inventory[[#This Row],[Adjusted Total]]-Inventory[[#This Row],[24Final]])/Inventory[[#This Row],[24Final]]</f>
        <v>-5.508843142939983E-3</v>
      </c>
    </row>
    <row r="889" spans="1:71">
      <c r="A889" s="30">
        <v>2025</v>
      </c>
      <c r="B889" s="31" t="s">
        <v>1404</v>
      </c>
      <c r="C889" s="31">
        <f>LN(Inventory[[#This Row],[Acres]])</f>
        <v>-1.8325814637483102</v>
      </c>
      <c r="D889" s="30">
        <v>0.16</v>
      </c>
      <c r="E889" s="30">
        <v>7172</v>
      </c>
      <c r="F889" s="31" t="s">
        <v>505</v>
      </c>
      <c r="G889" s="31" t="s">
        <v>155</v>
      </c>
      <c r="H889" s="31" t="s">
        <v>5</v>
      </c>
      <c r="I889" s="31" t="s">
        <v>506</v>
      </c>
      <c r="J889" s="31" t="s">
        <v>507</v>
      </c>
      <c r="K889" s="31" t="s">
        <v>157</v>
      </c>
      <c r="L889" s="31" t="s">
        <v>21</v>
      </c>
      <c r="M889" s="31" t="s">
        <v>22</v>
      </c>
      <c r="N889" s="31">
        <v>20</v>
      </c>
      <c r="O889" s="31">
        <f>2024-Inventory[[#This Row],[YrBlt]]</f>
        <v>20</v>
      </c>
      <c r="P889" s="31">
        <f>2024-Inventory[[#This Row],[EffYr]]</f>
        <v>20</v>
      </c>
      <c r="Q889" s="30">
        <v>2004</v>
      </c>
      <c r="R889" s="30">
        <v>2004</v>
      </c>
      <c r="S889" s="30">
        <v>1116</v>
      </c>
      <c r="T889" s="38">
        <v>1116</v>
      </c>
      <c r="U889" s="32"/>
      <c r="V889" s="32"/>
      <c r="W889" s="32"/>
      <c r="X889" s="32">
        <f>Inventory[[#This Row],[Bsmt Area]]-Inventory[[#This Row],[FnBsmt]]</f>
        <v>0</v>
      </c>
      <c r="Y889" s="32">
        <f>Inventory[[#This Row],[MainFn]]+Inventory[[#This Row],[UpprFn]]+Inventory[[#This Row],[AddFn]]+Inventory[[#This Row],[FnBsmt]]</f>
        <v>2232</v>
      </c>
      <c r="Z889" s="32">
        <v>2500</v>
      </c>
      <c r="AA889" s="31" t="s">
        <v>55</v>
      </c>
      <c r="AB889" s="32"/>
      <c r="AC889" s="30">
        <v>704</v>
      </c>
      <c r="AD889" s="32"/>
      <c r="AE889" s="32"/>
      <c r="AF889" s="32"/>
      <c r="AG889" s="32"/>
      <c r="AH889" s="32"/>
      <c r="AI889" s="30">
        <v>450905</v>
      </c>
      <c r="AJ889" s="30">
        <v>414833</v>
      </c>
      <c r="AK889" s="30">
        <v>0</v>
      </c>
      <c r="AL889" s="30">
        <v>0</v>
      </c>
      <c r="AM889" s="30">
        <v>60800</v>
      </c>
      <c r="AN889" s="30">
        <v>360500</v>
      </c>
      <c r="AO889" s="30">
        <v>421300</v>
      </c>
      <c r="AP889" s="30">
        <f>Lookups!$B$58*0.6</f>
        <v>132535.48800000001</v>
      </c>
      <c r="AQ889" s="30">
        <f>Lookups!$B$58*0.4</f>
        <v>88356.992000000013</v>
      </c>
      <c r="AR889" s="30">
        <f>Lookups!$B$59*Inventory[[#This Row],[LnAcres]]</f>
        <v>-24051.387388882686</v>
      </c>
      <c r="AS889" s="30">
        <f>VLOOKUP(Inventory[[#This Row],[Qlty]],Lookups!$A$66:$E$79,2,FALSE)</f>
        <v>32917.849192000001</v>
      </c>
      <c r="AT889" s="30">
        <f>VLOOKUP(Inventory[[#This Row],[Cnd]],Lookups!$A$80:$E$88,2,FALSE)</f>
        <v>50438.379078999998</v>
      </c>
      <c r="AU889" s="30">
        <f>Inventory[[#This Row],[EffAge]]*Lookups!$B$65</f>
        <v>-2174.8220000000001</v>
      </c>
      <c r="AV889" s="30">
        <f>Inventory[[#This Row],[MainFn]]*Lookups!$B$90</f>
        <v>69649.984080000009</v>
      </c>
      <c r="AW889" s="30">
        <f>Inventory[[#This Row],[UpprFn]]*Lookups!$B$91</f>
        <v>66491.707427999994</v>
      </c>
      <c r="AX889" s="30">
        <f>Inventory[[#This Row],[Bsmt Area]]*Lookups!$B$95</f>
        <v>0</v>
      </c>
      <c r="AY889" s="30">
        <f>Inventory[[#This Row],[AttGar]]*Lookups!$B$93</f>
        <v>24851.925824000002</v>
      </c>
      <c r="AZ889" s="30">
        <f>ROUND(Inventory[[#This Row],[25Det]],-2)</f>
        <v>0</v>
      </c>
      <c r="BA889" s="30">
        <f>ROUND(SUM(Inventory[[#This Row],[Mdl Qlty]:[Mdl Garage Area]])+Inventory[[#This Row],[Mdl Res Intercept]],-2)</f>
        <v>374700</v>
      </c>
      <c r="BB889" s="30">
        <f>ROUND(Inventory[[#This Row],[Mdl Land Intercept]]+Inventory[[#This Row],[Mdl LnAcres]],-2)</f>
        <v>64300</v>
      </c>
      <c r="BC889" s="30">
        <f>Inventory[[#This Row],[Unadj Res Value]]+Inventory[[#This Row],[Unadj Det Value]]+Inventory[[#This Row],[Unadj Land Value]]</f>
        <v>439000</v>
      </c>
      <c r="BD889" s="30">
        <f>(Inventory[[#This Row],[Unadj Total Value]]-Inventory[[#This Row],[24Final]])/Inventory[[#This Row],[24Final]]</f>
        <v>4.2012817469736528E-2</v>
      </c>
      <c r="BE889" s="30">
        <f>VLOOKUP(Inventory[[#This Row],[Nbhd]],Lookups!$M$3:$P$5,4,FALSE)</f>
        <v>0.99970000000000003</v>
      </c>
      <c r="BF889" s="30">
        <f>VLOOKUP(Inventory[[#This Row],[Qlty]],Lookups!$M$8:$P$22,4,FALSE)</f>
        <v>1.0019</v>
      </c>
      <c r="BG889" s="30">
        <f>VLOOKUP(Inventory[[#This Row],[Cnd]],Lookups!$R$8:$U$17,4,FALSE)</f>
        <v>1.0007999999999999</v>
      </c>
      <c r="BH889" s="30">
        <f>VLOOKUP(Inventory[[#This Row],[LivArea Range]],Lookups!$R$25:$U$43,4,FALSE)</f>
        <v>1.0008999999999999</v>
      </c>
      <c r="BI889" s="30">
        <f>VLOOKUP(Inventory[[#This Row],[Decade]],Lookups!$M$24:$P$40,4,FALSE)</f>
        <v>0.99560000000000004</v>
      </c>
      <c r="BJ889" s="30">
        <f>Inventory[[#This Row],[Nbhd Adj]]*0.95</f>
        <v>0.94971499999999998</v>
      </c>
      <c r="BK889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889" s="30">
        <f>ROUND((SUM(Inventory[[#This Row],[Mdl Qlty]:[Mdl Garage Area]])+Inventory[[#This Row],[Mdl Res Intercept]])*Inventory[[#This Row],[Res Adj ]],-2)</f>
        <v>355900</v>
      </c>
      <c r="BM889" s="30">
        <f>ROUND(Inventory[[#This Row],[25Det]]*Inventory[[#This Row],[Det/Nbhd Adj]],-2)</f>
        <v>0</v>
      </c>
      <c r="BN889" s="30">
        <f>Inventory[[#This Row],[Adjusted Res]]+Inventory[[#This Row],[Adj Det ]]</f>
        <v>355900</v>
      </c>
      <c r="BO889" s="30">
        <f>ROUND((Inventory[[#This Row],[Mdl Land Intercept]]+Inventory[[#This Row],[Mdl LnAcres]])*Inventory[[#This Row],[Det/Nbhd Adj]],-2)</f>
        <v>61100</v>
      </c>
      <c r="BP889" s="30">
        <f>Inventory[[#This Row],[Adjusted Impr Total]]+Inventory[[#This Row],[Adjusted Land Total]]</f>
        <v>417000</v>
      </c>
      <c r="BQ889" s="30">
        <f>IFERROR((Inventory[[#This Row],[Adjusted Impr Total]]-Inventory[[#This Row],[24Bldg]])/Inventory[[#This Row],[24Bldg]],0)</f>
        <v>-1.2760055478502081E-2</v>
      </c>
      <c r="BR889" s="43">
        <f>(Inventory[[#This Row],[Adjusted Land Total]]-Inventory[[#This Row],[24Lnd]])/Inventory[[#This Row],[24Lnd]]</f>
        <v>4.9342105263157892E-3</v>
      </c>
      <c r="BS889" s="43">
        <f>(Inventory[[#This Row],[Adjusted Total]]-Inventory[[#This Row],[24Final]])/Inventory[[#This Row],[24Final]]</f>
        <v>-1.0206503679088536E-2</v>
      </c>
    </row>
    <row r="890" spans="1:71">
      <c r="A890" s="30">
        <v>2025</v>
      </c>
      <c r="B890" s="31" t="s">
        <v>1405</v>
      </c>
      <c r="C890" s="31">
        <f>LN(Inventory[[#This Row],[Acres]])</f>
        <v>-1.8325814637483102</v>
      </c>
      <c r="D890" s="30">
        <v>0.16</v>
      </c>
      <c r="E890" s="30">
        <v>7000</v>
      </c>
      <c r="F890" s="31" t="s">
        <v>505</v>
      </c>
      <c r="G890" s="31" t="s">
        <v>155</v>
      </c>
      <c r="H890" s="31" t="s">
        <v>5</v>
      </c>
      <c r="I890" s="31" t="s">
        <v>506</v>
      </c>
      <c r="J890" s="31" t="s">
        <v>507</v>
      </c>
      <c r="K890" s="31" t="s">
        <v>193</v>
      </c>
      <c r="L890" s="31" t="s">
        <v>21</v>
      </c>
      <c r="M890" s="31" t="s">
        <v>22</v>
      </c>
      <c r="N890" s="31">
        <v>20</v>
      </c>
      <c r="O890" s="31">
        <f>2024-Inventory[[#This Row],[YrBlt]]</f>
        <v>20</v>
      </c>
      <c r="P890" s="31">
        <f>2024-Inventory[[#This Row],[EffYr]]</f>
        <v>20</v>
      </c>
      <c r="Q890" s="30">
        <v>2004</v>
      </c>
      <c r="R890" s="30">
        <v>2004</v>
      </c>
      <c r="S890" s="30">
        <v>1436</v>
      </c>
      <c r="T890" s="37"/>
      <c r="U890" s="32"/>
      <c r="V890" s="32"/>
      <c r="W890" s="32"/>
      <c r="X890" s="32">
        <f>Inventory[[#This Row],[Bsmt Area]]-Inventory[[#This Row],[FnBsmt]]</f>
        <v>0</v>
      </c>
      <c r="Y890" s="32">
        <f>Inventory[[#This Row],[MainFn]]+Inventory[[#This Row],[UpprFn]]+Inventory[[#This Row],[AddFn]]+Inventory[[#This Row],[FnBsmt]]</f>
        <v>1436</v>
      </c>
      <c r="Z890" s="32">
        <v>1500</v>
      </c>
      <c r="AA890" s="31" t="s">
        <v>55</v>
      </c>
      <c r="AB890" s="38">
        <v>1</v>
      </c>
      <c r="AC890" s="30">
        <v>640</v>
      </c>
      <c r="AD890" s="37"/>
      <c r="AE890" s="32"/>
      <c r="AF890" s="32"/>
      <c r="AG890" s="32"/>
      <c r="AH890" s="32"/>
      <c r="AI890" s="30">
        <v>334790</v>
      </c>
      <c r="AJ890" s="30">
        <v>308007</v>
      </c>
      <c r="AK890" s="30">
        <v>0</v>
      </c>
      <c r="AL890" s="30">
        <v>0</v>
      </c>
      <c r="AM890" s="30">
        <v>60800</v>
      </c>
      <c r="AN890" s="30">
        <v>310100</v>
      </c>
      <c r="AO890" s="30">
        <v>370900</v>
      </c>
      <c r="AP890" s="30">
        <f>Lookups!$B$58*0.6</f>
        <v>132535.48800000001</v>
      </c>
      <c r="AQ890" s="30">
        <f>Lookups!$B$58*0.4</f>
        <v>88356.992000000013</v>
      </c>
      <c r="AR890" s="30">
        <f>Lookups!$B$59*Inventory[[#This Row],[LnAcres]]</f>
        <v>-24051.387388882686</v>
      </c>
      <c r="AS890" s="30">
        <f>VLOOKUP(Inventory[[#This Row],[Qlty]],Lookups!$A$66:$E$79,2,FALSE)</f>
        <v>32917.849192000001</v>
      </c>
      <c r="AT890" s="30">
        <f>VLOOKUP(Inventory[[#This Row],[Cnd]],Lookups!$A$80:$E$88,2,FALSE)</f>
        <v>50438.379078999998</v>
      </c>
      <c r="AU890" s="30">
        <f>Inventory[[#This Row],[EffAge]]*Lookups!$B$65</f>
        <v>-2174.8220000000001</v>
      </c>
      <c r="AV890" s="30">
        <f>Inventory[[#This Row],[MainFn]]*Lookups!$B$90</f>
        <v>89621.305680000005</v>
      </c>
      <c r="AW890" s="30">
        <f>Inventory[[#This Row],[UpprFn]]*Lookups!$B$91</f>
        <v>0</v>
      </c>
      <c r="AX890" s="30">
        <f>Inventory[[#This Row],[Bsmt Area]]*Lookups!$B$95</f>
        <v>0</v>
      </c>
      <c r="AY890" s="30">
        <f>Inventory[[#This Row],[AttGar]]*Lookups!$B$93</f>
        <v>22592.65984</v>
      </c>
      <c r="AZ890" s="30">
        <f>ROUND(Inventory[[#This Row],[25Det]],-2)</f>
        <v>0</v>
      </c>
      <c r="BA890" s="30">
        <f>ROUND(SUM(Inventory[[#This Row],[Mdl Qlty]:[Mdl Garage Area]])+Inventory[[#This Row],[Mdl Res Intercept]],-2)</f>
        <v>325900</v>
      </c>
      <c r="BB890" s="30">
        <f>ROUND(Inventory[[#This Row],[Mdl Land Intercept]]+Inventory[[#This Row],[Mdl LnAcres]],-2)</f>
        <v>64300</v>
      </c>
      <c r="BC890" s="30">
        <f>Inventory[[#This Row],[Unadj Res Value]]+Inventory[[#This Row],[Unadj Det Value]]+Inventory[[#This Row],[Unadj Land Value]]</f>
        <v>390200</v>
      </c>
      <c r="BD890" s="30">
        <f>(Inventory[[#This Row],[Unadj Total Value]]-Inventory[[#This Row],[24Final]])/Inventory[[#This Row],[24Final]]</f>
        <v>5.2035589107576163E-2</v>
      </c>
      <c r="BE890" s="30">
        <f>VLOOKUP(Inventory[[#This Row],[Nbhd]],Lookups!$M$3:$P$5,4,FALSE)</f>
        <v>0.99970000000000003</v>
      </c>
      <c r="BF890" s="30">
        <f>VLOOKUP(Inventory[[#This Row],[Qlty]],Lookups!$M$8:$P$22,4,FALSE)</f>
        <v>1.0019</v>
      </c>
      <c r="BG890" s="30">
        <f>VLOOKUP(Inventory[[#This Row],[Cnd]],Lookups!$R$8:$U$17,4,FALSE)</f>
        <v>1.0007999999999999</v>
      </c>
      <c r="BH890" s="30">
        <f>VLOOKUP(Inventory[[#This Row],[LivArea Range]],Lookups!$R$25:$U$43,4,FALSE)</f>
        <v>0.99519999999999997</v>
      </c>
      <c r="BI890" s="30">
        <f>VLOOKUP(Inventory[[#This Row],[Decade]],Lookups!$M$24:$P$40,4,FALSE)</f>
        <v>0.99560000000000004</v>
      </c>
      <c r="BJ890" s="30">
        <f>Inventory[[#This Row],[Nbhd Adj]]*0.95</f>
        <v>0.94971499999999998</v>
      </c>
      <c r="BK890" s="30">
        <f>AVERAGE(Inventory[[#This Row],[Nbhd Adj]],Inventory[[#This Row],[Quality Adj]],Inventory[[#This Row],[Condition Adj]],Inventory[[#This Row],[Living Area Adj]],Inventory[[#This Row],[Decade Adj]])*0.95</f>
        <v>0.94870799999999988</v>
      </c>
      <c r="BL890" s="30">
        <f>ROUND((SUM(Inventory[[#This Row],[Mdl Qlty]:[Mdl Garage Area]])+Inventory[[#This Row],[Mdl Res Intercept]])*Inventory[[#This Row],[Res Adj ]],-2)</f>
        <v>309200</v>
      </c>
      <c r="BM890" s="30">
        <f>ROUND(Inventory[[#This Row],[25Det]]*Inventory[[#This Row],[Det/Nbhd Adj]],-2)</f>
        <v>0</v>
      </c>
      <c r="BN890" s="30">
        <f>Inventory[[#This Row],[Adjusted Res]]+Inventory[[#This Row],[Adj Det ]]</f>
        <v>309200</v>
      </c>
      <c r="BO890" s="30">
        <f>ROUND((Inventory[[#This Row],[Mdl Land Intercept]]+Inventory[[#This Row],[Mdl LnAcres]])*Inventory[[#This Row],[Det/Nbhd Adj]],-2)</f>
        <v>61100</v>
      </c>
      <c r="BP890" s="30">
        <f>Inventory[[#This Row],[Adjusted Impr Total]]+Inventory[[#This Row],[Adjusted Land Total]]</f>
        <v>370300</v>
      </c>
      <c r="BQ890" s="30">
        <f>IFERROR((Inventory[[#This Row],[Adjusted Impr Total]]-Inventory[[#This Row],[24Bldg]])/Inventory[[#This Row],[24Bldg]],0)</f>
        <v>-2.9022895840051595E-3</v>
      </c>
      <c r="BR890" s="43">
        <f>(Inventory[[#This Row],[Adjusted Land Total]]-Inventory[[#This Row],[24Lnd]])/Inventory[[#This Row],[24Lnd]]</f>
        <v>4.9342105263157892E-3</v>
      </c>
      <c r="BS890" s="43">
        <f>(Inventory[[#This Row],[Adjusted Total]]-Inventory[[#This Row],[24Final]])/Inventory[[#This Row],[24Final]]</f>
        <v>-1.6176867080075492E-3</v>
      </c>
    </row>
    <row r="891" spans="1:71">
      <c r="A891" s="30">
        <v>2025</v>
      </c>
      <c r="B891" s="31" t="s">
        <v>1406</v>
      </c>
      <c r="C891" s="31">
        <f>LN(Inventory[[#This Row],[Acres]])</f>
        <v>-1.8325814637483102</v>
      </c>
      <c r="D891" s="30">
        <v>0.16</v>
      </c>
      <c r="E891" s="30">
        <v>7001</v>
      </c>
      <c r="F891" s="31" t="s">
        <v>505</v>
      </c>
      <c r="G891" s="31" t="s">
        <v>155</v>
      </c>
      <c r="H891" s="31" t="s">
        <v>5</v>
      </c>
      <c r="I891" s="31" t="s">
        <v>506</v>
      </c>
      <c r="J891" s="31" t="s">
        <v>507</v>
      </c>
      <c r="K891" s="31" t="s">
        <v>157</v>
      </c>
      <c r="L891" s="31" t="s">
        <v>21</v>
      </c>
      <c r="M891" s="31" t="s">
        <v>22</v>
      </c>
      <c r="N891" s="31">
        <v>20</v>
      </c>
      <c r="O891" s="31">
        <f>2024-Inventory[[#This Row],[YrBlt]]</f>
        <v>20</v>
      </c>
      <c r="P891" s="31">
        <f>2024-Inventory[[#This Row],[EffYr]]</f>
        <v>20</v>
      </c>
      <c r="Q891" s="30">
        <v>2004</v>
      </c>
      <c r="R891" s="30">
        <v>2004</v>
      </c>
      <c r="S891" s="30">
        <v>1116</v>
      </c>
      <c r="T891" s="38">
        <v>1116</v>
      </c>
      <c r="U891" s="32"/>
      <c r="V891" s="32"/>
      <c r="W891" s="32"/>
      <c r="X891" s="32">
        <f>Inventory[[#This Row],[Bsmt Area]]-Inventory[[#This Row],[FnBsmt]]</f>
        <v>0</v>
      </c>
      <c r="Y891" s="32">
        <f>Inventory[[#This Row],[MainFn]]+Inventory[[#This Row],[UpprFn]]+Inventory[[#This Row],[AddFn]]+Inventory[[#This Row],[FnBsmt]]</f>
        <v>2232</v>
      </c>
      <c r="Z891" s="32">
        <v>2500</v>
      </c>
      <c r="AA891" s="31" t="s">
        <v>55</v>
      </c>
      <c r="AB891" s="32"/>
      <c r="AC891" s="30">
        <v>440</v>
      </c>
      <c r="AD891" s="32"/>
      <c r="AE891" s="32"/>
      <c r="AF891" s="32"/>
      <c r="AG891" s="32"/>
      <c r="AH891" s="32"/>
      <c r="AI891" s="30">
        <v>442423</v>
      </c>
      <c r="AJ891" s="30">
        <v>407029</v>
      </c>
      <c r="AK891" s="30">
        <v>0</v>
      </c>
      <c r="AL891" s="30">
        <v>0</v>
      </c>
      <c r="AM891" s="30">
        <v>60800</v>
      </c>
      <c r="AN891" s="30">
        <v>349100</v>
      </c>
      <c r="AO891" s="30">
        <v>409900</v>
      </c>
      <c r="AP891" s="30">
        <f>Lookups!$B$58*0.6</f>
        <v>132535.48800000001</v>
      </c>
      <c r="AQ891" s="30">
        <f>Lookups!$B$58*0.4</f>
        <v>88356.992000000013</v>
      </c>
      <c r="AR891" s="30">
        <f>Lookups!$B$59*Inventory[[#This Row],[LnAcres]]</f>
        <v>-24051.387388882686</v>
      </c>
      <c r="AS891" s="30">
        <f>VLOOKUP(Inventory[[#This Row],[Qlty]],Lookups!$A$66:$E$79,2,FALSE)</f>
        <v>32917.849192000001</v>
      </c>
      <c r="AT891" s="30">
        <f>VLOOKUP(Inventory[[#This Row],[Cnd]],Lookups!$A$80:$E$88,2,FALSE)</f>
        <v>50438.379078999998</v>
      </c>
      <c r="AU891" s="30">
        <f>Inventory[[#This Row],[EffAge]]*Lookups!$B$65</f>
        <v>-2174.8220000000001</v>
      </c>
      <c r="AV891" s="30">
        <f>Inventory[[#This Row],[MainFn]]*Lookups!$B$90</f>
        <v>69649.984080000009</v>
      </c>
      <c r="AW891" s="30">
        <f>Inventory[[#This Row],[UpprFn]]*Lookups!$B$91</f>
        <v>66491.707427999994</v>
      </c>
      <c r="AX891" s="30">
        <f>Inventory[[#This Row],[Bsmt Area]]*Lookups!$B$95</f>
        <v>0</v>
      </c>
      <c r="AY891" s="30">
        <f>Inventory[[#This Row],[AttGar]]*Lookups!$B$93</f>
        <v>15532.453640000002</v>
      </c>
      <c r="AZ891" s="30">
        <f>ROUND(Inventory[[#This Row],[25Det]],-2)</f>
        <v>0</v>
      </c>
      <c r="BA891" s="30">
        <f>ROUND(SUM(Inventory[[#This Row],[Mdl Qlty]:[Mdl Garage Area]])+Inventory[[#This Row],[Mdl Res Intercept]],-2)</f>
        <v>365400</v>
      </c>
      <c r="BB891" s="30">
        <f>ROUND(Inventory[[#This Row],[Mdl Land Intercept]]+Inventory[[#This Row],[Mdl LnAcres]],-2)</f>
        <v>64300</v>
      </c>
      <c r="BC891" s="30">
        <f>Inventory[[#This Row],[Unadj Res Value]]+Inventory[[#This Row],[Unadj Det Value]]+Inventory[[#This Row],[Unadj Land Value]]</f>
        <v>429700</v>
      </c>
      <c r="BD891" s="30">
        <f>(Inventory[[#This Row],[Unadj Total Value]]-Inventory[[#This Row],[24Final]])/Inventory[[#This Row],[24Final]]</f>
        <v>4.8304464503537446E-2</v>
      </c>
      <c r="BE891" s="30">
        <f>VLOOKUP(Inventory[[#This Row],[Nbhd]],Lookups!$M$3:$P$5,4,FALSE)</f>
        <v>0.99970000000000003</v>
      </c>
      <c r="BF891" s="30">
        <f>VLOOKUP(Inventory[[#This Row],[Qlty]],Lookups!$M$8:$P$22,4,FALSE)</f>
        <v>1.0019</v>
      </c>
      <c r="BG891" s="30">
        <f>VLOOKUP(Inventory[[#This Row],[Cnd]],Lookups!$R$8:$U$17,4,FALSE)</f>
        <v>1.0007999999999999</v>
      </c>
      <c r="BH891" s="30">
        <f>VLOOKUP(Inventory[[#This Row],[LivArea Range]],Lookups!$R$25:$U$43,4,FALSE)</f>
        <v>1.0008999999999999</v>
      </c>
      <c r="BI891" s="30">
        <f>VLOOKUP(Inventory[[#This Row],[Decade]],Lookups!$M$24:$P$40,4,FALSE)</f>
        <v>0.99560000000000004</v>
      </c>
      <c r="BJ891" s="30">
        <f>Inventory[[#This Row],[Nbhd Adj]]*0.95</f>
        <v>0.94971499999999998</v>
      </c>
      <c r="BK891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891" s="30">
        <f>ROUND((SUM(Inventory[[#This Row],[Mdl Qlty]:[Mdl Garage Area]])+Inventory[[#This Row],[Mdl Res Intercept]])*Inventory[[#This Row],[Res Adj ]],-2)</f>
        <v>347000</v>
      </c>
      <c r="BM891" s="30">
        <f>ROUND(Inventory[[#This Row],[25Det]]*Inventory[[#This Row],[Det/Nbhd Adj]],-2)</f>
        <v>0</v>
      </c>
      <c r="BN891" s="30">
        <f>Inventory[[#This Row],[Adjusted Res]]+Inventory[[#This Row],[Adj Det ]]</f>
        <v>347000</v>
      </c>
      <c r="BO891" s="30">
        <f>ROUND((Inventory[[#This Row],[Mdl Land Intercept]]+Inventory[[#This Row],[Mdl LnAcres]])*Inventory[[#This Row],[Det/Nbhd Adj]],-2)</f>
        <v>61100</v>
      </c>
      <c r="BP891" s="30">
        <f>Inventory[[#This Row],[Adjusted Impr Total]]+Inventory[[#This Row],[Adjusted Land Total]]</f>
        <v>408100</v>
      </c>
      <c r="BQ891" s="30">
        <f>IFERROR((Inventory[[#This Row],[Adjusted Impr Total]]-Inventory[[#This Row],[24Bldg]])/Inventory[[#This Row],[24Bldg]],0)</f>
        <v>-6.0154683471784591E-3</v>
      </c>
      <c r="BR891" s="43">
        <f>(Inventory[[#This Row],[Adjusted Land Total]]-Inventory[[#This Row],[24Lnd]])/Inventory[[#This Row],[24Lnd]]</f>
        <v>4.9342105263157892E-3</v>
      </c>
      <c r="BS891" s="43">
        <f>(Inventory[[#This Row],[Adjusted Total]]-Inventory[[#This Row],[24Final]])/Inventory[[#This Row],[24Final]]</f>
        <v>-4.3913149548670408E-3</v>
      </c>
    </row>
    <row r="892" spans="1:71">
      <c r="A892" s="30">
        <v>2025</v>
      </c>
      <c r="B892" s="31" t="s">
        <v>1407</v>
      </c>
      <c r="C892" s="31">
        <f>LN(Inventory[[#This Row],[Acres]])</f>
        <v>-1.8325814637483102</v>
      </c>
      <c r="D892" s="30">
        <v>0.16</v>
      </c>
      <c r="E892" s="30">
        <v>7056</v>
      </c>
      <c r="F892" s="31" t="s">
        <v>505</v>
      </c>
      <c r="G892" s="31" t="s">
        <v>155</v>
      </c>
      <c r="H892" s="31" t="s">
        <v>5</v>
      </c>
      <c r="I892" s="31" t="s">
        <v>506</v>
      </c>
      <c r="J892" s="31" t="s">
        <v>507</v>
      </c>
      <c r="K892" s="31" t="s">
        <v>157</v>
      </c>
      <c r="L892" s="31" t="s">
        <v>21</v>
      </c>
      <c r="M892" s="31" t="s">
        <v>22</v>
      </c>
      <c r="N892" s="31">
        <v>20</v>
      </c>
      <c r="O892" s="31">
        <f>2024-Inventory[[#This Row],[YrBlt]]</f>
        <v>20</v>
      </c>
      <c r="P892" s="31">
        <f>2024-Inventory[[#This Row],[EffYr]]</f>
        <v>20</v>
      </c>
      <c r="Q892" s="30">
        <v>2004</v>
      </c>
      <c r="R892" s="30">
        <v>2004</v>
      </c>
      <c r="S892" s="30">
        <v>1116</v>
      </c>
      <c r="T892" s="38">
        <v>1116</v>
      </c>
      <c r="U892" s="32"/>
      <c r="V892" s="32"/>
      <c r="W892" s="32"/>
      <c r="X892" s="32">
        <f>Inventory[[#This Row],[Bsmt Area]]-Inventory[[#This Row],[FnBsmt]]</f>
        <v>0</v>
      </c>
      <c r="Y892" s="32">
        <f>Inventory[[#This Row],[MainFn]]+Inventory[[#This Row],[UpprFn]]+Inventory[[#This Row],[AddFn]]+Inventory[[#This Row],[FnBsmt]]</f>
        <v>2232</v>
      </c>
      <c r="Z892" s="32">
        <v>2500</v>
      </c>
      <c r="AA892" s="31" t="s">
        <v>55</v>
      </c>
      <c r="AB892" s="38">
        <v>1</v>
      </c>
      <c r="AC892" s="30">
        <v>440</v>
      </c>
      <c r="AD892" s="32"/>
      <c r="AE892" s="32"/>
      <c r="AF892" s="32"/>
      <c r="AG892" s="32"/>
      <c r="AH892" s="32"/>
      <c r="AI892" s="30">
        <v>441051</v>
      </c>
      <c r="AJ892" s="30">
        <v>405767</v>
      </c>
      <c r="AK892" s="30">
        <v>0</v>
      </c>
      <c r="AL892" s="30">
        <v>0</v>
      </c>
      <c r="AM892" s="30">
        <v>60800</v>
      </c>
      <c r="AN892" s="30">
        <v>349100</v>
      </c>
      <c r="AO892" s="30">
        <v>409900</v>
      </c>
      <c r="AP892" s="30">
        <f>Lookups!$B$58*0.6</f>
        <v>132535.48800000001</v>
      </c>
      <c r="AQ892" s="30">
        <f>Lookups!$B$58*0.4</f>
        <v>88356.992000000013</v>
      </c>
      <c r="AR892" s="30">
        <f>Lookups!$B$59*Inventory[[#This Row],[LnAcres]]</f>
        <v>-24051.387388882686</v>
      </c>
      <c r="AS892" s="30">
        <f>VLOOKUP(Inventory[[#This Row],[Qlty]],Lookups!$A$66:$E$79,2,FALSE)</f>
        <v>32917.849192000001</v>
      </c>
      <c r="AT892" s="30">
        <f>VLOOKUP(Inventory[[#This Row],[Cnd]],Lookups!$A$80:$E$88,2,FALSE)</f>
        <v>50438.379078999998</v>
      </c>
      <c r="AU892" s="30">
        <f>Inventory[[#This Row],[EffAge]]*Lookups!$B$65</f>
        <v>-2174.8220000000001</v>
      </c>
      <c r="AV892" s="30">
        <f>Inventory[[#This Row],[MainFn]]*Lookups!$B$90</f>
        <v>69649.984080000009</v>
      </c>
      <c r="AW892" s="30">
        <f>Inventory[[#This Row],[UpprFn]]*Lookups!$B$91</f>
        <v>66491.707427999994</v>
      </c>
      <c r="AX892" s="30">
        <f>Inventory[[#This Row],[Bsmt Area]]*Lookups!$B$95</f>
        <v>0</v>
      </c>
      <c r="AY892" s="30">
        <f>Inventory[[#This Row],[AttGar]]*Lookups!$B$93</f>
        <v>15532.453640000002</v>
      </c>
      <c r="AZ892" s="30">
        <f>ROUND(Inventory[[#This Row],[25Det]],-2)</f>
        <v>0</v>
      </c>
      <c r="BA892" s="30">
        <f>ROUND(SUM(Inventory[[#This Row],[Mdl Qlty]:[Mdl Garage Area]])+Inventory[[#This Row],[Mdl Res Intercept]],-2)</f>
        <v>365400</v>
      </c>
      <c r="BB892" s="30">
        <f>ROUND(Inventory[[#This Row],[Mdl Land Intercept]]+Inventory[[#This Row],[Mdl LnAcres]],-2)</f>
        <v>64300</v>
      </c>
      <c r="BC892" s="30">
        <f>Inventory[[#This Row],[Unadj Res Value]]+Inventory[[#This Row],[Unadj Det Value]]+Inventory[[#This Row],[Unadj Land Value]]</f>
        <v>429700</v>
      </c>
      <c r="BD892" s="30">
        <f>(Inventory[[#This Row],[Unadj Total Value]]-Inventory[[#This Row],[24Final]])/Inventory[[#This Row],[24Final]]</f>
        <v>4.8304464503537446E-2</v>
      </c>
      <c r="BE892" s="30">
        <f>VLOOKUP(Inventory[[#This Row],[Nbhd]],Lookups!$M$3:$P$5,4,FALSE)</f>
        <v>0.99970000000000003</v>
      </c>
      <c r="BF892" s="30">
        <f>VLOOKUP(Inventory[[#This Row],[Qlty]],Lookups!$M$8:$P$22,4,FALSE)</f>
        <v>1.0019</v>
      </c>
      <c r="BG892" s="30">
        <f>VLOOKUP(Inventory[[#This Row],[Cnd]],Lookups!$R$8:$U$17,4,FALSE)</f>
        <v>1.0007999999999999</v>
      </c>
      <c r="BH892" s="30">
        <f>VLOOKUP(Inventory[[#This Row],[LivArea Range]],Lookups!$R$25:$U$43,4,FALSE)</f>
        <v>1.0008999999999999</v>
      </c>
      <c r="BI892" s="30">
        <f>VLOOKUP(Inventory[[#This Row],[Decade]],Lookups!$M$24:$P$40,4,FALSE)</f>
        <v>0.99560000000000004</v>
      </c>
      <c r="BJ892" s="30">
        <f>Inventory[[#This Row],[Nbhd Adj]]*0.95</f>
        <v>0.94971499999999998</v>
      </c>
      <c r="BK892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892" s="30">
        <f>ROUND((SUM(Inventory[[#This Row],[Mdl Qlty]:[Mdl Garage Area]])+Inventory[[#This Row],[Mdl Res Intercept]])*Inventory[[#This Row],[Res Adj ]],-2)</f>
        <v>347000</v>
      </c>
      <c r="BM892" s="30">
        <f>ROUND(Inventory[[#This Row],[25Det]]*Inventory[[#This Row],[Det/Nbhd Adj]],-2)</f>
        <v>0</v>
      </c>
      <c r="BN892" s="30">
        <f>Inventory[[#This Row],[Adjusted Res]]+Inventory[[#This Row],[Adj Det ]]</f>
        <v>347000</v>
      </c>
      <c r="BO892" s="30">
        <f>ROUND((Inventory[[#This Row],[Mdl Land Intercept]]+Inventory[[#This Row],[Mdl LnAcres]])*Inventory[[#This Row],[Det/Nbhd Adj]],-2)</f>
        <v>61100</v>
      </c>
      <c r="BP892" s="30">
        <f>Inventory[[#This Row],[Adjusted Impr Total]]+Inventory[[#This Row],[Adjusted Land Total]]</f>
        <v>408100</v>
      </c>
      <c r="BQ892" s="30">
        <f>IFERROR((Inventory[[#This Row],[Adjusted Impr Total]]-Inventory[[#This Row],[24Bldg]])/Inventory[[#This Row],[24Bldg]],0)</f>
        <v>-6.0154683471784591E-3</v>
      </c>
      <c r="BR892" s="43">
        <f>(Inventory[[#This Row],[Adjusted Land Total]]-Inventory[[#This Row],[24Lnd]])/Inventory[[#This Row],[24Lnd]]</f>
        <v>4.9342105263157892E-3</v>
      </c>
      <c r="BS892" s="43">
        <f>(Inventory[[#This Row],[Adjusted Total]]-Inventory[[#This Row],[24Final]])/Inventory[[#This Row],[24Final]]</f>
        <v>-4.3913149548670408E-3</v>
      </c>
    </row>
    <row r="893" spans="1:71">
      <c r="A893" s="30">
        <v>2025</v>
      </c>
      <c r="B893" s="31" t="s">
        <v>1408</v>
      </c>
      <c r="C893" s="31">
        <f>LN(Inventory[[#This Row],[Acres]])</f>
        <v>-1.8325814637483102</v>
      </c>
      <c r="D893" s="30">
        <v>0.16</v>
      </c>
      <c r="E893" s="30">
        <v>7148</v>
      </c>
      <c r="F893" s="31" t="s">
        <v>505</v>
      </c>
      <c r="G893" s="31" t="s">
        <v>155</v>
      </c>
      <c r="H893" s="31" t="s">
        <v>5</v>
      </c>
      <c r="I893" s="31" t="s">
        <v>506</v>
      </c>
      <c r="J893" s="31" t="s">
        <v>507</v>
      </c>
      <c r="K893" s="31" t="s">
        <v>157</v>
      </c>
      <c r="L893" s="31" t="s">
        <v>21</v>
      </c>
      <c r="M893" s="31" t="s">
        <v>22</v>
      </c>
      <c r="N893" s="31">
        <v>20</v>
      </c>
      <c r="O893" s="31">
        <f>2024-Inventory[[#This Row],[YrBlt]]</f>
        <v>20</v>
      </c>
      <c r="P893" s="31">
        <f>2024-Inventory[[#This Row],[EffYr]]</f>
        <v>20</v>
      </c>
      <c r="Q893" s="30">
        <v>2004</v>
      </c>
      <c r="R893" s="30">
        <v>2004</v>
      </c>
      <c r="S893" s="30">
        <v>1116</v>
      </c>
      <c r="T893" s="38">
        <v>1116</v>
      </c>
      <c r="U893" s="32"/>
      <c r="V893" s="32"/>
      <c r="W893" s="32"/>
      <c r="X893" s="32">
        <f>Inventory[[#This Row],[Bsmt Area]]-Inventory[[#This Row],[FnBsmt]]</f>
        <v>0</v>
      </c>
      <c r="Y893" s="32">
        <f>Inventory[[#This Row],[MainFn]]+Inventory[[#This Row],[UpprFn]]+Inventory[[#This Row],[AddFn]]+Inventory[[#This Row],[FnBsmt]]</f>
        <v>2232</v>
      </c>
      <c r="Z893" s="32">
        <v>2500</v>
      </c>
      <c r="AA893" s="31" t="s">
        <v>55</v>
      </c>
      <c r="AB893" s="32"/>
      <c r="AC893" s="30">
        <v>440</v>
      </c>
      <c r="AD893" s="32"/>
      <c r="AE893" s="32"/>
      <c r="AF893" s="32"/>
      <c r="AG893" s="32"/>
      <c r="AH893" s="32"/>
      <c r="AI893" s="30">
        <v>444224</v>
      </c>
      <c r="AJ893" s="30">
        <v>408686</v>
      </c>
      <c r="AK893" s="30">
        <v>0</v>
      </c>
      <c r="AL893" s="30">
        <v>0</v>
      </c>
      <c r="AM893" s="30">
        <v>60800</v>
      </c>
      <c r="AN893" s="30">
        <v>349100</v>
      </c>
      <c r="AO893" s="30">
        <v>409900</v>
      </c>
      <c r="AP893" s="30">
        <f>Lookups!$B$58*0.6</f>
        <v>132535.48800000001</v>
      </c>
      <c r="AQ893" s="30">
        <f>Lookups!$B$58*0.4</f>
        <v>88356.992000000013</v>
      </c>
      <c r="AR893" s="30">
        <f>Lookups!$B$59*Inventory[[#This Row],[LnAcres]]</f>
        <v>-24051.387388882686</v>
      </c>
      <c r="AS893" s="30">
        <f>VLOOKUP(Inventory[[#This Row],[Qlty]],Lookups!$A$66:$E$79,2,FALSE)</f>
        <v>32917.849192000001</v>
      </c>
      <c r="AT893" s="30">
        <f>VLOOKUP(Inventory[[#This Row],[Cnd]],Lookups!$A$80:$E$88,2,FALSE)</f>
        <v>50438.379078999998</v>
      </c>
      <c r="AU893" s="30">
        <f>Inventory[[#This Row],[EffAge]]*Lookups!$B$65</f>
        <v>-2174.8220000000001</v>
      </c>
      <c r="AV893" s="30">
        <f>Inventory[[#This Row],[MainFn]]*Lookups!$B$90</f>
        <v>69649.984080000009</v>
      </c>
      <c r="AW893" s="30">
        <f>Inventory[[#This Row],[UpprFn]]*Lookups!$B$91</f>
        <v>66491.707427999994</v>
      </c>
      <c r="AX893" s="30">
        <f>Inventory[[#This Row],[Bsmt Area]]*Lookups!$B$95</f>
        <v>0</v>
      </c>
      <c r="AY893" s="30">
        <f>Inventory[[#This Row],[AttGar]]*Lookups!$B$93</f>
        <v>15532.453640000002</v>
      </c>
      <c r="AZ893" s="30">
        <f>ROUND(Inventory[[#This Row],[25Det]],-2)</f>
        <v>0</v>
      </c>
      <c r="BA893" s="30">
        <f>ROUND(SUM(Inventory[[#This Row],[Mdl Qlty]:[Mdl Garage Area]])+Inventory[[#This Row],[Mdl Res Intercept]],-2)</f>
        <v>365400</v>
      </c>
      <c r="BB893" s="30">
        <f>ROUND(Inventory[[#This Row],[Mdl Land Intercept]]+Inventory[[#This Row],[Mdl LnAcres]],-2)</f>
        <v>64300</v>
      </c>
      <c r="BC893" s="30">
        <f>Inventory[[#This Row],[Unadj Res Value]]+Inventory[[#This Row],[Unadj Det Value]]+Inventory[[#This Row],[Unadj Land Value]]</f>
        <v>429700</v>
      </c>
      <c r="BD893" s="30">
        <f>(Inventory[[#This Row],[Unadj Total Value]]-Inventory[[#This Row],[24Final]])/Inventory[[#This Row],[24Final]]</f>
        <v>4.8304464503537446E-2</v>
      </c>
      <c r="BE893" s="30">
        <f>VLOOKUP(Inventory[[#This Row],[Nbhd]],Lookups!$M$3:$P$5,4,FALSE)</f>
        <v>0.99970000000000003</v>
      </c>
      <c r="BF893" s="30">
        <f>VLOOKUP(Inventory[[#This Row],[Qlty]],Lookups!$M$8:$P$22,4,FALSE)</f>
        <v>1.0019</v>
      </c>
      <c r="BG893" s="30">
        <f>VLOOKUP(Inventory[[#This Row],[Cnd]],Lookups!$R$8:$U$17,4,FALSE)</f>
        <v>1.0007999999999999</v>
      </c>
      <c r="BH893" s="30">
        <f>VLOOKUP(Inventory[[#This Row],[LivArea Range]],Lookups!$R$25:$U$43,4,FALSE)</f>
        <v>1.0008999999999999</v>
      </c>
      <c r="BI893" s="30">
        <f>VLOOKUP(Inventory[[#This Row],[Decade]],Lookups!$M$24:$P$40,4,FALSE)</f>
        <v>0.99560000000000004</v>
      </c>
      <c r="BJ893" s="30">
        <f>Inventory[[#This Row],[Nbhd Adj]]*0.95</f>
        <v>0.94971499999999998</v>
      </c>
      <c r="BK893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893" s="30">
        <f>ROUND((SUM(Inventory[[#This Row],[Mdl Qlty]:[Mdl Garage Area]])+Inventory[[#This Row],[Mdl Res Intercept]])*Inventory[[#This Row],[Res Adj ]],-2)</f>
        <v>347000</v>
      </c>
      <c r="BM893" s="30">
        <f>ROUND(Inventory[[#This Row],[25Det]]*Inventory[[#This Row],[Det/Nbhd Adj]],-2)</f>
        <v>0</v>
      </c>
      <c r="BN893" s="30">
        <f>Inventory[[#This Row],[Adjusted Res]]+Inventory[[#This Row],[Adj Det ]]</f>
        <v>347000</v>
      </c>
      <c r="BO893" s="30">
        <f>ROUND((Inventory[[#This Row],[Mdl Land Intercept]]+Inventory[[#This Row],[Mdl LnAcres]])*Inventory[[#This Row],[Det/Nbhd Adj]],-2)</f>
        <v>61100</v>
      </c>
      <c r="BP893" s="30">
        <f>Inventory[[#This Row],[Adjusted Impr Total]]+Inventory[[#This Row],[Adjusted Land Total]]</f>
        <v>408100</v>
      </c>
      <c r="BQ893" s="30">
        <f>IFERROR((Inventory[[#This Row],[Adjusted Impr Total]]-Inventory[[#This Row],[24Bldg]])/Inventory[[#This Row],[24Bldg]],0)</f>
        <v>-6.0154683471784591E-3</v>
      </c>
      <c r="BR893" s="43">
        <f>(Inventory[[#This Row],[Adjusted Land Total]]-Inventory[[#This Row],[24Lnd]])/Inventory[[#This Row],[24Lnd]]</f>
        <v>4.9342105263157892E-3</v>
      </c>
      <c r="BS893" s="43">
        <f>(Inventory[[#This Row],[Adjusted Total]]-Inventory[[#This Row],[24Final]])/Inventory[[#This Row],[24Final]]</f>
        <v>-4.3913149548670408E-3</v>
      </c>
    </row>
    <row r="894" spans="1:71">
      <c r="A894" s="30">
        <v>2025</v>
      </c>
      <c r="B894" s="31" t="s">
        <v>1409</v>
      </c>
      <c r="C894" s="31">
        <f>LN(Inventory[[#This Row],[Acres]])</f>
        <v>-1.8325814637483102</v>
      </c>
      <c r="D894" s="30">
        <v>0.16</v>
      </c>
      <c r="E894" s="30">
        <v>7148</v>
      </c>
      <c r="F894" s="31" t="s">
        <v>505</v>
      </c>
      <c r="G894" s="31" t="s">
        <v>155</v>
      </c>
      <c r="H894" s="31" t="s">
        <v>5</v>
      </c>
      <c r="I894" s="31" t="s">
        <v>506</v>
      </c>
      <c r="J894" s="31" t="s">
        <v>507</v>
      </c>
      <c r="K894" s="31" t="s">
        <v>157</v>
      </c>
      <c r="L894" s="31" t="s">
        <v>21</v>
      </c>
      <c r="M894" s="31" t="s">
        <v>22</v>
      </c>
      <c r="N894" s="31">
        <v>20</v>
      </c>
      <c r="O894" s="31">
        <f>2024-Inventory[[#This Row],[YrBlt]]</f>
        <v>20</v>
      </c>
      <c r="P894" s="31">
        <f>2024-Inventory[[#This Row],[EffYr]]</f>
        <v>20</v>
      </c>
      <c r="Q894" s="30">
        <v>2004</v>
      </c>
      <c r="R894" s="30">
        <v>2004</v>
      </c>
      <c r="S894" s="30">
        <v>1116</v>
      </c>
      <c r="T894" s="38">
        <v>1116</v>
      </c>
      <c r="U894" s="32"/>
      <c r="V894" s="32"/>
      <c r="W894" s="32"/>
      <c r="X894" s="32">
        <f>Inventory[[#This Row],[Bsmt Area]]-Inventory[[#This Row],[FnBsmt]]</f>
        <v>0</v>
      </c>
      <c r="Y894" s="32">
        <f>Inventory[[#This Row],[MainFn]]+Inventory[[#This Row],[UpprFn]]+Inventory[[#This Row],[AddFn]]+Inventory[[#This Row],[FnBsmt]]</f>
        <v>2232</v>
      </c>
      <c r="Z894" s="32">
        <v>2500</v>
      </c>
      <c r="AA894" s="31" t="s">
        <v>55</v>
      </c>
      <c r="AB894" s="37"/>
      <c r="AC894" s="30">
        <v>440</v>
      </c>
      <c r="AD894" s="32"/>
      <c r="AE894" s="32"/>
      <c r="AF894" s="32"/>
      <c r="AG894" s="32"/>
      <c r="AH894" s="32"/>
      <c r="AI894" s="30">
        <v>439327</v>
      </c>
      <c r="AJ894" s="30">
        <v>404181</v>
      </c>
      <c r="AK894" s="30">
        <v>6034</v>
      </c>
      <c r="AL894" s="30">
        <v>0</v>
      </c>
      <c r="AM894" s="30">
        <v>60800</v>
      </c>
      <c r="AN894" s="30">
        <v>354200</v>
      </c>
      <c r="AO894" s="30">
        <v>415000</v>
      </c>
      <c r="AP894" s="30">
        <f>Lookups!$B$58*0.6</f>
        <v>132535.48800000001</v>
      </c>
      <c r="AQ894" s="30">
        <f>Lookups!$B$58*0.4</f>
        <v>88356.992000000013</v>
      </c>
      <c r="AR894" s="30">
        <f>Lookups!$B$59*Inventory[[#This Row],[LnAcres]]</f>
        <v>-24051.387388882686</v>
      </c>
      <c r="AS894" s="30">
        <f>VLOOKUP(Inventory[[#This Row],[Qlty]],Lookups!$A$66:$E$79,2,FALSE)</f>
        <v>32917.849192000001</v>
      </c>
      <c r="AT894" s="30">
        <f>VLOOKUP(Inventory[[#This Row],[Cnd]],Lookups!$A$80:$E$88,2,FALSE)</f>
        <v>50438.379078999998</v>
      </c>
      <c r="AU894" s="30">
        <f>Inventory[[#This Row],[EffAge]]*Lookups!$B$65</f>
        <v>-2174.8220000000001</v>
      </c>
      <c r="AV894" s="30">
        <f>Inventory[[#This Row],[MainFn]]*Lookups!$B$90</f>
        <v>69649.984080000009</v>
      </c>
      <c r="AW894" s="30">
        <f>Inventory[[#This Row],[UpprFn]]*Lookups!$B$91</f>
        <v>66491.707427999994</v>
      </c>
      <c r="AX894" s="30">
        <f>Inventory[[#This Row],[Bsmt Area]]*Lookups!$B$95</f>
        <v>0</v>
      </c>
      <c r="AY894" s="30">
        <f>Inventory[[#This Row],[AttGar]]*Lookups!$B$93</f>
        <v>15532.453640000002</v>
      </c>
      <c r="AZ894" s="30">
        <f>ROUND(Inventory[[#This Row],[25Det]],-2)</f>
        <v>6000</v>
      </c>
      <c r="BA894" s="30">
        <f>ROUND(SUM(Inventory[[#This Row],[Mdl Qlty]:[Mdl Garage Area]])+Inventory[[#This Row],[Mdl Res Intercept]],-2)</f>
        <v>365400</v>
      </c>
      <c r="BB894" s="30">
        <f>ROUND(Inventory[[#This Row],[Mdl Land Intercept]]+Inventory[[#This Row],[Mdl LnAcres]],-2)</f>
        <v>64300</v>
      </c>
      <c r="BC894" s="30">
        <f>Inventory[[#This Row],[Unadj Res Value]]+Inventory[[#This Row],[Unadj Det Value]]+Inventory[[#This Row],[Unadj Land Value]]</f>
        <v>435700</v>
      </c>
      <c r="BD894" s="30">
        <f>(Inventory[[#This Row],[Unadj Total Value]]-Inventory[[#This Row],[24Final]])/Inventory[[#This Row],[24Final]]</f>
        <v>4.9879518072289158E-2</v>
      </c>
      <c r="BE894" s="30">
        <f>VLOOKUP(Inventory[[#This Row],[Nbhd]],Lookups!$M$3:$P$5,4,FALSE)</f>
        <v>0.99970000000000003</v>
      </c>
      <c r="BF894" s="30">
        <f>VLOOKUP(Inventory[[#This Row],[Qlty]],Lookups!$M$8:$P$22,4,FALSE)</f>
        <v>1.0019</v>
      </c>
      <c r="BG894" s="30">
        <f>VLOOKUP(Inventory[[#This Row],[Cnd]],Lookups!$R$8:$U$17,4,FALSE)</f>
        <v>1.0007999999999999</v>
      </c>
      <c r="BH894" s="30">
        <f>VLOOKUP(Inventory[[#This Row],[LivArea Range]],Lookups!$R$25:$U$43,4,FALSE)</f>
        <v>1.0008999999999999</v>
      </c>
      <c r="BI894" s="30">
        <f>VLOOKUP(Inventory[[#This Row],[Decade]],Lookups!$M$24:$P$40,4,FALSE)</f>
        <v>0.99560000000000004</v>
      </c>
      <c r="BJ894" s="30">
        <f>Inventory[[#This Row],[Nbhd Adj]]*0.95</f>
        <v>0.94971499999999998</v>
      </c>
      <c r="BK894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894" s="30">
        <f>ROUND((SUM(Inventory[[#This Row],[Mdl Qlty]:[Mdl Garage Area]])+Inventory[[#This Row],[Mdl Res Intercept]])*Inventory[[#This Row],[Res Adj ]],-2)</f>
        <v>347000</v>
      </c>
      <c r="BM894" s="30">
        <f>ROUND(Inventory[[#This Row],[25Det]]*Inventory[[#This Row],[Det/Nbhd Adj]],-2)</f>
        <v>5700</v>
      </c>
      <c r="BN894" s="30">
        <f>Inventory[[#This Row],[Adjusted Res]]+Inventory[[#This Row],[Adj Det ]]</f>
        <v>352700</v>
      </c>
      <c r="BO894" s="30">
        <f>ROUND((Inventory[[#This Row],[Mdl Land Intercept]]+Inventory[[#This Row],[Mdl LnAcres]])*Inventory[[#This Row],[Det/Nbhd Adj]],-2)</f>
        <v>61100</v>
      </c>
      <c r="BP894" s="30">
        <f>Inventory[[#This Row],[Adjusted Impr Total]]+Inventory[[#This Row],[Adjusted Land Total]]</f>
        <v>413800</v>
      </c>
      <c r="BQ894" s="30">
        <f>IFERROR((Inventory[[#This Row],[Adjusted Impr Total]]-Inventory[[#This Row],[24Bldg]])/Inventory[[#This Row],[24Bldg]],0)</f>
        <v>-4.234895539243365E-3</v>
      </c>
      <c r="BR894" s="43">
        <f>(Inventory[[#This Row],[Adjusted Land Total]]-Inventory[[#This Row],[24Lnd]])/Inventory[[#This Row],[24Lnd]]</f>
        <v>4.9342105263157892E-3</v>
      </c>
      <c r="BS894" s="43">
        <f>(Inventory[[#This Row],[Adjusted Total]]-Inventory[[#This Row],[24Final]])/Inventory[[#This Row],[24Final]]</f>
        <v>-2.891566265060241E-3</v>
      </c>
    </row>
    <row r="895" spans="1:71">
      <c r="A895" s="30">
        <v>2025</v>
      </c>
      <c r="B895" s="31" t="s">
        <v>1410</v>
      </c>
      <c r="C895" s="31">
        <f>LN(Inventory[[#This Row],[Acres]])</f>
        <v>-1.8325814637483102</v>
      </c>
      <c r="D895" s="30">
        <v>0.16</v>
      </c>
      <c r="E895" s="30">
        <v>7002</v>
      </c>
      <c r="F895" s="31" t="s">
        <v>505</v>
      </c>
      <c r="G895" s="31" t="s">
        <v>155</v>
      </c>
      <c r="H895" s="31" t="s">
        <v>5</v>
      </c>
      <c r="I895" s="31" t="s">
        <v>506</v>
      </c>
      <c r="J895" s="31" t="s">
        <v>507</v>
      </c>
      <c r="K895" s="31" t="s">
        <v>330</v>
      </c>
      <c r="L895" s="31" t="s">
        <v>21</v>
      </c>
      <c r="M895" s="31" t="s">
        <v>20</v>
      </c>
      <c r="N895" s="31">
        <v>20</v>
      </c>
      <c r="O895" s="31">
        <f>2024-Inventory[[#This Row],[YrBlt]]</f>
        <v>20</v>
      </c>
      <c r="P895" s="31">
        <f>2024-Inventory[[#This Row],[EffYr]]</f>
        <v>20</v>
      </c>
      <c r="Q895" s="30">
        <v>2004</v>
      </c>
      <c r="R895" s="30">
        <v>2004</v>
      </c>
      <c r="S895" s="30">
        <v>2154</v>
      </c>
      <c r="T895" s="37"/>
      <c r="U895" s="32"/>
      <c r="V895" s="32"/>
      <c r="W895" s="32"/>
      <c r="X895" s="32">
        <f>Inventory[[#This Row],[Bsmt Area]]-Inventory[[#This Row],[FnBsmt]]</f>
        <v>0</v>
      </c>
      <c r="Y895" s="32">
        <f>Inventory[[#This Row],[MainFn]]+Inventory[[#This Row],[UpprFn]]+Inventory[[#This Row],[AddFn]]+Inventory[[#This Row],[FnBsmt]]</f>
        <v>2154</v>
      </c>
      <c r="Z895" s="32">
        <v>2500</v>
      </c>
      <c r="AA895" s="31" t="s">
        <v>55</v>
      </c>
      <c r="AB895" s="38">
        <v>1</v>
      </c>
      <c r="AC895" s="30">
        <v>730</v>
      </c>
      <c r="AD895" s="32"/>
      <c r="AE895" s="32"/>
      <c r="AF895" s="32"/>
      <c r="AG895" s="32"/>
      <c r="AH895" s="37"/>
      <c r="AI895" s="30">
        <v>465547</v>
      </c>
      <c r="AJ895" s="30">
        <v>423648</v>
      </c>
      <c r="AK895" s="30">
        <v>0</v>
      </c>
      <c r="AL895" s="30">
        <v>0</v>
      </c>
      <c r="AM895" s="30">
        <v>60800</v>
      </c>
      <c r="AN895" s="30">
        <v>330800</v>
      </c>
      <c r="AO895" s="30">
        <v>391600</v>
      </c>
      <c r="AP895" s="30">
        <f>Lookups!$B$58*0.6</f>
        <v>132535.48800000001</v>
      </c>
      <c r="AQ895" s="30">
        <f>Lookups!$B$58*0.4</f>
        <v>88356.992000000013</v>
      </c>
      <c r="AR895" s="30">
        <f>Lookups!$B$59*Inventory[[#This Row],[LnAcres]]</f>
        <v>-24051.387388882686</v>
      </c>
      <c r="AS895" s="30">
        <f>VLOOKUP(Inventory[[#This Row],[Qlty]],Lookups!$A$66:$E$79,2,FALSE)</f>
        <v>32917.849192000001</v>
      </c>
      <c r="AT895" s="30">
        <f>VLOOKUP(Inventory[[#This Row],[Cnd]],Lookups!$A$80:$E$88,2,FALSE)</f>
        <v>30300.329274</v>
      </c>
      <c r="AU895" s="30">
        <f>Inventory[[#This Row],[EffAge]]*Lookups!$B$65</f>
        <v>-2174.8220000000001</v>
      </c>
      <c r="AV895" s="30">
        <f>Inventory[[#This Row],[MainFn]]*Lookups!$B$90</f>
        <v>134431.95852000001</v>
      </c>
      <c r="AW895" s="30">
        <f>Inventory[[#This Row],[UpprFn]]*Lookups!$B$91</f>
        <v>0</v>
      </c>
      <c r="AX895" s="30">
        <f>Inventory[[#This Row],[Bsmt Area]]*Lookups!$B$95</f>
        <v>0</v>
      </c>
      <c r="AY895" s="30">
        <f>Inventory[[#This Row],[AttGar]]*Lookups!$B$93</f>
        <v>25769.752630000003</v>
      </c>
      <c r="AZ895" s="30">
        <f>ROUND(Inventory[[#This Row],[25Det]],-2)</f>
        <v>0</v>
      </c>
      <c r="BA895" s="30">
        <f>ROUND(SUM(Inventory[[#This Row],[Mdl Qlty]:[Mdl Garage Area]])+Inventory[[#This Row],[Mdl Res Intercept]],-2)</f>
        <v>353800</v>
      </c>
      <c r="BB895" s="30">
        <f>ROUND(Inventory[[#This Row],[Mdl Land Intercept]]+Inventory[[#This Row],[Mdl LnAcres]],-2)</f>
        <v>64300</v>
      </c>
      <c r="BC895" s="30">
        <f>Inventory[[#This Row],[Unadj Res Value]]+Inventory[[#This Row],[Unadj Det Value]]+Inventory[[#This Row],[Unadj Land Value]]</f>
        <v>418100</v>
      </c>
      <c r="BD895" s="30">
        <f>(Inventory[[#This Row],[Unadj Total Value]]-Inventory[[#This Row],[24Final]])/Inventory[[#This Row],[24Final]]</f>
        <v>6.7671092951991835E-2</v>
      </c>
      <c r="BE895" s="30">
        <f>VLOOKUP(Inventory[[#This Row],[Nbhd]],Lookups!$M$3:$P$5,4,FALSE)</f>
        <v>0.99970000000000003</v>
      </c>
      <c r="BF895" s="30">
        <f>VLOOKUP(Inventory[[#This Row],[Qlty]],Lookups!$M$8:$P$22,4,FALSE)</f>
        <v>1.0019</v>
      </c>
      <c r="BG895" s="30">
        <f>VLOOKUP(Inventory[[#This Row],[Cnd]],Lookups!$R$8:$U$17,4,FALSE)</f>
        <v>0.997</v>
      </c>
      <c r="BH895" s="30">
        <f>VLOOKUP(Inventory[[#This Row],[LivArea Range]],Lookups!$R$25:$U$43,4,FALSE)</f>
        <v>1.0008999999999999</v>
      </c>
      <c r="BI895" s="30">
        <f>VLOOKUP(Inventory[[#This Row],[Decade]],Lookups!$M$24:$P$40,4,FALSE)</f>
        <v>0.99560000000000004</v>
      </c>
      <c r="BJ895" s="30">
        <f>Inventory[[#This Row],[Nbhd Adj]]*0.95</f>
        <v>0.94971499999999998</v>
      </c>
      <c r="BK895" s="30">
        <f>AVERAGE(Inventory[[#This Row],[Nbhd Adj]],Inventory[[#This Row],[Quality Adj]],Inventory[[#This Row],[Condition Adj]],Inventory[[#This Row],[Living Area Adj]],Inventory[[#This Row],[Decade Adj]])*0.95</f>
        <v>0.94906899999999972</v>
      </c>
      <c r="BL895" s="30">
        <f>ROUND((SUM(Inventory[[#This Row],[Mdl Qlty]:[Mdl Garage Area]])+Inventory[[#This Row],[Mdl Res Intercept]])*Inventory[[#This Row],[Res Adj ]],-2)</f>
        <v>335800</v>
      </c>
      <c r="BM895" s="30">
        <f>ROUND(Inventory[[#This Row],[25Det]]*Inventory[[#This Row],[Det/Nbhd Adj]],-2)</f>
        <v>0</v>
      </c>
      <c r="BN895" s="30">
        <f>Inventory[[#This Row],[Adjusted Res]]+Inventory[[#This Row],[Adj Det ]]</f>
        <v>335800</v>
      </c>
      <c r="BO895" s="30">
        <f>ROUND((Inventory[[#This Row],[Mdl Land Intercept]]+Inventory[[#This Row],[Mdl LnAcres]])*Inventory[[#This Row],[Det/Nbhd Adj]],-2)</f>
        <v>61100</v>
      </c>
      <c r="BP895" s="30">
        <f>Inventory[[#This Row],[Adjusted Impr Total]]+Inventory[[#This Row],[Adjusted Land Total]]</f>
        <v>396900</v>
      </c>
      <c r="BQ895" s="30">
        <f>IFERROR((Inventory[[#This Row],[Adjusted Impr Total]]-Inventory[[#This Row],[24Bldg]])/Inventory[[#This Row],[24Bldg]],0)</f>
        <v>1.5114873035066506E-2</v>
      </c>
      <c r="BR895" s="43">
        <f>(Inventory[[#This Row],[Adjusted Land Total]]-Inventory[[#This Row],[24Lnd]])/Inventory[[#This Row],[24Lnd]]</f>
        <v>4.9342105263157892E-3</v>
      </c>
      <c r="BS895" s="43">
        <f>(Inventory[[#This Row],[Adjusted Total]]-Inventory[[#This Row],[24Final]])/Inventory[[#This Row],[24Final]]</f>
        <v>1.3534218590398366E-2</v>
      </c>
    </row>
    <row r="896" spans="1:71">
      <c r="A896" s="30">
        <v>2025</v>
      </c>
      <c r="B896" s="31" t="s">
        <v>1411</v>
      </c>
      <c r="C896" s="31">
        <f>LN(Inventory[[#This Row],[Acres]])</f>
        <v>-1.8325814637483102</v>
      </c>
      <c r="D896" s="30">
        <v>0.16</v>
      </c>
      <c r="E896" s="30">
        <v>7031</v>
      </c>
      <c r="F896" s="31" t="s">
        <v>505</v>
      </c>
      <c r="G896" s="31" t="s">
        <v>155</v>
      </c>
      <c r="H896" s="31" t="s">
        <v>5</v>
      </c>
      <c r="I896" s="31" t="s">
        <v>506</v>
      </c>
      <c r="J896" s="31" t="s">
        <v>507</v>
      </c>
      <c r="K896" s="31" t="s">
        <v>193</v>
      </c>
      <c r="L896" s="31" t="s">
        <v>19</v>
      </c>
      <c r="M896" s="31" t="s">
        <v>20</v>
      </c>
      <c r="N896" s="31">
        <v>20</v>
      </c>
      <c r="O896" s="31">
        <f>2024-Inventory[[#This Row],[YrBlt]]</f>
        <v>20</v>
      </c>
      <c r="P896" s="31">
        <f>2024-Inventory[[#This Row],[EffYr]]</f>
        <v>20</v>
      </c>
      <c r="Q896" s="30">
        <v>2004</v>
      </c>
      <c r="R896" s="30">
        <v>2004</v>
      </c>
      <c r="S896" s="30">
        <v>1436</v>
      </c>
      <c r="T896" s="32"/>
      <c r="U896" s="32"/>
      <c r="V896" s="32"/>
      <c r="W896" s="32"/>
      <c r="X896" s="32">
        <f>Inventory[[#This Row],[Bsmt Area]]-Inventory[[#This Row],[FnBsmt]]</f>
        <v>0</v>
      </c>
      <c r="Y896" s="32">
        <f>Inventory[[#This Row],[MainFn]]+Inventory[[#This Row],[UpprFn]]+Inventory[[#This Row],[AddFn]]+Inventory[[#This Row],[FnBsmt]]</f>
        <v>1436</v>
      </c>
      <c r="Z896" s="32">
        <v>1500</v>
      </c>
      <c r="AA896" s="31" t="s">
        <v>56</v>
      </c>
      <c r="AB896" s="37"/>
      <c r="AC896" s="30">
        <v>400</v>
      </c>
      <c r="AD896" s="32"/>
      <c r="AE896" s="32"/>
      <c r="AF896" s="32"/>
      <c r="AG896" s="38">
        <v>118</v>
      </c>
      <c r="AH896" s="37"/>
      <c r="AI896" s="30">
        <v>282546</v>
      </c>
      <c r="AJ896" s="30">
        <v>302324</v>
      </c>
      <c r="AK896" s="30">
        <v>0</v>
      </c>
      <c r="AL896" s="30">
        <v>0</v>
      </c>
      <c r="AM896" s="30">
        <v>60800</v>
      </c>
      <c r="AN896" s="30">
        <v>340400</v>
      </c>
      <c r="AO896" s="30">
        <v>401200</v>
      </c>
      <c r="AP896" s="30">
        <f>Lookups!$B$58*0.6</f>
        <v>132535.48800000001</v>
      </c>
      <c r="AQ896" s="30">
        <f>Lookups!$B$58*0.4</f>
        <v>88356.992000000013</v>
      </c>
      <c r="AR896" s="30">
        <f>Lookups!$B$59*Inventory[[#This Row],[LnAcres]]</f>
        <v>-24051.387388882686</v>
      </c>
      <c r="AS896" s="30">
        <f>VLOOKUP(Inventory[[#This Row],[Qlty]],Lookups!$A$66:$E$79,2,FALSE)</f>
        <v>37154.252388000001</v>
      </c>
      <c r="AT896" s="30">
        <f>VLOOKUP(Inventory[[#This Row],[Cnd]],Lookups!$A$80:$E$88,2,FALSE)</f>
        <v>30300.329274</v>
      </c>
      <c r="AU896" s="30">
        <f>Inventory[[#This Row],[EffAge]]*Lookups!$B$65</f>
        <v>-2174.8220000000001</v>
      </c>
      <c r="AV896" s="30">
        <f>Inventory[[#This Row],[MainFn]]*Lookups!$B$90</f>
        <v>89621.305680000005</v>
      </c>
      <c r="AW896" s="30">
        <f>Inventory[[#This Row],[UpprFn]]*Lookups!$B$91</f>
        <v>0</v>
      </c>
      <c r="AX896" s="30">
        <f>Inventory[[#This Row],[Bsmt Area]]*Lookups!$B$95</f>
        <v>0</v>
      </c>
      <c r="AY896" s="30">
        <f>Inventory[[#This Row],[AttGar]]*Lookups!$B$93</f>
        <v>14120.412400000001</v>
      </c>
      <c r="AZ896" s="30">
        <f>ROUND(Inventory[[#This Row],[25Det]],-2)</f>
        <v>0</v>
      </c>
      <c r="BA896" s="30">
        <f>ROUND(SUM(Inventory[[#This Row],[Mdl Qlty]:[Mdl Garage Area]])+Inventory[[#This Row],[Mdl Res Intercept]],-2)</f>
        <v>301600</v>
      </c>
      <c r="BB896" s="30">
        <f>ROUND(Inventory[[#This Row],[Mdl Land Intercept]]+Inventory[[#This Row],[Mdl LnAcres]],-2)</f>
        <v>64300</v>
      </c>
      <c r="BC896" s="30">
        <f>Inventory[[#This Row],[Unadj Res Value]]+Inventory[[#This Row],[Unadj Det Value]]+Inventory[[#This Row],[Unadj Land Value]]</f>
        <v>365900</v>
      </c>
      <c r="BD896" s="30">
        <f>(Inventory[[#This Row],[Unadj Total Value]]-Inventory[[#This Row],[24Final]])/Inventory[[#This Row],[24Final]]</f>
        <v>-8.7986041874376864E-2</v>
      </c>
      <c r="BE896" s="30">
        <f>VLOOKUP(Inventory[[#This Row],[Nbhd]],Lookups!$M$3:$P$5,4,FALSE)</f>
        <v>0.99970000000000003</v>
      </c>
      <c r="BF896" s="30">
        <f>VLOOKUP(Inventory[[#This Row],[Qlty]],Lookups!$M$8:$P$22,4,FALSE)</f>
        <v>0.99819999999999998</v>
      </c>
      <c r="BG896" s="30">
        <f>VLOOKUP(Inventory[[#This Row],[Cnd]],Lookups!$R$8:$U$17,4,FALSE)</f>
        <v>0.997</v>
      </c>
      <c r="BH896" s="30">
        <f>VLOOKUP(Inventory[[#This Row],[LivArea Range]],Lookups!$R$25:$U$43,4,FALSE)</f>
        <v>0.99519999999999997</v>
      </c>
      <c r="BI896" s="30">
        <f>VLOOKUP(Inventory[[#This Row],[Decade]],Lookups!$M$24:$P$40,4,FALSE)</f>
        <v>0.99560000000000004</v>
      </c>
      <c r="BJ896" s="30">
        <f>Inventory[[#This Row],[Nbhd Adj]]*0.95</f>
        <v>0.94971499999999998</v>
      </c>
      <c r="BK896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896" s="30">
        <f>ROUND((SUM(Inventory[[#This Row],[Mdl Qlty]:[Mdl Garage Area]])+Inventory[[#This Row],[Mdl Res Intercept]])*Inventory[[#This Row],[Res Adj ]],-2)</f>
        <v>285700</v>
      </c>
      <c r="BM896" s="30">
        <f>ROUND(Inventory[[#This Row],[25Det]]*Inventory[[#This Row],[Det/Nbhd Adj]],-2)</f>
        <v>0</v>
      </c>
      <c r="BN896" s="30">
        <f>Inventory[[#This Row],[Adjusted Res]]+Inventory[[#This Row],[Adj Det ]]</f>
        <v>285700</v>
      </c>
      <c r="BO896" s="30">
        <f>ROUND((Inventory[[#This Row],[Mdl Land Intercept]]+Inventory[[#This Row],[Mdl LnAcres]])*Inventory[[#This Row],[Det/Nbhd Adj]],-2)</f>
        <v>61100</v>
      </c>
      <c r="BP896" s="30">
        <f>Inventory[[#This Row],[Adjusted Impr Total]]+Inventory[[#This Row],[Adjusted Land Total]]</f>
        <v>346800</v>
      </c>
      <c r="BQ896" s="30">
        <f>IFERROR((Inventory[[#This Row],[Adjusted Impr Total]]-Inventory[[#This Row],[24Bldg]])/Inventory[[#This Row],[24Bldg]],0)</f>
        <v>-0.16069330199764983</v>
      </c>
      <c r="BR896" s="43">
        <f>(Inventory[[#This Row],[Adjusted Land Total]]-Inventory[[#This Row],[24Lnd]])/Inventory[[#This Row],[24Lnd]]</f>
        <v>4.9342105263157892E-3</v>
      </c>
      <c r="BS896" s="43">
        <f>(Inventory[[#This Row],[Adjusted Total]]-Inventory[[#This Row],[24Final]])/Inventory[[#This Row],[24Final]]</f>
        <v>-0.13559322033898305</v>
      </c>
    </row>
    <row r="897" spans="1:71">
      <c r="A897" s="30">
        <v>2025</v>
      </c>
      <c r="B897" s="31" t="s">
        <v>1412</v>
      </c>
      <c r="C897" s="31">
        <f>LN(Inventory[[#This Row],[Acres]])</f>
        <v>-1.8325814637483102</v>
      </c>
      <c r="D897" s="30">
        <v>0.16</v>
      </c>
      <c r="E897" s="38">
        <v>7006</v>
      </c>
      <c r="F897" s="31" t="s">
        <v>505</v>
      </c>
      <c r="G897" s="31" t="s">
        <v>155</v>
      </c>
      <c r="H897" s="31" t="s">
        <v>5</v>
      </c>
      <c r="I897" s="31" t="s">
        <v>506</v>
      </c>
      <c r="J897" s="31" t="s">
        <v>507</v>
      </c>
      <c r="K897" s="31" t="s">
        <v>193</v>
      </c>
      <c r="L897" s="31" t="s">
        <v>19</v>
      </c>
      <c r="M897" s="31" t="s">
        <v>20</v>
      </c>
      <c r="N897" s="31">
        <v>20</v>
      </c>
      <c r="O897" s="31">
        <f>2024-Inventory[[#This Row],[YrBlt]]</f>
        <v>20</v>
      </c>
      <c r="P897" s="31">
        <f>2024-Inventory[[#This Row],[EffYr]]</f>
        <v>20</v>
      </c>
      <c r="Q897" s="30">
        <v>2004</v>
      </c>
      <c r="R897" s="30">
        <v>2004</v>
      </c>
      <c r="S897" s="30">
        <v>1092</v>
      </c>
      <c r="T897" s="32"/>
      <c r="U897" s="32"/>
      <c r="V897" s="32"/>
      <c r="W897" s="32"/>
      <c r="X897" s="32">
        <f>Inventory[[#This Row],[Bsmt Area]]-Inventory[[#This Row],[FnBsmt]]</f>
        <v>0</v>
      </c>
      <c r="Y897" s="32">
        <f>Inventory[[#This Row],[MainFn]]+Inventory[[#This Row],[UpprFn]]+Inventory[[#This Row],[AddFn]]+Inventory[[#This Row],[FnBsmt]]</f>
        <v>1092</v>
      </c>
      <c r="Z897" s="32">
        <v>1500</v>
      </c>
      <c r="AA897" s="31" t="s">
        <v>56</v>
      </c>
      <c r="AB897" s="32"/>
      <c r="AC897" s="30">
        <v>440</v>
      </c>
      <c r="AD897" s="32"/>
      <c r="AE897" s="32"/>
      <c r="AF897" s="32"/>
      <c r="AG897" s="32"/>
      <c r="AH897" s="32"/>
      <c r="AI897" s="30">
        <v>247425</v>
      </c>
      <c r="AJ897" s="30">
        <v>225157</v>
      </c>
      <c r="AK897" s="30">
        <v>0</v>
      </c>
      <c r="AL897" s="30">
        <v>0</v>
      </c>
      <c r="AM897" s="30">
        <v>60800</v>
      </c>
      <c r="AN897" s="30">
        <v>301200</v>
      </c>
      <c r="AO897" s="30">
        <v>362000</v>
      </c>
      <c r="AP897" s="30">
        <f>Lookups!$B$58*0.6</f>
        <v>132535.48800000001</v>
      </c>
      <c r="AQ897" s="30">
        <f>Lookups!$B$58*0.4</f>
        <v>88356.992000000013</v>
      </c>
      <c r="AR897" s="30">
        <f>Lookups!$B$59*Inventory[[#This Row],[LnAcres]]</f>
        <v>-24051.387388882686</v>
      </c>
      <c r="AS897" s="30">
        <f>VLOOKUP(Inventory[[#This Row],[Qlty]],Lookups!$A$66:$E$79,2,FALSE)</f>
        <v>37154.252388000001</v>
      </c>
      <c r="AT897" s="30">
        <f>VLOOKUP(Inventory[[#This Row],[Cnd]],Lookups!$A$80:$E$88,2,FALSE)</f>
        <v>30300.329274</v>
      </c>
      <c r="AU897" s="30">
        <f>Inventory[[#This Row],[EffAge]]*Lookups!$B$65</f>
        <v>-2174.8220000000001</v>
      </c>
      <c r="AV897" s="30">
        <f>Inventory[[#This Row],[MainFn]]*Lookups!$B$90</f>
        <v>68152.13496000001</v>
      </c>
      <c r="AW897" s="30">
        <f>Inventory[[#This Row],[UpprFn]]*Lookups!$B$91</f>
        <v>0</v>
      </c>
      <c r="AX897" s="30">
        <f>Inventory[[#This Row],[Bsmt Area]]*Lookups!$B$95</f>
        <v>0</v>
      </c>
      <c r="AY897" s="30">
        <f>Inventory[[#This Row],[AttGar]]*Lookups!$B$93</f>
        <v>15532.453640000002</v>
      </c>
      <c r="AZ897" s="30">
        <f>ROUND(Inventory[[#This Row],[25Det]],-2)</f>
        <v>0</v>
      </c>
      <c r="BA897" s="30">
        <f>ROUND(SUM(Inventory[[#This Row],[Mdl Qlty]:[Mdl Garage Area]])+Inventory[[#This Row],[Mdl Res Intercept]],-2)</f>
        <v>281500</v>
      </c>
      <c r="BB897" s="30">
        <f>ROUND(Inventory[[#This Row],[Mdl Land Intercept]]+Inventory[[#This Row],[Mdl LnAcres]],-2)</f>
        <v>64300</v>
      </c>
      <c r="BC897" s="30">
        <f>Inventory[[#This Row],[Unadj Res Value]]+Inventory[[#This Row],[Unadj Det Value]]+Inventory[[#This Row],[Unadj Land Value]]</f>
        <v>345800</v>
      </c>
      <c r="BD897" s="30">
        <f>(Inventory[[#This Row],[Unadj Total Value]]-Inventory[[#This Row],[24Final]])/Inventory[[#This Row],[24Final]]</f>
        <v>-4.4751381215469614E-2</v>
      </c>
      <c r="BE897" s="30">
        <f>VLOOKUP(Inventory[[#This Row],[Nbhd]],Lookups!$M$3:$P$5,4,FALSE)</f>
        <v>0.99970000000000003</v>
      </c>
      <c r="BF897" s="30">
        <f>VLOOKUP(Inventory[[#This Row],[Qlty]],Lookups!$M$8:$P$22,4,FALSE)</f>
        <v>0.99819999999999998</v>
      </c>
      <c r="BG897" s="30">
        <f>VLOOKUP(Inventory[[#This Row],[Cnd]],Lookups!$R$8:$U$17,4,FALSE)</f>
        <v>0.997</v>
      </c>
      <c r="BH897" s="30">
        <f>VLOOKUP(Inventory[[#This Row],[LivArea Range]],Lookups!$R$25:$U$43,4,FALSE)</f>
        <v>0.99519999999999997</v>
      </c>
      <c r="BI897" s="30">
        <f>VLOOKUP(Inventory[[#This Row],[Decade]],Lookups!$M$24:$P$40,4,FALSE)</f>
        <v>0.99560000000000004</v>
      </c>
      <c r="BJ897" s="30">
        <f>Inventory[[#This Row],[Nbhd Adj]]*0.95</f>
        <v>0.94971499999999998</v>
      </c>
      <c r="BK897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897" s="30">
        <f>ROUND((SUM(Inventory[[#This Row],[Mdl Qlty]:[Mdl Garage Area]])+Inventory[[#This Row],[Mdl Res Intercept]])*Inventory[[#This Row],[Res Adj ]],-2)</f>
        <v>266700</v>
      </c>
      <c r="BM897" s="30">
        <f>ROUND(Inventory[[#This Row],[25Det]]*Inventory[[#This Row],[Det/Nbhd Adj]],-2)</f>
        <v>0</v>
      </c>
      <c r="BN897" s="30">
        <f>Inventory[[#This Row],[Adjusted Res]]+Inventory[[#This Row],[Adj Det ]]</f>
        <v>266700</v>
      </c>
      <c r="BO897" s="30">
        <f>ROUND((Inventory[[#This Row],[Mdl Land Intercept]]+Inventory[[#This Row],[Mdl LnAcres]])*Inventory[[#This Row],[Det/Nbhd Adj]],-2)</f>
        <v>61100</v>
      </c>
      <c r="BP897" s="30">
        <f>Inventory[[#This Row],[Adjusted Impr Total]]+Inventory[[#This Row],[Adjusted Land Total]]</f>
        <v>327800</v>
      </c>
      <c r="BQ897" s="30">
        <f>IFERROR((Inventory[[#This Row],[Adjusted Impr Total]]-Inventory[[#This Row],[24Bldg]])/Inventory[[#This Row],[24Bldg]],0)</f>
        <v>-0.1145418326693227</v>
      </c>
      <c r="BR897" s="43">
        <f>(Inventory[[#This Row],[Adjusted Land Total]]-Inventory[[#This Row],[24Lnd]])/Inventory[[#This Row],[24Lnd]]</f>
        <v>4.9342105263157892E-3</v>
      </c>
      <c r="BS897" s="43">
        <f>(Inventory[[#This Row],[Adjusted Total]]-Inventory[[#This Row],[24Final]])/Inventory[[#This Row],[24Final]]</f>
        <v>-9.4475138121546967E-2</v>
      </c>
    </row>
    <row r="898" spans="1:71">
      <c r="A898" s="30">
        <v>2025</v>
      </c>
      <c r="B898" s="31" t="s">
        <v>1413</v>
      </c>
      <c r="C898" s="31">
        <f>LN(Inventory[[#This Row],[Acres]])</f>
        <v>-1.8325814637483102</v>
      </c>
      <c r="D898" s="30">
        <v>0.16</v>
      </c>
      <c r="E898" s="30">
        <v>6995</v>
      </c>
      <c r="F898" s="31" t="s">
        <v>505</v>
      </c>
      <c r="G898" s="31" t="s">
        <v>155</v>
      </c>
      <c r="H898" s="31" t="s">
        <v>5</v>
      </c>
      <c r="I898" s="31" t="s">
        <v>506</v>
      </c>
      <c r="J898" s="31" t="s">
        <v>507</v>
      </c>
      <c r="K898" s="31" t="s">
        <v>157</v>
      </c>
      <c r="L898" s="31" t="s">
        <v>21</v>
      </c>
      <c r="M898" s="31" t="s">
        <v>18</v>
      </c>
      <c r="N898" s="31">
        <v>20</v>
      </c>
      <c r="O898" s="31">
        <f>2024-Inventory[[#This Row],[YrBlt]]</f>
        <v>20</v>
      </c>
      <c r="P898" s="31">
        <f>2024-Inventory[[#This Row],[EffYr]]</f>
        <v>20</v>
      </c>
      <c r="Q898" s="30">
        <v>2004</v>
      </c>
      <c r="R898" s="30">
        <v>2004</v>
      </c>
      <c r="S898" s="30">
        <v>1116</v>
      </c>
      <c r="T898" s="38">
        <v>1116</v>
      </c>
      <c r="U898" s="32"/>
      <c r="V898" s="32"/>
      <c r="W898" s="32"/>
      <c r="X898" s="32">
        <f>Inventory[[#This Row],[Bsmt Area]]-Inventory[[#This Row],[FnBsmt]]</f>
        <v>0</v>
      </c>
      <c r="Y898" s="32">
        <f>Inventory[[#This Row],[MainFn]]+Inventory[[#This Row],[UpprFn]]+Inventory[[#This Row],[AddFn]]+Inventory[[#This Row],[FnBsmt]]</f>
        <v>2232</v>
      </c>
      <c r="Z898" s="32">
        <v>2500</v>
      </c>
      <c r="AA898" s="31" t="s">
        <v>56</v>
      </c>
      <c r="AB898" s="38">
        <v>1</v>
      </c>
      <c r="AC898" s="30">
        <v>440</v>
      </c>
      <c r="AD898" s="32"/>
      <c r="AE898" s="32"/>
      <c r="AF898" s="32"/>
      <c r="AG898" s="32"/>
      <c r="AH898" s="32"/>
      <c r="AI898" s="30">
        <v>444722</v>
      </c>
      <c r="AJ898" s="30">
        <v>404697</v>
      </c>
      <c r="AK898" s="30">
        <v>0</v>
      </c>
      <c r="AL898" s="30">
        <v>0</v>
      </c>
      <c r="AM898" s="30">
        <v>60800</v>
      </c>
      <c r="AN898" s="30">
        <v>349100</v>
      </c>
      <c r="AO898" s="30">
        <v>409900</v>
      </c>
      <c r="AP898" s="30">
        <f>Lookups!$B$58*0.6</f>
        <v>132535.48800000001</v>
      </c>
      <c r="AQ898" s="30">
        <f>Lookups!$B$58*0.4</f>
        <v>88356.992000000013</v>
      </c>
      <c r="AR898" s="30">
        <f>Lookups!$B$59*Inventory[[#This Row],[LnAcres]]</f>
        <v>-24051.387388882686</v>
      </c>
      <c r="AS898" s="30">
        <f>VLOOKUP(Inventory[[#This Row],[Qlty]],Lookups!$A$66:$E$79,2,FALSE)</f>
        <v>32917.849192000001</v>
      </c>
      <c r="AT898" s="30">
        <f>VLOOKUP(Inventory[[#This Row],[Cnd]],Lookups!$A$80:$E$88,2,FALSE)</f>
        <v>17761.121909000001</v>
      </c>
      <c r="AU898" s="30">
        <f>Inventory[[#This Row],[EffAge]]*Lookups!$B$65</f>
        <v>-2174.8220000000001</v>
      </c>
      <c r="AV898" s="30">
        <f>Inventory[[#This Row],[MainFn]]*Lookups!$B$90</f>
        <v>69649.984080000009</v>
      </c>
      <c r="AW898" s="30">
        <f>Inventory[[#This Row],[UpprFn]]*Lookups!$B$91</f>
        <v>66491.707427999994</v>
      </c>
      <c r="AX898" s="30">
        <f>Inventory[[#This Row],[Bsmt Area]]*Lookups!$B$95</f>
        <v>0</v>
      </c>
      <c r="AY898" s="30">
        <f>Inventory[[#This Row],[AttGar]]*Lookups!$B$93</f>
        <v>15532.453640000002</v>
      </c>
      <c r="AZ898" s="30">
        <f>ROUND(Inventory[[#This Row],[25Det]],-2)</f>
        <v>0</v>
      </c>
      <c r="BA898" s="30">
        <f>ROUND(SUM(Inventory[[#This Row],[Mdl Qlty]:[Mdl Garage Area]])+Inventory[[#This Row],[Mdl Res Intercept]],-2)</f>
        <v>332700</v>
      </c>
      <c r="BB898" s="30">
        <f>ROUND(Inventory[[#This Row],[Mdl Land Intercept]]+Inventory[[#This Row],[Mdl LnAcres]],-2)</f>
        <v>64300</v>
      </c>
      <c r="BC898" s="30">
        <f>Inventory[[#This Row],[Unadj Res Value]]+Inventory[[#This Row],[Unadj Det Value]]+Inventory[[#This Row],[Unadj Land Value]]</f>
        <v>397000</v>
      </c>
      <c r="BD898" s="30">
        <f>(Inventory[[#This Row],[Unadj Total Value]]-Inventory[[#This Row],[24Final]])/Inventory[[#This Row],[24Final]]</f>
        <v>-3.1471090509880457E-2</v>
      </c>
      <c r="BE898" s="30">
        <f>VLOOKUP(Inventory[[#This Row],[Nbhd]],Lookups!$M$3:$P$5,4,FALSE)</f>
        <v>0.99970000000000003</v>
      </c>
      <c r="BF898" s="30">
        <f>VLOOKUP(Inventory[[#This Row],[Qlty]],Lookups!$M$8:$P$22,4,FALSE)</f>
        <v>1.0019</v>
      </c>
      <c r="BG898" s="30">
        <f>VLOOKUP(Inventory[[#This Row],[Cnd]],Lookups!$R$8:$U$17,4,FALSE)</f>
        <v>0.99680000000000002</v>
      </c>
      <c r="BH898" s="30">
        <f>VLOOKUP(Inventory[[#This Row],[LivArea Range]],Lookups!$R$25:$U$43,4,FALSE)</f>
        <v>1.0008999999999999</v>
      </c>
      <c r="BI898" s="30">
        <f>VLOOKUP(Inventory[[#This Row],[Decade]],Lookups!$M$24:$P$40,4,FALSE)</f>
        <v>0.99560000000000004</v>
      </c>
      <c r="BJ898" s="30">
        <f>Inventory[[#This Row],[Nbhd Adj]]*0.95</f>
        <v>0.94971499999999998</v>
      </c>
      <c r="BK898" s="30">
        <f>AVERAGE(Inventory[[#This Row],[Nbhd Adj]],Inventory[[#This Row],[Quality Adj]],Inventory[[#This Row],[Condition Adj]],Inventory[[#This Row],[Living Area Adj]],Inventory[[#This Row],[Decade Adj]])*0.95</f>
        <v>0.94903099999999985</v>
      </c>
      <c r="BL898" s="30">
        <f>ROUND((SUM(Inventory[[#This Row],[Mdl Qlty]:[Mdl Garage Area]])+Inventory[[#This Row],[Mdl Res Intercept]])*Inventory[[#This Row],[Res Adj ]],-2)</f>
        <v>315800</v>
      </c>
      <c r="BM898" s="30">
        <f>ROUND(Inventory[[#This Row],[25Det]]*Inventory[[#This Row],[Det/Nbhd Adj]],-2)</f>
        <v>0</v>
      </c>
      <c r="BN898" s="30">
        <f>Inventory[[#This Row],[Adjusted Res]]+Inventory[[#This Row],[Adj Det ]]</f>
        <v>315800</v>
      </c>
      <c r="BO898" s="30">
        <f>ROUND((Inventory[[#This Row],[Mdl Land Intercept]]+Inventory[[#This Row],[Mdl LnAcres]])*Inventory[[#This Row],[Det/Nbhd Adj]],-2)</f>
        <v>61100</v>
      </c>
      <c r="BP898" s="30">
        <f>Inventory[[#This Row],[Adjusted Impr Total]]+Inventory[[#This Row],[Adjusted Land Total]]</f>
        <v>376900</v>
      </c>
      <c r="BQ898" s="30">
        <f>IFERROR((Inventory[[#This Row],[Adjusted Impr Total]]-Inventory[[#This Row],[24Bldg]])/Inventory[[#This Row],[24Bldg]],0)</f>
        <v>-9.5388140933829843E-2</v>
      </c>
      <c r="BR898" s="43">
        <f>(Inventory[[#This Row],[Adjusted Land Total]]-Inventory[[#This Row],[24Lnd]])/Inventory[[#This Row],[24Lnd]]</f>
        <v>4.9342105263157892E-3</v>
      </c>
      <c r="BS898" s="43">
        <f>(Inventory[[#This Row],[Adjusted Total]]-Inventory[[#This Row],[24Final]])/Inventory[[#This Row],[24Final]]</f>
        <v>-8.0507440839229075E-2</v>
      </c>
    </row>
    <row r="899" spans="1:71">
      <c r="A899" s="30">
        <v>2025</v>
      </c>
      <c r="B899" s="31" t="s">
        <v>1414</v>
      </c>
      <c r="C899" s="31">
        <f>LN(Inventory[[#This Row],[Acres]])</f>
        <v>-1.8325814637483102</v>
      </c>
      <c r="D899" s="30">
        <v>0.16</v>
      </c>
      <c r="E899" s="38">
        <v>7000</v>
      </c>
      <c r="F899" s="31" t="s">
        <v>505</v>
      </c>
      <c r="G899" s="31" t="s">
        <v>155</v>
      </c>
      <c r="H899" s="31" t="s">
        <v>5</v>
      </c>
      <c r="I899" s="31" t="s">
        <v>506</v>
      </c>
      <c r="J899" s="31" t="s">
        <v>507</v>
      </c>
      <c r="K899" s="31" t="s">
        <v>157</v>
      </c>
      <c r="L899" s="31" t="s">
        <v>21</v>
      </c>
      <c r="M899" s="31" t="s">
        <v>20</v>
      </c>
      <c r="N899" s="31">
        <v>20</v>
      </c>
      <c r="O899" s="31">
        <f>2024-Inventory[[#This Row],[YrBlt]]</f>
        <v>20</v>
      </c>
      <c r="P899" s="31">
        <f>2024-Inventory[[#This Row],[EffYr]]</f>
        <v>20</v>
      </c>
      <c r="Q899" s="30">
        <v>2004</v>
      </c>
      <c r="R899" s="30">
        <v>2004</v>
      </c>
      <c r="S899" s="30">
        <v>1158</v>
      </c>
      <c r="T899" s="38">
        <v>1322</v>
      </c>
      <c r="U899" s="32"/>
      <c r="V899" s="32"/>
      <c r="W899" s="32"/>
      <c r="X899" s="32">
        <f>Inventory[[#This Row],[Bsmt Area]]-Inventory[[#This Row],[FnBsmt]]</f>
        <v>0</v>
      </c>
      <c r="Y899" s="32">
        <f>Inventory[[#This Row],[MainFn]]+Inventory[[#This Row],[UpprFn]]+Inventory[[#This Row],[AddFn]]+Inventory[[#This Row],[FnBsmt]]</f>
        <v>2480</v>
      </c>
      <c r="Z899" s="32">
        <v>2500</v>
      </c>
      <c r="AA899" s="31" t="s">
        <v>56</v>
      </c>
      <c r="AB899" s="38">
        <v>1</v>
      </c>
      <c r="AC899" s="30">
        <v>300</v>
      </c>
      <c r="AD899" s="38">
        <v>502</v>
      </c>
      <c r="AE899" s="32"/>
      <c r="AF899" s="32"/>
      <c r="AG899" s="32"/>
      <c r="AH899" s="32"/>
      <c r="AI899" s="30">
        <v>511705</v>
      </c>
      <c r="AJ899" s="30">
        <v>465652</v>
      </c>
      <c r="AK899" s="30">
        <v>0</v>
      </c>
      <c r="AL899" s="30">
        <v>0</v>
      </c>
      <c r="AM899" s="30">
        <v>60800</v>
      </c>
      <c r="AN899" s="30">
        <v>363300</v>
      </c>
      <c r="AO899" s="30">
        <v>424100</v>
      </c>
      <c r="AP899" s="30">
        <f>Lookups!$B$58*0.6</f>
        <v>132535.48800000001</v>
      </c>
      <c r="AQ899" s="30">
        <f>Lookups!$B$58*0.4</f>
        <v>88356.992000000013</v>
      </c>
      <c r="AR899" s="30">
        <f>Lookups!$B$59*Inventory[[#This Row],[LnAcres]]</f>
        <v>-24051.387388882686</v>
      </c>
      <c r="AS899" s="30">
        <f>VLOOKUP(Inventory[[#This Row],[Qlty]],Lookups!$A$66:$E$79,2,FALSE)</f>
        <v>32917.849192000001</v>
      </c>
      <c r="AT899" s="30">
        <f>VLOOKUP(Inventory[[#This Row],[Cnd]],Lookups!$A$80:$E$88,2,FALSE)</f>
        <v>30300.329274</v>
      </c>
      <c r="AU899" s="30">
        <f>Inventory[[#This Row],[EffAge]]*Lookups!$B$65</f>
        <v>-2174.8220000000001</v>
      </c>
      <c r="AV899" s="30">
        <f>Inventory[[#This Row],[MainFn]]*Lookups!$B$90</f>
        <v>72271.22004</v>
      </c>
      <c r="AW899" s="30">
        <f>Inventory[[#This Row],[UpprFn]]*Lookups!$B$91</f>
        <v>78765.266325999997</v>
      </c>
      <c r="AX899" s="30">
        <f>Inventory[[#This Row],[Bsmt Area]]*Lookups!$B$95</f>
        <v>0</v>
      </c>
      <c r="AY899" s="30">
        <f>Inventory[[#This Row],[AttGar]]*Lookups!$B$93</f>
        <v>10590.309300000001</v>
      </c>
      <c r="AZ899" s="30">
        <f>ROUND(Inventory[[#This Row],[25Det]],-2)</f>
        <v>0</v>
      </c>
      <c r="BA899" s="30">
        <f>ROUND(SUM(Inventory[[#This Row],[Mdl Qlty]:[Mdl Garage Area]])+Inventory[[#This Row],[Mdl Res Intercept]],-2)</f>
        <v>355200</v>
      </c>
      <c r="BB899" s="30">
        <f>ROUND(Inventory[[#This Row],[Mdl Land Intercept]]+Inventory[[#This Row],[Mdl LnAcres]],-2)</f>
        <v>64300</v>
      </c>
      <c r="BC899" s="30">
        <f>Inventory[[#This Row],[Unadj Res Value]]+Inventory[[#This Row],[Unadj Det Value]]+Inventory[[#This Row],[Unadj Land Value]]</f>
        <v>419500</v>
      </c>
      <c r="BD899" s="30">
        <f>(Inventory[[#This Row],[Unadj Total Value]]-Inventory[[#This Row],[24Final]])/Inventory[[#This Row],[24Final]]</f>
        <v>-1.0846498467342609E-2</v>
      </c>
      <c r="BE899" s="30">
        <f>VLOOKUP(Inventory[[#This Row],[Nbhd]],Lookups!$M$3:$P$5,4,FALSE)</f>
        <v>0.99970000000000003</v>
      </c>
      <c r="BF899" s="30">
        <f>VLOOKUP(Inventory[[#This Row],[Qlty]],Lookups!$M$8:$P$22,4,FALSE)</f>
        <v>1.0019</v>
      </c>
      <c r="BG899" s="30">
        <f>VLOOKUP(Inventory[[#This Row],[Cnd]],Lookups!$R$8:$U$17,4,FALSE)</f>
        <v>0.997</v>
      </c>
      <c r="BH899" s="30">
        <f>VLOOKUP(Inventory[[#This Row],[LivArea Range]],Lookups!$R$25:$U$43,4,FALSE)</f>
        <v>1.0008999999999999</v>
      </c>
      <c r="BI899" s="30">
        <f>VLOOKUP(Inventory[[#This Row],[Decade]],Lookups!$M$24:$P$40,4,FALSE)</f>
        <v>0.99560000000000004</v>
      </c>
      <c r="BJ899" s="30">
        <f>Inventory[[#This Row],[Nbhd Adj]]*0.95</f>
        <v>0.94971499999999998</v>
      </c>
      <c r="BK899" s="30">
        <f>AVERAGE(Inventory[[#This Row],[Nbhd Adj]],Inventory[[#This Row],[Quality Adj]],Inventory[[#This Row],[Condition Adj]],Inventory[[#This Row],[Living Area Adj]],Inventory[[#This Row],[Decade Adj]])*0.95</f>
        <v>0.94906899999999972</v>
      </c>
      <c r="BL899" s="30">
        <f>ROUND((SUM(Inventory[[#This Row],[Mdl Qlty]:[Mdl Garage Area]])+Inventory[[#This Row],[Mdl Res Intercept]])*Inventory[[#This Row],[Res Adj ]],-2)</f>
        <v>337100</v>
      </c>
      <c r="BM899" s="30">
        <f>ROUND(Inventory[[#This Row],[25Det]]*Inventory[[#This Row],[Det/Nbhd Adj]],-2)</f>
        <v>0</v>
      </c>
      <c r="BN899" s="30">
        <f>Inventory[[#This Row],[Adjusted Res]]+Inventory[[#This Row],[Adj Det ]]</f>
        <v>337100</v>
      </c>
      <c r="BO899" s="30">
        <f>ROUND((Inventory[[#This Row],[Mdl Land Intercept]]+Inventory[[#This Row],[Mdl LnAcres]])*Inventory[[#This Row],[Det/Nbhd Adj]],-2)</f>
        <v>61100</v>
      </c>
      <c r="BP899" s="30">
        <f>Inventory[[#This Row],[Adjusted Impr Total]]+Inventory[[#This Row],[Adjusted Land Total]]</f>
        <v>398200</v>
      </c>
      <c r="BQ899" s="30">
        <f>IFERROR((Inventory[[#This Row],[Adjusted Impr Total]]-Inventory[[#This Row],[24Bldg]])/Inventory[[#This Row],[24Bldg]],0)</f>
        <v>-7.211670795485825E-2</v>
      </c>
      <c r="BR899" s="43">
        <f>(Inventory[[#This Row],[Adjusted Land Total]]-Inventory[[#This Row],[24Lnd]])/Inventory[[#This Row],[24Lnd]]</f>
        <v>4.9342105263157892E-3</v>
      </c>
      <c r="BS899" s="43">
        <f>(Inventory[[#This Row],[Adjusted Total]]-Inventory[[#This Row],[24Final]])/Inventory[[#This Row],[24Final]]</f>
        <v>-6.1070502240037725E-2</v>
      </c>
    </row>
    <row r="900" spans="1:71">
      <c r="A900" s="30">
        <v>2025</v>
      </c>
      <c r="B900" s="31" t="s">
        <v>1415</v>
      </c>
      <c r="C900" s="31">
        <f>LN(Inventory[[#This Row],[Acres]])</f>
        <v>-1.8325814637483102</v>
      </c>
      <c r="D900" s="30">
        <v>0.16</v>
      </c>
      <c r="E900" s="30">
        <v>7164</v>
      </c>
      <c r="F900" s="31" t="s">
        <v>505</v>
      </c>
      <c r="G900" s="31" t="s">
        <v>155</v>
      </c>
      <c r="H900" s="31" t="s">
        <v>5</v>
      </c>
      <c r="I900" s="31" t="s">
        <v>506</v>
      </c>
      <c r="J900" s="31" t="s">
        <v>507</v>
      </c>
      <c r="K900" s="31" t="s">
        <v>157</v>
      </c>
      <c r="L900" s="31" t="s">
        <v>21</v>
      </c>
      <c r="M900" s="31" t="s">
        <v>20</v>
      </c>
      <c r="N900" s="31">
        <v>20</v>
      </c>
      <c r="O900" s="31">
        <f>2024-Inventory[[#This Row],[YrBlt]]</f>
        <v>20</v>
      </c>
      <c r="P900" s="31">
        <f>2024-Inventory[[#This Row],[EffYr]]</f>
        <v>20</v>
      </c>
      <c r="Q900" s="30">
        <v>2004</v>
      </c>
      <c r="R900" s="30">
        <v>2004</v>
      </c>
      <c r="S900" s="30">
        <v>1158</v>
      </c>
      <c r="T900" s="38">
        <v>1322</v>
      </c>
      <c r="U900" s="32"/>
      <c r="V900" s="32"/>
      <c r="W900" s="32"/>
      <c r="X900" s="32">
        <f>Inventory[[#This Row],[Bsmt Area]]-Inventory[[#This Row],[FnBsmt]]</f>
        <v>0</v>
      </c>
      <c r="Y900" s="32">
        <f>Inventory[[#This Row],[MainFn]]+Inventory[[#This Row],[UpprFn]]+Inventory[[#This Row],[AddFn]]+Inventory[[#This Row],[FnBsmt]]</f>
        <v>2480</v>
      </c>
      <c r="Z900" s="32">
        <v>2500</v>
      </c>
      <c r="AA900" s="31" t="s">
        <v>56</v>
      </c>
      <c r="AB900" s="38">
        <v>1</v>
      </c>
      <c r="AC900" s="30">
        <v>300</v>
      </c>
      <c r="AD900" s="38">
        <v>502</v>
      </c>
      <c r="AE900" s="32"/>
      <c r="AF900" s="32"/>
      <c r="AG900" s="32"/>
      <c r="AH900" s="32"/>
      <c r="AI900" s="30">
        <v>513077</v>
      </c>
      <c r="AJ900" s="30">
        <v>466900</v>
      </c>
      <c r="AK900" s="30">
        <v>0</v>
      </c>
      <c r="AL900" s="30">
        <v>0</v>
      </c>
      <c r="AM900" s="30">
        <v>60800</v>
      </c>
      <c r="AN900" s="30">
        <v>363300</v>
      </c>
      <c r="AO900" s="30">
        <v>424100</v>
      </c>
      <c r="AP900" s="30">
        <f>Lookups!$B$58*0.6</f>
        <v>132535.48800000001</v>
      </c>
      <c r="AQ900" s="30">
        <f>Lookups!$B$58*0.4</f>
        <v>88356.992000000013</v>
      </c>
      <c r="AR900" s="30">
        <f>Lookups!$B$59*Inventory[[#This Row],[LnAcres]]</f>
        <v>-24051.387388882686</v>
      </c>
      <c r="AS900" s="30">
        <f>VLOOKUP(Inventory[[#This Row],[Qlty]],Lookups!$A$66:$E$79,2,FALSE)</f>
        <v>32917.849192000001</v>
      </c>
      <c r="AT900" s="30">
        <f>VLOOKUP(Inventory[[#This Row],[Cnd]],Lookups!$A$80:$E$88,2,FALSE)</f>
        <v>30300.329274</v>
      </c>
      <c r="AU900" s="30">
        <f>Inventory[[#This Row],[EffAge]]*Lookups!$B$65</f>
        <v>-2174.8220000000001</v>
      </c>
      <c r="AV900" s="30">
        <f>Inventory[[#This Row],[MainFn]]*Lookups!$B$90</f>
        <v>72271.22004</v>
      </c>
      <c r="AW900" s="30">
        <f>Inventory[[#This Row],[UpprFn]]*Lookups!$B$91</f>
        <v>78765.266325999997</v>
      </c>
      <c r="AX900" s="30">
        <f>Inventory[[#This Row],[Bsmt Area]]*Lookups!$B$95</f>
        <v>0</v>
      </c>
      <c r="AY900" s="30">
        <f>Inventory[[#This Row],[AttGar]]*Lookups!$B$93</f>
        <v>10590.309300000001</v>
      </c>
      <c r="AZ900" s="30">
        <f>ROUND(Inventory[[#This Row],[25Det]],-2)</f>
        <v>0</v>
      </c>
      <c r="BA900" s="30">
        <f>ROUND(SUM(Inventory[[#This Row],[Mdl Qlty]:[Mdl Garage Area]])+Inventory[[#This Row],[Mdl Res Intercept]],-2)</f>
        <v>355200</v>
      </c>
      <c r="BB900" s="30">
        <f>ROUND(Inventory[[#This Row],[Mdl Land Intercept]]+Inventory[[#This Row],[Mdl LnAcres]],-2)</f>
        <v>64300</v>
      </c>
      <c r="BC900" s="30">
        <f>Inventory[[#This Row],[Unadj Res Value]]+Inventory[[#This Row],[Unadj Det Value]]+Inventory[[#This Row],[Unadj Land Value]]</f>
        <v>419500</v>
      </c>
      <c r="BD900" s="30">
        <f>(Inventory[[#This Row],[Unadj Total Value]]-Inventory[[#This Row],[24Final]])/Inventory[[#This Row],[24Final]]</f>
        <v>-1.0846498467342609E-2</v>
      </c>
      <c r="BE900" s="30">
        <f>VLOOKUP(Inventory[[#This Row],[Nbhd]],Lookups!$M$3:$P$5,4,FALSE)</f>
        <v>0.99970000000000003</v>
      </c>
      <c r="BF900" s="30">
        <f>VLOOKUP(Inventory[[#This Row],[Qlty]],Lookups!$M$8:$P$22,4,FALSE)</f>
        <v>1.0019</v>
      </c>
      <c r="BG900" s="30">
        <f>VLOOKUP(Inventory[[#This Row],[Cnd]],Lookups!$R$8:$U$17,4,FALSE)</f>
        <v>0.997</v>
      </c>
      <c r="BH900" s="30">
        <f>VLOOKUP(Inventory[[#This Row],[LivArea Range]],Lookups!$R$25:$U$43,4,FALSE)</f>
        <v>1.0008999999999999</v>
      </c>
      <c r="BI900" s="30">
        <f>VLOOKUP(Inventory[[#This Row],[Decade]],Lookups!$M$24:$P$40,4,FALSE)</f>
        <v>0.99560000000000004</v>
      </c>
      <c r="BJ900" s="30">
        <f>Inventory[[#This Row],[Nbhd Adj]]*0.95</f>
        <v>0.94971499999999998</v>
      </c>
      <c r="BK900" s="30">
        <f>AVERAGE(Inventory[[#This Row],[Nbhd Adj]],Inventory[[#This Row],[Quality Adj]],Inventory[[#This Row],[Condition Adj]],Inventory[[#This Row],[Living Area Adj]],Inventory[[#This Row],[Decade Adj]])*0.95</f>
        <v>0.94906899999999972</v>
      </c>
      <c r="BL900" s="30">
        <f>ROUND((SUM(Inventory[[#This Row],[Mdl Qlty]:[Mdl Garage Area]])+Inventory[[#This Row],[Mdl Res Intercept]])*Inventory[[#This Row],[Res Adj ]],-2)</f>
        <v>337100</v>
      </c>
      <c r="BM900" s="30">
        <f>ROUND(Inventory[[#This Row],[25Det]]*Inventory[[#This Row],[Det/Nbhd Adj]],-2)</f>
        <v>0</v>
      </c>
      <c r="BN900" s="30">
        <f>Inventory[[#This Row],[Adjusted Res]]+Inventory[[#This Row],[Adj Det ]]</f>
        <v>337100</v>
      </c>
      <c r="BO900" s="30">
        <f>ROUND((Inventory[[#This Row],[Mdl Land Intercept]]+Inventory[[#This Row],[Mdl LnAcres]])*Inventory[[#This Row],[Det/Nbhd Adj]],-2)</f>
        <v>61100</v>
      </c>
      <c r="BP900" s="30">
        <f>Inventory[[#This Row],[Adjusted Impr Total]]+Inventory[[#This Row],[Adjusted Land Total]]</f>
        <v>398200</v>
      </c>
      <c r="BQ900" s="30">
        <f>IFERROR((Inventory[[#This Row],[Adjusted Impr Total]]-Inventory[[#This Row],[24Bldg]])/Inventory[[#This Row],[24Bldg]],0)</f>
        <v>-7.211670795485825E-2</v>
      </c>
      <c r="BR900" s="43">
        <f>(Inventory[[#This Row],[Adjusted Land Total]]-Inventory[[#This Row],[24Lnd]])/Inventory[[#This Row],[24Lnd]]</f>
        <v>4.9342105263157892E-3</v>
      </c>
      <c r="BS900" s="43">
        <f>(Inventory[[#This Row],[Adjusted Total]]-Inventory[[#This Row],[24Final]])/Inventory[[#This Row],[24Final]]</f>
        <v>-6.1070502240037725E-2</v>
      </c>
    </row>
    <row r="901" spans="1:71">
      <c r="A901" s="30">
        <v>2025</v>
      </c>
      <c r="B901" s="31" t="s">
        <v>1416</v>
      </c>
      <c r="C901" s="31">
        <f>LN(Inventory[[#This Row],[Acres]])</f>
        <v>-1.8325814637483102</v>
      </c>
      <c r="D901" s="30">
        <v>0.16</v>
      </c>
      <c r="E901" s="30">
        <v>7032</v>
      </c>
      <c r="F901" s="31" t="s">
        <v>505</v>
      </c>
      <c r="G901" s="31" t="s">
        <v>155</v>
      </c>
      <c r="H901" s="31" t="s">
        <v>5</v>
      </c>
      <c r="I901" s="31" t="s">
        <v>506</v>
      </c>
      <c r="J901" s="31" t="s">
        <v>507</v>
      </c>
      <c r="K901" s="31" t="s">
        <v>157</v>
      </c>
      <c r="L901" s="31" t="s">
        <v>21</v>
      </c>
      <c r="M901" s="31" t="s">
        <v>20</v>
      </c>
      <c r="N901" s="31">
        <v>20</v>
      </c>
      <c r="O901" s="31">
        <f>2024-Inventory[[#This Row],[YrBlt]]</f>
        <v>20</v>
      </c>
      <c r="P901" s="31">
        <f>2024-Inventory[[#This Row],[EffYr]]</f>
        <v>20</v>
      </c>
      <c r="Q901" s="30">
        <v>2004</v>
      </c>
      <c r="R901" s="30">
        <v>2004</v>
      </c>
      <c r="S901" s="30">
        <v>1158</v>
      </c>
      <c r="T901" s="38">
        <v>1322</v>
      </c>
      <c r="U901" s="32"/>
      <c r="V901" s="32"/>
      <c r="W901" s="32"/>
      <c r="X901" s="32">
        <f>Inventory[[#This Row],[Bsmt Area]]-Inventory[[#This Row],[FnBsmt]]</f>
        <v>0</v>
      </c>
      <c r="Y901" s="32">
        <f>Inventory[[#This Row],[MainFn]]+Inventory[[#This Row],[UpprFn]]+Inventory[[#This Row],[AddFn]]+Inventory[[#This Row],[FnBsmt]]</f>
        <v>2480</v>
      </c>
      <c r="Z901" s="32">
        <v>2500</v>
      </c>
      <c r="AA901" s="31" t="s">
        <v>56</v>
      </c>
      <c r="AB901" s="38">
        <v>1</v>
      </c>
      <c r="AC901" s="37"/>
      <c r="AD901" s="38">
        <v>502</v>
      </c>
      <c r="AE901" s="32"/>
      <c r="AF901" s="32"/>
      <c r="AG901" s="32"/>
      <c r="AH901" s="32"/>
      <c r="AI901" s="30">
        <v>481791</v>
      </c>
      <c r="AJ901" s="30">
        <v>438430</v>
      </c>
      <c r="AK901" s="30">
        <v>0</v>
      </c>
      <c r="AL901" s="30">
        <v>0</v>
      </c>
      <c r="AM901" s="30">
        <v>60800</v>
      </c>
      <c r="AN901" s="30">
        <v>350400</v>
      </c>
      <c r="AO901" s="30">
        <v>411200</v>
      </c>
      <c r="AP901" s="30">
        <f>Lookups!$B$58*0.6</f>
        <v>132535.48800000001</v>
      </c>
      <c r="AQ901" s="30">
        <f>Lookups!$B$58*0.4</f>
        <v>88356.992000000013</v>
      </c>
      <c r="AR901" s="30">
        <f>Lookups!$B$59*Inventory[[#This Row],[LnAcres]]</f>
        <v>-24051.387388882686</v>
      </c>
      <c r="AS901" s="30">
        <f>VLOOKUP(Inventory[[#This Row],[Qlty]],Lookups!$A$66:$E$79,2,FALSE)</f>
        <v>32917.849192000001</v>
      </c>
      <c r="AT901" s="30">
        <f>VLOOKUP(Inventory[[#This Row],[Cnd]],Lookups!$A$80:$E$88,2,FALSE)</f>
        <v>30300.329274</v>
      </c>
      <c r="AU901" s="30">
        <f>Inventory[[#This Row],[EffAge]]*Lookups!$B$65</f>
        <v>-2174.8220000000001</v>
      </c>
      <c r="AV901" s="30">
        <f>Inventory[[#This Row],[MainFn]]*Lookups!$B$90</f>
        <v>72271.22004</v>
      </c>
      <c r="AW901" s="30">
        <f>Inventory[[#This Row],[UpprFn]]*Lookups!$B$91</f>
        <v>78765.266325999997</v>
      </c>
      <c r="AX901" s="30">
        <f>Inventory[[#This Row],[Bsmt Area]]*Lookups!$B$95</f>
        <v>0</v>
      </c>
      <c r="AY901" s="30">
        <f>Inventory[[#This Row],[AttGar]]*Lookups!$B$93</f>
        <v>0</v>
      </c>
      <c r="AZ901" s="30">
        <f>ROUND(Inventory[[#This Row],[25Det]],-2)</f>
        <v>0</v>
      </c>
      <c r="BA901" s="30">
        <f>ROUND(SUM(Inventory[[#This Row],[Mdl Qlty]:[Mdl Garage Area]])+Inventory[[#This Row],[Mdl Res Intercept]],-2)</f>
        <v>344600</v>
      </c>
      <c r="BB901" s="30">
        <f>ROUND(Inventory[[#This Row],[Mdl Land Intercept]]+Inventory[[#This Row],[Mdl LnAcres]],-2)</f>
        <v>64300</v>
      </c>
      <c r="BC901" s="30">
        <f>Inventory[[#This Row],[Unadj Res Value]]+Inventory[[#This Row],[Unadj Det Value]]+Inventory[[#This Row],[Unadj Land Value]]</f>
        <v>408900</v>
      </c>
      <c r="BD901" s="30">
        <f>(Inventory[[#This Row],[Unadj Total Value]]-Inventory[[#This Row],[24Final]])/Inventory[[#This Row],[24Final]]</f>
        <v>-5.5933852140077822E-3</v>
      </c>
      <c r="BE901" s="30">
        <f>VLOOKUP(Inventory[[#This Row],[Nbhd]],Lookups!$M$3:$P$5,4,FALSE)</f>
        <v>0.99970000000000003</v>
      </c>
      <c r="BF901" s="30">
        <f>VLOOKUP(Inventory[[#This Row],[Qlty]],Lookups!$M$8:$P$22,4,FALSE)</f>
        <v>1.0019</v>
      </c>
      <c r="BG901" s="30">
        <f>VLOOKUP(Inventory[[#This Row],[Cnd]],Lookups!$R$8:$U$17,4,FALSE)</f>
        <v>0.997</v>
      </c>
      <c r="BH901" s="30">
        <f>VLOOKUP(Inventory[[#This Row],[LivArea Range]],Lookups!$R$25:$U$43,4,FALSE)</f>
        <v>1.0008999999999999</v>
      </c>
      <c r="BI901" s="30">
        <f>VLOOKUP(Inventory[[#This Row],[Decade]],Lookups!$M$24:$P$40,4,FALSE)</f>
        <v>0.99560000000000004</v>
      </c>
      <c r="BJ901" s="30">
        <f>Inventory[[#This Row],[Nbhd Adj]]*0.95</f>
        <v>0.94971499999999998</v>
      </c>
      <c r="BK901" s="30">
        <f>AVERAGE(Inventory[[#This Row],[Nbhd Adj]],Inventory[[#This Row],[Quality Adj]],Inventory[[#This Row],[Condition Adj]],Inventory[[#This Row],[Living Area Adj]],Inventory[[#This Row],[Decade Adj]])*0.95</f>
        <v>0.94906899999999972</v>
      </c>
      <c r="BL901" s="30">
        <f>ROUND((SUM(Inventory[[#This Row],[Mdl Qlty]:[Mdl Garage Area]])+Inventory[[#This Row],[Mdl Res Intercept]])*Inventory[[#This Row],[Res Adj ]],-2)</f>
        <v>327100</v>
      </c>
      <c r="BM901" s="30">
        <f>ROUND(Inventory[[#This Row],[25Det]]*Inventory[[#This Row],[Det/Nbhd Adj]],-2)</f>
        <v>0</v>
      </c>
      <c r="BN901" s="30">
        <f>Inventory[[#This Row],[Adjusted Res]]+Inventory[[#This Row],[Adj Det ]]</f>
        <v>327100</v>
      </c>
      <c r="BO901" s="30">
        <f>ROUND((Inventory[[#This Row],[Mdl Land Intercept]]+Inventory[[#This Row],[Mdl LnAcres]])*Inventory[[#This Row],[Det/Nbhd Adj]],-2)</f>
        <v>61100</v>
      </c>
      <c r="BP901" s="30">
        <f>Inventory[[#This Row],[Adjusted Impr Total]]+Inventory[[#This Row],[Adjusted Land Total]]</f>
        <v>388200</v>
      </c>
      <c r="BQ901" s="30">
        <f>IFERROR((Inventory[[#This Row],[Adjusted Impr Total]]-Inventory[[#This Row],[24Bldg]])/Inventory[[#This Row],[24Bldg]],0)</f>
        <v>-6.6495433789954345E-2</v>
      </c>
      <c r="BR901" s="43">
        <f>(Inventory[[#This Row],[Adjusted Land Total]]-Inventory[[#This Row],[24Lnd]])/Inventory[[#This Row],[24Lnd]]</f>
        <v>4.9342105263157892E-3</v>
      </c>
      <c r="BS901" s="43">
        <f>(Inventory[[#This Row],[Adjusted Total]]-Inventory[[#This Row],[24Final]])/Inventory[[#This Row],[24Final]]</f>
        <v>-5.5933852140077824E-2</v>
      </c>
    </row>
    <row r="902" spans="1:71">
      <c r="A902" s="30">
        <v>2025</v>
      </c>
      <c r="B902" s="31" t="s">
        <v>1417</v>
      </c>
      <c r="C902" s="31">
        <f>LN(Inventory[[#This Row],[Acres]])</f>
        <v>-1.8325814637483102</v>
      </c>
      <c r="D902" s="30">
        <v>0.16</v>
      </c>
      <c r="E902" s="30">
        <v>7150</v>
      </c>
      <c r="F902" s="31" t="s">
        <v>505</v>
      </c>
      <c r="G902" s="31" t="s">
        <v>155</v>
      </c>
      <c r="H902" s="31" t="s">
        <v>5</v>
      </c>
      <c r="I902" s="31" t="s">
        <v>506</v>
      </c>
      <c r="J902" s="31" t="s">
        <v>507</v>
      </c>
      <c r="K902" s="31" t="s">
        <v>157</v>
      </c>
      <c r="L902" s="31" t="s">
        <v>21</v>
      </c>
      <c r="M902" s="31" t="s">
        <v>20</v>
      </c>
      <c r="N902" s="31">
        <v>20</v>
      </c>
      <c r="O902" s="31">
        <f>2024-Inventory[[#This Row],[YrBlt]]</f>
        <v>20</v>
      </c>
      <c r="P902" s="31">
        <f>2024-Inventory[[#This Row],[EffYr]]</f>
        <v>20</v>
      </c>
      <c r="Q902" s="30">
        <v>2004</v>
      </c>
      <c r="R902" s="30">
        <v>2004</v>
      </c>
      <c r="S902" s="30">
        <v>1158</v>
      </c>
      <c r="T902" s="38">
        <v>1322</v>
      </c>
      <c r="U902" s="32"/>
      <c r="V902" s="32"/>
      <c r="W902" s="32"/>
      <c r="X902" s="32">
        <f>Inventory[[#This Row],[Bsmt Area]]-Inventory[[#This Row],[FnBsmt]]</f>
        <v>0</v>
      </c>
      <c r="Y902" s="32">
        <f>Inventory[[#This Row],[MainFn]]+Inventory[[#This Row],[UpprFn]]+Inventory[[#This Row],[AddFn]]+Inventory[[#This Row],[FnBsmt]]</f>
        <v>2480</v>
      </c>
      <c r="Z902" s="32">
        <v>2500</v>
      </c>
      <c r="AA902" s="31" t="s">
        <v>56</v>
      </c>
      <c r="AB902" s="32"/>
      <c r="AC902" s="37"/>
      <c r="AD902" s="38">
        <v>502</v>
      </c>
      <c r="AE902" s="32"/>
      <c r="AF902" s="32"/>
      <c r="AG902" s="32"/>
      <c r="AH902" s="32"/>
      <c r="AI902" s="30">
        <v>476396</v>
      </c>
      <c r="AJ902" s="30">
        <v>433520</v>
      </c>
      <c r="AK902" s="30">
        <v>0</v>
      </c>
      <c r="AL902" s="30">
        <v>0</v>
      </c>
      <c r="AM902" s="30">
        <v>60800</v>
      </c>
      <c r="AN902" s="30">
        <v>350400</v>
      </c>
      <c r="AO902" s="30">
        <v>411200</v>
      </c>
      <c r="AP902" s="30">
        <f>Lookups!$B$58*0.6</f>
        <v>132535.48800000001</v>
      </c>
      <c r="AQ902" s="30">
        <f>Lookups!$B$58*0.4</f>
        <v>88356.992000000013</v>
      </c>
      <c r="AR902" s="30">
        <f>Lookups!$B$59*Inventory[[#This Row],[LnAcres]]</f>
        <v>-24051.387388882686</v>
      </c>
      <c r="AS902" s="30">
        <f>VLOOKUP(Inventory[[#This Row],[Qlty]],Lookups!$A$66:$E$79,2,FALSE)</f>
        <v>32917.849192000001</v>
      </c>
      <c r="AT902" s="30">
        <f>VLOOKUP(Inventory[[#This Row],[Cnd]],Lookups!$A$80:$E$88,2,FALSE)</f>
        <v>30300.329274</v>
      </c>
      <c r="AU902" s="30">
        <f>Inventory[[#This Row],[EffAge]]*Lookups!$B$65</f>
        <v>-2174.8220000000001</v>
      </c>
      <c r="AV902" s="30">
        <f>Inventory[[#This Row],[MainFn]]*Lookups!$B$90</f>
        <v>72271.22004</v>
      </c>
      <c r="AW902" s="30">
        <f>Inventory[[#This Row],[UpprFn]]*Lookups!$B$91</f>
        <v>78765.266325999997</v>
      </c>
      <c r="AX902" s="30">
        <f>Inventory[[#This Row],[Bsmt Area]]*Lookups!$B$95</f>
        <v>0</v>
      </c>
      <c r="AY902" s="30">
        <f>Inventory[[#This Row],[AttGar]]*Lookups!$B$93</f>
        <v>0</v>
      </c>
      <c r="AZ902" s="30">
        <f>ROUND(Inventory[[#This Row],[25Det]],-2)</f>
        <v>0</v>
      </c>
      <c r="BA902" s="30">
        <f>ROUND(SUM(Inventory[[#This Row],[Mdl Qlty]:[Mdl Garage Area]])+Inventory[[#This Row],[Mdl Res Intercept]],-2)</f>
        <v>344600</v>
      </c>
      <c r="BB902" s="30">
        <f>ROUND(Inventory[[#This Row],[Mdl Land Intercept]]+Inventory[[#This Row],[Mdl LnAcres]],-2)</f>
        <v>64300</v>
      </c>
      <c r="BC902" s="30">
        <f>Inventory[[#This Row],[Unadj Res Value]]+Inventory[[#This Row],[Unadj Det Value]]+Inventory[[#This Row],[Unadj Land Value]]</f>
        <v>408900</v>
      </c>
      <c r="BD902" s="30">
        <f>(Inventory[[#This Row],[Unadj Total Value]]-Inventory[[#This Row],[24Final]])/Inventory[[#This Row],[24Final]]</f>
        <v>-5.5933852140077822E-3</v>
      </c>
      <c r="BE902" s="30">
        <f>VLOOKUP(Inventory[[#This Row],[Nbhd]],Lookups!$M$3:$P$5,4,FALSE)</f>
        <v>0.99970000000000003</v>
      </c>
      <c r="BF902" s="30">
        <f>VLOOKUP(Inventory[[#This Row],[Qlty]],Lookups!$M$8:$P$22,4,FALSE)</f>
        <v>1.0019</v>
      </c>
      <c r="BG902" s="30">
        <f>VLOOKUP(Inventory[[#This Row],[Cnd]],Lookups!$R$8:$U$17,4,FALSE)</f>
        <v>0.997</v>
      </c>
      <c r="BH902" s="30">
        <f>VLOOKUP(Inventory[[#This Row],[LivArea Range]],Lookups!$R$25:$U$43,4,FALSE)</f>
        <v>1.0008999999999999</v>
      </c>
      <c r="BI902" s="30">
        <f>VLOOKUP(Inventory[[#This Row],[Decade]],Lookups!$M$24:$P$40,4,FALSE)</f>
        <v>0.99560000000000004</v>
      </c>
      <c r="BJ902" s="30">
        <f>Inventory[[#This Row],[Nbhd Adj]]*0.95</f>
        <v>0.94971499999999998</v>
      </c>
      <c r="BK902" s="30">
        <f>AVERAGE(Inventory[[#This Row],[Nbhd Adj]],Inventory[[#This Row],[Quality Adj]],Inventory[[#This Row],[Condition Adj]],Inventory[[#This Row],[Living Area Adj]],Inventory[[#This Row],[Decade Adj]])*0.95</f>
        <v>0.94906899999999972</v>
      </c>
      <c r="BL902" s="30">
        <f>ROUND((SUM(Inventory[[#This Row],[Mdl Qlty]:[Mdl Garage Area]])+Inventory[[#This Row],[Mdl Res Intercept]])*Inventory[[#This Row],[Res Adj ]],-2)</f>
        <v>327100</v>
      </c>
      <c r="BM902" s="30">
        <f>ROUND(Inventory[[#This Row],[25Det]]*Inventory[[#This Row],[Det/Nbhd Adj]],-2)</f>
        <v>0</v>
      </c>
      <c r="BN902" s="30">
        <f>Inventory[[#This Row],[Adjusted Res]]+Inventory[[#This Row],[Adj Det ]]</f>
        <v>327100</v>
      </c>
      <c r="BO902" s="30">
        <f>ROUND((Inventory[[#This Row],[Mdl Land Intercept]]+Inventory[[#This Row],[Mdl LnAcres]])*Inventory[[#This Row],[Det/Nbhd Adj]],-2)</f>
        <v>61100</v>
      </c>
      <c r="BP902" s="30">
        <f>Inventory[[#This Row],[Adjusted Impr Total]]+Inventory[[#This Row],[Adjusted Land Total]]</f>
        <v>388200</v>
      </c>
      <c r="BQ902" s="30">
        <f>IFERROR((Inventory[[#This Row],[Adjusted Impr Total]]-Inventory[[#This Row],[24Bldg]])/Inventory[[#This Row],[24Bldg]],0)</f>
        <v>-6.6495433789954345E-2</v>
      </c>
      <c r="BR902" s="43">
        <f>(Inventory[[#This Row],[Adjusted Land Total]]-Inventory[[#This Row],[24Lnd]])/Inventory[[#This Row],[24Lnd]]</f>
        <v>4.9342105263157892E-3</v>
      </c>
      <c r="BS902" s="43">
        <f>(Inventory[[#This Row],[Adjusted Total]]-Inventory[[#This Row],[24Final]])/Inventory[[#This Row],[24Final]]</f>
        <v>-5.5933852140077824E-2</v>
      </c>
    </row>
    <row r="903" spans="1:71">
      <c r="A903" s="30">
        <v>2025</v>
      </c>
      <c r="B903" s="31" t="s">
        <v>1418</v>
      </c>
      <c r="C903" s="31">
        <f>LN(Inventory[[#This Row],[Acres]])</f>
        <v>-1.8325814637483102</v>
      </c>
      <c r="D903" s="30">
        <v>0.16</v>
      </c>
      <c r="E903" s="30">
        <v>7000</v>
      </c>
      <c r="F903" s="31" t="s">
        <v>505</v>
      </c>
      <c r="G903" s="31" t="s">
        <v>155</v>
      </c>
      <c r="H903" s="31" t="s">
        <v>5</v>
      </c>
      <c r="I903" s="31" t="s">
        <v>506</v>
      </c>
      <c r="J903" s="31" t="s">
        <v>507</v>
      </c>
      <c r="K903" s="31" t="s">
        <v>157</v>
      </c>
      <c r="L903" s="31" t="s">
        <v>21</v>
      </c>
      <c r="M903" s="31" t="s">
        <v>22</v>
      </c>
      <c r="N903" s="31">
        <v>20</v>
      </c>
      <c r="O903" s="31">
        <f>2024-Inventory[[#This Row],[YrBlt]]</f>
        <v>20</v>
      </c>
      <c r="P903" s="31">
        <f>2024-Inventory[[#This Row],[EffYr]]</f>
        <v>20</v>
      </c>
      <c r="Q903" s="30">
        <v>2004</v>
      </c>
      <c r="R903" s="30">
        <v>2004</v>
      </c>
      <c r="S903" s="30">
        <v>1158</v>
      </c>
      <c r="T903" s="30">
        <v>1322</v>
      </c>
      <c r="U903" s="32"/>
      <c r="V903" s="32"/>
      <c r="W903" s="32"/>
      <c r="X903" s="32">
        <f>Inventory[[#This Row],[Bsmt Area]]-Inventory[[#This Row],[FnBsmt]]</f>
        <v>0</v>
      </c>
      <c r="Y903" s="32">
        <f>Inventory[[#This Row],[MainFn]]+Inventory[[#This Row],[UpprFn]]+Inventory[[#This Row],[AddFn]]+Inventory[[#This Row],[FnBsmt]]</f>
        <v>2480</v>
      </c>
      <c r="Z903" s="32">
        <v>2500</v>
      </c>
      <c r="AA903" s="31" t="s">
        <v>56</v>
      </c>
      <c r="AB903" s="38">
        <v>1</v>
      </c>
      <c r="AC903" s="30">
        <v>300</v>
      </c>
      <c r="AD903" s="30">
        <v>546</v>
      </c>
      <c r="AE903" s="32"/>
      <c r="AF903" s="32"/>
      <c r="AG903" s="32"/>
      <c r="AH903" s="32"/>
      <c r="AI903" s="30">
        <v>511129</v>
      </c>
      <c r="AJ903" s="30">
        <v>470239</v>
      </c>
      <c r="AK903" s="30">
        <v>0</v>
      </c>
      <c r="AL903" s="30">
        <v>0</v>
      </c>
      <c r="AM903" s="30">
        <v>60800</v>
      </c>
      <c r="AN903" s="30">
        <v>380500</v>
      </c>
      <c r="AO903" s="30">
        <v>441300</v>
      </c>
      <c r="AP903" s="30">
        <f>Lookups!$B$58*0.6</f>
        <v>132535.48800000001</v>
      </c>
      <c r="AQ903" s="30">
        <f>Lookups!$B$58*0.4</f>
        <v>88356.992000000013</v>
      </c>
      <c r="AR903" s="30">
        <f>Lookups!$B$59*Inventory[[#This Row],[LnAcres]]</f>
        <v>-24051.387388882686</v>
      </c>
      <c r="AS903" s="30">
        <f>VLOOKUP(Inventory[[#This Row],[Qlty]],Lookups!$A$66:$E$79,2,FALSE)</f>
        <v>32917.849192000001</v>
      </c>
      <c r="AT903" s="30">
        <f>VLOOKUP(Inventory[[#This Row],[Cnd]],Lookups!$A$80:$E$88,2,FALSE)</f>
        <v>50438.379078999998</v>
      </c>
      <c r="AU903" s="30">
        <f>Inventory[[#This Row],[EffAge]]*Lookups!$B$65</f>
        <v>-2174.8220000000001</v>
      </c>
      <c r="AV903" s="30">
        <f>Inventory[[#This Row],[MainFn]]*Lookups!$B$90</f>
        <v>72271.22004</v>
      </c>
      <c r="AW903" s="30">
        <f>Inventory[[#This Row],[UpprFn]]*Lookups!$B$91</f>
        <v>78765.266325999997</v>
      </c>
      <c r="AX903" s="30">
        <f>Inventory[[#This Row],[Bsmt Area]]*Lookups!$B$95</f>
        <v>0</v>
      </c>
      <c r="AY903" s="30">
        <f>Inventory[[#This Row],[AttGar]]*Lookups!$B$93</f>
        <v>10590.309300000001</v>
      </c>
      <c r="AZ903" s="30">
        <f>ROUND(Inventory[[#This Row],[25Det]],-2)</f>
        <v>0</v>
      </c>
      <c r="BA903" s="30">
        <f>ROUND(SUM(Inventory[[#This Row],[Mdl Qlty]:[Mdl Garage Area]])+Inventory[[#This Row],[Mdl Res Intercept]],-2)</f>
        <v>375300</v>
      </c>
      <c r="BB903" s="30">
        <f>ROUND(Inventory[[#This Row],[Mdl Land Intercept]]+Inventory[[#This Row],[Mdl LnAcres]],-2)</f>
        <v>64300</v>
      </c>
      <c r="BC903" s="30">
        <f>Inventory[[#This Row],[Unadj Res Value]]+Inventory[[#This Row],[Unadj Det Value]]+Inventory[[#This Row],[Unadj Land Value]]</f>
        <v>439600</v>
      </c>
      <c r="BD903" s="30">
        <f>(Inventory[[#This Row],[Unadj Total Value]]-Inventory[[#This Row],[24Final]])/Inventory[[#This Row],[24Final]]</f>
        <v>-3.8522547020167688E-3</v>
      </c>
      <c r="BE903" s="30">
        <f>VLOOKUP(Inventory[[#This Row],[Nbhd]],Lookups!$M$3:$P$5,4,FALSE)</f>
        <v>0.99970000000000003</v>
      </c>
      <c r="BF903" s="30">
        <f>VLOOKUP(Inventory[[#This Row],[Qlty]],Lookups!$M$8:$P$22,4,FALSE)</f>
        <v>1.0019</v>
      </c>
      <c r="BG903" s="30">
        <f>VLOOKUP(Inventory[[#This Row],[Cnd]],Lookups!$R$8:$U$17,4,FALSE)</f>
        <v>1.0007999999999999</v>
      </c>
      <c r="BH903" s="30">
        <f>VLOOKUP(Inventory[[#This Row],[LivArea Range]],Lookups!$R$25:$U$43,4,FALSE)</f>
        <v>1.0008999999999999</v>
      </c>
      <c r="BI903" s="30">
        <f>VLOOKUP(Inventory[[#This Row],[Decade]],Lookups!$M$24:$P$40,4,FALSE)</f>
        <v>0.99560000000000004</v>
      </c>
      <c r="BJ903" s="30">
        <f>Inventory[[#This Row],[Nbhd Adj]]*0.95</f>
        <v>0.94971499999999998</v>
      </c>
      <c r="BK903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903" s="30">
        <f>ROUND((SUM(Inventory[[#This Row],[Mdl Qlty]:[Mdl Garage Area]])+Inventory[[#This Row],[Mdl Res Intercept]])*Inventory[[#This Row],[Res Adj ]],-2)</f>
        <v>356500</v>
      </c>
      <c r="BM903" s="30">
        <f>ROUND(Inventory[[#This Row],[25Det]]*Inventory[[#This Row],[Det/Nbhd Adj]],-2)</f>
        <v>0</v>
      </c>
      <c r="BN903" s="30">
        <f>Inventory[[#This Row],[Adjusted Res]]+Inventory[[#This Row],[Adj Det ]]</f>
        <v>356500</v>
      </c>
      <c r="BO903" s="30">
        <f>ROUND((Inventory[[#This Row],[Mdl Land Intercept]]+Inventory[[#This Row],[Mdl LnAcres]])*Inventory[[#This Row],[Det/Nbhd Adj]],-2)</f>
        <v>61100</v>
      </c>
      <c r="BP903" s="30">
        <f>Inventory[[#This Row],[Adjusted Impr Total]]+Inventory[[#This Row],[Adjusted Land Total]]</f>
        <v>417600</v>
      </c>
      <c r="BQ903" s="30">
        <f>IFERROR((Inventory[[#This Row],[Adjusted Impr Total]]-Inventory[[#This Row],[24Bldg]])/Inventory[[#This Row],[24Bldg]],0)</f>
        <v>-6.3074901445466486E-2</v>
      </c>
      <c r="BR903" s="43">
        <f>(Inventory[[#This Row],[Adjusted Land Total]]-Inventory[[#This Row],[24Lnd]])/Inventory[[#This Row],[24Lnd]]</f>
        <v>4.9342105263157892E-3</v>
      </c>
      <c r="BS903" s="43">
        <f>(Inventory[[#This Row],[Adjusted Total]]-Inventory[[#This Row],[24Final]])/Inventory[[#This Row],[24Final]]</f>
        <v>-5.3704962610469066E-2</v>
      </c>
    </row>
    <row r="904" spans="1:71">
      <c r="A904" s="30">
        <v>2025</v>
      </c>
      <c r="B904" s="31" t="s">
        <v>1419</v>
      </c>
      <c r="C904" s="31">
        <f>LN(Inventory[[#This Row],[Acres]])</f>
        <v>-1.8325814637483102</v>
      </c>
      <c r="D904" s="30">
        <v>0.16</v>
      </c>
      <c r="E904" s="30">
        <v>7000</v>
      </c>
      <c r="F904" s="31" t="s">
        <v>505</v>
      </c>
      <c r="G904" s="31" t="s">
        <v>155</v>
      </c>
      <c r="H904" s="31" t="s">
        <v>5</v>
      </c>
      <c r="I904" s="31" t="s">
        <v>506</v>
      </c>
      <c r="J904" s="31" t="s">
        <v>507</v>
      </c>
      <c r="K904" s="31" t="s">
        <v>157</v>
      </c>
      <c r="L904" s="31" t="s">
        <v>21</v>
      </c>
      <c r="M904" s="31" t="s">
        <v>22</v>
      </c>
      <c r="N904" s="31">
        <v>20</v>
      </c>
      <c r="O904" s="31">
        <f>2024-Inventory[[#This Row],[YrBlt]]</f>
        <v>20</v>
      </c>
      <c r="P904" s="31">
        <f>2024-Inventory[[#This Row],[EffYr]]</f>
        <v>20</v>
      </c>
      <c r="Q904" s="30">
        <v>2004</v>
      </c>
      <c r="R904" s="30">
        <v>2004</v>
      </c>
      <c r="S904" s="30">
        <v>1158</v>
      </c>
      <c r="T904" s="30">
        <v>1322</v>
      </c>
      <c r="U904" s="32"/>
      <c r="V904" s="32"/>
      <c r="W904" s="32"/>
      <c r="X904" s="32">
        <f>Inventory[[#This Row],[Bsmt Area]]-Inventory[[#This Row],[FnBsmt]]</f>
        <v>0</v>
      </c>
      <c r="Y904" s="32">
        <f>Inventory[[#This Row],[MainFn]]+Inventory[[#This Row],[UpprFn]]+Inventory[[#This Row],[AddFn]]+Inventory[[#This Row],[FnBsmt]]</f>
        <v>2480</v>
      </c>
      <c r="Z904" s="32">
        <v>2500</v>
      </c>
      <c r="AA904" s="31" t="s">
        <v>56</v>
      </c>
      <c r="AB904" s="32"/>
      <c r="AC904" s="30">
        <v>300</v>
      </c>
      <c r="AD904" s="30">
        <v>502</v>
      </c>
      <c r="AE904" s="32"/>
      <c r="AF904" s="32"/>
      <c r="AG904" s="32"/>
      <c r="AH904" s="32"/>
      <c r="AI904" s="30">
        <v>497798</v>
      </c>
      <c r="AJ904" s="30">
        <v>457974</v>
      </c>
      <c r="AK904" s="30">
        <v>0</v>
      </c>
      <c r="AL904" s="30">
        <v>0</v>
      </c>
      <c r="AM904" s="30">
        <v>60800</v>
      </c>
      <c r="AN904" s="30">
        <v>378800</v>
      </c>
      <c r="AO904" s="30">
        <v>439600</v>
      </c>
      <c r="AP904" s="30">
        <f>Lookups!$B$58*0.6</f>
        <v>132535.48800000001</v>
      </c>
      <c r="AQ904" s="30">
        <f>Lookups!$B$58*0.4</f>
        <v>88356.992000000013</v>
      </c>
      <c r="AR904" s="30">
        <f>Lookups!$B$59*Inventory[[#This Row],[LnAcres]]</f>
        <v>-24051.387388882686</v>
      </c>
      <c r="AS904" s="30">
        <f>VLOOKUP(Inventory[[#This Row],[Qlty]],Lookups!$A$66:$E$79,2,FALSE)</f>
        <v>32917.849192000001</v>
      </c>
      <c r="AT904" s="30">
        <f>VLOOKUP(Inventory[[#This Row],[Cnd]],Lookups!$A$80:$E$88,2,FALSE)</f>
        <v>50438.379078999998</v>
      </c>
      <c r="AU904" s="30">
        <f>Inventory[[#This Row],[EffAge]]*Lookups!$B$65</f>
        <v>-2174.8220000000001</v>
      </c>
      <c r="AV904" s="30">
        <f>Inventory[[#This Row],[MainFn]]*Lookups!$B$90</f>
        <v>72271.22004</v>
      </c>
      <c r="AW904" s="30">
        <f>Inventory[[#This Row],[UpprFn]]*Lookups!$B$91</f>
        <v>78765.266325999997</v>
      </c>
      <c r="AX904" s="30">
        <f>Inventory[[#This Row],[Bsmt Area]]*Lookups!$B$95</f>
        <v>0</v>
      </c>
      <c r="AY904" s="30">
        <f>Inventory[[#This Row],[AttGar]]*Lookups!$B$93</f>
        <v>10590.309300000001</v>
      </c>
      <c r="AZ904" s="30">
        <f>ROUND(Inventory[[#This Row],[25Det]],-2)</f>
        <v>0</v>
      </c>
      <c r="BA904" s="30">
        <f>ROUND(SUM(Inventory[[#This Row],[Mdl Qlty]:[Mdl Garage Area]])+Inventory[[#This Row],[Mdl Res Intercept]],-2)</f>
        <v>375300</v>
      </c>
      <c r="BB904" s="30">
        <f>ROUND(Inventory[[#This Row],[Mdl Land Intercept]]+Inventory[[#This Row],[Mdl LnAcres]],-2)</f>
        <v>64300</v>
      </c>
      <c r="BC904" s="30">
        <f>Inventory[[#This Row],[Unadj Res Value]]+Inventory[[#This Row],[Unadj Det Value]]+Inventory[[#This Row],[Unadj Land Value]]</f>
        <v>439600</v>
      </c>
      <c r="BD904" s="30">
        <f>(Inventory[[#This Row],[Unadj Total Value]]-Inventory[[#This Row],[24Final]])/Inventory[[#This Row],[24Final]]</f>
        <v>0</v>
      </c>
      <c r="BE904" s="30">
        <f>VLOOKUP(Inventory[[#This Row],[Nbhd]],Lookups!$M$3:$P$5,4,FALSE)</f>
        <v>0.99970000000000003</v>
      </c>
      <c r="BF904" s="30">
        <f>VLOOKUP(Inventory[[#This Row],[Qlty]],Lookups!$M$8:$P$22,4,FALSE)</f>
        <v>1.0019</v>
      </c>
      <c r="BG904" s="30">
        <f>VLOOKUP(Inventory[[#This Row],[Cnd]],Lookups!$R$8:$U$17,4,FALSE)</f>
        <v>1.0007999999999999</v>
      </c>
      <c r="BH904" s="30">
        <f>VLOOKUP(Inventory[[#This Row],[LivArea Range]],Lookups!$R$25:$U$43,4,FALSE)</f>
        <v>1.0008999999999999</v>
      </c>
      <c r="BI904" s="30">
        <f>VLOOKUP(Inventory[[#This Row],[Decade]],Lookups!$M$24:$P$40,4,FALSE)</f>
        <v>0.99560000000000004</v>
      </c>
      <c r="BJ904" s="30">
        <f>Inventory[[#This Row],[Nbhd Adj]]*0.95</f>
        <v>0.94971499999999998</v>
      </c>
      <c r="BK904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904" s="30">
        <f>ROUND((SUM(Inventory[[#This Row],[Mdl Qlty]:[Mdl Garage Area]])+Inventory[[#This Row],[Mdl Res Intercept]])*Inventory[[#This Row],[Res Adj ]],-2)</f>
        <v>356500</v>
      </c>
      <c r="BM904" s="30">
        <f>ROUND(Inventory[[#This Row],[25Det]]*Inventory[[#This Row],[Det/Nbhd Adj]],-2)</f>
        <v>0</v>
      </c>
      <c r="BN904" s="30">
        <f>Inventory[[#This Row],[Adjusted Res]]+Inventory[[#This Row],[Adj Det ]]</f>
        <v>356500</v>
      </c>
      <c r="BO904" s="30">
        <f>ROUND((Inventory[[#This Row],[Mdl Land Intercept]]+Inventory[[#This Row],[Mdl LnAcres]])*Inventory[[#This Row],[Det/Nbhd Adj]],-2)</f>
        <v>61100</v>
      </c>
      <c r="BP904" s="30">
        <f>Inventory[[#This Row],[Adjusted Impr Total]]+Inventory[[#This Row],[Adjusted Land Total]]</f>
        <v>417600</v>
      </c>
      <c r="BQ904" s="30">
        <f>IFERROR((Inventory[[#This Row],[Adjusted Impr Total]]-Inventory[[#This Row],[24Bldg]])/Inventory[[#This Row],[24Bldg]],0)</f>
        <v>-5.8870116156283001E-2</v>
      </c>
      <c r="BR904" s="43">
        <f>(Inventory[[#This Row],[Adjusted Land Total]]-Inventory[[#This Row],[24Lnd]])/Inventory[[#This Row],[24Lnd]]</f>
        <v>4.9342105263157892E-3</v>
      </c>
      <c r="BS904" s="43">
        <f>(Inventory[[#This Row],[Adjusted Total]]-Inventory[[#This Row],[24Final]])/Inventory[[#This Row],[24Final]]</f>
        <v>-5.0045495905368519E-2</v>
      </c>
    </row>
    <row r="905" spans="1:71">
      <c r="A905" s="30">
        <v>2025</v>
      </c>
      <c r="B905" s="31" t="s">
        <v>1420</v>
      </c>
      <c r="C905" s="31">
        <f>LN(Inventory[[#This Row],[Acres]])</f>
        <v>-1.8325814637483102</v>
      </c>
      <c r="D905" s="30">
        <v>0.16</v>
      </c>
      <c r="E905" s="30">
        <v>7021</v>
      </c>
      <c r="F905" s="31" t="s">
        <v>505</v>
      </c>
      <c r="G905" s="31" t="s">
        <v>155</v>
      </c>
      <c r="H905" s="31" t="s">
        <v>5</v>
      </c>
      <c r="I905" s="31" t="s">
        <v>506</v>
      </c>
      <c r="J905" s="31" t="s">
        <v>507</v>
      </c>
      <c r="K905" s="31" t="s">
        <v>157</v>
      </c>
      <c r="L905" s="31" t="s">
        <v>21</v>
      </c>
      <c r="M905" s="31" t="s">
        <v>22</v>
      </c>
      <c r="N905" s="31">
        <v>20</v>
      </c>
      <c r="O905" s="31">
        <f>2024-Inventory[[#This Row],[YrBlt]]</f>
        <v>20</v>
      </c>
      <c r="P905" s="31">
        <f>2024-Inventory[[#This Row],[EffYr]]</f>
        <v>20</v>
      </c>
      <c r="Q905" s="30">
        <v>2004</v>
      </c>
      <c r="R905" s="30">
        <v>2004</v>
      </c>
      <c r="S905" s="30">
        <v>1158</v>
      </c>
      <c r="T905" s="38">
        <v>1322</v>
      </c>
      <c r="U905" s="32"/>
      <c r="V905" s="32"/>
      <c r="W905" s="32"/>
      <c r="X905" s="32">
        <f>Inventory[[#This Row],[Bsmt Area]]-Inventory[[#This Row],[FnBsmt]]</f>
        <v>0</v>
      </c>
      <c r="Y905" s="32">
        <f>Inventory[[#This Row],[MainFn]]+Inventory[[#This Row],[UpprFn]]+Inventory[[#This Row],[AddFn]]+Inventory[[#This Row],[FnBsmt]]</f>
        <v>2480</v>
      </c>
      <c r="Z905" s="32">
        <v>2500</v>
      </c>
      <c r="AA905" s="31" t="s">
        <v>56</v>
      </c>
      <c r="AB905" s="38">
        <v>1</v>
      </c>
      <c r="AC905" s="30">
        <v>300</v>
      </c>
      <c r="AD905" s="38">
        <v>502</v>
      </c>
      <c r="AE905" s="32"/>
      <c r="AF905" s="32"/>
      <c r="AG905" s="32"/>
      <c r="AH905" s="32"/>
      <c r="AI905" s="30">
        <v>517689</v>
      </c>
      <c r="AJ905" s="30">
        <v>476274</v>
      </c>
      <c r="AK905" s="30">
        <v>0</v>
      </c>
      <c r="AL905" s="30">
        <v>0</v>
      </c>
      <c r="AM905" s="30">
        <v>60800</v>
      </c>
      <c r="AN905" s="30">
        <v>378800</v>
      </c>
      <c r="AO905" s="30">
        <v>439600</v>
      </c>
      <c r="AP905" s="30">
        <f>Lookups!$B$58*0.6</f>
        <v>132535.48800000001</v>
      </c>
      <c r="AQ905" s="30">
        <f>Lookups!$B$58*0.4</f>
        <v>88356.992000000013</v>
      </c>
      <c r="AR905" s="30">
        <f>Lookups!$B$59*Inventory[[#This Row],[LnAcres]]</f>
        <v>-24051.387388882686</v>
      </c>
      <c r="AS905" s="30">
        <f>VLOOKUP(Inventory[[#This Row],[Qlty]],Lookups!$A$66:$E$79,2,FALSE)</f>
        <v>32917.849192000001</v>
      </c>
      <c r="AT905" s="30">
        <f>VLOOKUP(Inventory[[#This Row],[Cnd]],Lookups!$A$80:$E$88,2,FALSE)</f>
        <v>50438.379078999998</v>
      </c>
      <c r="AU905" s="30">
        <f>Inventory[[#This Row],[EffAge]]*Lookups!$B$65</f>
        <v>-2174.8220000000001</v>
      </c>
      <c r="AV905" s="30">
        <f>Inventory[[#This Row],[MainFn]]*Lookups!$B$90</f>
        <v>72271.22004</v>
      </c>
      <c r="AW905" s="30">
        <f>Inventory[[#This Row],[UpprFn]]*Lookups!$B$91</f>
        <v>78765.266325999997</v>
      </c>
      <c r="AX905" s="30">
        <f>Inventory[[#This Row],[Bsmt Area]]*Lookups!$B$95</f>
        <v>0</v>
      </c>
      <c r="AY905" s="30">
        <f>Inventory[[#This Row],[AttGar]]*Lookups!$B$93</f>
        <v>10590.309300000001</v>
      </c>
      <c r="AZ905" s="30">
        <f>ROUND(Inventory[[#This Row],[25Det]],-2)</f>
        <v>0</v>
      </c>
      <c r="BA905" s="30">
        <f>ROUND(SUM(Inventory[[#This Row],[Mdl Qlty]:[Mdl Garage Area]])+Inventory[[#This Row],[Mdl Res Intercept]],-2)</f>
        <v>375300</v>
      </c>
      <c r="BB905" s="30">
        <f>ROUND(Inventory[[#This Row],[Mdl Land Intercept]]+Inventory[[#This Row],[Mdl LnAcres]],-2)</f>
        <v>64300</v>
      </c>
      <c r="BC905" s="30">
        <f>Inventory[[#This Row],[Unadj Res Value]]+Inventory[[#This Row],[Unadj Det Value]]+Inventory[[#This Row],[Unadj Land Value]]</f>
        <v>439600</v>
      </c>
      <c r="BD905" s="30">
        <f>(Inventory[[#This Row],[Unadj Total Value]]-Inventory[[#This Row],[24Final]])/Inventory[[#This Row],[24Final]]</f>
        <v>0</v>
      </c>
      <c r="BE905" s="30">
        <f>VLOOKUP(Inventory[[#This Row],[Nbhd]],Lookups!$M$3:$P$5,4,FALSE)</f>
        <v>0.99970000000000003</v>
      </c>
      <c r="BF905" s="30">
        <f>VLOOKUP(Inventory[[#This Row],[Qlty]],Lookups!$M$8:$P$22,4,FALSE)</f>
        <v>1.0019</v>
      </c>
      <c r="BG905" s="30">
        <f>VLOOKUP(Inventory[[#This Row],[Cnd]],Lookups!$R$8:$U$17,4,FALSE)</f>
        <v>1.0007999999999999</v>
      </c>
      <c r="BH905" s="30">
        <f>VLOOKUP(Inventory[[#This Row],[LivArea Range]],Lookups!$R$25:$U$43,4,FALSE)</f>
        <v>1.0008999999999999</v>
      </c>
      <c r="BI905" s="30">
        <f>VLOOKUP(Inventory[[#This Row],[Decade]],Lookups!$M$24:$P$40,4,FALSE)</f>
        <v>0.99560000000000004</v>
      </c>
      <c r="BJ905" s="30">
        <f>Inventory[[#This Row],[Nbhd Adj]]*0.95</f>
        <v>0.94971499999999998</v>
      </c>
      <c r="BK905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905" s="30">
        <f>ROUND((SUM(Inventory[[#This Row],[Mdl Qlty]:[Mdl Garage Area]])+Inventory[[#This Row],[Mdl Res Intercept]])*Inventory[[#This Row],[Res Adj ]],-2)</f>
        <v>356500</v>
      </c>
      <c r="BM905" s="30">
        <f>ROUND(Inventory[[#This Row],[25Det]]*Inventory[[#This Row],[Det/Nbhd Adj]],-2)</f>
        <v>0</v>
      </c>
      <c r="BN905" s="30">
        <f>Inventory[[#This Row],[Adjusted Res]]+Inventory[[#This Row],[Adj Det ]]</f>
        <v>356500</v>
      </c>
      <c r="BO905" s="30">
        <f>ROUND((Inventory[[#This Row],[Mdl Land Intercept]]+Inventory[[#This Row],[Mdl LnAcres]])*Inventory[[#This Row],[Det/Nbhd Adj]],-2)</f>
        <v>61100</v>
      </c>
      <c r="BP905" s="30">
        <f>Inventory[[#This Row],[Adjusted Impr Total]]+Inventory[[#This Row],[Adjusted Land Total]]</f>
        <v>417600</v>
      </c>
      <c r="BQ905" s="30">
        <f>IFERROR((Inventory[[#This Row],[Adjusted Impr Total]]-Inventory[[#This Row],[24Bldg]])/Inventory[[#This Row],[24Bldg]],0)</f>
        <v>-5.8870116156283001E-2</v>
      </c>
      <c r="BR905" s="43">
        <f>(Inventory[[#This Row],[Adjusted Land Total]]-Inventory[[#This Row],[24Lnd]])/Inventory[[#This Row],[24Lnd]]</f>
        <v>4.9342105263157892E-3</v>
      </c>
      <c r="BS905" s="43">
        <f>(Inventory[[#This Row],[Adjusted Total]]-Inventory[[#This Row],[24Final]])/Inventory[[#This Row],[24Final]]</f>
        <v>-5.0045495905368519E-2</v>
      </c>
    </row>
    <row r="906" spans="1:71">
      <c r="A906" s="30">
        <v>2025</v>
      </c>
      <c r="B906" s="31" t="s">
        <v>1421</v>
      </c>
      <c r="C906" s="31">
        <f>LN(Inventory[[#This Row],[Acres]])</f>
        <v>-1.8325814637483102</v>
      </c>
      <c r="D906" s="30">
        <v>0.16</v>
      </c>
      <c r="E906" s="30">
        <v>7122</v>
      </c>
      <c r="F906" s="31" t="s">
        <v>505</v>
      </c>
      <c r="G906" s="31" t="s">
        <v>155</v>
      </c>
      <c r="H906" s="31" t="s">
        <v>5</v>
      </c>
      <c r="I906" s="31" t="s">
        <v>506</v>
      </c>
      <c r="J906" s="31" t="s">
        <v>507</v>
      </c>
      <c r="K906" s="31" t="s">
        <v>157</v>
      </c>
      <c r="L906" s="31" t="s">
        <v>21</v>
      </c>
      <c r="M906" s="31" t="s">
        <v>22</v>
      </c>
      <c r="N906" s="31">
        <v>20</v>
      </c>
      <c r="O906" s="31">
        <f>2024-Inventory[[#This Row],[YrBlt]]</f>
        <v>20</v>
      </c>
      <c r="P906" s="31">
        <f>2024-Inventory[[#This Row],[EffYr]]</f>
        <v>20</v>
      </c>
      <c r="Q906" s="30">
        <v>2004</v>
      </c>
      <c r="R906" s="30">
        <v>2004</v>
      </c>
      <c r="S906" s="30">
        <v>1158</v>
      </c>
      <c r="T906" s="38">
        <v>1322</v>
      </c>
      <c r="U906" s="32"/>
      <c r="V906" s="32"/>
      <c r="W906" s="32"/>
      <c r="X906" s="32">
        <f>Inventory[[#This Row],[Bsmt Area]]-Inventory[[#This Row],[FnBsmt]]</f>
        <v>0</v>
      </c>
      <c r="Y906" s="32">
        <f>Inventory[[#This Row],[MainFn]]+Inventory[[#This Row],[UpprFn]]+Inventory[[#This Row],[AddFn]]+Inventory[[#This Row],[FnBsmt]]</f>
        <v>2480</v>
      </c>
      <c r="Z906" s="32">
        <v>2500</v>
      </c>
      <c r="AA906" s="31" t="s">
        <v>56</v>
      </c>
      <c r="AB906" s="38">
        <v>1</v>
      </c>
      <c r="AC906" s="30">
        <v>300</v>
      </c>
      <c r="AD906" s="38">
        <v>502</v>
      </c>
      <c r="AE906" s="32"/>
      <c r="AF906" s="32"/>
      <c r="AG906" s="32"/>
      <c r="AH906" s="32"/>
      <c r="AI906" s="30">
        <v>503193</v>
      </c>
      <c r="AJ906" s="30">
        <v>462938</v>
      </c>
      <c r="AK906" s="30">
        <v>0</v>
      </c>
      <c r="AL906" s="30">
        <v>0</v>
      </c>
      <c r="AM906" s="30">
        <v>60800</v>
      </c>
      <c r="AN906" s="30">
        <v>378800</v>
      </c>
      <c r="AO906" s="30">
        <v>439600</v>
      </c>
      <c r="AP906" s="30">
        <f>Lookups!$B$58*0.6</f>
        <v>132535.48800000001</v>
      </c>
      <c r="AQ906" s="30">
        <f>Lookups!$B$58*0.4</f>
        <v>88356.992000000013</v>
      </c>
      <c r="AR906" s="30">
        <f>Lookups!$B$59*Inventory[[#This Row],[LnAcres]]</f>
        <v>-24051.387388882686</v>
      </c>
      <c r="AS906" s="30">
        <f>VLOOKUP(Inventory[[#This Row],[Qlty]],Lookups!$A$66:$E$79,2,FALSE)</f>
        <v>32917.849192000001</v>
      </c>
      <c r="AT906" s="30">
        <f>VLOOKUP(Inventory[[#This Row],[Cnd]],Lookups!$A$80:$E$88,2,FALSE)</f>
        <v>50438.379078999998</v>
      </c>
      <c r="AU906" s="30">
        <f>Inventory[[#This Row],[EffAge]]*Lookups!$B$65</f>
        <v>-2174.8220000000001</v>
      </c>
      <c r="AV906" s="30">
        <f>Inventory[[#This Row],[MainFn]]*Lookups!$B$90</f>
        <v>72271.22004</v>
      </c>
      <c r="AW906" s="30">
        <f>Inventory[[#This Row],[UpprFn]]*Lookups!$B$91</f>
        <v>78765.266325999997</v>
      </c>
      <c r="AX906" s="30">
        <f>Inventory[[#This Row],[Bsmt Area]]*Lookups!$B$95</f>
        <v>0</v>
      </c>
      <c r="AY906" s="30">
        <f>Inventory[[#This Row],[AttGar]]*Lookups!$B$93</f>
        <v>10590.309300000001</v>
      </c>
      <c r="AZ906" s="30">
        <f>ROUND(Inventory[[#This Row],[25Det]],-2)</f>
        <v>0</v>
      </c>
      <c r="BA906" s="30">
        <f>ROUND(SUM(Inventory[[#This Row],[Mdl Qlty]:[Mdl Garage Area]])+Inventory[[#This Row],[Mdl Res Intercept]],-2)</f>
        <v>375300</v>
      </c>
      <c r="BB906" s="30">
        <f>ROUND(Inventory[[#This Row],[Mdl Land Intercept]]+Inventory[[#This Row],[Mdl LnAcres]],-2)</f>
        <v>64300</v>
      </c>
      <c r="BC906" s="30">
        <f>Inventory[[#This Row],[Unadj Res Value]]+Inventory[[#This Row],[Unadj Det Value]]+Inventory[[#This Row],[Unadj Land Value]]</f>
        <v>439600</v>
      </c>
      <c r="BD906" s="30">
        <f>(Inventory[[#This Row],[Unadj Total Value]]-Inventory[[#This Row],[24Final]])/Inventory[[#This Row],[24Final]]</f>
        <v>0</v>
      </c>
      <c r="BE906" s="30">
        <f>VLOOKUP(Inventory[[#This Row],[Nbhd]],Lookups!$M$3:$P$5,4,FALSE)</f>
        <v>0.99970000000000003</v>
      </c>
      <c r="BF906" s="30">
        <f>VLOOKUP(Inventory[[#This Row],[Qlty]],Lookups!$M$8:$P$22,4,FALSE)</f>
        <v>1.0019</v>
      </c>
      <c r="BG906" s="30">
        <f>VLOOKUP(Inventory[[#This Row],[Cnd]],Lookups!$R$8:$U$17,4,FALSE)</f>
        <v>1.0007999999999999</v>
      </c>
      <c r="BH906" s="30">
        <f>VLOOKUP(Inventory[[#This Row],[LivArea Range]],Lookups!$R$25:$U$43,4,FALSE)</f>
        <v>1.0008999999999999</v>
      </c>
      <c r="BI906" s="30">
        <f>VLOOKUP(Inventory[[#This Row],[Decade]],Lookups!$M$24:$P$40,4,FALSE)</f>
        <v>0.99560000000000004</v>
      </c>
      <c r="BJ906" s="30">
        <f>Inventory[[#This Row],[Nbhd Adj]]*0.95</f>
        <v>0.94971499999999998</v>
      </c>
      <c r="BK906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906" s="30">
        <f>ROUND((SUM(Inventory[[#This Row],[Mdl Qlty]:[Mdl Garage Area]])+Inventory[[#This Row],[Mdl Res Intercept]])*Inventory[[#This Row],[Res Adj ]],-2)</f>
        <v>356500</v>
      </c>
      <c r="BM906" s="30">
        <f>ROUND(Inventory[[#This Row],[25Det]]*Inventory[[#This Row],[Det/Nbhd Adj]],-2)</f>
        <v>0</v>
      </c>
      <c r="BN906" s="30">
        <f>Inventory[[#This Row],[Adjusted Res]]+Inventory[[#This Row],[Adj Det ]]</f>
        <v>356500</v>
      </c>
      <c r="BO906" s="30">
        <f>ROUND((Inventory[[#This Row],[Mdl Land Intercept]]+Inventory[[#This Row],[Mdl LnAcres]])*Inventory[[#This Row],[Det/Nbhd Adj]],-2)</f>
        <v>61100</v>
      </c>
      <c r="BP906" s="30">
        <f>Inventory[[#This Row],[Adjusted Impr Total]]+Inventory[[#This Row],[Adjusted Land Total]]</f>
        <v>417600</v>
      </c>
      <c r="BQ906" s="30">
        <f>IFERROR((Inventory[[#This Row],[Adjusted Impr Total]]-Inventory[[#This Row],[24Bldg]])/Inventory[[#This Row],[24Bldg]],0)</f>
        <v>-5.8870116156283001E-2</v>
      </c>
      <c r="BR906" s="43">
        <f>(Inventory[[#This Row],[Adjusted Land Total]]-Inventory[[#This Row],[24Lnd]])/Inventory[[#This Row],[24Lnd]]</f>
        <v>4.9342105263157892E-3</v>
      </c>
      <c r="BS906" s="43">
        <f>(Inventory[[#This Row],[Adjusted Total]]-Inventory[[#This Row],[24Final]])/Inventory[[#This Row],[24Final]]</f>
        <v>-5.0045495905368519E-2</v>
      </c>
    </row>
    <row r="907" spans="1:71">
      <c r="A907" s="30">
        <v>2025</v>
      </c>
      <c r="B907" s="31" t="s">
        <v>1422</v>
      </c>
      <c r="C907" s="31">
        <f>LN(Inventory[[#This Row],[Acres]])</f>
        <v>-1.8325814637483102</v>
      </c>
      <c r="D907" s="30">
        <v>0.16</v>
      </c>
      <c r="E907" s="30">
        <v>7159</v>
      </c>
      <c r="F907" s="31" t="s">
        <v>505</v>
      </c>
      <c r="G907" s="31" t="s">
        <v>155</v>
      </c>
      <c r="H907" s="31" t="s">
        <v>5</v>
      </c>
      <c r="I907" s="31" t="s">
        <v>506</v>
      </c>
      <c r="J907" s="31" t="s">
        <v>507</v>
      </c>
      <c r="K907" s="31" t="s">
        <v>157</v>
      </c>
      <c r="L907" s="31" t="s">
        <v>21</v>
      </c>
      <c r="M907" s="31" t="s">
        <v>22</v>
      </c>
      <c r="N907" s="31">
        <v>20</v>
      </c>
      <c r="O907" s="31">
        <f>2024-Inventory[[#This Row],[YrBlt]]</f>
        <v>20</v>
      </c>
      <c r="P907" s="31">
        <f>2024-Inventory[[#This Row],[EffYr]]</f>
        <v>20</v>
      </c>
      <c r="Q907" s="30">
        <v>2004</v>
      </c>
      <c r="R907" s="30">
        <v>2004</v>
      </c>
      <c r="S907" s="30">
        <v>1158</v>
      </c>
      <c r="T907" s="38">
        <v>1322</v>
      </c>
      <c r="U907" s="32"/>
      <c r="V907" s="32"/>
      <c r="W907" s="32"/>
      <c r="X907" s="32">
        <f>Inventory[[#This Row],[Bsmt Area]]-Inventory[[#This Row],[FnBsmt]]</f>
        <v>0</v>
      </c>
      <c r="Y907" s="32">
        <f>Inventory[[#This Row],[MainFn]]+Inventory[[#This Row],[UpprFn]]+Inventory[[#This Row],[AddFn]]+Inventory[[#This Row],[FnBsmt]]</f>
        <v>2480</v>
      </c>
      <c r="Z907" s="32">
        <v>2500</v>
      </c>
      <c r="AA907" s="31" t="s">
        <v>56</v>
      </c>
      <c r="AB907" s="32"/>
      <c r="AC907" s="30">
        <v>300</v>
      </c>
      <c r="AD907" s="38">
        <v>502</v>
      </c>
      <c r="AE907" s="32"/>
      <c r="AF907" s="32"/>
      <c r="AG907" s="32"/>
      <c r="AH907" s="32"/>
      <c r="AI907" s="30">
        <v>497798</v>
      </c>
      <c r="AJ907" s="30">
        <v>457974</v>
      </c>
      <c r="AK907" s="30">
        <v>0</v>
      </c>
      <c r="AL907" s="30">
        <v>0</v>
      </c>
      <c r="AM907" s="30">
        <v>60800</v>
      </c>
      <c r="AN907" s="30">
        <v>378800</v>
      </c>
      <c r="AO907" s="30">
        <v>439600</v>
      </c>
      <c r="AP907" s="30">
        <f>Lookups!$B$58*0.6</f>
        <v>132535.48800000001</v>
      </c>
      <c r="AQ907" s="30">
        <f>Lookups!$B$58*0.4</f>
        <v>88356.992000000013</v>
      </c>
      <c r="AR907" s="30">
        <f>Lookups!$B$59*Inventory[[#This Row],[LnAcres]]</f>
        <v>-24051.387388882686</v>
      </c>
      <c r="AS907" s="30">
        <f>VLOOKUP(Inventory[[#This Row],[Qlty]],Lookups!$A$66:$E$79,2,FALSE)</f>
        <v>32917.849192000001</v>
      </c>
      <c r="AT907" s="30">
        <f>VLOOKUP(Inventory[[#This Row],[Cnd]],Lookups!$A$80:$E$88,2,FALSE)</f>
        <v>50438.379078999998</v>
      </c>
      <c r="AU907" s="30">
        <f>Inventory[[#This Row],[EffAge]]*Lookups!$B$65</f>
        <v>-2174.8220000000001</v>
      </c>
      <c r="AV907" s="30">
        <f>Inventory[[#This Row],[MainFn]]*Lookups!$B$90</f>
        <v>72271.22004</v>
      </c>
      <c r="AW907" s="30">
        <f>Inventory[[#This Row],[UpprFn]]*Lookups!$B$91</f>
        <v>78765.266325999997</v>
      </c>
      <c r="AX907" s="30">
        <f>Inventory[[#This Row],[Bsmt Area]]*Lookups!$B$95</f>
        <v>0</v>
      </c>
      <c r="AY907" s="30">
        <f>Inventory[[#This Row],[AttGar]]*Lookups!$B$93</f>
        <v>10590.309300000001</v>
      </c>
      <c r="AZ907" s="30">
        <f>ROUND(Inventory[[#This Row],[25Det]],-2)</f>
        <v>0</v>
      </c>
      <c r="BA907" s="30">
        <f>ROUND(SUM(Inventory[[#This Row],[Mdl Qlty]:[Mdl Garage Area]])+Inventory[[#This Row],[Mdl Res Intercept]],-2)</f>
        <v>375300</v>
      </c>
      <c r="BB907" s="30">
        <f>ROUND(Inventory[[#This Row],[Mdl Land Intercept]]+Inventory[[#This Row],[Mdl LnAcres]],-2)</f>
        <v>64300</v>
      </c>
      <c r="BC907" s="30">
        <f>Inventory[[#This Row],[Unadj Res Value]]+Inventory[[#This Row],[Unadj Det Value]]+Inventory[[#This Row],[Unadj Land Value]]</f>
        <v>439600</v>
      </c>
      <c r="BD907" s="30">
        <f>(Inventory[[#This Row],[Unadj Total Value]]-Inventory[[#This Row],[24Final]])/Inventory[[#This Row],[24Final]]</f>
        <v>0</v>
      </c>
      <c r="BE907" s="30">
        <f>VLOOKUP(Inventory[[#This Row],[Nbhd]],Lookups!$M$3:$P$5,4,FALSE)</f>
        <v>0.99970000000000003</v>
      </c>
      <c r="BF907" s="30">
        <f>VLOOKUP(Inventory[[#This Row],[Qlty]],Lookups!$M$8:$P$22,4,FALSE)</f>
        <v>1.0019</v>
      </c>
      <c r="BG907" s="30">
        <f>VLOOKUP(Inventory[[#This Row],[Cnd]],Lookups!$R$8:$U$17,4,FALSE)</f>
        <v>1.0007999999999999</v>
      </c>
      <c r="BH907" s="30">
        <f>VLOOKUP(Inventory[[#This Row],[LivArea Range]],Lookups!$R$25:$U$43,4,FALSE)</f>
        <v>1.0008999999999999</v>
      </c>
      <c r="BI907" s="30">
        <f>VLOOKUP(Inventory[[#This Row],[Decade]],Lookups!$M$24:$P$40,4,FALSE)</f>
        <v>0.99560000000000004</v>
      </c>
      <c r="BJ907" s="30">
        <f>Inventory[[#This Row],[Nbhd Adj]]*0.95</f>
        <v>0.94971499999999998</v>
      </c>
      <c r="BK907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907" s="30">
        <f>ROUND((SUM(Inventory[[#This Row],[Mdl Qlty]:[Mdl Garage Area]])+Inventory[[#This Row],[Mdl Res Intercept]])*Inventory[[#This Row],[Res Adj ]],-2)</f>
        <v>356500</v>
      </c>
      <c r="BM907" s="30">
        <f>ROUND(Inventory[[#This Row],[25Det]]*Inventory[[#This Row],[Det/Nbhd Adj]],-2)</f>
        <v>0</v>
      </c>
      <c r="BN907" s="30">
        <f>Inventory[[#This Row],[Adjusted Res]]+Inventory[[#This Row],[Adj Det ]]</f>
        <v>356500</v>
      </c>
      <c r="BO907" s="30">
        <f>ROUND((Inventory[[#This Row],[Mdl Land Intercept]]+Inventory[[#This Row],[Mdl LnAcres]])*Inventory[[#This Row],[Det/Nbhd Adj]],-2)</f>
        <v>61100</v>
      </c>
      <c r="BP907" s="30">
        <f>Inventory[[#This Row],[Adjusted Impr Total]]+Inventory[[#This Row],[Adjusted Land Total]]</f>
        <v>417600</v>
      </c>
      <c r="BQ907" s="30">
        <f>IFERROR((Inventory[[#This Row],[Adjusted Impr Total]]-Inventory[[#This Row],[24Bldg]])/Inventory[[#This Row],[24Bldg]],0)</f>
        <v>-5.8870116156283001E-2</v>
      </c>
      <c r="BR907" s="43">
        <f>(Inventory[[#This Row],[Adjusted Land Total]]-Inventory[[#This Row],[24Lnd]])/Inventory[[#This Row],[24Lnd]]</f>
        <v>4.9342105263157892E-3</v>
      </c>
      <c r="BS907" s="43">
        <f>(Inventory[[#This Row],[Adjusted Total]]-Inventory[[#This Row],[24Final]])/Inventory[[#This Row],[24Final]]</f>
        <v>-5.0045495905368519E-2</v>
      </c>
    </row>
    <row r="908" spans="1:71">
      <c r="A908" s="30">
        <v>2025</v>
      </c>
      <c r="B908" s="31" t="s">
        <v>1423</v>
      </c>
      <c r="C908" s="31">
        <f>LN(Inventory[[#This Row],[Acres]])</f>
        <v>-1.8325814637483102</v>
      </c>
      <c r="D908" s="30">
        <v>0.16</v>
      </c>
      <c r="E908" s="30">
        <v>7001</v>
      </c>
      <c r="F908" s="31" t="s">
        <v>505</v>
      </c>
      <c r="G908" s="31" t="s">
        <v>155</v>
      </c>
      <c r="H908" s="31" t="s">
        <v>5</v>
      </c>
      <c r="I908" s="31" t="s">
        <v>506</v>
      </c>
      <c r="J908" s="31" t="s">
        <v>507</v>
      </c>
      <c r="K908" s="31" t="s">
        <v>157</v>
      </c>
      <c r="L908" s="31" t="s">
        <v>21</v>
      </c>
      <c r="M908" s="31" t="s">
        <v>20</v>
      </c>
      <c r="N908" s="31">
        <v>20</v>
      </c>
      <c r="O908" s="31">
        <f>2024-Inventory[[#This Row],[YrBlt]]</f>
        <v>20</v>
      </c>
      <c r="P908" s="31">
        <f>2024-Inventory[[#This Row],[EffYr]]</f>
        <v>20</v>
      </c>
      <c r="Q908" s="30">
        <v>2004</v>
      </c>
      <c r="R908" s="30">
        <v>2004</v>
      </c>
      <c r="S908" s="30">
        <v>1458</v>
      </c>
      <c r="T908" s="38">
        <v>1322</v>
      </c>
      <c r="U908" s="32"/>
      <c r="V908" s="32"/>
      <c r="W908" s="32"/>
      <c r="X908" s="32">
        <f>Inventory[[#This Row],[Bsmt Area]]-Inventory[[#This Row],[FnBsmt]]</f>
        <v>0</v>
      </c>
      <c r="Y908" s="32">
        <f>Inventory[[#This Row],[MainFn]]+Inventory[[#This Row],[UpprFn]]+Inventory[[#This Row],[AddFn]]+Inventory[[#This Row],[FnBsmt]]</f>
        <v>2780</v>
      </c>
      <c r="Z908" s="32">
        <v>3000</v>
      </c>
      <c r="AA908" s="31" t="s">
        <v>56</v>
      </c>
      <c r="AB908" s="37"/>
      <c r="AC908" s="37"/>
      <c r="AD908" s="38">
        <v>502</v>
      </c>
      <c r="AE908" s="32"/>
      <c r="AF908" s="32"/>
      <c r="AG908" s="32"/>
      <c r="AH908" s="32"/>
      <c r="AI908" s="30">
        <v>520366</v>
      </c>
      <c r="AJ908" s="30">
        <v>473533</v>
      </c>
      <c r="AK908" s="30">
        <v>0</v>
      </c>
      <c r="AL908" s="30">
        <v>0</v>
      </c>
      <c r="AM908" s="30">
        <v>60800</v>
      </c>
      <c r="AN908" s="30">
        <v>365100</v>
      </c>
      <c r="AO908" s="30">
        <v>425900</v>
      </c>
      <c r="AP908" s="30">
        <f>Lookups!$B$58*0.6</f>
        <v>132535.48800000001</v>
      </c>
      <c r="AQ908" s="30">
        <f>Lookups!$B$58*0.4</f>
        <v>88356.992000000013</v>
      </c>
      <c r="AR908" s="30">
        <f>Lookups!$B$59*Inventory[[#This Row],[LnAcres]]</f>
        <v>-24051.387388882686</v>
      </c>
      <c r="AS908" s="30">
        <f>VLOOKUP(Inventory[[#This Row],[Qlty]],Lookups!$A$66:$E$79,2,FALSE)</f>
        <v>32917.849192000001</v>
      </c>
      <c r="AT908" s="30">
        <f>VLOOKUP(Inventory[[#This Row],[Cnd]],Lookups!$A$80:$E$88,2,FALSE)</f>
        <v>30300.329274</v>
      </c>
      <c r="AU908" s="30">
        <f>Inventory[[#This Row],[EffAge]]*Lookups!$B$65</f>
        <v>-2174.8220000000001</v>
      </c>
      <c r="AV908" s="30">
        <f>Inventory[[#This Row],[MainFn]]*Lookups!$B$90</f>
        <v>90994.334040000002</v>
      </c>
      <c r="AW908" s="30">
        <f>Inventory[[#This Row],[UpprFn]]*Lookups!$B$91</f>
        <v>78765.266325999997</v>
      </c>
      <c r="AX908" s="30">
        <f>Inventory[[#This Row],[Bsmt Area]]*Lookups!$B$95</f>
        <v>0</v>
      </c>
      <c r="AY908" s="30">
        <f>Inventory[[#This Row],[AttGar]]*Lookups!$B$93</f>
        <v>0</v>
      </c>
      <c r="AZ908" s="30">
        <f>ROUND(Inventory[[#This Row],[25Det]],-2)</f>
        <v>0</v>
      </c>
      <c r="BA908" s="30">
        <f>ROUND(SUM(Inventory[[#This Row],[Mdl Qlty]:[Mdl Garage Area]])+Inventory[[#This Row],[Mdl Res Intercept]],-2)</f>
        <v>363300</v>
      </c>
      <c r="BB908" s="30">
        <f>ROUND(Inventory[[#This Row],[Mdl Land Intercept]]+Inventory[[#This Row],[Mdl LnAcres]],-2)</f>
        <v>64300</v>
      </c>
      <c r="BC908" s="30">
        <f>Inventory[[#This Row],[Unadj Res Value]]+Inventory[[#This Row],[Unadj Det Value]]+Inventory[[#This Row],[Unadj Land Value]]</f>
        <v>427600</v>
      </c>
      <c r="BD908" s="30">
        <f>(Inventory[[#This Row],[Unadj Total Value]]-Inventory[[#This Row],[24Final]])/Inventory[[#This Row],[24Final]]</f>
        <v>3.9915473115754874E-3</v>
      </c>
      <c r="BE908" s="30">
        <f>VLOOKUP(Inventory[[#This Row],[Nbhd]],Lookups!$M$3:$P$5,4,FALSE)</f>
        <v>0.99970000000000003</v>
      </c>
      <c r="BF908" s="30">
        <f>VLOOKUP(Inventory[[#This Row],[Qlty]],Lookups!$M$8:$P$22,4,FALSE)</f>
        <v>1.0019</v>
      </c>
      <c r="BG908" s="30">
        <f>VLOOKUP(Inventory[[#This Row],[Cnd]],Lookups!$R$8:$U$17,4,FALSE)</f>
        <v>0.997</v>
      </c>
      <c r="BH908" s="30">
        <f>VLOOKUP(Inventory[[#This Row],[LivArea Range]],Lookups!$R$25:$U$43,4,FALSE)</f>
        <v>1.0099</v>
      </c>
      <c r="BI908" s="30">
        <f>VLOOKUP(Inventory[[#This Row],[Decade]],Lookups!$M$24:$P$40,4,FALSE)</f>
        <v>0.99560000000000004</v>
      </c>
      <c r="BJ908" s="30">
        <f>Inventory[[#This Row],[Nbhd Adj]]*0.95</f>
        <v>0.94971499999999998</v>
      </c>
      <c r="BK908" s="30">
        <f>AVERAGE(Inventory[[#This Row],[Nbhd Adj]],Inventory[[#This Row],[Quality Adj]],Inventory[[#This Row],[Condition Adj]],Inventory[[#This Row],[Living Area Adj]],Inventory[[#This Row],[Decade Adj]])*0.95</f>
        <v>0.95077899999999982</v>
      </c>
      <c r="BL908" s="30">
        <f>ROUND((SUM(Inventory[[#This Row],[Mdl Qlty]:[Mdl Garage Area]])+Inventory[[#This Row],[Mdl Res Intercept]])*Inventory[[#This Row],[Res Adj ]],-2)</f>
        <v>345500</v>
      </c>
      <c r="BM908" s="30">
        <f>ROUND(Inventory[[#This Row],[25Det]]*Inventory[[#This Row],[Det/Nbhd Adj]],-2)</f>
        <v>0</v>
      </c>
      <c r="BN908" s="30">
        <f>Inventory[[#This Row],[Adjusted Res]]+Inventory[[#This Row],[Adj Det ]]</f>
        <v>345500</v>
      </c>
      <c r="BO908" s="30">
        <f>ROUND((Inventory[[#This Row],[Mdl Land Intercept]]+Inventory[[#This Row],[Mdl LnAcres]])*Inventory[[#This Row],[Det/Nbhd Adj]],-2)</f>
        <v>61100</v>
      </c>
      <c r="BP908" s="30">
        <f>Inventory[[#This Row],[Adjusted Impr Total]]+Inventory[[#This Row],[Adjusted Land Total]]</f>
        <v>406600</v>
      </c>
      <c r="BQ908" s="30">
        <f>IFERROR((Inventory[[#This Row],[Adjusted Impr Total]]-Inventory[[#This Row],[24Bldg]])/Inventory[[#This Row],[24Bldg]],0)</f>
        <v>-5.3683922213092303E-2</v>
      </c>
      <c r="BR908" s="43">
        <f>(Inventory[[#This Row],[Adjusted Land Total]]-Inventory[[#This Row],[24Lnd]])/Inventory[[#This Row],[24Lnd]]</f>
        <v>4.9342105263157892E-3</v>
      </c>
      <c r="BS908" s="43">
        <f>(Inventory[[#This Row],[Adjusted Total]]-Inventory[[#This Row],[24Final]])/Inventory[[#This Row],[24Final]]</f>
        <v>-4.5315801831415828E-2</v>
      </c>
    </row>
    <row r="909" spans="1:71">
      <c r="A909" s="30">
        <v>2025</v>
      </c>
      <c r="B909" s="31" t="s">
        <v>1424</v>
      </c>
      <c r="C909" s="31">
        <f>LN(Inventory[[#This Row],[Acres]])</f>
        <v>-1.8325814637483102</v>
      </c>
      <c r="D909" s="30">
        <v>0.16</v>
      </c>
      <c r="E909" s="30">
        <v>6952</v>
      </c>
      <c r="F909" s="31" t="s">
        <v>505</v>
      </c>
      <c r="G909" s="31" t="s">
        <v>155</v>
      </c>
      <c r="H909" s="31" t="s">
        <v>5</v>
      </c>
      <c r="I909" s="31" t="s">
        <v>506</v>
      </c>
      <c r="J909" s="31" t="s">
        <v>507</v>
      </c>
      <c r="K909" s="31" t="s">
        <v>157</v>
      </c>
      <c r="L909" s="31" t="s">
        <v>21</v>
      </c>
      <c r="M909" s="31" t="s">
        <v>22</v>
      </c>
      <c r="N909" s="31">
        <v>20</v>
      </c>
      <c r="O909" s="31">
        <f>2024-Inventory[[#This Row],[YrBlt]]</f>
        <v>20</v>
      </c>
      <c r="P909" s="31">
        <f>2024-Inventory[[#This Row],[EffYr]]</f>
        <v>20</v>
      </c>
      <c r="Q909" s="30">
        <v>2004</v>
      </c>
      <c r="R909" s="30">
        <v>2004</v>
      </c>
      <c r="S909" s="30">
        <v>1158</v>
      </c>
      <c r="T909" s="30">
        <v>1322</v>
      </c>
      <c r="U909" s="32"/>
      <c r="V909" s="32"/>
      <c r="W909" s="32"/>
      <c r="X909" s="32">
        <f>Inventory[[#This Row],[Bsmt Area]]-Inventory[[#This Row],[FnBsmt]]</f>
        <v>0</v>
      </c>
      <c r="Y909" s="32">
        <f>Inventory[[#This Row],[MainFn]]+Inventory[[#This Row],[UpprFn]]+Inventory[[#This Row],[AddFn]]+Inventory[[#This Row],[FnBsmt]]</f>
        <v>2480</v>
      </c>
      <c r="Z909" s="32">
        <v>2500</v>
      </c>
      <c r="AA909" s="31" t="s">
        <v>56</v>
      </c>
      <c r="AB909" s="32"/>
      <c r="AC909" s="32"/>
      <c r="AD909" s="30">
        <v>502</v>
      </c>
      <c r="AE909" s="32"/>
      <c r="AF909" s="32"/>
      <c r="AG909" s="32"/>
      <c r="AH909" s="32"/>
      <c r="AI909" s="30">
        <v>483458</v>
      </c>
      <c r="AJ909" s="30">
        <v>444781</v>
      </c>
      <c r="AK909" s="30">
        <v>0</v>
      </c>
      <c r="AL909" s="30">
        <v>0</v>
      </c>
      <c r="AM909" s="30">
        <v>60800</v>
      </c>
      <c r="AN909" s="30">
        <v>365900</v>
      </c>
      <c r="AO909" s="30">
        <v>426700</v>
      </c>
      <c r="AP909" s="30">
        <f>Lookups!$B$58*0.6</f>
        <v>132535.48800000001</v>
      </c>
      <c r="AQ909" s="30">
        <f>Lookups!$B$58*0.4</f>
        <v>88356.992000000013</v>
      </c>
      <c r="AR909" s="30">
        <f>Lookups!$B$59*Inventory[[#This Row],[LnAcres]]</f>
        <v>-24051.387388882686</v>
      </c>
      <c r="AS909" s="30">
        <f>VLOOKUP(Inventory[[#This Row],[Qlty]],Lookups!$A$66:$E$79,2,FALSE)</f>
        <v>32917.849192000001</v>
      </c>
      <c r="AT909" s="30">
        <f>VLOOKUP(Inventory[[#This Row],[Cnd]],Lookups!$A$80:$E$88,2,FALSE)</f>
        <v>50438.379078999998</v>
      </c>
      <c r="AU909" s="30">
        <f>Inventory[[#This Row],[EffAge]]*Lookups!$B$65</f>
        <v>-2174.8220000000001</v>
      </c>
      <c r="AV909" s="30">
        <f>Inventory[[#This Row],[MainFn]]*Lookups!$B$90</f>
        <v>72271.22004</v>
      </c>
      <c r="AW909" s="30">
        <f>Inventory[[#This Row],[UpprFn]]*Lookups!$B$91</f>
        <v>78765.266325999997</v>
      </c>
      <c r="AX909" s="30">
        <f>Inventory[[#This Row],[Bsmt Area]]*Lookups!$B$95</f>
        <v>0</v>
      </c>
      <c r="AY909" s="30">
        <f>Inventory[[#This Row],[AttGar]]*Lookups!$B$93</f>
        <v>0</v>
      </c>
      <c r="AZ909" s="30">
        <f>ROUND(Inventory[[#This Row],[25Det]],-2)</f>
        <v>0</v>
      </c>
      <c r="BA909" s="30">
        <f>ROUND(SUM(Inventory[[#This Row],[Mdl Qlty]:[Mdl Garage Area]])+Inventory[[#This Row],[Mdl Res Intercept]],-2)</f>
        <v>364800</v>
      </c>
      <c r="BB909" s="30">
        <f>ROUND(Inventory[[#This Row],[Mdl Land Intercept]]+Inventory[[#This Row],[Mdl LnAcres]],-2)</f>
        <v>64300</v>
      </c>
      <c r="BC909" s="30">
        <f>Inventory[[#This Row],[Unadj Res Value]]+Inventory[[#This Row],[Unadj Det Value]]+Inventory[[#This Row],[Unadj Land Value]]</f>
        <v>429100</v>
      </c>
      <c r="BD909" s="30">
        <f>(Inventory[[#This Row],[Unadj Total Value]]-Inventory[[#This Row],[24Final]])/Inventory[[#This Row],[24Final]]</f>
        <v>5.6245605812045938E-3</v>
      </c>
      <c r="BE909" s="30">
        <f>VLOOKUP(Inventory[[#This Row],[Nbhd]],Lookups!$M$3:$P$5,4,FALSE)</f>
        <v>0.99970000000000003</v>
      </c>
      <c r="BF909" s="30">
        <f>VLOOKUP(Inventory[[#This Row],[Qlty]],Lookups!$M$8:$P$22,4,FALSE)</f>
        <v>1.0019</v>
      </c>
      <c r="BG909" s="30">
        <f>VLOOKUP(Inventory[[#This Row],[Cnd]],Lookups!$R$8:$U$17,4,FALSE)</f>
        <v>1.0007999999999999</v>
      </c>
      <c r="BH909" s="30">
        <f>VLOOKUP(Inventory[[#This Row],[LivArea Range]],Lookups!$R$25:$U$43,4,FALSE)</f>
        <v>1.0008999999999999</v>
      </c>
      <c r="BI909" s="30">
        <f>VLOOKUP(Inventory[[#This Row],[Decade]],Lookups!$M$24:$P$40,4,FALSE)</f>
        <v>0.99560000000000004</v>
      </c>
      <c r="BJ909" s="30">
        <f>Inventory[[#This Row],[Nbhd Adj]]*0.95</f>
        <v>0.94971499999999998</v>
      </c>
      <c r="BK909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909" s="30">
        <f>ROUND((SUM(Inventory[[#This Row],[Mdl Qlty]:[Mdl Garage Area]])+Inventory[[#This Row],[Mdl Res Intercept]])*Inventory[[#This Row],[Res Adj ]],-2)</f>
        <v>346400</v>
      </c>
      <c r="BM909" s="30">
        <f>ROUND(Inventory[[#This Row],[25Det]]*Inventory[[#This Row],[Det/Nbhd Adj]],-2)</f>
        <v>0</v>
      </c>
      <c r="BN909" s="30">
        <f>Inventory[[#This Row],[Adjusted Res]]+Inventory[[#This Row],[Adj Det ]]</f>
        <v>346400</v>
      </c>
      <c r="BO909" s="30">
        <f>ROUND((Inventory[[#This Row],[Mdl Land Intercept]]+Inventory[[#This Row],[Mdl LnAcres]])*Inventory[[#This Row],[Det/Nbhd Adj]],-2)</f>
        <v>61100</v>
      </c>
      <c r="BP909" s="30">
        <f>Inventory[[#This Row],[Adjusted Impr Total]]+Inventory[[#This Row],[Adjusted Land Total]]</f>
        <v>407500</v>
      </c>
      <c r="BQ909" s="30">
        <f>IFERROR((Inventory[[#This Row],[Adjusted Impr Total]]-Inventory[[#This Row],[24Bldg]])/Inventory[[#This Row],[24Bldg]],0)</f>
        <v>-5.3293249521727246E-2</v>
      </c>
      <c r="BR909" s="43">
        <f>(Inventory[[#This Row],[Adjusted Land Total]]-Inventory[[#This Row],[24Lnd]])/Inventory[[#This Row],[24Lnd]]</f>
        <v>4.9342105263157892E-3</v>
      </c>
      <c r="BS909" s="43">
        <f>(Inventory[[#This Row],[Adjusted Total]]-Inventory[[#This Row],[24Final]])/Inventory[[#This Row],[24Final]]</f>
        <v>-4.499648464963675E-2</v>
      </c>
    </row>
    <row r="910" spans="1:71">
      <c r="A910" s="30">
        <v>2025</v>
      </c>
      <c r="B910" s="31" t="s">
        <v>1425</v>
      </c>
      <c r="C910" s="31">
        <f>LN(Inventory[[#This Row],[Acres]])</f>
        <v>-1.8325814637483102</v>
      </c>
      <c r="D910" s="30">
        <v>0.16</v>
      </c>
      <c r="E910" s="30">
        <v>7005</v>
      </c>
      <c r="F910" s="31" t="s">
        <v>505</v>
      </c>
      <c r="G910" s="31" t="s">
        <v>155</v>
      </c>
      <c r="H910" s="31" t="s">
        <v>5</v>
      </c>
      <c r="I910" s="31" t="s">
        <v>506</v>
      </c>
      <c r="J910" s="31" t="s">
        <v>507</v>
      </c>
      <c r="K910" s="31" t="s">
        <v>157</v>
      </c>
      <c r="L910" s="31" t="s">
        <v>21</v>
      </c>
      <c r="M910" s="31" t="s">
        <v>22</v>
      </c>
      <c r="N910" s="31">
        <v>20</v>
      </c>
      <c r="O910" s="31">
        <f>2024-Inventory[[#This Row],[YrBlt]]</f>
        <v>20</v>
      </c>
      <c r="P910" s="31">
        <f>2024-Inventory[[#This Row],[EffYr]]</f>
        <v>20</v>
      </c>
      <c r="Q910" s="30">
        <v>2004</v>
      </c>
      <c r="R910" s="30">
        <v>2004</v>
      </c>
      <c r="S910" s="30">
        <v>1158</v>
      </c>
      <c r="T910" s="38">
        <v>1322</v>
      </c>
      <c r="U910" s="32"/>
      <c r="V910" s="32"/>
      <c r="W910" s="32"/>
      <c r="X910" s="32">
        <f>Inventory[[#This Row],[Bsmt Area]]-Inventory[[#This Row],[FnBsmt]]</f>
        <v>0</v>
      </c>
      <c r="Y910" s="32">
        <f>Inventory[[#This Row],[MainFn]]+Inventory[[#This Row],[UpprFn]]+Inventory[[#This Row],[AddFn]]+Inventory[[#This Row],[FnBsmt]]</f>
        <v>2480</v>
      </c>
      <c r="Z910" s="32">
        <v>2500</v>
      </c>
      <c r="AA910" s="31" t="s">
        <v>56</v>
      </c>
      <c r="AB910" s="37"/>
      <c r="AC910" s="37"/>
      <c r="AD910" s="38">
        <v>502</v>
      </c>
      <c r="AE910" s="32"/>
      <c r="AF910" s="32"/>
      <c r="AG910" s="32"/>
      <c r="AH910" s="32"/>
      <c r="AI910" s="30">
        <v>476396</v>
      </c>
      <c r="AJ910" s="30">
        <v>438284</v>
      </c>
      <c r="AK910" s="30">
        <v>0</v>
      </c>
      <c r="AL910" s="30">
        <v>0</v>
      </c>
      <c r="AM910" s="30">
        <v>60800</v>
      </c>
      <c r="AN910" s="30">
        <v>365900</v>
      </c>
      <c r="AO910" s="30">
        <v>426700</v>
      </c>
      <c r="AP910" s="30">
        <f>Lookups!$B$58*0.6</f>
        <v>132535.48800000001</v>
      </c>
      <c r="AQ910" s="30">
        <f>Lookups!$B$58*0.4</f>
        <v>88356.992000000013</v>
      </c>
      <c r="AR910" s="30">
        <f>Lookups!$B$59*Inventory[[#This Row],[LnAcres]]</f>
        <v>-24051.387388882686</v>
      </c>
      <c r="AS910" s="30">
        <f>VLOOKUP(Inventory[[#This Row],[Qlty]],Lookups!$A$66:$E$79,2,FALSE)</f>
        <v>32917.849192000001</v>
      </c>
      <c r="AT910" s="30">
        <f>VLOOKUP(Inventory[[#This Row],[Cnd]],Lookups!$A$80:$E$88,2,FALSE)</f>
        <v>50438.379078999998</v>
      </c>
      <c r="AU910" s="30">
        <f>Inventory[[#This Row],[EffAge]]*Lookups!$B$65</f>
        <v>-2174.8220000000001</v>
      </c>
      <c r="AV910" s="30">
        <f>Inventory[[#This Row],[MainFn]]*Lookups!$B$90</f>
        <v>72271.22004</v>
      </c>
      <c r="AW910" s="30">
        <f>Inventory[[#This Row],[UpprFn]]*Lookups!$B$91</f>
        <v>78765.266325999997</v>
      </c>
      <c r="AX910" s="30">
        <f>Inventory[[#This Row],[Bsmt Area]]*Lookups!$B$95</f>
        <v>0</v>
      </c>
      <c r="AY910" s="30">
        <f>Inventory[[#This Row],[AttGar]]*Lookups!$B$93</f>
        <v>0</v>
      </c>
      <c r="AZ910" s="30">
        <f>ROUND(Inventory[[#This Row],[25Det]],-2)</f>
        <v>0</v>
      </c>
      <c r="BA910" s="30">
        <f>ROUND(SUM(Inventory[[#This Row],[Mdl Qlty]:[Mdl Garage Area]])+Inventory[[#This Row],[Mdl Res Intercept]],-2)</f>
        <v>364800</v>
      </c>
      <c r="BB910" s="30">
        <f>ROUND(Inventory[[#This Row],[Mdl Land Intercept]]+Inventory[[#This Row],[Mdl LnAcres]],-2)</f>
        <v>64300</v>
      </c>
      <c r="BC910" s="30">
        <f>Inventory[[#This Row],[Unadj Res Value]]+Inventory[[#This Row],[Unadj Det Value]]+Inventory[[#This Row],[Unadj Land Value]]</f>
        <v>429100</v>
      </c>
      <c r="BD910" s="30">
        <f>(Inventory[[#This Row],[Unadj Total Value]]-Inventory[[#This Row],[24Final]])/Inventory[[#This Row],[24Final]]</f>
        <v>5.6245605812045938E-3</v>
      </c>
      <c r="BE910" s="30">
        <f>VLOOKUP(Inventory[[#This Row],[Nbhd]],Lookups!$M$3:$P$5,4,FALSE)</f>
        <v>0.99970000000000003</v>
      </c>
      <c r="BF910" s="30">
        <f>VLOOKUP(Inventory[[#This Row],[Qlty]],Lookups!$M$8:$P$22,4,FALSE)</f>
        <v>1.0019</v>
      </c>
      <c r="BG910" s="30">
        <f>VLOOKUP(Inventory[[#This Row],[Cnd]],Lookups!$R$8:$U$17,4,FALSE)</f>
        <v>1.0007999999999999</v>
      </c>
      <c r="BH910" s="30">
        <f>VLOOKUP(Inventory[[#This Row],[LivArea Range]],Lookups!$R$25:$U$43,4,FALSE)</f>
        <v>1.0008999999999999</v>
      </c>
      <c r="BI910" s="30">
        <f>VLOOKUP(Inventory[[#This Row],[Decade]],Lookups!$M$24:$P$40,4,FALSE)</f>
        <v>0.99560000000000004</v>
      </c>
      <c r="BJ910" s="30">
        <f>Inventory[[#This Row],[Nbhd Adj]]*0.95</f>
        <v>0.94971499999999998</v>
      </c>
      <c r="BK910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910" s="30">
        <f>ROUND((SUM(Inventory[[#This Row],[Mdl Qlty]:[Mdl Garage Area]])+Inventory[[#This Row],[Mdl Res Intercept]])*Inventory[[#This Row],[Res Adj ]],-2)</f>
        <v>346400</v>
      </c>
      <c r="BM910" s="30">
        <f>ROUND(Inventory[[#This Row],[25Det]]*Inventory[[#This Row],[Det/Nbhd Adj]],-2)</f>
        <v>0</v>
      </c>
      <c r="BN910" s="30">
        <f>Inventory[[#This Row],[Adjusted Res]]+Inventory[[#This Row],[Adj Det ]]</f>
        <v>346400</v>
      </c>
      <c r="BO910" s="30">
        <f>ROUND((Inventory[[#This Row],[Mdl Land Intercept]]+Inventory[[#This Row],[Mdl LnAcres]])*Inventory[[#This Row],[Det/Nbhd Adj]],-2)</f>
        <v>61100</v>
      </c>
      <c r="BP910" s="30">
        <f>Inventory[[#This Row],[Adjusted Impr Total]]+Inventory[[#This Row],[Adjusted Land Total]]</f>
        <v>407500</v>
      </c>
      <c r="BQ910" s="30">
        <f>IFERROR((Inventory[[#This Row],[Adjusted Impr Total]]-Inventory[[#This Row],[24Bldg]])/Inventory[[#This Row],[24Bldg]],0)</f>
        <v>-5.3293249521727246E-2</v>
      </c>
      <c r="BR910" s="43">
        <f>(Inventory[[#This Row],[Adjusted Land Total]]-Inventory[[#This Row],[24Lnd]])/Inventory[[#This Row],[24Lnd]]</f>
        <v>4.9342105263157892E-3</v>
      </c>
      <c r="BS910" s="43">
        <f>(Inventory[[#This Row],[Adjusted Total]]-Inventory[[#This Row],[24Final]])/Inventory[[#This Row],[24Final]]</f>
        <v>-4.499648464963675E-2</v>
      </c>
    </row>
    <row r="911" spans="1:71">
      <c r="A911" s="30">
        <v>2025</v>
      </c>
      <c r="B911" s="31" t="s">
        <v>1426</v>
      </c>
      <c r="C911" s="31">
        <f>LN(Inventory[[#This Row],[Acres]])</f>
        <v>-1.8325814637483102</v>
      </c>
      <c r="D911" s="30">
        <v>0.16</v>
      </c>
      <c r="E911" s="30">
        <v>7004</v>
      </c>
      <c r="F911" s="31" t="s">
        <v>505</v>
      </c>
      <c r="G911" s="31" t="s">
        <v>155</v>
      </c>
      <c r="H911" s="31" t="s">
        <v>5</v>
      </c>
      <c r="I911" s="31" t="s">
        <v>506</v>
      </c>
      <c r="J911" s="31" t="s">
        <v>507</v>
      </c>
      <c r="K911" s="31" t="s">
        <v>193</v>
      </c>
      <c r="L911" s="31" t="s">
        <v>19</v>
      </c>
      <c r="M911" s="31" t="s">
        <v>18</v>
      </c>
      <c r="N911" s="31">
        <v>20</v>
      </c>
      <c r="O911" s="31">
        <f>2024-Inventory[[#This Row],[YrBlt]]</f>
        <v>20</v>
      </c>
      <c r="P911" s="31">
        <f>2024-Inventory[[#This Row],[EffYr]]</f>
        <v>20</v>
      </c>
      <c r="Q911" s="30">
        <v>2004</v>
      </c>
      <c r="R911" s="30">
        <v>2004</v>
      </c>
      <c r="S911" s="30">
        <v>1076</v>
      </c>
      <c r="T911" s="32"/>
      <c r="U911" s="32"/>
      <c r="V911" s="32"/>
      <c r="W911" s="32"/>
      <c r="X911" s="32">
        <f>Inventory[[#This Row],[Bsmt Area]]-Inventory[[#This Row],[FnBsmt]]</f>
        <v>0</v>
      </c>
      <c r="Y911" s="32">
        <f>Inventory[[#This Row],[MainFn]]+Inventory[[#This Row],[UpprFn]]+Inventory[[#This Row],[AddFn]]+Inventory[[#This Row],[FnBsmt]]</f>
        <v>1076</v>
      </c>
      <c r="Z911" s="32">
        <v>1500</v>
      </c>
      <c r="AA911" s="31" t="s">
        <v>56</v>
      </c>
      <c r="AB911" s="37"/>
      <c r="AC911" s="30">
        <v>440</v>
      </c>
      <c r="AD911" s="32"/>
      <c r="AE911" s="32"/>
      <c r="AF911" s="32"/>
      <c r="AG911" s="32"/>
      <c r="AH911" s="32"/>
      <c r="AI911" s="30">
        <v>234271</v>
      </c>
      <c r="AJ911" s="30">
        <v>213187</v>
      </c>
      <c r="AK911" s="30">
        <v>0</v>
      </c>
      <c r="AL911" s="30">
        <v>0</v>
      </c>
      <c r="AM911" s="30">
        <v>60800</v>
      </c>
      <c r="AN911" s="30">
        <v>263400</v>
      </c>
      <c r="AO911" s="30">
        <v>324200</v>
      </c>
      <c r="AP911" s="30">
        <f>Lookups!$B$58*0.6</f>
        <v>132535.48800000001</v>
      </c>
      <c r="AQ911" s="30">
        <f>Lookups!$B$58*0.4</f>
        <v>88356.992000000013</v>
      </c>
      <c r="AR911" s="30">
        <f>Lookups!$B$59*Inventory[[#This Row],[LnAcres]]</f>
        <v>-24051.387388882686</v>
      </c>
      <c r="AS911" s="30">
        <f>VLOOKUP(Inventory[[#This Row],[Qlty]],Lookups!$A$66:$E$79,2,FALSE)</f>
        <v>37154.252388000001</v>
      </c>
      <c r="AT911" s="30">
        <f>VLOOKUP(Inventory[[#This Row],[Cnd]],Lookups!$A$80:$E$88,2,FALSE)</f>
        <v>17761.121909000001</v>
      </c>
      <c r="AU911" s="30">
        <f>Inventory[[#This Row],[EffAge]]*Lookups!$B$65</f>
        <v>-2174.8220000000001</v>
      </c>
      <c r="AV911" s="30">
        <f>Inventory[[#This Row],[MainFn]]*Lookups!$B$90</f>
        <v>67153.568880000006</v>
      </c>
      <c r="AW911" s="30">
        <f>Inventory[[#This Row],[UpprFn]]*Lookups!$B$91</f>
        <v>0</v>
      </c>
      <c r="AX911" s="30">
        <f>Inventory[[#This Row],[Bsmt Area]]*Lookups!$B$95</f>
        <v>0</v>
      </c>
      <c r="AY911" s="30">
        <f>Inventory[[#This Row],[AttGar]]*Lookups!$B$93</f>
        <v>15532.453640000002</v>
      </c>
      <c r="AZ911" s="30">
        <f>ROUND(Inventory[[#This Row],[25Det]],-2)</f>
        <v>0</v>
      </c>
      <c r="BA911" s="30">
        <f>ROUND(SUM(Inventory[[#This Row],[Mdl Qlty]:[Mdl Garage Area]])+Inventory[[#This Row],[Mdl Res Intercept]],-2)</f>
        <v>268000</v>
      </c>
      <c r="BB911" s="30">
        <f>ROUND(Inventory[[#This Row],[Mdl Land Intercept]]+Inventory[[#This Row],[Mdl LnAcres]],-2)</f>
        <v>64300</v>
      </c>
      <c r="BC911" s="30">
        <f>Inventory[[#This Row],[Unadj Res Value]]+Inventory[[#This Row],[Unadj Det Value]]+Inventory[[#This Row],[Unadj Land Value]]</f>
        <v>332300</v>
      </c>
      <c r="BD911" s="30">
        <f>(Inventory[[#This Row],[Unadj Total Value]]-Inventory[[#This Row],[24Final]])/Inventory[[#This Row],[24Final]]</f>
        <v>2.4984577421344849E-2</v>
      </c>
      <c r="BE911" s="30">
        <f>VLOOKUP(Inventory[[#This Row],[Nbhd]],Lookups!$M$3:$P$5,4,FALSE)</f>
        <v>0.99970000000000003</v>
      </c>
      <c r="BF911" s="30">
        <f>VLOOKUP(Inventory[[#This Row],[Qlty]],Lookups!$M$8:$P$22,4,FALSE)</f>
        <v>0.99819999999999998</v>
      </c>
      <c r="BG911" s="30">
        <f>VLOOKUP(Inventory[[#This Row],[Cnd]],Lookups!$R$8:$U$17,4,FALSE)</f>
        <v>0.99680000000000002</v>
      </c>
      <c r="BH911" s="30">
        <f>VLOOKUP(Inventory[[#This Row],[LivArea Range]],Lookups!$R$25:$U$43,4,FALSE)</f>
        <v>0.99519999999999997</v>
      </c>
      <c r="BI911" s="30">
        <f>VLOOKUP(Inventory[[#This Row],[Decade]],Lookups!$M$24:$P$40,4,FALSE)</f>
        <v>0.99560000000000004</v>
      </c>
      <c r="BJ911" s="30">
        <f>Inventory[[#This Row],[Nbhd Adj]]*0.95</f>
        <v>0.94971499999999998</v>
      </c>
      <c r="BK911" s="30">
        <f>AVERAGE(Inventory[[#This Row],[Nbhd Adj]],Inventory[[#This Row],[Quality Adj]],Inventory[[#This Row],[Condition Adj]],Inventory[[#This Row],[Living Area Adj]],Inventory[[#This Row],[Decade Adj]])*0.95</f>
        <v>0.94724499999999989</v>
      </c>
      <c r="BL911" s="30">
        <f>ROUND((SUM(Inventory[[#This Row],[Mdl Qlty]:[Mdl Garage Area]])+Inventory[[#This Row],[Mdl Res Intercept]])*Inventory[[#This Row],[Res Adj ]],-2)</f>
        <v>253800</v>
      </c>
      <c r="BM911" s="30">
        <f>ROUND(Inventory[[#This Row],[25Det]]*Inventory[[#This Row],[Det/Nbhd Adj]],-2)</f>
        <v>0</v>
      </c>
      <c r="BN911" s="30">
        <f>Inventory[[#This Row],[Adjusted Res]]+Inventory[[#This Row],[Adj Det ]]</f>
        <v>253800</v>
      </c>
      <c r="BO911" s="30">
        <f>ROUND((Inventory[[#This Row],[Mdl Land Intercept]]+Inventory[[#This Row],[Mdl LnAcres]])*Inventory[[#This Row],[Det/Nbhd Adj]],-2)</f>
        <v>61100</v>
      </c>
      <c r="BP911" s="30">
        <f>Inventory[[#This Row],[Adjusted Impr Total]]+Inventory[[#This Row],[Adjusted Land Total]]</f>
        <v>314900</v>
      </c>
      <c r="BQ911" s="30">
        <f>IFERROR((Inventory[[#This Row],[Adjusted Impr Total]]-Inventory[[#This Row],[24Bldg]])/Inventory[[#This Row],[24Bldg]],0)</f>
        <v>-3.644646924829157E-2</v>
      </c>
      <c r="BR911" s="43">
        <f>(Inventory[[#This Row],[Adjusted Land Total]]-Inventory[[#This Row],[24Lnd]])/Inventory[[#This Row],[24Lnd]]</f>
        <v>4.9342105263157892E-3</v>
      </c>
      <c r="BS911" s="43">
        <f>(Inventory[[#This Row],[Adjusted Total]]-Inventory[[#This Row],[24Final]])/Inventory[[#This Row],[24Final]]</f>
        <v>-2.8685996298581123E-2</v>
      </c>
    </row>
    <row r="912" spans="1:71">
      <c r="A912" s="30">
        <v>2025</v>
      </c>
      <c r="B912" s="31" t="s">
        <v>1427</v>
      </c>
      <c r="C912" s="31">
        <f>LN(Inventory[[#This Row],[Acres]])</f>
        <v>-1.8325814637483102</v>
      </c>
      <c r="D912" s="30">
        <v>0.16</v>
      </c>
      <c r="E912" s="30">
        <v>7016</v>
      </c>
      <c r="F912" s="31" t="s">
        <v>505</v>
      </c>
      <c r="G912" s="31" t="s">
        <v>155</v>
      </c>
      <c r="H912" s="31" t="s">
        <v>5</v>
      </c>
      <c r="I912" s="31" t="s">
        <v>506</v>
      </c>
      <c r="J912" s="31" t="s">
        <v>507</v>
      </c>
      <c r="K912" s="31" t="s">
        <v>193</v>
      </c>
      <c r="L912" s="31" t="s">
        <v>19</v>
      </c>
      <c r="M912" s="31" t="s">
        <v>20</v>
      </c>
      <c r="N912" s="31">
        <v>20</v>
      </c>
      <c r="O912" s="31">
        <f>2024-Inventory[[#This Row],[YrBlt]]</f>
        <v>20</v>
      </c>
      <c r="P912" s="31">
        <f>2024-Inventory[[#This Row],[EffYr]]</f>
        <v>20</v>
      </c>
      <c r="Q912" s="30">
        <v>2004</v>
      </c>
      <c r="R912" s="30">
        <v>2004</v>
      </c>
      <c r="S912" s="30">
        <v>1076</v>
      </c>
      <c r="T912" s="37"/>
      <c r="U912" s="32"/>
      <c r="V912" s="32"/>
      <c r="W912" s="32"/>
      <c r="X912" s="32">
        <f>Inventory[[#This Row],[Bsmt Area]]-Inventory[[#This Row],[FnBsmt]]</f>
        <v>0</v>
      </c>
      <c r="Y912" s="32">
        <f>Inventory[[#This Row],[MainFn]]+Inventory[[#This Row],[UpprFn]]+Inventory[[#This Row],[AddFn]]+Inventory[[#This Row],[FnBsmt]]</f>
        <v>1076</v>
      </c>
      <c r="Z912" s="32">
        <v>1500</v>
      </c>
      <c r="AA912" s="31" t="s">
        <v>56</v>
      </c>
      <c r="AB912" s="32"/>
      <c r="AC912" s="30">
        <v>440</v>
      </c>
      <c r="AD912" s="32"/>
      <c r="AE912" s="32"/>
      <c r="AF912" s="32"/>
      <c r="AG912" s="32"/>
      <c r="AH912" s="32"/>
      <c r="AI912" s="30">
        <v>229055</v>
      </c>
      <c r="AJ912" s="30">
        <v>208440</v>
      </c>
      <c r="AK912" s="30">
        <v>0</v>
      </c>
      <c r="AL912" s="30">
        <v>0</v>
      </c>
      <c r="AM912" s="30">
        <v>60800</v>
      </c>
      <c r="AN912" s="30">
        <v>274900</v>
      </c>
      <c r="AO912" s="30">
        <v>335700</v>
      </c>
      <c r="AP912" s="30">
        <f>Lookups!$B$58*0.6</f>
        <v>132535.48800000001</v>
      </c>
      <c r="AQ912" s="30">
        <f>Lookups!$B$58*0.4</f>
        <v>88356.992000000013</v>
      </c>
      <c r="AR912" s="30">
        <f>Lookups!$B$59*Inventory[[#This Row],[LnAcres]]</f>
        <v>-24051.387388882686</v>
      </c>
      <c r="AS912" s="30">
        <f>VLOOKUP(Inventory[[#This Row],[Qlty]],Lookups!$A$66:$E$79,2,FALSE)</f>
        <v>37154.252388000001</v>
      </c>
      <c r="AT912" s="30">
        <f>VLOOKUP(Inventory[[#This Row],[Cnd]],Lookups!$A$80:$E$88,2,FALSE)</f>
        <v>30300.329274</v>
      </c>
      <c r="AU912" s="30">
        <f>Inventory[[#This Row],[EffAge]]*Lookups!$B$65</f>
        <v>-2174.8220000000001</v>
      </c>
      <c r="AV912" s="30">
        <f>Inventory[[#This Row],[MainFn]]*Lookups!$B$90</f>
        <v>67153.568880000006</v>
      </c>
      <c r="AW912" s="30">
        <f>Inventory[[#This Row],[UpprFn]]*Lookups!$B$91</f>
        <v>0</v>
      </c>
      <c r="AX912" s="30">
        <f>Inventory[[#This Row],[Bsmt Area]]*Lookups!$B$95</f>
        <v>0</v>
      </c>
      <c r="AY912" s="30">
        <f>Inventory[[#This Row],[AttGar]]*Lookups!$B$93</f>
        <v>15532.453640000002</v>
      </c>
      <c r="AZ912" s="30">
        <f>ROUND(Inventory[[#This Row],[25Det]],-2)</f>
        <v>0</v>
      </c>
      <c r="BA912" s="30">
        <f>ROUND(SUM(Inventory[[#This Row],[Mdl Qlty]:[Mdl Garage Area]])+Inventory[[#This Row],[Mdl Res Intercept]],-2)</f>
        <v>280500</v>
      </c>
      <c r="BB912" s="30">
        <f>ROUND(Inventory[[#This Row],[Mdl Land Intercept]]+Inventory[[#This Row],[Mdl LnAcres]],-2)</f>
        <v>64300</v>
      </c>
      <c r="BC912" s="30">
        <f>Inventory[[#This Row],[Unadj Res Value]]+Inventory[[#This Row],[Unadj Det Value]]+Inventory[[#This Row],[Unadj Land Value]]</f>
        <v>344800</v>
      </c>
      <c r="BD912" s="30">
        <f>(Inventory[[#This Row],[Unadj Total Value]]-Inventory[[#This Row],[24Final]])/Inventory[[#This Row],[24Final]]</f>
        <v>2.7107536490914508E-2</v>
      </c>
      <c r="BE912" s="30">
        <f>VLOOKUP(Inventory[[#This Row],[Nbhd]],Lookups!$M$3:$P$5,4,FALSE)</f>
        <v>0.99970000000000003</v>
      </c>
      <c r="BF912" s="30">
        <f>VLOOKUP(Inventory[[#This Row],[Qlty]],Lookups!$M$8:$P$22,4,FALSE)</f>
        <v>0.99819999999999998</v>
      </c>
      <c r="BG912" s="30">
        <f>VLOOKUP(Inventory[[#This Row],[Cnd]],Lookups!$R$8:$U$17,4,FALSE)</f>
        <v>0.997</v>
      </c>
      <c r="BH912" s="30">
        <f>VLOOKUP(Inventory[[#This Row],[LivArea Range]],Lookups!$R$25:$U$43,4,FALSE)</f>
        <v>0.99519999999999997</v>
      </c>
      <c r="BI912" s="30">
        <f>VLOOKUP(Inventory[[#This Row],[Decade]],Lookups!$M$24:$P$40,4,FALSE)</f>
        <v>0.99560000000000004</v>
      </c>
      <c r="BJ912" s="30">
        <f>Inventory[[#This Row],[Nbhd Adj]]*0.95</f>
        <v>0.94971499999999998</v>
      </c>
      <c r="BK912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912" s="30">
        <f>ROUND((SUM(Inventory[[#This Row],[Mdl Qlty]:[Mdl Garage Area]])+Inventory[[#This Row],[Mdl Res Intercept]])*Inventory[[#This Row],[Res Adj ]],-2)</f>
        <v>265700</v>
      </c>
      <c r="BM912" s="30">
        <f>ROUND(Inventory[[#This Row],[25Det]]*Inventory[[#This Row],[Det/Nbhd Adj]],-2)</f>
        <v>0</v>
      </c>
      <c r="BN912" s="30">
        <f>Inventory[[#This Row],[Adjusted Res]]+Inventory[[#This Row],[Adj Det ]]</f>
        <v>265700</v>
      </c>
      <c r="BO912" s="30">
        <f>ROUND((Inventory[[#This Row],[Mdl Land Intercept]]+Inventory[[#This Row],[Mdl LnAcres]])*Inventory[[#This Row],[Det/Nbhd Adj]],-2)</f>
        <v>61100</v>
      </c>
      <c r="BP912" s="30">
        <f>Inventory[[#This Row],[Adjusted Impr Total]]+Inventory[[#This Row],[Adjusted Land Total]]</f>
        <v>326800</v>
      </c>
      <c r="BQ912" s="30">
        <f>IFERROR((Inventory[[#This Row],[Adjusted Impr Total]]-Inventory[[#This Row],[24Bldg]])/Inventory[[#This Row],[24Bldg]],0)</f>
        <v>-3.3466715169152422E-2</v>
      </c>
      <c r="BR912" s="43">
        <f>(Inventory[[#This Row],[Adjusted Land Total]]-Inventory[[#This Row],[24Lnd]])/Inventory[[#This Row],[24Lnd]]</f>
        <v>4.9342105263157892E-3</v>
      </c>
      <c r="BS912" s="43">
        <f>(Inventory[[#This Row],[Adjusted Total]]-Inventory[[#This Row],[24Final]])/Inventory[[#This Row],[24Final]]</f>
        <v>-2.6511766458147155E-2</v>
      </c>
    </row>
    <row r="913" spans="1:71">
      <c r="A913" s="30">
        <v>2025</v>
      </c>
      <c r="B913" s="31" t="s">
        <v>1428</v>
      </c>
      <c r="C913" s="31">
        <f>LN(Inventory[[#This Row],[Acres]])</f>
        <v>-1.8325814637483102</v>
      </c>
      <c r="D913" s="30">
        <v>0.16</v>
      </c>
      <c r="E913" s="38">
        <v>6985</v>
      </c>
      <c r="F913" s="31" t="s">
        <v>505</v>
      </c>
      <c r="G913" s="31" t="s">
        <v>155</v>
      </c>
      <c r="H913" s="31" t="s">
        <v>5</v>
      </c>
      <c r="I913" s="31" t="s">
        <v>506</v>
      </c>
      <c r="J913" s="31" t="s">
        <v>507</v>
      </c>
      <c r="K913" s="31" t="s">
        <v>193</v>
      </c>
      <c r="L913" s="31" t="s">
        <v>19</v>
      </c>
      <c r="M913" s="31" t="s">
        <v>20</v>
      </c>
      <c r="N913" s="31">
        <v>20</v>
      </c>
      <c r="O913" s="31">
        <f>2024-Inventory[[#This Row],[YrBlt]]</f>
        <v>20</v>
      </c>
      <c r="P913" s="31">
        <f>2024-Inventory[[#This Row],[EffYr]]</f>
        <v>20</v>
      </c>
      <c r="Q913" s="30">
        <v>2004</v>
      </c>
      <c r="R913" s="30">
        <v>2004</v>
      </c>
      <c r="S913" s="30">
        <v>1092</v>
      </c>
      <c r="T913" s="37"/>
      <c r="U913" s="37"/>
      <c r="V913" s="32"/>
      <c r="W913" s="37"/>
      <c r="X913" s="37">
        <f>Inventory[[#This Row],[Bsmt Area]]-Inventory[[#This Row],[FnBsmt]]</f>
        <v>0</v>
      </c>
      <c r="Y913" s="37">
        <f>Inventory[[#This Row],[MainFn]]+Inventory[[#This Row],[UpprFn]]+Inventory[[#This Row],[AddFn]]+Inventory[[#This Row],[FnBsmt]]</f>
        <v>1092</v>
      </c>
      <c r="Z913" s="32">
        <v>1500</v>
      </c>
      <c r="AA913" s="31" t="s">
        <v>56</v>
      </c>
      <c r="AB913" s="32"/>
      <c r="AC913" s="30">
        <v>440</v>
      </c>
      <c r="AD913" s="32"/>
      <c r="AE913" s="32"/>
      <c r="AF913" s="37"/>
      <c r="AG913" s="32"/>
      <c r="AH913" s="32"/>
      <c r="AI913" s="30">
        <v>231626</v>
      </c>
      <c r="AJ913" s="30">
        <v>210780</v>
      </c>
      <c r="AK913" s="30">
        <v>0</v>
      </c>
      <c r="AL913" s="30">
        <v>0</v>
      </c>
      <c r="AM913" s="30">
        <v>60800</v>
      </c>
      <c r="AN913" s="30">
        <v>275800</v>
      </c>
      <c r="AO913" s="30">
        <v>336600</v>
      </c>
      <c r="AP913" s="30">
        <f>Lookups!$B$58*0.6</f>
        <v>132535.48800000001</v>
      </c>
      <c r="AQ913" s="30">
        <f>Lookups!$B$58*0.4</f>
        <v>88356.992000000013</v>
      </c>
      <c r="AR913" s="30">
        <f>Lookups!$B$59*Inventory[[#This Row],[LnAcres]]</f>
        <v>-24051.387388882686</v>
      </c>
      <c r="AS913" s="30">
        <f>VLOOKUP(Inventory[[#This Row],[Qlty]],Lookups!$A$66:$E$79,2,FALSE)</f>
        <v>37154.252388000001</v>
      </c>
      <c r="AT913" s="30">
        <f>VLOOKUP(Inventory[[#This Row],[Cnd]],Lookups!$A$80:$E$88,2,FALSE)</f>
        <v>30300.329274</v>
      </c>
      <c r="AU913" s="30">
        <f>Inventory[[#This Row],[EffAge]]*Lookups!$B$65</f>
        <v>-2174.8220000000001</v>
      </c>
      <c r="AV913" s="30">
        <f>Inventory[[#This Row],[MainFn]]*Lookups!$B$90</f>
        <v>68152.13496000001</v>
      </c>
      <c r="AW913" s="30">
        <f>Inventory[[#This Row],[UpprFn]]*Lookups!$B$91</f>
        <v>0</v>
      </c>
      <c r="AX913" s="30">
        <f>Inventory[[#This Row],[Bsmt Area]]*Lookups!$B$95</f>
        <v>0</v>
      </c>
      <c r="AY913" s="30">
        <f>Inventory[[#This Row],[AttGar]]*Lookups!$B$93</f>
        <v>15532.453640000002</v>
      </c>
      <c r="AZ913" s="30">
        <f>ROUND(Inventory[[#This Row],[25Det]],-2)</f>
        <v>0</v>
      </c>
      <c r="BA913" s="30">
        <f>ROUND(SUM(Inventory[[#This Row],[Mdl Qlty]:[Mdl Garage Area]])+Inventory[[#This Row],[Mdl Res Intercept]],-2)</f>
        <v>281500</v>
      </c>
      <c r="BB913" s="30">
        <f>ROUND(Inventory[[#This Row],[Mdl Land Intercept]]+Inventory[[#This Row],[Mdl LnAcres]],-2)</f>
        <v>64300</v>
      </c>
      <c r="BC913" s="30">
        <f>Inventory[[#This Row],[Unadj Res Value]]+Inventory[[#This Row],[Unadj Det Value]]+Inventory[[#This Row],[Unadj Land Value]]</f>
        <v>345800</v>
      </c>
      <c r="BD913" s="30">
        <f>(Inventory[[#This Row],[Unadj Total Value]]-Inventory[[#This Row],[24Final]])/Inventory[[#This Row],[24Final]]</f>
        <v>2.7332144979203804E-2</v>
      </c>
      <c r="BE913" s="30">
        <f>VLOOKUP(Inventory[[#This Row],[Nbhd]],Lookups!$M$3:$P$5,4,FALSE)</f>
        <v>0.99970000000000003</v>
      </c>
      <c r="BF913" s="30">
        <f>VLOOKUP(Inventory[[#This Row],[Qlty]],Lookups!$M$8:$P$22,4,FALSE)</f>
        <v>0.99819999999999998</v>
      </c>
      <c r="BG913" s="30">
        <f>VLOOKUP(Inventory[[#This Row],[Cnd]],Lookups!$R$8:$U$17,4,FALSE)</f>
        <v>0.997</v>
      </c>
      <c r="BH913" s="30">
        <f>VLOOKUP(Inventory[[#This Row],[LivArea Range]],Lookups!$R$25:$U$43,4,FALSE)</f>
        <v>0.99519999999999997</v>
      </c>
      <c r="BI913" s="30">
        <f>VLOOKUP(Inventory[[#This Row],[Decade]],Lookups!$M$24:$P$40,4,FALSE)</f>
        <v>0.99560000000000004</v>
      </c>
      <c r="BJ913" s="30">
        <f>Inventory[[#This Row],[Nbhd Adj]]*0.95</f>
        <v>0.94971499999999998</v>
      </c>
      <c r="BK913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913" s="30">
        <f>ROUND((SUM(Inventory[[#This Row],[Mdl Qlty]:[Mdl Garage Area]])+Inventory[[#This Row],[Mdl Res Intercept]])*Inventory[[#This Row],[Res Adj ]],-2)</f>
        <v>266700</v>
      </c>
      <c r="BM913" s="30">
        <f>ROUND(Inventory[[#This Row],[25Det]]*Inventory[[#This Row],[Det/Nbhd Adj]],-2)</f>
        <v>0</v>
      </c>
      <c r="BN913" s="30">
        <f>Inventory[[#This Row],[Adjusted Res]]+Inventory[[#This Row],[Adj Det ]]</f>
        <v>266700</v>
      </c>
      <c r="BO913" s="30">
        <f>ROUND((Inventory[[#This Row],[Mdl Land Intercept]]+Inventory[[#This Row],[Mdl LnAcres]])*Inventory[[#This Row],[Det/Nbhd Adj]],-2)</f>
        <v>61100</v>
      </c>
      <c r="BP913" s="30">
        <f>Inventory[[#This Row],[Adjusted Impr Total]]+Inventory[[#This Row],[Adjusted Land Total]]</f>
        <v>327800</v>
      </c>
      <c r="BQ913" s="30">
        <f>IFERROR((Inventory[[#This Row],[Adjusted Impr Total]]-Inventory[[#This Row],[24Bldg]])/Inventory[[#This Row],[24Bldg]],0)</f>
        <v>-3.2994923857868022E-2</v>
      </c>
      <c r="BR913" s="43">
        <f>(Inventory[[#This Row],[Adjusted Land Total]]-Inventory[[#This Row],[24Lnd]])/Inventory[[#This Row],[24Lnd]]</f>
        <v>4.9342105263157892E-3</v>
      </c>
      <c r="BS913" s="43">
        <f>(Inventory[[#This Row],[Adjusted Total]]-Inventory[[#This Row],[24Final]])/Inventory[[#This Row],[24Final]]</f>
        <v>-2.6143790849673203E-2</v>
      </c>
    </row>
    <row r="914" spans="1:71">
      <c r="A914" s="30">
        <v>2025</v>
      </c>
      <c r="B914" s="31" t="s">
        <v>1429</v>
      </c>
      <c r="C914" s="31">
        <f>LN(Inventory[[#This Row],[Acres]])</f>
        <v>-1.8325814637483102</v>
      </c>
      <c r="D914" s="30">
        <v>0.16</v>
      </c>
      <c r="E914" s="30">
        <v>7010</v>
      </c>
      <c r="F914" s="31" t="s">
        <v>505</v>
      </c>
      <c r="G914" s="31" t="s">
        <v>155</v>
      </c>
      <c r="H914" s="31" t="s">
        <v>5</v>
      </c>
      <c r="I914" s="31" t="s">
        <v>506</v>
      </c>
      <c r="J914" s="31" t="s">
        <v>507</v>
      </c>
      <c r="K914" s="31" t="s">
        <v>193</v>
      </c>
      <c r="L914" s="31" t="s">
        <v>19</v>
      </c>
      <c r="M914" s="31" t="s">
        <v>20</v>
      </c>
      <c r="N914" s="31">
        <v>20</v>
      </c>
      <c r="O914" s="31">
        <f>2024-Inventory[[#This Row],[YrBlt]]</f>
        <v>20</v>
      </c>
      <c r="P914" s="31">
        <f>2024-Inventory[[#This Row],[EffYr]]</f>
        <v>20</v>
      </c>
      <c r="Q914" s="30">
        <v>2004</v>
      </c>
      <c r="R914" s="30">
        <v>2004</v>
      </c>
      <c r="S914" s="30">
        <v>1092</v>
      </c>
      <c r="T914" s="32"/>
      <c r="U914" s="32"/>
      <c r="V914" s="32"/>
      <c r="W914" s="32"/>
      <c r="X914" s="32">
        <f>Inventory[[#This Row],[Bsmt Area]]-Inventory[[#This Row],[FnBsmt]]</f>
        <v>0</v>
      </c>
      <c r="Y914" s="32">
        <f>Inventory[[#This Row],[MainFn]]+Inventory[[#This Row],[UpprFn]]+Inventory[[#This Row],[AddFn]]+Inventory[[#This Row],[FnBsmt]]</f>
        <v>1092</v>
      </c>
      <c r="Z914" s="32">
        <v>1500</v>
      </c>
      <c r="AA914" s="31" t="s">
        <v>56</v>
      </c>
      <c r="AB914" s="32"/>
      <c r="AC914" s="30">
        <v>440</v>
      </c>
      <c r="AD914" s="32"/>
      <c r="AE914" s="32"/>
      <c r="AF914" s="32"/>
      <c r="AG914" s="32"/>
      <c r="AH914" s="32"/>
      <c r="AI914" s="30">
        <v>231626</v>
      </c>
      <c r="AJ914" s="30">
        <v>210780</v>
      </c>
      <c r="AK914" s="30">
        <v>0</v>
      </c>
      <c r="AL914" s="30">
        <v>0</v>
      </c>
      <c r="AM914" s="30">
        <v>60800</v>
      </c>
      <c r="AN914" s="30">
        <v>275800</v>
      </c>
      <c r="AO914" s="30">
        <v>336600</v>
      </c>
      <c r="AP914" s="30">
        <f>Lookups!$B$58*0.6</f>
        <v>132535.48800000001</v>
      </c>
      <c r="AQ914" s="30">
        <f>Lookups!$B$58*0.4</f>
        <v>88356.992000000013</v>
      </c>
      <c r="AR914" s="30">
        <f>Lookups!$B$59*Inventory[[#This Row],[LnAcres]]</f>
        <v>-24051.387388882686</v>
      </c>
      <c r="AS914" s="30">
        <f>VLOOKUP(Inventory[[#This Row],[Qlty]],Lookups!$A$66:$E$79,2,FALSE)</f>
        <v>37154.252388000001</v>
      </c>
      <c r="AT914" s="30">
        <f>VLOOKUP(Inventory[[#This Row],[Cnd]],Lookups!$A$80:$E$88,2,FALSE)</f>
        <v>30300.329274</v>
      </c>
      <c r="AU914" s="30">
        <f>Inventory[[#This Row],[EffAge]]*Lookups!$B$65</f>
        <v>-2174.8220000000001</v>
      </c>
      <c r="AV914" s="30">
        <f>Inventory[[#This Row],[MainFn]]*Lookups!$B$90</f>
        <v>68152.13496000001</v>
      </c>
      <c r="AW914" s="30">
        <f>Inventory[[#This Row],[UpprFn]]*Lookups!$B$91</f>
        <v>0</v>
      </c>
      <c r="AX914" s="30">
        <f>Inventory[[#This Row],[Bsmt Area]]*Lookups!$B$95</f>
        <v>0</v>
      </c>
      <c r="AY914" s="30">
        <f>Inventory[[#This Row],[AttGar]]*Lookups!$B$93</f>
        <v>15532.453640000002</v>
      </c>
      <c r="AZ914" s="30">
        <f>ROUND(Inventory[[#This Row],[25Det]],-2)</f>
        <v>0</v>
      </c>
      <c r="BA914" s="30">
        <f>ROUND(SUM(Inventory[[#This Row],[Mdl Qlty]:[Mdl Garage Area]])+Inventory[[#This Row],[Mdl Res Intercept]],-2)</f>
        <v>281500</v>
      </c>
      <c r="BB914" s="30">
        <f>ROUND(Inventory[[#This Row],[Mdl Land Intercept]]+Inventory[[#This Row],[Mdl LnAcres]],-2)</f>
        <v>64300</v>
      </c>
      <c r="BC914" s="30">
        <f>Inventory[[#This Row],[Unadj Res Value]]+Inventory[[#This Row],[Unadj Det Value]]+Inventory[[#This Row],[Unadj Land Value]]</f>
        <v>345800</v>
      </c>
      <c r="BD914" s="30">
        <f>(Inventory[[#This Row],[Unadj Total Value]]-Inventory[[#This Row],[24Final]])/Inventory[[#This Row],[24Final]]</f>
        <v>2.7332144979203804E-2</v>
      </c>
      <c r="BE914" s="30">
        <f>VLOOKUP(Inventory[[#This Row],[Nbhd]],Lookups!$M$3:$P$5,4,FALSE)</f>
        <v>0.99970000000000003</v>
      </c>
      <c r="BF914" s="30">
        <f>VLOOKUP(Inventory[[#This Row],[Qlty]],Lookups!$M$8:$P$22,4,FALSE)</f>
        <v>0.99819999999999998</v>
      </c>
      <c r="BG914" s="30">
        <f>VLOOKUP(Inventory[[#This Row],[Cnd]],Lookups!$R$8:$U$17,4,FALSE)</f>
        <v>0.997</v>
      </c>
      <c r="BH914" s="30">
        <f>VLOOKUP(Inventory[[#This Row],[LivArea Range]],Lookups!$R$25:$U$43,4,FALSE)</f>
        <v>0.99519999999999997</v>
      </c>
      <c r="BI914" s="30">
        <f>VLOOKUP(Inventory[[#This Row],[Decade]],Lookups!$M$24:$P$40,4,FALSE)</f>
        <v>0.99560000000000004</v>
      </c>
      <c r="BJ914" s="30">
        <f>Inventory[[#This Row],[Nbhd Adj]]*0.95</f>
        <v>0.94971499999999998</v>
      </c>
      <c r="BK914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914" s="30">
        <f>ROUND((SUM(Inventory[[#This Row],[Mdl Qlty]:[Mdl Garage Area]])+Inventory[[#This Row],[Mdl Res Intercept]])*Inventory[[#This Row],[Res Adj ]],-2)</f>
        <v>266700</v>
      </c>
      <c r="BM914" s="30">
        <f>ROUND(Inventory[[#This Row],[25Det]]*Inventory[[#This Row],[Det/Nbhd Adj]],-2)</f>
        <v>0</v>
      </c>
      <c r="BN914" s="30">
        <f>Inventory[[#This Row],[Adjusted Res]]+Inventory[[#This Row],[Adj Det ]]</f>
        <v>266700</v>
      </c>
      <c r="BO914" s="30">
        <f>ROUND((Inventory[[#This Row],[Mdl Land Intercept]]+Inventory[[#This Row],[Mdl LnAcres]])*Inventory[[#This Row],[Det/Nbhd Adj]],-2)</f>
        <v>61100</v>
      </c>
      <c r="BP914" s="30">
        <f>Inventory[[#This Row],[Adjusted Impr Total]]+Inventory[[#This Row],[Adjusted Land Total]]</f>
        <v>327800</v>
      </c>
      <c r="BQ914" s="30">
        <f>IFERROR((Inventory[[#This Row],[Adjusted Impr Total]]-Inventory[[#This Row],[24Bldg]])/Inventory[[#This Row],[24Bldg]],0)</f>
        <v>-3.2994923857868022E-2</v>
      </c>
      <c r="BR914" s="43">
        <f>(Inventory[[#This Row],[Adjusted Land Total]]-Inventory[[#This Row],[24Lnd]])/Inventory[[#This Row],[24Lnd]]</f>
        <v>4.9342105263157892E-3</v>
      </c>
      <c r="BS914" s="43">
        <f>(Inventory[[#This Row],[Adjusted Total]]-Inventory[[#This Row],[24Final]])/Inventory[[#This Row],[24Final]]</f>
        <v>-2.6143790849673203E-2</v>
      </c>
    </row>
    <row r="915" spans="1:71">
      <c r="A915" s="30">
        <v>2025</v>
      </c>
      <c r="B915" s="31" t="s">
        <v>1430</v>
      </c>
      <c r="C915" s="31">
        <f>LN(Inventory[[#This Row],[Acres]])</f>
        <v>-1.8325814637483102</v>
      </c>
      <c r="D915" s="30">
        <v>0.16</v>
      </c>
      <c r="E915" s="30">
        <v>6955</v>
      </c>
      <c r="F915" s="31" t="s">
        <v>505</v>
      </c>
      <c r="G915" s="31" t="s">
        <v>155</v>
      </c>
      <c r="H915" s="31" t="s">
        <v>5</v>
      </c>
      <c r="I915" s="31" t="s">
        <v>506</v>
      </c>
      <c r="J915" s="31" t="s">
        <v>507</v>
      </c>
      <c r="K915" s="31" t="s">
        <v>193</v>
      </c>
      <c r="L915" s="31" t="s">
        <v>19</v>
      </c>
      <c r="M915" s="31" t="s">
        <v>20</v>
      </c>
      <c r="N915" s="31">
        <v>20</v>
      </c>
      <c r="O915" s="31">
        <f>2024-Inventory[[#This Row],[YrBlt]]</f>
        <v>20</v>
      </c>
      <c r="P915" s="31">
        <f>2024-Inventory[[#This Row],[EffYr]]</f>
        <v>20</v>
      </c>
      <c r="Q915" s="30">
        <v>2004</v>
      </c>
      <c r="R915" s="30">
        <v>2004</v>
      </c>
      <c r="S915" s="30">
        <v>1106</v>
      </c>
      <c r="T915" s="37"/>
      <c r="U915" s="32"/>
      <c r="V915" s="32"/>
      <c r="W915" s="32"/>
      <c r="X915" s="32">
        <f>Inventory[[#This Row],[Bsmt Area]]-Inventory[[#This Row],[FnBsmt]]</f>
        <v>0</v>
      </c>
      <c r="Y915" s="32">
        <f>Inventory[[#This Row],[MainFn]]+Inventory[[#This Row],[UpprFn]]+Inventory[[#This Row],[AddFn]]+Inventory[[#This Row],[FnBsmt]]</f>
        <v>1106</v>
      </c>
      <c r="Z915" s="32">
        <v>1500</v>
      </c>
      <c r="AA915" s="31" t="s">
        <v>56</v>
      </c>
      <c r="AB915" s="32"/>
      <c r="AC915" s="30">
        <v>426</v>
      </c>
      <c r="AD915" s="32"/>
      <c r="AE915" s="32"/>
      <c r="AF915" s="32"/>
      <c r="AG915" s="32"/>
      <c r="AH915" s="32"/>
      <c r="AI915" s="30">
        <v>235136</v>
      </c>
      <c r="AJ915" s="30">
        <v>213974</v>
      </c>
      <c r="AK915" s="30">
        <v>0</v>
      </c>
      <c r="AL915" s="30">
        <v>0</v>
      </c>
      <c r="AM915" s="30">
        <v>60800</v>
      </c>
      <c r="AN915" s="30">
        <v>275900</v>
      </c>
      <c r="AO915" s="30">
        <v>336700</v>
      </c>
      <c r="AP915" s="30">
        <f>Lookups!$B$58*0.6</f>
        <v>132535.48800000001</v>
      </c>
      <c r="AQ915" s="30">
        <f>Lookups!$B$58*0.4</f>
        <v>88356.992000000013</v>
      </c>
      <c r="AR915" s="30">
        <f>Lookups!$B$59*Inventory[[#This Row],[LnAcres]]</f>
        <v>-24051.387388882686</v>
      </c>
      <c r="AS915" s="30">
        <f>VLOOKUP(Inventory[[#This Row],[Qlty]],Lookups!$A$66:$E$79,2,FALSE)</f>
        <v>37154.252388000001</v>
      </c>
      <c r="AT915" s="30">
        <f>VLOOKUP(Inventory[[#This Row],[Cnd]],Lookups!$A$80:$E$88,2,FALSE)</f>
        <v>30300.329274</v>
      </c>
      <c r="AU915" s="30">
        <f>Inventory[[#This Row],[EffAge]]*Lookups!$B$65</f>
        <v>-2174.8220000000001</v>
      </c>
      <c r="AV915" s="30">
        <f>Inventory[[#This Row],[MainFn]]*Lookups!$B$90</f>
        <v>69025.880279999998</v>
      </c>
      <c r="AW915" s="30">
        <f>Inventory[[#This Row],[UpprFn]]*Lookups!$B$91</f>
        <v>0</v>
      </c>
      <c r="AX915" s="30">
        <f>Inventory[[#This Row],[Bsmt Area]]*Lookups!$B$95</f>
        <v>0</v>
      </c>
      <c r="AY915" s="30">
        <f>Inventory[[#This Row],[AttGar]]*Lookups!$B$93</f>
        <v>15038.239206</v>
      </c>
      <c r="AZ915" s="30">
        <f>ROUND(Inventory[[#This Row],[25Det]],-2)</f>
        <v>0</v>
      </c>
      <c r="BA915" s="30">
        <f>ROUND(SUM(Inventory[[#This Row],[Mdl Qlty]:[Mdl Garage Area]])+Inventory[[#This Row],[Mdl Res Intercept]],-2)</f>
        <v>281900</v>
      </c>
      <c r="BB915" s="30">
        <f>ROUND(Inventory[[#This Row],[Mdl Land Intercept]]+Inventory[[#This Row],[Mdl LnAcres]],-2)</f>
        <v>64300</v>
      </c>
      <c r="BC915" s="30">
        <f>Inventory[[#This Row],[Unadj Res Value]]+Inventory[[#This Row],[Unadj Det Value]]+Inventory[[#This Row],[Unadj Land Value]]</f>
        <v>346200</v>
      </c>
      <c r="BD915" s="30">
        <f>(Inventory[[#This Row],[Unadj Total Value]]-Inventory[[#This Row],[24Final]])/Inventory[[#This Row],[24Final]]</f>
        <v>2.8215028215028214E-2</v>
      </c>
      <c r="BE915" s="30">
        <f>VLOOKUP(Inventory[[#This Row],[Nbhd]],Lookups!$M$3:$P$5,4,FALSE)</f>
        <v>0.99970000000000003</v>
      </c>
      <c r="BF915" s="30">
        <f>VLOOKUP(Inventory[[#This Row],[Qlty]],Lookups!$M$8:$P$22,4,FALSE)</f>
        <v>0.99819999999999998</v>
      </c>
      <c r="BG915" s="30">
        <f>VLOOKUP(Inventory[[#This Row],[Cnd]],Lookups!$R$8:$U$17,4,FALSE)</f>
        <v>0.997</v>
      </c>
      <c r="BH915" s="30">
        <f>VLOOKUP(Inventory[[#This Row],[LivArea Range]],Lookups!$R$25:$U$43,4,FALSE)</f>
        <v>0.99519999999999997</v>
      </c>
      <c r="BI915" s="30">
        <f>VLOOKUP(Inventory[[#This Row],[Decade]],Lookups!$M$24:$P$40,4,FALSE)</f>
        <v>0.99560000000000004</v>
      </c>
      <c r="BJ915" s="30">
        <f>Inventory[[#This Row],[Nbhd Adj]]*0.95</f>
        <v>0.94971499999999998</v>
      </c>
      <c r="BK915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915" s="30">
        <f>ROUND((SUM(Inventory[[#This Row],[Mdl Qlty]:[Mdl Garage Area]])+Inventory[[#This Row],[Mdl Res Intercept]])*Inventory[[#This Row],[Res Adj ]],-2)</f>
        <v>267000</v>
      </c>
      <c r="BM915" s="30">
        <f>ROUND(Inventory[[#This Row],[25Det]]*Inventory[[#This Row],[Det/Nbhd Adj]],-2)</f>
        <v>0</v>
      </c>
      <c r="BN915" s="30">
        <f>Inventory[[#This Row],[Adjusted Res]]+Inventory[[#This Row],[Adj Det ]]</f>
        <v>267000</v>
      </c>
      <c r="BO915" s="30">
        <f>ROUND((Inventory[[#This Row],[Mdl Land Intercept]]+Inventory[[#This Row],[Mdl LnAcres]])*Inventory[[#This Row],[Det/Nbhd Adj]],-2)</f>
        <v>61100</v>
      </c>
      <c r="BP915" s="30">
        <f>Inventory[[#This Row],[Adjusted Impr Total]]+Inventory[[#This Row],[Adjusted Land Total]]</f>
        <v>328100</v>
      </c>
      <c r="BQ915" s="30">
        <f>IFERROR((Inventory[[#This Row],[Adjusted Impr Total]]-Inventory[[#This Row],[24Bldg]])/Inventory[[#This Row],[24Bldg]],0)</f>
        <v>-3.2258064516129031E-2</v>
      </c>
      <c r="BR915" s="43">
        <f>(Inventory[[#This Row],[Adjusted Land Total]]-Inventory[[#This Row],[24Lnd]])/Inventory[[#This Row],[24Lnd]]</f>
        <v>4.9342105263157892E-3</v>
      </c>
      <c r="BS915" s="43">
        <f>(Inventory[[#This Row],[Adjusted Total]]-Inventory[[#This Row],[24Final]])/Inventory[[#This Row],[24Final]]</f>
        <v>-2.5542025542025542E-2</v>
      </c>
    </row>
    <row r="916" spans="1:71">
      <c r="A916" s="30">
        <v>2025</v>
      </c>
      <c r="B916" s="31" t="s">
        <v>1431</v>
      </c>
      <c r="C916" s="31">
        <f>LN(Inventory[[#This Row],[Acres]])</f>
        <v>-1.8325814637483102</v>
      </c>
      <c r="D916" s="30">
        <v>0.16</v>
      </c>
      <c r="E916" s="30">
        <v>7000</v>
      </c>
      <c r="F916" s="31" t="s">
        <v>505</v>
      </c>
      <c r="G916" s="31" t="s">
        <v>155</v>
      </c>
      <c r="H916" s="31" t="s">
        <v>5</v>
      </c>
      <c r="I916" s="31" t="s">
        <v>506</v>
      </c>
      <c r="J916" s="31" t="s">
        <v>507</v>
      </c>
      <c r="K916" s="31" t="s">
        <v>193</v>
      </c>
      <c r="L916" s="31" t="s">
        <v>19</v>
      </c>
      <c r="M916" s="31" t="s">
        <v>20</v>
      </c>
      <c r="N916" s="31">
        <v>20</v>
      </c>
      <c r="O916" s="31">
        <f>2024-Inventory[[#This Row],[YrBlt]]</f>
        <v>20</v>
      </c>
      <c r="P916" s="31">
        <f>2024-Inventory[[#This Row],[EffYr]]</f>
        <v>20</v>
      </c>
      <c r="Q916" s="30">
        <v>2004</v>
      </c>
      <c r="R916" s="30">
        <v>2004</v>
      </c>
      <c r="S916" s="30">
        <v>1106</v>
      </c>
      <c r="T916" s="32"/>
      <c r="U916" s="32"/>
      <c r="V916" s="32"/>
      <c r="W916" s="32"/>
      <c r="X916" s="32">
        <f>Inventory[[#This Row],[Bsmt Area]]-Inventory[[#This Row],[FnBsmt]]</f>
        <v>0</v>
      </c>
      <c r="Y916" s="32">
        <f>Inventory[[#This Row],[MainFn]]+Inventory[[#This Row],[UpprFn]]+Inventory[[#This Row],[AddFn]]+Inventory[[#This Row],[FnBsmt]]</f>
        <v>1106</v>
      </c>
      <c r="Z916" s="32">
        <v>1500</v>
      </c>
      <c r="AA916" s="31" t="s">
        <v>56</v>
      </c>
      <c r="AB916" s="32"/>
      <c r="AC916" s="30">
        <v>426</v>
      </c>
      <c r="AD916" s="32"/>
      <c r="AE916" s="32"/>
      <c r="AF916" s="32"/>
      <c r="AG916" s="32"/>
      <c r="AH916" s="32"/>
      <c r="AI916" s="30">
        <v>233209</v>
      </c>
      <c r="AJ916" s="30">
        <v>212220</v>
      </c>
      <c r="AK916" s="30">
        <v>0</v>
      </c>
      <c r="AL916" s="30">
        <v>0</v>
      </c>
      <c r="AM916" s="30">
        <v>60800</v>
      </c>
      <c r="AN916" s="30">
        <v>275900</v>
      </c>
      <c r="AO916" s="30">
        <v>336700</v>
      </c>
      <c r="AP916" s="30">
        <f>Lookups!$B$58*0.6</f>
        <v>132535.48800000001</v>
      </c>
      <c r="AQ916" s="30">
        <f>Lookups!$B$58*0.4</f>
        <v>88356.992000000013</v>
      </c>
      <c r="AR916" s="30">
        <f>Lookups!$B$59*Inventory[[#This Row],[LnAcres]]</f>
        <v>-24051.387388882686</v>
      </c>
      <c r="AS916" s="30">
        <f>VLOOKUP(Inventory[[#This Row],[Qlty]],Lookups!$A$66:$E$79,2,FALSE)</f>
        <v>37154.252388000001</v>
      </c>
      <c r="AT916" s="30">
        <f>VLOOKUP(Inventory[[#This Row],[Cnd]],Lookups!$A$80:$E$88,2,FALSE)</f>
        <v>30300.329274</v>
      </c>
      <c r="AU916" s="30">
        <f>Inventory[[#This Row],[EffAge]]*Lookups!$B$65</f>
        <v>-2174.8220000000001</v>
      </c>
      <c r="AV916" s="30">
        <f>Inventory[[#This Row],[MainFn]]*Lookups!$B$90</f>
        <v>69025.880279999998</v>
      </c>
      <c r="AW916" s="30">
        <f>Inventory[[#This Row],[UpprFn]]*Lookups!$B$91</f>
        <v>0</v>
      </c>
      <c r="AX916" s="30">
        <f>Inventory[[#This Row],[Bsmt Area]]*Lookups!$B$95</f>
        <v>0</v>
      </c>
      <c r="AY916" s="30">
        <f>Inventory[[#This Row],[AttGar]]*Lookups!$B$93</f>
        <v>15038.239206</v>
      </c>
      <c r="AZ916" s="30">
        <f>ROUND(Inventory[[#This Row],[25Det]],-2)</f>
        <v>0</v>
      </c>
      <c r="BA916" s="30">
        <f>ROUND(SUM(Inventory[[#This Row],[Mdl Qlty]:[Mdl Garage Area]])+Inventory[[#This Row],[Mdl Res Intercept]],-2)</f>
        <v>281900</v>
      </c>
      <c r="BB916" s="30">
        <f>ROUND(Inventory[[#This Row],[Mdl Land Intercept]]+Inventory[[#This Row],[Mdl LnAcres]],-2)</f>
        <v>64300</v>
      </c>
      <c r="BC916" s="30">
        <f>Inventory[[#This Row],[Unadj Res Value]]+Inventory[[#This Row],[Unadj Det Value]]+Inventory[[#This Row],[Unadj Land Value]]</f>
        <v>346200</v>
      </c>
      <c r="BD916" s="30">
        <f>(Inventory[[#This Row],[Unadj Total Value]]-Inventory[[#This Row],[24Final]])/Inventory[[#This Row],[24Final]]</f>
        <v>2.8215028215028214E-2</v>
      </c>
      <c r="BE916" s="30">
        <f>VLOOKUP(Inventory[[#This Row],[Nbhd]],Lookups!$M$3:$P$5,4,FALSE)</f>
        <v>0.99970000000000003</v>
      </c>
      <c r="BF916" s="30">
        <f>VLOOKUP(Inventory[[#This Row],[Qlty]],Lookups!$M$8:$P$22,4,FALSE)</f>
        <v>0.99819999999999998</v>
      </c>
      <c r="BG916" s="30">
        <f>VLOOKUP(Inventory[[#This Row],[Cnd]],Lookups!$R$8:$U$17,4,FALSE)</f>
        <v>0.997</v>
      </c>
      <c r="BH916" s="30">
        <f>VLOOKUP(Inventory[[#This Row],[LivArea Range]],Lookups!$R$25:$U$43,4,FALSE)</f>
        <v>0.99519999999999997</v>
      </c>
      <c r="BI916" s="30">
        <f>VLOOKUP(Inventory[[#This Row],[Decade]],Lookups!$M$24:$P$40,4,FALSE)</f>
        <v>0.99560000000000004</v>
      </c>
      <c r="BJ916" s="30">
        <f>Inventory[[#This Row],[Nbhd Adj]]*0.95</f>
        <v>0.94971499999999998</v>
      </c>
      <c r="BK916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916" s="30">
        <f>ROUND((SUM(Inventory[[#This Row],[Mdl Qlty]:[Mdl Garage Area]])+Inventory[[#This Row],[Mdl Res Intercept]])*Inventory[[#This Row],[Res Adj ]],-2)</f>
        <v>267000</v>
      </c>
      <c r="BM916" s="30">
        <f>ROUND(Inventory[[#This Row],[25Det]]*Inventory[[#This Row],[Det/Nbhd Adj]],-2)</f>
        <v>0</v>
      </c>
      <c r="BN916" s="30">
        <f>Inventory[[#This Row],[Adjusted Res]]+Inventory[[#This Row],[Adj Det ]]</f>
        <v>267000</v>
      </c>
      <c r="BO916" s="30">
        <f>ROUND((Inventory[[#This Row],[Mdl Land Intercept]]+Inventory[[#This Row],[Mdl LnAcres]])*Inventory[[#This Row],[Det/Nbhd Adj]],-2)</f>
        <v>61100</v>
      </c>
      <c r="BP916" s="30">
        <f>Inventory[[#This Row],[Adjusted Impr Total]]+Inventory[[#This Row],[Adjusted Land Total]]</f>
        <v>328100</v>
      </c>
      <c r="BQ916" s="30">
        <f>IFERROR((Inventory[[#This Row],[Adjusted Impr Total]]-Inventory[[#This Row],[24Bldg]])/Inventory[[#This Row],[24Bldg]],0)</f>
        <v>-3.2258064516129031E-2</v>
      </c>
      <c r="BR916" s="43">
        <f>(Inventory[[#This Row],[Adjusted Land Total]]-Inventory[[#This Row],[24Lnd]])/Inventory[[#This Row],[24Lnd]]</f>
        <v>4.9342105263157892E-3</v>
      </c>
      <c r="BS916" s="43">
        <f>(Inventory[[#This Row],[Adjusted Total]]-Inventory[[#This Row],[24Final]])/Inventory[[#This Row],[24Final]]</f>
        <v>-2.5542025542025542E-2</v>
      </c>
    </row>
    <row r="917" spans="1:71">
      <c r="A917" s="30">
        <v>2025</v>
      </c>
      <c r="B917" s="31" t="s">
        <v>1432</v>
      </c>
      <c r="C917" s="31">
        <f>LN(Inventory[[#This Row],[Acres]])</f>
        <v>-1.8325814637483102</v>
      </c>
      <c r="D917" s="30">
        <v>0.16</v>
      </c>
      <c r="E917" s="30">
        <v>7002</v>
      </c>
      <c r="F917" s="31" t="s">
        <v>505</v>
      </c>
      <c r="G917" s="31" t="s">
        <v>155</v>
      </c>
      <c r="H917" s="31" t="s">
        <v>5</v>
      </c>
      <c r="I917" s="31" t="s">
        <v>506</v>
      </c>
      <c r="J917" s="31" t="s">
        <v>507</v>
      </c>
      <c r="K917" s="31" t="s">
        <v>193</v>
      </c>
      <c r="L917" s="31" t="s">
        <v>19</v>
      </c>
      <c r="M917" s="31" t="s">
        <v>20</v>
      </c>
      <c r="N917" s="31">
        <v>20</v>
      </c>
      <c r="O917" s="31">
        <f>2024-Inventory[[#This Row],[YrBlt]]</f>
        <v>20</v>
      </c>
      <c r="P917" s="31">
        <f>2024-Inventory[[#This Row],[EffYr]]</f>
        <v>20</v>
      </c>
      <c r="Q917" s="30">
        <v>2004</v>
      </c>
      <c r="R917" s="30">
        <v>2004</v>
      </c>
      <c r="S917" s="30">
        <v>1096</v>
      </c>
      <c r="T917" s="32"/>
      <c r="U917" s="32"/>
      <c r="V917" s="32"/>
      <c r="W917" s="32"/>
      <c r="X917" s="32">
        <f>Inventory[[#This Row],[Bsmt Area]]-Inventory[[#This Row],[FnBsmt]]</f>
        <v>0</v>
      </c>
      <c r="Y917" s="32">
        <f>Inventory[[#This Row],[MainFn]]+Inventory[[#This Row],[UpprFn]]+Inventory[[#This Row],[AddFn]]+Inventory[[#This Row],[FnBsmt]]</f>
        <v>1096</v>
      </c>
      <c r="Z917" s="32">
        <v>1500</v>
      </c>
      <c r="AA917" s="31" t="s">
        <v>56</v>
      </c>
      <c r="AB917" s="30">
        <v>1</v>
      </c>
      <c r="AC917" s="30">
        <v>460</v>
      </c>
      <c r="AD917" s="32"/>
      <c r="AE917" s="32"/>
      <c r="AF917" s="32"/>
      <c r="AG917" s="32"/>
      <c r="AH917" s="32"/>
      <c r="AI917" s="30">
        <v>236195</v>
      </c>
      <c r="AJ917" s="30">
        <v>214937</v>
      </c>
      <c r="AK917" s="30">
        <v>0</v>
      </c>
      <c r="AL917" s="30">
        <v>0</v>
      </c>
      <c r="AM917" s="30">
        <v>60800</v>
      </c>
      <c r="AN917" s="30">
        <v>276400</v>
      </c>
      <c r="AO917" s="30">
        <v>337200</v>
      </c>
      <c r="AP917" s="30">
        <f>Lookups!$B$58*0.6</f>
        <v>132535.48800000001</v>
      </c>
      <c r="AQ917" s="30">
        <f>Lookups!$B$58*0.4</f>
        <v>88356.992000000013</v>
      </c>
      <c r="AR917" s="30">
        <f>Lookups!$B$59*Inventory[[#This Row],[LnAcres]]</f>
        <v>-24051.387388882686</v>
      </c>
      <c r="AS917" s="30">
        <f>VLOOKUP(Inventory[[#This Row],[Qlty]],Lookups!$A$66:$E$79,2,FALSE)</f>
        <v>37154.252388000001</v>
      </c>
      <c r="AT917" s="30">
        <f>VLOOKUP(Inventory[[#This Row],[Cnd]],Lookups!$A$80:$E$88,2,FALSE)</f>
        <v>30300.329274</v>
      </c>
      <c r="AU917" s="30">
        <f>Inventory[[#This Row],[EffAge]]*Lookups!$B$65</f>
        <v>-2174.8220000000001</v>
      </c>
      <c r="AV917" s="30">
        <f>Inventory[[#This Row],[MainFn]]*Lookups!$B$90</f>
        <v>68401.77648</v>
      </c>
      <c r="AW917" s="30">
        <f>Inventory[[#This Row],[UpprFn]]*Lookups!$B$91</f>
        <v>0</v>
      </c>
      <c r="AX917" s="30">
        <f>Inventory[[#This Row],[Bsmt Area]]*Lookups!$B$95</f>
        <v>0</v>
      </c>
      <c r="AY917" s="30">
        <f>Inventory[[#This Row],[AttGar]]*Lookups!$B$93</f>
        <v>16238.474260000001</v>
      </c>
      <c r="AZ917" s="30">
        <f>ROUND(Inventory[[#This Row],[25Det]],-2)</f>
        <v>0</v>
      </c>
      <c r="BA917" s="30">
        <f>ROUND(SUM(Inventory[[#This Row],[Mdl Qlty]:[Mdl Garage Area]])+Inventory[[#This Row],[Mdl Res Intercept]],-2)</f>
        <v>282500</v>
      </c>
      <c r="BB917" s="30">
        <f>ROUND(Inventory[[#This Row],[Mdl Land Intercept]]+Inventory[[#This Row],[Mdl LnAcres]],-2)</f>
        <v>64300</v>
      </c>
      <c r="BC917" s="30">
        <f>Inventory[[#This Row],[Unadj Res Value]]+Inventory[[#This Row],[Unadj Det Value]]+Inventory[[#This Row],[Unadj Land Value]]</f>
        <v>346800</v>
      </c>
      <c r="BD917" s="30">
        <f>(Inventory[[#This Row],[Unadj Total Value]]-Inventory[[#This Row],[24Final]])/Inventory[[#This Row],[24Final]]</f>
        <v>2.8469750889679714E-2</v>
      </c>
      <c r="BE917" s="30">
        <f>VLOOKUP(Inventory[[#This Row],[Nbhd]],Lookups!$M$3:$P$5,4,FALSE)</f>
        <v>0.99970000000000003</v>
      </c>
      <c r="BF917" s="30">
        <f>VLOOKUP(Inventory[[#This Row],[Qlty]],Lookups!$M$8:$P$22,4,FALSE)</f>
        <v>0.99819999999999998</v>
      </c>
      <c r="BG917" s="30">
        <f>VLOOKUP(Inventory[[#This Row],[Cnd]],Lookups!$R$8:$U$17,4,FALSE)</f>
        <v>0.997</v>
      </c>
      <c r="BH917" s="30">
        <f>VLOOKUP(Inventory[[#This Row],[LivArea Range]],Lookups!$R$25:$U$43,4,FALSE)</f>
        <v>0.99519999999999997</v>
      </c>
      <c r="BI917" s="30">
        <f>VLOOKUP(Inventory[[#This Row],[Decade]],Lookups!$M$24:$P$40,4,FALSE)</f>
        <v>0.99560000000000004</v>
      </c>
      <c r="BJ917" s="30">
        <f>Inventory[[#This Row],[Nbhd Adj]]*0.95</f>
        <v>0.94971499999999998</v>
      </c>
      <c r="BK917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917" s="30">
        <f>ROUND((SUM(Inventory[[#This Row],[Mdl Qlty]:[Mdl Garage Area]])+Inventory[[#This Row],[Mdl Res Intercept]])*Inventory[[#This Row],[Res Adj ]],-2)</f>
        <v>267600</v>
      </c>
      <c r="BM917" s="30">
        <f>ROUND(Inventory[[#This Row],[25Det]]*Inventory[[#This Row],[Det/Nbhd Adj]],-2)</f>
        <v>0</v>
      </c>
      <c r="BN917" s="30">
        <f>Inventory[[#This Row],[Adjusted Res]]+Inventory[[#This Row],[Adj Det ]]</f>
        <v>267600</v>
      </c>
      <c r="BO917" s="30">
        <f>ROUND((Inventory[[#This Row],[Mdl Land Intercept]]+Inventory[[#This Row],[Mdl LnAcres]])*Inventory[[#This Row],[Det/Nbhd Adj]],-2)</f>
        <v>61100</v>
      </c>
      <c r="BP917" s="30">
        <f>Inventory[[#This Row],[Adjusted Impr Total]]+Inventory[[#This Row],[Adjusted Land Total]]</f>
        <v>328700</v>
      </c>
      <c r="BQ917" s="30">
        <f>IFERROR((Inventory[[#This Row],[Adjusted Impr Total]]-Inventory[[#This Row],[24Bldg]])/Inventory[[#This Row],[24Bldg]],0)</f>
        <v>-3.1837916063675829E-2</v>
      </c>
      <c r="BR917" s="43">
        <f>(Inventory[[#This Row],[Adjusted Land Total]]-Inventory[[#This Row],[24Lnd]])/Inventory[[#This Row],[24Lnd]]</f>
        <v>4.9342105263157892E-3</v>
      </c>
      <c r="BS917" s="43">
        <f>(Inventory[[#This Row],[Adjusted Total]]-Inventory[[#This Row],[24Final]])/Inventory[[#This Row],[24Final]]</f>
        <v>-2.520759193357058E-2</v>
      </c>
    </row>
    <row r="918" spans="1:71">
      <c r="A918" s="30">
        <v>2025</v>
      </c>
      <c r="B918" s="31" t="s">
        <v>1433</v>
      </c>
      <c r="C918" s="31">
        <f>LN(Inventory[[#This Row],[Acres]])</f>
        <v>-1.8325814637483102</v>
      </c>
      <c r="D918" s="30">
        <v>0.16</v>
      </c>
      <c r="E918" s="30">
        <v>7157</v>
      </c>
      <c r="F918" s="31" t="s">
        <v>505</v>
      </c>
      <c r="G918" s="31" t="s">
        <v>155</v>
      </c>
      <c r="H918" s="31" t="s">
        <v>5</v>
      </c>
      <c r="I918" s="31" t="s">
        <v>506</v>
      </c>
      <c r="J918" s="31" t="s">
        <v>507</v>
      </c>
      <c r="K918" s="31" t="s">
        <v>157</v>
      </c>
      <c r="L918" s="31" t="s">
        <v>19</v>
      </c>
      <c r="M918" s="31" t="s">
        <v>20</v>
      </c>
      <c r="N918" s="31">
        <v>20</v>
      </c>
      <c r="O918" s="31">
        <f>2024-Inventory[[#This Row],[YrBlt]]</f>
        <v>20</v>
      </c>
      <c r="P918" s="31">
        <f>2024-Inventory[[#This Row],[EffYr]]</f>
        <v>20</v>
      </c>
      <c r="Q918" s="30">
        <v>2004</v>
      </c>
      <c r="R918" s="30">
        <v>2004</v>
      </c>
      <c r="S918" s="30">
        <v>1040</v>
      </c>
      <c r="T918" s="38">
        <v>1040</v>
      </c>
      <c r="U918" s="32"/>
      <c r="V918" s="32"/>
      <c r="W918" s="32"/>
      <c r="X918" s="32">
        <f>Inventory[[#This Row],[Bsmt Area]]-Inventory[[#This Row],[FnBsmt]]</f>
        <v>0</v>
      </c>
      <c r="Y918" s="32">
        <f>Inventory[[#This Row],[MainFn]]+Inventory[[#This Row],[UpprFn]]+Inventory[[#This Row],[AddFn]]+Inventory[[#This Row],[FnBsmt]]</f>
        <v>2080</v>
      </c>
      <c r="Z918" s="32">
        <v>2500</v>
      </c>
      <c r="AA918" s="31" t="s">
        <v>56</v>
      </c>
      <c r="AB918" s="37"/>
      <c r="AC918" s="30">
        <v>440</v>
      </c>
      <c r="AD918" s="32"/>
      <c r="AE918" s="32"/>
      <c r="AF918" s="32"/>
      <c r="AG918" s="32"/>
      <c r="AH918" s="32"/>
      <c r="AI918" s="30">
        <v>371932</v>
      </c>
      <c r="AJ918" s="30">
        <v>338458</v>
      </c>
      <c r="AK918" s="30">
        <v>0</v>
      </c>
      <c r="AL918" s="30">
        <v>0</v>
      </c>
      <c r="AM918" s="30">
        <v>60800</v>
      </c>
      <c r="AN918" s="30">
        <v>334700</v>
      </c>
      <c r="AO918" s="30">
        <v>395500</v>
      </c>
      <c r="AP918" s="30">
        <f>Lookups!$B$58*0.6</f>
        <v>132535.48800000001</v>
      </c>
      <c r="AQ918" s="30">
        <f>Lookups!$B$58*0.4</f>
        <v>88356.992000000013</v>
      </c>
      <c r="AR918" s="30">
        <f>Lookups!$B$59*Inventory[[#This Row],[LnAcres]]</f>
        <v>-24051.387388882686</v>
      </c>
      <c r="AS918" s="30">
        <f>VLOOKUP(Inventory[[#This Row],[Qlty]],Lookups!$A$66:$E$79,2,FALSE)</f>
        <v>37154.252388000001</v>
      </c>
      <c r="AT918" s="30">
        <f>VLOOKUP(Inventory[[#This Row],[Cnd]],Lookups!$A$80:$E$88,2,FALSE)</f>
        <v>30300.329274</v>
      </c>
      <c r="AU918" s="30">
        <f>Inventory[[#This Row],[EffAge]]*Lookups!$B$65</f>
        <v>-2174.8220000000001</v>
      </c>
      <c r="AV918" s="30">
        <f>Inventory[[#This Row],[MainFn]]*Lookups!$B$90</f>
        <v>64906.7952</v>
      </c>
      <c r="AW918" s="30">
        <f>Inventory[[#This Row],[UpprFn]]*Lookups!$B$91</f>
        <v>61963.598319999997</v>
      </c>
      <c r="AX918" s="30">
        <f>Inventory[[#This Row],[Bsmt Area]]*Lookups!$B$95</f>
        <v>0</v>
      </c>
      <c r="AY918" s="30">
        <f>Inventory[[#This Row],[AttGar]]*Lookups!$B$93</f>
        <v>15532.453640000002</v>
      </c>
      <c r="AZ918" s="30">
        <f>ROUND(Inventory[[#This Row],[25Det]],-2)</f>
        <v>0</v>
      </c>
      <c r="BA918" s="30">
        <f>ROUND(SUM(Inventory[[#This Row],[Mdl Qlty]:[Mdl Garage Area]])+Inventory[[#This Row],[Mdl Res Intercept]],-2)</f>
        <v>340200</v>
      </c>
      <c r="BB918" s="30">
        <f>ROUND(Inventory[[#This Row],[Mdl Land Intercept]]+Inventory[[#This Row],[Mdl LnAcres]],-2)</f>
        <v>64300</v>
      </c>
      <c r="BC918" s="30">
        <f>Inventory[[#This Row],[Unadj Res Value]]+Inventory[[#This Row],[Unadj Det Value]]+Inventory[[#This Row],[Unadj Land Value]]</f>
        <v>404500</v>
      </c>
      <c r="BD918" s="30">
        <f>(Inventory[[#This Row],[Unadj Total Value]]-Inventory[[#This Row],[24Final]])/Inventory[[#This Row],[24Final]]</f>
        <v>2.2756005056890013E-2</v>
      </c>
      <c r="BE918" s="30">
        <f>VLOOKUP(Inventory[[#This Row],[Nbhd]],Lookups!$M$3:$P$5,4,FALSE)</f>
        <v>0.99970000000000003</v>
      </c>
      <c r="BF918" s="30">
        <f>VLOOKUP(Inventory[[#This Row],[Qlty]],Lookups!$M$8:$P$22,4,FALSE)</f>
        <v>0.99819999999999998</v>
      </c>
      <c r="BG918" s="30">
        <f>VLOOKUP(Inventory[[#This Row],[Cnd]],Lookups!$R$8:$U$17,4,FALSE)</f>
        <v>0.997</v>
      </c>
      <c r="BH918" s="30">
        <f>VLOOKUP(Inventory[[#This Row],[LivArea Range]],Lookups!$R$25:$U$43,4,FALSE)</f>
        <v>1.0008999999999999</v>
      </c>
      <c r="BI918" s="30">
        <f>VLOOKUP(Inventory[[#This Row],[Decade]],Lookups!$M$24:$P$40,4,FALSE)</f>
        <v>0.99560000000000004</v>
      </c>
      <c r="BJ918" s="30">
        <f>Inventory[[#This Row],[Nbhd Adj]]*0.95</f>
        <v>0.94971499999999998</v>
      </c>
      <c r="BK918" s="30">
        <f>AVERAGE(Inventory[[#This Row],[Nbhd Adj]],Inventory[[#This Row],[Quality Adj]],Inventory[[#This Row],[Condition Adj]],Inventory[[#This Row],[Living Area Adj]],Inventory[[#This Row],[Decade Adj]])*0.95</f>
        <v>0.94836600000000004</v>
      </c>
      <c r="BL918" s="30">
        <f>ROUND((SUM(Inventory[[#This Row],[Mdl Qlty]:[Mdl Garage Area]])+Inventory[[#This Row],[Mdl Res Intercept]])*Inventory[[#This Row],[Res Adj ]],-2)</f>
        <v>322700</v>
      </c>
      <c r="BM918" s="30">
        <f>ROUND(Inventory[[#This Row],[25Det]]*Inventory[[#This Row],[Det/Nbhd Adj]],-2)</f>
        <v>0</v>
      </c>
      <c r="BN918" s="30">
        <f>Inventory[[#This Row],[Adjusted Res]]+Inventory[[#This Row],[Adj Det ]]</f>
        <v>322700</v>
      </c>
      <c r="BO918" s="30">
        <f>ROUND((Inventory[[#This Row],[Mdl Land Intercept]]+Inventory[[#This Row],[Mdl LnAcres]])*Inventory[[#This Row],[Det/Nbhd Adj]],-2)</f>
        <v>61100</v>
      </c>
      <c r="BP918" s="30">
        <f>Inventory[[#This Row],[Adjusted Impr Total]]+Inventory[[#This Row],[Adjusted Land Total]]</f>
        <v>383800</v>
      </c>
      <c r="BQ918" s="30">
        <f>IFERROR((Inventory[[#This Row],[Adjusted Impr Total]]-Inventory[[#This Row],[24Bldg]])/Inventory[[#This Row],[24Bldg]],0)</f>
        <v>-3.5853002688975198E-2</v>
      </c>
      <c r="BR918" s="43">
        <f>(Inventory[[#This Row],[Adjusted Land Total]]-Inventory[[#This Row],[24Lnd]])/Inventory[[#This Row],[24Lnd]]</f>
        <v>4.9342105263157892E-3</v>
      </c>
      <c r="BS918" s="43">
        <f>(Inventory[[#This Row],[Adjusted Total]]-Inventory[[#This Row],[24Final]])/Inventory[[#This Row],[24Final]]</f>
        <v>-2.9582806573957017E-2</v>
      </c>
    </row>
    <row r="919" spans="1:71">
      <c r="A919" s="30">
        <v>2025</v>
      </c>
      <c r="B919" s="31" t="s">
        <v>1434</v>
      </c>
      <c r="C919" s="31">
        <f>LN(Inventory[[#This Row],[Acres]])</f>
        <v>-1.8325814637483102</v>
      </c>
      <c r="D919" s="30">
        <v>0.16</v>
      </c>
      <c r="E919" s="30">
        <v>7000</v>
      </c>
      <c r="F919" s="31" t="s">
        <v>505</v>
      </c>
      <c r="G919" s="31" t="s">
        <v>155</v>
      </c>
      <c r="H919" s="31" t="s">
        <v>5</v>
      </c>
      <c r="I919" s="31" t="s">
        <v>506</v>
      </c>
      <c r="J919" s="31" t="s">
        <v>507</v>
      </c>
      <c r="K919" s="31" t="s">
        <v>193</v>
      </c>
      <c r="L919" s="31" t="s">
        <v>19</v>
      </c>
      <c r="M919" s="31" t="s">
        <v>22</v>
      </c>
      <c r="N919" s="31">
        <v>20</v>
      </c>
      <c r="O919" s="31">
        <f>2024-Inventory[[#This Row],[YrBlt]]</f>
        <v>20</v>
      </c>
      <c r="P919" s="31">
        <f>2024-Inventory[[#This Row],[EffYr]]</f>
        <v>20</v>
      </c>
      <c r="Q919" s="30">
        <v>2004</v>
      </c>
      <c r="R919" s="30">
        <v>2004</v>
      </c>
      <c r="S919" s="30">
        <v>1380</v>
      </c>
      <c r="T919" s="32"/>
      <c r="U919" s="32"/>
      <c r="V919" s="32"/>
      <c r="W919" s="32"/>
      <c r="X919" s="32">
        <f>Inventory[[#This Row],[Bsmt Area]]-Inventory[[#This Row],[FnBsmt]]</f>
        <v>0</v>
      </c>
      <c r="Y919" s="32">
        <f>Inventory[[#This Row],[MainFn]]+Inventory[[#This Row],[UpprFn]]+Inventory[[#This Row],[AddFn]]+Inventory[[#This Row],[FnBsmt]]</f>
        <v>1380</v>
      </c>
      <c r="Z919" s="32">
        <v>1500</v>
      </c>
      <c r="AA919" s="31" t="s">
        <v>56</v>
      </c>
      <c r="AB919" s="32"/>
      <c r="AC919" s="30">
        <v>428</v>
      </c>
      <c r="AD919" s="32"/>
      <c r="AE919" s="32"/>
      <c r="AF919" s="32"/>
      <c r="AG919" s="32"/>
      <c r="AH919" s="32"/>
      <c r="AI919" s="30">
        <v>280846</v>
      </c>
      <c r="AJ919" s="30">
        <v>258378</v>
      </c>
      <c r="AK919" s="30">
        <v>0</v>
      </c>
      <c r="AL919" s="30">
        <v>0</v>
      </c>
      <c r="AM919" s="30">
        <v>60800</v>
      </c>
      <c r="AN919" s="30">
        <v>312700</v>
      </c>
      <c r="AO919" s="30">
        <v>373500</v>
      </c>
      <c r="AP919" s="30">
        <f>Lookups!$B$58*0.6</f>
        <v>132535.48800000001</v>
      </c>
      <c r="AQ919" s="30">
        <f>Lookups!$B$58*0.4</f>
        <v>88356.992000000013</v>
      </c>
      <c r="AR919" s="30">
        <f>Lookups!$B$59*Inventory[[#This Row],[LnAcres]]</f>
        <v>-24051.387388882686</v>
      </c>
      <c r="AS919" s="30">
        <f>VLOOKUP(Inventory[[#This Row],[Qlty]],Lookups!$A$66:$E$79,2,FALSE)</f>
        <v>37154.252388000001</v>
      </c>
      <c r="AT919" s="30">
        <f>VLOOKUP(Inventory[[#This Row],[Cnd]],Lookups!$A$80:$E$88,2,FALSE)</f>
        <v>50438.379078999998</v>
      </c>
      <c r="AU919" s="30">
        <f>Inventory[[#This Row],[EffAge]]*Lookups!$B$65</f>
        <v>-2174.8220000000001</v>
      </c>
      <c r="AV919" s="30">
        <f>Inventory[[#This Row],[MainFn]]*Lookups!$B$90</f>
        <v>86126.324399999998</v>
      </c>
      <c r="AW919" s="30">
        <f>Inventory[[#This Row],[UpprFn]]*Lookups!$B$91</f>
        <v>0</v>
      </c>
      <c r="AX919" s="30">
        <f>Inventory[[#This Row],[Bsmt Area]]*Lookups!$B$95</f>
        <v>0</v>
      </c>
      <c r="AY919" s="30">
        <f>Inventory[[#This Row],[AttGar]]*Lookups!$B$93</f>
        <v>15108.841268</v>
      </c>
      <c r="AZ919" s="30">
        <f>ROUND(Inventory[[#This Row],[25Det]],-2)</f>
        <v>0</v>
      </c>
      <c r="BA919" s="30">
        <f>ROUND(SUM(Inventory[[#This Row],[Mdl Qlty]:[Mdl Garage Area]])+Inventory[[#This Row],[Mdl Res Intercept]],-2)</f>
        <v>319200</v>
      </c>
      <c r="BB919" s="30">
        <f>ROUND(Inventory[[#This Row],[Mdl Land Intercept]]+Inventory[[#This Row],[Mdl LnAcres]],-2)</f>
        <v>64300</v>
      </c>
      <c r="BC919" s="30">
        <f>Inventory[[#This Row],[Unadj Res Value]]+Inventory[[#This Row],[Unadj Det Value]]+Inventory[[#This Row],[Unadj Land Value]]</f>
        <v>383500</v>
      </c>
      <c r="BD919" s="30">
        <f>(Inventory[[#This Row],[Unadj Total Value]]-Inventory[[#This Row],[24Final]])/Inventory[[#This Row],[24Final]]</f>
        <v>2.677376171352075E-2</v>
      </c>
      <c r="BE919" s="30">
        <f>VLOOKUP(Inventory[[#This Row],[Nbhd]],Lookups!$M$3:$P$5,4,FALSE)</f>
        <v>0.99970000000000003</v>
      </c>
      <c r="BF919" s="30">
        <f>VLOOKUP(Inventory[[#This Row],[Qlty]],Lookups!$M$8:$P$22,4,FALSE)</f>
        <v>0.99819999999999998</v>
      </c>
      <c r="BG919" s="30">
        <f>VLOOKUP(Inventory[[#This Row],[Cnd]],Lookups!$R$8:$U$17,4,FALSE)</f>
        <v>1.0007999999999999</v>
      </c>
      <c r="BH919" s="30">
        <f>VLOOKUP(Inventory[[#This Row],[LivArea Range]],Lookups!$R$25:$U$43,4,FALSE)</f>
        <v>0.99519999999999997</v>
      </c>
      <c r="BI919" s="30">
        <f>VLOOKUP(Inventory[[#This Row],[Decade]],Lookups!$M$24:$P$40,4,FALSE)</f>
        <v>0.99560000000000004</v>
      </c>
      <c r="BJ919" s="30">
        <f>Inventory[[#This Row],[Nbhd Adj]]*0.95</f>
        <v>0.94971499999999998</v>
      </c>
      <c r="BK919" s="30">
        <f>AVERAGE(Inventory[[#This Row],[Nbhd Adj]],Inventory[[#This Row],[Quality Adj]],Inventory[[#This Row],[Condition Adj]],Inventory[[#This Row],[Living Area Adj]],Inventory[[#This Row],[Decade Adj]])*0.95</f>
        <v>0.94800499999999988</v>
      </c>
      <c r="BL919" s="30">
        <f>ROUND((SUM(Inventory[[#This Row],[Mdl Qlty]:[Mdl Garage Area]])+Inventory[[#This Row],[Mdl Res Intercept]])*Inventory[[#This Row],[Res Adj ]],-2)</f>
        <v>302600</v>
      </c>
      <c r="BM919" s="30">
        <f>ROUND(Inventory[[#This Row],[25Det]]*Inventory[[#This Row],[Det/Nbhd Adj]],-2)</f>
        <v>0</v>
      </c>
      <c r="BN919" s="30">
        <f>Inventory[[#This Row],[Adjusted Res]]+Inventory[[#This Row],[Adj Det ]]</f>
        <v>302600</v>
      </c>
      <c r="BO919" s="30">
        <f>ROUND((Inventory[[#This Row],[Mdl Land Intercept]]+Inventory[[#This Row],[Mdl LnAcres]])*Inventory[[#This Row],[Det/Nbhd Adj]],-2)</f>
        <v>61100</v>
      </c>
      <c r="BP919" s="30">
        <f>Inventory[[#This Row],[Adjusted Impr Total]]+Inventory[[#This Row],[Adjusted Land Total]]</f>
        <v>363700</v>
      </c>
      <c r="BQ919" s="30">
        <f>IFERROR((Inventory[[#This Row],[Adjusted Impr Total]]-Inventory[[#This Row],[24Bldg]])/Inventory[[#This Row],[24Bldg]],0)</f>
        <v>-3.2299328429804923E-2</v>
      </c>
      <c r="BR919" s="43">
        <f>(Inventory[[#This Row],[Adjusted Land Total]]-Inventory[[#This Row],[24Lnd]])/Inventory[[#This Row],[24Lnd]]</f>
        <v>4.9342105263157892E-3</v>
      </c>
      <c r="BS919" s="43">
        <f>(Inventory[[#This Row],[Adjusted Total]]-Inventory[[#This Row],[24Final]])/Inventory[[#This Row],[24Final]]</f>
        <v>-2.6238286479250333E-2</v>
      </c>
    </row>
    <row r="920" spans="1:71">
      <c r="A920" s="30">
        <v>2025</v>
      </c>
      <c r="B920" s="31" t="s">
        <v>1435</v>
      </c>
      <c r="C920" s="31">
        <f>LN(Inventory[[#This Row],[Acres]])</f>
        <v>-1.8325814637483102</v>
      </c>
      <c r="D920" s="30">
        <v>0.16</v>
      </c>
      <c r="E920" s="30">
        <v>7173</v>
      </c>
      <c r="F920" s="31" t="s">
        <v>505</v>
      </c>
      <c r="G920" s="31" t="s">
        <v>155</v>
      </c>
      <c r="H920" s="31" t="s">
        <v>5</v>
      </c>
      <c r="I920" s="31" t="s">
        <v>506</v>
      </c>
      <c r="J920" s="31" t="s">
        <v>507</v>
      </c>
      <c r="K920" s="31" t="s">
        <v>193</v>
      </c>
      <c r="L920" s="31" t="s">
        <v>19</v>
      </c>
      <c r="M920" s="31" t="s">
        <v>20</v>
      </c>
      <c r="N920" s="31">
        <v>20</v>
      </c>
      <c r="O920" s="31">
        <f>2024-Inventory[[#This Row],[YrBlt]]</f>
        <v>20</v>
      </c>
      <c r="P920" s="31">
        <f>2024-Inventory[[#This Row],[EffYr]]</f>
        <v>20</v>
      </c>
      <c r="Q920" s="30">
        <v>2004</v>
      </c>
      <c r="R920" s="30">
        <v>2004</v>
      </c>
      <c r="S920" s="30">
        <v>1364</v>
      </c>
      <c r="T920" s="37"/>
      <c r="U920" s="32"/>
      <c r="V920" s="32"/>
      <c r="W920" s="32"/>
      <c r="X920" s="32">
        <f>Inventory[[#This Row],[Bsmt Area]]-Inventory[[#This Row],[FnBsmt]]</f>
        <v>0</v>
      </c>
      <c r="Y920" s="32">
        <f>Inventory[[#This Row],[MainFn]]+Inventory[[#This Row],[UpprFn]]+Inventory[[#This Row],[AddFn]]+Inventory[[#This Row],[FnBsmt]]</f>
        <v>1364</v>
      </c>
      <c r="Z920" s="32">
        <v>1500</v>
      </c>
      <c r="AA920" s="31" t="s">
        <v>56</v>
      </c>
      <c r="AB920" s="37"/>
      <c r="AC920" s="38">
        <v>428</v>
      </c>
      <c r="AD920" s="37"/>
      <c r="AE920" s="32"/>
      <c r="AF920" s="32"/>
      <c r="AG920" s="32"/>
      <c r="AH920" s="32"/>
      <c r="AI920" s="30">
        <v>285073</v>
      </c>
      <c r="AJ920" s="30">
        <v>259416</v>
      </c>
      <c r="AK920" s="30">
        <v>0</v>
      </c>
      <c r="AL920" s="30">
        <v>0</v>
      </c>
      <c r="AM920" s="30">
        <v>60800</v>
      </c>
      <c r="AN920" s="30">
        <v>289900</v>
      </c>
      <c r="AO920" s="30">
        <v>350700</v>
      </c>
      <c r="AP920" s="30">
        <f>Lookups!$B$58*0.6</f>
        <v>132535.48800000001</v>
      </c>
      <c r="AQ920" s="30">
        <f>Lookups!$B$58*0.4</f>
        <v>88356.992000000013</v>
      </c>
      <c r="AR920" s="30">
        <f>Lookups!$B$59*Inventory[[#This Row],[LnAcres]]</f>
        <v>-24051.387388882686</v>
      </c>
      <c r="AS920" s="30">
        <f>VLOOKUP(Inventory[[#This Row],[Qlty]],Lookups!$A$66:$E$79,2,FALSE)</f>
        <v>37154.252388000001</v>
      </c>
      <c r="AT920" s="30">
        <f>VLOOKUP(Inventory[[#This Row],[Cnd]],Lookups!$A$80:$E$88,2,FALSE)</f>
        <v>30300.329274</v>
      </c>
      <c r="AU920" s="30">
        <f>Inventory[[#This Row],[EffAge]]*Lookups!$B$65</f>
        <v>-2174.8220000000001</v>
      </c>
      <c r="AV920" s="30">
        <f>Inventory[[#This Row],[MainFn]]*Lookups!$B$90</f>
        <v>85127.758320000008</v>
      </c>
      <c r="AW920" s="30">
        <f>Inventory[[#This Row],[UpprFn]]*Lookups!$B$91</f>
        <v>0</v>
      </c>
      <c r="AX920" s="30">
        <f>Inventory[[#This Row],[Bsmt Area]]*Lookups!$B$95</f>
        <v>0</v>
      </c>
      <c r="AY920" s="30">
        <f>Inventory[[#This Row],[AttGar]]*Lookups!$B$93</f>
        <v>15108.841268</v>
      </c>
      <c r="AZ920" s="30">
        <f>ROUND(Inventory[[#This Row],[25Det]],-2)</f>
        <v>0</v>
      </c>
      <c r="BA920" s="30">
        <f>ROUND(SUM(Inventory[[#This Row],[Mdl Qlty]:[Mdl Garage Area]])+Inventory[[#This Row],[Mdl Res Intercept]],-2)</f>
        <v>298100</v>
      </c>
      <c r="BB920" s="30">
        <f>ROUND(Inventory[[#This Row],[Mdl Land Intercept]]+Inventory[[#This Row],[Mdl LnAcres]],-2)</f>
        <v>64300</v>
      </c>
      <c r="BC920" s="30">
        <f>Inventory[[#This Row],[Unadj Res Value]]+Inventory[[#This Row],[Unadj Det Value]]+Inventory[[#This Row],[Unadj Land Value]]</f>
        <v>362400</v>
      </c>
      <c r="BD920" s="30">
        <f>(Inventory[[#This Row],[Unadj Total Value]]-Inventory[[#This Row],[24Final]])/Inventory[[#This Row],[24Final]]</f>
        <v>3.3361847733105215E-2</v>
      </c>
      <c r="BE920" s="30">
        <f>VLOOKUP(Inventory[[#This Row],[Nbhd]],Lookups!$M$3:$P$5,4,FALSE)</f>
        <v>0.99970000000000003</v>
      </c>
      <c r="BF920" s="30">
        <f>VLOOKUP(Inventory[[#This Row],[Qlty]],Lookups!$M$8:$P$22,4,FALSE)</f>
        <v>0.99819999999999998</v>
      </c>
      <c r="BG920" s="30">
        <f>VLOOKUP(Inventory[[#This Row],[Cnd]],Lookups!$R$8:$U$17,4,FALSE)</f>
        <v>0.997</v>
      </c>
      <c r="BH920" s="30">
        <f>VLOOKUP(Inventory[[#This Row],[LivArea Range]],Lookups!$R$25:$U$43,4,FALSE)</f>
        <v>0.99519999999999997</v>
      </c>
      <c r="BI920" s="30">
        <f>VLOOKUP(Inventory[[#This Row],[Decade]],Lookups!$M$24:$P$40,4,FALSE)</f>
        <v>0.99560000000000004</v>
      </c>
      <c r="BJ920" s="30">
        <f>Inventory[[#This Row],[Nbhd Adj]]*0.95</f>
        <v>0.94971499999999998</v>
      </c>
      <c r="BK920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920" s="30">
        <f>ROUND((SUM(Inventory[[#This Row],[Mdl Qlty]:[Mdl Garage Area]])+Inventory[[#This Row],[Mdl Res Intercept]])*Inventory[[#This Row],[Res Adj ]],-2)</f>
        <v>282300</v>
      </c>
      <c r="BM920" s="30">
        <f>ROUND(Inventory[[#This Row],[25Det]]*Inventory[[#This Row],[Det/Nbhd Adj]],-2)</f>
        <v>0</v>
      </c>
      <c r="BN920" s="30">
        <f>Inventory[[#This Row],[Adjusted Res]]+Inventory[[#This Row],[Adj Det ]]</f>
        <v>282300</v>
      </c>
      <c r="BO920" s="30">
        <f>ROUND((Inventory[[#This Row],[Mdl Land Intercept]]+Inventory[[#This Row],[Mdl LnAcres]])*Inventory[[#This Row],[Det/Nbhd Adj]],-2)</f>
        <v>61100</v>
      </c>
      <c r="BP920" s="30">
        <f>Inventory[[#This Row],[Adjusted Impr Total]]+Inventory[[#This Row],[Adjusted Land Total]]</f>
        <v>343400</v>
      </c>
      <c r="BQ920" s="30">
        <f>IFERROR((Inventory[[#This Row],[Adjusted Impr Total]]-Inventory[[#This Row],[24Bldg]])/Inventory[[#This Row],[24Bldg]],0)</f>
        <v>-2.6215936529837874E-2</v>
      </c>
      <c r="BR920" s="43">
        <f>(Inventory[[#This Row],[Adjusted Land Total]]-Inventory[[#This Row],[24Lnd]])/Inventory[[#This Row],[24Lnd]]</f>
        <v>4.9342105263157892E-3</v>
      </c>
      <c r="BS920" s="43">
        <f>(Inventory[[#This Row],[Adjusted Total]]-Inventory[[#This Row],[24Final]])/Inventory[[#This Row],[24Final]]</f>
        <v>-2.0815511833475905E-2</v>
      </c>
    </row>
    <row r="921" spans="1:71">
      <c r="A921" s="30">
        <v>2025</v>
      </c>
      <c r="B921" s="31" t="s">
        <v>1436</v>
      </c>
      <c r="C921" s="31">
        <f>LN(Inventory[[#This Row],[Acres]])</f>
        <v>-1.8325814637483102</v>
      </c>
      <c r="D921" s="30">
        <v>0.16</v>
      </c>
      <c r="E921" s="30">
        <v>7000</v>
      </c>
      <c r="F921" s="31" t="s">
        <v>505</v>
      </c>
      <c r="G921" s="31" t="s">
        <v>155</v>
      </c>
      <c r="H921" s="31" t="s">
        <v>5</v>
      </c>
      <c r="I921" s="31" t="s">
        <v>506</v>
      </c>
      <c r="J921" s="31" t="s">
        <v>507</v>
      </c>
      <c r="K921" s="31" t="s">
        <v>193</v>
      </c>
      <c r="L921" s="31" t="s">
        <v>19</v>
      </c>
      <c r="M921" s="31" t="s">
        <v>20</v>
      </c>
      <c r="N921" s="31">
        <v>20</v>
      </c>
      <c r="O921" s="31">
        <f>2024-Inventory[[#This Row],[YrBlt]]</f>
        <v>20</v>
      </c>
      <c r="P921" s="31">
        <f>2024-Inventory[[#This Row],[EffYr]]</f>
        <v>20</v>
      </c>
      <c r="Q921" s="30">
        <v>2004</v>
      </c>
      <c r="R921" s="30">
        <v>2004</v>
      </c>
      <c r="S921" s="30">
        <v>1380</v>
      </c>
      <c r="T921" s="32"/>
      <c r="U921" s="32"/>
      <c r="V921" s="32"/>
      <c r="W921" s="32"/>
      <c r="X921" s="32">
        <f>Inventory[[#This Row],[Bsmt Area]]-Inventory[[#This Row],[FnBsmt]]</f>
        <v>0</v>
      </c>
      <c r="Y921" s="32">
        <f>Inventory[[#This Row],[MainFn]]+Inventory[[#This Row],[UpprFn]]+Inventory[[#This Row],[AddFn]]+Inventory[[#This Row],[FnBsmt]]</f>
        <v>1380</v>
      </c>
      <c r="Z921" s="32">
        <v>1500</v>
      </c>
      <c r="AA921" s="31" t="s">
        <v>56</v>
      </c>
      <c r="AB921" s="37"/>
      <c r="AC921" s="30">
        <v>428</v>
      </c>
      <c r="AD921" s="32"/>
      <c r="AE921" s="32"/>
      <c r="AF921" s="32"/>
      <c r="AG921" s="32"/>
      <c r="AH921" s="32"/>
      <c r="AI921" s="30">
        <v>284755</v>
      </c>
      <c r="AJ921" s="30">
        <v>259127</v>
      </c>
      <c r="AK921" s="30">
        <v>0</v>
      </c>
      <c r="AL921" s="30">
        <v>0</v>
      </c>
      <c r="AM921" s="30">
        <v>60800</v>
      </c>
      <c r="AN921" s="30">
        <v>289400</v>
      </c>
      <c r="AO921" s="30">
        <v>350200</v>
      </c>
      <c r="AP921" s="30">
        <f>Lookups!$B$58*0.6</f>
        <v>132535.48800000001</v>
      </c>
      <c r="AQ921" s="30">
        <f>Lookups!$B$58*0.4</f>
        <v>88356.992000000013</v>
      </c>
      <c r="AR921" s="30">
        <f>Lookups!$B$59*Inventory[[#This Row],[LnAcres]]</f>
        <v>-24051.387388882686</v>
      </c>
      <c r="AS921" s="30">
        <f>VLOOKUP(Inventory[[#This Row],[Qlty]],Lookups!$A$66:$E$79,2,FALSE)</f>
        <v>37154.252388000001</v>
      </c>
      <c r="AT921" s="30">
        <f>VLOOKUP(Inventory[[#This Row],[Cnd]],Lookups!$A$80:$E$88,2,FALSE)</f>
        <v>30300.329274</v>
      </c>
      <c r="AU921" s="30">
        <f>Inventory[[#This Row],[EffAge]]*Lookups!$B$65</f>
        <v>-2174.8220000000001</v>
      </c>
      <c r="AV921" s="30">
        <f>Inventory[[#This Row],[MainFn]]*Lookups!$B$90</f>
        <v>86126.324399999998</v>
      </c>
      <c r="AW921" s="30">
        <f>Inventory[[#This Row],[UpprFn]]*Lookups!$B$91</f>
        <v>0</v>
      </c>
      <c r="AX921" s="30">
        <f>Inventory[[#This Row],[Bsmt Area]]*Lookups!$B$95</f>
        <v>0</v>
      </c>
      <c r="AY921" s="30">
        <f>Inventory[[#This Row],[AttGar]]*Lookups!$B$93</f>
        <v>15108.841268</v>
      </c>
      <c r="AZ921" s="30">
        <f>ROUND(Inventory[[#This Row],[25Det]],-2)</f>
        <v>0</v>
      </c>
      <c r="BA921" s="30">
        <f>ROUND(SUM(Inventory[[#This Row],[Mdl Qlty]:[Mdl Garage Area]])+Inventory[[#This Row],[Mdl Res Intercept]],-2)</f>
        <v>299100</v>
      </c>
      <c r="BB921" s="30">
        <f>ROUND(Inventory[[#This Row],[Mdl Land Intercept]]+Inventory[[#This Row],[Mdl LnAcres]],-2)</f>
        <v>64300</v>
      </c>
      <c r="BC921" s="30">
        <f>Inventory[[#This Row],[Unadj Res Value]]+Inventory[[#This Row],[Unadj Det Value]]+Inventory[[#This Row],[Unadj Land Value]]</f>
        <v>363400</v>
      </c>
      <c r="BD921" s="30">
        <f>(Inventory[[#This Row],[Unadj Total Value]]-Inventory[[#This Row],[24Final]])/Inventory[[#This Row],[24Final]]</f>
        <v>3.7692747001713309E-2</v>
      </c>
      <c r="BE921" s="30">
        <f>VLOOKUP(Inventory[[#This Row],[Nbhd]],Lookups!$M$3:$P$5,4,FALSE)</f>
        <v>0.99970000000000003</v>
      </c>
      <c r="BF921" s="30">
        <f>VLOOKUP(Inventory[[#This Row],[Qlty]],Lookups!$M$8:$P$22,4,FALSE)</f>
        <v>0.99819999999999998</v>
      </c>
      <c r="BG921" s="30">
        <f>VLOOKUP(Inventory[[#This Row],[Cnd]],Lookups!$R$8:$U$17,4,FALSE)</f>
        <v>0.997</v>
      </c>
      <c r="BH921" s="30">
        <f>VLOOKUP(Inventory[[#This Row],[LivArea Range]],Lookups!$R$25:$U$43,4,FALSE)</f>
        <v>0.99519999999999997</v>
      </c>
      <c r="BI921" s="30">
        <f>VLOOKUP(Inventory[[#This Row],[Decade]],Lookups!$M$24:$P$40,4,FALSE)</f>
        <v>0.99560000000000004</v>
      </c>
      <c r="BJ921" s="30">
        <f>Inventory[[#This Row],[Nbhd Adj]]*0.95</f>
        <v>0.94971499999999998</v>
      </c>
      <c r="BK921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921" s="30">
        <f>ROUND((SUM(Inventory[[#This Row],[Mdl Qlty]:[Mdl Garage Area]])+Inventory[[#This Row],[Mdl Res Intercept]])*Inventory[[#This Row],[Res Adj ]],-2)</f>
        <v>283300</v>
      </c>
      <c r="BM921" s="30">
        <f>ROUND(Inventory[[#This Row],[25Det]]*Inventory[[#This Row],[Det/Nbhd Adj]],-2)</f>
        <v>0</v>
      </c>
      <c r="BN921" s="30">
        <f>Inventory[[#This Row],[Adjusted Res]]+Inventory[[#This Row],[Adj Det ]]</f>
        <v>283300</v>
      </c>
      <c r="BO921" s="30">
        <f>ROUND((Inventory[[#This Row],[Mdl Land Intercept]]+Inventory[[#This Row],[Mdl LnAcres]])*Inventory[[#This Row],[Det/Nbhd Adj]],-2)</f>
        <v>61100</v>
      </c>
      <c r="BP921" s="30">
        <f>Inventory[[#This Row],[Adjusted Impr Total]]+Inventory[[#This Row],[Adjusted Land Total]]</f>
        <v>344400</v>
      </c>
      <c r="BQ921" s="30">
        <f>IFERROR((Inventory[[#This Row],[Adjusted Impr Total]]-Inventory[[#This Row],[24Bldg]])/Inventory[[#This Row],[24Bldg]],0)</f>
        <v>-2.1078092605390463E-2</v>
      </c>
      <c r="BR921" s="43">
        <f>(Inventory[[#This Row],[Adjusted Land Total]]-Inventory[[#This Row],[24Lnd]])/Inventory[[#This Row],[24Lnd]]</f>
        <v>4.9342105263157892E-3</v>
      </c>
      <c r="BS921" s="43">
        <f>(Inventory[[#This Row],[Adjusted Total]]-Inventory[[#This Row],[24Final]])/Inventory[[#This Row],[24Final]]</f>
        <v>-1.6561964591661909E-2</v>
      </c>
    </row>
    <row r="922" spans="1:71">
      <c r="A922" s="30">
        <v>2025</v>
      </c>
      <c r="B922" s="31" t="s">
        <v>1437</v>
      </c>
      <c r="C922" s="31">
        <f>LN(Inventory[[#This Row],[Acres]])</f>
        <v>-1.8325814637483102</v>
      </c>
      <c r="D922" s="30">
        <v>0.16</v>
      </c>
      <c r="E922" s="30">
        <v>7001</v>
      </c>
      <c r="F922" s="31" t="s">
        <v>505</v>
      </c>
      <c r="G922" s="31" t="s">
        <v>155</v>
      </c>
      <c r="H922" s="31" t="s">
        <v>5</v>
      </c>
      <c r="I922" s="31" t="s">
        <v>506</v>
      </c>
      <c r="J922" s="31" t="s">
        <v>507</v>
      </c>
      <c r="K922" s="31" t="s">
        <v>193</v>
      </c>
      <c r="L922" s="31" t="s">
        <v>19</v>
      </c>
      <c r="M922" s="31" t="s">
        <v>20</v>
      </c>
      <c r="N922" s="31">
        <v>20</v>
      </c>
      <c r="O922" s="31">
        <f>2024-Inventory[[#This Row],[YrBlt]]</f>
        <v>20</v>
      </c>
      <c r="P922" s="31">
        <f>2024-Inventory[[#This Row],[EffYr]]</f>
        <v>20</v>
      </c>
      <c r="Q922" s="30">
        <v>2004</v>
      </c>
      <c r="R922" s="30">
        <v>2004</v>
      </c>
      <c r="S922" s="30">
        <v>1380</v>
      </c>
      <c r="T922" s="32"/>
      <c r="U922" s="32"/>
      <c r="V922" s="32"/>
      <c r="W922" s="32"/>
      <c r="X922" s="32">
        <f>Inventory[[#This Row],[Bsmt Area]]-Inventory[[#This Row],[FnBsmt]]</f>
        <v>0</v>
      </c>
      <c r="Y922" s="32">
        <f>Inventory[[#This Row],[MainFn]]+Inventory[[#This Row],[UpprFn]]+Inventory[[#This Row],[AddFn]]+Inventory[[#This Row],[FnBsmt]]</f>
        <v>1380</v>
      </c>
      <c r="Z922" s="32">
        <v>1500</v>
      </c>
      <c r="AA922" s="31" t="s">
        <v>56</v>
      </c>
      <c r="AB922" s="32"/>
      <c r="AC922" s="30">
        <v>428</v>
      </c>
      <c r="AD922" s="32"/>
      <c r="AE922" s="32"/>
      <c r="AF922" s="32"/>
      <c r="AG922" s="32"/>
      <c r="AH922" s="32"/>
      <c r="AI922" s="30">
        <v>281889</v>
      </c>
      <c r="AJ922" s="30">
        <v>256519</v>
      </c>
      <c r="AK922" s="30">
        <v>0</v>
      </c>
      <c r="AL922" s="30">
        <v>0</v>
      </c>
      <c r="AM922" s="30">
        <v>60800</v>
      </c>
      <c r="AN922" s="30">
        <v>289400</v>
      </c>
      <c r="AO922" s="30">
        <v>350200</v>
      </c>
      <c r="AP922" s="30">
        <f>Lookups!$B$58*0.6</f>
        <v>132535.48800000001</v>
      </c>
      <c r="AQ922" s="30">
        <f>Lookups!$B$58*0.4</f>
        <v>88356.992000000013</v>
      </c>
      <c r="AR922" s="30">
        <f>Lookups!$B$59*Inventory[[#This Row],[LnAcres]]</f>
        <v>-24051.387388882686</v>
      </c>
      <c r="AS922" s="30">
        <f>VLOOKUP(Inventory[[#This Row],[Qlty]],Lookups!$A$66:$E$79,2,FALSE)</f>
        <v>37154.252388000001</v>
      </c>
      <c r="AT922" s="30">
        <f>VLOOKUP(Inventory[[#This Row],[Cnd]],Lookups!$A$80:$E$88,2,FALSE)</f>
        <v>30300.329274</v>
      </c>
      <c r="AU922" s="30">
        <f>Inventory[[#This Row],[EffAge]]*Lookups!$B$65</f>
        <v>-2174.8220000000001</v>
      </c>
      <c r="AV922" s="30">
        <f>Inventory[[#This Row],[MainFn]]*Lookups!$B$90</f>
        <v>86126.324399999998</v>
      </c>
      <c r="AW922" s="30">
        <f>Inventory[[#This Row],[UpprFn]]*Lookups!$B$91</f>
        <v>0</v>
      </c>
      <c r="AX922" s="30">
        <f>Inventory[[#This Row],[Bsmt Area]]*Lookups!$B$95</f>
        <v>0</v>
      </c>
      <c r="AY922" s="30">
        <f>Inventory[[#This Row],[AttGar]]*Lookups!$B$93</f>
        <v>15108.841268</v>
      </c>
      <c r="AZ922" s="30">
        <f>ROUND(Inventory[[#This Row],[25Det]],-2)</f>
        <v>0</v>
      </c>
      <c r="BA922" s="30">
        <f>ROUND(SUM(Inventory[[#This Row],[Mdl Qlty]:[Mdl Garage Area]])+Inventory[[#This Row],[Mdl Res Intercept]],-2)</f>
        <v>299100</v>
      </c>
      <c r="BB922" s="30">
        <f>ROUND(Inventory[[#This Row],[Mdl Land Intercept]]+Inventory[[#This Row],[Mdl LnAcres]],-2)</f>
        <v>64300</v>
      </c>
      <c r="BC922" s="30">
        <f>Inventory[[#This Row],[Unadj Res Value]]+Inventory[[#This Row],[Unadj Det Value]]+Inventory[[#This Row],[Unadj Land Value]]</f>
        <v>363400</v>
      </c>
      <c r="BD922" s="30">
        <f>(Inventory[[#This Row],[Unadj Total Value]]-Inventory[[#This Row],[24Final]])/Inventory[[#This Row],[24Final]]</f>
        <v>3.7692747001713309E-2</v>
      </c>
      <c r="BE922" s="30">
        <f>VLOOKUP(Inventory[[#This Row],[Nbhd]],Lookups!$M$3:$P$5,4,FALSE)</f>
        <v>0.99970000000000003</v>
      </c>
      <c r="BF922" s="30">
        <f>VLOOKUP(Inventory[[#This Row],[Qlty]],Lookups!$M$8:$P$22,4,FALSE)</f>
        <v>0.99819999999999998</v>
      </c>
      <c r="BG922" s="30">
        <f>VLOOKUP(Inventory[[#This Row],[Cnd]],Lookups!$R$8:$U$17,4,FALSE)</f>
        <v>0.997</v>
      </c>
      <c r="BH922" s="30">
        <f>VLOOKUP(Inventory[[#This Row],[LivArea Range]],Lookups!$R$25:$U$43,4,FALSE)</f>
        <v>0.99519999999999997</v>
      </c>
      <c r="BI922" s="30">
        <f>VLOOKUP(Inventory[[#This Row],[Decade]],Lookups!$M$24:$P$40,4,FALSE)</f>
        <v>0.99560000000000004</v>
      </c>
      <c r="BJ922" s="30">
        <f>Inventory[[#This Row],[Nbhd Adj]]*0.95</f>
        <v>0.94971499999999998</v>
      </c>
      <c r="BK922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922" s="30">
        <f>ROUND((SUM(Inventory[[#This Row],[Mdl Qlty]:[Mdl Garage Area]])+Inventory[[#This Row],[Mdl Res Intercept]])*Inventory[[#This Row],[Res Adj ]],-2)</f>
        <v>283300</v>
      </c>
      <c r="BM922" s="30">
        <f>ROUND(Inventory[[#This Row],[25Det]]*Inventory[[#This Row],[Det/Nbhd Adj]],-2)</f>
        <v>0</v>
      </c>
      <c r="BN922" s="30">
        <f>Inventory[[#This Row],[Adjusted Res]]+Inventory[[#This Row],[Adj Det ]]</f>
        <v>283300</v>
      </c>
      <c r="BO922" s="30">
        <f>ROUND((Inventory[[#This Row],[Mdl Land Intercept]]+Inventory[[#This Row],[Mdl LnAcres]])*Inventory[[#This Row],[Det/Nbhd Adj]],-2)</f>
        <v>61100</v>
      </c>
      <c r="BP922" s="30">
        <f>Inventory[[#This Row],[Adjusted Impr Total]]+Inventory[[#This Row],[Adjusted Land Total]]</f>
        <v>344400</v>
      </c>
      <c r="BQ922" s="30">
        <f>IFERROR((Inventory[[#This Row],[Adjusted Impr Total]]-Inventory[[#This Row],[24Bldg]])/Inventory[[#This Row],[24Bldg]],0)</f>
        <v>-2.1078092605390463E-2</v>
      </c>
      <c r="BR922" s="43">
        <f>(Inventory[[#This Row],[Adjusted Land Total]]-Inventory[[#This Row],[24Lnd]])/Inventory[[#This Row],[24Lnd]]</f>
        <v>4.9342105263157892E-3</v>
      </c>
      <c r="BS922" s="43">
        <f>(Inventory[[#This Row],[Adjusted Total]]-Inventory[[#This Row],[24Final]])/Inventory[[#This Row],[24Final]]</f>
        <v>-1.6561964591661909E-2</v>
      </c>
    </row>
    <row r="923" spans="1:71">
      <c r="A923" s="30">
        <v>2025</v>
      </c>
      <c r="B923" s="31" t="s">
        <v>1438</v>
      </c>
      <c r="C923" s="31">
        <f>LN(Inventory[[#This Row],[Acres]])</f>
        <v>-1.8325814637483102</v>
      </c>
      <c r="D923" s="30">
        <v>0.16</v>
      </c>
      <c r="E923" s="30">
        <v>7010</v>
      </c>
      <c r="F923" s="31" t="s">
        <v>505</v>
      </c>
      <c r="G923" s="31" t="s">
        <v>155</v>
      </c>
      <c r="H923" s="31" t="s">
        <v>5</v>
      </c>
      <c r="I923" s="31" t="s">
        <v>506</v>
      </c>
      <c r="J923" s="31" t="s">
        <v>507</v>
      </c>
      <c r="K923" s="31" t="s">
        <v>193</v>
      </c>
      <c r="L923" s="31" t="s">
        <v>19</v>
      </c>
      <c r="M923" s="31" t="s">
        <v>20</v>
      </c>
      <c r="N923" s="31">
        <v>20</v>
      </c>
      <c r="O923" s="31">
        <f>2024-Inventory[[#This Row],[YrBlt]]</f>
        <v>20</v>
      </c>
      <c r="P923" s="31">
        <f>2024-Inventory[[#This Row],[EffYr]]</f>
        <v>20</v>
      </c>
      <c r="Q923" s="30">
        <v>2004</v>
      </c>
      <c r="R923" s="30">
        <v>2004</v>
      </c>
      <c r="S923" s="30">
        <v>1380</v>
      </c>
      <c r="T923" s="32"/>
      <c r="U923" s="32"/>
      <c r="V923" s="32"/>
      <c r="W923" s="32"/>
      <c r="X923" s="32">
        <f>Inventory[[#This Row],[Bsmt Area]]-Inventory[[#This Row],[FnBsmt]]</f>
        <v>0</v>
      </c>
      <c r="Y923" s="32">
        <f>Inventory[[#This Row],[MainFn]]+Inventory[[#This Row],[UpprFn]]+Inventory[[#This Row],[AddFn]]+Inventory[[#This Row],[FnBsmt]]</f>
        <v>1380</v>
      </c>
      <c r="Z923" s="32">
        <v>1500</v>
      </c>
      <c r="AA923" s="31" t="s">
        <v>56</v>
      </c>
      <c r="AB923" s="32"/>
      <c r="AC923" s="30">
        <v>428</v>
      </c>
      <c r="AD923" s="32"/>
      <c r="AE923" s="32"/>
      <c r="AF923" s="32"/>
      <c r="AG923" s="32"/>
      <c r="AH923" s="32"/>
      <c r="AI923" s="30">
        <v>275531</v>
      </c>
      <c r="AJ923" s="30">
        <v>250733</v>
      </c>
      <c r="AK923" s="30">
        <v>0</v>
      </c>
      <c r="AL923" s="30">
        <v>0</v>
      </c>
      <c r="AM923" s="30">
        <v>60800</v>
      </c>
      <c r="AN923" s="30">
        <v>289400</v>
      </c>
      <c r="AO923" s="30">
        <v>350200</v>
      </c>
      <c r="AP923" s="30">
        <f>Lookups!$B$58*0.6</f>
        <v>132535.48800000001</v>
      </c>
      <c r="AQ923" s="30">
        <f>Lookups!$B$58*0.4</f>
        <v>88356.992000000013</v>
      </c>
      <c r="AR923" s="30">
        <f>Lookups!$B$59*Inventory[[#This Row],[LnAcres]]</f>
        <v>-24051.387388882686</v>
      </c>
      <c r="AS923" s="30">
        <f>VLOOKUP(Inventory[[#This Row],[Qlty]],Lookups!$A$66:$E$79,2,FALSE)</f>
        <v>37154.252388000001</v>
      </c>
      <c r="AT923" s="30">
        <f>VLOOKUP(Inventory[[#This Row],[Cnd]],Lookups!$A$80:$E$88,2,FALSE)</f>
        <v>30300.329274</v>
      </c>
      <c r="AU923" s="30">
        <f>Inventory[[#This Row],[EffAge]]*Lookups!$B$65</f>
        <v>-2174.8220000000001</v>
      </c>
      <c r="AV923" s="30">
        <f>Inventory[[#This Row],[MainFn]]*Lookups!$B$90</f>
        <v>86126.324399999998</v>
      </c>
      <c r="AW923" s="30">
        <f>Inventory[[#This Row],[UpprFn]]*Lookups!$B$91</f>
        <v>0</v>
      </c>
      <c r="AX923" s="30">
        <f>Inventory[[#This Row],[Bsmt Area]]*Lookups!$B$95</f>
        <v>0</v>
      </c>
      <c r="AY923" s="30">
        <f>Inventory[[#This Row],[AttGar]]*Lookups!$B$93</f>
        <v>15108.841268</v>
      </c>
      <c r="AZ923" s="30">
        <f>ROUND(Inventory[[#This Row],[25Det]],-2)</f>
        <v>0</v>
      </c>
      <c r="BA923" s="30">
        <f>ROUND(SUM(Inventory[[#This Row],[Mdl Qlty]:[Mdl Garage Area]])+Inventory[[#This Row],[Mdl Res Intercept]],-2)</f>
        <v>299100</v>
      </c>
      <c r="BB923" s="30">
        <f>ROUND(Inventory[[#This Row],[Mdl Land Intercept]]+Inventory[[#This Row],[Mdl LnAcres]],-2)</f>
        <v>64300</v>
      </c>
      <c r="BC923" s="30">
        <f>Inventory[[#This Row],[Unadj Res Value]]+Inventory[[#This Row],[Unadj Det Value]]+Inventory[[#This Row],[Unadj Land Value]]</f>
        <v>363400</v>
      </c>
      <c r="BD923" s="30">
        <f>(Inventory[[#This Row],[Unadj Total Value]]-Inventory[[#This Row],[24Final]])/Inventory[[#This Row],[24Final]]</f>
        <v>3.7692747001713309E-2</v>
      </c>
      <c r="BE923" s="30">
        <f>VLOOKUP(Inventory[[#This Row],[Nbhd]],Lookups!$M$3:$P$5,4,FALSE)</f>
        <v>0.99970000000000003</v>
      </c>
      <c r="BF923" s="30">
        <f>VLOOKUP(Inventory[[#This Row],[Qlty]],Lookups!$M$8:$P$22,4,FALSE)</f>
        <v>0.99819999999999998</v>
      </c>
      <c r="BG923" s="30">
        <f>VLOOKUP(Inventory[[#This Row],[Cnd]],Lookups!$R$8:$U$17,4,FALSE)</f>
        <v>0.997</v>
      </c>
      <c r="BH923" s="30">
        <f>VLOOKUP(Inventory[[#This Row],[LivArea Range]],Lookups!$R$25:$U$43,4,FALSE)</f>
        <v>0.99519999999999997</v>
      </c>
      <c r="BI923" s="30">
        <f>VLOOKUP(Inventory[[#This Row],[Decade]],Lookups!$M$24:$P$40,4,FALSE)</f>
        <v>0.99560000000000004</v>
      </c>
      <c r="BJ923" s="30">
        <f>Inventory[[#This Row],[Nbhd Adj]]*0.95</f>
        <v>0.94971499999999998</v>
      </c>
      <c r="BK923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923" s="30">
        <f>ROUND((SUM(Inventory[[#This Row],[Mdl Qlty]:[Mdl Garage Area]])+Inventory[[#This Row],[Mdl Res Intercept]])*Inventory[[#This Row],[Res Adj ]],-2)</f>
        <v>283300</v>
      </c>
      <c r="BM923" s="30">
        <f>ROUND(Inventory[[#This Row],[25Det]]*Inventory[[#This Row],[Det/Nbhd Adj]],-2)</f>
        <v>0</v>
      </c>
      <c r="BN923" s="30">
        <f>Inventory[[#This Row],[Adjusted Res]]+Inventory[[#This Row],[Adj Det ]]</f>
        <v>283300</v>
      </c>
      <c r="BO923" s="30">
        <f>ROUND((Inventory[[#This Row],[Mdl Land Intercept]]+Inventory[[#This Row],[Mdl LnAcres]])*Inventory[[#This Row],[Det/Nbhd Adj]],-2)</f>
        <v>61100</v>
      </c>
      <c r="BP923" s="30">
        <f>Inventory[[#This Row],[Adjusted Impr Total]]+Inventory[[#This Row],[Adjusted Land Total]]</f>
        <v>344400</v>
      </c>
      <c r="BQ923" s="30">
        <f>IFERROR((Inventory[[#This Row],[Adjusted Impr Total]]-Inventory[[#This Row],[24Bldg]])/Inventory[[#This Row],[24Bldg]],0)</f>
        <v>-2.1078092605390463E-2</v>
      </c>
      <c r="BR923" s="43">
        <f>(Inventory[[#This Row],[Adjusted Land Total]]-Inventory[[#This Row],[24Lnd]])/Inventory[[#This Row],[24Lnd]]</f>
        <v>4.9342105263157892E-3</v>
      </c>
      <c r="BS923" s="43">
        <f>(Inventory[[#This Row],[Adjusted Total]]-Inventory[[#This Row],[24Final]])/Inventory[[#This Row],[24Final]]</f>
        <v>-1.6561964591661909E-2</v>
      </c>
    </row>
    <row r="924" spans="1:71">
      <c r="A924" s="30">
        <v>2025</v>
      </c>
      <c r="B924" s="31" t="s">
        <v>1439</v>
      </c>
      <c r="C924" s="31">
        <f>LN(Inventory[[#This Row],[Acres]])</f>
        <v>-1.8325814637483102</v>
      </c>
      <c r="D924" s="30">
        <v>0.16</v>
      </c>
      <c r="E924" s="30">
        <v>7011</v>
      </c>
      <c r="F924" s="31" t="s">
        <v>505</v>
      </c>
      <c r="G924" s="31" t="s">
        <v>155</v>
      </c>
      <c r="H924" s="31" t="s">
        <v>5</v>
      </c>
      <c r="I924" s="31" t="s">
        <v>506</v>
      </c>
      <c r="J924" s="31" t="s">
        <v>507</v>
      </c>
      <c r="K924" s="31" t="s">
        <v>193</v>
      </c>
      <c r="L924" s="31" t="s">
        <v>19</v>
      </c>
      <c r="M924" s="31" t="s">
        <v>20</v>
      </c>
      <c r="N924" s="31">
        <v>20</v>
      </c>
      <c r="O924" s="31">
        <f>2024-Inventory[[#This Row],[YrBlt]]</f>
        <v>20</v>
      </c>
      <c r="P924" s="31">
        <f>2024-Inventory[[#This Row],[EffYr]]</f>
        <v>20</v>
      </c>
      <c r="Q924" s="30">
        <v>2004</v>
      </c>
      <c r="R924" s="30">
        <v>2004</v>
      </c>
      <c r="S924" s="30">
        <v>1380</v>
      </c>
      <c r="T924" s="32"/>
      <c r="U924" s="32"/>
      <c r="V924" s="32"/>
      <c r="W924" s="32"/>
      <c r="X924" s="32">
        <f>Inventory[[#This Row],[Bsmt Area]]-Inventory[[#This Row],[FnBsmt]]</f>
        <v>0</v>
      </c>
      <c r="Y924" s="32">
        <f>Inventory[[#This Row],[MainFn]]+Inventory[[#This Row],[UpprFn]]+Inventory[[#This Row],[AddFn]]+Inventory[[#This Row],[FnBsmt]]</f>
        <v>1380</v>
      </c>
      <c r="Z924" s="32">
        <v>1500</v>
      </c>
      <c r="AA924" s="31" t="s">
        <v>56</v>
      </c>
      <c r="AB924" s="38">
        <v>1</v>
      </c>
      <c r="AC924" s="30">
        <v>428</v>
      </c>
      <c r="AD924" s="32"/>
      <c r="AE924" s="32"/>
      <c r="AF924" s="32"/>
      <c r="AG924" s="32"/>
      <c r="AH924" s="32"/>
      <c r="AI924" s="30">
        <v>279220</v>
      </c>
      <c r="AJ924" s="30">
        <v>254090</v>
      </c>
      <c r="AK924" s="30">
        <v>0</v>
      </c>
      <c r="AL924" s="30">
        <v>0</v>
      </c>
      <c r="AM924" s="30">
        <v>60800</v>
      </c>
      <c r="AN924" s="30">
        <v>289400</v>
      </c>
      <c r="AO924" s="30">
        <v>350200</v>
      </c>
      <c r="AP924" s="30">
        <f>Lookups!$B$58*0.6</f>
        <v>132535.48800000001</v>
      </c>
      <c r="AQ924" s="30">
        <f>Lookups!$B$58*0.4</f>
        <v>88356.992000000013</v>
      </c>
      <c r="AR924" s="30">
        <f>Lookups!$B$59*Inventory[[#This Row],[LnAcres]]</f>
        <v>-24051.387388882686</v>
      </c>
      <c r="AS924" s="30">
        <f>VLOOKUP(Inventory[[#This Row],[Qlty]],Lookups!$A$66:$E$79,2,FALSE)</f>
        <v>37154.252388000001</v>
      </c>
      <c r="AT924" s="30">
        <f>VLOOKUP(Inventory[[#This Row],[Cnd]],Lookups!$A$80:$E$88,2,FALSE)</f>
        <v>30300.329274</v>
      </c>
      <c r="AU924" s="30">
        <f>Inventory[[#This Row],[EffAge]]*Lookups!$B$65</f>
        <v>-2174.8220000000001</v>
      </c>
      <c r="AV924" s="30">
        <f>Inventory[[#This Row],[MainFn]]*Lookups!$B$90</f>
        <v>86126.324399999998</v>
      </c>
      <c r="AW924" s="30">
        <f>Inventory[[#This Row],[UpprFn]]*Lookups!$B$91</f>
        <v>0</v>
      </c>
      <c r="AX924" s="30">
        <f>Inventory[[#This Row],[Bsmt Area]]*Lookups!$B$95</f>
        <v>0</v>
      </c>
      <c r="AY924" s="30">
        <f>Inventory[[#This Row],[AttGar]]*Lookups!$B$93</f>
        <v>15108.841268</v>
      </c>
      <c r="AZ924" s="30">
        <f>ROUND(Inventory[[#This Row],[25Det]],-2)</f>
        <v>0</v>
      </c>
      <c r="BA924" s="30">
        <f>ROUND(SUM(Inventory[[#This Row],[Mdl Qlty]:[Mdl Garage Area]])+Inventory[[#This Row],[Mdl Res Intercept]],-2)</f>
        <v>299100</v>
      </c>
      <c r="BB924" s="30">
        <f>ROUND(Inventory[[#This Row],[Mdl Land Intercept]]+Inventory[[#This Row],[Mdl LnAcres]],-2)</f>
        <v>64300</v>
      </c>
      <c r="BC924" s="30">
        <f>Inventory[[#This Row],[Unadj Res Value]]+Inventory[[#This Row],[Unadj Det Value]]+Inventory[[#This Row],[Unadj Land Value]]</f>
        <v>363400</v>
      </c>
      <c r="BD924" s="30">
        <f>(Inventory[[#This Row],[Unadj Total Value]]-Inventory[[#This Row],[24Final]])/Inventory[[#This Row],[24Final]]</f>
        <v>3.7692747001713309E-2</v>
      </c>
      <c r="BE924" s="30">
        <f>VLOOKUP(Inventory[[#This Row],[Nbhd]],Lookups!$M$3:$P$5,4,FALSE)</f>
        <v>0.99970000000000003</v>
      </c>
      <c r="BF924" s="30">
        <f>VLOOKUP(Inventory[[#This Row],[Qlty]],Lookups!$M$8:$P$22,4,FALSE)</f>
        <v>0.99819999999999998</v>
      </c>
      <c r="BG924" s="30">
        <f>VLOOKUP(Inventory[[#This Row],[Cnd]],Lookups!$R$8:$U$17,4,FALSE)</f>
        <v>0.997</v>
      </c>
      <c r="BH924" s="30">
        <f>VLOOKUP(Inventory[[#This Row],[LivArea Range]],Lookups!$R$25:$U$43,4,FALSE)</f>
        <v>0.99519999999999997</v>
      </c>
      <c r="BI924" s="30">
        <f>VLOOKUP(Inventory[[#This Row],[Decade]],Lookups!$M$24:$P$40,4,FALSE)</f>
        <v>0.99560000000000004</v>
      </c>
      <c r="BJ924" s="30">
        <f>Inventory[[#This Row],[Nbhd Adj]]*0.95</f>
        <v>0.94971499999999998</v>
      </c>
      <c r="BK924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924" s="30">
        <f>ROUND((SUM(Inventory[[#This Row],[Mdl Qlty]:[Mdl Garage Area]])+Inventory[[#This Row],[Mdl Res Intercept]])*Inventory[[#This Row],[Res Adj ]],-2)</f>
        <v>283300</v>
      </c>
      <c r="BM924" s="30">
        <f>ROUND(Inventory[[#This Row],[25Det]]*Inventory[[#This Row],[Det/Nbhd Adj]],-2)</f>
        <v>0</v>
      </c>
      <c r="BN924" s="30">
        <f>Inventory[[#This Row],[Adjusted Res]]+Inventory[[#This Row],[Adj Det ]]</f>
        <v>283300</v>
      </c>
      <c r="BO924" s="30">
        <f>ROUND((Inventory[[#This Row],[Mdl Land Intercept]]+Inventory[[#This Row],[Mdl LnAcres]])*Inventory[[#This Row],[Det/Nbhd Adj]],-2)</f>
        <v>61100</v>
      </c>
      <c r="BP924" s="30">
        <f>Inventory[[#This Row],[Adjusted Impr Total]]+Inventory[[#This Row],[Adjusted Land Total]]</f>
        <v>344400</v>
      </c>
      <c r="BQ924" s="30">
        <f>IFERROR((Inventory[[#This Row],[Adjusted Impr Total]]-Inventory[[#This Row],[24Bldg]])/Inventory[[#This Row],[24Bldg]],0)</f>
        <v>-2.1078092605390463E-2</v>
      </c>
      <c r="BR924" s="43">
        <f>(Inventory[[#This Row],[Adjusted Land Total]]-Inventory[[#This Row],[24Lnd]])/Inventory[[#This Row],[24Lnd]]</f>
        <v>4.9342105263157892E-3</v>
      </c>
      <c r="BS924" s="43">
        <f>(Inventory[[#This Row],[Adjusted Total]]-Inventory[[#This Row],[24Final]])/Inventory[[#This Row],[24Final]]</f>
        <v>-1.6561964591661909E-2</v>
      </c>
    </row>
    <row r="925" spans="1:71">
      <c r="A925" s="30">
        <v>2025</v>
      </c>
      <c r="B925" s="31" t="s">
        <v>1440</v>
      </c>
      <c r="C925" s="31">
        <f>LN(Inventory[[#This Row],[Acres]])</f>
        <v>-1.8325814637483102</v>
      </c>
      <c r="D925" s="30">
        <v>0.16</v>
      </c>
      <c r="E925" s="30">
        <v>7012</v>
      </c>
      <c r="F925" s="31" t="s">
        <v>505</v>
      </c>
      <c r="G925" s="31" t="s">
        <v>155</v>
      </c>
      <c r="H925" s="31" t="s">
        <v>5</v>
      </c>
      <c r="I925" s="31" t="s">
        <v>506</v>
      </c>
      <c r="J925" s="31" t="s">
        <v>507</v>
      </c>
      <c r="K925" s="31" t="s">
        <v>193</v>
      </c>
      <c r="L925" s="31" t="s">
        <v>19</v>
      </c>
      <c r="M925" s="31" t="s">
        <v>20</v>
      </c>
      <c r="N925" s="31">
        <v>20</v>
      </c>
      <c r="O925" s="31">
        <f>2024-Inventory[[#This Row],[YrBlt]]</f>
        <v>20</v>
      </c>
      <c r="P925" s="31">
        <f>2024-Inventory[[#This Row],[EffYr]]</f>
        <v>20</v>
      </c>
      <c r="Q925" s="30">
        <v>2004</v>
      </c>
      <c r="R925" s="30">
        <v>2004</v>
      </c>
      <c r="S925" s="30">
        <v>1380</v>
      </c>
      <c r="T925" s="32"/>
      <c r="U925" s="32"/>
      <c r="V925" s="32"/>
      <c r="W925" s="32"/>
      <c r="X925" s="32">
        <f>Inventory[[#This Row],[Bsmt Area]]-Inventory[[#This Row],[FnBsmt]]</f>
        <v>0</v>
      </c>
      <c r="Y925" s="32">
        <f>Inventory[[#This Row],[MainFn]]+Inventory[[#This Row],[UpprFn]]+Inventory[[#This Row],[AddFn]]+Inventory[[#This Row],[FnBsmt]]</f>
        <v>1380</v>
      </c>
      <c r="Z925" s="32">
        <v>1500</v>
      </c>
      <c r="AA925" s="31" t="s">
        <v>56</v>
      </c>
      <c r="AB925" s="32"/>
      <c r="AC925" s="30">
        <v>428</v>
      </c>
      <c r="AD925" s="32"/>
      <c r="AE925" s="32"/>
      <c r="AF925" s="32"/>
      <c r="AG925" s="32"/>
      <c r="AH925" s="32"/>
      <c r="AI925" s="30">
        <v>275531</v>
      </c>
      <c r="AJ925" s="30">
        <v>250733</v>
      </c>
      <c r="AK925" s="30">
        <v>0</v>
      </c>
      <c r="AL925" s="30">
        <v>0</v>
      </c>
      <c r="AM925" s="30">
        <v>60800</v>
      </c>
      <c r="AN925" s="30">
        <v>289400</v>
      </c>
      <c r="AO925" s="30">
        <v>350200</v>
      </c>
      <c r="AP925" s="30">
        <f>Lookups!$B$58*0.6</f>
        <v>132535.48800000001</v>
      </c>
      <c r="AQ925" s="30">
        <f>Lookups!$B$58*0.4</f>
        <v>88356.992000000013</v>
      </c>
      <c r="AR925" s="30">
        <f>Lookups!$B$59*Inventory[[#This Row],[LnAcres]]</f>
        <v>-24051.387388882686</v>
      </c>
      <c r="AS925" s="30">
        <f>VLOOKUP(Inventory[[#This Row],[Qlty]],Lookups!$A$66:$E$79,2,FALSE)</f>
        <v>37154.252388000001</v>
      </c>
      <c r="AT925" s="30">
        <f>VLOOKUP(Inventory[[#This Row],[Cnd]],Lookups!$A$80:$E$88,2,FALSE)</f>
        <v>30300.329274</v>
      </c>
      <c r="AU925" s="30">
        <f>Inventory[[#This Row],[EffAge]]*Lookups!$B$65</f>
        <v>-2174.8220000000001</v>
      </c>
      <c r="AV925" s="30">
        <f>Inventory[[#This Row],[MainFn]]*Lookups!$B$90</f>
        <v>86126.324399999998</v>
      </c>
      <c r="AW925" s="30">
        <f>Inventory[[#This Row],[UpprFn]]*Lookups!$B$91</f>
        <v>0</v>
      </c>
      <c r="AX925" s="30">
        <f>Inventory[[#This Row],[Bsmt Area]]*Lookups!$B$95</f>
        <v>0</v>
      </c>
      <c r="AY925" s="30">
        <f>Inventory[[#This Row],[AttGar]]*Lookups!$B$93</f>
        <v>15108.841268</v>
      </c>
      <c r="AZ925" s="30">
        <f>ROUND(Inventory[[#This Row],[25Det]],-2)</f>
        <v>0</v>
      </c>
      <c r="BA925" s="30">
        <f>ROUND(SUM(Inventory[[#This Row],[Mdl Qlty]:[Mdl Garage Area]])+Inventory[[#This Row],[Mdl Res Intercept]],-2)</f>
        <v>299100</v>
      </c>
      <c r="BB925" s="30">
        <f>ROUND(Inventory[[#This Row],[Mdl Land Intercept]]+Inventory[[#This Row],[Mdl LnAcres]],-2)</f>
        <v>64300</v>
      </c>
      <c r="BC925" s="30">
        <f>Inventory[[#This Row],[Unadj Res Value]]+Inventory[[#This Row],[Unadj Det Value]]+Inventory[[#This Row],[Unadj Land Value]]</f>
        <v>363400</v>
      </c>
      <c r="BD925" s="30">
        <f>(Inventory[[#This Row],[Unadj Total Value]]-Inventory[[#This Row],[24Final]])/Inventory[[#This Row],[24Final]]</f>
        <v>3.7692747001713309E-2</v>
      </c>
      <c r="BE925" s="30">
        <f>VLOOKUP(Inventory[[#This Row],[Nbhd]],Lookups!$M$3:$P$5,4,FALSE)</f>
        <v>0.99970000000000003</v>
      </c>
      <c r="BF925" s="30">
        <f>VLOOKUP(Inventory[[#This Row],[Qlty]],Lookups!$M$8:$P$22,4,FALSE)</f>
        <v>0.99819999999999998</v>
      </c>
      <c r="BG925" s="30">
        <f>VLOOKUP(Inventory[[#This Row],[Cnd]],Lookups!$R$8:$U$17,4,FALSE)</f>
        <v>0.997</v>
      </c>
      <c r="BH925" s="30">
        <f>VLOOKUP(Inventory[[#This Row],[LivArea Range]],Lookups!$R$25:$U$43,4,FALSE)</f>
        <v>0.99519999999999997</v>
      </c>
      <c r="BI925" s="30">
        <f>VLOOKUP(Inventory[[#This Row],[Decade]],Lookups!$M$24:$P$40,4,FALSE)</f>
        <v>0.99560000000000004</v>
      </c>
      <c r="BJ925" s="30">
        <f>Inventory[[#This Row],[Nbhd Adj]]*0.95</f>
        <v>0.94971499999999998</v>
      </c>
      <c r="BK925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925" s="30">
        <f>ROUND((SUM(Inventory[[#This Row],[Mdl Qlty]:[Mdl Garage Area]])+Inventory[[#This Row],[Mdl Res Intercept]])*Inventory[[#This Row],[Res Adj ]],-2)</f>
        <v>283300</v>
      </c>
      <c r="BM925" s="30">
        <f>ROUND(Inventory[[#This Row],[25Det]]*Inventory[[#This Row],[Det/Nbhd Adj]],-2)</f>
        <v>0</v>
      </c>
      <c r="BN925" s="30">
        <f>Inventory[[#This Row],[Adjusted Res]]+Inventory[[#This Row],[Adj Det ]]</f>
        <v>283300</v>
      </c>
      <c r="BO925" s="30">
        <f>ROUND((Inventory[[#This Row],[Mdl Land Intercept]]+Inventory[[#This Row],[Mdl LnAcres]])*Inventory[[#This Row],[Det/Nbhd Adj]],-2)</f>
        <v>61100</v>
      </c>
      <c r="BP925" s="30">
        <f>Inventory[[#This Row],[Adjusted Impr Total]]+Inventory[[#This Row],[Adjusted Land Total]]</f>
        <v>344400</v>
      </c>
      <c r="BQ925" s="30">
        <f>IFERROR((Inventory[[#This Row],[Adjusted Impr Total]]-Inventory[[#This Row],[24Bldg]])/Inventory[[#This Row],[24Bldg]],0)</f>
        <v>-2.1078092605390463E-2</v>
      </c>
      <c r="BR925" s="43">
        <f>(Inventory[[#This Row],[Adjusted Land Total]]-Inventory[[#This Row],[24Lnd]])/Inventory[[#This Row],[24Lnd]]</f>
        <v>4.9342105263157892E-3</v>
      </c>
      <c r="BS925" s="43">
        <f>(Inventory[[#This Row],[Adjusted Total]]-Inventory[[#This Row],[24Final]])/Inventory[[#This Row],[24Final]]</f>
        <v>-1.6561964591661909E-2</v>
      </c>
    </row>
    <row r="926" spans="1:71">
      <c r="A926" s="30">
        <v>2025</v>
      </c>
      <c r="B926" s="31" t="s">
        <v>1441</v>
      </c>
      <c r="C926" s="31">
        <f>LN(Inventory[[#This Row],[Acres]])</f>
        <v>-1.8325814637483102</v>
      </c>
      <c r="D926" s="30">
        <v>0.16</v>
      </c>
      <c r="E926" s="30">
        <v>7013</v>
      </c>
      <c r="F926" s="31" t="s">
        <v>505</v>
      </c>
      <c r="G926" s="31" t="s">
        <v>155</v>
      </c>
      <c r="H926" s="31" t="s">
        <v>5</v>
      </c>
      <c r="I926" s="31" t="s">
        <v>506</v>
      </c>
      <c r="J926" s="31" t="s">
        <v>507</v>
      </c>
      <c r="K926" s="31" t="s">
        <v>193</v>
      </c>
      <c r="L926" s="31" t="s">
        <v>19</v>
      </c>
      <c r="M926" s="31" t="s">
        <v>20</v>
      </c>
      <c r="N926" s="31">
        <v>20</v>
      </c>
      <c r="O926" s="31">
        <f>2024-Inventory[[#This Row],[YrBlt]]</f>
        <v>20</v>
      </c>
      <c r="P926" s="31">
        <f>2024-Inventory[[#This Row],[EffYr]]</f>
        <v>20</v>
      </c>
      <c r="Q926" s="30">
        <v>2004</v>
      </c>
      <c r="R926" s="30">
        <v>2004</v>
      </c>
      <c r="S926" s="30">
        <v>1380</v>
      </c>
      <c r="T926" s="37"/>
      <c r="U926" s="32"/>
      <c r="V926" s="32"/>
      <c r="W926" s="32"/>
      <c r="X926" s="32">
        <f>Inventory[[#This Row],[Bsmt Area]]-Inventory[[#This Row],[FnBsmt]]</f>
        <v>0</v>
      </c>
      <c r="Y926" s="32">
        <f>Inventory[[#This Row],[MainFn]]+Inventory[[#This Row],[UpprFn]]+Inventory[[#This Row],[AddFn]]+Inventory[[#This Row],[FnBsmt]]</f>
        <v>1380</v>
      </c>
      <c r="Z926" s="32">
        <v>1500</v>
      </c>
      <c r="AA926" s="31" t="s">
        <v>56</v>
      </c>
      <c r="AB926" s="37"/>
      <c r="AC926" s="30">
        <v>428</v>
      </c>
      <c r="AD926" s="32"/>
      <c r="AE926" s="32"/>
      <c r="AF926" s="32"/>
      <c r="AG926" s="32"/>
      <c r="AH926" s="32"/>
      <c r="AI926" s="30">
        <v>279827</v>
      </c>
      <c r="AJ926" s="30">
        <v>254643</v>
      </c>
      <c r="AK926" s="30">
        <v>0</v>
      </c>
      <c r="AL926" s="30">
        <v>0</v>
      </c>
      <c r="AM926" s="30">
        <v>60800</v>
      </c>
      <c r="AN926" s="30">
        <v>289400</v>
      </c>
      <c r="AO926" s="30">
        <v>350200</v>
      </c>
      <c r="AP926" s="30">
        <f>Lookups!$B$58*0.6</f>
        <v>132535.48800000001</v>
      </c>
      <c r="AQ926" s="30">
        <f>Lookups!$B$58*0.4</f>
        <v>88356.992000000013</v>
      </c>
      <c r="AR926" s="30">
        <f>Lookups!$B$59*Inventory[[#This Row],[LnAcres]]</f>
        <v>-24051.387388882686</v>
      </c>
      <c r="AS926" s="30">
        <f>VLOOKUP(Inventory[[#This Row],[Qlty]],Lookups!$A$66:$E$79,2,FALSE)</f>
        <v>37154.252388000001</v>
      </c>
      <c r="AT926" s="30">
        <f>VLOOKUP(Inventory[[#This Row],[Cnd]],Lookups!$A$80:$E$88,2,FALSE)</f>
        <v>30300.329274</v>
      </c>
      <c r="AU926" s="30">
        <f>Inventory[[#This Row],[EffAge]]*Lookups!$B$65</f>
        <v>-2174.8220000000001</v>
      </c>
      <c r="AV926" s="30">
        <f>Inventory[[#This Row],[MainFn]]*Lookups!$B$90</f>
        <v>86126.324399999998</v>
      </c>
      <c r="AW926" s="30">
        <f>Inventory[[#This Row],[UpprFn]]*Lookups!$B$91</f>
        <v>0</v>
      </c>
      <c r="AX926" s="30">
        <f>Inventory[[#This Row],[Bsmt Area]]*Lookups!$B$95</f>
        <v>0</v>
      </c>
      <c r="AY926" s="30">
        <f>Inventory[[#This Row],[AttGar]]*Lookups!$B$93</f>
        <v>15108.841268</v>
      </c>
      <c r="AZ926" s="30">
        <f>ROUND(Inventory[[#This Row],[25Det]],-2)</f>
        <v>0</v>
      </c>
      <c r="BA926" s="30">
        <f>ROUND(SUM(Inventory[[#This Row],[Mdl Qlty]:[Mdl Garage Area]])+Inventory[[#This Row],[Mdl Res Intercept]],-2)</f>
        <v>299100</v>
      </c>
      <c r="BB926" s="30">
        <f>ROUND(Inventory[[#This Row],[Mdl Land Intercept]]+Inventory[[#This Row],[Mdl LnAcres]],-2)</f>
        <v>64300</v>
      </c>
      <c r="BC926" s="30">
        <f>Inventory[[#This Row],[Unadj Res Value]]+Inventory[[#This Row],[Unadj Det Value]]+Inventory[[#This Row],[Unadj Land Value]]</f>
        <v>363400</v>
      </c>
      <c r="BD926" s="30">
        <f>(Inventory[[#This Row],[Unadj Total Value]]-Inventory[[#This Row],[24Final]])/Inventory[[#This Row],[24Final]]</f>
        <v>3.7692747001713309E-2</v>
      </c>
      <c r="BE926" s="30">
        <f>VLOOKUP(Inventory[[#This Row],[Nbhd]],Lookups!$M$3:$P$5,4,FALSE)</f>
        <v>0.99970000000000003</v>
      </c>
      <c r="BF926" s="30">
        <f>VLOOKUP(Inventory[[#This Row],[Qlty]],Lookups!$M$8:$P$22,4,FALSE)</f>
        <v>0.99819999999999998</v>
      </c>
      <c r="BG926" s="30">
        <f>VLOOKUP(Inventory[[#This Row],[Cnd]],Lookups!$R$8:$U$17,4,FALSE)</f>
        <v>0.997</v>
      </c>
      <c r="BH926" s="30">
        <f>VLOOKUP(Inventory[[#This Row],[LivArea Range]],Lookups!$R$25:$U$43,4,FALSE)</f>
        <v>0.99519999999999997</v>
      </c>
      <c r="BI926" s="30">
        <f>VLOOKUP(Inventory[[#This Row],[Decade]],Lookups!$M$24:$P$40,4,FALSE)</f>
        <v>0.99560000000000004</v>
      </c>
      <c r="BJ926" s="30">
        <f>Inventory[[#This Row],[Nbhd Adj]]*0.95</f>
        <v>0.94971499999999998</v>
      </c>
      <c r="BK926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926" s="30">
        <f>ROUND((SUM(Inventory[[#This Row],[Mdl Qlty]:[Mdl Garage Area]])+Inventory[[#This Row],[Mdl Res Intercept]])*Inventory[[#This Row],[Res Adj ]],-2)</f>
        <v>283300</v>
      </c>
      <c r="BM926" s="30">
        <f>ROUND(Inventory[[#This Row],[25Det]]*Inventory[[#This Row],[Det/Nbhd Adj]],-2)</f>
        <v>0</v>
      </c>
      <c r="BN926" s="30">
        <f>Inventory[[#This Row],[Adjusted Res]]+Inventory[[#This Row],[Adj Det ]]</f>
        <v>283300</v>
      </c>
      <c r="BO926" s="30">
        <f>ROUND((Inventory[[#This Row],[Mdl Land Intercept]]+Inventory[[#This Row],[Mdl LnAcres]])*Inventory[[#This Row],[Det/Nbhd Adj]],-2)</f>
        <v>61100</v>
      </c>
      <c r="BP926" s="30">
        <f>Inventory[[#This Row],[Adjusted Impr Total]]+Inventory[[#This Row],[Adjusted Land Total]]</f>
        <v>344400</v>
      </c>
      <c r="BQ926" s="30">
        <f>IFERROR((Inventory[[#This Row],[Adjusted Impr Total]]-Inventory[[#This Row],[24Bldg]])/Inventory[[#This Row],[24Bldg]],0)</f>
        <v>-2.1078092605390463E-2</v>
      </c>
      <c r="BR926" s="43">
        <f>(Inventory[[#This Row],[Adjusted Land Total]]-Inventory[[#This Row],[24Lnd]])/Inventory[[#This Row],[24Lnd]]</f>
        <v>4.9342105263157892E-3</v>
      </c>
      <c r="BS926" s="43">
        <f>(Inventory[[#This Row],[Adjusted Total]]-Inventory[[#This Row],[24Final]])/Inventory[[#This Row],[24Final]]</f>
        <v>-1.6561964591661909E-2</v>
      </c>
    </row>
    <row r="927" spans="1:71">
      <c r="A927" s="30">
        <v>2025</v>
      </c>
      <c r="B927" s="31" t="s">
        <v>1442</v>
      </c>
      <c r="C927" s="31">
        <f>LN(Inventory[[#This Row],[Acres]])</f>
        <v>-1.8325814637483102</v>
      </c>
      <c r="D927" s="30">
        <v>0.16</v>
      </c>
      <c r="E927" s="30">
        <v>7013</v>
      </c>
      <c r="F927" s="31" t="s">
        <v>505</v>
      </c>
      <c r="G927" s="31" t="s">
        <v>155</v>
      </c>
      <c r="H927" s="31" t="s">
        <v>5</v>
      </c>
      <c r="I927" s="31" t="s">
        <v>506</v>
      </c>
      <c r="J927" s="31" t="s">
        <v>507</v>
      </c>
      <c r="K927" s="31" t="s">
        <v>193</v>
      </c>
      <c r="L927" s="31" t="s">
        <v>19</v>
      </c>
      <c r="M927" s="31" t="s">
        <v>20</v>
      </c>
      <c r="N927" s="31">
        <v>20</v>
      </c>
      <c r="O927" s="31">
        <f>2024-Inventory[[#This Row],[YrBlt]]</f>
        <v>20</v>
      </c>
      <c r="P927" s="31">
        <f>2024-Inventory[[#This Row],[EffYr]]</f>
        <v>20</v>
      </c>
      <c r="Q927" s="30">
        <v>2004</v>
      </c>
      <c r="R927" s="30">
        <v>2004</v>
      </c>
      <c r="S927" s="30">
        <v>1380</v>
      </c>
      <c r="T927" s="32"/>
      <c r="U927" s="32"/>
      <c r="V927" s="32"/>
      <c r="W927" s="32"/>
      <c r="X927" s="32">
        <f>Inventory[[#This Row],[Bsmt Area]]-Inventory[[#This Row],[FnBsmt]]</f>
        <v>0</v>
      </c>
      <c r="Y927" s="32">
        <f>Inventory[[#This Row],[MainFn]]+Inventory[[#This Row],[UpprFn]]+Inventory[[#This Row],[AddFn]]+Inventory[[#This Row],[FnBsmt]]</f>
        <v>1380</v>
      </c>
      <c r="Z927" s="32">
        <v>1500</v>
      </c>
      <c r="AA927" s="31" t="s">
        <v>56</v>
      </c>
      <c r="AB927" s="32"/>
      <c r="AC927" s="30">
        <v>428</v>
      </c>
      <c r="AD927" s="32"/>
      <c r="AE927" s="32"/>
      <c r="AF927" s="32"/>
      <c r="AG927" s="32"/>
      <c r="AH927" s="32"/>
      <c r="AI927" s="30">
        <v>275531</v>
      </c>
      <c r="AJ927" s="30">
        <v>250733</v>
      </c>
      <c r="AK927" s="30">
        <v>0</v>
      </c>
      <c r="AL927" s="30">
        <v>0</v>
      </c>
      <c r="AM927" s="30">
        <v>60800</v>
      </c>
      <c r="AN927" s="30">
        <v>289400</v>
      </c>
      <c r="AO927" s="30">
        <v>350200</v>
      </c>
      <c r="AP927" s="30">
        <f>Lookups!$B$58*0.6</f>
        <v>132535.48800000001</v>
      </c>
      <c r="AQ927" s="30">
        <f>Lookups!$B$58*0.4</f>
        <v>88356.992000000013</v>
      </c>
      <c r="AR927" s="30">
        <f>Lookups!$B$59*Inventory[[#This Row],[LnAcres]]</f>
        <v>-24051.387388882686</v>
      </c>
      <c r="AS927" s="30">
        <f>VLOOKUP(Inventory[[#This Row],[Qlty]],Lookups!$A$66:$E$79,2,FALSE)</f>
        <v>37154.252388000001</v>
      </c>
      <c r="AT927" s="30">
        <f>VLOOKUP(Inventory[[#This Row],[Cnd]],Lookups!$A$80:$E$88,2,FALSE)</f>
        <v>30300.329274</v>
      </c>
      <c r="AU927" s="30">
        <f>Inventory[[#This Row],[EffAge]]*Lookups!$B$65</f>
        <v>-2174.8220000000001</v>
      </c>
      <c r="AV927" s="30">
        <f>Inventory[[#This Row],[MainFn]]*Lookups!$B$90</f>
        <v>86126.324399999998</v>
      </c>
      <c r="AW927" s="30">
        <f>Inventory[[#This Row],[UpprFn]]*Lookups!$B$91</f>
        <v>0</v>
      </c>
      <c r="AX927" s="30">
        <f>Inventory[[#This Row],[Bsmt Area]]*Lookups!$B$95</f>
        <v>0</v>
      </c>
      <c r="AY927" s="30">
        <f>Inventory[[#This Row],[AttGar]]*Lookups!$B$93</f>
        <v>15108.841268</v>
      </c>
      <c r="AZ927" s="30">
        <f>ROUND(Inventory[[#This Row],[25Det]],-2)</f>
        <v>0</v>
      </c>
      <c r="BA927" s="30">
        <f>ROUND(SUM(Inventory[[#This Row],[Mdl Qlty]:[Mdl Garage Area]])+Inventory[[#This Row],[Mdl Res Intercept]],-2)</f>
        <v>299100</v>
      </c>
      <c r="BB927" s="30">
        <f>ROUND(Inventory[[#This Row],[Mdl Land Intercept]]+Inventory[[#This Row],[Mdl LnAcres]],-2)</f>
        <v>64300</v>
      </c>
      <c r="BC927" s="30">
        <f>Inventory[[#This Row],[Unadj Res Value]]+Inventory[[#This Row],[Unadj Det Value]]+Inventory[[#This Row],[Unadj Land Value]]</f>
        <v>363400</v>
      </c>
      <c r="BD927" s="30">
        <f>(Inventory[[#This Row],[Unadj Total Value]]-Inventory[[#This Row],[24Final]])/Inventory[[#This Row],[24Final]]</f>
        <v>3.7692747001713309E-2</v>
      </c>
      <c r="BE927" s="30">
        <f>VLOOKUP(Inventory[[#This Row],[Nbhd]],Lookups!$M$3:$P$5,4,FALSE)</f>
        <v>0.99970000000000003</v>
      </c>
      <c r="BF927" s="30">
        <f>VLOOKUP(Inventory[[#This Row],[Qlty]],Lookups!$M$8:$P$22,4,FALSE)</f>
        <v>0.99819999999999998</v>
      </c>
      <c r="BG927" s="30">
        <f>VLOOKUP(Inventory[[#This Row],[Cnd]],Lookups!$R$8:$U$17,4,FALSE)</f>
        <v>0.997</v>
      </c>
      <c r="BH927" s="30">
        <f>VLOOKUP(Inventory[[#This Row],[LivArea Range]],Lookups!$R$25:$U$43,4,FALSE)</f>
        <v>0.99519999999999997</v>
      </c>
      <c r="BI927" s="30">
        <f>VLOOKUP(Inventory[[#This Row],[Decade]],Lookups!$M$24:$P$40,4,FALSE)</f>
        <v>0.99560000000000004</v>
      </c>
      <c r="BJ927" s="30">
        <f>Inventory[[#This Row],[Nbhd Adj]]*0.95</f>
        <v>0.94971499999999998</v>
      </c>
      <c r="BK927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927" s="30">
        <f>ROUND((SUM(Inventory[[#This Row],[Mdl Qlty]:[Mdl Garage Area]])+Inventory[[#This Row],[Mdl Res Intercept]])*Inventory[[#This Row],[Res Adj ]],-2)</f>
        <v>283300</v>
      </c>
      <c r="BM927" s="30">
        <f>ROUND(Inventory[[#This Row],[25Det]]*Inventory[[#This Row],[Det/Nbhd Adj]],-2)</f>
        <v>0</v>
      </c>
      <c r="BN927" s="30">
        <f>Inventory[[#This Row],[Adjusted Res]]+Inventory[[#This Row],[Adj Det ]]</f>
        <v>283300</v>
      </c>
      <c r="BO927" s="30">
        <f>ROUND((Inventory[[#This Row],[Mdl Land Intercept]]+Inventory[[#This Row],[Mdl LnAcres]])*Inventory[[#This Row],[Det/Nbhd Adj]],-2)</f>
        <v>61100</v>
      </c>
      <c r="BP927" s="30">
        <f>Inventory[[#This Row],[Adjusted Impr Total]]+Inventory[[#This Row],[Adjusted Land Total]]</f>
        <v>344400</v>
      </c>
      <c r="BQ927" s="30">
        <f>IFERROR((Inventory[[#This Row],[Adjusted Impr Total]]-Inventory[[#This Row],[24Bldg]])/Inventory[[#This Row],[24Bldg]],0)</f>
        <v>-2.1078092605390463E-2</v>
      </c>
      <c r="BR927" s="43">
        <f>(Inventory[[#This Row],[Adjusted Land Total]]-Inventory[[#This Row],[24Lnd]])/Inventory[[#This Row],[24Lnd]]</f>
        <v>4.9342105263157892E-3</v>
      </c>
      <c r="BS927" s="43">
        <f>(Inventory[[#This Row],[Adjusted Total]]-Inventory[[#This Row],[24Final]])/Inventory[[#This Row],[24Final]]</f>
        <v>-1.6561964591661909E-2</v>
      </c>
    </row>
    <row r="928" spans="1:71">
      <c r="A928" s="30">
        <v>2025</v>
      </c>
      <c r="B928" s="31" t="s">
        <v>1443</v>
      </c>
      <c r="C928" s="31">
        <f>LN(Inventory[[#This Row],[Acres]])</f>
        <v>-1.8325814637483102</v>
      </c>
      <c r="D928" s="30">
        <v>0.16</v>
      </c>
      <c r="E928" s="30">
        <v>7017</v>
      </c>
      <c r="F928" s="31" t="s">
        <v>505</v>
      </c>
      <c r="G928" s="31" t="s">
        <v>155</v>
      </c>
      <c r="H928" s="31" t="s">
        <v>5</v>
      </c>
      <c r="I928" s="31" t="s">
        <v>506</v>
      </c>
      <c r="J928" s="31" t="s">
        <v>507</v>
      </c>
      <c r="K928" s="31" t="s">
        <v>193</v>
      </c>
      <c r="L928" s="31" t="s">
        <v>19</v>
      </c>
      <c r="M928" s="31" t="s">
        <v>20</v>
      </c>
      <c r="N928" s="31">
        <v>20</v>
      </c>
      <c r="O928" s="31">
        <f>2024-Inventory[[#This Row],[YrBlt]]</f>
        <v>20</v>
      </c>
      <c r="P928" s="31">
        <f>2024-Inventory[[#This Row],[EffYr]]</f>
        <v>20</v>
      </c>
      <c r="Q928" s="30">
        <v>2004</v>
      </c>
      <c r="R928" s="30">
        <v>2004</v>
      </c>
      <c r="S928" s="30">
        <v>1380</v>
      </c>
      <c r="T928" s="32"/>
      <c r="U928" s="32"/>
      <c r="V928" s="32"/>
      <c r="W928" s="32"/>
      <c r="X928" s="32">
        <f>Inventory[[#This Row],[Bsmt Area]]-Inventory[[#This Row],[FnBsmt]]</f>
        <v>0</v>
      </c>
      <c r="Y928" s="32">
        <f>Inventory[[#This Row],[MainFn]]+Inventory[[#This Row],[UpprFn]]+Inventory[[#This Row],[AddFn]]+Inventory[[#This Row],[FnBsmt]]</f>
        <v>1380</v>
      </c>
      <c r="Z928" s="32">
        <v>1500</v>
      </c>
      <c r="AA928" s="31" t="s">
        <v>56</v>
      </c>
      <c r="AB928" s="37"/>
      <c r="AC928" s="30">
        <v>428</v>
      </c>
      <c r="AD928" s="32"/>
      <c r="AE928" s="32"/>
      <c r="AF928" s="32"/>
      <c r="AG928" s="32"/>
      <c r="AH928" s="32"/>
      <c r="AI928" s="30">
        <v>275531</v>
      </c>
      <c r="AJ928" s="30">
        <v>250733</v>
      </c>
      <c r="AK928" s="30">
        <v>0</v>
      </c>
      <c r="AL928" s="30">
        <v>0</v>
      </c>
      <c r="AM928" s="30">
        <v>60800</v>
      </c>
      <c r="AN928" s="30">
        <v>289400</v>
      </c>
      <c r="AO928" s="30">
        <v>350200</v>
      </c>
      <c r="AP928" s="30">
        <f>Lookups!$B$58*0.6</f>
        <v>132535.48800000001</v>
      </c>
      <c r="AQ928" s="30">
        <f>Lookups!$B$58*0.4</f>
        <v>88356.992000000013</v>
      </c>
      <c r="AR928" s="30">
        <f>Lookups!$B$59*Inventory[[#This Row],[LnAcres]]</f>
        <v>-24051.387388882686</v>
      </c>
      <c r="AS928" s="30">
        <f>VLOOKUP(Inventory[[#This Row],[Qlty]],Lookups!$A$66:$E$79,2,FALSE)</f>
        <v>37154.252388000001</v>
      </c>
      <c r="AT928" s="30">
        <f>VLOOKUP(Inventory[[#This Row],[Cnd]],Lookups!$A$80:$E$88,2,FALSE)</f>
        <v>30300.329274</v>
      </c>
      <c r="AU928" s="30">
        <f>Inventory[[#This Row],[EffAge]]*Lookups!$B$65</f>
        <v>-2174.8220000000001</v>
      </c>
      <c r="AV928" s="30">
        <f>Inventory[[#This Row],[MainFn]]*Lookups!$B$90</f>
        <v>86126.324399999998</v>
      </c>
      <c r="AW928" s="30">
        <f>Inventory[[#This Row],[UpprFn]]*Lookups!$B$91</f>
        <v>0</v>
      </c>
      <c r="AX928" s="30">
        <f>Inventory[[#This Row],[Bsmt Area]]*Lookups!$B$95</f>
        <v>0</v>
      </c>
      <c r="AY928" s="30">
        <f>Inventory[[#This Row],[AttGar]]*Lookups!$B$93</f>
        <v>15108.841268</v>
      </c>
      <c r="AZ928" s="30">
        <f>ROUND(Inventory[[#This Row],[25Det]],-2)</f>
        <v>0</v>
      </c>
      <c r="BA928" s="30">
        <f>ROUND(SUM(Inventory[[#This Row],[Mdl Qlty]:[Mdl Garage Area]])+Inventory[[#This Row],[Mdl Res Intercept]],-2)</f>
        <v>299100</v>
      </c>
      <c r="BB928" s="30">
        <f>ROUND(Inventory[[#This Row],[Mdl Land Intercept]]+Inventory[[#This Row],[Mdl LnAcres]],-2)</f>
        <v>64300</v>
      </c>
      <c r="BC928" s="30">
        <f>Inventory[[#This Row],[Unadj Res Value]]+Inventory[[#This Row],[Unadj Det Value]]+Inventory[[#This Row],[Unadj Land Value]]</f>
        <v>363400</v>
      </c>
      <c r="BD928" s="30">
        <f>(Inventory[[#This Row],[Unadj Total Value]]-Inventory[[#This Row],[24Final]])/Inventory[[#This Row],[24Final]]</f>
        <v>3.7692747001713309E-2</v>
      </c>
      <c r="BE928" s="30">
        <f>VLOOKUP(Inventory[[#This Row],[Nbhd]],Lookups!$M$3:$P$5,4,FALSE)</f>
        <v>0.99970000000000003</v>
      </c>
      <c r="BF928" s="30">
        <f>VLOOKUP(Inventory[[#This Row],[Qlty]],Lookups!$M$8:$P$22,4,FALSE)</f>
        <v>0.99819999999999998</v>
      </c>
      <c r="BG928" s="30">
        <f>VLOOKUP(Inventory[[#This Row],[Cnd]],Lookups!$R$8:$U$17,4,FALSE)</f>
        <v>0.997</v>
      </c>
      <c r="BH928" s="30">
        <f>VLOOKUP(Inventory[[#This Row],[LivArea Range]],Lookups!$R$25:$U$43,4,FALSE)</f>
        <v>0.99519999999999997</v>
      </c>
      <c r="BI928" s="30">
        <f>VLOOKUP(Inventory[[#This Row],[Decade]],Lookups!$M$24:$P$40,4,FALSE)</f>
        <v>0.99560000000000004</v>
      </c>
      <c r="BJ928" s="30">
        <f>Inventory[[#This Row],[Nbhd Adj]]*0.95</f>
        <v>0.94971499999999998</v>
      </c>
      <c r="BK928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928" s="30">
        <f>ROUND((SUM(Inventory[[#This Row],[Mdl Qlty]:[Mdl Garage Area]])+Inventory[[#This Row],[Mdl Res Intercept]])*Inventory[[#This Row],[Res Adj ]],-2)</f>
        <v>283300</v>
      </c>
      <c r="BM928" s="30">
        <f>ROUND(Inventory[[#This Row],[25Det]]*Inventory[[#This Row],[Det/Nbhd Adj]],-2)</f>
        <v>0</v>
      </c>
      <c r="BN928" s="30">
        <f>Inventory[[#This Row],[Adjusted Res]]+Inventory[[#This Row],[Adj Det ]]</f>
        <v>283300</v>
      </c>
      <c r="BO928" s="30">
        <f>ROUND((Inventory[[#This Row],[Mdl Land Intercept]]+Inventory[[#This Row],[Mdl LnAcres]])*Inventory[[#This Row],[Det/Nbhd Adj]],-2)</f>
        <v>61100</v>
      </c>
      <c r="BP928" s="30">
        <f>Inventory[[#This Row],[Adjusted Impr Total]]+Inventory[[#This Row],[Adjusted Land Total]]</f>
        <v>344400</v>
      </c>
      <c r="BQ928" s="30">
        <f>IFERROR((Inventory[[#This Row],[Adjusted Impr Total]]-Inventory[[#This Row],[24Bldg]])/Inventory[[#This Row],[24Bldg]],0)</f>
        <v>-2.1078092605390463E-2</v>
      </c>
      <c r="BR928" s="43">
        <f>(Inventory[[#This Row],[Adjusted Land Total]]-Inventory[[#This Row],[24Lnd]])/Inventory[[#This Row],[24Lnd]]</f>
        <v>4.9342105263157892E-3</v>
      </c>
      <c r="BS928" s="43">
        <f>(Inventory[[#This Row],[Adjusted Total]]-Inventory[[#This Row],[24Final]])/Inventory[[#This Row],[24Final]]</f>
        <v>-1.6561964591661909E-2</v>
      </c>
    </row>
    <row r="929" spans="1:71">
      <c r="A929" s="30">
        <v>2025</v>
      </c>
      <c r="B929" s="31" t="s">
        <v>1444</v>
      </c>
      <c r="C929" s="31">
        <f>LN(Inventory[[#This Row],[Acres]])</f>
        <v>-1.8325814637483102</v>
      </c>
      <c r="D929" s="30">
        <v>0.16</v>
      </c>
      <c r="E929" s="30">
        <v>7045</v>
      </c>
      <c r="F929" s="31" t="s">
        <v>505</v>
      </c>
      <c r="G929" s="31" t="s">
        <v>155</v>
      </c>
      <c r="H929" s="31" t="s">
        <v>5</v>
      </c>
      <c r="I929" s="31" t="s">
        <v>506</v>
      </c>
      <c r="J929" s="31" t="s">
        <v>507</v>
      </c>
      <c r="K929" s="31" t="s">
        <v>193</v>
      </c>
      <c r="L929" s="31" t="s">
        <v>19</v>
      </c>
      <c r="M929" s="31" t="s">
        <v>20</v>
      </c>
      <c r="N929" s="31">
        <v>20</v>
      </c>
      <c r="O929" s="31">
        <f>2024-Inventory[[#This Row],[YrBlt]]</f>
        <v>20</v>
      </c>
      <c r="P929" s="31">
        <f>2024-Inventory[[#This Row],[EffYr]]</f>
        <v>20</v>
      </c>
      <c r="Q929" s="30">
        <v>2004</v>
      </c>
      <c r="R929" s="30">
        <v>2004</v>
      </c>
      <c r="S929" s="30">
        <v>1380</v>
      </c>
      <c r="T929" s="32"/>
      <c r="U929" s="32"/>
      <c r="V929" s="32"/>
      <c r="W929" s="32"/>
      <c r="X929" s="32">
        <f>Inventory[[#This Row],[Bsmt Area]]-Inventory[[#This Row],[FnBsmt]]</f>
        <v>0</v>
      </c>
      <c r="Y929" s="32">
        <f>Inventory[[#This Row],[MainFn]]+Inventory[[#This Row],[UpprFn]]+Inventory[[#This Row],[AddFn]]+Inventory[[#This Row],[FnBsmt]]</f>
        <v>1380</v>
      </c>
      <c r="Z929" s="32">
        <v>1500</v>
      </c>
      <c r="AA929" s="31" t="s">
        <v>56</v>
      </c>
      <c r="AB929" s="37"/>
      <c r="AC929" s="30">
        <v>428</v>
      </c>
      <c r="AD929" s="32"/>
      <c r="AE929" s="32"/>
      <c r="AF929" s="32"/>
      <c r="AG929" s="32"/>
      <c r="AH929" s="32"/>
      <c r="AI929" s="30">
        <v>275531</v>
      </c>
      <c r="AJ929" s="30">
        <v>250733</v>
      </c>
      <c r="AK929" s="30">
        <v>0</v>
      </c>
      <c r="AL929" s="30">
        <v>0</v>
      </c>
      <c r="AM929" s="30">
        <v>60800</v>
      </c>
      <c r="AN929" s="30">
        <v>289400</v>
      </c>
      <c r="AO929" s="30">
        <v>350200</v>
      </c>
      <c r="AP929" s="30">
        <f>Lookups!$B$58*0.6</f>
        <v>132535.48800000001</v>
      </c>
      <c r="AQ929" s="30">
        <f>Lookups!$B$58*0.4</f>
        <v>88356.992000000013</v>
      </c>
      <c r="AR929" s="30">
        <f>Lookups!$B$59*Inventory[[#This Row],[LnAcres]]</f>
        <v>-24051.387388882686</v>
      </c>
      <c r="AS929" s="30">
        <f>VLOOKUP(Inventory[[#This Row],[Qlty]],Lookups!$A$66:$E$79,2,FALSE)</f>
        <v>37154.252388000001</v>
      </c>
      <c r="AT929" s="30">
        <f>VLOOKUP(Inventory[[#This Row],[Cnd]],Lookups!$A$80:$E$88,2,FALSE)</f>
        <v>30300.329274</v>
      </c>
      <c r="AU929" s="30">
        <f>Inventory[[#This Row],[EffAge]]*Lookups!$B$65</f>
        <v>-2174.8220000000001</v>
      </c>
      <c r="AV929" s="30">
        <f>Inventory[[#This Row],[MainFn]]*Lookups!$B$90</f>
        <v>86126.324399999998</v>
      </c>
      <c r="AW929" s="30">
        <f>Inventory[[#This Row],[UpprFn]]*Lookups!$B$91</f>
        <v>0</v>
      </c>
      <c r="AX929" s="30">
        <f>Inventory[[#This Row],[Bsmt Area]]*Lookups!$B$95</f>
        <v>0</v>
      </c>
      <c r="AY929" s="30">
        <f>Inventory[[#This Row],[AttGar]]*Lookups!$B$93</f>
        <v>15108.841268</v>
      </c>
      <c r="AZ929" s="30">
        <f>ROUND(Inventory[[#This Row],[25Det]],-2)</f>
        <v>0</v>
      </c>
      <c r="BA929" s="30">
        <f>ROUND(SUM(Inventory[[#This Row],[Mdl Qlty]:[Mdl Garage Area]])+Inventory[[#This Row],[Mdl Res Intercept]],-2)</f>
        <v>299100</v>
      </c>
      <c r="BB929" s="30">
        <f>ROUND(Inventory[[#This Row],[Mdl Land Intercept]]+Inventory[[#This Row],[Mdl LnAcres]],-2)</f>
        <v>64300</v>
      </c>
      <c r="BC929" s="30">
        <f>Inventory[[#This Row],[Unadj Res Value]]+Inventory[[#This Row],[Unadj Det Value]]+Inventory[[#This Row],[Unadj Land Value]]</f>
        <v>363400</v>
      </c>
      <c r="BD929" s="30">
        <f>(Inventory[[#This Row],[Unadj Total Value]]-Inventory[[#This Row],[24Final]])/Inventory[[#This Row],[24Final]]</f>
        <v>3.7692747001713309E-2</v>
      </c>
      <c r="BE929" s="30">
        <f>VLOOKUP(Inventory[[#This Row],[Nbhd]],Lookups!$M$3:$P$5,4,FALSE)</f>
        <v>0.99970000000000003</v>
      </c>
      <c r="BF929" s="30">
        <f>VLOOKUP(Inventory[[#This Row],[Qlty]],Lookups!$M$8:$P$22,4,FALSE)</f>
        <v>0.99819999999999998</v>
      </c>
      <c r="BG929" s="30">
        <f>VLOOKUP(Inventory[[#This Row],[Cnd]],Lookups!$R$8:$U$17,4,FALSE)</f>
        <v>0.997</v>
      </c>
      <c r="BH929" s="30">
        <f>VLOOKUP(Inventory[[#This Row],[LivArea Range]],Lookups!$R$25:$U$43,4,FALSE)</f>
        <v>0.99519999999999997</v>
      </c>
      <c r="BI929" s="30">
        <f>VLOOKUP(Inventory[[#This Row],[Decade]],Lookups!$M$24:$P$40,4,FALSE)</f>
        <v>0.99560000000000004</v>
      </c>
      <c r="BJ929" s="30">
        <f>Inventory[[#This Row],[Nbhd Adj]]*0.95</f>
        <v>0.94971499999999998</v>
      </c>
      <c r="BK929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929" s="30">
        <f>ROUND((SUM(Inventory[[#This Row],[Mdl Qlty]:[Mdl Garage Area]])+Inventory[[#This Row],[Mdl Res Intercept]])*Inventory[[#This Row],[Res Adj ]],-2)</f>
        <v>283300</v>
      </c>
      <c r="BM929" s="30">
        <f>ROUND(Inventory[[#This Row],[25Det]]*Inventory[[#This Row],[Det/Nbhd Adj]],-2)</f>
        <v>0</v>
      </c>
      <c r="BN929" s="30">
        <f>Inventory[[#This Row],[Adjusted Res]]+Inventory[[#This Row],[Adj Det ]]</f>
        <v>283300</v>
      </c>
      <c r="BO929" s="30">
        <f>ROUND((Inventory[[#This Row],[Mdl Land Intercept]]+Inventory[[#This Row],[Mdl LnAcres]])*Inventory[[#This Row],[Det/Nbhd Adj]],-2)</f>
        <v>61100</v>
      </c>
      <c r="BP929" s="30">
        <f>Inventory[[#This Row],[Adjusted Impr Total]]+Inventory[[#This Row],[Adjusted Land Total]]</f>
        <v>344400</v>
      </c>
      <c r="BQ929" s="30">
        <f>IFERROR((Inventory[[#This Row],[Adjusted Impr Total]]-Inventory[[#This Row],[24Bldg]])/Inventory[[#This Row],[24Bldg]],0)</f>
        <v>-2.1078092605390463E-2</v>
      </c>
      <c r="BR929" s="43">
        <f>(Inventory[[#This Row],[Adjusted Land Total]]-Inventory[[#This Row],[24Lnd]])/Inventory[[#This Row],[24Lnd]]</f>
        <v>4.9342105263157892E-3</v>
      </c>
      <c r="BS929" s="43">
        <f>(Inventory[[#This Row],[Adjusted Total]]-Inventory[[#This Row],[24Final]])/Inventory[[#This Row],[24Final]]</f>
        <v>-1.6561964591661909E-2</v>
      </c>
    </row>
    <row r="930" spans="1:71">
      <c r="A930" s="30">
        <v>2025</v>
      </c>
      <c r="B930" s="31" t="s">
        <v>1445</v>
      </c>
      <c r="C930" s="31">
        <f>LN(Inventory[[#This Row],[Acres]])</f>
        <v>-1.8325814637483102</v>
      </c>
      <c r="D930" s="30">
        <v>0.16</v>
      </c>
      <c r="E930" s="30">
        <v>7134</v>
      </c>
      <c r="F930" s="31" t="s">
        <v>505</v>
      </c>
      <c r="G930" s="31" t="s">
        <v>155</v>
      </c>
      <c r="H930" s="31" t="s">
        <v>5</v>
      </c>
      <c r="I930" s="31" t="s">
        <v>506</v>
      </c>
      <c r="J930" s="31" t="s">
        <v>507</v>
      </c>
      <c r="K930" s="31" t="s">
        <v>193</v>
      </c>
      <c r="L930" s="31" t="s">
        <v>19</v>
      </c>
      <c r="M930" s="31" t="s">
        <v>20</v>
      </c>
      <c r="N930" s="31">
        <v>20</v>
      </c>
      <c r="O930" s="31">
        <f>2024-Inventory[[#This Row],[YrBlt]]</f>
        <v>20</v>
      </c>
      <c r="P930" s="31">
        <f>2024-Inventory[[#This Row],[EffYr]]</f>
        <v>20</v>
      </c>
      <c r="Q930" s="30">
        <v>2004</v>
      </c>
      <c r="R930" s="30">
        <v>2004</v>
      </c>
      <c r="S930" s="30">
        <v>1380</v>
      </c>
      <c r="T930" s="32"/>
      <c r="U930" s="32"/>
      <c r="V930" s="32"/>
      <c r="W930" s="32"/>
      <c r="X930" s="32">
        <f>Inventory[[#This Row],[Bsmt Area]]-Inventory[[#This Row],[FnBsmt]]</f>
        <v>0</v>
      </c>
      <c r="Y930" s="32">
        <f>Inventory[[#This Row],[MainFn]]+Inventory[[#This Row],[UpprFn]]+Inventory[[#This Row],[AddFn]]+Inventory[[#This Row],[FnBsmt]]</f>
        <v>1380</v>
      </c>
      <c r="Z930" s="32">
        <v>1500</v>
      </c>
      <c r="AA930" s="31" t="s">
        <v>56</v>
      </c>
      <c r="AB930" s="32"/>
      <c r="AC930" s="30">
        <v>428</v>
      </c>
      <c r="AD930" s="32"/>
      <c r="AE930" s="32"/>
      <c r="AF930" s="32"/>
      <c r="AG930" s="32"/>
      <c r="AH930" s="32"/>
      <c r="AI930" s="30">
        <v>275531</v>
      </c>
      <c r="AJ930" s="30">
        <v>250733</v>
      </c>
      <c r="AK930" s="30">
        <v>0</v>
      </c>
      <c r="AL930" s="30">
        <v>0</v>
      </c>
      <c r="AM930" s="30">
        <v>60800</v>
      </c>
      <c r="AN930" s="30">
        <v>289400</v>
      </c>
      <c r="AO930" s="30">
        <v>350200</v>
      </c>
      <c r="AP930" s="30">
        <f>Lookups!$B$58*0.6</f>
        <v>132535.48800000001</v>
      </c>
      <c r="AQ930" s="30">
        <f>Lookups!$B$58*0.4</f>
        <v>88356.992000000013</v>
      </c>
      <c r="AR930" s="30">
        <f>Lookups!$B$59*Inventory[[#This Row],[LnAcres]]</f>
        <v>-24051.387388882686</v>
      </c>
      <c r="AS930" s="30">
        <f>VLOOKUP(Inventory[[#This Row],[Qlty]],Lookups!$A$66:$E$79,2,FALSE)</f>
        <v>37154.252388000001</v>
      </c>
      <c r="AT930" s="30">
        <f>VLOOKUP(Inventory[[#This Row],[Cnd]],Lookups!$A$80:$E$88,2,FALSE)</f>
        <v>30300.329274</v>
      </c>
      <c r="AU930" s="30">
        <f>Inventory[[#This Row],[EffAge]]*Lookups!$B$65</f>
        <v>-2174.8220000000001</v>
      </c>
      <c r="AV930" s="30">
        <f>Inventory[[#This Row],[MainFn]]*Lookups!$B$90</f>
        <v>86126.324399999998</v>
      </c>
      <c r="AW930" s="30">
        <f>Inventory[[#This Row],[UpprFn]]*Lookups!$B$91</f>
        <v>0</v>
      </c>
      <c r="AX930" s="30">
        <f>Inventory[[#This Row],[Bsmt Area]]*Lookups!$B$95</f>
        <v>0</v>
      </c>
      <c r="AY930" s="30">
        <f>Inventory[[#This Row],[AttGar]]*Lookups!$B$93</f>
        <v>15108.841268</v>
      </c>
      <c r="AZ930" s="30">
        <f>ROUND(Inventory[[#This Row],[25Det]],-2)</f>
        <v>0</v>
      </c>
      <c r="BA930" s="30">
        <f>ROUND(SUM(Inventory[[#This Row],[Mdl Qlty]:[Mdl Garage Area]])+Inventory[[#This Row],[Mdl Res Intercept]],-2)</f>
        <v>299100</v>
      </c>
      <c r="BB930" s="30">
        <f>ROUND(Inventory[[#This Row],[Mdl Land Intercept]]+Inventory[[#This Row],[Mdl LnAcres]],-2)</f>
        <v>64300</v>
      </c>
      <c r="BC930" s="30">
        <f>Inventory[[#This Row],[Unadj Res Value]]+Inventory[[#This Row],[Unadj Det Value]]+Inventory[[#This Row],[Unadj Land Value]]</f>
        <v>363400</v>
      </c>
      <c r="BD930" s="30">
        <f>(Inventory[[#This Row],[Unadj Total Value]]-Inventory[[#This Row],[24Final]])/Inventory[[#This Row],[24Final]]</f>
        <v>3.7692747001713309E-2</v>
      </c>
      <c r="BE930" s="30">
        <f>VLOOKUP(Inventory[[#This Row],[Nbhd]],Lookups!$M$3:$P$5,4,FALSE)</f>
        <v>0.99970000000000003</v>
      </c>
      <c r="BF930" s="30">
        <f>VLOOKUP(Inventory[[#This Row],[Qlty]],Lookups!$M$8:$P$22,4,FALSE)</f>
        <v>0.99819999999999998</v>
      </c>
      <c r="BG930" s="30">
        <f>VLOOKUP(Inventory[[#This Row],[Cnd]],Lookups!$R$8:$U$17,4,FALSE)</f>
        <v>0.997</v>
      </c>
      <c r="BH930" s="30">
        <f>VLOOKUP(Inventory[[#This Row],[LivArea Range]],Lookups!$R$25:$U$43,4,FALSE)</f>
        <v>0.99519999999999997</v>
      </c>
      <c r="BI930" s="30">
        <f>VLOOKUP(Inventory[[#This Row],[Decade]],Lookups!$M$24:$P$40,4,FALSE)</f>
        <v>0.99560000000000004</v>
      </c>
      <c r="BJ930" s="30">
        <f>Inventory[[#This Row],[Nbhd Adj]]*0.95</f>
        <v>0.94971499999999998</v>
      </c>
      <c r="BK930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930" s="30">
        <f>ROUND((SUM(Inventory[[#This Row],[Mdl Qlty]:[Mdl Garage Area]])+Inventory[[#This Row],[Mdl Res Intercept]])*Inventory[[#This Row],[Res Adj ]],-2)</f>
        <v>283300</v>
      </c>
      <c r="BM930" s="30">
        <f>ROUND(Inventory[[#This Row],[25Det]]*Inventory[[#This Row],[Det/Nbhd Adj]],-2)</f>
        <v>0</v>
      </c>
      <c r="BN930" s="30">
        <f>Inventory[[#This Row],[Adjusted Res]]+Inventory[[#This Row],[Adj Det ]]</f>
        <v>283300</v>
      </c>
      <c r="BO930" s="30">
        <f>ROUND((Inventory[[#This Row],[Mdl Land Intercept]]+Inventory[[#This Row],[Mdl LnAcres]])*Inventory[[#This Row],[Det/Nbhd Adj]],-2)</f>
        <v>61100</v>
      </c>
      <c r="BP930" s="30">
        <f>Inventory[[#This Row],[Adjusted Impr Total]]+Inventory[[#This Row],[Adjusted Land Total]]</f>
        <v>344400</v>
      </c>
      <c r="BQ930" s="30">
        <f>IFERROR((Inventory[[#This Row],[Adjusted Impr Total]]-Inventory[[#This Row],[24Bldg]])/Inventory[[#This Row],[24Bldg]],0)</f>
        <v>-2.1078092605390463E-2</v>
      </c>
      <c r="BR930" s="43">
        <f>(Inventory[[#This Row],[Adjusted Land Total]]-Inventory[[#This Row],[24Lnd]])/Inventory[[#This Row],[24Lnd]]</f>
        <v>4.9342105263157892E-3</v>
      </c>
      <c r="BS930" s="43">
        <f>(Inventory[[#This Row],[Adjusted Total]]-Inventory[[#This Row],[24Final]])/Inventory[[#This Row],[24Final]]</f>
        <v>-1.6561964591661909E-2</v>
      </c>
    </row>
    <row r="931" spans="1:71">
      <c r="A931" s="30">
        <v>2025</v>
      </c>
      <c r="B931" s="31" t="s">
        <v>1446</v>
      </c>
      <c r="C931" s="31">
        <f>LN(Inventory[[#This Row],[Acres]])</f>
        <v>-1.8325814637483102</v>
      </c>
      <c r="D931" s="30">
        <v>0.16</v>
      </c>
      <c r="E931" s="30">
        <v>7148</v>
      </c>
      <c r="F931" s="31" t="s">
        <v>505</v>
      </c>
      <c r="G931" s="31" t="s">
        <v>155</v>
      </c>
      <c r="H931" s="31" t="s">
        <v>5</v>
      </c>
      <c r="I931" s="31" t="s">
        <v>506</v>
      </c>
      <c r="J931" s="31" t="s">
        <v>507</v>
      </c>
      <c r="K931" s="31" t="s">
        <v>193</v>
      </c>
      <c r="L931" s="31" t="s">
        <v>19</v>
      </c>
      <c r="M931" s="31" t="s">
        <v>20</v>
      </c>
      <c r="N931" s="31">
        <v>20</v>
      </c>
      <c r="O931" s="31">
        <f>2024-Inventory[[#This Row],[YrBlt]]</f>
        <v>20</v>
      </c>
      <c r="P931" s="31">
        <f>2024-Inventory[[#This Row],[EffYr]]</f>
        <v>20</v>
      </c>
      <c r="Q931" s="30">
        <v>2004</v>
      </c>
      <c r="R931" s="30">
        <v>2004</v>
      </c>
      <c r="S931" s="30">
        <v>1380</v>
      </c>
      <c r="T931" s="32"/>
      <c r="U931" s="32"/>
      <c r="V931" s="32"/>
      <c r="W931" s="32"/>
      <c r="X931" s="32">
        <f>Inventory[[#This Row],[Bsmt Area]]-Inventory[[#This Row],[FnBsmt]]</f>
        <v>0</v>
      </c>
      <c r="Y931" s="32">
        <f>Inventory[[#This Row],[MainFn]]+Inventory[[#This Row],[UpprFn]]+Inventory[[#This Row],[AddFn]]+Inventory[[#This Row],[FnBsmt]]</f>
        <v>1380</v>
      </c>
      <c r="Z931" s="32">
        <v>1500</v>
      </c>
      <c r="AA931" s="31" t="s">
        <v>56</v>
      </c>
      <c r="AB931" s="38">
        <v>1</v>
      </c>
      <c r="AC931" s="30">
        <v>428</v>
      </c>
      <c r="AD931" s="32"/>
      <c r="AE931" s="32"/>
      <c r="AF931" s="32"/>
      <c r="AG931" s="32"/>
      <c r="AH931" s="32"/>
      <c r="AI931" s="30">
        <v>281927</v>
      </c>
      <c r="AJ931" s="30">
        <v>256554</v>
      </c>
      <c r="AK931" s="30">
        <v>0</v>
      </c>
      <c r="AL931" s="30">
        <v>0</v>
      </c>
      <c r="AM931" s="30">
        <v>60800</v>
      </c>
      <c r="AN931" s="30">
        <v>289400</v>
      </c>
      <c r="AO931" s="30">
        <v>350200</v>
      </c>
      <c r="AP931" s="30">
        <f>Lookups!$B$58*0.6</f>
        <v>132535.48800000001</v>
      </c>
      <c r="AQ931" s="30">
        <f>Lookups!$B$58*0.4</f>
        <v>88356.992000000013</v>
      </c>
      <c r="AR931" s="30">
        <f>Lookups!$B$59*Inventory[[#This Row],[LnAcres]]</f>
        <v>-24051.387388882686</v>
      </c>
      <c r="AS931" s="30">
        <f>VLOOKUP(Inventory[[#This Row],[Qlty]],Lookups!$A$66:$E$79,2,FALSE)</f>
        <v>37154.252388000001</v>
      </c>
      <c r="AT931" s="30">
        <f>VLOOKUP(Inventory[[#This Row],[Cnd]],Lookups!$A$80:$E$88,2,FALSE)</f>
        <v>30300.329274</v>
      </c>
      <c r="AU931" s="30">
        <f>Inventory[[#This Row],[EffAge]]*Lookups!$B$65</f>
        <v>-2174.8220000000001</v>
      </c>
      <c r="AV931" s="30">
        <f>Inventory[[#This Row],[MainFn]]*Lookups!$B$90</f>
        <v>86126.324399999998</v>
      </c>
      <c r="AW931" s="30">
        <f>Inventory[[#This Row],[UpprFn]]*Lookups!$B$91</f>
        <v>0</v>
      </c>
      <c r="AX931" s="30">
        <f>Inventory[[#This Row],[Bsmt Area]]*Lookups!$B$95</f>
        <v>0</v>
      </c>
      <c r="AY931" s="30">
        <f>Inventory[[#This Row],[AttGar]]*Lookups!$B$93</f>
        <v>15108.841268</v>
      </c>
      <c r="AZ931" s="30">
        <f>ROUND(Inventory[[#This Row],[25Det]],-2)</f>
        <v>0</v>
      </c>
      <c r="BA931" s="30">
        <f>ROUND(SUM(Inventory[[#This Row],[Mdl Qlty]:[Mdl Garage Area]])+Inventory[[#This Row],[Mdl Res Intercept]],-2)</f>
        <v>299100</v>
      </c>
      <c r="BB931" s="30">
        <f>ROUND(Inventory[[#This Row],[Mdl Land Intercept]]+Inventory[[#This Row],[Mdl LnAcres]],-2)</f>
        <v>64300</v>
      </c>
      <c r="BC931" s="30">
        <f>Inventory[[#This Row],[Unadj Res Value]]+Inventory[[#This Row],[Unadj Det Value]]+Inventory[[#This Row],[Unadj Land Value]]</f>
        <v>363400</v>
      </c>
      <c r="BD931" s="30">
        <f>(Inventory[[#This Row],[Unadj Total Value]]-Inventory[[#This Row],[24Final]])/Inventory[[#This Row],[24Final]]</f>
        <v>3.7692747001713309E-2</v>
      </c>
      <c r="BE931" s="30">
        <f>VLOOKUP(Inventory[[#This Row],[Nbhd]],Lookups!$M$3:$P$5,4,FALSE)</f>
        <v>0.99970000000000003</v>
      </c>
      <c r="BF931" s="30">
        <f>VLOOKUP(Inventory[[#This Row],[Qlty]],Lookups!$M$8:$P$22,4,FALSE)</f>
        <v>0.99819999999999998</v>
      </c>
      <c r="BG931" s="30">
        <f>VLOOKUP(Inventory[[#This Row],[Cnd]],Lookups!$R$8:$U$17,4,FALSE)</f>
        <v>0.997</v>
      </c>
      <c r="BH931" s="30">
        <f>VLOOKUP(Inventory[[#This Row],[LivArea Range]],Lookups!$R$25:$U$43,4,FALSE)</f>
        <v>0.99519999999999997</v>
      </c>
      <c r="BI931" s="30">
        <f>VLOOKUP(Inventory[[#This Row],[Decade]],Lookups!$M$24:$P$40,4,FALSE)</f>
        <v>0.99560000000000004</v>
      </c>
      <c r="BJ931" s="30">
        <f>Inventory[[#This Row],[Nbhd Adj]]*0.95</f>
        <v>0.94971499999999998</v>
      </c>
      <c r="BK931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931" s="30">
        <f>ROUND((SUM(Inventory[[#This Row],[Mdl Qlty]:[Mdl Garage Area]])+Inventory[[#This Row],[Mdl Res Intercept]])*Inventory[[#This Row],[Res Adj ]],-2)</f>
        <v>283300</v>
      </c>
      <c r="BM931" s="30">
        <f>ROUND(Inventory[[#This Row],[25Det]]*Inventory[[#This Row],[Det/Nbhd Adj]],-2)</f>
        <v>0</v>
      </c>
      <c r="BN931" s="30">
        <f>Inventory[[#This Row],[Adjusted Res]]+Inventory[[#This Row],[Adj Det ]]</f>
        <v>283300</v>
      </c>
      <c r="BO931" s="30">
        <f>ROUND((Inventory[[#This Row],[Mdl Land Intercept]]+Inventory[[#This Row],[Mdl LnAcres]])*Inventory[[#This Row],[Det/Nbhd Adj]],-2)</f>
        <v>61100</v>
      </c>
      <c r="BP931" s="30">
        <f>Inventory[[#This Row],[Adjusted Impr Total]]+Inventory[[#This Row],[Adjusted Land Total]]</f>
        <v>344400</v>
      </c>
      <c r="BQ931" s="30">
        <f>IFERROR((Inventory[[#This Row],[Adjusted Impr Total]]-Inventory[[#This Row],[24Bldg]])/Inventory[[#This Row],[24Bldg]],0)</f>
        <v>-2.1078092605390463E-2</v>
      </c>
      <c r="BR931" s="43">
        <f>(Inventory[[#This Row],[Adjusted Land Total]]-Inventory[[#This Row],[24Lnd]])/Inventory[[#This Row],[24Lnd]]</f>
        <v>4.9342105263157892E-3</v>
      </c>
      <c r="BS931" s="43">
        <f>(Inventory[[#This Row],[Adjusted Total]]-Inventory[[#This Row],[24Final]])/Inventory[[#This Row],[24Final]]</f>
        <v>-1.6561964591661909E-2</v>
      </c>
    </row>
    <row r="932" spans="1:71">
      <c r="A932" s="30">
        <v>2025</v>
      </c>
      <c r="B932" s="31" t="s">
        <v>1447</v>
      </c>
      <c r="C932" s="31">
        <f>LN(Inventory[[#This Row],[Acres]])</f>
        <v>-1.8325814637483102</v>
      </c>
      <c r="D932" s="30">
        <v>0.16</v>
      </c>
      <c r="E932" s="30">
        <v>7090</v>
      </c>
      <c r="F932" s="31" t="s">
        <v>505</v>
      </c>
      <c r="G932" s="31" t="s">
        <v>155</v>
      </c>
      <c r="H932" s="31" t="s">
        <v>5</v>
      </c>
      <c r="I932" s="31" t="s">
        <v>506</v>
      </c>
      <c r="J932" s="31" t="s">
        <v>507</v>
      </c>
      <c r="K932" s="31" t="s">
        <v>157</v>
      </c>
      <c r="L932" s="31" t="s">
        <v>19</v>
      </c>
      <c r="M932" s="31" t="s">
        <v>22</v>
      </c>
      <c r="N932" s="31">
        <v>20</v>
      </c>
      <c r="O932" s="31">
        <f>2024-Inventory[[#This Row],[YrBlt]]</f>
        <v>20</v>
      </c>
      <c r="P932" s="31">
        <f>2024-Inventory[[#This Row],[EffYr]]</f>
        <v>20</v>
      </c>
      <c r="Q932" s="30">
        <v>2004</v>
      </c>
      <c r="R932" s="30">
        <v>2004</v>
      </c>
      <c r="S932" s="30">
        <v>1076</v>
      </c>
      <c r="T932" s="32"/>
      <c r="U932" s="32"/>
      <c r="V932" s="32"/>
      <c r="W932" s="32"/>
      <c r="X932" s="32">
        <f>Inventory[[#This Row],[Bsmt Area]]-Inventory[[#This Row],[FnBsmt]]</f>
        <v>0</v>
      </c>
      <c r="Y932" s="32">
        <f>Inventory[[#This Row],[MainFn]]+Inventory[[#This Row],[UpprFn]]+Inventory[[#This Row],[AddFn]]+Inventory[[#This Row],[FnBsmt]]</f>
        <v>1076</v>
      </c>
      <c r="Z932" s="32">
        <v>1500</v>
      </c>
      <c r="AA932" s="31" t="s">
        <v>56</v>
      </c>
      <c r="AB932" s="32"/>
      <c r="AC932" s="30">
        <v>440</v>
      </c>
      <c r="AD932" s="32"/>
      <c r="AE932" s="32"/>
      <c r="AF932" s="32"/>
      <c r="AG932" s="32"/>
      <c r="AH932" s="32"/>
      <c r="AI932" s="30">
        <v>229055</v>
      </c>
      <c r="AJ932" s="30">
        <v>210731</v>
      </c>
      <c r="AK932" s="30">
        <v>0</v>
      </c>
      <c r="AL932" s="30">
        <v>0</v>
      </c>
      <c r="AM932" s="30">
        <v>60800</v>
      </c>
      <c r="AN932" s="30">
        <v>290600</v>
      </c>
      <c r="AO932" s="30">
        <v>351400</v>
      </c>
      <c r="AP932" s="30">
        <f>Lookups!$B$58*0.6</f>
        <v>132535.48800000001</v>
      </c>
      <c r="AQ932" s="30">
        <f>Lookups!$B$58*0.4</f>
        <v>88356.992000000013</v>
      </c>
      <c r="AR932" s="30">
        <f>Lookups!$B$59*Inventory[[#This Row],[LnAcres]]</f>
        <v>-24051.387388882686</v>
      </c>
      <c r="AS932" s="30">
        <f>VLOOKUP(Inventory[[#This Row],[Qlty]],Lookups!$A$66:$E$79,2,FALSE)</f>
        <v>37154.252388000001</v>
      </c>
      <c r="AT932" s="30">
        <f>VLOOKUP(Inventory[[#This Row],[Cnd]],Lookups!$A$80:$E$88,2,FALSE)</f>
        <v>50438.379078999998</v>
      </c>
      <c r="AU932" s="30">
        <f>Inventory[[#This Row],[EffAge]]*Lookups!$B$65</f>
        <v>-2174.8220000000001</v>
      </c>
      <c r="AV932" s="30">
        <f>Inventory[[#This Row],[MainFn]]*Lookups!$B$90</f>
        <v>67153.568880000006</v>
      </c>
      <c r="AW932" s="30">
        <f>Inventory[[#This Row],[UpprFn]]*Lookups!$B$91</f>
        <v>0</v>
      </c>
      <c r="AX932" s="30">
        <f>Inventory[[#This Row],[Bsmt Area]]*Lookups!$B$95</f>
        <v>0</v>
      </c>
      <c r="AY932" s="30">
        <f>Inventory[[#This Row],[AttGar]]*Lookups!$B$93</f>
        <v>15532.453640000002</v>
      </c>
      <c r="AZ932" s="30">
        <f>ROUND(Inventory[[#This Row],[25Det]],-2)</f>
        <v>0</v>
      </c>
      <c r="BA932" s="30">
        <f>ROUND(SUM(Inventory[[#This Row],[Mdl Qlty]:[Mdl Garage Area]])+Inventory[[#This Row],[Mdl Res Intercept]],-2)</f>
        <v>300600</v>
      </c>
      <c r="BB932" s="30">
        <f>ROUND(Inventory[[#This Row],[Mdl Land Intercept]]+Inventory[[#This Row],[Mdl LnAcres]],-2)</f>
        <v>64300</v>
      </c>
      <c r="BC932" s="30">
        <f>Inventory[[#This Row],[Unadj Res Value]]+Inventory[[#This Row],[Unadj Det Value]]+Inventory[[#This Row],[Unadj Land Value]]</f>
        <v>364900</v>
      </c>
      <c r="BD932" s="30">
        <f>(Inventory[[#This Row],[Unadj Total Value]]-Inventory[[#This Row],[24Final]])/Inventory[[#This Row],[24Final]]</f>
        <v>3.8417757541263517E-2</v>
      </c>
      <c r="BE932" s="30">
        <f>VLOOKUP(Inventory[[#This Row],[Nbhd]],Lookups!$M$3:$P$5,4,FALSE)</f>
        <v>0.99970000000000003</v>
      </c>
      <c r="BF932" s="30">
        <f>VLOOKUP(Inventory[[#This Row],[Qlty]],Lookups!$M$8:$P$22,4,FALSE)</f>
        <v>0.99819999999999998</v>
      </c>
      <c r="BG932" s="30">
        <f>VLOOKUP(Inventory[[#This Row],[Cnd]],Lookups!$R$8:$U$17,4,FALSE)</f>
        <v>1.0007999999999999</v>
      </c>
      <c r="BH932" s="30">
        <f>VLOOKUP(Inventory[[#This Row],[LivArea Range]],Lookups!$R$25:$U$43,4,FALSE)</f>
        <v>0.99519999999999997</v>
      </c>
      <c r="BI932" s="30">
        <f>VLOOKUP(Inventory[[#This Row],[Decade]],Lookups!$M$24:$P$40,4,FALSE)</f>
        <v>0.99560000000000004</v>
      </c>
      <c r="BJ932" s="30">
        <f>Inventory[[#This Row],[Nbhd Adj]]*0.95</f>
        <v>0.94971499999999998</v>
      </c>
      <c r="BK932" s="30">
        <f>AVERAGE(Inventory[[#This Row],[Nbhd Adj]],Inventory[[#This Row],[Quality Adj]],Inventory[[#This Row],[Condition Adj]],Inventory[[#This Row],[Living Area Adj]],Inventory[[#This Row],[Decade Adj]])*0.95</f>
        <v>0.94800499999999988</v>
      </c>
      <c r="BL932" s="30">
        <f>ROUND((SUM(Inventory[[#This Row],[Mdl Qlty]:[Mdl Garage Area]])+Inventory[[#This Row],[Mdl Res Intercept]])*Inventory[[#This Row],[Res Adj ]],-2)</f>
        <v>285000</v>
      </c>
      <c r="BM932" s="30">
        <f>ROUND(Inventory[[#This Row],[25Det]]*Inventory[[#This Row],[Det/Nbhd Adj]],-2)</f>
        <v>0</v>
      </c>
      <c r="BN932" s="30">
        <f>Inventory[[#This Row],[Adjusted Res]]+Inventory[[#This Row],[Adj Det ]]</f>
        <v>285000</v>
      </c>
      <c r="BO932" s="30">
        <f>ROUND((Inventory[[#This Row],[Mdl Land Intercept]]+Inventory[[#This Row],[Mdl LnAcres]])*Inventory[[#This Row],[Det/Nbhd Adj]],-2)</f>
        <v>61100</v>
      </c>
      <c r="BP932" s="30">
        <f>Inventory[[#This Row],[Adjusted Impr Total]]+Inventory[[#This Row],[Adjusted Land Total]]</f>
        <v>346100</v>
      </c>
      <c r="BQ932" s="30">
        <f>IFERROR((Inventory[[#This Row],[Adjusted Impr Total]]-Inventory[[#This Row],[24Bldg]])/Inventory[[#This Row],[24Bldg]],0)</f>
        <v>-1.9270474879559532E-2</v>
      </c>
      <c r="BR932" s="43">
        <f>(Inventory[[#This Row],[Adjusted Land Total]]-Inventory[[#This Row],[24Lnd]])/Inventory[[#This Row],[24Lnd]]</f>
        <v>4.9342105263157892E-3</v>
      </c>
      <c r="BS932" s="43">
        <f>(Inventory[[#This Row],[Adjusted Total]]-Inventory[[#This Row],[24Final]])/Inventory[[#This Row],[24Final]]</f>
        <v>-1.508252703471827E-2</v>
      </c>
    </row>
    <row r="933" spans="1:71">
      <c r="A933" s="30">
        <v>2025</v>
      </c>
      <c r="B933" s="31" t="s">
        <v>1448</v>
      </c>
      <c r="C933" s="31">
        <f>LN(Inventory[[#This Row],[Acres]])</f>
        <v>-1.8325814637483102</v>
      </c>
      <c r="D933" s="30">
        <v>0.16</v>
      </c>
      <c r="E933" s="30">
        <v>7133</v>
      </c>
      <c r="F933" s="31" t="s">
        <v>505</v>
      </c>
      <c r="G933" s="31" t="s">
        <v>155</v>
      </c>
      <c r="H933" s="31" t="s">
        <v>5</v>
      </c>
      <c r="I933" s="31" t="s">
        <v>506</v>
      </c>
      <c r="J933" s="31" t="s">
        <v>507</v>
      </c>
      <c r="K933" s="31" t="s">
        <v>193</v>
      </c>
      <c r="L933" s="31" t="s">
        <v>19</v>
      </c>
      <c r="M933" s="31" t="s">
        <v>22</v>
      </c>
      <c r="N933" s="31">
        <v>20</v>
      </c>
      <c r="O933" s="31">
        <f>2024-Inventory[[#This Row],[YrBlt]]</f>
        <v>20</v>
      </c>
      <c r="P933" s="31">
        <f>2024-Inventory[[#This Row],[EffYr]]</f>
        <v>20</v>
      </c>
      <c r="Q933" s="30">
        <v>2004</v>
      </c>
      <c r="R933" s="30">
        <v>2004</v>
      </c>
      <c r="S933" s="30">
        <v>1076</v>
      </c>
      <c r="T933" s="32"/>
      <c r="U933" s="32"/>
      <c r="V933" s="32"/>
      <c r="W933" s="32"/>
      <c r="X933" s="32">
        <f>Inventory[[#This Row],[Bsmt Area]]-Inventory[[#This Row],[FnBsmt]]</f>
        <v>0</v>
      </c>
      <c r="Y933" s="32">
        <f>Inventory[[#This Row],[MainFn]]+Inventory[[#This Row],[UpprFn]]+Inventory[[#This Row],[AddFn]]+Inventory[[#This Row],[FnBsmt]]</f>
        <v>1076</v>
      </c>
      <c r="Z933" s="32">
        <v>1500</v>
      </c>
      <c r="AA933" s="31" t="s">
        <v>56</v>
      </c>
      <c r="AB933" s="37"/>
      <c r="AC933" s="30">
        <v>440</v>
      </c>
      <c r="AD933" s="32"/>
      <c r="AE933" s="32"/>
      <c r="AF933" s="32"/>
      <c r="AG933" s="32"/>
      <c r="AH933" s="32"/>
      <c r="AI933" s="30">
        <v>227830</v>
      </c>
      <c r="AJ933" s="30">
        <v>209604</v>
      </c>
      <c r="AK933" s="30">
        <v>0</v>
      </c>
      <c r="AL933" s="30">
        <v>0</v>
      </c>
      <c r="AM933" s="30">
        <v>60800</v>
      </c>
      <c r="AN933" s="30">
        <v>290600</v>
      </c>
      <c r="AO933" s="30">
        <v>351400</v>
      </c>
      <c r="AP933" s="30">
        <f>Lookups!$B$58*0.6</f>
        <v>132535.48800000001</v>
      </c>
      <c r="AQ933" s="30">
        <f>Lookups!$B$58*0.4</f>
        <v>88356.992000000013</v>
      </c>
      <c r="AR933" s="30">
        <f>Lookups!$B$59*Inventory[[#This Row],[LnAcres]]</f>
        <v>-24051.387388882686</v>
      </c>
      <c r="AS933" s="30">
        <f>VLOOKUP(Inventory[[#This Row],[Qlty]],Lookups!$A$66:$E$79,2,FALSE)</f>
        <v>37154.252388000001</v>
      </c>
      <c r="AT933" s="30">
        <f>VLOOKUP(Inventory[[#This Row],[Cnd]],Lookups!$A$80:$E$88,2,FALSE)</f>
        <v>50438.379078999998</v>
      </c>
      <c r="AU933" s="30">
        <f>Inventory[[#This Row],[EffAge]]*Lookups!$B$65</f>
        <v>-2174.8220000000001</v>
      </c>
      <c r="AV933" s="30">
        <f>Inventory[[#This Row],[MainFn]]*Lookups!$B$90</f>
        <v>67153.568880000006</v>
      </c>
      <c r="AW933" s="30">
        <f>Inventory[[#This Row],[UpprFn]]*Lookups!$B$91</f>
        <v>0</v>
      </c>
      <c r="AX933" s="30">
        <f>Inventory[[#This Row],[Bsmt Area]]*Lookups!$B$95</f>
        <v>0</v>
      </c>
      <c r="AY933" s="30">
        <f>Inventory[[#This Row],[AttGar]]*Lookups!$B$93</f>
        <v>15532.453640000002</v>
      </c>
      <c r="AZ933" s="30">
        <f>ROUND(Inventory[[#This Row],[25Det]],-2)</f>
        <v>0</v>
      </c>
      <c r="BA933" s="30">
        <f>ROUND(SUM(Inventory[[#This Row],[Mdl Qlty]:[Mdl Garage Area]])+Inventory[[#This Row],[Mdl Res Intercept]],-2)</f>
        <v>300600</v>
      </c>
      <c r="BB933" s="30">
        <f>ROUND(Inventory[[#This Row],[Mdl Land Intercept]]+Inventory[[#This Row],[Mdl LnAcres]],-2)</f>
        <v>64300</v>
      </c>
      <c r="BC933" s="30">
        <f>Inventory[[#This Row],[Unadj Res Value]]+Inventory[[#This Row],[Unadj Det Value]]+Inventory[[#This Row],[Unadj Land Value]]</f>
        <v>364900</v>
      </c>
      <c r="BD933" s="30">
        <f>(Inventory[[#This Row],[Unadj Total Value]]-Inventory[[#This Row],[24Final]])/Inventory[[#This Row],[24Final]]</f>
        <v>3.8417757541263517E-2</v>
      </c>
      <c r="BE933" s="30">
        <f>VLOOKUP(Inventory[[#This Row],[Nbhd]],Lookups!$M$3:$P$5,4,FALSE)</f>
        <v>0.99970000000000003</v>
      </c>
      <c r="BF933" s="30">
        <f>VLOOKUP(Inventory[[#This Row],[Qlty]],Lookups!$M$8:$P$22,4,FALSE)</f>
        <v>0.99819999999999998</v>
      </c>
      <c r="BG933" s="30">
        <f>VLOOKUP(Inventory[[#This Row],[Cnd]],Lookups!$R$8:$U$17,4,FALSE)</f>
        <v>1.0007999999999999</v>
      </c>
      <c r="BH933" s="30">
        <f>VLOOKUP(Inventory[[#This Row],[LivArea Range]],Lookups!$R$25:$U$43,4,FALSE)</f>
        <v>0.99519999999999997</v>
      </c>
      <c r="BI933" s="30">
        <f>VLOOKUP(Inventory[[#This Row],[Decade]],Lookups!$M$24:$P$40,4,FALSE)</f>
        <v>0.99560000000000004</v>
      </c>
      <c r="BJ933" s="30">
        <f>Inventory[[#This Row],[Nbhd Adj]]*0.95</f>
        <v>0.94971499999999998</v>
      </c>
      <c r="BK933" s="30">
        <f>AVERAGE(Inventory[[#This Row],[Nbhd Adj]],Inventory[[#This Row],[Quality Adj]],Inventory[[#This Row],[Condition Adj]],Inventory[[#This Row],[Living Area Adj]],Inventory[[#This Row],[Decade Adj]])*0.95</f>
        <v>0.94800499999999988</v>
      </c>
      <c r="BL933" s="30">
        <f>ROUND((SUM(Inventory[[#This Row],[Mdl Qlty]:[Mdl Garage Area]])+Inventory[[#This Row],[Mdl Res Intercept]])*Inventory[[#This Row],[Res Adj ]],-2)</f>
        <v>285000</v>
      </c>
      <c r="BM933" s="30">
        <f>ROUND(Inventory[[#This Row],[25Det]]*Inventory[[#This Row],[Det/Nbhd Adj]],-2)</f>
        <v>0</v>
      </c>
      <c r="BN933" s="30">
        <f>Inventory[[#This Row],[Adjusted Res]]+Inventory[[#This Row],[Adj Det ]]</f>
        <v>285000</v>
      </c>
      <c r="BO933" s="30">
        <f>ROUND((Inventory[[#This Row],[Mdl Land Intercept]]+Inventory[[#This Row],[Mdl LnAcres]])*Inventory[[#This Row],[Det/Nbhd Adj]],-2)</f>
        <v>61100</v>
      </c>
      <c r="BP933" s="30">
        <f>Inventory[[#This Row],[Adjusted Impr Total]]+Inventory[[#This Row],[Adjusted Land Total]]</f>
        <v>346100</v>
      </c>
      <c r="BQ933" s="30">
        <f>IFERROR((Inventory[[#This Row],[Adjusted Impr Total]]-Inventory[[#This Row],[24Bldg]])/Inventory[[#This Row],[24Bldg]],0)</f>
        <v>-1.9270474879559532E-2</v>
      </c>
      <c r="BR933" s="43">
        <f>(Inventory[[#This Row],[Adjusted Land Total]]-Inventory[[#This Row],[24Lnd]])/Inventory[[#This Row],[24Lnd]]</f>
        <v>4.9342105263157892E-3</v>
      </c>
      <c r="BS933" s="43">
        <f>(Inventory[[#This Row],[Adjusted Total]]-Inventory[[#This Row],[24Final]])/Inventory[[#This Row],[24Final]]</f>
        <v>-1.508252703471827E-2</v>
      </c>
    </row>
    <row r="934" spans="1:71">
      <c r="A934" s="30">
        <v>2025</v>
      </c>
      <c r="B934" s="31" t="s">
        <v>1449</v>
      </c>
      <c r="C934" s="31">
        <f>LN(Inventory[[#This Row],[Acres]])</f>
        <v>-1.8325814637483102</v>
      </c>
      <c r="D934" s="30">
        <v>0.16</v>
      </c>
      <c r="E934" s="30">
        <v>7000</v>
      </c>
      <c r="F934" s="31" t="s">
        <v>505</v>
      </c>
      <c r="G934" s="31" t="s">
        <v>155</v>
      </c>
      <c r="H934" s="31" t="s">
        <v>5</v>
      </c>
      <c r="I934" s="31" t="s">
        <v>506</v>
      </c>
      <c r="J934" s="31" t="s">
        <v>507</v>
      </c>
      <c r="K934" s="31" t="s">
        <v>193</v>
      </c>
      <c r="L934" s="31" t="s">
        <v>19</v>
      </c>
      <c r="M934" s="31" t="s">
        <v>22</v>
      </c>
      <c r="N934" s="31">
        <v>20</v>
      </c>
      <c r="O934" s="31">
        <f>2024-Inventory[[#This Row],[YrBlt]]</f>
        <v>20</v>
      </c>
      <c r="P934" s="31">
        <f>2024-Inventory[[#This Row],[EffYr]]</f>
        <v>20</v>
      </c>
      <c r="Q934" s="30">
        <v>2004</v>
      </c>
      <c r="R934" s="30">
        <v>2004</v>
      </c>
      <c r="S934" s="30">
        <v>1092</v>
      </c>
      <c r="T934" s="32"/>
      <c r="U934" s="32"/>
      <c r="V934" s="32"/>
      <c r="W934" s="32"/>
      <c r="X934" s="32">
        <f>Inventory[[#This Row],[Bsmt Area]]-Inventory[[#This Row],[FnBsmt]]</f>
        <v>0</v>
      </c>
      <c r="Y934" s="32">
        <f>Inventory[[#This Row],[MainFn]]+Inventory[[#This Row],[UpprFn]]+Inventory[[#This Row],[AddFn]]+Inventory[[#This Row],[FnBsmt]]</f>
        <v>1092</v>
      </c>
      <c r="Z934" s="32">
        <v>1500</v>
      </c>
      <c r="AA934" s="31" t="s">
        <v>56</v>
      </c>
      <c r="AB934" s="38">
        <v>1</v>
      </c>
      <c r="AC934" s="30">
        <v>440</v>
      </c>
      <c r="AD934" s="32"/>
      <c r="AE934" s="32"/>
      <c r="AF934" s="32"/>
      <c r="AG934" s="32"/>
      <c r="AH934" s="32"/>
      <c r="AI934" s="30">
        <v>234090</v>
      </c>
      <c r="AJ934" s="30">
        <v>215363</v>
      </c>
      <c r="AK934" s="30">
        <v>0</v>
      </c>
      <c r="AL934" s="30">
        <v>0</v>
      </c>
      <c r="AM934" s="30">
        <v>60800</v>
      </c>
      <c r="AN934" s="30">
        <v>291500</v>
      </c>
      <c r="AO934" s="30">
        <v>352300</v>
      </c>
      <c r="AP934" s="30">
        <f>Lookups!$B$58*0.6</f>
        <v>132535.48800000001</v>
      </c>
      <c r="AQ934" s="30">
        <f>Lookups!$B$58*0.4</f>
        <v>88356.992000000013</v>
      </c>
      <c r="AR934" s="30">
        <f>Lookups!$B$59*Inventory[[#This Row],[LnAcres]]</f>
        <v>-24051.387388882686</v>
      </c>
      <c r="AS934" s="30">
        <f>VLOOKUP(Inventory[[#This Row],[Qlty]],Lookups!$A$66:$E$79,2,FALSE)</f>
        <v>37154.252388000001</v>
      </c>
      <c r="AT934" s="30">
        <f>VLOOKUP(Inventory[[#This Row],[Cnd]],Lookups!$A$80:$E$88,2,FALSE)</f>
        <v>50438.379078999998</v>
      </c>
      <c r="AU934" s="30">
        <f>Inventory[[#This Row],[EffAge]]*Lookups!$B$65</f>
        <v>-2174.8220000000001</v>
      </c>
      <c r="AV934" s="30">
        <f>Inventory[[#This Row],[MainFn]]*Lookups!$B$90</f>
        <v>68152.13496000001</v>
      </c>
      <c r="AW934" s="30">
        <f>Inventory[[#This Row],[UpprFn]]*Lookups!$B$91</f>
        <v>0</v>
      </c>
      <c r="AX934" s="30">
        <f>Inventory[[#This Row],[Bsmt Area]]*Lookups!$B$95</f>
        <v>0</v>
      </c>
      <c r="AY934" s="30">
        <f>Inventory[[#This Row],[AttGar]]*Lookups!$B$93</f>
        <v>15532.453640000002</v>
      </c>
      <c r="AZ934" s="30">
        <f>ROUND(Inventory[[#This Row],[25Det]],-2)</f>
        <v>0</v>
      </c>
      <c r="BA934" s="30">
        <f>ROUND(SUM(Inventory[[#This Row],[Mdl Qlty]:[Mdl Garage Area]])+Inventory[[#This Row],[Mdl Res Intercept]],-2)</f>
        <v>301600</v>
      </c>
      <c r="BB934" s="30">
        <f>ROUND(Inventory[[#This Row],[Mdl Land Intercept]]+Inventory[[#This Row],[Mdl LnAcres]],-2)</f>
        <v>64300</v>
      </c>
      <c r="BC934" s="30">
        <f>Inventory[[#This Row],[Unadj Res Value]]+Inventory[[#This Row],[Unadj Det Value]]+Inventory[[#This Row],[Unadj Land Value]]</f>
        <v>365900</v>
      </c>
      <c r="BD934" s="30">
        <f>(Inventory[[#This Row],[Unadj Total Value]]-Inventory[[#This Row],[24Final]])/Inventory[[#This Row],[24Final]]</f>
        <v>3.8603462957706502E-2</v>
      </c>
      <c r="BE934" s="30">
        <f>VLOOKUP(Inventory[[#This Row],[Nbhd]],Lookups!$M$3:$P$5,4,FALSE)</f>
        <v>0.99970000000000003</v>
      </c>
      <c r="BF934" s="30">
        <f>VLOOKUP(Inventory[[#This Row],[Qlty]],Lookups!$M$8:$P$22,4,FALSE)</f>
        <v>0.99819999999999998</v>
      </c>
      <c r="BG934" s="30">
        <f>VLOOKUP(Inventory[[#This Row],[Cnd]],Lookups!$R$8:$U$17,4,FALSE)</f>
        <v>1.0007999999999999</v>
      </c>
      <c r="BH934" s="30">
        <f>VLOOKUP(Inventory[[#This Row],[LivArea Range]],Lookups!$R$25:$U$43,4,FALSE)</f>
        <v>0.99519999999999997</v>
      </c>
      <c r="BI934" s="30">
        <f>VLOOKUP(Inventory[[#This Row],[Decade]],Lookups!$M$24:$P$40,4,FALSE)</f>
        <v>0.99560000000000004</v>
      </c>
      <c r="BJ934" s="30">
        <f>Inventory[[#This Row],[Nbhd Adj]]*0.95</f>
        <v>0.94971499999999998</v>
      </c>
      <c r="BK934" s="30">
        <f>AVERAGE(Inventory[[#This Row],[Nbhd Adj]],Inventory[[#This Row],[Quality Adj]],Inventory[[#This Row],[Condition Adj]],Inventory[[#This Row],[Living Area Adj]],Inventory[[#This Row],[Decade Adj]])*0.95</f>
        <v>0.94800499999999988</v>
      </c>
      <c r="BL934" s="30">
        <f>ROUND((SUM(Inventory[[#This Row],[Mdl Qlty]:[Mdl Garage Area]])+Inventory[[#This Row],[Mdl Res Intercept]])*Inventory[[#This Row],[Res Adj ]],-2)</f>
        <v>286000</v>
      </c>
      <c r="BM934" s="30">
        <f>ROUND(Inventory[[#This Row],[25Det]]*Inventory[[#This Row],[Det/Nbhd Adj]],-2)</f>
        <v>0</v>
      </c>
      <c r="BN934" s="30">
        <f>Inventory[[#This Row],[Adjusted Res]]+Inventory[[#This Row],[Adj Det ]]</f>
        <v>286000</v>
      </c>
      <c r="BO934" s="30">
        <f>ROUND((Inventory[[#This Row],[Mdl Land Intercept]]+Inventory[[#This Row],[Mdl LnAcres]])*Inventory[[#This Row],[Det/Nbhd Adj]],-2)</f>
        <v>61100</v>
      </c>
      <c r="BP934" s="30">
        <f>Inventory[[#This Row],[Adjusted Impr Total]]+Inventory[[#This Row],[Adjusted Land Total]]</f>
        <v>347100</v>
      </c>
      <c r="BQ934" s="30">
        <f>IFERROR((Inventory[[#This Row],[Adjusted Impr Total]]-Inventory[[#This Row],[24Bldg]])/Inventory[[#This Row],[24Bldg]],0)</f>
        <v>-1.8867924528301886E-2</v>
      </c>
      <c r="BR934" s="43">
        <f>(Inventory[[#This Row],[Adjusted Land Total]]-Inventory[[#This Row],[24Lnd]])/Inventory[[#This Row],[24Lnd]]</f>
        <v>4.9342105263157892E-3</v>
      </c>
      <c r="BS934" s="43">
        <f>(Inventory[[#This Row],[Adjusted Total]]-Inventory[[#This Row],[24Final]])/Inventory[[#This Row],[24Final]]</f>
        <v>-1.4760147601476014E-2</v>
      </c>
    </row>
    <row r="935" spans="1:71">
      <c r="A935" s="30">
        <v>2025</v>
      </c>
      <c r="B935" s="31" t="s">
        <v>1450</v>
      </c>
      <c r="C935" s="31">
        <f>LN(Inventory[[#This Row],[Acres]])</f>
        <v>-1.8325814637483102</v>
      </c>
      <c r="D935" s="30">
        <v>0.16</v>
      </c>
      <c r="E935" s="30">
        <v>7000</v>
      </c>
      <c r="F935" s="31" t="s">
        <v>505</v>
      </c>
      <c r="G935" s="31" t="s">
        <v>155</v>
      </c>
      <c r="H935" s="31" t="s">
        <v>5</v>
      </c>
      <c r="I935" s="31" t="s">
        <v>506</v>
      </c>
      <c r="J935" s="31" t="s">
        <v>507</v>
      </c>
      <c r="K935" s="31" t="s">
        <v>193</v>
      </c>
      <c r="L935" s="31" t="s">
        <v>19</v>
      </c>
      <c r="M935" s="31" t="s">
        <v>22</v>
      </c>
      <c r="N935" s="31">
        <v>20</v>
      </c>
      <c r="O935" s="31">
        <f>2024-Inventory[[#This Row],[YrBlt]]</f>
        <v>20</v>
      </c>
      <c r="P935" s="31">
        <f>2024-Inventory[[#This Row],[EffYr]]</f>
        <v>20</v>
      </c>
      <c r="Q935" s="30">
        <v>2004</v>
      </c>
      <c r="R935" s="30">
        <v>2004</v>
      </c>
      <c r="S935" s="30">
        <v>1092</v>
      </c>
      <c r="T935" s="32"/>
      <c r="U935" s="32"/>
      <c r="V935" s="32"/>
      <c r="W935" s="32"/>
      <c r="X935" s="32">
        <f>Inventory[[#This Row],[Bsmt Area]]-Inventory[[#This Row],[FnBsmt]]</f>
        <v>0</v>
      </c>
      <c r="Y935" s="32">
        <f>Inventory[[#This Row],[MainFn]]+Inventory[[#This Row],[UpprFn]]+Inventory[[#This Row],[AddFn]]+Inventory[[#This Row],[FnBsmt]]</f>
        <v>1092</v>
      </c>
      <c r="Z935" s="32">
        <v>1500</v>
      </c>
      <c r="AA935" s="31" t="s">
        <v>56</v>
      </c>
      <c r="AB935" s="37"/>
      <c r="AC935" s="30">
        <v>440</v>
      </c>
      <c r="AD935" s="32"/>
      <c r="AE935" s="32"/>
      <c r="AF935" s="32"/>
      <c r="AG935" s="32"/>
      <c r="AH935" s="32"/>
      <c r="AI935" s="30">
        <v>234333</v>
      </c>
      <c r="AJ935" s="30">
        <v>215586</v>
      </c>
      <c r="AK935" s="30">
        <v>0</v>
      </c>
      <c r="AL935" s="30">
        <v>0</v>
      </c>
      <c r="AM935" s="30">
        <v>60800</v>
      </c>
      <c r="AN935" s="30">
        <v>291500</v>
      </c>
      <c r="AO935" s="30">
        <v>352300</v>
      </c>
      <c r="AP935" s="30">
        <f>Lookups!$B$58*0.6</f>
        <v>132535.48800000001</v>
      </c>
      <c r="AQ935" s="30">
        <f>Lookups!$B$58*0.4</f>
        <v>88356.992000000013</v>
      </c>
      <c r="AR935" s="30">
        <f>Lookups!$B$59*Inventory[[#This Row],[LnAcres]]</f>
        <v>-24051.387388882686</v>
      </c>
      <c r="AS935" s="30">
        <f>VLOOKUP(Inventory[[#This Row],[Qlty]],Lookups!$A$66:$E$79,2,FALSE)</f>
        <v>37154.252388000001</v>
      </c>
      <c r="AT935" s="30">
        <f>VLOOKUP(Inventory[[#This Row],[Cnd]],Lookups!$A$80:$E$88,2,FALSE)</f>
        <v>50438.379078999998</v>
      </c>
      <c r="AU935" s="30">
        <f>Inventory[[#This Row],[EffAge]]*Lookups!$B$65</f>
        <v>-2174.8220000000001</v>
      </c>
      <c r="AV935" s="30">
        <f>Inventory[[#This Row],[MainFn]]*Lookups!$B$90</f>
        <v>68152.13496000001</v>
      </c>
      <c r="AW935" s="30">
        <f>Inventory[[#This Row],[UpprFn]]*Lookups!$B$91</f>
        <v>0</v>
      </c>
      <c r="AX935" s="30">
        <f>Inventory[[#This Row],[Bsmt Area]]*Lookups!$B$95</f>
        <v>0</v>
      </c>
      <c r="AY935" s="30">
        <f>Inventory[[#This Row],[AttGar]]*Lookups!$B$93</f>
        <v>15532.453640000002</v>
      </c>
      <c r="AZ935" s="30">
        <f>ROUND(Inventory[[#This Row],[25Det]],-2)</f>
        <v>0</v>
      </c>
      <c r="BA935" s="30">
        <f>ROUND(SUM(Inventory[[#This Row],[Mdl Qlty]:[Mdl Garage Area]])+Inventory[[#This Row],[Mdl Res Intercept]],-2)</f>
        <v>301600</v>
      </c>
      <c r="BB935" s="30">
        <f>ROUND(Inventory[[#This Row],[Mdl Land Intercept]]+Inventory[[#This Row],[Mdl LnAcres]],-2)</f>
        <v>64300</v>
      </c>
      <c r="BC935" s="30">
        <f>Inventory[[#This Row],[Unadj Res Value]]+Inventory[[#This Row],[Unadj Det Value]]+Inventory[[#This Row],[Unadj Land Value]]</f>
        <v>365900</v>
      </c>
      <c r="BD935" s="30">
        <f>(Inventory[[#This Row],[Unadj Total Value]]-Inventory[[#This Row],[24Final]])/Inventory[[#This Row],[24Final]]</f>
        <v>3.8603462957706502E-2</v>
      </c>
      <c r="BE935" s="30">
        <f>VLOOKUP(Inventory[[#This Row],[Nbhd]],Lookups!$M$3:$P$5,4,FALSE)</f>
        <v>0.99970000000000003</v>
      </c>
      <c r="BF935" s="30">
        <f>VLOOKUP(Inventory[[#This Row],[Qlty]],Lookups!$M$8:$P$22,4,FALSE)</f>
        <v>0.99819999999999998</v>
      </c>
      <c r="BG935" s="30">
        <f>VLOOKUP(Inventory[[#This Row],[Cnd]],Lookups!$R$8:$U$17,4,FALSE)</f>
        <v>1.0007999999999999</v>
      </c>
      <c r="BH935" s="30">
        <f>VLOOKUP(Inventory[[#This Row],[LivArea Range]],Lookups!$R$25:$U$43,4,FALSE)</f>
        <v>0.99519999999999997</v>
      </c>
      <c r="BI935" s="30">
        <f>VLOOKUP(Inventory[[#This Row],[Decade]],Lookups!$M$24:$P$40,4,FALSE)</f>
        <v>0.99560000000000004</v>
      </c>
      <c r="BJ935" s="30">
        <f>Inventory[[#This Row],[Nbhd Adj]]*0.95</f>
        <v>0.94971499999999998</v>
      </c>
      <c r="BK935" s="30">
        <f>AVERAGE(Inventory[[#This Row],[Nbhd Adj]],Inventory[[#This Row],[Quality Adj]],Inventory[[#This Row],[Condition Adj]],Inventory[[#This Row],[Living Area Adj]],Inventory[[#This Row],[Decade Adj]])*0.95</f>
        <v>0.94800499999999988</v>
      </c>
      <c r="BL935" s="30">
        <f>ROUND((SUM(Inventory[[#This Row],[Mdl Qlty]:[Mdl Garage Area]])+Inventory[[#This Row],[Mdl Res Intercept]])*Inventory[[#This Row],[Res Adj ]],-2)</f>
        <v>286000</v>
      </c>
      <c r="BM935" s="30">
        <f>ROUND(Inventory[[#This Row],[25Det]]*Inventory[[#This Row],[Det/Nbhd Adj]],-2)</f>
        <v>0</v>
      </c>
      <c r="BN935" s="30">
        <f>Inventory[[#This Row],[Adjusted Res]]+Inventory[[#This Row],[Adj Det ]]</f>
        <v>286000</v>
      </c>
      <c r="BO935" s="30">
        <f>ROUND((Inventory[[#This Row],[Mdl Land Intercept]]+Inventory[[#This Row],[Mdl LnAcres]])*Inventory[[#This Row],[Det/Nbhd Adj]],-2)</f>
        <v>61100</v>
      </c>
      <c r="BP935" s="30">
        <f>Inventory[[#This Row],[Adjusted Impr Total]]+Inventory[[#This Row],[Adjusted Land Total]]</f>
        <v>347100</v>
      </c>
      <c r="BQ935" s="30">
        <f>IFERROR((Inventory[[#This Row],[Adjusted Impr Total]]-Inventory[[#This Row],[24Bldg]])/Inventory[[#This Row],[24Bldg]],0)</f>
        <v>-1.8867924528301886E-2</v>
      </c>
      <c r="BR935" s="43">
        <f>(Inventory[[#This Row],[Adjusted Land Total]]-Inventory[[#This Row],[24Lnd]])/Inventory[[#This Row],[24Lnd]]</f>
        <v>4.9342105263157892E-3</v>
      </c>
      <c r="BS935" s="43">
        <f>(Inventory[[#This Row],[Adjusted Total]]-Inventory[[#This Row],[24Final]])/Inventory[[#This Row],[24Final]]</f>
        <v>-1.4760147601476014E-2</v>
      </c>
    </row>
    <row r="936" spans="1:71">
      <c r="A936" s="30">
        <v>2025</v>
      </c>
      <c r="B936" s="31" t="s">
        <v>1451</v>
      </c>
      <c r="C936" s="31">
        <f>LN(Inventory[[#This Row],[Acres]])</f>
        <v>-1.8325814637483102</v>
      </c>
      <c r="D936" s="30">
        <v>0.16</v>
      </c>
      <c r="E936" s="30">
        <v>7175</v>
      </c>
      <c r="F936" s="31" t="s">
        <v>505</v>
      </c>
      <c r="G936" s="31" t="s">
        <v>155</v>
      </c>
      <c r="H936" s="31" t="s">
        <v>5</v>
      </c>
      <c r="I936" s="31" t="s">
        <v>506</v>
      </c>
      <c r="J936" s="31" t="s">
        <v>507</v>
      </c>
      <c r="K936" s="31" t="s">
        <v>193</v>
      </c>
      <c r="L936" s="31" t="s">
        <v>19</v>
      </c>
      <c r="M936" s="31" t="s">
        <v>20</v>
      </c>
      <c r="N936" s="31">
        <v>20</v>
      </c>
      <c r="O936" s="31">
        <f>2024-Inventory[[#This Row],[YrBlt]]</f>
        <v>20</v>
      </c>
      <c r="P936" s="31">
        <f>2024-Inventory[[#This Row],[EffYr]]</f>
        <v>20</v>
      </c>
      <c r="Q936" s="30">
        <v>2004</v>
      </c>
      <c r="R936" s="30">
        <v>2004</v>
      </c>
      <c r="S936" s="30">
        <v>1690</v>
      </c>
      <c r="T936" s="32"/>
      <c r="U936" s="32"/>
      <c r="V936" s="32"/>
      <c r="W936" s="32"/>
      <c r="X936" s="32">
        <f>Inventory[[#This Row],[Bsmt Area]]-Inventory[[#This Row],[FnBsmt]]</f>
        <v>0</v>
      </c>
      <c r="Y936" s="32">
        <f>Inventory[[#This Row],[MainFn]]+Inventory[[#This Row],[UpprFn]]+Inventory[[#This Row],[AddFn]]+Inventory[[#This Row],[FnBsmt]]</f>
        <v>1690</v>
      </c>
      <c r="Z936" s="32">
        <v>2000</v>
      </c>
      <c r="AA936" s="31" t="s">
        <v>56</v>
      </c>
      <c r="AB936" s="32"/>
      <c r="AC936" s="30">
        <v>466</v>
      </c>
      <c r="AD936" s="32"/>
      <c r="AE936" s="32"/>
      <c r="AF936" s="32"/>
      <c r="AG936" s="32"/>
      <c r="AH936" s="32"/>
      <c r="AI936" s="30">
        <v>334072</v>
      </c>
      <c r="AJ936" s="30">
        <v>304006</v>
      </c>
      <c r="AK936" s="30">
        <v>0</v>
      </c>
      <c r="AL936" s="30">
        <v>0</v>
      </c>
      <c r="AM936" s="30">
        <v>60800</v>
      </c>
      <c r="AN936" s="30">
        <v>309300</v>
      </c>
      <c r="AO936" s="30">
        <v>370100</v>
      </c>
      <c r="AP936" s="30">
        <f>Lookups!$B$58*0.6</f>
        <v>132535.48800000001</v>
      </c>
      <c r="AQ936" s="30">
        <f>Lookups!$B$58*0.4</f>
        <v>88356.992000000013</v>
      </c>
      <c r="AR936" s="30">
        <f>Lookups!$B$59*Inventory[[#This Row],[LnAcres]]</f>
        <v>-24051.387388882686</v>
      </c>
      <c r="AS936" s="30">
        <f>VLOOKUP(Inventory[[#This Row],[Qlty]],Lookups!$A$66:$E$79,2,FALSE)</f>
        <v>37154.252388000001</v>
      </c>
      <c r="AT936" s="30">
        <f>VLOOKUP(Inventory[[#This Row],[Cnd]],Lookups!$A$80:$E$88,2,FALSE)</f>
        <v>30300.329274</v>
      </c>
      <c r="AU936" s="30">
        <f>Inventory[[#This Row],[EffAge]]*Lookups!$B$65</f>
        <v>-2174.8220000000001</v>
      </c>
      <c r="AV936" s="30">
        <f>Inventory[[#This Row],[MainFn]]*Lookups!$B$90</f>
        <v>105473.54220000001</v>
      </c>
      <c r="AW936" s="30">
        <f>Inventory[[#This Row],[UpprFn]]*Lookups!$B$91</f>
        <v>0</v>
      </c>
      <c r="AX936" s="30">
        <f>Inventory[[#This Row],[Bsmt Area]]*Lookups!$B$95</f>
        <v>0</v>
      </c>
      <c r="AY936" s="30">
        <f>Inventory[[#This Row],[AttGar]]*Lookups!$B$93</f>
        <v>16450.280446000001</v>
      </c>
      <c r="AZ936" s="30">
        <f>ROUND(Inventory[[#This Row],[25Det]],-2)</f>
        <v>0</v>
      </c>
      <c r="BA936" s="30">
        <f>ROUND(SUM(Inventory[[#This Row],[Mdl Qlty]:[Mdl Garage Area]])+Inventory[[#This Row],[Mdl Res Intercept]],-2)</f>
        <v>319700</v>
      </c>
      <c r="BB936" s="30">
        <f>ROUND(Inventory[[#This Row],[Mdl Land Intercept]]+Inventory[[#This Row],[Mdl LnAcres]],-2)</f>
        <v>64300</v>
      </c>
      <c r="BC936" s="30">
        <f>Inventory[[#This Row],[Unadj Res Value]]+Inventory[[#This Row],[Unadj Det Value]]+Inventory[[#This Row],[Unadj Land Value]]</f>
        <v>384000</v>
      </c>
      <c r="BD936" s="30">
        <f>(Inventory[[#This Row],[Unadj Total Value]]-Inventory[[#This Row],[24Final]])/Inventory[[#This Row],[24Final]]</f>
        <v>3.7557416914347476E-2</v>
      </c>
      <c r="BE936" s="30">
        <f>VLOOKUP(Inventory[[#This Row],[Nbhd]],Lookups!$M$3:$P$5,4,FALSE)</f>
        <v>0.99970000000000003</v>
      </c>
      <c r="BF936" s="30">
        <f>VLOOKUP(Inventory[[#This Row],[Qlty]],Lookups!$M$8:$P$22,4,FALSE)</f>
        <v>0.99819999999999998</v>
      </c>
      <c r="BG936" s="30">
        <f>VLOOKUP(Inventory[[#This Row],[Cnd]],Lookups!$R$8:$U$17,4,FALSE)</f>
        <v>0.997</v>
      </c>
      <c r="BH936" s="30">
        <f>VLOOKUP(Inventory[[#This Row],[LivArea Range]],Lookups!$R$25:$U$43,4,FALSE)</f>
        <v>1.0007999999999999</v>
      </c>
      <c r="BI936" s="30">
        <f>VLOOKUP(Inventory[[#This Row],[Decade]],Lookups!$M$24:$P$40,4,FALSE)</f>
        <v>0.99560000000000004</v>
      </c>
      <c r="BJ936" s="30">
        <f>Inventory[[#This Row],[Nbhd Adj]]*0.95</f>
        <v>0.94971499999999998</v>
      </c>
      <c r="BK936" s="30">
        <f>AVERAGE(Inventory[[#This Row],[Nbhd Adj]],Inventory[[#This Row],[Quality Adj]],Inventory[[#This Row],[Condition Adj]],Inventory[[#This Row],[Living Area Adj]],Inventory[[#This Row],[Decade Adj]])*0.95</f>
        <v>0.94834699999999994</v>
      </c>
      <c r="BL936" s="30">
        <f>ROUND((SUM(Inventory[[#This Row],[Mdl Qlty]:[Mdl Garage Area]])+Inventory[[#This Row],[Mdl Res Intercept]])*Inventory[[#This Row],[Res Adj ]],-2)</f>
        <v>303200</v>
      </c>
      <c r="BM936" s="30">
        <f>ROUND(Inventory[[#This Row],[25Det]]*Inventory[[#This Row],[Det/Nbhd Adj]],-2)</f>
        <v>0</v>
      </c>
      <c r="BN936" s="30">
        <f>Inventory[[#This Row],[Adjusted Res]]+Inventory[[#This Row],[Adj Det ]]</f>
        <v>303200</v>
      </c>
      <c r="BO936" s="30">
        <f>ROUND((Inventory[[#This Row],[Mdl Land Intercept]]+Inventory[[#This Row],[Mdl LnAcres]])*Inventory[[#This Row],[Det/Nbhd Adj]],-2)</f>
        <v>61100</v>
      </c>
      <c r="BP936" s="30">
        <f>Inventory[[#This Row],[Adjusted Impr Total]]+Inventory[[#This Row],[Adjusted Land Total]]</f>
        <v>364300</v>
      </c>
      <c r="BQ936" s="30">
        <f>IFERROR((Inventory[[#This Row],[Adjusted Impr Total]]-Inventory[[#This Row],[24Bldg]])/Inventory[[#This Row],[24Bldg]],0)</f>
        <v>-1.9721952796637569E-2</v>
      </c>
      <c r="BR936" s="43">
        <f>(Inventory[[#This Row],[Adjusted Land Total]]-Inventory[[#This Row],[24Lnd]])/Inventory[[#This Row],[24Lnd]]</f>
        <v>4.9342105263157892E-3</v>
      </c>
      <c r="BS936" s="43">
        <f>(Inventory[[#This Row],[Adjusted Total]]-Inventory[[#This Row],[24Final]])/Inventory[[#This Row],[24Final]]</f>
        <v>-1.5671440151310456E-2</v>
      </c>
    </row>
    <row r="937" spans="1:71">
      <c r="A937" s="30">
        <v>2025</v>
      </c>
      <c r="B937" s="31" t="s">
        <v>1452</v>
      </c>
      <c r="C937" s="31">
        <f>LN(Inventory[[#This Row],[Acres]])</f>
        <v>-1.8325814637483102</v>
      </c>
      <c r="D937" s="30">
        <v>0.16</v>
      </c>
      <c r="E937" s="30">
        <v>7001</v>
      </c>
      <c r="F937" s="31" t="s">
        <v>505</v>
      </c>
      <c r="G937" s="31" t="s">
        <v>155</v>
      </c>
      <c r="H937" s="31" t="s">
        <v>5</v>
      </c>
      <c r="I937" s="31" t="s">
        <v>506</v>
      </c>
      <c r="J937" s="31" t="s">
        <v>507</v>
      </c>
      <c r="K937" s="31" t="s">
        <v>193</v>
      </c>
      <c r="L937" s="31" t="s">
        <v>19</v>
      </c>
      <c r="M937" s="31" t="s">
        <v>22</v>
      </c>
      <c r="N937" s="31">
        <v>20</v>
      </c>
      <c r="O937" s="31">
        <f>2024-Inventory[[#This Row],[YrBlt]]</f>
        <v>20</v>
      </c>
      <c r="P937" s="31">
        <f>2024-Inventory[[#This Row],[EffYr]]</f>
        <v>20</v>
      </c>
      <c r="Q937" s="30">
        <v>2004</v>
      </c>
      <c r="R937" s="30">
        <v>2004</v>
      </c>
      <c r="S937" s="30">
        <v>1096</v>
      </c>
      <c r="T937" s="32"/>
      <c r="U937" s="32"/>
      <c r="V937" s="32"/>
      <c r="W937" s="32"/>
      <c r="X937" s="32">
        <f>Inventory[[#This Row],[Bsmt Area]]-Inventory[[#This Row],[FnBsmt]]</f>
        <v>0</v>
      </c>
      <c r="Y937" s="32">
        <f>Inventory[[#This Row],[MainFn]]+Inventory[[#This Row],[UpprFn]]+Inventory[[#This Row],[AddFn]]+Inventory[[#This Row],[FnBsmt]]</f>
        <v>1096</v>
      </c>
      <c r="Z937" s="32">
        <v>1500</v>
      </c>
      <c r="AA937" s="31" t="s">
        <v>56</v>
      </c>
      <c r="AB937" s="32"/>
      <c r="AC937" s="30">
        <v>460</v>
      </c>
      <c r="AD937" s="32"/>
      <c r="AE937" s="32"/>
      <c r="AF937" s="32"/>
      <c r="AG937" s="32"/>
      <c r="AH937" s="32"/>
      <c r="AI937" s="30">
        <v>235313</v>
      </c>
      <c r="AJ937" s="30">
        <v>216488</v>
      </c>
      <c r="AK937" s="30">
        <v>0</v>
      </c>
      <c r="AL937" s="30">
        <v>0</v>
      </c>
      <c r="AM937" s="30">
        <v>60800</v>
      </c>
      <c r="AN937" s="30">
        <v>291700</v>
      </c>
      <c r="AO937" s="30">
        <v>352500</v>
      </c>
      <c r="AP937" s="30">
        <f>Lookups!$B$58*0.6</f>
        <v>132535.48800000001</v>
      </c>
      <c r="AQ937" s="30">
        <f>Lookups!$B$58*0.4</f>
        <v>88356.992000000013</v>
      </c>
      <c r="AR937" s="30">
        <f>Lookups!$B$59*Inventory[[#This Row],[LnAcres]]</f>
        <v>-24051.387388882686</v>
      </c>
      <c r="AS937" s="30">
        <f>VLOOKUP(Inventory[[#This Row],[Qlty]],Lookups!$A$66:$E$79,2,FALSE)</f>
        <v>37154.252388000001</v>
      </c>
      <c r="AT937" s="30">
        <f>VLOOKUP(Inventory[[#This Row],[Cnd]],Lookups!$A$80:$E$88,2,FALSE)</f>
        <v>50438.379078999998</v>
      </c>
      <c r="AU937" s="30">
        <f>Inventory[[#This Row],[EffAge]]*Lookups!$B$65</f>
        <v>-2174.8220000000001</v>
      </c>
      <c r="AV937" s="30">
        <f>Inventory[[#This Row],[MainFn]]*Lookups!$B$90</f>
        <v>68401.77648</v>
      </c>
      <c r="AW937" s="30">
        <f>Inventory[[#This Row],[UpprFn]]*Lookups!$B$91</f>
        <v>0</v>
      </c>
      <c r="AX937" s="30">
        <f>Inventory[[#This Row],[Bsmt Area]]*Lookups!$B$95</f>
        <v>0</v>
      </c>
      <c r="AY937" s="30">
        <f>Inventory[[#This Row],[AttGar]]*Lookups!$B$93</f>
        <v>16238.474260000001</v>
      </c>
      <c r="AZ937" s="30">
        <f>ROUND(Inventory[[#This Row],[25Det]],-2)</f>
        <v>0</v>
      </c>
      <c r="BA937" s="30">
        <f>ROUND(SUM(Inventory[[#This Row],[Mdl Qlty]:[Mdl Garage Area]])+Inventory[[#This Row],[Mdl Res Intercept]],-2)</f>
        <v>302600</v>
      </c>
      <c r="BB937" s="30">
        <f>ROUND(Inventory[[#This Row],[Mdl Land Intercept]]+Inventory[[#This Row],[Mdl LnAcres]],-2)</f>
        <v>64300</v>
      </c>
      <c r="BC937" s="30">
        <f>Inventory[[#This Row],[Unadj Res Value]]+Inventory[[#This Row],[Unadj Det Value]]+Inventory[[#This Row],[Unadj Land Value]]</f>
        <v>366900</v>
      </c>
      <c r="BD937" s="30">
        <f>(Inventory[[#This Row],[Unadj Total Value]]-Inventory[[#This Row],[24Final]])/Inventory[[#This Row],[24Final]]</f>
        <v>4.0851063829787232E-2</v>
      </c>
      <c r="BE937" s="30">
        <f>VLOOKUP(Inventory[[#This Row],[Nbhd]],Lookups!$M$3:$P$5,4,FALSE)</f>
        <v>0.99970000000000003</v>
      </c>
      <c r="BF937" s="30">
        <f>VLOOKUP(Inventory[[#This Row],[Qlty]],Lookups!$M$8:$P$22,4,FALSE)</f>
        <v>0.99819999999999998</v>
      </c>
      <c r="BG937" s="30">
        <f>VLOOKUP(Inventory[[#This Row],[Cnd]],Lookups!$R$8:$U$17,4,FALSE)</f>
        <v>1.0007999999999999</v>
      </c>
      <c r="BH937" s="30">
        <f>VLOOKUP(Inventory[[#This Row],[LivArea Range]],Lookups!$R$25:$U$43,4,FALSE)</f>
        <v>0.99519999999999997</v>
      </c>
      <c r="BI937" s="30">
        <f>VLOOKUP(Inventory[[#This Row],[Decade]],Lookups!$M$24:$P$40,4,FALSE)</f>
        <v>0.99560000000000004</v>
      </c>
      <c r="BJ937" s="30">
        <f>Inventory[[#This Row],[Nbhd Adj]]*0.95</f>
        <v>0.94971499999999998</v>
      </c>
      <c r="BK937" s="30">
        <f>AVERAGE(Inventory[[#This Row],[Nbhd Adj]],Inventory[[#This Row],[Quality Adj]],Inventory[[#This Row],[Condition Adj]],Inventory[[#This Row],[Living Area Adj]],Inventory[[#This Row],[Decade Adj]])*0.95</f>
        <v>0.94800499999999988</v>
      </c>
      <c r="BL937" s="30">
        <f>ROUND((SUM(Inventory[[#This Row],[Mdl Qlty]:[Mdl Garage Area]])+Inventory[[#This Row],[Mdl Res Intercept]])*Inventory[[#This Row],[Res Adj ]],-2)</f>
        <v>286900</v>
      </c>
      <c r="BM937" s="30">
        <f>ROUND(Inventory[[#This Row],[25Det]]*Inventory[[#This Row],[Det/Nbhd Adj]],-2)</f>
        <v>0</v>
      </c>
      <c r="BN937" s="30">
        <f>Inventory[[#This Row],[Adjusted Res]]+Inventory[[#This Row],[Adj Det ]]</f>
        <v>286900</v>
      </c>
      <c r="BO937" s="30">
        <f>ROUND((Inventory[[#This Row],[Mdl Land Intercept]]+Inventory[[#This Row],[Mdl LnAcres]])*Inventory[[#This Row],[Det/Nbhd Adj]],-2)</f>
        <v>61100</v>
      </c>
      <c r="BP937" s="30">
        <f>Inventory[[#This Row],[Adjusted Impr Total]]+Inventory[[#This Row],[Adjusted Land Total]]</f>
        <v>348000</v>
      </c>
      <c r="BQ937" s="30">
        <f>IFERROR((Inventory[[#This Row],[Adjusted Impr Total]]-Inventory[[#This Row],[24Bldg]])/Inventory[[#This Row],[24Bldg]],0)</f>
        <v>-1.64552622557422E-2</v>
      </c>
      <c r="BR937" s="43">
        <f>(Inventory[[#This Row],[Adjusted Land Total]]-Inventory[[#This Row],[24Lnd]])/Inventory[[#This Row],[24Lnd]]</f>
        <v>4.9342105263157892E-3</v>
      </c>
      <c r="BS937" s="43">
        <f>(Inventory[[#This Row],[Adjusted Total]]-Inventory[[#This Row],[24Final]])/Inventory[[#This Row],[24Final]]</f>
        <v>-1.276595744680851E-2</v>
      </c>
    </row>
    <row r="938" spans="1:71">
      <c r="A938" s="30">
        <v>2025</v>
      </c>
      <c r="B938" s="31" t="s">
        <v>1453</v>
      </c>
      <c r="C938" s="31">
        <f>LN(Inventory[[#This Row],[Acres]])</f>
        <v>-1.8325814637483102</v>
      </c>
      <c r="D938" s="30">
        <v>0.16</v>
      </c>
      <c r="E938" s="30">
        <v>7001</v>
      </c>
      <c r="F938" s="31" t="s">
        <v>505</v>
      </c>
      <c r="G938" s="31" t="s">
        <v>155</v>
      </c>
      <c r="H938" s="31" t="s">
        <v>5</v>
      </c>
      <c r="I938" s="31" t="s">
        <v>506</v>
      </c>
      <c r="J938" s="31" t="s">
        <v>507</v>
      </c>
      <c r="K938" s="31" t="s">
        <v>157</v>
      </c>
      <c r="L938" s="31" t="s">
        <v>21</v>
      </c>
      <c r="M938" s="31" t="s">
        <v>20</v>
      </c>
      <c r="N938" s="31">
        <v>20</v>
      </c>
      <c r="O938" s="31">
        <f>2024-Inventory[[#This Row],[YrBlt]]</f>
        <v>20</v>
      </c>
      <c r="P938" s="31">
        <f>2024-Inventory[[#This Row],[EffYr]]</f>
        <v>20</v>
      </c>
      <c r="Q938" s="30">
        <v>2004</v>
      </c>
      <c r="R938" s="30">
        <v>2004</v>
      </c>
      <c r="S938" s="30">
        <v>1116</v>
      </c>
      <c r="T938" s="30">
        <v>1116</v>
      </c>
      <c r="U938" s="32"/>
      <c r="V938" s="32"/>
      <c r="W938" s="32"/>
      <c r="X938" s="32">
        <f>Inventory[[#This Row],[Bsmt Area]]-Inventory[[#This Row],[FnBsmt]]</f>
        <v>0</v>
      </c>
      <c r="Y938" s="32">
        <f>Inventory[[#This Row],[MainFn]]+Inventory[[#This Row],[UpprFn]]+Inventory[[#This Row],[AddFn]]+Inventory[[#This Row],[FnBsmt]]</f>
        <v>2232</v>
      </c>
      <c r="Z938" s="32">
        <v>2500</v>
      </c>
      <c r="AA938" s="31" t="s">
        <v>56</v>
      </c>
      <c r="AB938" s="32"/>
      <c r="AC938" s="38">
        <v>440</v>
      </c>
      <c r="AD938" s="37"/>
      <c r="AE938" s="32"/>
      <c r="AF938" s="32"/>
      <c r="AG938" s="32"/>
      <c r="AH938" s="32"/>
      <c r="AI938" s="30">
        <v>453810</v>
      </c>
      <c r="AJ938" s="30">
        <v>412967</v>
      </c>
      <c r="AK938" s="30">
        <v>0</v>
      </c>
      <c r="AL938" s="30">
        <v>0</v>
      </c>
      <c r="AM938" s="30">
        <v>60800</v>
      </c>
      <c r="AN938" s="30">
        <v>333600</v>
      </c>
      <c r="AO938" s="30">
        <v>394400</v>
      </c>
      <c r="AP938" s="30">
        <f>Lookups!$B$58*0.6</f>
        <v>132535.48800000001</v>
      </c>
      <c r="AQ938" s="30">
        <f>Lookups!$B$58*0.4</f>
        <v>88356.992000000013</v>
      </c>
      <c r="AR938" s="30">
        <f>Lookups!$B$59*Inventory[[#This Row],[LnAcres]]</f>
        <v>-24051.387388882686</v>
      </c>
      <c r="AS938" s="30">
        <f>VLOOKUP(Inventory[[#This Row],[Qlty]],Lookups!$A$66:$E$79,2,FALSE)</f>
        <v>32917.849192000001</v>
      </c>
      <c r="AT938" s="30">
        <f>VLOOKUP(Inventory[[#This Row],[Cnd]],Lookups!$A$80:$E$88,2,FALSE)</f>
        <v>30300.329274</v>
      </c>
      <c r="AU938" s="30">
        <f>Inventory[[#This Row],[EffAge]]*Lookups!$B$65</f>
        <v>-2174.8220000000001</v>
      </c>
      <c r="AV938" s="30">
        <f>Inventory[[#This Row],[MainFn]]*Lookups!$B$90</f>
        <v>69649.984080000009</v>
      </c>
      <c r="AW938" s="30">
        <f>Inventory[[#This Row],[UpprFn]]*Lookups!$B$91</f>
        <v>66491.707427999994</v>
      </c>
      <c r="AX938" s="30">
        <f>Inventory[[#This Row],[Bsmt Area]]*Lookups!$B$95</f>
        <v>0</v>
      </c>
      <c r="AY938" s="30">
        <f>Inventory[[#This Row],[AttGar]]*Lookups!$B$93</f>
        <v>15532.453640000002</v>
      </c>
      <c r="AZ938" s="30">
        <f>ROUND(Inventory[[#This Row],[25Det]],-2)</f>
        <v>0</v>
      </c>
      <c r="BA938" s="30">
        <f>ROUND(SUM(Inventory[[#This Row],[Mdl Qlty]:[Mdl Garage Area]])+Inventory[[#This Row],[Mdl Res Intercept]],-2)</f>
        <v>345300</v>
      </c>
      <c r="BB938" s="30">
        <f>ROUND(Inventory[[#This Row],[Mdl Land Intercept]]+Inventory[[#This Row],[Mdl LnAcres]],-2)</f>
        <v>64300</v>
      </c>
      <c r="BC938" s="30">
        <f>Inventory[[#This Row],[Unadj Res Value]]+Inventory[[#This Row],[Unadj Det Value]]+Inventory[[#This Row],[Unadj Land Value]]</f>
        <v>409600</v>
      </c>
      <c r="BD938" s="30">
        <f>(Inventory[[#This Row],[Unadj Total Value]]-Inventory[[#This Row],[24Final]])/Inventory[[#This Row],[24Final]]</f>
        <v>3.8539553752535496E-2</v>
      </c>
      <c r="BE938" s="30">
        <f>VLOOKUP(Inventory[[#This Row],[Nbhd]],Lookups!$M$3:$P$5,4,FALSE)</f>
        <v>0.99970000000000003</v>
      </c>
      <c r="BF938" s="30">
        <f>VLOOKUP(Inventory[[#This Row],[Qlty]],Lookups!$M$8:$P$22,4,FALSE)</f>
        <v>1.0019</v>
      </c>
      <c r="BG938" s="30">
        <f>VLOOKUP(Inventory[[#This Row],[Cnd]],Lookups!$R$8:$U$17,4,FALSE)</f>
        <v>0.997</v>
      </c>
      <c r="BH938" s="30">
        <f>VLOOKUP(Inventory[[#This Row],[LivArea Range]],Lookups!$R$25:$U$43,4,FALSE)</f>
        <v>1.0008999999999999</v>
      </c>
      <c r="BI938" s="30">
        <f>VLOOKUP(Inventory[[#This Row],[Decade]],Lookups!$M$24:$P$40,4,FALSE)</f>
        <v>0.99560000000000004</v>
      </c>
      <c r="BJ938" s="30">
        <f>Inventory[[#This Row],[Nbhd Adj]]*0.95</f>
        <v>0.94971499999999998</v>
      </c>
      <c r="BK938" s="30">
        <f>AVERAGE(Inventory[[#This Row],[Nbhd Adj]],Inventory[[#This Row],[Quality Adj]],Inventory[[#This Row],[Condition Adj]],Inventory[[#This Row],[Living Area Adj]],Inventory[[#This Row],[Decade Adj]])*0.95</f>
        <v>0.94906899999999972</v>
      </c>
      <c r="BL938" s="30">
        <f>ROUND((SUM(Inventory[[#This Row],[Mdl Qlty]:[Mdl Garage Area]])+Inventory[[#This Row],[Mdl Res Intercept]])*Inventory[[#This Row],[Res Adj ]],-2)</f>
        <v>327700</v>
      </c>
      <c r="BM938" s="30">
        <f>ROUND(Inventory[[#This Row],[25Det]]*Inventory[[#This Row],[Det/Nbhd Adj]],-2)</f>
        <v>0</v>
      </c>
      <c r="BN938" s="30">
        <f>Inventory[[#This Row],[Adjusted Res]]+Inventory[[#This Row],[Adj Det ]]</f>
        <v>327700</v>
      </c>
      <c r="BO938" s="30">
        <f>ROUND((Inventory[[#This Row],[Mdl Land Intercept]]+Inventory[[#This Row],[Mdl LnAcres]])*Inventory[[#This Row],[Det/Nbhd Adj]],-2)</f>
        <v>61100</v>
      </c>
      <c r="BP938" s="30">
        <f>Inventory[[#This Row],[Adjusted Impr Total]]+Inventory[[#This Row],[Adjusted Land Total]]</f>
        <v>388800</v>
      </c>
      <c r="BQ938" s="30">
        <f>IFERROR((Inventory[[#This Row],[Adjusted Impr Total]]-Inventory[[#This Row],[24Bldg]])/Inventory[[#This Row],[24Bldg]],0)</f>
        <v>-1.7685851318944845E-2</v>
      </c>
      <c r="BR938" s="43">
        <f>(Inventory[[#This Row],[Adjusted Land Total]]-Inventory[[#This Row],[24Lnd]])/Inventory[[#This Row],[24Lnd]]</f>
        <v>4.9342105263157892E-3</v>
      </c>
      <c r="BS938" s="43">
        <f>(Inventory[[#This Row],[Adjusted Total]]-Inventory[[#This Row],[24Final]])/Inventory[[#This Row],[24Final]]</f>
        <v>-1.4198782961460446E-2</v>
      </c>
    </row>
    <row r="939" spans="1:71">
      <c r="A939" s="30">
        <v>2025</v>
      </c>
      <c r="B939" s="31" t="s">
        <v>1454</v>
      </c>
      <c r="C939" s="31">
        <f>LN(Inventory[[#This Row],[Acres]])</f>
        <v>-1.8325814637483102</v>
      </c>
      <c r="D939" s="30">
        <v>0.16</v>
      </c>
      <c r="E939" s="30">
        <v>7003</v>
      </c>
      <c r="F939" s="31" t="s">
        <v>505</v>
      </c>
      <c r="G939" s="31" t="s">
        <v>155</v>
      </c>
      <c r="H939" s="31" t="s">
        <v>5</v>
      </c>
      <c r="I939" s="31" t="s">
        <v>506</v>
      </c>
      <c r="J939" s="31" t="s">
        <v>507</v>
      </c>
      <c r="K939" s="31" t="s">
        <v>157</v>
      </c>
      <c r="L939" s="31" t="s">
        <v>21</v>
      </c>
      <c r="M939" s="31" t="s">
        <v>20</v>
      </c>
      <c r="N939" s="31">
        <v>20</v>
      </c>
      <c r="O939" s="31">
        <f>2024-Inventory[[#This Row],[YrBlt]]</f>
        <v>20</v>
      </c>
      <c r="P939" s="31">
        <f>2024-Inventory[[#This Row],[EffYr]]</f>
        <v>20</v>
      </c>
      <c r="Q939" s="30">
        <v>2004</v>
      </c>
      <c r="R939" s="30">
        <v>2004</v>
      </c>
      <c r="S939" s="30">
        <v>1116</v>
      </c>
      <c r="T939" s="38">
        <v>1116</v>
      </c>
      <c r="U939" s="32"/>
      <c r="V939" s="32"/>
      <c r="W939" s="32"/>
      <c r="X939" s="32">
        <f>Inventory[[#This Row],[Bsmt Area]]-Inventory[[#This Row],[FnBsmt]]</f>
        <v>0</v>
      </c>
      <c r="Y939" s="32">
        <f>Inventory[[#This Row],[MainFn]]+Inventory[[#This Row],[UpprFn]]+Inventory[[#This Row],[AddFn]]+Inventory[[#This Row],[FnBsmt]]</f>
        <v>2232</v>
      </c>
      <c r="Z939" s="32">
        <v>2500</v>
      </c>
      <c r="AA939" s="31" t="s">
        <v>56</v>
      </c>
      <c r="AB939" s="37"/>
      <c r="AC939" s="30">
        <v>440</v>
      </c>
      <c r="AD939" s="32"/>
      <c r="AE939" s="32"/>
      <c r="AF939" s="32"/>
      <c r="AG939" s="32"/>
      <c r="AH939" s="32"/>
      <c r="AI939" s="30">
        <v>449476</v>
      </c>
      <c r="AJ939" s="30">
        <v>409023</v>
      </c>
      <c r="AK939" s="30">
        <v>0</v>
      </c>
      <c r="AL939" s="30">
        <v>0</v>
      </c>
      <c r="AM939" s="30">
        <v>60800</v>
      </c>
      <c r="AN939" s="30">
        <v>333600</v>
      </c>
      <c r="AO939" s="30">
        <v>394400</v>
      </c>
      <c r="AP939" s="30">
        <f>Lookups!$B$58*0.6</f>
        <v>132535.48800000001</v>
      </c>
      <c r="AQ939" s="30">
        <f>Lookups!$B$58*0.4</f>
        <v>88356.992000000013</v>
      </c>
      <c r="AR939" s="30">
        <f>Lookups!$B$59*Inventory[[#This Row],[LnAcres]]</f>
        <v>-24051.387388882686</v>
      </c>
      <c r="AS939" s="30">
        <f>VLOOKUP(Inventory[[#This Row],[Qlty]],Lookups!$A$66:$E$79,2,FALSE)</f>
        <v>32917.849192000001</v>
      </c>
      <c r="AT939" s="30">
        <f>VLOOKUP(Inventory[[#This Row],[Cnd]],Lookups!$A$80:$E$88,2,FALSE)</f>
        <v>30300.329274</v>
      </c>
      <c r="AU939" s="30">
        <f>Inventory[[#This Row],[EffAge]]*Lookups!$B$65</f>
        <v>-2174.8220000000001</v>
      </c>
      <c r="AV939" s="30">
        <f>Inventory[[#This Row],[MainFn]]*Lookups!$B$90</f>
        <v>69649.984080000009</v>
      </c>
      <c r="AW939" s="30">
        <f>Inventory[[#This Row],[UpprFn]]*Lookups!$B$91</f>
        <v>66491.707427999994</v>
      </c>
      <c r="AX939" s="30">
        <f>Inventory[[#This Row],[Bsmt Area]]*Lookups!$B$95</f>
        <v>0</v>
      </c>
      <c r="AY939" s="30">
        <f>Inventory[[#This Row],[AttGar]]*Lookups!$B$93</f>
        <v>15532.453640000002</v>
      </c>
      <c r="AZ939" s="30">
        <f>ROUND(Inventory[[#This Row],[25Det]],-2)</f>
        <v>0</v>
      </c>
      <c r="BA939" s="30">
        <f>ROUND(SUM(Inventory[[#This Row],[Mdl Qlty]:[Mdl Garage Area]])+Inventory[[#This Row],[Mdl Res Intercept]],-2)</f>
        <v>345300</v>
      </c>
      <c r="BB939" s="30">
        <f>ROUND(Inventory[[#This Row],[Mdl Land Intercept]]+Inventory[[#This Row],[Mdl LnAcres]],-2)</f>
        <v>64300</v>
      </c>
      <c r="BC939" s="30">
        <f>Inventory[[#This Row],[Unadj Res Value]]+Inventory[[#This Row],[Unadj Det Value]]+Inventory[[#This Row],[Unadj Land Value]]</f>
        <v>409600</v>
      </c>
      <c r="BD939" s="30">
        <f>(Inventory[[#This Row],[Unadj Total Value]]-Inventory[[#This Row],[24Final]])/Inventory[[#This Row],[24Final]]</f>
        <v>3.8539553752535496E-2</v>
      </c>
      <c r="BE939" s="30">
        <f>VLOOKUP(Inventory[[#This Row],[Nbhd]],Lookups!$M$3:$P$5,4,FALSE)</f>
        <v>0.99970000000000003</v>
      </c>
      <c r="BF939" s="30">
        <f>VLOOKUP(Inventory[[#This Row],[Qlty]],Lookups!$M$8:$P$22,4,FALSE)</f>
        <v>1.0019</v>
      </c>
      <c r="BG939" s="30">
        <f>VLOOKUP(Inventory[[#This Row],[Cnd]],Lookups!$R$8:$U$17,4,FALSE)</f>
        <v>0.997</v>
      </c>
      <c r="BH939" s="30">
        <f>VLOOKUP(Inventory[[#This Row],[LivArea Range]],Lookups!$R$25:$U$43,4,FALSE)</f>
        <v>1.0008999999999999</v>
      </c>
      <c r="BI939" s="30">
        <f>VLOOKUP(Inventory[[#This Row],[Decade]],Lookups!$M$24:$P$40,4,FALSE)</f>
        <v>0.99560000000000004</v>
      </c>
      <c r="BJ939" s="30">
        <f>Inventory[[#This Row],[Nbhd Adj]]*0.95</f>
        <v>0.94971499999999998</v>
      </c>
      <c r="BK939" s="30">
        <f>AVERAGE(Inventory[[#This Row],[Nbhd Adj]],Inventory[[#This Row],[Quality Adj]],Inventory[[#This Row],[Condition Adj]],Inventory[[#This Row],[Living Area Adj]],Inventory[[#This Row],[Decade Adj]])*0.95</f>
        <v>0.94906899999999972</v>
      </c>
      <c r="BL939" s="30">
        <f>ROUND((SUM(Inventory[[#This Row],[Mdl Qlty]:[Mdl Garage Area]])+Inventory[[#This Row],[Mdl Res Intercept]])*Inventory[[#This Row],[Res Adj ]],-2)</f>
        <v>327700</v>
      </c>
      <c r="BM939" s="30">
        <f>ROUND(Inventory[[#This Row],[25Det]]*Inventory[[#This Row],[Det/Nbhd Adj]],-2)</f>
        <v>0</v>
      </c>
      <c r="BN939" s="30">
        <f>Inventory[[#This Row],[Adjusted Res]]+Inventory[[#This Row],[Adj Det ]]</f>
        <v>327700</v>
      </c>
      <c r="BO939" s="30">
        <f>ROUND((Inventory[[#This Row],[Mdl Land Intercept]]+Inventory[[#This Row],[Mdl LnAcres]])*Inventory[[#This Row],[Det/Nbhd Adj]],-2)</f>
        <v>61100</v>
      </c>
      <c r="BP939" s="30">
        <f>Inventory[[#This Row],[Adjusted Impr Total]]+Inventory[[#This Row],[Adjusted Land Total]]</f>
        <v>388800</v>
      </c>
      <c r="BQ939" s="30">
        <f>IFERROR((Inventory[[#This Row],[Adjusted Impr Total]]-Inventory[[#This Row],[24Bldg]])/Inventory[[#This Row],[24Bldg]],0)</f>
        <v>-1.7685851318944845E-2</v>
      </c>
      <c r="BR939" s="43">
        <f>(Inventory[[#This Row],[Adjusted Land Total]]-Inventory[[#This Row],[24Lnd]])/Inventory[[#This Row],[24Lnd]]</f>
        <v>4.9342105263157892E-3</v>
      </c>
      <c r="BS939" s="43">
        <f>(Inventory[[#This Row],[Adjusted Total]]-Inventory[[#This Row],[24Final]])/Inventory[[#This Row],[24Final]]</f>
        <v>-1.4198782961460446E-2</v>
      </c>
    </row>
    <row r="940" spans="1:71">
      <c r="A940" s="30">
        <v>2025</v>
      </c>
      <c r="B940" s="31" t="s">
        <v>1455</v>
      </c>
      <c r="C940" s="31">
        <f>LN(Inventory[[#This Row],[Acres]])</f>
        <v>-1.8325814637483102</v>
      </c>
      <c r="D940" s="30">
        <v>0.16</v>
      </c>
      <c r="E940" s="30">
        <v>7148</v>
      </c>
      <c r="F940" s="31" t="s">
        <v>505</v>
      </c>
      <c r="G940" s="31" t="s">
        <v>155</v>
      </c>
      <c r="H940" s="31" t="s">
        <v>5</v>
      </c>
      <c r="I940" s="31" t="s">
        <v>506</v>
      </c>
      <c r="J940" s="31" t="s">
        <v>507</v>
      </c>
      <c r="K940" s="31" t="s">
        <v>157</v>
      </c>
      <c r="L940" s="31" t="s">
        <v>21</v>
      </c>
      <c r="M940" s="31" t="s">
        <v>20</v>
      </c>
      <c r="N940" s="31">
        <v>20</v>
      </c>
      <c r="O940" s="31">
        <f>2024-Inventory[[#This Row],[YrBlt]]</f>
        <v>20</v>
      </c>
      <c r="P940" s="31">
        <f>2024-Inventory[[#This Row],[EffYr]]</f>
        <v>20</v>
      </c>
      <c r="Q940" s="30">
        <v>2004</v>
      </c>
      <c r="R940" s="30">
        <v>2004</v>
      </c>
      <c r="S940" s="30">
        <v>1116</v>
      </c>
      <c r="T940" s="38">
        <v>1116</v>
      </c>
      <c r="U940" s="32"/>
      <c r="V940" s="32"/>
      <c r="W940" s="32"/>
      <c r="X940" s="32">
        <f>Inventory[[#This Row],[Bsmt Area]]-Inventory[[#This Row],[FnBsmt]]</f>
        <v>0</v>
      </c>
      <c r="Y940" s="32">
        <f>Inventory[[#This Row],[MainFn]]+Inventory[[#This Row],[UpprFn]]+Inventory[[#This Row],[AddFn]]+Inventory[[#This Row],[FnBsmt]]</f>
        <v>2232</v>
      </c>
      <c r="Z940" s="32">
        <v>2500</v>
      </c>
      <c r="AA940" s="31" t="s">
        <v>56</v>
      </c>
      <c r="AB940" s="32"/>
      <c r="AC940" s="30">
        <v>440</v>
      </c>
      <c r="AD940" s="32"/>
      <c r="AE940" s="32"/>
      <c r="AF940" s="32"/>
      <c r="AG940" s="32"/>
      <c r="AH940" s="32"/>
      <c r="AI940" s="30">
        <v>439963</v>
      </c>
      <c r="AJ940" s="30">
        <v>400366</v>
      </c>
      <c r="AK940" s="30">
        <v>0</v>
      </c>
      <c r="AL940" s="30">
        <v>0</v>
      </c>
      <c r="AM940" s="30">
        <v>60800</v>
      </c>
      <c r="AN940" s="30">
        <v>333600</v>
      </c>
      <c r="AO940" s="30">
        <v>394400</v>
      </c>
      <c r="AP940" s="30">
        <f>Lookups!$B$58*0.6</f>
        <v>132535.48800000001</v>
      </c>
      <c r="AQ940" s="30">
        <f>Lookups!$B$58*0.4</f>
        <v>88356.992000000013</v>
      </c>
      <c r="AR940" s="30">
        <f>Lookups!$B$59*Inventory[[#This Row],[LnAcres]]</f>
        <v>-24051.387388882686</v>
      </c>
      <c r="AS940" s="30">
        <f>VLOOKUP(Inventory[[#This Row],[Qlty]],Lookups!$A$66:$E$79,2,FALSE)</f>
        <v>32917.849192000001</v>
      </c>
      <c r="AT940" s="30">
        <f>VLOOKUP(Inventory[[#This Row],[Cnd]],Lookups!$A$80:$E$88,2,FALSE)</f>
        <v>30300.329274</v>
      </c>
      <c r="AU940" s="30">
        <f>Inventory[[#This Row],[EffAge]]*Lookups!$B$65</f>
        <v>-2174.8220000000001</v>
      </c>
      <c r="AV940" s="30">
        <f>Inventory[[#This Row],[MainFn]]*Lookups!$B$90</f>
        <v>69649.984080000009</v>
      </c>
      <c r="AW940" s="30">
        <f>Inventory[[#This Row],[UpprFn]]*Lookups!$B$91</f>
        <v>66491.707427999994</v>
      </c>
      <c r="AX940" s="30">
        <f>Inventory[[#This Row],[Bsmt Area]]*Lookups!$B$95</f>
        <v>0</v>
      </c>
      <c r="AY940" s="30">
        <f>Inventory[[#This Row],[AttGar]]*Lookups!$B$93</f>
        <v>15532.453640000002</v>
      </c>
      <c r="AZ940" s="30">
        <f>ROUND(Inventory[[#This Row],[25Det]],-2)</f>
        <v>0</v>
      </c>
      <c r="BA940" s="30">
        <f>ROUND(SUM(Inventory[[#This Row],[Mdl Qlty]:[Mdl Garage Area]])+Inventory[[#This Row],[Mdl Res Intercept]],-2)</f>
        <v>345300</v>
      </c>
      <c r="BB940" s="30">
        <f>ROUND(Inventory[[#This Row],[Mdl Land Intercept]]+Inventory[[#This Row],[Mdl LnAcres]],-2)</f>
        <v>64300</v>
      </c>
      <c r="BC940" s="30">
        <f>Inventory[[#This Row],[Unadj Res Value]]+Inventory[[#This Row],[Unadj Det Value]]+Inventory[[#This Row],[Unadj Land Value]]</f>
        <v>409600</v>
      </c>
      <c r="BD940" s="30">
        <f>(Inventory[[#This Row],[Unadj Total Value]]-Inventory[[#This Row],[24Final]])/Inventory[[#This Row],[24Final]]</f>
        <v>3.8539553752535496E-2</v>
      </c>
      <c r="BE940" s="30">
        <f>VLOOKUP(Inventory[[#This Row],[Nbhd]],Lookups!$M$3:$P$5,4,FALSE)</f>
        <v>0.99970000000000003</v>
      </c>
      <c r="BF940" s="30">
        <f>VLOOKUP(Inventory[[#This Row],[Qlty]],Lookups!$M$8:$P$22,4,FALSE)</f>
        <v>1.0019</v>
      </c>
      <c r="BG940" s="30">
        <f>VLOOKUP(Inventory[[#This Row],[Cnd]],Lookups!$R$8:$U$17,4,FALSE)</f>
        <v>0.997</v>
      </c>
      <c r="BH940" s="30">
        <f>VLOOKUP(Inventory[[#This Row],[LivArea Range]],Lookups!$R$25:$U$43,4,FALSE)</f>
        <v>1.0008999999999999</v>
      </c>
      <c r="BI940" s="30">
        <f>VLOOKUP(Inventory[[#This Row],[Decade]],Lookups!$M$24:$P$40,4,FALSE)</f>
        <v>0.99560000000000004</v>
      </c>
      <c r="BJ940" s="30">
        <f>Inventory[[#This Row],[Nbhd Adj]]*0.95</f>
        <v>0.94971499999999998</v>
      </c>
      <c r="BK940" s="30">
        <f>AVERAGE(Inventory[[#This Row],[Nbhd Adj]],Inventory[[#This Row],[Quality Adj]],Inventory[[#This Row],[Condition Adj]],Inventory[[#This Row],[Living Area Adj]],Inventory[[#This Row],[Decade Adj]])*0.95</f>
        <v>0.94906899999999972</v>
      </c>
      <c r="BL940" s="30">
        <f>ROUND((SUM(Inventory[[#This Row],[Mdl Qlty]:[Mdl Garage Area]])+Inventory[[#This Row],[Mdl Res Intercept]])*Inventory[[#This Row],[Res Adj ]],-2)</f>
        <v>327700</v>
      </c>
      <c r="BM940" s="30">
        <f>ROUND(Inventory[[#This Row],[25Det]]*Inventory[[#This Row],[Det/Nbhd Adj]],-2)</f>
        <v>0</v>
      </c>
      <c r="BN940" s="30">
        <f>Inventory[[#This Row],[Adjusted Res]]+Inventory[[#This Row],[Adj Det ]]</f>
        <v>327700</v>
      </c>
      <c r="BO940" s="30">
        <f>ROUND((Inventory[[#This Row],[Mdl Land Intercept]]+Inventory[[#This Row],[Mdl LnAcres]])*Inventory[[#This Row],[Det/Nbhd Adj]],-2)</f>
        <v>61100</v>
      </c>
      <c r="BP940" s="30">
        <f>Inventory[[#This Row],[Adjusted Impr Total]]+Inventory[[#This Row],[Adjusted Land Total]]</f>
        <v>388800</v>
      </c>
      <c r="BQ940" s="30">
        <f>IFERROR((Inventory[[#This Row],[Adjusted Impr Total]]-Inventory[[#This Row],[24Bldg]])/Inventory[[#This Row],[24Bldg]],0)</f>
        <v>-1.7685851318944845E-2</v>
      </c>
      <c r="BR940" s="43">
        <f>(Inventory[[#This Row],[Adjusted Land Total]]-Inventory[[#This Row],[24Lnd]])/Inventory[[#This Row],[24Lnd]]</f>
        <v>4.9342105263157892E-3</v>
      </c>
      <c r="BS940" s="43">
        <f>(Inventory[[#This Row],[Adjusted Total]]-Inventory[[#This Row],[24Final]])/Inventory[[#This Row],[24Final]]</f>
        <v>-1.4198782961460446E-2</v>
      </c>
    </row>
    <row r="941" spans="1:71">
      <c r="A941" s="30">
        <v>2025</v>
      </c>
      <c r="B941" s="31" t="s">
        <v>1456</v>
      </c>
      <c r="C941" s="31">
        <f>LN(Inventory[[#This Row],[Acres]])</f>
        <v>-1.8325814637483102</v>
      </c>
      <c r="D941" s="30">
        <v>0.16</v>
      </c>
      <c r="E941" s="30">
        <v>7000</v>
      </c>
      <c r="F941" s="31" t="s">
        <v>505</v>
      </c>
      <c r="G941" s="31" t="s">
        <v>155</v>
      </c>
      <c r="H941" s="31" t="s">
        <v>5</v>
      </c>
      <c r="I941" s="31" t="s">
        <v>506</v>
      </c>
      <c r="J941" s="31" t="s">
        <v>507</v>
      </c>
      <c r="K941" s="31" t="s">
        <v>193</v>
      </c>
      <c r="L941" s="31" t="s">
        <v>19</v>
      </c>
      <c r="M941" s="31" t="s">
        <v>20</v>
      </c>
      <c r="N941" s="31">
        <v>20</v>
      </c>
      <c r="O941" s="31">
        <f>2024-Inventory[[#This Row],[YrBlt]]</f>
        <v>20</v>
      </c>
      <c r="P941" s="31">
        <f>2024-Inventory[[#This Row],[EffYr]]</f>
        <v>20</v>
      </c>
      <c r="Q941" s="30">
        <v>2004</v>
      </c>
      <c r="R941" s="30">
        <v>2004</v>
      </c>
      <c r="S941" s="30">
        <v>1380</v>
      </c>
      <c r="T941" s="32"/>
      <c r="U941" s="32"/>
      <c r="V941" s="32"/>
      <c r="W941" s="32"/>
      <c r="X941" s="32">
        <f>Inventory[[#This Row],[Bsmt Area]]-Inventory[[#This Row],[FnBsmt]]</f>
        <v>0</v>
      </c>
      <c r="Y941" s="32">
        <f>Inventory[[#This Row],[MainFn]]+Inventory[[#This Row],[UpprFn]]+Inventory[[#This Row],[AddFn]]+Inventory[[#This Row],[FnBsmt]]</f>
        <v>1380</v>
      </c>
      <c r="Z941" s="32">
        <v>1500</v>
      </c>
      <c r="AA941" s="31" t="s">
        <v>56</v>
      </c>
      <c r="AB941" s="32"/>
      <c r="AC941" s="30">
        <v>428</v>
      </c>
      <c r="AD941" s="32"/>
      <c r="AE941" s="32"/>
      <c r="AF941" s="32"/>
      <c r="AG941" s="32"/>
      <c r="AH941" s="32"/>
      <c r="AI941" s="30">
        <v>273487</v>
      </c>
      <c r="AJ941" s="30">
        <v>248873</v>
      </c>
      <c r="AK941" s="30">
        <v>0</v>
      </c>
      <c r="AL941" s="30">
        <v>0</v>
      </c>
      <c r="AM941" s="30">
        <v>60800</v>
      </c>
      <c r="AN941" s="30">
        <v>286700</v>
      </c>
      <c r="AO941" s="30">
        <v>347500</v>
      </c>
      <c r="AP941" s="30">
        <f>Lookups!$B$58*0.6</f>
        <v>132535.48800000001</v>
      </c>
      <c r="AQ941" s="30">
        <f>Lookups!$B$58*0.4</f>
        <v>88356.992000000013</v>
      </c>
      <c r="AR941" s="30">
        <f>Lookups!$B$59*Inventory[[#This Row],[LnAcres]]</f>
        <v>-24051.387388882686</v>
      </c>
      <c r="AS941" s="30">
        <f>VLOOKUP(Inventory[[#This Row],[Qlty]],Lookups!$A$66:$E$79,2,FALSE)</f>
        <v>37154.252388000001</v>
      </c>
      <c r="AT941" s="30">
        <f>VLOOKUP(Inventory[[#This Row],[Cnd]],Lookups!$A$80:$E$88,2,FALSE)</f>
        <v>30300.329274</v>
      </c>
      <c r="AU941" s="30">
        <f>Inventory[[#This Row],[EffAge]]*Lookups!$B$65</f>
        <v>-2174.8220000000001</v>
      </c>
      <c r="AV941" s="30">
        <f>Inventory[[#This Row],[MainFn]]*Lookups!$B$90</f>
        <v>86126.324399999998</v>
      </c>
      <c r="AW941" s="30">
        <f>Inventory[[#This Row],[UpprFn]]*Lookups!$B$91</f>
        <v>0</v>
      </c>
      <c r="AX941" s="30">
        <f>Inventory[[#This Row],[Bsmt Area]]*Lookups!$B$95</f>
        <v>0</v>
      </c>
      <c r="AY941" s="30">
        <f>Inventory[[#This Row],[AttGar]]*Lookups!$B$93</f>
        <v>15108.841268</v>
      </c>
      <c r="AZ941" s="30">
        <f>ROUND(Inventory[[#This Row],[25Det]],-2)</f>
        <v>0</v>
      </c>
      <c r="BA941" s="30">
        <f>ROUND(SUM(Inventory[[#This Row],[Mdl Qlty]:[Mdl Garage Area]])+Inventory[[#This Row],[Mdl Res Intercept]],-2)</f>
        <v>299100</v>
      </c>
      <c r="BB941" s="30">
        <f>ROUND(Inventory[[#This Row],[Mdl Land Intercept]]+Inventory[[#This Row],[Mdl LnAcres]],-2)</f>
        <v>64300</v>
      </c>
      <c r="BC941" s="30">
        <f>Inventory[[#This Row],[Unadj Res Value]]+Inventory[[#This Row],[Unadj Det Value]]+Inventory[[#This Row],[Unadj Land Value]]</f>
        <v>363400</v>
      </c>
      <c r="BD941" s="30">
        <f>(Inventory[[#This Row],[Unadj Total Value]]-Inventory[[#This Row],[24Final]])/Inventory[[#This Row],[24Final]]</f>
        <v>4.5755395683453236E-2</v>
      </c>
      <c r="BE941" s="30">
        <f>VLOOKUP(Inventory[[#This Row],[Nbhd]],Lookups!$M$3:$P$5,4,FALSE)</f>
        <v>0.99970000000000003</v>
      </c>
      <c r="BF941" s="30">
        <f>VLOOKUP(Inventory[[#This Row],[Qlty]],Lookups!$M$8:$P$22,4,FALSE)</f>
        <v>0.99819999999999998</v>
      </c>
      <c r="BG941" s="30">
        <f>VLOOKUP(Inventory[[#This Row],[Cnd]],Lookups!$R$8:$U$17,4,FALSE)</f>
        <v>0.997</v>
      </c>
      <c r="BH941" s="30">
        <f>VLOOKUP(Inventory[[#This Row],[LivArea Range]],Lookups!$R$25:$U$43,4,FALSE)</f>
        <v>0.99519999999999997</v>
      </c>
      <c r="BI941" s="30">
        <f>VLOOKUP(Inventory[[#This Row],[Decade]],Lookups!$M$24:$P$40,4,FALSE)</f>
        <v>0.99560000000000004</v>
      </c>
      <c r="BJ941" s="30">
        <f>Inventory[[#This Row],[Nbhd Adj]]*0.95</f>
        <v>0.94971499999999998</v>
      </c>
      <c r="BK941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941" s="30">
        <f>ROUND((SUM(Inventory[[#This Row],[Mdl Qlty]:[Mdl Garage Area]])+Inventory[[#This Row],[Mdl Res Intercept]])*Inventory[[#This Row],[Res Adj ]],-2)</f>
        <v>283300</v>
      </c>
      <c r="BM941" s="30">
        <f>ROUND(Inventory[[#This Row],[25Det]]*Inventory[[#This Row],[Det/Nbhd Adj]],-2)</f>
        <v>0</v>
      </c>
      <c r="BN941" s="30">
        <f>Inventory[[#This Row],[Adjusted Res]]+Inventory[[#This Row],[Adj Det ]]</f>
        <v>283300</v>
      </c>
      <c r="BO941" s="30">
        <f>ROUND((Inventory[[#This Row],[Mdl Land Intercept]]+Inventory[[#This Row],[Mdl LnAcres]])*Inventory[[#This Row],[Det/Nbhd Adj]],-2)</f>
        <v>61100</v>
      </c>
      <c r="BP941" s="30">
        <f>Inventory[[#This Row],[Adjusted Impr Total]]+Inventory[[#This Row],[Adjusted Land Total]]</f>
        <v>344400</v>
      </c>
      <c r="BQ941" s="30">
        <f>IFERROR((Inventory[[#This Row],[Adjusted Impr Total]]-Inventory[[#This Row],[24Bldg]])/Inventory[[#This Row],[24Bldg]],0)</f>
        <v>-1.1859086152772933E-2</v>
      </c>
      <c r="BR941" s="43">
        <f>(Inventory[[#This Row],[Adjusted Land Total]]-Inventory[[#This Row],[24Lnd]])/Inventory[[#This Row],[24Lnd]]</f>
        <v>4.9342105263157892E-3</v>
      </c>
      <c r="BS941" s="43">
        <f>(Inventory[[#This Row],[Adjusted Total]]-Inventory[[#This Row],[24Final]])/Inventory[[#This Row],[24Final]]</f>
        <v>-8.9208633093525187E-3</v>
      </c>
    </row>
    <row r="942" spans="1:71">
      <c r="A942" s="30">
        <v>2025</v>
      </c>
      <c r="B942" s="31" t="s">
        <v>1457</v>
      </c>
      <c r="C942" s="31">
        <f>LN(Inventory[[#This Row],[Acres]])</f>
        <v>-1.8325814637483102</v>
      </c>
      <c r="D942" s="30">
        <v>0.16</v>
      </c>
      <c r="E942" s="30">
        <v>7014</v>
      </c>
      <c r="F942" s="31" t="s">
        <v>505</v>
      </c>
      <c r="G942" s="31" t="s">
        <v>155</v>
      </c>
      <c r="H942" s="31" t="s">
        <v>5</v>
      </c>
      <c r="I942" s="31" t="s">
        <v>506</v>
      </c>
      <c r="J942" s="31" t="s">
        <v>507</v>
      </c>
      <c r="K942" s="31" t="s">
        <v>193</v>
      </c>
      <c r="L942" s="31" t="s">
        <v>19</v>
      </c>
      <c r="M942" s="31" t="s">
        <v>20</v>
      </c>
      <c r="N942" s="31">
        <v>20</v>
      </c>
      <c r="O942" s="31">
        <f>2024-Inventory[[#This Row],[YrBlt]]</f>
        <v>20</v>
      </c>
      <c r="P942" s="31">
        <f>2024-Inventory[[#This Row],[EffYr]]</f>
        <v>20</v>
      </c>
      <c r="Q942" s="30">
        <v>2004</v>
      </c>
      <c r="R942" s="30">
        <v>2004</v>
      </c>
      <c r="S942" s="30">
        <v>1380</v>
      </c>
      <c r="T942" s="37"/>
      <c r="U942" s="32"/>
      <c r="V942" s="32"/>
      <c r="W942" s="32"/>
      <c r="X942" s="32">
        <f>Inventory[[#This Row],[Bsmt Area]]-Inventory[[#This Row],[FnBsmt]]</f>
        <v>0</v>
      </c>
      <c r="Y942" s="32">
        <f>Inventory[[#This Row],[MainFn]]+Inventory[[#This Row],[UpprFn]]+Inventory[[#This Row],[AddFn]]+Inventory[[#This Row],[FnBsmt]]</f>
        <v>1380</v>
      </c>
      <c r="Z942" s="32">
        <v>1500</v>
      </c>
      <c r="AA942" s="31" t="s">
        <v>56</v>
      </c>
      <c r="AB942" s="32"/>
      <c r="AC942" s="38">
        <v>428</v>
      </c>
      <c r="AD942" s="37"/>
      <c r="AE942" s="32"/>
      <c r="AF942" s="32"/>
      <c r="AG942" s="32"/>
      <c r="AH942" s="32"/>
      <c r="AI942" s="30">
        <v>273487</v>
      </c>
      <c r="AJ942" s="30">
        <v>248873</v>
      </c>
      <c r="AK942" s="30">
        <v>0</v>
      </c>
      <c r="AL942" s="30">
        <v>0</v>
      </c>
      <c r="AM942" s="30">
        <v>60800</v>
      </c>
      <c r="AN942" s="30">
        <v>286700</v>
      </c>
      <c r="AO942" s="30">
        <v>347500</v>
      </c>
      <c r="AP942" s="30">
        <f>Lookups!$B$58*0.6</f>
        <v>132535.48800000001</v>
      </c>
      <c r="AQ942" s="30">
        <f>Lookups!$B$58*0.4</f>
        <v>88356.992000000013</v>
      </c>
      <c r="AR942" s="30">
        <f>Lookups!$B$59*Inventory[[#This Row],[LnAcres]]</f>
        <v>-24051.387388882686</v>
      </c>
      <c r="AS942" s="30">
        <f>VLOOKUP(Inventory[[#This Row],[Qlty]],Lookups!$A$66:$E$79,2,FALSE)</f>
        <v>37154.252388000001</v>
      </c>
      <c r="AT942" s="30">
        <f>VLOOKUP(Inventory[[#This Row],[Cnd]],Lookups!$A$80:$E$88,2,FALSE)</f>
        <v>30300.329274</v>
      </c>
      <c r="AU942" s="30">
        <f>Inventory[[#This Row],[EffAge]]*Lookups!$B$65</f>
        <v>-2174.8220000000001</v>
      </c>
      <c r="AV942" s="30">
        <f>Inventory[[#This Row],[MainFn]]*Lookups!$B$90</f>
        <v>86126.324399999998</v>
      </c>
      <c r="AW942" s="30">
        <f>Inventory[[#This Row],[UpprFn]]*Lookups!$B$91</f>
        <v>0</v>
      </c>
      <c r="AX942" s="30">
        <f>Inventory[[#This Row],[Bsmt Area]]*Lookups!$B$95</f>
        <v>0</v>
      </c>
      <c r="AY942" s="30">
        <f>Inventory[[#This Row],[AttGar]]*Lookups!$B$93</f>
        <v>15108.841268</v>
      </c>
      <c r="AZ942" s="30">
        <f>ROUND(Inventory[[#This Row],[25Det]],-2)</f>
        <v>0</v>
      </c>
      <c r="BA942" s="30">
        <f>ROUND(SUM(Inventory[[#This Row],[Mdl Qlty]:[Mdl Garage Area]])+Inventory[[#This Row],[Mdl Res Intercept]],-2)</f>
        <v>299100</v>
      </c>
      <c r="BB942" s="30">
        <f>ROUND(Inventory[[#This Row],[Mdl Land Intercept]]+Inventory[[#This Row],[Mdl LnAcres]],-2)</f>
        <v>64300</v>
      </c>
      <c r="BC942" s="30">
        <f>Inventory[[#This Row],[Unadj Res Value]]+Inventory[[#This Row],[Unadj Det Value]]+Inventory[[#This Row],[Unadj Land Value]]</f>
        <v>363400</v>
      </c>
      <c r="BD942" s="30">
        <f>(Inventory[[#This Row],[Unadj Total Value]]-Inventory[[#This Row],[24Final]])/Inventory[[#This Row],[24Final]]</f>
        <v>4.5755395683453236E-2</v>
      </c>
      <c r="BE942" s="30">
        <f>VLOOKUP(Inventory[[#This Row],[Nbhd]],Lookups!$M$3:$P$5,4,FALSE)</f>
        <v>0.99970000000000003</v>
      </c>
      <c r="BF942" s="30">
        <f>VLOOKUP(Inventory[[#This Row],[Qlty]],Lookups!$M$8:$P$22,4,FALSE)</f>
        <v>0.99819999999999998</v>
      </c>
      <c r="BG942" s="30">
        <f>VLOOKUP(Inventory[[#This Row],[Cnd]],Lookups!$R$8:$U$17,4,FALSE)</f>
        <v>0.997</v>
      </c>
      <c r="BH942" s="30">
        <f>VLOOKUP(Inventory[[#This Row],[LivArea Range]],Lookups!$R$25:$U$43,4,FALSE)</f>
        <v>0.99519999999999997</v>
      </c>
      <c r="BI942" s="30">
        <f>VLOOKUP(Inventory[[#This Row],[Decade]],Lookups!$M$24:$P$40,4,FALSE)</f>
        <v>0.99560000000000004</v>
      </c>
      <c r="BJ942" s="30">
        <f>Inventory[[#This Row],[Nbhd Adj]]*0.95</f>
        <v>0.94971499999999998</v>
      </c>
      <c r="BK942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942" s="30">
        <f>ROUND((SUM(Inventory[[#This Row],[Mdl Qlty]:[Mdl Garage Area]])+Inventory[[#This Row],[Mdl Res Intercept]])*Inventory[[#This Row],[Res Adj ]],-2)</f>
        <v>283300</v>
      </c>
      <c r="BM942" s="30">
        <f>ROUND(Inventory[[#This Row],[25Det]]*Inventory[[#This Row],[Det/Nbhd Adj]],-2)</f>
        <v>0</v>
      </c>
      <c r="BN942" s="30">
        <f>Inventory[[#This Row],[Adjusted Res]]+Inventory[[#This Row],[Adj Det ]]</f>
        <v>283300</v>
      </c>
      <c r="BO942" s="30">
        <f>ROUND((Inventory[[#This Row],[Mdl Land Intercept]]+Inventory[[#This Row],[Mdl LnAcres]])*Inventory[[#This Row],[Det/Nbhd Adj]],-2)</f>
        <v>61100</v>
      </c>
      <c r="BP942" s="30">
        <f>Inventory[[#This Row],[Adjusted Impr Total]]+Inventory[[#This Row],[Adjusted Land Total]]</f>
        <v>344400</v>
      </c>
      <c r="BQ942" s="30">
        <f>IFERROR((Inventory[[#This Row],[Adjusted Impr Total]]-Inventory[[#This Row],[24Bldg]])/Inventory[[#This Row],[24Bldg]],0)</f>
        <v>-1.1859086152772933E-2</v>
      </c>
      <c r="BR942" s="43">
        <f>(Inventory[[#This Row],[Adjusted Land Total]]-Inventory[[#This Row],[24Lnd]])/Inventory[[#This Row],[24Lnd]]</f>
        <v>4.9342105263157892E-3</v>
      </c>
      <c r="BS942" s="43">
        <f>(Inventory[[#This Row],[Adjusted Total]]-Inventory[[#This Row],[24Final]])/Inventory[[#This Row],[24Final]]</f>
        <v>-8.9208633093525187E-3</v>
      </c>
    </row>
    <row r="943" spans="1:71">
      <c r="A943" s="30">
        <v>2025</v>
      </c>
      <c r="B943" s="31" t="s">
        <v>1458</v>
      </c>
      <c r="C943" s="31">
        <f>LN(Inventory[[#This Row],[Acres]])</f>
        <v>-1.8325814637483102</v>
      </c>
      <c r="D943" s="30">
        <v>0.16</v>
      </c>
      <c r="E943" s="30">
        <v>7000</v>
      </c>
      <c r="F943" s="31" t="s">
        <v>505</v>
      </c>
      <c r="G943" s="31" t="s">
        <v>155</v>
      </c>
      <c r="H943" s="31" t="s">
        <v>5</v>
      </c>
      <c r="I943" s="31" t="s">
        <v>506</v>
      </c>
      <c r="J943" s="31" t="s">
        <v>507</v>
      </c>
      <c r="K943" s="31" t="s">
        <v>193</v>
      </c>
      <c r="L943" s="31" t="s">
        <v>21</v>
      </c>
      <c r="M943" s="31" t="s">
        <v>20</v>
      </c>
      <c r="N943" s="31">
        <v>20</v>
      </c>
      <c r="O943" s="31">
        <f>2024-Inventory[[#This Row],[YrBlt]]</f>
        <v>20</v>
      </c>
      <c r="P943" s="31">
        <f>2024-Inventory[[#This Row],[EffYr]]</f>
        <v>20</v>
      </c>
      <c r="Q943" s="30">
        <v>2004</v>
      </c>
      <c r="R943" s="30">
        <v>2004</v>
      </c>
      <c r="S943" s="30">
        <v>1706</v>
      </c>
      <c r="T943" s="32"/>
      <c r="U943" s="32"/>
      <c r="V943" s="32"/>
      <c r="W943" s="32"/>
      <c r="X943" s="32">
        <f>Inventory[[#This Row],[Bsmt Area]]-Inventory[[#This Row],[FnBsmt]]</f>
        <v>0</v>
      </c>
      <c r="Y943" s="32">
        <f>Inventory[[#This Row],[MainFn]]+Inventory[[#This Row],[UpprFn]]+Inventory[[#This Row],[AddFn]]+Inventory[[#This Row],[FnBsmt]]</f>
        <v>1706</v>
      </c>
      <c r="Z943" s="32">
        <v>2000</v>
      </c>
      <c r="AA943" s="31" t="s">
        <v>56</v>
      </c>
      <c r="AB943" s="32"/>
      <c r="AC943" s="30">
        <v>466</v>
      </c>
      <c r="AD943" s="32"/>
      <c r="AE943" s="32"/>
      <c r="AF943" s="32"/>
      <c r="AG943" s="32"/>
      <c r="AH943" s="32"/>
      <c r="AI943" s="30">
        <v>374997</v>
      </c>
      <c r="AJ943" s="30">
        <v>341247</v>
      </c>
      <c r="AK943" s="30">
        <v>0</v>
      </c>
      <c r="AL943" s="30">
        <v>0</v>
      </c>
      <c r="AM943" s="30">
        <v>60800</v>
      </c>
      <c r="AN943" s="30">
        <v>304500</v>
      </c>
      <c r="AO943" s="30">
        <v>365300</v>
      </c>
      <c r="AP943" s="30">
        <f>Lookups!$B$58*0.6</f>
        <v>132535.48800000001</v>
      </c>
      <c r="AQ943" s="30">
        <f>Lookups!$B$58*0.4</f>
        <v>88356.992000000013</v>
      </c>
      <c r="AR943" s="30">
        <f>Lookups!$B$59*Inventory[[#This Row],[LnAcres]]</f>
        <v>-24051.387388882686</v>
      </c>
      <c r="AS943" s="30">
        <f>VLOOKUP(Inventory[[#This Row],[Qlty]],Lookups!$A$66:$E$79,2,FALSE)</f>
        <v>32917.849192000001</v>
      </c>
      <c r="AT943" s="30">
        <f>VLOOKUP(Inventory[[#This Row],[Cnd]],Lookups!$A$80:$E$88,2,FALSE)</f>
        <v>30300.329274</v>
      </c>
      <c r="AU943" s="30">
        <f>Inventory[[#This Row],[EffAge]]*Lookups!$B$65</f>
        <v>-2174.8220000000001</v>
      </c>
      <c r="AV943" s="30">
        <f>Inventory[[#This Row],[MainFn]]*Lookups!$B$90</f>
        <v>106472.10828</v>
      </c>
      <c r="AW943" s="30">
        <f>Inventory[[#This Row],[UpprFn]]*Lookups!$B$91</f>
        <v>0</v>
      </c>
      <c r="AX943" s="30">
        <f>Inventory[[#This Row],[Bsmt Area]]*Lookups!$B$95</f>
        <v>0</v>
      </c>
      <c r="AY943" s="30">
        <f>Inventory[[#This Row],[AttGar]]*Lookups!$B$93</f>
        <v>16450.280446000001</v>
      </c>
      <c r="AZ943" s="30">
        <f>ROUND(Inventory[[#This Row],[25Det]],-2)</f>
        <v>0</v>
      </c>
      <c r="BA943" s="30">
        <f>ROUND(SUM(Inventory[[#This Row],[Mdl Qlty]:[Mdl Garage Area]])+Inventory[[#This Row],[Mdl Res Intercept]],-2)</f>
        <v>316500</v>
      </c>
      <c r="BB943" s="30">
        <f>ROUND(Inventory[[#This Row],[Mdl Land Intercept]]+Inventory[[#This Row],[Mdl LnAcres]],-2)</f>
        <v>64300</v>
      </c>
      <c r="BC943" s="30">
        <f>Inventory[[#This Row],[Unadj Res Value]]+Inventory[[#This Row],[Unadj Det Value]]+Inventory[[#This Row],[Unadj Land Value]]</f>
        <v>380800</v>
      </c>
      <c r="BD943" s="30">
        <f>(Inventory[[#This Row],[Unadj Total Value]]-Inventory[[#This Row],[24Final]])/Inventory[[#This Row],[24Final]]</f>
        <v>4.2430878729811113E-2</v>
      </c>
      <c r="BE943" s="30">
        <f>VLOOKUP(Inventory[[#This Row],[Nbhd]],Lookups!$M$3:$P$5,4,FALSE)</f>
        <v>0.99970000000000003</v>
      </c>
      <c r="BF943" s="30">
        <f>VLOOKUP(Inventory[[#This Row],[Qlty]],Lookups!$M$8:$P$22,4,FALSE)</f>
        <v>1.0019</v>
      </c>
      <c r="BG943" s="30">
        <f>VLOOKUP(Inventory[[#This Row],[Cnd]],Lookups!$R$8:$U$17,4,FALSE)</f>
        <v>0.997</v>
      </c>
      <c r="BH943" s="30">
        <f>VLOOKUP(Inventory[[#This Row],[LivArea Range]],Lookups!$R$25:$U$43,4,FALSE)</f>
        <v>1.0007999999999999</v>
      </c>
      <c r="BI943" s="30">
        <f>VLOOKUP(Inventory[[#This Row],[Decade]],Lookups!$M$24:$P$40,4,FALSE)</f>
        <v>0.99560000000000004</v>
      </c>
      <c r="BJ943" s="30">
        <f>Inventory[[#This Row],[Nbhd Adj]]*0.95</f>
        <v>0.94971499999999998</v>
      </c>
      <c r="BK943" s="30">
        <f>AVERAGE(Inventory[[#This Row],[Nbhd Adj]],Inventory[[#This Row],[Quality Adj]],Inventory[[#This Row],[Condition Adj]],Inventory[[#This Row],[Living Area Adj]],Inventory[[#This Row],[Decade Adj]])*0.95</f>
        <v>0.94904999999999984</v>
      </c>
      <c r="BL943" s="30">
        <f>ROUND((SUM(Inventory[[#This Row],[Mdl Qlty]:[Mdl Garage Area]])+Inventory[[#This Row],[Mdl Res Intercept]])*Inventory[[#This Row],[Res Adj ]],-2)</f>
        <v>300400</v>
      </c>
      <c r="BM943" s="30">
        <f>ROUND(Inventory[[#This Row],[25Det]]*Inventory[[#This Row],[Det/Nbhd Adj]],-2)</f>
        <v>0</v>
      </c>
      <c r="BN943" s="30">
        <f>Inventory[[#This Row],[Adjusted Res]]+Inventory[[#This Row],[Adj Det ]]</f>
        <v>300400</v>
      </c>
      <c r="BO943" s="30">
        <f>ROUND((Inventory[[#This Row],[Mdl Land Intercept]]+Inventory[[#This Row],[Mdl LnAcres]])*Inventory[[#This Row],[Det/Nbhd Adj]],-2)</f>
        <v>61100</v>
      </c>
      <c r="BP943" s="30">
        <f>Inventory[[#This Row],[Adjusted Impr Total]]+Inventory[[#This Row],[Adjusted Land Total]]</f>
        <v>361500</v>
      </c>
      <c r="BQ943" s="30">
        <f>IFERROR((Inventory[[#This Row],[Adjusted Impr Total]]-Inventory[[#This Row],[24Bldg]])/Inventory[[#This Row],[24Bldg]],0)</f>
        <v>-1.3464696223316914E-2</v>
      </c>
      <c r="BR943" s="43">
        <f>(Inventory[[#This Row],[Adjusted Land Total]]-Inventory[[#This Row],[24Lnd]])/Inventory[[#This Row],[24Lnd]]</f>
        <v>4.9342105263157892E-3</v>
      </c>
      <c r="BS943" s="43">
        <f>(Inventory[[#This Row],[Adjusted Total]]-Inventory[[#This Row],[24Final]])/Inventory[[#This Row],[24Final]]</f>
        <v>-1.0402408978921434E-2</v>
      </c>
    </row>
    <row r="944" spans="1:71">
      <c r="A944" s="30">
        <v>2025</v>
      </c>
      <c r="B944" s="31" t="s">
        <v>1459</v>
      </c>
      <c r="C944" s="31">
        <f>LN(Inventory[[#This Row],[Acres]])</f>
        <v>-1.8325814637483102</v>
      </c>
      <c r="D944" s="30">
        <v>0.16</v>
      </c>
      <c r="E944" s="30">
        <v>7001</v>
      </c>
      <c r="F944" s="31" t="s">
        <v>505</v>
      </c>
      <c r="G944" s="31" t="s">
        <v>155</v>
      </c>
      <c r="H944" s="31" t="s">
        <v>5</v>
      </c>
      <c r="I944" s="31" t="s">
        <v>506</v>
      </c>
      <c r="J944" s="31" t="s">
        <v>507</v>
      </c>
      <c r="K944" s="31" t="s">
        <v>193</v>
      </c>
      <c r="L944" s="31" t="s">
        <v>21</v>
      </c>
      <c r="M944" s="31" t="s">
        <v>20</v>
      </c>
      <c r="N944" s="31">
        <v>20</v>
      </c>
      <c r="O944" s="31">
        <f>2024-Inventory[[#This Row],[YrBlt]]</f>
        <v>20</v>
      </c>
      <c r="P944" s="31">
        <f>2024-Inventory[[#This Row],[EffYr]]</f>
        <v>20</v>
      </c>
      <c r="Q944" s="30">
        <v>2004</v>
      </c>
      <c r="R944" s="30">
        <v>2004</v>
      </c>
      <c r="S944" s="30">
        <v>1706</v>
      </c>
      <c r="T944" s="32"/>
      <c r="U944" s="32"/>
      <c r="V944" s="32"/>
      <c r="W944" s="32"/>
      <c r="X944" s="32">
        <f>Inventory[[#This Row],[Bsmt Area]]-Inventory[[#This Row],[FnBsmt]]</f>
        <v>0</v>
      </c>
      <c r="Y944" s="32">
        <f>Inventory[[#This Row],[MainFn]]+Inventory[[#This Row],[UpprFn]]+Inventory[[#This Row],[AddFn]]+Inventory[[#This Row],[FnBsmt]]</f>
        <v>1706</v>
      </c>
      <c r="Z944" s="32">
        <v>2000</v>
      </c>
      <c r="AA944" s="31" t="s">
        <v>56</v>
      </c>
      <c r="AB944" s="38">
        <v>1</v>
      </c>
      <c r="AC944" s="30">
        <v>466</v>
      </c>
      <c r="AD944" s="32"/>
      <c r="AE944" s="32"/>
      <c r="AF944" s="32"/>
      <c r="AG944" s="32"/>
      <c r="AH944" s="32"/>
      <c r="AI944" s="30">
        <v>377587</v>
      </c>
      <c r="AJ944" s="30">
        <v>343604</v>
      </c>
      <c r="AK944" s="30">
        <v>0</v>
      </c>
      <c r="AL944" s="30">
        <v>0</v>
      </c>
      <c r="AM944" s="30">
        <v>60800</v>
      </c>
      <c r="AN944" s="30">
        <v>304500</v>
      </c>
      <c r="AO944" s="30">
        <v>365300</v>
      </c>
      <c r="AP944" s="30">
        <f>Lookups!$B$58*0.6</f>
        <v>132535.48800000001</v>
      </c>
      <c r="AQ944" s="30">
        <f>Lookups!$B$58*0.4</f>
        <v>88356.992000000013</v>
      </c>
      <c r="AR944" s="30">
        <f>Lookups!$B$59*Inventory[[#This Row],[LnAcres]]</f>
        <v>-24051.387388882686</v>
      </c>
      <c r="AS944" s="30">
        <f>VLOOKUP(Inventory[[#This Row],[Qlty]],Lookups!$A$66:$E$79,2,FALSE)</f>
        <v>32917.849192000001</v>
      </c>
      <c r="AT944" s="30">
        <f>VLOOKUP(Inventory[[#This Row],[Cnd]],Lookups!$A$80:$E$88,2,FALSE)</f>
        <v>30300.329274</v>
      </c>
      <c r="AU944" s="30">
        <f>Inventory[[#This Row],[EffAge]]*Lookups!$B$65</f>
        <v>-2174.8220000000001</v>
      </c>
      <c r="AV944" s="30">
        <f>Inventory[[#This Row],[MainFn]]*Lookups!$B$90</f>
        <v>106472.10828</v>
      </c>
      <c r="AW944" s="30">
        <f>Inventory[[#This Row],[UpprFn]]*Lookups!$B$91</f>
        <v>0</v>
      </c>
      <c r="AX944" s="30">
        <f>Inventory[[#This Row],[Bsmt Area]]*Lookups!$B$95</f>
        <v>0</v>
      </c>
      <c r="AY944" s="30">
        <f>Inventory[[#This Row],[AttGar]]*Lookups!$B$93</f>
        <v>16450.280446000001</v>
      </c>
      <c r="AZ944" s="30">
        <f>ROUND(Inventory[[#This Row],[25Det]],-2)</f>
        <v>0</v>
      </c>
      <c r="BA944" s="30">
        <f>ROUND(SUM(Inventory[[#This Row],[Mdl Qlty]:[Mdl Garage Area]])+Inventory[[#This Row],[Mdl Res Intercept]],-2)</f>
        <v>316500</v>
      </c>
      <c r="BB944" s="30">
        <f>ROUND(Inventory[[#This Row],[Mdl Land Intercept]]+Inventory[[#This Row],[Mdl LnAcres]],-2)</f>
        <v>64300</v>
      </c>
      <c r="BC944" s="30">
        <f>Inventory[[#This Row],[Unadj Res Value]]+Inventory[[#This Row],[Unadj Det Value]]+Inventory[[#This Row],[Unadj Land Value]]</f>
        <v>380800</v>
      </c>
      <c r="BD944" s="30">
        <f>(Inventory[[#This Row],[Unadj Total Value]]-Inventory[[#This Row],[24Final]])/Inventory[[#This Row],[24Final]]</f>
        <v>4.2430878729811113E-2</v>
      </c>
      <c r="BE944" s="30">
        <f>VLOOKUP(Inventory[[#This Row],[Nbhd]],Lookups!$M$3:$P$5,4,FALSE)</f>
        <v>0.99970000000000003</v>
      </c>
      <c r="BF944" s="30">
        <f>VLOOKUP(Inventory[[#This Row],[Qlty]],Lookups!$M$8:$P$22,4,FALSE)</f>
        <v>1.0019</v>
      </c>
      <c r="BG944" s="30">
        <f>VLOOKUP(Inventory[[#This Row],[Cnd]],Lookups!$R$8:$U$17,4,FALSE)</f>
        <v>0.997</v>
      </c>
      <c r="BH944" s="30">
        <f>VLOOKUP(Inventory[[#This Row],[LivArea Range]],Lookups!$R$25:$U$43,4,FALSE)</f>
        <v>1.0007999999999999</v>
      </c>
      <c r="BI944" s="30">
        <f>VLOOKUP(Inventory[[#This Row],[Decade]],Lookups!$M$24:$P$40,4,FALSE)</f>
        <v>0.99560000000000004</v>
      </c>
      <c r="BJ944" s="30">
        <f>Inventory[[#This Row],[Nbhd Adj]]*0.95</f>
        <v>0.94971499999999998</v>
      </c>
      <c r="BK944" s="30">
        <f>AVERAGE(Inventory[[#This Row],[Nbhd Adj]],Inventory[[#This Row],[Quality Adj]],Inventory[[#This Row],[Condition Adj]],Inventory[[#This Row],[Living Area Adj]],Inventory[[#This Row],[Decade Adj]])*0.95</f>
        <v>0.94904999999999984</v>
      </c>
      <c r="BL944" s="30">
        <f>ROUND((SUM(Inventory[[#This Row],[Mdl Qlty]:[Mdl Garage Area]])+Inventory[[#This Row],[Mdl Res Intercept]])*Inventory[[#This Row],[Res Adj ]],-2)</f>
        <v>300400</v>
      </c>
      <c r="BM944" s="30">
        <f>ROUND(Inventory[[#This Row],[25Det]]*Inventory[[#This Row],[Det/Nbhd Adj]],-2)</f>
        <v>0</v>
      </c>
      <c r="BN944" s="30">
        <f>Inventory[[#This Row],[Adjusted Res]]+Inventory[[#This Row],[Adj Det ]]</f>
        <v>300400</v>
      </c>
      <c r="BO944" s="30">
        <f>ROUND((Inventory[[#This Row],[Mdl Land Intercept]]+Inventory[[#This Row],[Mdl LnAcres]])*Inventory[[#This Row],[Det/Nbhd Adj]],-2)</f>
        <v>61100</v>
      </c>
      <c r="BP944" s="30">
        <f>Inventory[[#This Row],[Adjusted Impr Total]]+Inventory[[#This Row],[Adjusted Land Total]]</f>
        <v>361500</v>
      </c>
      <c r="BQ944" s="30">
        <f>IFERROR((Inventory[[#This Row],[Adjusted Impr Total]]-Inventory[[#This Row],[24Bldg]])/Inventory[[#This Row],[24Bldg]],0)</f>
        <v>-1.3464696223316914E-2</v>
      </c>
      <c r="BR944" s="43">
        <f>(Inventory[[#This Row],[Adjusted Land Total]]-Inventory[[#This Row],[24Lnd]])/Inventory[[#This Row],[24Lnd]]</f>
        <v>4.9342105263157892E-3</v>
      </c>
      <c r="BS944" s="43">
        <f>(Inventory[[#This Row],[Adjusted Total]]-Inventory[[#This Row],[24Final]])/Inventory[[#This Row],[24Final]]</f>
        <v>-1.0402408978921434E-2</v>
      </c>
    </row>
    <row r="945" spans="1:71">
      <c r="A945" s="30">
        <v>2025</v>
      </c>
      <c r="B945" s="31" t="s">
        <v>1460</v>
      </c>
      <c r="C945" s="31">
        <f>LN(Inventory[[#This Row],[Acres]])</f>
        <v>-1.8325814637483102</v>
      </c>
      <c r="D945" s="30">
        <v>0.16</v>
      </c>
      <c r="E945" s="30">
        <v>7121</v>
      </c>
      <c r="F945" s="31" t="s">
        <v>505</v>
      </c>
      <c r="G945" s="31" t="s">
        <v>155</v>
      </c>
      <c r="H945" s="31" t="s">
        <v>5</v>
      </c>
      <c r="I945" s="31" t="s">
        <v>506</v>
      </c>
      <c r="J945" s="31" t="s">
        <v>507</v>
      </c>
      <c r="K945" s="31" t="s">
        <v>193</v>
      </c>
      <c r="L945" s="31" t="s">
        <v>21</v>
      </c>
      <c r="M945" s="31" t="s">
        <v>20</v>
      </c>
      <c r="N945" s="31">
        <v>20</v>
      </c>
      <c r="O945" s="31">
        <f>2024-Inventory[[#This Row],[YrBlt]]</f>
        <v>20</v>
      </c>
      <c r="P945" s="31">
        <f>2024-Inventory[[#This Row],[EffYr]]</f>
        <v>20</v>
      </c>
      <c r="Q945" s="30">
        <v>2004</v>
      </c>
      <c r="R945" s="30">
        <v>2004</v>
      </c>
      <c r="S945" s="30">
        <v>1706</v>
      </c>
      <c r="T945" s="32"/>
      <c r="U945" s="32"/>
      <c r="V945" s="32"/>
      <c r="W945" s="32"/>
      <c r="X945" s="32">
        <f>Inventory[[#This Row],[Bsmt Area]]-Inventory[[#This Row],[FnBsmt]]</f>
        <v>0</v>
      </c>
      <c r="Y945" s="32">
        <f>Inventory[[#This Row],[MainFn]]+Inventory[[#This Row],[UpprFn]]+Inventory[[#This Row],[AddFn]]+Inventory[[#This Row],[FnBsmt]]</f>
        <v>1706</v>
      </c>
      <c r="Z945" s="32">
        <v>2000</v>
      </c>
      <c r="AA945" s="31" t="s">
        <v>56</v>
      </c>
      <c r="AB945" s="32"/>
      <c r="AC945" s="30">
        <v>466</v>
      </c>
      <c r="AD945" s="32"/>
      <c r="AE945" s="32"/>
      <c r="AF945" s="32"/>
      <c r="AG945" s="32"/>
      <c r="AH945" s="32"/>
      <c r="AI945" s="30">
        <v>374519</v>
      </c>
      <c r="AJ945" s="30">
        <v>340812</v>
      </c>
      <c r="AK945" s="30">
        <v>0</v>
      </c>
      <c r="AL945" s="30">
        <v>0</v>
      </c>
      <c r="AM945" s="30">
        <v>60800</v>
      </c>
      <c r="AN945" s="30">
        <v>304500</v>
      </c>
      <c r="AO945" s="30">
        <v>365300</v>
      </c>
      <c r="AP945" s="30">
        <f>Lookups!$B$58*0.6</f>
        <v>132535.48800000001</v>
      </c>
      <c r="AQ945" s="30">
        <f>Lookups!$B$58*0.4</f>
        <v>88356.992000000013</v>
      </c>
      <c r="AR945" s="30">
        <f>Lookups!$B$59*Inventory[[#This Row],[LnAcres]]</f>
        <v>-24051.387388882686</v>
      </c>
      <c r="AS945" s="30">
        <f>VLOOKUP(Inventory[[#This Row],[Qlty]],Lookups!$A$66:$E$79,2,FALSE)</f>
        <v>32917.849192000001</v>
      </c>
      <c r="AT945" s="30">
        <f>VLOOKUP(Inventory[[#This Row],[Cnd]],Lookups!$A$80:$E$88,2,FALSE)</f>
        <v>30300.329274</v>
      </c>
      <c r="AU945" s="30">
        <f>Inventory[[#This Row],[EffAge]]*Lookups!$B$65</f>
        <v>-2174.8220000000001</v>
      </c>
      <c r="AV945" s="30">
        <f>Inventory[[#This Row],[MainFn]]*Lookups!$B$90</f>
        <v>106472.10828</v>
      </c>
      <c r="AW945" s="30">
        <f>Inventory[[#This Row],[UpprFn]]*Lookups!$B$91</f>
        <v>0</v>
      </c>
      <c r="AX945" s="30">
        <f>Inventory[[#This Row],[Bsmt Area]]*Lookups!$B$95</f>
        <v>0</v>
      </c>
      <c r="AY945" s="30">
        <f>Inventory[[#This Row],[AttGar]]*Lookups!$B$93</f>
        <v>16450.280446000001</v>
      </c>
      <c r="AZ945" s="30">
        <f>ROUND(Inventory[[#This Row],[25Det]],-2)</f>
        <v>0</v>
      </c>
      <c r="BA945" s="30">
        <f>ROUND(SUM(Inventory[[#This Row],[Mdl Qlty]:[Mdl Garage Area]])+Inventory[[#This Row],[Mdl Res Intercept]],-2)</f>
        <v>316500</v>
      </c>
      <c r="BB945" s="30">
        <f>ROUND(Inventory[[#This Row],[Mdl Land Intercept]]+Inventory[[#This Row],[Mdl LnAcres]],-2)</f>
        <v>64300</v>
      </c>
      <c r="BC945" s="30">
        <f>Inventory[[#This Row],[Unadj Res Value]]+Inventory[[#This Row],[Unadj Det Value]]+Inventory[[#This Row],[Unadj Land Value]]</f>
        <v>380800</v>
      </c>
      <c r="BD945" s="30">
        <f>(Inventory[[#This Row],[Unadj Total Value]]-Inventory[[#This Row],[24Final]])/Inventory[[#This Row],[24Final]]</f>
        <v>4.2430878729811113E-2</v>
      </c>
      <c r="BE945" s="30">
        <f>VLOOKUP(Inventory[[#This Row],[Nbhd]],Lookups!$M$3:$P$5,4,FALSE)</f>
        <v>0.99970000000000003</v>
      </c>
      <c r="BF945" s="30">
        <f>VLOOKUP(Inventory[[#This Row],[Qlty]],Lookups!$M$8:$P$22,4,FALSE)</f>
        <v>1.0019</v>
      </c>
      <c r="BG945" s="30">
        <f>VLOOKUP(Inventory[[#This Row],[Cnd]],Lookups!$R$8:$U$17,4,FALSE)</f>
        <v>0.997</v>
      </c>
      <c r="BH945" s="30">
        <f>VLOOKUP(Inventory[[#This Row],[LivArea Range]],Lookups!$R$25:$U$43,4,FALSE)</f>
        <v>1.0007999999999999</v>
      </c>
      <c r="BI945" s="30">
        <f>VLOOKUP(Inventory[[#This Row],[Decade]],Lookups!$M$24:$P$40,4,FALSE)</f>
        <v>0.99560000000000004</v>
      </c>
      <c r="BJ945" s="30">
        <f>Inventory[[#This Row],[Nbhd Adj]]*0.95</f>
        <v>0.94971499999999998</v>
      </c>
      <c r="BK945" s="30">
        <f>AVERAGE(Inventory[[#This Row],[Nbhd Adj]],Inventory[[#This Row],[Quality Adj]],Inventory[[#This Row],[Condition Adj]],Inventory[[#This Row],[Living Area Adj]],Inventory[[#This Row],[Decade Adj]])*0.95</f>
        <v>0.94904999999999984</v>
      </c>
      <c r="BL945" s="30">
        <f>ROUND((SUM(Inventory[[#This Row],[Mdl Qlty]:[Mdl Garage Area]])+Inventory[[#This Row],[Mdl Res Intercept]])*Inventory[[#This Row],[Res Adj ]],-2)</f>
        <v>300400</v>
      </c>
      <c r="BM945" s="30">
        <f>ROUND(Inventory[[#This Row],[25Det]]*Inventory[[#This Row],[Det/Nbhd Adj]],-2)</f>
        <v>0</v>
      </c>
      <c r="BN945" s="30">
        <f>Inventory[[#This Row],[Adjusted Res]]+Inventory[[#This Row],[Adj Det ]]</f>
        <v>300400</v>
      </c>
      <c r="BO945" s="30">
        <f>ROUND((Inventory[[#This Row],[Mdl Land Intercept]]+Inventory[[#This Row],[Mdl LnAcres]])*Inventory[[#This Row],[Det/Nbhd Adj]],-2)</f>
        <v>61100</v>
      </c>
      <c r="BP945" s="30">
        <f>Inventory[[#This Row],[Adjusted Impr Total]]+Inventory[[#This Row],[Adjusted Land Total]]</f>
        <v>361500</v>
      </c>
      <c r="BQ945" s="30">
        <f>IFERROR((Inventory[[#This Row],[Adjusted Impr Total]]-Inventory[[#This Row],[24Bldg]])/Inventory[[#This Row],[24Bldg]],0)</f>
        <v>-1.3464696223316914E-2</v>
      </c>
      <c r="BR945" s="43">
        <f>(Inventory[[#This Row],[Adjusted Land Total]]-Inventory[[#This Row],[24Lnd]])/Inventory[[#This Row],[24Lnd]]</f>
        <v>4.9342105263157892E-3</v>
      </c>
      <c r="BS945" s="43">
        <f>(Inventory[[#This Row],[Adjusted Total]]-Inventory[[#This Row],[24Final]])/Inventory[[#This Row],[24Final]]</f>
        <v>-1.0402408978921434E-2</v>
      </c>
    </row>
    <row r="946" spans="1:71">
      <c r="A946" s="30">
        <v>2025</v>
      </c>
      <c r="B946" s="31" t="s">
        <v>1461</v>
      </c>
      <c r="C946" s="31">
        <f>LN(Inventory[[#This Row],[Acres]])</f>
        <v>-1.8325814637483102</v>
      </c>
      <c r="D946" s="30">
        <v>0.16</v>
      </c>
      <c r="E946" s="30">
        <v>6805</v>
      </c>
      <c r="F946" s="31" t="s">
        <v>505</v>
      </c>
      <c r="G946" s="31" t="s">
        <v>155</v>
      </c>
      <c r="H946" s="31" t="s">
        <v>5</v>
      </c>
      <c r="I946" s="31" t="s">
        <v>506</v>
      </c>
      <c r="J946" s="31" t="s">
        <v>507</v>
      </c>
      <c r="K946" s="31" t="s">
        <v>193</v>
      </c>
      <c r="L946" s="31" t="s">
        <v>21</v>
      </c>
      <c r="M946" s="31" t="s">
        <v>18</v>
      </c>
      <c r="N946" s="31">
        <v>20</v>
      </c>
      <c r="O946" s="31">
        <f>2024-Inventory[[#This Row],[YrBlt]]</f>
        <v>20</v>
      </c>
      <c r="P946" s="31">
        <f>2024-Inventory[[#This Row],[EffYr]]</f>
        <v>20</v>
      </c>
      <c r="Q946" s="30">
        <v>2004</v>
      </c>
      <c r="R946" s="30">
        <v>2004</v>
      </c>
      <c r="S946" s="30">
        <v>1706</v>
      </c>
      <c r="T946" s="37"/>
      <c r="U946" s="32"/>
      <c r="V946" s="32"/>
      <c r="W946" s="32"/>
      <c r="X946" s="32">
        <f>Inventory[[#This Row],[Bsmt Area]]-Inventory[[#This Row],[FnBsmt]]</f>
        <v>0</v>
      </c>
      <c r="Y946" s="32">
        <f>Inventory[[#This Row],[MainFn]]+Inventory[[#This Row],[UpprFn]]+Inventory[[#This Row],[AddFn]]+Inventory[[#This Row],[FnBsmt]]</f>
        <v>1706</v>
      </c>
      <c r="Z946" s="32">
        <v>2000</v>
      </c>
      <c r="AA946" s="31" t="s">
        <v>56</v>
      </c>
      <c r="AB946" s="32"/>
      <c r="AC946" s="30">
        <v>466</v>
      </c>
      <c r="AD946" s="32"/>
      <c r="AE946" s="32"/>
      <c r="AF946" s="32"/>
      <c r="AG946" s="32"/>
      <c r="AH946" s="32"/>
      <c r="AI946" s="30">
        <v>371873</v>
      </c>
      <c r="AJ946" s="30">
        <v>338404</v>
      </c>
      <c r="AK946" s="30">
        <v>0</v>
      </c>
      <c r="AL946" s="30">
        <v>0</v>
      </c>
      <c r="AM946" s="30">
        <v>60800</v>
      </c>
      <c r="AN946" s="30">
        <v>291300</v>
      </c>
      <c r="AO946" s="30">
        <v>352100</v>
      </c>
      <c r="AP946" s="30">
        <f>Lookups!$B$58*0.6</f>
        <v>132535.48800000001</v>
      </c>
      <c r="AQ946" s="30">
        <f>Lookups!$B$58*0.4</f>
        <v>88356.992000000013</v>
      </c>
      <c r="AR946" s="30">
        <f>Lookups!$B$59*Inventory[[#This Row],[LnAcres]]</f>
        <v>-24051.387388882686</v>
      </c>
      <c r="AS946" s="30">
        <f>VLOOKUP(Inventory[[#This Row],[Qlty]],Lookups!$A$66:$E$79,2,FALSE)</f>
        <v>32917.849192000001</v>
      </c>
      <c r="AT946" s="30">
        <f>VLOOKUP(Inventory[[#This Row],[Cnd]],Lookups!$A$80:$E$88,2,FALSE)</f>
        <v>17761.121909000001</v>
      </c>
      <c r="AU946" s="30">
        <f>Inventory[[#This Row],[EffAge]]*Lookups!$B$65</f>
        <v>-2174.8220000000001</v>
      </c>
      <c r="AV946" s="30">
        <f>Inventory[[#This Row],[MainFn]]*Lookups!$B$90</f>
        <v>106472.10828</v>
      </c>
      <c r="AW946" s="30">
        <f>Inventory[[#This Row],[UpprFn]]*Lookups!$B$91</f>
        <v>0</v>
      </c>
      <c r="AX946" s="30">
        <f>Inventory[[#This Row],[Bsmt Area]]*Lookups!$B$95</f>
        <v>0</v>
      </c>
      <c r="AY946" s="30">
        <f>Inventory[[#This Row],[AttGar]]*Lookups!$B$93</f>
        <v>16450.280446000001</v>
      </c>
      <c r="AZ946" s="30">
        <f>ROUND(Inventory[[#This Row],[25Det]],-2)</f>
        <v>0</v>
      </c>
      <c r="BA946" s="30">
        <f>ROUND(SUM(Inventory[[#This Row],[Mdl Qlty]:[Mdl Garage Area]])+Inventory[[#This Row],[Mdl Res Intercept]],-2)</f>
        <v>304000</v>
      </c>
      <c r="BB946" s="30">
        <f>ROUND(Inventory[[#This Row],[Mdl Land Intercept]]+Inventory[[#This Row],[Mdl LnAcres]],-2)</f>
        <v>64300</v>
      </c>
      <c r="BC946" s="30">
        <f>Inventory[[#This Row],[Unadj Res Value]]+Inventory[[#This Row],[Unadj Det Value]]+Inventory[[#This Row],[Unadj Land Value]]</f>
        <v>368300</v>
      </c>
      <c r="BD946" s="30">
        <f>(Inventory[[#This Row],[Unadj Total Value]]-Inventory[[#This Row],[24Final]])/Inventory[[#This Row],[24Final]]</f>
        <v>4.6009656347628512E-2</v>
      </c>
      <c r="BE946" s="30">
        <f>VLOOKUP(Inventory[[#This Row],[Nbhd]],Lookups!$M$3:$P$5,4,FALSE)</f>
        <v>0.99970000000000003</v>
      </c>
      <c r="BF946" s="30">
        <f>VLOOKUP(Inventory[[#This Row],[Qlty]],Lookups!$M$8:$P$22,4,FALSE)</f>
        <v>1.0019</v>
      </c>
      <c r="BG946" s="30">
        <f>VLOOKUP(Inventory[[#This Row],[Cnd]],Lookups!$R$8:$U$17,4,FALSE)</f>
        <v>0.99680000000000002</v>
      </c>
      <c r="BH946" s="30">
        <f>VLOOKUP(Inventory[[#This Row],[LivArea Range]],Lookups!$R$25:$U$43,4,FALSE)</f>
        <v>1.0007999999999999</v>
      </c>
      <c r="BI946" s="30">
        <f>VLOOKUP(Inventory[[#This Row],[Decade]],Lookups!$M$24:$P$40,4,FALSE)</f>
        <v>0.99560000000000004</v>
      </c>
      <c r="BJ946" s="30">
        <f>Inventory[[#This Row],[Nbhd Adj]]*0.95</f>
        <v>0.94971499999999998</v>
      </c>
      <c r="BK946" s="30">
        <f>AVERAGE(Inventory[[#This Row],[Nbhd Adj]],Inventory[[#This Row],[Quality Adj]],Inventory[[#This Row],[Condition Adj]],Inventory[[#This Row],[Living Area Adj]],Inventory[[#This Row],[Decade Adj]])*0.95</f>
        <v>0.94901199999999997</v>
      </c>
      <c r="BL946" s="30">
        <f>ROUND((SUM(Inventory[[#This Row],[Mdl Qlty]:[Mdl Garage Area]])+Inventory[[#This Row],[Mdl Res Intercept]])*Inventory[[#This Row],[Res Adj ]],-2)</f>
        <v>288500</v>
      </c>
      <c r="BM946" s="30">
        <f>ROUND(Inventory[[#This Row],[25Det]]*Inventory[[#This Row],[Det/Nbhd Adj]],-2)</f>
        <v>0</v>
      </c>
      <c r="BN946" s="30">
        <f>Inventory[[#This Row],[Adjusted Res]]+Inventory[[#This Row],[Adj Det ]]</f>
        <v>288500</v>
      </c>
      <c r="BO946" s="30">
        <f>ROUND((Inventory[[#This Row],[Mdl Land Intercept]]+Inventory[[#This Row],[Mdl LnAcres]])*Inventory[[#This Row],[Det/Nbhd Adj]],-2)</f>
        <v>61100</v>
      </c>
      <c r="BP946" s="30">
        <f>Inventory[[#This Row],[Adjusted Impr Total]]+Inventory[[#This Row],[Adjusted Land Total]]</f>
        <v>349600</v>
      </c>
      <c r="BQ946" s="30">
        <f>IFERROR((Inventory[[#This Row],[Adjusted Impr Total]]-Inventory[[#This Row],[24Bldg]])/Inventory[[#This Row],[24Bldg]],0)</f>
        <v>-9.6120837624442158E-3</v>
      </c>
      <c r="BR946" s="43">
        <f>(Inventory[[#This Row],[Adjusted Land Total]]-Inventory[[#This Row],[24Lnd]])/Inventory[[#This Row],[24Lnd]]</f>
        <v>4.9342105263157892E-3</v>
      </c>
      <c r="BS946" s="43">
        <f>(Inventory[[#This Row],[Adjusted Total]]-Inventory[[#This Row],[24Final]])/Inventory[[#This Row],[24Final]]</f>
        <v>-7.1002556092019308E-3</v>
      </c>
    </row>
    <row r="947" spans="1:71">
      <c r="A947" s="30">
        <v>2025</v>
      </c>
      <c r="B947" s="31" t="s">
        <v>1462</v>
      </c>
      <c r="C947" s="31">
        <f>LN(Inventory[[#This Row],[Acres]])</f>
        <v>-1.8325814637483102</v>
      </c>
      <c r="D947" s="30">
        <v>0.16</v>
      </c>
      <c r="E947" s="30">
        <v>7019</v>
      </c>
      <c r="F947" s="31" t="s">
        <v>505</v>
      </c>
      <c r="G947" s="31" t="s">
        <v>155</v>
      </c>
      <c r="H947" s="31" t="s">
        <v>5</v>
      </c>
      <c r="I947" s="31" t="s">
        <v>506</v>
      </c>
      <c r="J947" s="31" t="s">
        <v>507</v>
      </c>
      <c r="K947" s="31" t="s">
        <v>193</v>
      </c>
      <c r="L947" s="31" t="s">
        <v>21</v>
      </c>
      <c r="M947" s="31" t="s">
        <v>20</v>
      </c>
      <c r="N947" s="31">
        <v>20</v>
      </c>
      <c r="O947" s="31">
        <f>2024-Inventory[[#This Row],[YrBlt]]</f>
        <v>20</v>
      </c>
      <c r="P947" s="31">
        <f>2024-Inventory[[#This Row],[EffYr]]</f>
        <v>20</v>
      </c>
      <c r="Q947" s="30">
        <v>2004</v>
      </c>
      <c r="R947" s="30">
        <v>2004</v>
      </c>
      <c r="S947" s="30">
        <v>1706</v>
      </c>
      <c r="T947" s="32"/>
      <c r="U947" s="32"/>
      <c r="V947" s="32"/>
      <c r="W947" s="32"/>
      <c r="X947" s="32">
        <f>Inventory[[#This Row],[Bsmt Area]]-Inventory[[#This Row],[FnBsmt]]</f>
        <v>0</v>
      </c>
      <c r="Y947" s="32">
        <f>Inventory[[#This Row],[MainFn]]+Inventory[[#This Row],[UpprFn]]+Inventory[[#This Row],[AddFn]]+Inventory[[#This Row],[FnBsmt]]</f>
        <v>1706</v>
      </c>
      <c r="Z947" s="32">
        <v>2000</v>
      </c>
      <c r="AA947" s="31" t="s">
        <v>56</v>
      </c>
      <c r="AB947" s="37"/>
      <c r="AC947" s="30">
        <v>706</v>
      </c>
      <c r="AD947" s="32"/>
      <c r="AE947" s="32"/>
      <c r="AF947" s="32"/>
      <c r="AG947" s="32"/>
      <c r="AH947" s="32"/>
      <c r="AI947" s="30">
        <v>388351</v>
      </c>
      <c r="AJ947" s="30">
        <v>353399</v>
      </c>
      <c r="AK947" s="30">
        <v>0</v>
      </c>
      <c r="AL947" s="30">
        <v>0</v>
      </c>
      <c r="AM947" s="30">
        <v>60800</v>
      </c>
      <c r="AN947" s="30">
        <v>311500</v>
      </c>
      <c r="AO947" s="30">
        <v>372300</v>
      </c>
      <c r="AP947" s="30">
        <f>Lookups!$B$58*0.6</f>
        <v>132535.48800000001</v>
      </c>
      <c r="AQ947" s="30">
        <f>Lookups!$B$58*0.4</f>
        <v>88356.992000000013</v>
      </c>
      <c r="AR947" s="30">
        <f>Lookups!$B$59*Inventory[[#This Row],[LnAcres]]</f>
        <v>-24051.387388882686</v>
      </c>
      <c r="AS947" s="30">
        <f>VLOOKUP(Inventory[[#This Row],[Qlty]],Lookups!$A$66:$E$79,2,FALSE)</f>
        <v>32917.849192000001</v>
      </c>
      <c r="AT947" s="30">
        <f>VLOOKUP(Inventory[[#This Row],[Cnd]],Lookups!$A$80:$E$88,2,FALSE)</f>
        <v>30300.329274</v>
      </c>
      <c r="AU947" s="30">
        <f>Inventory[[#This Row],[EffAge]]*Lookups!$B$65</f>
        <v>-2174.8220000000001</v>
      </c>
      <c r="AV947" s="30">
        <f>Inventory[[#This Row],[MainFn]]*Lookups!$B$90</f>
        <v>106472.10828</v>
      </c>
      <c r="AW947" s="30">
        <f>Inventory[[#This Row],[UpprFn]]*Lookups!$B$91</f>
        <v>0</v>
      </c>
      <c r="AX947" s="30">
        <f>Inventory[[#This Row],[Bsmt Area]]*Lookups!$B$95</f>
        <v>0</v>
      </c>
      <c r="AY947" s="30">
        <f>Inventory[[#This Row],[AttGar]]*Lookups!$B$93</f>
        <v>24922.527886</v>
      </c>
      <c r="AZ947" s="30">
        <f>ROUND(Inventory[[#This Row],[25Det]],-2)</f>
        <v>0</v>
      </c>
      <c r="BA947" s="30">
        <f>ROUND(SUM(Inventory[[#This Row],[Mdl Qlty]:[Mdl Garage Area]])+Inventory[[#This Row],[Mdl Res Intercept]],-2)</f>
        <v>325000</v>
      </c>
      <c r="BB947" s="30">
        <f>ROUND(Inventory[[#This Row],[Mdl Land Intercept]]+Inventory[[#This Row],[Mdl LnAcres]],-2)</f>
        <v>64300</v>
      </c>
      <c r="BC947" s="30">
        <f>Inventory[[#This Row],[Unadj Res Value]]+Inventory[[#This Row],[Unadj Det Value]]+Inventory[[#This Row],[Unadj Land Value]]</f>
        <v>389300</v>
      </c>
      <c r="BD947" s="30">
        <f>(Inventory[[#This Row],[Unadj Total Value]]-Inventory[[#This Row],[24Final]])/Inventory[[#This Row],[24Final]]</f>
        <v>4.5662100456621002E-2</v>
      </c>
      <c r="BE947" s="30">
        <f>VLOOKUP(Inventory[[#This Row],[Nbhd]],Lookups!$M$3:$P$5,4,FALSE)</f>
        <v>0.99970000000000003</v>
      </c>
      <c r="BF947" s="30">
        <f>VLOOKUP(Inventory[[#This Row],[Qlty]],Lookups!$M$8:$P$22,4,FALSE)</f>
        <v>1.0019</v>
      </c>
      <c r="BG947" s="30">
        <f>VLOOKUP(Inventory[[#This Row],[Cnd]],Lookups!$R$8:$U$17,4,FALSE)</f>
        <v>0.997</v>
      </c>
      <c r="BH947" s="30">
        <f>VLOOKUP(Inventory[[#This Row],[LivArea Range]],Lookups!$R$25:$U$43,4,FALSE)</f>
        <v>1.0007999999999999</v>
      </c>
      <c r="BI947" s="30">
        <f>VLOOKUP(Inventory[[#This Row],[Decade]],Lookups!$M$24:$P$40,4,FALSE)</f>
        <v>0.99560000000000004</v>
      </c>
      <c r="BJ947" s="30">
        <f>Inventory[[#This Row],[Nbhd Adj]]*0.95</f>
        <v>0.94971499999999998</v>
      </c>
      <c r="BK947" s="30">
        <f>AVERAGE(Inventory[[#This Row],[Nbhd Adj]],Inventory[[#This Row],[Quality Adj]],Inventory[[#This Row],[Condition Adj]],Inventory[[#This Row],[Living Area Adj]],Inventory[[#This Row],[Decade Adj]])*0.95</f>
        <v>0.94904999999999984</v>
      </c>
      <c r="BL947" s="30">
        <f>ROUND((SUM(Inventory[[#This Row],[Mdl Qlty]:[Mdl Garage Area]])+Inventory[[#This Row],[Mdl Res Intercept]])*Inventory[[#This Row],[Res Adj ]],-2)</f>
        <v>308400</v>
      </c>
      <c r="BM947" s="30">
        <f>ROUND(Inventory[[#This Row],[25Det]]*Inventory[[#This Row],[Det/Nbhd Adj]],-2)</f>
        <v>0</v>
      </c>
      <c r="BN947" s="30">
        <f>Inventory[[#This Row],[Adjusted Res]]+Inventory[[#This Row],[Adj Det ]]</f>
        <v>308400</v>
      </c>
      <c r="BO947" s="30">
        <f>ROUND((Inventory[[#This Row],[Mdl Land Intercept]]+Inventory[[#This Row],[Mdl LnAcres]])*Inventory[[#This Row],[Det/Nbhd Adj]],-2)</f>
        <v>61100</v>
      </c>
      <c r="BP947" s="30">
        <f>Inventory[[#This Row],[Adjusted Impr Total]]+Inventory[[#This Row],[Adjusted Land Total]]</f>
        <v>369500</v>
      </c>
      <c r="BQ947" s="30">
        <f>IFERROR((Inventory[[#This Row],[Adjusted Impr Total]]-Inventory[[#This Row],[24Bldg]])/Inventory[[#This Row],[24Bldg]],0)</f>
        <v>-9.9518459069020872E-3</v>
      </c>
      <c r="BR947" s="43">
        <f>(Inventory[[#This Row],[Adjusted Land Total]]-Inventory[[#This Row],[24Lnd]])/Inventory[[#This Row],[24Lnd]]</f>
        <v>4.9342105263157892E-3</v>
      </c>
      <c r="BS947" s="43">
        <f>(Inventory[[#This Row],[Adjusted Total]]-Inventory[[#This Row],[24Final]])/Inventory[[#This Row],[24Final]]</f>
        <v>-7.5208165457964007E-3</v>
      </c>
    </row>
    <row r="948" spans="1:71">
      <c r="A948" s="30">
        <v>2025</v>
      </c>
      <c r="B948" s="31" t="s">
        <v>1463</v>
      </c>
      <c r="C948" s="31">
        <f>LN(Inventory[[#This Row],[Acres]])</f>
        <v>-1.8325814637483102</v>
      </c>
      <c r="D948" s="30">
        <v>0.16</v>
      </c>
      <c r="E948" s="30">
        <v>7017</v>
      </c>
      <c r="F948" s="31" t="s">
        <v>505</v>
      </c>
      <c r="G948" s="31" t="s">
        <v>155</v>
      </c>
      <c r="H948" s="31" t="s">
        <v>5</v>
      </c>
      <c r="I948" s="31" t="s">
        <v>506</v>
      </c>
      <c r="J948" s="31" t="s">
        <v>507</v>
      </c>
      <c r="K948" s="31" t="s">
        <v>157</v>
      </c>
      <c r="L948" s="31" t="s">
        <v>21</v>
      </c>
      <c r="M948" s="31" t="s">
        <v>22</v>
      </c>
      <c r="N948" s="31">
        <v>20</v>
      </c>
      <c r="O948" s="31">
        <f>2024-Inventory[[#This Row],[YrBlt]]</f>
        <v>20</v>
      </c>
      <c r="P948" s="31">
        <f>2024-Inventory[[#This Row],[EffYr]]</f>
        <v>20</v>
      </c>
      <c r="Q948" s="30">
        <v>2004</v>
      </c>
      <c r="R948" s="30">
        <v>2004</v>
      </c>
      <c r="S948" s="30">
        <v>1116</v>
      </c>
      <c r="T948" s="38">
        <v>1116</v>
      </c>
      <c r="U948" s="32"/>
      <c r="V948" s="32"/>
      <c r="W948" s="32"/>
      <c r="X948" s="32">
        <f>Inventory[[#This Row],[Bsmt Area]]-Inventory[[#This Row],[FnBsmt]]</f>
        <v>0</v>
      </c>
      <c r="Y948" s="32">
        <f>Inventory[[#This Row],[MainFn]]+Inventory[[#This Row],[UpprFn]]+Inventory[[#This Row],[AddFn]]+Inventory[[#This Row],[FnBsmt]]</f>
        <v>2232</v>
      </c>
      <c r="Z948" s="32">
        <v>2500</v>
      </c>
      <c r="AA948" s="31" t="s">
        <v>56</v>
      </c>
      <c r="AB948" s="37"/>
      <c r="AC948" s="30">
        <v>704</v>
      </c>
      <c r="AD948" s="32"/>
      <c r="AE948" s="32"/>
      <c r="AF948" s="32"/>
      <c r="AG948" s="32"/>
      <c r="AH948" s="32"/>
      <c r="AI948" s="30">
        <v>450905</v>
      </c>
      <c r="AJ948" s="30">
        <v>414833</v>
      </c>
      <c r="AK948" s="30">
        <v>0</v>
      </c>
      <c r="AL948" s="30">
        <v>0</v>
      </c>
      <c r="AM948" s="30">
        <v>60800</v>
      </c>
      <c r="AN948" s="30">
        <v>360500</v>
      </c>
      <c r="AO948" s="30">
        <v>421300</v>
      </c>
      <c r="AP948" s="30">
        <f>Lookups!$B$58*0.6</f>
        <v>132535.48800000001</v>
      </c>
      <c r="AQ948" s="30">
        <f>Lookups!$B$58*0.4</f>
        <v>88356.992000000013</v>
      </c>
      <c r="AR948" s="30">
        <f>Lookups!$B$59*Inventory[[#This Row],[LnAcres]]</f>
        <v>-24051.387388882686</v>
      </c>
      <c r="AS948" s="30">
        <f>VLOOKUP(Inventory[[#This Row],[Qlty]],Lookups!$A$66:$E$79,2,FALSE)</f>
        <v>32917.849192000001</v>
      </c>
      <c r="AT948" s="30">
        <f>VLOOKUP(Inventory[[#This Row],[Cnd]],Lookups!$A$80:$E$88,2,FALSE)</f>
        <v>50438.379078999998</v>
      </c>
      <c r="AU948" s="30">
        <f>Inventory[[#This Row],[EffAge]]*Lookups!$B$65</f>
        <v>-2174.8220000000001</v>
      </c>
      <c r="AV948" s="30">
        <f>Inventory[[#This Row],[MainFn]]*Lookups!$B$90</f>
        <v>69649.984080000009</v>
      </c>
      <c r="AW948" s="30">
        <f>Inventory[[#This Row],[UpprFn]]*Lookups!$B$91</f>
        <v>66491.707427999994</v>
      </c>
      <c r="AX948" s="30">
        <f>Inventory[[#This Row],[Bsmt Area]]*Lookups!$B$95</f>
        <v>0</v>
      </c>
      <c r="AY948" s="30">
        <f>Inventory[[#This Row],[AttGar]]*Lookups!$B$93</f>
        <v>24851.925824000002</v>
      </c>
      <c r="AZ948" s="30">
        <f>ROUND(Inventory[[#This Row],[25Det]],-2)</f>
        <v>0</v>
      </c>
      <c r="BA948" s="30">
        <f>ROUND(SUM(Inventory[[#This Row],[Mdl Qlty]:[Mdl Garage Area]])+Inventory[[#This Row],[Mdl Res Intercept]],-2)</f>
        <v>374700</v>
      </c>
      <c r="BB948" s="30">
        <f>ROUND(Inventory[[#This Row],[Mdl Land Intercept]]+Inventory[[#This Row],[Mdl LnAcres]],-2)</f>
        <v>64300</v>
      </c>
      <c r="BC948" s="30">
        <f>Inventory[[#This Row],[Unadj Res Value]]+Inventory[[#This Row],[Unadj Det Value]]+Inventory[[#This Row],[Unadj Land Value]]</f>
        <v>439000</v>
      </c>
      <c r="BD948" s="30">
        <f>(Inventory[[#This Row],[Unadj Total Value]]-Inventory[[#This Row],[24Final]])/Inventory[[#This Row],[24Final]]</f>
        <v>4.2012817469736528E-2</v>
      </c>
      <c r="BE948" s="30">
        <f>VLOOKUP(Inventory[[#This Row],[Nbhd]],Lookups!$M$3:$P$5,4,FALSE)</f>
        <v>0.99970000000000003</v>
      </c>
      <c r="BF948" s="30">
        <f>VLOOKUP(Inventory[[#This Row],[Qlty]],Lookups!$M$8:$P$22,4,FALSE)</f>
        <v>1.0019</v>
      </c>
      <c r="BG948" s="30">
        <f>VLOOKUP(Inventory[[#This Row],[Cnd]],Lookups!$R$8:$U$17,4,FALSE)</f>
        <v>1.0007999999999999</v>
      </c>
      <c r="BH948" s="30">
        <f>VLOOKUP(Inventory[[#This Row],[LivArea Range]],Lookups!$R$25:$U$43,4,FALSE)</f>
        <v>1.0008999999999999</v>
      </c>
      <c r="BI948" s="30">
        <f>VLOOKUP(Inventory[[#This Row],[Decade]],Lookups!$M$24:$P$40,4,FALSE)</f>
        <v>0.99560000000000004</v>
      </c>
      <c r="BJ948" s="30">
        <f>Inventory[[#This Row],[Nbhd Adj]]*0.95</f>
        <v>0.94971499999999998</v>
      </c>
      <c r="BK948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948" s="30">
        <f>ROUND((SUM(Inventory[[#This Row],[Mdl Qlty]:[Mdl Garage Area]])+Inventory[[#This Row],[Mdl Res Intercept]])*Inventory[[#This Row],[Res Adj ]],-2)</f>
        <v>355900</v>
      </c>
      <c r="BM948" s="30">
        <f>ROUND(Inventory[[#This Row],[25Det]]*Inventory[[#This Row],[Det/Nbhd Adj]],-2)</f>
        <v>0</v>
      </c>
      <c r="BN948" s="30">
        <f>Inventory[[#This Row],[Adjusted Res]]+Inventory[[#This Row],[Adj Det ]]</f>
        <v>355900</v>
      </c>
      <c r="BO948" s="30">
        <f>ROUND((Inventory[[#This Row],[Mdl Land Intercept]]+Inventory[[#This Row],[Mdl LnAcres]])*Inventory[[#This Row],[Det/Nbhd Adj]],-2)</f>
        <v>61100</v>
      </c>
      <c r="BP948" s="30">
        <f>Inventory[[#This Row],[Adjusted Impr Total]]+Inventory[[#This Row],[Adjusted Land Total]]</f>
        <v>417000</v>
      </c>
      <c r="BQ948" s="30">
        <f>IFERROR((Inventory[[#This Row],[Adjusted Impr Total]]-Inventory[[#This Row],[24Bldg]])/Inventory[[#This Row],[24Bldg]],0)</f>
        <v>-1.2760055478502081E-2</v>
      </c>
      <c r="BR948" s="43">
        <f>(Inventory[[#This Row],[Adjusted Land Total]]-Inventory[[#This Row],[24Lnd]])/Inventory[[#This Row],[24Lnd]]</f>
        <v>4.9342105263157892E-3</v>
      </c>
      <c r="BS948" s="43">
        <f>(Inventory[[#This Row],[Adjusted Total]]-Inventory[[#This Row],[24Final]])/Inventory[[#This Row],[24Final]]</f>
        <v>-1.0206503679088536E-2</v>
      </c>
    </row>
    <row r="949" spans="1:71">
      <c r="A949" s="30">
        <v>2025</v>
      </c>
      <c r="B949" s="31" t="s">
        <v>1464</v>
      </c>
      <c r="C949" s="31">
        <f>LN(Inventory[[#This Row],[Acres]])</f>
        <v>-1.8325814637483102</v>
      </c>
      <c r="D949" s="30">
        <v>0.16</v>
      </c>
      <c r="E949" s="30">
        <v>7009</v>
      </c>
      <c r="F949" s="31" t="s">
        <v>505</v>
      </c>
      <c r="G949" s="31" t="s">
        <v>155</v>
      </c>
      <c r="H949" s="31" t="s">
        <v>5</v>
      </c>
      <c r="I949" s="31" t="s">
        <v>506</v>
      </c>
      <c r="J949" s="31" t="s">
        <v>507</v>
      </c>
      <c r="K949" s="31" t="s">
        <v>193</v>
      </c>
      <c r="L949" s="31" t="s">
        <v>19</v>
      </c>
      <c r="M949" s="31" t="s">
        <v>22</v>
      </c>
      <c r="N949" s="31">
        <v>20</v>
      </c>
      <c r="O949" s="31">
        <f>2024-Inventory[[#This Row],[YrBlt]]</f>
        <v>20</v>
      </c>
      <c r="P949" s="31">
        <f>2024-Inventory[[#This Row],[EffYr]]</f>
        <v>20</v>
      </c>
      <c r="Q949" s="30">
        <v>2004</v>
      </c>
      <c r="R949" s="30">
        <v>2004</v>
      </c>
      <c r="S949" s="30">
        <v>1380</v>
      </c>
      <c r="T949" s="32"/>
      <c r="U949" s="32"/>
      <c r="V949" s="32"/>
      <c r="W949" s="32"/>
      <c r="X949" s="32">
        <f>Inventory[[#This Row],[Bsmt Area]]-Inventory[[#This Row],[FnBsmt]]</f>
        <v>0</v>
      </c>
      <c r="Y949" s="32">
        <f>Inventory[[#This Row],[MainFn]]+Inventory[[#This Row],[UpprFn]]+Inventory[[#This Row],[AddFn]]+Inventory[[#This Row],[FnBsmt]]</f>
        <v>1380</v>
      </c>
      <c r="Z949" s="32">
        <v>1500</v>
      </c>
      <c r="AA949" s="31" t="s">
        <v>56</v>
      </c>
      <c r="AB949" s="32"/>
      <c r="AC949" s="30">
        <v>428</v>
      </c>
      <c r="AD949" s="32"/>
      <c r="AE949" s="32"/>
      <c r="AF949" s="32"/>
      <c r="AG949" s="32"/>
      <c r="AH949" s="37"/>
      <c r="AI949" s="30">
        <v>275531</v>
      </c>
      <c r="AJ949" s="30">
        <v>253489</v>
      </c>
      <c r="AK949" s="30">
        <v>0</v>
      </c>
      <c r="AL949" s="30">
        <v>0</v>
      </c>
      <c r="AM949" s="30">
        <v>60800</v>
      </c>
      <c r="AN949" s="30">
        <v>305100</v>
      </c>
      <c r="AO949" s="30">
        <v>365900</v>
      </c>
      <c r="AP949" s="30">
        <f>Lookups!$B$58*0.6</f>
        <v>132535.48800000001</v>
      </c>
      <c r="AQ949" s="30">
        <f>Lookups!$B$58*0.4</f>
        <v>88356.992000000013</v>
      </c>
      <c r="AR949" s="30">
        <f>Lookups!$B$59*Inventory[[#This Row],[LnAcres]]</f>
        <v>-24051.387388882686</v>
      </c>
      <c r="AS949" s="30">
        <f>VLOOKUP(Inventory[[#This Row],[Qlty]],Lookups!$A$66:$E$79,2,FALSE)</f>
        <v>37154.252388000001</v>
      </c>
      <c r="AT949" s="30">
        <f>VLOOKUP(Inventory[[#This Row],[Cnd]],Lookups!$A$80:$E$88,2,FALSE)</f>
        <v>50438.379078999998</v>
      </c>
      <c r="AU949" s="30">
        <f>Inventory[[#This Row],[EffAge]]*Lookups!$B$65</f>
        <v>-2174.8220000000001</v>
      </c>
      <c r="AV949" s="30">
        <f>Inventory[[#This Row],[MainFn]]*Lookups!$B$90</f>
        <v>86126.324399999998</v>
      </c>
      <c r="AW949" s="30">
        <f>Inventory[[#This Row],[UpprFn]]*Lookups!$B$91</f>
        <v>0</v>
      </c>
      <c r="AX949" s="30">
        <f>Inventory[[#This Row],[Bsmt Area]]*Lookups!$B$95</f>
        <v>0</v>
      </c>
      <c r="AY949" s="30">
        <f>Inventory[[#This Row],[AttGar]]*Lookups!$B$93</f>
        <v>15108.841268</v>
      </c>
      <c r="AZ949" s="30">
        <f>ROUND(Inventory[[#This Row],[25Det]],-2)</f>
        <v>0</v>
      </c>
      <c r="BA949" s="30">
        <f>ROUND(SUM(Inventory[[#This Row],[Mdl Qlty]:[Mdl Garage Area]])+Inventory[[#This Row],[Mdl Res Intercept]],-2)</f>
        <v>319200</v>
      </c>
      <c r="BB949" s="30">
        <f>ROUND(Inventory[[#This Row],[Mdl Land Intercept]]+Inventory[[#This Row],[Mdl LnAcres]],-2)</f>
        <v>64300</v>
      </c>
      <c r="BC949" s="30">
        <f>Inventory[[#This Row],[Unadj Res Value]]+Inventory[[#This Row],[Unadj Det Value]]+Inventory[[#This Row],[Unadj Land Value]]</f>
        <v>383500</v>
      </c>
      <c r="BD949" s="30">
        <f>(Inventory[[#This Row],[Unadj Total Value]]-Inventory[[#This Row],[24Final]])/Inventory[[#This Row],[24Final]]</f>
        <v>4.8100573927302541E-2</v>
      </c>
      <c r="BE949" s="30">
        <f>VLOOKUP(Inventory[[#This Row],[Nbhd]],Lookups!$M$3:$P$5,4,FALSE)</f>
        <v>0.99970000000000003</v>
      </c>
      <c r="BF949" s="30">
        <f>VLOOKUP(Inventory[[#This Row],[Qlty]],Lookups!$M$8:$P$22,4,FALSE)</f>
        <v>0.99819999999999998</v>
      </c>
      <c r="BG949" s="30">
        <f>VLOOKUP(Inventory[[#This Row],[Cnd]],Lookups!$R$8:$U$17,4,FALSE)</f>
        <v>1.0007999999999999</v>
      </c>
      <c r="BH949" s="30">
        <f>VLOOKUP(Inventory[[#This Row],[LivArea Range]],Lookups!$R$25:$U$43,4,FALSE)</f>
        <v>0.99519999999999997</v>
      </c>
      <c r="BI949" s="30">
        <f>VLOOKUP(Inventory[[#This Row],[Decade]],Lookups!$M$24:$P$40,4,FALSE)</f>
        <v>0.99560000000000004</v>
      </c>
      <c r="BJ949" s="30">
        <f>Inventory[[#This Row],[Nbhd Adj]]*0.95</f>
        <v>0.94971499999999998</v>
      </c>
      <c r="BK949" s="30">
        <f>AVERAGE(Inventory[[#This Row],[Nbhd Adj]],Inventory[[#This Row],[Quality Adj]],Inventory[[#This Row],[Condition Adj]],Inventory[[#This Row],[Living Area Adj]],Inventory[[#This Row],[Decade Adj]])*0.95</f>
        <v>0.94800499999999988</v>
      </c>
      <c r="BL949" s="30">
        <f>ROUND((SUM(Inventory[[#This Row],[Mdl Qlty]:[Mdl Garage Area]])+Inventory[[#This Row],[Mdl Res Intercept]])*Inventory[[#This Row],[Res Adj ]],-2)</f>
        <v>302600</v>
      </c>
      <c r="BM949" s="30">
        <f>ROUND(Inventory[[#This Row],[25Det]]*Inventory[[#This Row],[Det/Nbhd Adj]],-2)</f>
        <v>0</v>
      </c>
      <c r="BN949" s="30">
        <f>Inventory[[#This Row],[Adjusted Res]]+Inventory[[#This Row],[Adj Det ]]</f>
        <v>302600</v>
      </c>
      <c r="BO949" s="30">
        <f>ROUND((Inventory[[#This Row],[Mdl Land Intercept]]+Inventory[[#This Row],[Mdl LnAcres]])*Inventory[[#This Row],[Det/Nbhd Adj]],-2)</f>
        <v>61100</v>
      </c>
      <c r="BP949" s="30">
        <f>Inventory[[#This Row],[Adjusted Impr Total]]+Inventory[[#This Row],[Adjusted Land Total]]</f>
        <v>363700</v>
      </c>
      <c r="BQ949" s="30">
        <f>IFERROR((Inventory[[#This Row],[Adjusted Impr Total]]-Inventory[[#This Row],[24Bldg]])/Inventory[[#This Row],[24Bldg]],0)</f>
        <v>-8.1940347427073099E-3</v>
      </c>
      <c r="BR949" s="43">
        <f>(Inventory[[#This Row],[Adjusted Land Total]]-Inventory[[#This Row],[24Lnd]])/Inventory[[#This Row],[24Lnd]]</f>
        <v>4.9342105263157892E-3</v>
      </c>
      <c r="BS949" s="43">
        <f>(Inventory[[#This Row],[Adjusted Total]]-Inventory[[#This Row],[24Final]])/Inventory[[#This Row],[24Final]]</f>
        <v>-6.0125717409128176E-3</v>
      </c>
    </row>
    <row r="950" spans="1:71">
      <c r="A950" s="30">
        <v>2025</v>
      </c>
      <c r="B950" s="31" t="s">
        <v>1465</v>
      </c>
      <c r="C950" s="31">
        <f>LN(Inventory[[#This Row],[Acres]])</f>
        <v>-1.8325814637483102</v>
      </c>
      <c r="D950" s="30">
        <v>0.16</v>
      </c>
      <c r="E950" s="30">
        <v>7010</v>
      </c>
      <c r="F950" s="31" t="s">
        <v>505</v>
      </c>
      <c r="G950" s="31" t="s">
        <v>155</v>
      </c>
      <c r="H950" s="31" t="s">
        <v>5</v>
      </c>
      <c r="I950" s="31" t="s">
        <v>506</v>
      </c>
      <c r="J950" s="31" t="s">
        <v>507</v>
      </c>
      <c r="K950" s="31" t="s">
        <v>193</v>
      </c>
      <c r="L950" s="31" t="s">
        <v>19</v>
      </c>
      <c r="M950" s="31" t="s">
        <v>22</v>
      </c>
      <c r="N950" s="31">
        <v>20</v>
      </c>
      <c r="O950" s="31">
        <f>2024-Inventory[[#This Row],[YrBlt]]</f>
        <v>20</v>
      </c>
      <c r="P950" s="31">
        <f>2024-Inventory[[#This Row],[EffYr]]</f>
        <v>20</v>
      </c>
      <c r="Q950" s="30">
        <v>2004</v>
      </c>
      <c r="R950" s="30">
        <v>2004</v>
      </c>
      <c r="S950" s="30">
        <v>1380</v>
      </c>
      <c r="T950" s="37"/>
      <c r="U950" s="32"/>
      <c r="V950" s="32"/>
      <c r="W950" s="32"/>
      <c r="X950" s="32">
        <f>Inventory[[#This Row],[Bsmt Area]]-Inventory[[#This Row],[FnBsmt]]</f>
        <v>0</v>
      </c>
      <c r="Y950" s="32">
        <f>Inventory[[#This Row],[MainFn]]+Inventory[[#This Row],[UpprFn]]+Inventory[[#This Row],[AddFn]]+Inventory[[#This Row],[FnBsmt]]</f>
        <v>1380</v>
      </c>
      <c r="Z950" s="32">
        <v>1500</v>
      </c>
      <c r="AA950" s="31" t="s">
        <v>56</v>
      </c>
      <c r="AB950" s="32"/>
      <c r="AC950" s="30">
        <v>428</v>
      </c>
      <c r="AD950" s="32"/>
      <c r="AE950" s="32"/>
      <c r="AF950" s="32"/>
      <c r="AG950" s="32"/>
      <c r="AH950" s="32"/>
      <c r="AI950" s="30">
        <v>275531</v>
      </c>
      <c r="AJ950" s="30">
        <v>253489</v>
      </c>
      <c r="AK950" s="30">
        <v>0</v>
      </c>
      <c r="AL950" s="30">
        <v>0</v>
      </c>
      <c r="AM950" s="30">
        <v>60800</v>
      </c>
      <c r="AN950" s="30">
        <v>305100</v>
      </c>
      <c r="AO950" s="30">
        <v>365900</v>
      </c>
      <c r="AP950" s="30">
        <f>Lookups!$B$58*0.6</f>
        <v>132535.48800000001</v>
      </c>
      <c r="AQ950" s="30">
        <f>Lookups!$B$58*0.4</f>
        <v>88356.992000000013</v>
      </c>
      <c r="AR950" s="30">
        <f>Lookups!$B$59*Inventory[[#This Row],[LnAcres]]</f>
        <v>-24051.387388882686</v>
      </c>
      <c r="AS950" s="30">
        <f>VLOOKUP(Inventory[[#This Row],[Qlty]],Lookups!$A$66:$E$79,2,FALSE)</f>
        <v>37154.252388000001</v>
      </c>
      <c r="AT950" s="30">
        <f>VLOOKUP(Inventory[[#This Row],[Cnd]],Lookups!$A$80:$E$88,2,FALSE)</f>
        <v>50438.379078999998</v>
      </c>
      <c r="AU950" s="30">
        <f>Inventory[[#This Row],[EffAge]]*Lookups!$B$65</f>
        <v>-2174.8220000000001</v>
      </c>
      <c r="AV950" s="30">
        <f>Inventory[[#This Row],[MainFn]]*Lookups!$B$90</f>
        <v>86126.324399999998</v>
      </c>
      <c r="AW950" s="30">
        <f>Inventory[[#This Row],[UpprFn]]*Lookups!$B$91</f>
        <v>0</v>
      </c>
      <c r="AX950" s="30">
        <f>Inventory[[#This Row],[Bsmt Area]]*Lookups!$B$95</f>
        <v>0</v>
      </c>
      <c r="AY950" s="30">
        <f>Inventory[[#This Row],[AttGar]]*Lookups!$B$93</f>
        <v>15108.841268</v>
      </c>
      <c r="AZ950" s="30">
        <f>ROUND(Inventory[[#This Row],[25Det]],-2)</f>
        <v>0</v>
      </c>
      <c r="BA950" s="30">
        <f>ROUND(SUM(Inventory[[#This Row],[Mdl Qlty]:[Mdl Garage Area]])+Inventory[[#This Row],[Mdl Res Intercept]],-2)</f>
        <v>319200</v>
      </c>
      <c r="BB950" s="30">
        <f>ROUND(Inventory[[#This Row],[Mdl Land Intercept]]+Inventory[[#This Row],[Mdl LnAcres]],-2)</f>
        <v>64300</v>
      </c>
      <c r="BC950" s="30">
        <f>Inventory[[#This Row],[Unadj Res Value]]+Inventory[[#This Row],[Unadj Det Value]]+Inventory[[#This Row],[Unadj Land Value]]</f>
        <v>383500</v>
      </c>
      <c r="BD950" s="30">
        <f>(Inventory[[#This Row],[Unadj Total Value]]-Inventory[[#This Row],[24Final]])/Inventory[[#This Row],[24Final]]</f>
        <v>4.8100573927302541E-2</v>
      </c>
      <c r="BE950" s="30">
        <f>VLOOKUP(Inventory[[#This Row],[Nbhd]],Lookups!$M$3:$P$5,4,FALSE)</f>
        <v>0.99970000000000003</v>
      </c>
      <c r="BF950" s="30">
        <f>VLOOKUP(Inventory[[#This Row],[Qlty]],Lookups!$M$8:$P$22,4,FALSE)</f>
        <v>0.99819999999999998</v>
      </c>
      <c r="BG950" s="30">
        <f>VLOOKUP(Inventory[[#This Row],[Cnd]],Lookups!$R$8:$U$17,4,FALSE)</f>
        <v>1.0007999999999999</v>
      </c>
      <c r="BH950" s="30">
        <f>VLOOKUP(Inventory[[#This Row],[LivArea Range]],Lookups!$R$25:$U$43,4,FALSE)</f>
        <v>0.99519999999999997</v>
      </c>
      <c r="BI950" s="30">
        <f>VLOOKUP(Inventory[[#This Row],[Decade]],Lookups!$M$24:$P$40,4,FALSE)</f>
        <v>0.99560000000000004</v>
      </c>
      <c r="BJ950" s="30">
        <f>Inventory[[#This Row],[Nbhd Adj]]*0.95</f>
        <v>0.94971499999999998</v>
      </c>
      <c r="BK950" s="30">
        <f>AVERAGE(Inventory[[#This Row],[Nbhd Adj]],Inventory[[#This Row],[Quality Adj]],Inventory[[#This Row],[Condition Adj]],Inventory[[#This Row],[Living Area Adj]],Inventory[[#This Row],[Decade Adj]])*0.95</f>
        <v>0.94800499999999988</v>
      </c>
      <c r="BL950" s="30">
        <f>ROUND((SUM(Inventory[[#This Row],[Mdl Qlty]:[Mdl Garage Area]])+Inventory[[#This Row],[Mdl Res Intercept]])*Inventory[[#This Row],[Res Adj ]],-2)</f>
        <v>302600</v>
      </c>
      <c r="BM950" s="30">
        <f>ROUND(Inventory[[#This Row],[25Det]]*Inventory[[#This Row],[Det/Nbhd Adj]],-2)</f>
        <v>0</v>
      </c>
      <c r="BN950" s="30">
        <f>Inventory[[#This Row],[Adjusted Res]]+Inventory[[#This Row],[Adj Det ]]</f>
        <v>302600</v>
      </c>
      <c r="BO950" s="30">
        <f>ROUND((Inventory[[#This Row],[Mdl Land Intercept]]+Inventory[[#This Row],[Mdl LnAcres]])*Inventory[[#This Row],[Det/Nbhd Adj]],-2)</f>
        <v>61100</v>
      </c>
      <c r="BP950" s="30">
        <f>Inventory[[#This Row],[Adjusted Impr Total]]+Inventory[[#This Row],[Adjusted Land Total]]</f>
        <v>363700</v>
      </c>
      <c r="BQ950" s="30">
        <f>IFERROR((Inventory[[#This Row],[Adjusted Impr Total]]-Inventory[[#This Row],[24Bldg]])/Inventory[[#This Row],[24Bldg]],0)</f>
        <v>-8.1940347427073099E-3</v>
      </c>
      <c r="BR950" s="43">
        <f>(Inventory[[#This Row],[Adjusted Land Total]]-Inventory[[#This Row],[24Lnd]])/Inventory[[#This Row],[24Lnd]]</f>
        <v>4.9342105263157892E-3</v>
      </c>
      <c r="BS950" s="43">
        <f>(Inventory[[#This Row],[Adjusted Total]]-Inventory[[#This Row],[24Final]])/Inventory[[#This Row],[24Final]]</f>
        <v>-6.0125717409128176E-3</v>
      </c>
    </row>
    <row r="951" spans="1:71">
      <c r="A951" s="30">
        <v>2025</v>
      </c>
      <c r="B951" s="31" t="s">
        <v>1466</v>
      </c>
      <c r="C951" s="31">
        <f>LN(Inventory[[#This Row],[Acres]])</f>
        <v>-1.8325814637483102</v>
      </c>
      <c r="D951" s="30">
        <v>0.16</v>
      </c>
      <c r="E951" s="30">
        <v>7011</v>
      </c>
      <c r="F951" s="31" t="s">
        <v>505</v>
      </c>
      <c r="G951" s="31" t="s">
        <v>155</v>
      </c>
      <c r="H951" s="31" t="s">
        <v>5</v>
      </c>
      <c r="I951" s="31" t="s">
        <v>506</v>
      </c>
      <c r="J951" s="31" t="s">
        <v>507</v>
      </c>
      <c r="K951" s="31" t="s">
        <v>193</v>
      </c>
      <c r="L951" s="31" t="s">
        <v>19</v>
      </c>
      <c r="M951" s="31" t="s">
        <v>22</v>
      </c>
      <c r="N951" s="31">
        <v>20</v>
      </c>
      <c r="O951" s="31">
        <f>2024-Inventory[[#This Row],[YrBlt]]</f>
        <v>20</v>
      </c>
      <c r="P951" s="31">
        <f>2024-Inventory[[#This Row],[EffYr]]</f>
        <v>20</v>
      </c>
      <c r="Q951" s="30">
        <v>2004</v>
      </c>
      <c r="R951" s="30">
        <v>2004</v>
      </c>
      <c r="S951" s="30">
        <v>1380</v>
      </c>
      <c r="T951" s="32"/>
      <c r="U951" s="32"/>
      <c r="V951" s="32"/>
      <c r="W951" s="32"/>
      <c r="X951" s="32">
        <f>Inventory[[#This Row],[Bsmt Area]]-Inventory[[#This Row],[FnBsmt]]</f>
        <v>0</v>
      </c>
      <c r="Y951" s="32">
        <f>Inventory[[#This Row],[MainFn]]+Inventory[[#This Row],[UpprFn]]+Inventory[[#This Row],[AddFn]]+Inventory[[#This Row],[FnBsmt]]</f>
        <v>1380</v>
      </c>
      <c r="Z951" s="32">
        <v>1500</v>
      </c>
      <c r="AA951" s="31" t="s">
        <v>56</v>
      </c>
      <c r="AB951" s="32"/>
      <c r="AC951" s="30">
        <v>428</v>
      </c>
      <c r="AD951" s="32"/>
      <c r="AE951" s="32"/>
      <c r="AF951" s="32"/>
      <c r="AG951" s="32"/>
      <c r="AH951" s="32"/>
      <c r="AI951" s="30">
        <v>275531</v>
      </c>
      <c r="AJ951" s="30">
        <v>253489</v>
      </c>
      <c r="AK951" s="30">
        <v>0</v>
      </c>
      <c r="AL951" s="30">
        <v>0</v>
      </c>
      <c r="AM951" s="30">
        <v>60800</v>
      </c>
      <c r="AN951" s="30">
        <v>305100</v>
      </c>
      <c r="AO951" s="30">
        <v>365900</v>
      </c>
      <c r="AP951" s="30">
        <f>Lookups!$B$58*0.6</f>
        <v>132535.48800000001</v>
      </c>
      <c r="AQ951" s="30">
        <f>Lookups!$B$58*0.4</f>
        <v>88356.992000000013</v>
      </c>
      <c r="AR951" s="30">
        <f>Lookups!$B$59*Inventory[[#This Row],[LnAcres]]</f>
        <v>-24051.387388882686</v>
      </c>
      <c r="AS951" s="30">
        <f>VLOOKUP(Inventory[[#This Row],[Qlty]],Lookups!$A$66:$E$79,2,FALSE)</f>
        <v>37154.252388000001</v>
      </c>
      <c r="AT951" s="30">
        <f>VLOOKUP(Inventory[[#This Row],[Cnd]],Lookups!$A$80:$E$88,2,FALSE)</f>
        <v>50438.379078999998</v>
      </c>
      <c r="AU951" s="30">
        <f>Inventory[[#This Row],[EffAge]]*Lookups!$B$65</f>
        <v>-2174.8220000000001</v>
      </c>
      <c r="AV951" s="30">
        <f>Inventory[[#This Row],[MainFn]]*Lookups!$B$90</f>
        <v>86126.324399999998</v>
      </c>
      <c r="AW951" s="30">
        <f>Inventory[[#This Row],[UpprFn]]*Lookups!$B$91</f>
        <v>0</v>
      </c>
      <c r="AX951" s="30">
        <f>Inventory[[#This Row],[Bsmt Area]]*Lookups!$B$95</f>
        <v>0</v>
      </c>
      <c r="AY951" s="30">
        <f>Inventory[[#This Row],[AttGar]]*Lookups!$B$93</f>
        <v>15108.841268</v>
      </c>
      <c r="AZ951" s="30">
        <f>ROUND(Inventory[[#This Row],[25Det]],-2)</f>
        <v>0</v>
      </c>
      <c r="BA951" s="30">
        <f>ROUND(SUM(Inventory[[#This Row],[Mdl Qlty]:[Mdl Garage Area]])+Inventory[[#This Row],[Mdl Res Intercept]],-2)</f>
        <v>319200</v>
      </c>
      <c r="BB951" s="30">
        <f>ROUND(Inventory[[#This Row],[Mdl Land Intercept]]+Inventory[[#This Row],[Mdl LnAcres]],-2)</f>
        <v>64300</v>
      </c>
      <c r="BC951" s="30">
        <f>Inventory[[#This Row],[Unadj Res Value]]+Inventory[[#This Row],[Unadj Det Value]]+Inventory[[#This Row],[Unadj Land Value]]</f>
        <v>383500</v>
      </c>
      <c r="BD951" s="30">
        <f>(Inventory[[#This Row],[Unadj Total Value]]-Inventory[[#This Row],[24Final]])/Inventory[[#This Row],[24Final]]</f>
        <v>4.8100573927302541E-2</v>
      </c>
      <c r="BE951" s="30">
        <f>VLOOKUP(Inventory[[#This Row],[Nbhd]],Lookups!$M$3:$P$5,4,FALSE)</f>
        <v>0.99970000000000003</v>
      </c>
      <c r="BF951" s="30">
        <f>VLOOKUP(Inventory[[#This Row],[Qlty]],Lookups!$M$8:$P$22,4,FALSE)</f>
        <v>0.99819999999999998</v>
      </c>
      <c r="BG951" s="30">
        <f>VLOOKUP(Inventory[[#This Row],[Cnd]],Lookups!$R$8:$U$17,4,FALSE)</f>
        <v>1.0007999999999999</v>
      </c>
      <c r="BH951" s="30">
        <f>VLOOKUP(Inventory[[#This Row],[LivArea Range]],Lookups!$R$25:$U$43,4,FALSE)</f>
        <v>0.99519999999999997</v>
      </c>
      <c r="BI951" s="30">
        <f>VLOOKUP(Inventory[[#This Row],[Decade]],Lookups!$M$24:$P$40,4,FALSE)</f>
        <v>0.99560000000000004</v>
      </c>
      <c r="BJ951" s="30">
        <f>Inventory[[#This Row],[Nbhd Adj]]*0.95</f>
        <v>0.94971499999999998</v>
      </c>
      <c r="BK951" s="30">
        <f>AVERAGE(Inventory[[#This Row],[Nbhd Adj]],Inventory[[#This Row],[Quality Adj]],Inventory[[#This Row],[Condition Adj]],Inventory[[#This Row],[Living Area Adj]],Inventory[[#This Row],[Decade Adj]])*0.95</f>
        <v>0.94800499999999988</v>
      </c>
      <c r="BL951" s="30">
        <f>ROUND((SUM(Inventory[[#This Row],[Mdl Qlty]:[Mdl Garage Area]])+Inventory[[#This Row],[Mdl Res Intercept]])*Inventory[[#This Row],[Res Adj ]],-2)</f>
        <v>302600</v>
      </c>
      <c r="BM951" s="30">
        <f>ROUND(Inventory[[#This Row],[25Det]]*Inventory[[#This Row],[Det/Nbhd Adj]],-2)</f>
        <v>0</v>
      </c>
      <c r="BN951" s="30">
        <f>Inventory[[#This Row],[Adjusted Res]]+Inventory[[#This Row],[Adj Det ]]</f>
        <v>302600</v>
      </c>
      <c r="BO951" s="30">
        <f>ROUND((Inventory[[#This Row],[Mdl Land Intercept]]+Inventory[[#This Row],[Mdl LnAcres]])*Inventory[[#This Row],[Det/Nbhd Adj]],-2)</f>
        <v>61100</v>
      </c>
      <c r="BP951" s="30">
        <f>Inventory[[#This Row],[Adjusted Impr Total]]+Inventory[[#This Row],[Adjusted Land Total]]</f>
        <v>363700</v>
      </c>
      <c r="BQ951" s="30">
        <f>IFERROR((Inventory[[#This Row],[Adjusted Impr Total]]-Inventory[[#This Row],[24Bldg]])/Inventory[[#This Row],[24Bldg]],0)</f>
        <v>-8.1940347427073099E-3</v>
      </c>
      <c r="BR951" s="43">
        <f>(Inventory[[#This Row],[Adjusted Land Total]]-Inventory[[#This Row],[24Lnd]])/Inventory[[#This Row],[24Lnd]]</f>
        <v>4.9342105263157892E-3</v>
      </c>
      <c r="BS951" s="43">
        <f>(Inventory[[#This Row],[Adjusted Total]]-Inventory[[#This Row],[24Final]])/Inventory[[#This Row],[24Final]]</f>
        <v>-6.0125717409128176E-3</v>
      </c>
    </row>
    <row r="952" spans="1:71">
      <c r="A952" s="30">
        <v>2025</v>
      </c>
      <c r="B952" s="31" t="s">
        <v>1467</v>
      </c>
      <c r="C952" s="31">
        <f>LN(Inventory[[#This Row],[Acres]])</f>
        <v>-1.8325814637483102</v>
      </c>
      <c r="D952" s="30">
        <v>0.16</v>
      </c>
      <c r="E952" s="30">
        <v>7013</v>
      </c>
      <c r="F952" s="31" t="s">
        <v>505</v>
      </c>
      <c r="G952" s="31" t="s">
        <v>155</v>
      </c>
      <c r="H952" s="31" t="s">
        <v>5</v>
      </c>
      <c r="I952" s="31" t="s">
        <v>506</v>
      </c>
      <c r="J952" s="31" t="s">
        <v>507</v>
      </c>
      <c r="K952" s="31" t="s">
        <v>193</v>
      </c>
      <c r="L952" s="31" t="s">
        <v>19</v>
      </c>
      <c r="M952" s="31" t="s">
        <v>22</v>
      </c>
      <c r="N952" s="31">
        <v>20</v>
      </c>
      <c r="O952" s="31">
        <f>2024-Inventory[[#This Row],[YrBlt]]</f>
        <v>20</v>
      </c>
      <c r="P952" s="31">
        <f>2024-Inventory[[#This Row],[EffYr]]</f>
        <v>20</v>
      </c>
      <c r="Q952" s="30">
        <v>2004</v>
      </c>
      <c r="R952" s="30">
        <v>2004</v>
      </c>
      <c r="S952" s="30">
        <v>1380</v>
      </c>
      <c r="T952" s="37"/>
      <c r="U952" s="32"/>
      <c r="V952" s="32"/>
      <c r="W952" s="32"/>
      <c r="X952" s="32">
        <f>Inventory[[#This Row],[Bsmt Area]]-Inventory[[#This Row],[FnBsmt]]</f>
        <v>0</v>
      </c>
      <c r="Y952" s="32">
        <f>Inventory[[#This Row],[MainFn]]+Inventory[[#This Row],[UpprFn]]+Inventory[[#This Row],[AddFn]]+Inventory[[#This Row],[FnBsmt]]</f>
        <v>1380</v>
      </c>
      <c r="Z952" s="32">
        <v>1500</v>
      </c>
      <c r="AA952" s="31" t="s">
        <v>56</v>
      </c>
      <c r="AB952" s="37"/>
      <c r="AC952" s="38">
        <v>428</v>
      </c>
      <c r="AD952" s="37"/>
      <c r="AE952" s="32"/>
      <c r="AF952" s="32"/>
      <c r="AG952" s="32"/>
      <c r="AH952" s="32"/>
      <c r="AI952" s="30">
        <v>275531</v>
      </c>
      <c r="AJ952" s="30">
        <v>253489</v>
      </c>
      <c r="AK952" s="30">
        <v>0</v>
      </c>
      <c r="AL952" s="30">
        <v>0</v>
      </c>
      <c r="AM952" s="30">
        <v>60800</v>
      </c>
      <c r="AN952" s="30">
        <v>305100</v>
      </c>
      <c r="AO952" s="30">
        <v>365900</v>
      </c>
      <c r="AP952" s="30">
        <f>Lookups!$B$58*0.6</f>
        <v>132535.48800000001</v>
      </c>
      <c r="AQ952" s="30">
        <f>Lookups!$B$58*0.4</f>
        <v>88356.992000000013</v>
      </c>
      <c r="AR952" s="30">
        <f>Lookups!$B$59*Inventory[[#This Row],[LnAcres]]</f>
        <v>-24051.387388882686</v>
      </c>
      <c r="AS952" s="30">
        <f>VLOOKUP(Inventory[[#This Row],[Qlty]],Lookups!$A$66:$E$79,2,FALSE)</f>
        <v>37154.252388000001</v>
      </c>
      <c r="AT952" s="30">
        <f>VLOOKUP(Inventory[[#This Row],[Cnd]],Lookups!$A$80:$E$88,2,FALSE)</f>
        <v>50438.379078999998</v>
      </c>
      <c r="AU952" s="30">
        <f>Inventory[[#This Row],[EffAge]]*Lookups!$B$65</f>
        <v>-2174.8220000000001</v>
      </c>
      <c r="AV952" s="30">
        <f>Inventory[[#This Row],[MainFn]]*Lookups!$B$90</f>
        <v>86126.324399999998</v>
      </c>
      <c r="AW952" s="30">
        <f>Inventory[[#This Row],[UpprFn]]*Lookups!$B$91</f>
        <v>0</v>
      </c>
      <c r="AX952" s="30">
        <f>Inventory[[#This Row],[Bsmt Area]]*Lookups!$B$95</f>
        <v>0</v>
      </c>
      <c r="AY952" s="30">
        <f>Inventory[[#This Row],[AttGar]]*Lookups!$B$93</f>
        <v>15108.841268</v>
      </c>
      <c r="AZ952" s="30">
        <f>ROUND(Inventory[[#This Row],[25Det]],-2)</f>
        <v>0</v>
      </c>
      <c r="BA952" s="30">
        <f>ROUND(SUM(Inventory[[#This Row],[Mdl Qlty]:[Mdl Garage Area]])+Inventory[[#This Row],[Mdl Res Intercept]],-2)</f>
        <v>319200</v>
      </c>
      <c r="BB952" s="30">
        <f>ROUND(Inventory[[#This Row],[Mdl Land Intercept]]+Inventory[[#This Row],[Mdl LnAcres]],-2)</f>
        <v>64300</v>
      </c>
      <c r="BC952" s="30">
        <f>Inventory[[#This Row],[Unadj Res Value]]+Inventory[[#This Row],[Unadj Det Value]]+Inventory[[#This Row],[Unadj Land Value]]</f>
        <v>383500</v>
      </c>
      <c r="BD952" s="30">
        <f>(Inventory[[#This Row],[Unadj Total Value]]-Inventory[[#This Row],[24Final]])/Inventory[[#This Row],[24Final]]</f>
        <v>4.8100573927302541E-2</v>
      </c>
      <c r="BE952" s="30">
        <f>VLOOKUP(Inventory[[#This Row],[Nbhd]],Lookups!$M$3:$P$5,4,FALSE)</f>
        <v>0.99970000000000003</v>
      </c>
      <c r="BF952" s="30">
        <f>VLOOKUP(Inventory[[#This Row],[Qlty]],Lookups!$M$8:$P$22,4,FALSE)</f>
        <v>0.99819999999999998</v>
      </c>
      <c r="BG952" s="30">
        <f>VLOOKUP(Inventory[[#This Row],[Cnd]],Lookups!$R$8:$U$17,4,FALSE)</f>
        <v>1.0007999999999999</v>
      </c>
      <c r="BH952" s="30">
        <f>VLOOKUP(Inventory[[#This Row],[LivArea Range]],Lookups!$R$25:$U$43,4,FALSE)</f>
        <v>0.99519999999999997</v>
      </c>
      <c r="BI952" s="30">
        <f>VLOOKUP(Inventory[[#This Row],[Decade]],Lookups!$M$24:$P$40,4,FALSE)</f>
        <v>0.99560000000000004</v>
      </c>
      <c r="BJ952" s="30">
        <f>Inventory[[#This Row],[Nbhd Adj]]*0.95</f>
        <v>0.94971499999999998</v>
      </c>
      <c r="BK952" s="30">
        <f>AVERAGE(Inventory[[#This Row],[Nbhd Adj]],Inventory[[#This Row],[Quality Adj]],Inventory[[#This Row],[Condition Adj]],Inventory[[#This Row],[Living Area Adj]],Inventory[[#This Row],[Decade Adj]])*0.95</f>
        <v>0.94800499999999988</v>
      </c>
      <c r="BL952" s="30">
        <f>ROUND((SUM(Inventory[[#This Row],[Mdl Qlty]:[Mdl Garage Area]])+Inventory[[#This Row],[Mdl Res Intercept]])*Inventory[[#This Row],[Res Adj ]],-2)</f>
        <v>302600</v>
      </c>
      <c r="BM952" s="30">
        <f>ROUND(Inventory[[#This Row],[25Det]]*Inventory[[#This Row],[Det/Nbhd Adj]],-2)</f>
        <v>0</v>
      </c>
      <c r="BN952" s="30">
        <f>Inventory[[#This Row],[Adjusted Res]]+Inventory[[#This Row],[Adj Det ]]</f>
        <v>302600</v>
      </c>
      <c r="BO952" s="30">
        <f>ROUND((Inventory[[#This Row],[Mdl Land Intercept]]+Inventory[[#This Row],[Mdl LnAcres]])*Inventory[[#This Row],[Det/Nbhd Adj]],-2)</f>
        <v>61100</v>
      </c>
      <c r="BP952" s="30">
        <f>Inventory[[#This Row],[Adjusted Impr Total]]+Inventory[[#This Row],[Adjusted Land Total]]</f>
        <v>363700</v>
      </c>
      <c r="BQ952" s="30">
        <f>IFERROR((Inventory[[#This Row],[Adjusted Impr Total]]-Inventory[[#This Row],[24Bldg]])/Inventory[[#This Row],[24Bldg]],0)</f>
        <v>-8.1940347427073099E-3</v>
      </c>
      <c r="BR952" s="43">
        <f>(Inventory[[#This Row],[Adjusted Land Total]]-Inventory[[#This Row],[24Lnd]])/Inventory[[#This Row],[24Lnd]]</f>
        <v>4.9342105263157892E-3</v>
      </c>
      <c r="BS952" s="43">
        <f>(Inventory[[#This Row],[Adjusted Total]]-Inventory[[#This Row],[24Final]])/Inventory[[#This Row],[24Final]]</f>
        <v>-6.0125717409128176E-3</v>
      </c>
    </row>
    <row r="953" spans="1:71">
      <c r="A953" s="30">
        <v>2025</v>
      </c>
      <c r="B953" s="31" t="s">
        <v>1468</v>
      </c>
      <c r="C953" s="31">
        <f>LN(Inventory[[#This Row],[Acres]])</f>
        <v>-1.8325814637483102</v>
      </c>
      <c r="D953" s="30">
        <v>0.16</v>
      </c>
      <c r="E953" s="30">
        <v>7013</v>
      </c>
      <c r="F953" s="31" t="s">
        <v>505</v>
      </c>
      <c r="G953" s="31" t="s">
        <v>155</v>
      </c>
      <c r="H953" s="31" t="s">
        <v>5</v>
      </c>
      <c r="I953" s="31" t="s">
        <v>506</v>
      </c>
      <c r="J953" s="31" t="s">
        <v>507</v>
      </c>
      <c r="K953" s="31" t="s">
        <v>193</v>
      </c>
      <c r="L953" s="31" t="s">
        <v>19</v>
      </c>
      <c r="M953" s="31" t="s">
        <v>22</v>
      </c>
      <c r="N953" s="31">
        <v>20</v>
      </c>
      <c r="O953" s="31">
        <f>2024-Inventory[[#This Row],[YrBlt]]</f>
        <v>20</v>
      </c>
      <c r="P953" s="31">
        <f>2024-Inventory[[#This Row],[EffYr]]</f>
        <v>20</v>
      </c>
      <c r="Q953" s="30">
        <v>2004</v>
      </c>
      <c r="R953" s="30">
        <v>2004</v>
      </c>
      <c r="S953" s="30">
        <v>1380</v>
      </c>
      <c r="T953" s="32"/>
      <c r="U953" s="32"/>
      <c r="V953" s="32"/>
      <c r="W953" s="32"/>
      <c r="X953" s="32">
        <f>Inventory[[#This Row],[Bsmt Area]]-Inventory[[#This Row],[FnBsmt]]</f>
        <v>0</v>
      </c>
      <c r="Y953" s="32">
        <f>Inventory[[#This Row],[MainFn]]+Inventory[[#This Row],[UpprFn]]+Inventory[[#This Row],[AddFn]]+Inventory[[#This Row],[FnBsmt]]</f>
        <v>1380</v>
      </c>
      <c r="Z953" s="32">
        <v>1500</v>
      </c>
      <c r="AA953" s="31" t="s">
        <v>56</v>
      </c>
      <c r="AB953" s="37"/>
      <c r="AC953" s="30">
        <v>428</v>
      </c>
      <c r="AD953" s="32"/>
      <c r="AE953" s="32"/>
      <c r="AF953" s="32"/>
      <c r="AG953" s="32"/>
      <c r="AH953" s="32"/>
      <c r="AI953" s="30">
        <v>275531</v>
      </c>
      <c r="AJ953" s="30">
        <v>253489</v>
      </c>
      <c r="AK953" s="30">
        <v>0</v>
      </c>
      <c r="AL953" s="30">
        <v>0</v>
      </c>
      <c r="AM953" s="30">
        <v>60800</v>
      </c>
      <c r="AN953" s="30">
        <v>305100</v>
      </c>
      <c r="AO953" s="30">
        <v>365900</v>
      </c>
      <c r="AP953" s="30">
        <f>Lookups!$B$58*0.6</f>
        <v>132535.48800000001</v>
      </c>
      <c r="AQ953" s="30">
        <f>Lookups!$B$58*0.4</f>
        <v>88356.992000000013</v>
      </c>
      <c r="AR953" s="30">
        <f>Lookups!$B$59*Inventory[[#This Row],[LnAcres]]</f>
        <v>-24051.387388882686</v>
      </c>
      <c r="AS953" s="30">
        <f>VLOOKUP(Inventory[[#This Row],[Qlty]],Lookups!$A$66:$E$79,2,FALSE)</f>
        <v>37154.252388000001</v>
      </c>
      <c r="AT953" s="30">
        <f>VLOOKUP(Inventory[[#This Row],[Cnd]],Lookups!$A$80:$E$88,2,FALSE)</f>
        <v>50438.379078999998</v>
      </c>
      <c r="AU953" s="30">
        <f>Inventory[[#This Row],[EffAge]]*Lookups!$B$65</f>
        <v>-2174.8220000000001</v>
      </c>
      <c r="AV953" s="30">
        <f>Inventory[[#This Row],[MainFn]]*Lookups!$B$90</f>
        <v>86126.324399999998</v>
      </c>
      <c r="AW953" s="30">
        <f>Inventory[[#This Row],[UpprFn]]*Lookups!$B$91</f>
        <v>0</v>
      </c>
      <c r="AX953" s="30">
        <f>Inventory[[#This Row],[Bsmt Area]]*Lookups!$B$95</f>
        <v>0</v>
      </c>
      <c r="AY953" s="30">
        <f>Inventory[[#This Row],[AttGar]]*Lookups!$B$93</f>
        <v>15108.841268</v>
      </c>
      <c r="AZ953" s="30">
        <f>ROUND(Inventory[[#This Row],[25Det]],-2)</f>
        <v>0</v>
      </c>
      <c r="BA953" s="30">
        <f>ROUND(SUM(Inventory[[#This Row],[Mdl Qlty]:[Mdl Garage Area]])+Inventory[[#This Row],[Mdl Res Intercept]],-2)</f>
        <v>319200</v>
      </c>
      <c r="BB953" s="30">
        <f>ROUND(Inventory[[#This Row],[Mdl Land Intercept]]+Inventory[[#This Row],[Mdl LnAcres]],-2)</f>
        <v>64300</v>
      </c>
      <c r="BC953" s="30">
        <f>Inventory[[#This Row],[Unadj Res Value]]+Inventory[[#This Row],[Unadj Det Value]]+Inventory[[#This Row],[Unadj Land Value]]</f>
        <v>383500</v>
      </c>
      <c r="BD953" s="30">
        <f>(Inventory[[#This Row],[Unadj Total Value]]-Inventory[[#This Row],[24Final]])/Inventory[[#This Row],[24Final]]</f>
        <v>4.8100573927302541E-2</v>
      </c>
      <c r="BE953" s="30">
        <f>VLOOKUP(Inventory[[#This Row],[Nbhd]],Lookups!$M$3:$P$5,4,FALSE)</f>
        <v>0.99970000000000003</v>
      </c>
      <c r="BF953" s="30">
        <f>VLOOKUP(Inventory[[#This Row],[Qlty]],Lookups!$M$8:$P$22,4,FALSE)</f>
        <v>0.99819999999999998</v>
      </c>
      <c r="BG953" s="30">
        <f>VLOOKUP(Inventory[[#This Row],[Cnd]],Lookups!$R$8:$U$17,4,FALSE)</f>
        <v>1.0007999999999999</v>
      </c>
      <c r="BH953" s="30">
        <f>VLOOKUP(Inventory[[#This Row],[LivArea Range]],Lookups!$R$25:$U$43,4,FALSE)</f>
        <v>0.99519999999999997</v>
      </c>
      <c r="BI953" s="30">
        <f>VLOOKUP(Inventory[[#This Row],[Decade]],Lookups!$M$24:$P$40,4,FALSE)</f>
        <v>0.99560000000000004</v>
      </c>
      <c r="BJ953" s="30">
        <f>Inventory[[#This Row],[Nbhd Adj]]*0.95</f>
        <v>0.94971499999999998</v>
      </c>
      <c r="BK953" s="30">
        <f>AVERAGE(Inventory[[#This Row],[Nbhd Adj]],Inventory[[#This Row],[Quality Adj]],Inventory[[#This Row],[Condition Adj]],Inventory[[#This Row],[Living Area Adj]],Inventory[[#This Row],[Decade Adj]])*0.95</f>
        <v>0.94800499999999988</v>
      </c>
      <c r="BL953" s="30">
        <f>ROUND((SUM(Inventory[[#This Row],[Mdl Qlty]:[Mdl Garage Area]])+Inventory[[#This Row],[Mdl Res Intercept]])*Inventory[[#This Row],[Res Adj ]],-2)</f>
        <v>302600</v>
      </c>
      <c r="BM953" s="30">
        <f>ROUND(Inventory[[#This Row],[25Det]]*Inventory[[#This Row],[Det/Nbhd Adj]],-2)</f>
        <v>0</v>
      </c>
      <c r="BN953" s="30">
        <f>Inventory[[#This Row],[Adjusted Res]]+Inventory[[#This Row],[Adj Det ]]</f>
        <v>302600</v>
      </c>
      <c r="BO953" s="30">
        <f>ROUND((Inventory[[#This Row],[Mdl Land Intercept]]+Inventory[[#This Row],[Mdl LnAcres]])*Inventory[[#This Row],[Det/Nbhd Adj]],-2)</f>
        <v>61100</v>
      </c>
      <c r="BP953" s="30">
        <f>Inventory[[#This Row],[Adjusted Impr Total]]+Inventory[[#This Row],[Adjusted Land Total]]</f>
        <v>363700</v>
      </c>
      <c r="BQ953" s="30">
        <f>IFERROR((Inventory[[#This Row],[Adjusted Impr Total]]-Inventory[[#This Row],[24Bldg]])/Inventory[[#This Row],[24Bldg]],0)</f>
        <v>-8.1940347427073099E-3</v>
      </c>
      <c r="BR953" s="43">
        <f>(Inventory[[#This Row],[Adjusted Land Total]]-Inventory[[#This Row],[24Lnd]])/Inventory[[#This Row],[24Lnd]]</f>
        <v>4.9342105263157892E-3</v>
      </c>
      <c r="BS953" s="43">
        <f>(Inventory[[#This Row],[Adjusted Total]]-Inventory[[#This Row],[24Final]])/Inventory[[#This Row],[24Final]]</f>
        <v>-6.0125717409128176E-3</v>
      </c>
    </row>
    <row r="954" spans="1:71">
      <c r="A954" s="30">
        <v>2025</v>
      </c>
      <c r="B954" s="31" t="s">
        <v>1469</v>
      </c>
      <c r="C954" s="31">
        <f>LN(Inventory[[#This Row],[Acres]])</f>
        <v>-1.8325814637483102</v>
      </c>
      <c r="D954" s="30">
        <v>0.16</v>
      </c>
      <c r="E954" s="30">
        <v>7014</v>
      </c>
      <c r="F954" s="31" t="s">
        <v>505</v>
      </c>
      <c r="G954" s="31" t="s">
        <v>155</v>
      </c>
      <c r="H954" s="31" t="s">
        <v>5</v>
      </c>
      <c r="I954" s="31" t="s">
        <v>506</v>
      </c>
      <c r="J954" s="31" t="s">
        <v>507</v>
      </c>
      <c r="K954" s="31" t="s">
        <v>193</v>
      </c>
      <c r="L954" s="31" t="s">
        <v>19</v>
      </c>
      <c r="M954" s="31" t="s">
        <v>22</v>
      </c>
      <c r="N954" s="31">
        <v>20</v>
      </c>
      <c r="O954" s="31">
        <f>2024-Inventory[[#This Row],[YrBlt]]</f>
        <v>20</v>
      </c>
      <c r="P954" s="31">
        <f>2024-Inventory[[#This Row],[EffYr]]</f>
        <v>20</v>
      </c>
      <c r="Q954" s="30">
        <v>2004</v>
      </c>
      <c r="R954" s="30">
        <v>2004</v>
      </c>
      <c r="S954" s="30">
        <v>1380</v>
      </c>
      <c r="T954" s="32"/>
      <c r="U954" s="32"/>
      <c r="V954" s="32"/>
      <c r="W954" s="32"/>
      <c r="X954" s="32">
        <f>Inventory[[#This Row],[Bsmt Area]]-Inventory[[#This Row],[FnBsmt]]</f>
        <v>0</v>
      </c>
      <c r="Y954" s="32">
        <f>Inventory[[#This Row],[MainFn]]+Inventory[[#This Row],[UpprFn]]+Inventory[[#This Row],[AddFn]]+Inventory[[#This Row],[FnBsmt]]</f>
        <v>1380</v>
      </c>
      <c r="Z954" s="32">
        <v>1500</v>
      </c>
      <c r="AA954" s="31" t="s">
        <v>56</v>
      </c>
      <c r="AB954" s="32"/>
      <c r="AC954" s="30">
        <v>428</v>
      </c>
      <c r="AD954" s="32"/>
      <c r="AE954" s="32"/>
      <c r="AF954" s="32"/>
      <c r="AG954" s="32"/>
      <c r="AH954" s="32"/>
      <c r="AI954" s="30">
        <v>275531</v>
      </c>
      <c r="AJ954" s="30">
        <v>253489</v>
      </c>
      <c r="AK954" s="30">
        <v>0</v>
      </c>
      <c r="AL954" s="30">
        <v>0</v>
      </c>
      <c r="AM954" s="30">
        <v>60800</v>
      </c>
      <c r="AN954" s="30">
        <v>305100</v>
      </c>
      <c r="AO954" s="30">
        <v>365900</v>
      </c>
      <c r="AP954" s="30">
        <f>Lookups!$B$58*0.6</f>
        <v>132535.48800000001</v>
      </c>
      <c r="AQ954" s="30">
        <f>Lookups!$B$58*0.4</f>
        <v>88356.992000000013</v>
      </c>
      <c r="AR954" s="30">
        <f>Lookups!$B$59*Inventory[[#This Row],[LnAcres]]</f>
        <v>-24051.387388882686</v>
      </c>
      <c r="AS954" s="30">
        <f>VLOOKUP(Inventory[[#This Row],[Qlty]],Lookups!$A$66:$E$79,2,FALSE)</f>
        <v>37154.252388000001</v>
      </c>
      <c r="AT954" s="30">
        <f>VLOOKUP(Inventory[[#This Row],[Cnd]],Lookups!$A$80:$E$88,2,FALSE)</f>
        <v>50438.379078999998</v>
      </c>
      <c r="AU954" s="30">
        <f>Inventory[[#This Row],[EffAge]]*Lookups!$B$65</f>
        <v>-2174.8220000000001</v>
      </c>
      <c r="AV954" s="30">
        <f>Inventory[[#This Row],[MainFn]]*Lookups!$B$90</f>
        <v>86126.324399999998</v>
      </c>
      <c r="AW954" s="30">
        <f>Inventory[[#This Row],[UpprFn]]*Lookups!$B$91</f>
        <v>0</v>
      </c>
      <c r="AX954" s="30">
        <f>Inventory[[#This Row],[Bsmt Area]]*Lookups!$B$95</f>
        <v>0</v>
      </c>
      <c r="AY954" s="30">
        <f>Inventory[[#This Row],[AttGar]]*Lookups!$B$93</f>
        <v>15108.841268</v>
      </c>
      <c r="AZ954" s="30">
        <f>ROUND(Inventory[[#This Row],[25Det]],-2)</f>
        <v>0</v>
      </c>
      <c r="BA954" s="30">
        <f>ROUND(SUM(Inventory[[#This Row],[Mdl Qlty]:[Mdl Garage Area]])+Inventory[[#This Row],[Mdl Res Intercept]],-2)</f>
        <v>319200</v>
      </c>
      <c r="BB954" s="30">
        <f>ROUND(Inventory[[#This Row],[Mdl Land Intercept]]+Inventory[[#This Row],[Mdl LnAcres]],-2)</f>
        <v>64300</v>
      </c>
      <c r="BC954" s="30">
        <f>Inventory[[#This Row],[Unadj Res Value]]+Inventory[[#This Row],[Unadj Det Value]]+Inventory[[#This Row],[Unadj Land Value]]</f>
        <v>383500</v>
      </c>
      <c r="BD954" s="30">
        <f>(Inventory[[#This Row],[Unadj Total Value]]-Inventory[[#This Row],[24Final]])/Inventory[[#This Row],[24Final]]</f>
        <v>4.8100573927302541E-2</v>
      </c>
      <c r="BE954" s="30">
        <f>VLOOKUP(Inventory[[#This Row],[Nbhd]],Lookups!$M$3:$P$5,4,FALSE)</f>
        <v>0.99970000000000003</v>
      </c>
      <c r="BF954" s="30">
        <f>VLOOKUP(Inventory[[#This Row],[Qlty]],Lookups!$M$8:$P$22,4,FALSE)</f>
        <v>0.99819999999999998</v>
      </c>
      <c r="BG954" s="30">
        <f>VLOOKUP(Inventory[[#This Row],[Cnd]],Lookups!$R$8:$U$17,4,FALSE)</f>
        <v>1.0007999999999999</v>
      </c>
      <c r="BH954" s="30">
        <f>VLOOKUP(Inventory[[#This Row],[LivArea Range]],Lookups!$R$25:$U$43,4,FALSE)</f>
        <v>0.99519999999999997</v>
      </c>
      <c r="BI954" s="30">
        <f>VLOOKUP(Inventory[[#This Row],[Decade]],Lookups!$M$24:$P$40,4,FALSE)</f>
        <v>0.99560000000000004</v>
      </c>
      <c r="BJ954" s="30">
        <f>Inventory[[#This Row],[Nbhd Adj]]*0.95</f>
        <v>0.94971499999999998</v>
      </c>
      <c r="BK954" s="30">
        <f>AVERAGE(Inventory[[#This Row],[Nbhd Adj]],Inventory[[#This Row],[Quality Adj]],Inventory[[#This Row],[Condition Adj]],Inventory[[#This Row],[Living Area Adj]],Inventory[[#This Row],[Decade Adj]])*0.95</f>
        <v>0.94800499999999988</v>
      </c>
      <c r="BL954" s="30">
        <f>ROUND((SUM(Inventory[[#This Row],[Mdl Qlty]:[Mdl Garage Area]])+Inventory[[#This Row],[Mdl Res Intercept]])*Inventory[[#This Row],[Res Adj ]],-2)</f>
        <v>302600</v>
      </c>
      <c r="BM954" s="30">
        <f>ROUND(Inventory[[#This Row],[25Det]]*Inventory[[#This Row],[Det/Nbhd Adj]],-2)</f>
        <v>0</v>
      </c>
      <c r="BN954" s="30">
        <f>Inventory[[#This Row],[Adjusted Res]]+Inventory[[#This Row],[Adj Det ]]</f>
        <v>302600</v>
      </c>
      <c r="BO954" s="30">
        <f>ROUND((Inventory[[#This Row],[Mdl Land Intercept]]+Inventory[[#This Row],[Mdl LnAcres]])*Inventory[[#This Row],[Det/Nbhd Adj]],-2)</f>
        <v>61100</v>
      </c>
      <c r="BP954" s="30">
        <f>Inventory[[#This Row],[Adjusted Impr Total]]+Inventory[[#This Row],[Adjusted Land Total]]</f>
        <v>363700</v>
      </c>
      <c r="BQ954" s="30">
        <f>IFERROR((Inventory[[#This Row],[Adjusted Impr Total]]-Inventory[[#This Row],[24Bldg]])/Inventory[[#This Row],[24Bldg]],0)</f>
        <v>-8.1940347427073099E-3</v>
      </c>
      <c r="BR954" s="43">
        <f>(Inventory[[#This Row],[Adjusted Land Total]]-Inventory[[#This Row],[24Lnd]])/Inventory[[#This Row],[24Lnd]]</f>
        <v>4.9342105263157892E-3</v>
      </c>
      <c r="BS954" s="43">
        <f>(Inventory[[#This Row],[Adjusted Total]]-Inventory[[#This Row],[24Final]])/Inventory[[#This Row],[24Final]]</f>
        <v>-6.0125717409128176E-3</v>
      </c>
    </row>
    <row r="955" spans="1:71">
      <c r="A955" s="30">
        <v>2025</v>
      </c>
      <c r="B955" s="31" t="s">
        <v>1470</v>
      </c>
      <c r="C955" s="31">
        <f>LN(Inventory[[#This Row],[Acres]])</f>
        <v>-1.8325814637483102</v>
      </c>
      <c r="D955" s="30">
        <v>0.16</v>
      </c>
      <c r="E955" s="30">
        <v>7015</v>
      </c>
      <c r="F955" s="31" t="s">
        <v>505</v>
      </c>
      <c r="G955" s="31" t="s">
        <v>155</v>
      </c>
      <c r="H955" s="31" t="s">
        <v>5</v>
      </c>
      <c r="I955" s="31" t="s">
        <v>506</v>
      </c>
      <c r="J955" s="31" t="s">
        <v>507</v>
      </c>
      <c r="K955" s="31" t="s">
        <v>193</v>
      </c>
      <c r="L955" s="31" t="s">
        <v>19</v>
      </c>
      <c r="M955" s="31" t="s">
        <v>22</v>
      </c>
      <c r="N955" s="31">
        <v>20</v>
      </c>
      <c r="O955" s="31">
        <f>2024-Inventory[[#This Row],[YrBlt]]</f>
        <v>20</v>
      </c>
      <c r="P955" s="31">
        <f>2024-Inventory[[#This Row],[EffYr]]</f>
        <v>20</v>
      </c>
      <c r="Q955" s="30">
        <v>2004</v>
      </c>
      <c r="R955" s="30">
        <v>2004</v>
      </c>
      <c r="S955" s="30">
        <v>1380</v>
      </c>
      <c r="T955" s="32"/>
      <c r="U955" s="32"/>
      <c r="V955" s="32"/>
      <c r="W955" s="32"/>
      <c r="X955" s="32">
        <f>Inventory[[#This Row],[Bsmt Area]]-Inventory[[#This Row],[FnBsmt]]</f>
        <v>0</v>
      </c>
      <c r="Y955" s="32">
        <f>Inventory[[#This Row],[MainFn]]+Inventory[[#This Row],[UpprFn]]+Inventory[[#This Row],[AddFn]]+Inventory[[#This Row],[FnBsmt]]</f>
        <v>1380</v>
      </c>
      <c r="Z955" s="32">
        <v>1500</v>
      </c>
      <c r="AA955" s="31" t="s">
        <v>56</v>
      </c>
      <c r="AB955" s="32"/>
      <c r="AC955" s="30">
        <v>428</v>
      </c>
      <c r="AD955" s="32"/>
      <c r="AE955" s="32"/>
      <c r="AF955" s="32"/>
      <c r="AG955" s="32"/>
      <c r="AH955" s="32"/>
      <c r="AI955" s="30">
        <v>275531</v>
      </c>
      <c r="AJ955" s="30">
        <v>253489</v>
      </c>
      <c r="AK955" s="30">
        <v>0</v>
      </c>
      <c r="AL955" s="30">
        <v>0</v>
      </c>
      <c r="AM955" s="30">
        <v>60800</v>
      </c>
      <c r="AN955" s="30">
        <v>305100</v>
      </c>
      <c r="AO955" s="30">
        <v>365900</v>
      </c>
      <c r="AP955" s="30">
        <f>Lookups!$B$58*0.6</f>
        <v>132535.48800000001</v>
      </c>
      <c r="AQ955" s="30">
        <f>Lookups!$B$58*0.4</f>
        <v>88356.992000000013</v>
      </c>
      <c r="AR955" s="30">
        <f>Lookups!$B$59*Inventory[[#This Row],[LnAcres]]</f>
        <v>-24051.387388882686</v>
      </c>
      <c r="AS955" s="30">
        <f>VLOOKUP(Inventory[[#This Row],[Qlty]],Lookups!$A$66:$E$79,2,FALSE)</f>
        <v>37154.252388000001</v>
      </c>
      <c r="AT955" s="30">
        <f>VLOOKUP(Inventory[[#This Row],[Cnd]],Lookups!$A$80:$E$88,2,FALSE)</f>
        <v>50438.379078999998</v>
      </c>
      <c r="AU955" s="30">
        <f>Inventory[[#This Row],[EffAge]]*Lookups!$B$65</f>
        <v>-2174.8220000000001</v>
      </c>
      <c r="AV955" s="30">
        <f>Inventory[[#This Row],[MainFn]]*Lookups!$B$90</f>
        <v>86126.324399999998</v>
      </c>
      <c r="AW955" s="30">
        <f>Inventory[[#This Row],[UpprFn]]*Lookups!$B$91</f>
        <v>0</v>
      </c>
      <c r="AX955" s="30">
        <f>Inventory[[#This Row],[Bsmt Area]]*Lookups!$B$95</f>
        <v>0</v>
      </c>
      <c r="AY955" s="30">
        <f>Inventory[[#This Row],[AttGar]]*Lookups!$B$93</f>
        <v>15108.841268</v>
      </c>
      <c r="AZ955" s="30">
        <f>ROUND(Inventory[[#This Row],[25Det]],-2)</f>
        <v>0</v>
      </c>
      <c r="BA955" s="30">
        <f>ROUND(SUM(Inventory[[#This Row],[Mdl Qlty]:[Mdl Garage Area]])+Inventory[[#This Row],[Mdl Res Intercept]],-2)</f>
        <v>319200</v>
      </c>
      <c r="BB955" s="30">
        <f>ROUND(Inventory[[#This Row],[Mdl Land Intercept]]+Inventory[[#This Row],[Mdl LnAcres]],-2)</f>
        <v>64300</v>
      </c>
      <c r="BC955" s="30">
        <f>Inventory[[#This Row],[Unadj Res Value]]+Inventory[[#This Row],[Unadj Det Value]]+Inventory[[#This Row],[Unadj Land Value]]</f>
        <v>383500</v>
      </c>
      <c r="BD955" s="30">
        <f>(Inventory[[#This Row],[Unadj Total Value]]-Inventory[[#This Row],[24Final]])/Inventory[[#This Row],[24Final]]</f>
        <v>4.8100573927302541E-2</v>
      </c>
      <c r="BE955" s="30">
        <f>VLOOKUP(Inventory[[#This Row],[Nbhd]],Lookups!$M$3:$P$5,4,FALSE)</f>
        <v>0.99970000000000003</v>
      </c>
      <c r="BF955" s="30">
        <f>VLOOKUP(Inventory[[#This Row],[Qlty]],Lookups!$M$8:$P$22,4,FALSE)</f>
        <v>0.99819999999999998</v>
      </c>
      <c r="BG955" s="30">
        <f>VLOOKUP(Inventory[[#This Row],[Cnd]],Lookups!$R$8:$U$17,4,FALSE)</f>
        <v>1.0007999999999999</v>
      </c>
      <c r="BH955" s="30">
        <f>VLOOKUP(Inventory[[#This Row],[LivArea Range]],Lookups!$R$25:$U$43,4,FALSE)</f>
        <v>0.99519999999999997</v>
      </c>
      <c r="BI955" s="30">
        <f>VLOOKUP(Inventory[[#This Row],[Decade]],Lookups!$M$24:$P$40,4,FALSE)</f>
        <v>0.99560000000000004</v>
      </c>
      <c r="BJ955" s="30">
        <f>Inventory[[#This Row],[Nbhd Adj]]*0.95</f>
        <v>0.94971499999999998</v>
      </c>
      <c r="BK955" s="30">
        <f>AVERAGE(Inventory[[#This Row],[Nbhd Adj]],Inventory[[#This Row],[Quality Adj]],Inventory[[#This Row],[Condition Adj]],Inventory[[#This Row],[Living Area Adj]],Inventory[[#This Row],[Decade Adj]])*0.95</f>
        <v>0.94800499999999988</v>
      </c>
      <c r="BL955" s="30">
        <f>ROUND((SUM(Inventory[[#This Row],[Mdl Qlty]:[Mdl Garage Area]])+Inventory[[#This Row],[Mdl Res Intercept]])*Inventory[[#This Row],[Res Adj ]],-2)</f>
        <v>302600</v>
      </c>
      <c r="BM955" s="30">
        <f>ROUND(Inventory[[#This Row],[25Det]]*Inventory[[#This Row],[Det/Nbhd Adj]],-2)</f>
        <v>0</v>
      </c>
      <c r="BN955" s="30">
        <f>Inventory[[#This Row],[Adjusted Res]]+Inventory[[#This Row],[Adj Det ]]</f>
        <v>302600</v>
      </c>
      <c r="BO955" s="30">
        <f>ROUND((Inventory[[#This Row],[Mdl Land Intercept]]+Inventory[[#This Row],[Mdl LnAcres]])*Inventory[[#This Row],[Det/Nbhd Adj]],-2)</f>
        <v>61100</v>
      </c>
      <c r="BP955" s="30">
        <f>Inventory[[#This Row],[Adjusted Impr Total]]+Inventory[[#This Row],[Adjusted Land Total]]</f>
        <v>363700</v>
      </c>
      <c r="BQ955" s="30">
        <f>IFERROR((Inventory[[#This Row],[Adjusted Impr Total]]-Inventory[[#This Row],[24Bldg]])/Inventory[[#This Row],[24Bldg]],0)</f>
        <v>-8.1940347427073099E-3</v>
      </c>
      <c r="BR955" s="43">
        <f>(Inventory[[#This Row],[Adjusted Land Total]]-Inventory[[#This Row],[24Lnd]])/Inventory[[#This Row],[24Lnd]]</f>
        <v>4.9342105263157892E-3</v>
      </c>
      <c r="BS955" s="43">
        <f>(Inventory[[#This Row],[Adjusted Total]]-Inventory[[#This Row],[24Final]])/Inventory[[#This Row],[24Final]]</f>
        <v>-6.0125717409128176E-3</v>
      </c>
    </row>
    <row r="956" spans="1:71">
      <c r="A956" s="30">
        <v>2025</v>
      </c>
      <c r="B956" s="31" t="s">
        <v>1471</v>
      </c>
      <c r="C956" s="31">
        <f>LN(Inventory[[#This Row],[Acres]])</f>
        <v>-1.8325814637483102</v>
      </c>
      <c r="D956" s="30">
        <v>0.16</v>
      </c>
      <c r="E956" s="30">
        <v>7075</v>
      </c>
      <c r="F956" s="31" t="s">
        <v>505</v>
      </c>
      <c r="G956" s="31" t="s">
        <v>155</v>
      </c>
      <c r="H956" s="31" t="s">
        <v>5</v>
      </c>
      <c r="I956" s="31" t="s">
        <v>506</v>
      </c>
      <c r="J956" s="31" t="s">
        <v>507</v>
      </c>
      <c r="K956" s="31" t="s">
        <v>193</v>
      </c>
      <c r="L956" s="31" t="s">
        <v>19</v>
      </c>
      <c r="M956" s="31" t="s">
        <v>22</v>
      </c>
      <c r="N956" s="31">
        <v>20</v>
      </c>
      <c r="O956" s="31">
        <f>2024-Inventory[[#This Row],[YrBlt]]</f>
        <v>20</v>
      </c>
      <c r="P956" s="31">
        <f>2024-Inventory[[#This Row],[EffYr]]</f>
        <v>20</v>
      </c>
      <c r="Q956" s="30">
        <v>2004</v>
      </c>
      <c r="R956" s="30">
        <v>2004</v>
      </c>
      <c r="S956" s="30">
        <v>1380</v>
      </c>
      <c r="T956" s="32"/>
      <c r="U956" s="32"/>
      <c r="V956" s="32"/>
      <c r="W956" s="32"/>
      <c r="X956" s="32">
        <f>Inventory[[#This Row],[Bsmt Area]]-Inventory[[#This Row],[FnBsmt]]</f>
        <v>0</v>
      </c>
      <c r="Y956" s="32">
        <f>Inventory[[#This Row],[MainFn]]+Inventory[[#This Row],[UpprFn]]+Inventory[[#This Row],[AddFn]]+Inventory[[#This Row],[FnBsmt]]</f>
        <v>1380</v>
      </c>
      <c r="Z956" s="32">
        <v>1500</v>
      </c>
      <c r="AA956" s="31" t="s">
        <v>56</v>
      </c>
      <c r="AB956" s="32"/>
      <c r="AC956" s="30">
        <v>428</v>
      </c>
      <c r="AD956" s="32"/>
      <c r="AE956" s="32"/>
      <c r="AF956" s="32"/>
      <c r="AG956" s="32"/>
      <c r="AH956" s="32"/>
      <c r="AI956" s="30">
        <v>285708</v>
      </c>
      <c r="AJ956" s="30">
        <v>262851</v>
      </c>
      <c r="AK956" s="30">
        <v>0</v>
      </c>
      <c r="AL956" s="30">
        <v>0</v>
      </c>
      <c r="AM956" s="30">
        <v>60800</v>
      </c>
      <c r="AN956" s="30">
        <v>305100</v>
      </c>
      <c r="AO956" s="30">
        <v>365900</v>
      </c>
      <c r="AP956" s="30">
        <f>Lookups!$B$58*0.6</f>
        <v>132535.48800000001</v>
      </c>
      <c r="AQ956" s="30">
        <f>Lookups!$B$58*0.4</f>
        <v>88356.992000000013</v>
      </c>
      <c r="AR956" s="30">
        <f>Lookups!$B$59*Inventory[[#This Row],[LnAcres]]</f>
        <v>-24051.387388882686</v>
      </c>
      <c r="AS956" s="30">
        <f>VLOOKUP(Inventory[[#This Row],[Qlty]],Lookups!$A$66:$E$79,2,FALSE)</f>
        <v>37154.252388000001</v>
      </c>
      <c r="AT956" s="30">
        <f>VLOOKUP(Inventory[[#This Row],[Cnd]],Lookups!$A$80:$E$88,2,FALSE)</f>
        <v>50438.379078999998</v>
      </c>
      <c r="AU956" s="30">
        <f>Inventory[[#This Row],[EffAge]]*Lookups!$B$65</f>
        <v>-2174.8220000000001</v>
      </c>
      <c r="AV956" s="30">
        <f>Inventory[[#This Row],[MainFn]]*Lookups!$B$90</f>
        <v>86126.324399999998</v>
      </c>
      <c r="AW956" s="30">
        <f>Inventory[[#This Row],[UpprFn]]*Lookups!$B$91</f>
        <v>0</v>
      </c>
      <c r="AX956" s="30">
        <f>Inventory[[#This Row],[Bsmt Area]]*Lookups!$B$95</f>
        <v>0</v>
      </c>
      <c r="AY956" s="30">
        <f>Inventory[[#This Row],[AttGar]]*Lookups!$B$93</f>
        <v>15108.841268</v>
      </c>
      <c r="AZ956" s="30">
        <f>ROUND(Inventory[[#This Row],[25Det]],-2)</f>
        <v>0</v>
      </c>
      <c r="BA956" s="30">
        <f>ROUND(SUM(Inventory[[#This Row],[Mdl Qlty]:[Mdl Garage Area]])+Inventory[[#This Row],[Mdl Res Intercept]],-2)</f>
        <v>319200</v>
      </c>
      <c r="BB956" s="30">
        <f>ROUND(Inventory[[#This Row],[Mdl Land Intercept]]+Inventory[[#This Row],[Mdl LnAcres]],-2)</f>
        <v>64300</v>
      </c>
      <c r="BC956" s="30">
        <f>Inventory[[#This Row],[Unadj Res Value]]+Inventory[[#This Row],[Unadj Det Value]]+Inventory[[#This Row],[Unadj Land Value]]</f>
        <v>383500</v>
      </c>
      <c r="BD956" s="30">
        <f>(Inventory[[#This Row],[Unadj Total Value]]-Inventory[[#This Row],[24Final]])/Inventory[[#This Row],[24Final]]</f>
        <v>4.8100573927302541E-2</v>
      </c>
      <c r="BE956" s="30">
        <f>VLOOKUP(Inventory[[#This Row],[Nbhd]],Lookups!$M$3:$P$5,4,FALSE)</f>
        <v>0.99970000000000003</v>
      </c>
      <c r="BF956" s="30">
        <f>VLOOKUP(Inventory[[#This Row],[Qlty]],Lookups!$M$8:$P$22,4,FALSE)</f>
        <v>0.99819999999999998</v>
      </c>
      <c r="BG956" s="30">
        <f>VLOOKUP(Inventory[[#This Row],[Cnd]],Lookups!$R$8:$U$17,4,FALSE)</f>
        <v>1.0007999999999999</v>
      </c>
      <c r="BH956" s="30">
        <f>VLOOKUP(Inventory[[#This Row],[LivArea Range]],Lookups!$R$25:$U$43,4,FALSE)</f>
        <v>0.99519999999999997</v>
      </c>
      <c r="BI956" s="30">
        <f>VLOOKUP(Inventory[[#This Row],[Decade]],Lookups!$M$24:$P$40,4,FALSE)</f>
        <v>0.99560000000000004</v>
      </c>
      <c r="BJ956" s="30">
        <f>Inventory[[#This Row],[Nbhd Adj]]*0.95</f>
        <v>0.94971499999999998</v>
      </c>
      <c r="BK956" s="30">
        <f>AVERAGE(Inventory[[#This Row],[Nbhd Adj]],Inventory[[#This Row],[Quality Adj]],Inventory[[#This Row],[Condition Adj]],Inventory[[#This Row],[Living Area Adj]],Inventory[[#This Row],[Decade Adj]])*0.95</f>
        <v>0.94800499999999988</v>
      </c>
      <c r="BL956" s="30">
        <f>ROUND((SUM(Inventory[[#This Row],[Mdl Qlty]:[Mdl Garage Area]])+Inventory[[#This Row],[Mdl Res Intercept]])*Inventory[[#This Row],[Res Adj ]],-2)</f>
        <v>302600</v>
      </c>
      <c r="BM956" s="30">
        <f>ROUND(Inventory[[#This Row],[25Det]]*Inventory[[#This Row],[Det/Nbhd Adj]],-2)</f>
        <v>0</v>
      </c>
      <c r="BN956" s="30">
        <f>Inventory[[#This Row],[Adjusted Res]]+Inventory[[#This Row],[Adj Det ]]</f>
        <v>302600</v>
      </c>
      <c r="BO956" s="30">
        <f>ROUND((Inventory[[#This Row],[Mdl Land Intercept]]+Inventory[[#This Row],[Mdl LnAcres]])*Inventory[[#This Row],[Det/Nbhd Adj]],-2)</f>
        <v>61100</v>
      </c>
      <c r="BP956" s="30">
        <f>Inventory[[#This Row],[Adjusted Impr Total]]+Inventory[[#This Row],[Adjusted Land Total]]</f>
        <v>363700</v>
      </c>
      <c r="BQ956" s="30">
        <f>IFERROR((Inventory[[#This Row],[Adjusted Impr Total]]-Inventory[[#This Row],[24Bldg]])/Inventory[[#This Row],[24Bldg]],0)</f>
        <v>-8.1940347427073099E-3</v>
      </c>
      <c r="BR956" s="43">
        <f>(Inventory[[#This Row],[Adjusted Land Total]]-Inventory[[#This Row],[24Lnd]])/Inventory[[#This Row],[24Lnd]]</f>
        <v>4.9342105263157892E-3</v>
      </c>
      <c r="BS956" s="43">
        <f>(Inventory[[#This Row],[Adjusted Total]]-Inventory[[#This Row],[24Final]])/Inventory[[#This Row],[24Final]]</f>
        <v>-6.0125717409128176E-3</v>
      </c>
    </row>
    <row r="957" spans="1:71">
      <c r="A957" s="30">
        <v>2025</v>
      </c>
      <c r="B957" s="31" t="s">
        <v>1472</v>
      </c>
      <c r="C957" s="31">
        <f>LN(Inventory[[#This Row],[Acres]])</f>
        <v>-1.8325814637483102</v>
      </c>
      <c r="D957" s="30">
        <v>0.16</v>
      </c>
      <c r="E957" s="30">
        <v>7123</v>
      </c>
      <c r="F957" s="31" t="s">
        <v>505</v>
      </c>
      <c r="G957" s="31" t="s">
        <v>155</v>
      </c>
      <c r="H957" s="31" t="s">
        <v>5</v>
      </c>
      <c r="I957" s="31" t="s">
        <v>506</v>
      </c>
      <c r="J957" s="31" t="s">
        <v>507</v>
      </c>
      <c r="K957" s="31" t="s">
        <v>193</v>
      </c>
      <c r="L957" s="31" t="s">
        <v>19</v>
      </c>
      <c r="M957" s="31" t="s">
        <v>22</v>
      </c>
      <c r="N957" s="31">
        <v>20</v>
      </c>
      <c r="O957" s="31">
        <f>2024-Inventory[[#This Row],[YrBlt]]</f>
        <v>20</v>
      </c>
      <c r="P957" s="31">
        <f>2024-Inventory[[#This Row],[EffYr]]</f>
        <v>20</v>
      </c>
      <c r="Q957" s="30">
        <v>2004</v>
      </c>
      <c r="R957" s="30">
        <v>2004</v>
      </c>
      <c r="S957" s="30">
        <v>1380</v>
      </c>
      <c r="T957" s="37"/>
      <c r="U957" s="32"/>
      <c r="V957" s="32"/>
      <c r="W957" s="32"/>
      <c r="X957" s="32">
        <f>Inventory[[#This Row],[Bsmt Area]]-Inventory[[#This Row],[FnBsmt]]</f>
        <v>0</v>
      </c>
      <c r="Y957" s="32">
        <f>Inventory[[#This Row],[MainFn]]+Inventory[[#This Row],[UpprFn]]+Inventory[[#This Row],[AddFn]]+Inventory[[#This Row],[FnBsmt]]</f>
        <v>1380</v>
      </c>
      <c r="Z957" s="32">
        <v>1500</v>
      </c>
      <c r="AA957" s="31" t="s">
        <v>56</v>
      </c>
      <c r="AB957" s="37"/>
      <c r="AC957" s="30">
        <v>428</v>
      </c>
      <c r="AD957" s="32"/>
      <c r="AE957" s="32"/>
      <c r="AF957" s="32"/>
      <c r="AG957" s="32"/>
      <c r="AH957" s="32"/>
      <c r="AI957" s="30">
        <v>275531</v>
      </c>
      <c r="AJ957" s="30">
        <v>253489</v>
      </c>
      <c r="AK957" s="30">
        <v>0</v>
      </c>
      <c r="AL957" s="30">
        <v>0</v>
      </c>
      <c r="AM957" s="30">
        <v>60800</v>
      </c>
      <c r="AN957" s="30">
        <v>305100</v>
      </c>
      <c r="AO957" s="30">
        <v>365900</v>
      </c>
      <c r="AP957" s="30">
        <f>Lookups!$B$58*0.6</f>
        <v>132535.48800000001</v>
      </c>
      <c r="AQ957" s="30">
        <f>Lookups!$B$58*0.4</f>
        <v>88356.992000000013</v>
      </c>
      <c r="AR957" s="30">
        <f>Lookups!$B$59*Inventory[[#This Row],[LnAcres]]</f>
        <v>-24051.387388882686</v>
      </c>
      <c r="AS957" s="30">
        <f>VLOOKUP(Inventory[[#This Row],[Qlty]],Lookups!$A$66:$E$79,2,FALSE)</f>
        <v>37154.252388000001</v>
      </c>
      <c r="AT957" s="30">
        <f>VLOOKUP(Inventory[[#This Row],[Cnd]],Lookups!$A$80:$E$88,2,FALSE)</f>
        <v>50438.379078999998</v>
      </c>
      <c r="AU957" s="30">
        <f>Inventory[[#This Row],[EffAge]]*Lookups!$B$65</f>
        <v>-2174.8220000000001</v>
      </c>
      <c r="AV957" s="30">
        <f>Inventory[[#This Row],[MainFn]]*Lookups!$B$90</f>
        <v>86126.324399999998</v>
      </c>
      <c r="AW957" s="30">
        <f>Inventory[[#This Row],[UpprFn]]*Lookups!$B$91</f>
        <v>0</v>
      </c>
      <c r="AX957" s="30">
        <f>Inventory[[#This Row],[Bsmt Area]]*Lookups!$B$95</f>
        <v>0</v>
      </c>
      <c r="AY957" s="30">
        <f>Inventory[[#This Row],[AttGar]]*Lookups!$B$93</f>
        <v>15108.841268</v>
      </c>
      <c r="AZ957" s="30">
        <f>ROUND(Inventory[[#This Row],[25Det]],-2)</f>
        <v>0</v>
      </c>
      <c r="BA957" s="30">
        <f>ROUND(SUM(Inventory[[#This Row],[Mdl Qlty]:[Mdl Garage Area]])+Inventory[[#This Row],[Mdl Res Intercept]],-2)</f>
        <v>319200</v>
      </c>
      <c r="BB957" s="30">
        <f>ROUND(Inventory[[#This Row],[Mdl Land Intercept]]+Inventory[[#This Row],[Mdl LnAcres]],-2)</f>
        <v>64300</v>
      </c>
      <c r="BC957" s="30">
        <f>Inventory[[#This Row],[Unadj Res Value]]+Inventory[[#This Row],[Unadj Det Value]]+Inventory[[#This Row],[Unadj Land Value]]</f>
        <v>383500</v>
      </c>
      <c r="BD957" s="30">
        <f>(Inventory[[#This Row],[Unadj Total Value]]-Inventory[[#This Row],[24Final]])/Inventory[[#This Row],[24Final]]</f>
        <v>4.8100573927302541E-2</v>
      </c>
      <c r="BE957" s="30">
        <f>VLOOKUP(Inventory[[#This Row],[Nbhd]],Lookups!$M$3:$P$5,4,FALSE)</f>
        <v>0.99970000000000003</v>
      </c>
      <c r="BF957" s="30">
        <f>VLOOKUP(Inventory[[#This Row],[Qlty]],Lookups!$M$8:$P$22,4,FALSE)</f>
        <v>0.99819999999999998</v>
      </c>
      <c r="BG957" s="30">
        <f>VLOOKUP(Inventory[[#This Row],[Cnd]],Lookups!$R$8:$U$17,4,FALSE)</f>
        <v>1.0007999999999999</v>
      </c>
      <c r="BH957" s="30">
        <f>VLOOKUP(Inventory[[#This Row],[LivArea Range]],Lookups!$R$25:$U$43,4,FALSE)</f>
        <v>0.99519999999999997</v>
      </c>
      <c r="BI957" s="30">
        <f>VLOOKUP(Inventory[[#This Row],[Decade]],Lookups!$M$24:$P$40,4,FALSE)</f>
        <v>0.99560000000000004</v>
      </c>
      <c r="BJ957" s="30">
        <f>Inventory[[#This Row],[Nbhd Adj]]*0.95</f>
        <v>0.94971499999999998</v>
      </c>
      <c r="BK957" s="30">
        <f>AVERAGE(Inventory[[#This Row],[Nbhd Adj]],Inventory[[#This Row],[Quality Adj]],Inventory[[#This Row],[Condition Adj]],Inventory[[#This Row],[Living Area Adj]],Inventory[[#This Row],[Decade Adj]])*0.95</f>
        <v>0.94800499999999988</v>
      </c>
      <c r="BL957" s="30">
        <f>ROUND((SUM(Inventory[[#This Row],[Mdl Qlty]:[Mdl Garage Area]])+Inventory[[#This Row],[Mdl Res Intercept]])*Inventory[[#This Row],[Res Adj ]],-2)</f>
        <v>302600</v>
      </c>
      <c r="BM957" s="30">
        <f>ROUND(Inventory[[#This Row],[25Det]]*Inventory[[#This Row],[Det/Nbhd Adj]],-2)</f>
        <v>0</v>
      </c>
      <c r="BN957" s="30">
        <f>Inventory[[#This Row],[Adjusted Res]]+Inventory[[#This Row],[Adj Det ]]</f>
        <v>302600</v>
      </c>
      <c r="BO957" s="30">
        <f>ROUND((Inventory[[#This Row],[Mdl Land Intercept]]+Inventory[[#This Row],[Mdl LnAcres]])*Inventory[[#This Row],[Det/Nbhd Adj]],-2)</f>
        <v>61100</v>
      </c>
      <c r="BP957" s="30">
        <f>Inventory[[#This Row],[Adjusted Impr Total]]+Inventory[[#This Row],[Adjusted Land Total]]</f>
        <v>363700</v>
      </c>
      <c r="BQ957" s="30">
        <f>IFERROR((Inventory[[#This Row],[Adjusted Impr Total]]-Inventory[[#This Row],[24Bldg]])/Inventory[[#This Row],[24Bldg]],0)</f>
        <v>-8.1940347427073099E-3</v>
      </c>
      <c r="BR957" s="43">
        <f>(Inventory[[#This Row],[Adjusted Land Total]]-Inventory[[#This Row],[24Lnd]])/Inventory[[#This Row],[24Lnd]]</f>
        <v>4.9342105263157892E-3</v>
      </c>
      <c r="BS957" s="43">
        <f>(Inventory[[#This Row],[Adjusted Total]]-Inventory[[#This Row],[24Final]])/Inventory[[#This Row],[24Final]]</f>
        <v>-6.0125717409128176E-3</v>
      </c>
    </row>
    <row r="958" spans="1:71">
      <c r="A958" s="30">
        <v>2025</v>
      </c>
      <c r="B958" s="31" t="s">
        <v>1473</v>
      </c>
      <c r="C958" s="31">
        <f>LN(Inventory[[#This Row],[Acres]])</f>
        <v>-1.8325814637483102</v>
      </c>
      <c r="D958" s="30">
        <v>0.16</v>
      </c>
      <c r="E958" s="30">
        <v>7134</v>
      </c>
      <c r="F958" s="31" t="s">
        <v>505</v>
      </c>
      <c r="G958" s="31" t="s">
        <v>155</v>
      </c>
      <c r="H958" s="31" t="s">
        <v>5</v>
      </c>
      <c r="I958" s="31" t="s">
        <v>506</v>
      </c>
      <c r="J958" s="31" t="s">
        <v>507</v>
      </c>
      <c r="K958" s="31" t="s">
        <v>157</v>
      </c>
      <c r="L958" s="31" t="s">
        <v>19</v>
      </c>
      <c r="M958" s="31" t="s">
        <v>22</v>
      </c>
      <c r="N958" s="31">
        <v>20</v>
      </c>
      <c r="O958" s="31">
        <f>2024-Inventory[[#This Row],[YrBlt]]</f>
        <v>20</v>
      </c>
      <c r="P958" s="31">
        <f>2024-Inventory[[#This Row],[EffYr]]</f>
        <v>20</v>
      </c>
      <c r="Q958" s="30">
        <v>2004</v>
      </c>
      <c r="R958" s="30">
        <v>2004</v>
      </c>
      <c r="S958" s="30">
        <v>1040</v>
      </c>
      <c r="T958" s="38">
        <v>1040</v>
      </c>
      <c r="U958" s="32"/>
      <c r="V958" s="32"/>
      <c r="W958" s="32"/>
      <c r="X958" s="32">
        <f>Inventory[[#This Row],[Bsmt Area]]-Inventory[[#This Row],[FnBsmt]]</f>
        <v>0</v>
      </c>
      <c r="Y958" s="32">
        <f>Inventory[[#This Row],[MainFn]]+Inventory[[#This Row],[UpprFn]]+Inventory[[#This Row],[AddFn]]+Inventory[[#This Row],[FnBsmt]]</f>
        <v>2080</v>
      </c>
      <c r="Z958" s="32">
        <v>2500</v>
      </c>
      <c r="AA958" s="31" t="s">
        <v>56</v>
      </c>
      <c r="AB958" s="38">
        <v>1</v>
      </c>
      <c r="AC958" s="30">
        <v>440</v>
      </c>
      <c r="AD958" s="32"/>
      <c r="AE958" s="32"/>
      <c r="AF958" s="32"/>
      <c r="AG958" s="32"/>
      <c r="AH958" s="32"/>
      <c r="AI958" s="30">
        <v>371690</v>
      </c>
      <c r="AJ958" s="30">
        <v>341955</v>
      </c>
      <c r="AK958" s="30">
        <v>0</v>
      </c>
      <c r="AL958" s="30">
        <v>0</v>
      </c>
      <c r="AM958" s="30">
        <v>60800</v>
      </c>
      <c r="AN958" s="30">
        <v>346000</v>
      </c>
      <c r="AO958" s="30">
        <v>406800</v>
      </c>
      <c r="AP958" s="30">
        <f>Lookups!$B$58*0.6</f>
        <v>132535.48800000001</v>
      </c>
      <c r="AQ958" s="30">
        <f>Lookups!$B$58*0.4</f>
        <v>88356.992000000013</v>
      </c>
      <c r="AR958" s="30">
        <f>Lookups!$B$59*Inventory[[#This Row],[LnAcres]]</f>
        <v>-24051.387388882686</v>
      </c>
      <c r="AS958" s="30">
        <f>VLOOKUP(Inventory[[#This Row],[Qlty]],Lookups!$A$66:$E$79,2,FALSE)</f>
        <v>37154.252388000001</v>
      </c>
      <c r="AT958" s="30">
        <f>VLOOKUP(Inventory[[#This Row],[Cnd]],Lookups!$A$80:$E$88,2,FALSE)</f>
        <v>50438.379078999998</v>
      </c>
      <c r="AU958" s="30">
        <f>Inventory[[#This Row],[EffAge]]*Lookups!$B$65</f>
        <v>-2174.8220000000001</v>
      </c>
      <c r="AV958" s="30">
        <f>Inventory[[#This Row],[MainFn]]*Lookups!$B$90</f>
        <v>64906.7952</v>
      </c>
      <c r="AW958" s="30">
        <f>Inventory[[#This Row],[UpprFn]]*Lookups!$B$91</f>
        <v>61963.598319999997</v>
      </c>
      <c r="AX958" s="30">
        <f>Inventory[[#This Row],[Bsmt Area]]*Lookups!$B$95</f>
        <v>0</v>
      </c>
      <c r="AY958" s="30">
        <f>Inventory[[#This Row],[AttGar]]*Lookups!$B$93</f>
        <v>15532.453640000002</v>
      </c>
      <c r="AZ958" s="30">
        <f>ROUND(Inventory[[#This Row],[25Det]],-2)</f>
        <v>0</v>
      </c>
      <c r="BA958" s="30">
        <f>ROUND(SUM(Inventory[[#This Row],[Mdl Qlty]:[Mdl Garage Area]])+Inventory[[#This Row],[Mdl Res Intercept]],-2)</f>
        <v>360400</v>
      </c>
      <c r="BB958" s="30">
        <f>ROUND(Inventory[[#This Row],[Mdl Land Intercept]]+Inventory[[#This Row],[Mdl LnAcres]],-2)</f>
        <v>64300</v>
      </c>
      <c r="BC958" s="30">
        <f>Inventory[[#This Row],[Unadj Res Value]]+Inventory[[#This Row],[Unadj Det Value]]+Inventory[[#This Row],[Unadj Land Value]]</f>
        <v>424700</v>
      </c>
      <c r="BD958" s="30">
        <f>(Inventory[[#This Row],[Unadj Total Value]]-Inventory[[#This Row],[24Final]])/Inventory[[#This Row],[24Final]]</f>
        <v>4.4001966568338248E-2</v>
      </c>
      <c r="BE958" s="30">
        <f>VLOOKUP(Inventory[[#This Row],[Nbhd]],Lookups!$M$3:$P$5,4,FALSE)</f>
        <v>0.99970000000000003</v>
      </c>
      <c r="BF958" s="30">
        <f>VLOOKUP(Inventory[[#This Row],[Qlty]],Lookups!$M$8:$P$22,4,FALSE)</f>
        <v>0.99819999999999998</v>
      </c>
      <c r="BG958" s="30">
        <f>VLOOKUP(Inventory[[#This Row],[Cnd]],Lookups!$R$8:$U$17,4,FALSE)</f>
        <v>1.0007999999999999</v>
      </c>
      <c r="BH958" s="30">
        <f>VLOOKUP(Inventory[[#This Row],[LivArea Range]],Lookups!$R$25:$U$43,4,FALSE)</f>
        <v>1.0008999999999999</v>
      </c>
      <c r="BI958" s="30">
        <f>VLOOKUP(Inventory[[#This Row],[Decade]],Lookups!$M$24:$P$40,4,FALSE)</f>
        <v>0.99560000000000004</v>
      </c>
      <c r="BJ958" s="30">
        <f>Inventory[[#This Row],[Nbhd Adj]]*0.95</f>
        <v>0.94971499999999998</v>
      </c>
      <c r="BK958" s="30">
        <f>AVERAGE(Inventory[[#This Row],[Nbhd Adj]],Inventory[[#This Row],[Quality Adj]],Inventory[[#This Row],[Condition Adj]],Inventory[[#This Row],[Living Area Adj]],Inventory[[#This Row],[Decade Adj]])*0.95</f>
        <v>0.94908800000000015</v>
      </c>
      <c r="BL958" s="30">
        <f>ROUND((SUM(Inventory[[#This Row],[Mdl Qlty]:[Mdl Garage Area]])+Inventory[[#This Row],[Mdl Res Intercept]])*Inventory[[#This Row],[Res Adj ]],-2)</f>
        <v>342000</v>
      </c>
      <c r="BM958" s="30">
        <f>ROUND(Inventory[[#This Row],[25Det]]*Inventory[[#This Row],[Det/Nbhd Adj]],-2)</f>
        <v>0</v>
      </c>
      <c r="BN958" s="30">
        <f>Inventory[[#This Row],[Adjusted Res]]+Inventory[[#This Row],[Adj Det ]]</f>
        <v>342000</v>
      </c>
      <c r="BO958" s="30">
        <f>ROUND((Inventory[[#This Row],[Mdl Land Intercept]]+Inventory[[#This Row],[Mdl LnAcres]])*Inventory[[#This Row],[Det/Nbhd Adj]],-2)</f>
        <v>61100</v>
      </c>
      <c r="BP958" s="30">
        <f>Inventory[[#This Row],[Adjusted Impr Total]]+Inventory[[#This Row],[Adjusted Land Total]]</f>
        <v>403100</v>
      </c>
      <c r="BQ958" s="30">
        <f>IFERROR((Inventory[[#This Row],[Adjusted Impr Total]]-Inventory[[#This Row],[24Bldg]])/Inventory[[#This Row],[24Bldg]],0)</f>
        <v>-1.1560693641618497E-2</v>
      </c>
      <c r="BR958" s="43">
        <f>(Inventory[[#This Row],[Adjusted Land Total]]-Inventory[[#This Row],[24Lnd]])/Inventory[[#This Row],[24Lnd]]</f>
        <v>4.9342105263157892E-3</v>
      </c>
      <c r="BS958" s="43">
        <f>(Inventory[[#This Row],[Adjusted Total]]-Inventory[[#This Row],[24Final]])/Inventory[[#This Row],[24Final]]</f>
        <v>-9.0953785644051124E-3</v>
      </c>
    </row>
    <row r="959" spans="1:71">
      <c r="A959" s="30">
        <v>2025</v>
      </c>
      <c r="B959" s="31" t="s">
        <v>1474</v>
      </c>
      <c r="C959" s="31">
        <f>LN(Inventory[[#This Row],[Acres]])</f>
        <v>-1.8325814637483102</v>
      </c>
      <c r="D959" s="30">
        <v>0.16</v>
      </c>
      <c r="E959" s="30">
        <v>7187</v>
      </c>
      <c r="F959" s="31" t="s">
        <v>505</v>
      </c>
      <c r="G959" s="31" t="s">
        <v>155</v>
      </c>
      <c r="H959" s="31" t="s">
        <v>5</v>
      </c>
      <c r="I959" s="31" t="s">
        <v>506</v>
      </c>
      <c r="J959" s="31" t="s">
        <v>507</v>
      </c>
      <c r="K959" s="31" t="s">
        <v>330</v>
      </c>
      <c r="L959" s="31" t="s">
        <v>21</v>
      </c>
      <c r="M959" s="31" t="s">
        <v>22</v>
      </c>
      <c r="N959" s="31">
        <v>20</v>
      </c>
      <c r="O959" s="31">
        <f>2024-Inventory[[#This Row],[YrBlt]]</f>
        <v>20</v>
      </c>
      <c r="P959" s="31">
        <f>2024-Inventory[[#This Row],[EffYr]]</f>
        <v>20</v>
      </c>
      <c r="Q959" s="30">
        <v>2004</v>
      </c>
      <c r="R959" s="30">
        <v>2004</v>
      </c>
      <c r="S959" s="30">
        <v>1040</v>
      </c>
      <c r="T959" s="38">
        <v>1040</v>
      </c>
      <c r="U959" s="32"/>
      <c r="V959" s="32"/>
      <c r="W959" s="32"/>
      <c r="X959" s="32">
        <f>Inventory[[#This Row],[Bsmt Area]]-Inventory[[#This Row],[FnBsmt]]</f>
        <v>0</v>
      </c>
      <c r="Y959" s="32">
        <f>Inventory[[#This Row],[MainFn]]+Inventory[[#This Row],[UpprFn]]+Inventory[[#This Row],[AddFn]]+Inventory[[#This Row],[FnBsmt]]</f>
        <v>2080</v>
      </c>
      <c r="Z959" s="32">
        <v>2500</v>
      </c>
      <c r="AA959" s="31" t="s">
        <v>56</v>
      </c>
      <c r="AB959" s="37"/>
      <c r="AC959" s="30">
        <v>440</v>
      </c>
      <c r="AD959" s="32"/>
      <c r="AE959" s="32"/>
      <c r="AF959" s="32"/>
      <c r="AG959" s="32"/>
      <c r="AH959" s="32"/>
      <c r="AI959" s="30">
        <v>420849</v>
      </c>
      <c r="AJ959" s="30">
        <v>387181</v>
      </c>
      <c r="AK959" s="30">
        <v>0</v>
      </c>
      <c r="AL959" s="30">
        <v>0</v>
      </c>
      <c r="AM959" s="30">
        <v>60800</v>
      </c>
      <c r="AN959" s="30">
        <v>341600</v>
      </c>
      <c r="AO959" s="30">
        <v>402400</v>
      </c>
      <c r="AP959" s="30">
        <f>Lookups!$B$58*0.6</f>
        <v>132535.48800000001</v>
      </c>
      <c r="AQ959" s="30">
        <f>Lookups!$B$58*0.4</f>
        <v>88356.992000000013</v>
      </c>
      <c r="AR959" s="30">
        <f>Lookups!$B$59*Inventory[[#This Row],[LnAcres]]</f>
        <v>-24051.387388882686</v>
      </c>
      <c r="AS959" s="30">
        <f>VLOOKUP(Inventory[[#This Row],[Qlty]],Lookups!$A$66:$E$79,2,FALSE)</f>
        <v>32917.849192000001</v>
      </c>
      <c r="AT959" s="30">
        <f>VLOOKUP(Inventory[[#This Row],[Cnd]],Lookups!$A$80:$E$88,2,FALSE)</f>
        <v>50438.379078999998</v>
      </c>
      <c r="AU959" s="30">
        <f>Inventory[[#This Row],[EffAge]]*Lookups!$B$65</f>
        <v>-2174.8220000000001</v>
      </c>
      <c r="AV959" s="30">
        <f>Inventory[[#This Row],[MainFn]]*Lookups!$B$90</f>
        <v>64906.7952</v>
      </c>
      <c r="AW959" s="30">
        <f>Inventory[[#This Row],[UpprFn]]*Lookups!$B$91</f>
        <v>61963.598319999997</v>
      </c>
      <c r="AX959" s="30">
        <f>Inventory[[#This Row],[Bsmt Area]]*Lookups!$B$95</f>
        <v>0</v>
      </c>
      <c r="AY959" s="30">
        <f>Inventory[[#This Row],[AttGar]]*Lookups!$B$93</f>
        <v>15532.453640000002</v>
      </c>
      <c r="AZ959" s="30">
        <f>ROUND(Inventory[[#This Row],[25Det]],-2)</f>
        <v>0</v>
      </c>
      <c r="BA959" s="30">
        <f>ROUND(SUM(Inventory[[#This Row],[Mdl Qlty]:[Mdl Garage Area]])+Inventory[[#This Row],[Mdl Res Intercept]],-2)</f>
        <v>356100</v>
      </c>
      <c r="BB959" s="30">
        <f>ROUND(Inventory[[#This Row],[Mdl Land Intercept]]+Inventory[[#This Row],[Mdl LnAcres]],-2)</f>
        <v>64300</v>
      </c>
      <c r="BC959" s="30">
        <f>Inventory[[#This Row],[Unadj Res Value]]+Inventory[[#This Row],[Unadj Det Value]]+Inventory[[#This Row],[Unadj Land Value]]</f>
        <v>420400</v>
      </c>
      <c r="BD959" s="30">
        <f>(Inventory[[#This Row],[Unadj Total Value]]-Inventory[[#This Row],[24Final]])/Inventory[[#This Row],[24Final]]</f>
        <v>4.4731610337972169E-2</v>
      </c>
      <c r="BE959" s="30">
        <f>VLOOKUP(Inventory[[#This Row],[Nbhd]],Lookups!$M$3:$P$5,4,FALSE)</f>
        <v>0.99970000000000003</v>
      </c>
      <c r="BF959" s="30">
        <f>VLOOKUP(Inventory[[#This Row],[Qlty]],Lookups!$M$8:$P$22,4,FALSE)</f>
        <v>1.0019</v>
      </c>
      <c r="BG959" s="30">
        <f>VLOOKUP(Inventory[[#This Row],[Cnd]],Lookups!$R$8:$U$17,4,FALSE)</f>
        <v>1.0007999999999999</v>
      </c>
      <c r="BH959" s="30">
        <f>VLOOKUP(Inventory[[#This Row],[LivArea Range]],Lookups!$R$25:$U$43,4,FALSE)</f>
        <v>1.0008999999999999</v>
      </c>
      <c r="BI959" s="30">
        <f>VLOOKUP(Inventory[[#This Row],[Decade]],Lookups!$M$24:$P$40,4,FALSE)</f>
        <v>0.99560000000000004</v>
      </c>
      <c r="BJ959" s="30">
        <f>Inventory[[#This Row],[Nbhd Adj]]*0.95</f>
        <v>0.94971499999999998</v>
      </c>
      <c r="BK959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959" s="30">
        <f>ROUND((SUM(Inventory[[#This Row],[Mdl Qlty]:[Mdl Garage Area]])+Inventory[[#This Row],[Mdl Res Intercept]])*Inventory[[#This Row],[Res Adj ]],-2)</f>
        <v>338200</v>
      </c>
      <c r="BM959" s="30">
        <f>ROUND(Inventory[[#This Row],[25Det]]*Inventory[[#This Row],[Det/Nbhd Adj]],-2)</f>
        <v>0</v>
      </c>
      <c r="BN959" s="30">
        <f>Inventory[[#This Row],[Adjusted Res]]+Inventory[[#This Row],[Adj Det ]]</f>
        <v>338200</v>
      </c>
      <c r="BO959" s="30">
        <f>ROUND((Inventory[[#This Row],[Mdl Land Intercept]]+Inventory[[#This Row],[Mdl LnAcres]])*Inventory[[#This Row],[Det/Nbhd Adj]],-2)</f>
        <v>61100</v>
      </c>
      <c r="BP959" s="30">
        <f>Inventory[[#This Row],[Adjusted Impr Total]]+Inventory[[#This Row],[Adjusted Land Total]]</f>
        <v>399300</v>
      </c>
      <c r="BQ959" s="30">
        <f>IFERROR((Inventory[[#This Row],[Adjusted Impr Total]]-Inventory[[#This Row],[24Bldg]])/Inventory[[#This Row],[24Bldg]],0)</f>
        <v>-9.9531615925058554E-3</v>
      </c>
      <c r="BR959" s="43">
        <f>(Inventory[[#This Row],[Adjusted Land Total]]-Inventory[[#This Row],[24Lnd]])/Inventory[[#This Row],[24Lnd]]</f>
        <v>4.9342105263157892E-3</v>
      </c>
      <c r="BS959" s="43">
        <f>(Inventory[[#This Row],[Adjusted Total]]-Inventory[[#This Row],[24Final]])/Inventory[[#This Row],[24Final]]</f>
        <v>-7.7037773359840958E-3</v>
      </c>
    </row>
    <row r="960" spans="1:71">
      <c r="A960" s="30">
        <v>2025</v>
      </c>
      <c r="B960" s="31" t="s">
        <v>1475</v>
      </c>
      <c r="C960" s="31">
        <f>LN(Inventory[[#This Row],[Acres]])</f>
        <v>-1.8325814637483102</v>
      </c>
      <c r="D960" s="30">
        <v>0.16</v>
      </c>
      <c r="E960" s="30">
        <v>7002</v>
      </c>
      <c r="F960" s="31" t="s">
        <v>505</v>
      </c>
      <c r="G960" s="31" t="s">
        <v>155</v>
      </c>
      <c r="H960" s="31" t="s">
        <v>5</v>
      </c>
      <c r="I960" s="31" t="s">
        <v>506</v>
      </c>
      <c r="J960" s="31" t="s">
        <v>507</v>
      </c>
      <c r="K960" s="31" t="s">
        <v>193</v>
      </c>
      <c r="L960" s="31" t="s">
        <v>21</v>
      </c>
      <c r="M960" s="31" t="s">
        <v>22</v>
      </c>
      <c r="N960" s="31">
        <v>20</v>
      </c>
      <c r="O960" s="31">
        <f>2024-Inventory[[#This Row],[YrBlt]]</f>
        <v>20</v>
      </c>
      <c r="P960" s="31">
        <f>2024-Inventory[[#This Row],[EffYr]]</f>
        <v>20</v>
      </c>
      <c r="Q960" s="30">
        <v>2004</v>
      </c>
      <c r="R960" s="30">
        <v>2004</v>
      </c>
      <c r="S960" s="30">
        <v>1380</v>
      </c>
      <c r="T960" s="32"/>
      <c r="U960" s="32"/>
      <c r="V960" s="32"/>
      <c r="W960" s="32"/>
      <c r="X960" s="32">
        <f>Inventory[[#This Row],[Bsmt Area]]-Inventory[[#This Row],[FnBsmt]]</f>
        <v>0</v>
      </c>
      <c r="Y960" s="32">
        <f>Inventory[[#This Row],[MainFn]]+Inventory[[#This Row],[UpprFn]]+Inventory[[#This Row],[AddFn]]+Inventory[[#This Row],[FnBsmt]]</f>
        <v>1380</v>
      </c>
      <c r="Z960" s="32">
        <v>1500</v>
      </c>
      <c r="AA960" s="31" t="s">
        <v>56</v>
      </c>
      <c r="AB960" s="32"/>
      <c r="AC960" s="30">
        <v>428</v>
      </c>
      <c r="AD960" s="32"/>
      <c r="AE960" s="32"/>
      <c r="AF960" s="32"/>
      <c r="AG960" s="32"/>
      <c r="AH960" s="32"/>
      <c r="AI960" s="30">
        <v>326649</v>
      </c>
      <c r="AJ960" s="30">
        <v>300517</v>
      </c>
      <c r="AK960" s="30">
        <v>0</v>
      </c>
      <c r="AL960" s="30">
        <v>0</v>
      </c>
      <c r="AM960" s="30">
        <v>60800</v>
      </c>
      <c r="AN960" s="30">
        <v>300700</v>
      </c>
      <c r="AO960" s="30">
        <v>361500</v>
      </c>
      <c r="AP960" s="30">
        <f>Lookups!$B$58*0.6</f>
        <v>132535.48800000001</v>
      </c>
      <c r="AQ960" s="30">
        <f>Lookups!$B$58*0.4</f>
        <v>88356.992000000013</v>
      </c>
      <c r="AR960" s="30">
        <f>Lookups!$B$59*Inventory[[#This Row],[LnAcres]]</f>
        <v>-24051.387388882686</v>
      </c>
      <c r="AS960" s="30">
        <f>VLOOKUP(Inventory[[#This Row],[Qlty]],Lookups!$A$66:$E$79,2,FALSE)</f>
        <v>32917.849192000001</v>
      </c>
      <c r="AT960" s="30">
        <f>VLOOKUP(Inventory[[#This Row],[Cnd]],Lookups!$A$80:$E$88,2,FALSE)</f>
        <v>50438.379078999998</v>
      </c>
      <c r="AU960" s="30">
        <f>Inventory[[#This Row],[EffAge]]*Lookups!$B$65</f>
        <v>-2174.8220000000001</v>
      </c>
      <c r="AV960" s="30">
        <f>Inventory[[#This Row],[MainFn]]*Lookups!$B$90</f>
        <v>86126.324399999998</v>
      </c>
      <c r="AW960" s="30">
        <f>Inventory[[#This Row],[UpprFn]]*Lookups!$B$91</f>
        <v>0</v>
      </c>
      <c r="AX960" s="30">
        <f>Inventory[[#This Row],[Bsmt Area]]*Lookups!$B$95</f>
        <v>0</v>
      </c>
      <c r="AY960" s="30">
        <f>Inventory[[#This Row],[AttGar]]*Lookups!$B$93</f>
        <v>15108.841268</v>
      </c>
      <c r="AZ960" s="30">
        <f>ROUND(Inventory[[#This Row],[25Det]],-2)</f>
        <v>0</v>
      </c>
      <c r="BA960" s="30">
        <f>ROUND(SUM(Inventory[[#This Row],[Mdl Qlty]:[Mdl Garage Area]])+Inventory[[#This Row],[Mdl Res Intercept]],-2)</f>
        <v>315000</v>
      </c>
      <c r="BB960" s="30">
        <f>ROUND(Inventory[[#This Row],[Mdl Land Intercept]]+Inventory[[#This Row],[Mdl LnAcres]],-2)</f>
        <v>64300</v>
      </c>
      <c r="BC960" s="30">
        <f>Inventory[[#This Row],[Unadj Res Value]]+Inventory[[#This Row],[Unadj Det Value]]+Inventory[[#This Row],[Unadj Land Value]]</f>
        <v>379300</v>
      </c>
      <c r="BD960" s="30">
        <f>(Inventory[[#This Row],[Unadj Total Value]]-Inventory[[#This Row],[24Final]])/Inventory[[#This Row],[24Final]]</f>
        <v>4.9239280774550483E-2</v>
      </c>
      <c r="BE960" s="30">
        <f>VLOOKUP(Inventory[[#This Row],[Nbhd]],Lookups!$M$3:$P$5,4,FALSE)</f>
        <v>0.99970000000000003</v>
      </c>
      <c r="BF960" s="30">
        <f>VLOOKUP(Inventory[[#This Row],[Qlty]],Lookups!$M$8:$P$22,4,FALSE)</f>
        <v>1.0019</v>
      </c>
      <c r="BG960" s="30">
        <f>VLOOKUP(Inventory[[#This Row],[Cnd]],Lookups!$R$8:$U$17,4,FALSE)</f>
        <v>1.0007999999999999</v>
      </c>
      <c r="BH960" s="30">
        <f>VLOOKUP(Inventory[[#This Row],[LivArea Range]],Lookups!$R$25:$U$43,4,FALSE)</f>
        <v>0.99519999999999997</v>
      </c>
      <c r="BI960" s="30">
        <f>VLOOKUP(Inventory[[#This Row],[Decade]],Lookups!$M$24:$P$40,4,FALSE)</f>
        <v>0.99560000000000004</v>
      </c>
      <c r="BJ960" s="30">
        <f>Inventory[[#This Row],[Nbhd Adj]]*0.95</f>
        <v>0.94971499999999998</v>
      </c>
      <c r="BK960" s="30">
        <f>AVERAGE(Inventory[[#This Row],[Nbhd Adj]],Inventory[[#This Row],[Quality Adj]],Inventory[[#This Row],[Condition Adj]],Inventory[[#This Row],[Living Area Adj]],Inventory[[#This Row],[Decade Adj]])*0.95</f>
        <v>0.94870799999999988</v>
      </c>
      <c r="BL960" s="30">
        <f>ROUND((SUM(Inventory[[#This Row],[Mdl Qlty]:[Mdl Garage Area]])+Inventory[[#This Row],[Mdl Res Intercept]])*Inventory[[#This Row],[Res Adj ]],-2)</f>
        <v>298800</v>
      </c>
      <c r="BM960" s="30">
        <f>ROUND(Inventory[[#This Row],[25Det]]*Inventory[[#This Row],[Det/Nbhd Adj]],-2)</f>
        <v>0</v>
      </c>
      <c r="BN960" s="30">
        <f>Inventory[[#This Row],[Adjusted Res]]+Inventory[[#This Row],[Adj Det ]]</f>
        <v>298800</v>
      </c>
      <c r="BO960" s="30">
        <f>ROUND((Inventory[[#This Row],[Mdl Land Intercept]]+Inventory[[#This Row],[Mdl LnAcres]])*Inventory[[#This Row],[Det/Nbhd Adj]],-2)</f>
        <v>61100</v>
      </c>
      <c r="BP960" s="30">
        <f>Inventory[[#This Row],[Adjusted Impr Total]]+Inventory[[#This Row],[Adjusted Land Total]]</f>
        <v>359900</v>
      </c>
      <c r="BQ960" s="30">
        <f>IFERROR((Inventory[[#This Row],[Adjusted Impr Total]]-Inventory[[#This Row],[24Bldg]])/Inventory[[#This Row],[24Bldg]],0)</f>
        <v>-6.3185899567675423E-3</v>
      </c>
      <c r="BR960" s="43">
        <f>(Inventory[[#This Row],[Adjusted Land Total]]-Inventory[[#This Row],[24Lnd]])/Inventory[[#This Row],[24Lnd]]</f>
        <v>4.9342105263157892E-3</v>
      </c>
      <c r="BS960" s="43">
        <f>(Inventory[[#This Row],[Adjusted Total]]-Inventory[[#This Row],[24Final]])/Inventory[[#This Row],[24Final]]</f>
        <v>-4.4260027662517288E-3</v>
      </c>
    </row>
    <row r="961" spans="1:71">
      <c r="A961" s="30">
        <v>2025</v>
      </c>
      <c r="B961" s="31" t="s">
        <v>1476</v>
      </c>
      <c r="C961" s="31">
        <f>LN(Inventory[[#This Row],[Acres]])</f>
        <v>-1.8325814637483102</v>
      </c>
      <c r="D961" s="30">
        <v>0.16</v>
      </c>
      <c r="E961" s="30">
        <v>7014</v>
      </c>
      <c r="F961" s="31" t="s">
        <v>505</v>
      </c>
      <c r="G961" s="31" t="s">
        <v>155</v>
      </c>
      <c r="H961" s="31" t="s">
        <v>5</v>
      </c>
      <c r="I961" s="31" t="s">
        <v>506</v>
      </c>
      <c r="J961" s="31" t="s">
        <v>507</v>
      </c>
      <c r="K961" s="31" t="s">
        <v>193</v>
      </c>
      <c r="L961" s="31" t="s">
        <v>21</v>
      </c>
      <c r="M961" s="31" t="s">
        <v>22</v>
      </c>
      <c r="N961" s="31">
        <v>20</v>
      </c>
      <c r="O961" s="31">
        <f>2024-Inventory[[#This Row],[YrBlt]]</f>
        <v>20</v>
      </c>
      <c r="P961" s="31">
        <f>2024-Inventory[[#This Row],[EffYr]]</f>
        <v>20</v>
      </c>
      <c r="Q961" s="30">
        <v>2004</v>
      </c>
      <c r="R961" s="30">
        <v>2004</v>
      </c>
      <c r="S961" s="30">
        <v>1380</v>
      </c>
      <c r="T961" s="32"/>
      <c r="U961" s="32"/>
      <c r="V961" s="32"/>
      <c r="W961" s="32"/>
      <c r="X961" s="32">
        <f>Inventory[[#This Row],[Bsmt Area]]-Inventory[[#This Row],[FnBsmt]]</f>
        <v>0</v>
      </c>
      <c r="Y961" s="32">
        <f>Inventory[[#This Row],[MainFn]]+Inventory[[#This Row],[UpprFn]]+Inventory[[#This Row],[AddFn]]+Inventory[[#This Row],[FnBsmt]]</f>
        <v>1380</v>
      </c>
      <c r="Z961" s="32">
        <v>1500</v>
      </c>
      <c r="AA961" s="31" t="s">
        <v>56</v>
      </c>
      <c r="AB961" s="37"/>
      <c r="AC961" s="30">
        <v>428</v>
      </c>
      <c r="AD961" s="32"/>
      <c r="AE961" s="32"/>
      <c r="AF961" s="32"/>
      <c r="AG961" s="32"/>
      <c r="AH961" s="32"/>
      <c r="AI961" s="30">
        <v>331119</v>
      </c>
      <c r="AJ961" s="30">
        <v>304629</v>
      </c>
      <c r="AK961" s="30">
        <v>0</v>
      </c>
      <c r="AL961" s="30">
        <v>0</v>
      </c>
      <c r="AM961" s="30">
        <v>60800</v>
      </c>
      <c r="AN961" s="30">
        <v>300700</v>
      </c>
      <c r="AO961" s="30">
        <v>361500</v>
      </c>
      <c r="AP961" s="30">
        <f>Lookups!$B$58*0.6</f>
        <v>132535.48800000001</v>
      </c>
      <c r="AQ961" s="30">
        <f>Lookups!$B$58*0.4</f>
        <v>88356.992000000013</v>
      </c>
      <c r="AR961" s="30">
        <f>Lookups!$B$59*Inventory[[#This Row],[LnAcres]]</f>
        <v>-24051.387388882686</v>
      </c>
      <c r="AS961" s="30">
        <f>VLOOKUP(Inventory[[#This Row],[Qlty]],Lookups!$A$66:$E$79,2,FALSE)</f>
        <v>32917.849192000001</v>
      </c>
      <c r="AT961" s="30">
        <f>VLOOKUP(Inventory[[#This Row],[Cnd]],Lookups!$A$80:$E$88,2,FALSE)</f>
        <v>50438.379078999998</v>
      </c>
      <c r="AU961" s="30">
        <f>Inventory[[#This Row],[EffAge]]*Lookups!$B$65</f>
        <v>-2174.8220000000001</v>
      </c>
      <c r="AV961" s="30">
        <f>Inventory[[#This Row],[MainFn]]*Lookups!$B$90</f>
        <v>86126.324399999998</v>
      </c>
      <c r="AW961" s="30">
        <f>Inventory[[#This Row],[UpprFn]]*Lookups!$B$91</f>
        <v>0</v>
      </c>
      <c r="AX961" s="30">
        <f>Inventory[[#This Row],[Bsmt Area]]*Lookups!$B$95</f>
        <v>0</v>
      </c>
      <c r="AY961" s="30">
        <f>Inventory[[#This Row],[AttGar]]*Lookups!$B$93</f>
        <v>15108.841268</v>
      </c>
      <c r="AZ961" s="30">
        <f>ROUND(Inventory[[#This Row],[25Det]],-2)</f>
        <v>0</v>
      </c>
      <c r="BA961" s="30">
        <f>ROUND(SUM(Inventory[[#This Row],[Mdl Qlty]:[Mdl Garage Area]])+Inventory[[#This Row],[Mdl Res Intercept]],-2)</f>
        <v>315000</v>
      </c>
      <c r="BB961" s="30">
        <f>ROUND(Inventory[[#This Row],[Mdl Land Intercept]]+Inventory[[#This Row],[Mdl LnAcres]],-2)</f>
        <v>64300</v>
      </c>
      <c r="BC961" s="30">
        <f>Inventory[[#This Row],[Unadj Res Value]]+Inventory[[#This Row],[Unadj Det Value]]+Inventory[[#This Row],[Unadj Land Value]]</f>
        <v>379300</v>
      </c>
      <c r="BD961" s="30">
        <f>(Inventory[[#This Row],[Unadj Total Value]]-Inventory[[#This Row],[24Final]])/Inventory[[#This Row],[24Final]]</f>
        <v>4.9239280774550483E-2</v>
      </c>
      <c r="BE961" s="30">
        <f>VLOOKUP(Inventory[[#This Row],[Nbhd]],Lookups!$M$3:$P$5,4,FALSE)</f>
        <v>0.99970000000000003</v>
      </c>
      <c r="BF961" s="30">
        <f>VLOOKUP(Inventory[[#This Row],[Qlty]],Lookups!$M$8:$P$22,4,FALSE)</f>
        <v>1.0019</v>
      </c>
      <c r="BG961" s="30">
        <f>VLOOKUP(Inventory[[#This Row],[Cnd]],Lookups!$R$8:$U$17,4,FALSE)</f>
        <v>1.0007999999999999</v>
      </c>
      <c r="BH961" s="30">
        <f>VLOOKUP(Inventory[[#This Row],[LivArea Range]],Lookups!$R$25:$U$43,4,FALSE)</f>
        <v>0.99519999999999997</v>
      </c>
      <c r="BI961" s="30">
        <f>VLOOKUP(Inventory[[#This Row],[Decade]],Lookups!$M$24:$P$40,4,FALSE)</f>
        <v>0.99560000000000004</v>
      </c>
      <c r="BJ961" s="30">
        <f>Inventory[[#This Row],[Nbhd Adj]]*0.95</f>
        <v>0.94971499999999998</v>
      </c>
      <c r="BK961" s="30">
        <f>AVERAGE(Inventory[[#This Row],[Nbhd Adj]],Inventory[[#This Row],[Quality Adj]],Inventory[[#This Row],[Condition Adj]],Inventory[[#This Row],[Living Area Adj]],Inventory[[#This Row],[Decade Adj]])*0.95</f>
        <v>0.94870799999999988</v>
      </c>
      <c r="BL961" s="30">
        <f>ROUND((SUM(Inventory[[#This Row],[Mdl Qlty]:[Mdl Garage Area]])+Inventory[[#This Row],[Mdl Res Intercept]])*Inventory[[#This Row],[Res Adj ]],-2)</f>
        <v>298800</v>
      </c>
      <c r="BM961" s="30">
        <f>ROUND(Inventory[[#This Row],[25Det]]*Inventory[[#This Row],[Det/Nbhd Adj]],-2)</f>
        <v>0</v>
      </c>
      <c r="BN961" s="30">
        <f>Inventory[[#This Row],[Adjusted Res]]+Inventory[[#This Row],[Adj Det ]]</f>
        <v>298800</v>
      </c>
      <c r="BO961" s="30">
        <f>ROUND((Inventory[[#This Row],[Mdl Land Intercept]]+Inventory[[#This Row],[Mdl LnAcres]])*Inventory[[#This Row],[Det/Nbhd Adj]],-2)</f>
        <v>61100</v>
      </c>
      <c r="BP961" s="30">
        <f>Inventory[[#This Row],[Adjusted Impr Total]]+Inventory[[#This Row],[Adjusted Land Total]]</f>
        <v>359900</v>
      </c>
      <c r="BQ961" s="30">
        <f>IFERROR((Inventory[[#This Row],[Adjusted Impr Total]]-Inventory[[#This Row],[24Bldg]])/Inventory[[#This Row],[24Bldg]],0)</f>
        <v>-6.3185899567675423E-3</v>
      </c>
      <c r="BR961" s="43">
        <f>(Inventory[[#This Row],[Adjusted Land Total]]-Inventory[[#This Row],[24Lnd]])/Inventory[[#This Row],[24Lnd]]</f>
        <v>4.9342105263157892E-3</v>
      </c>
      <c r="BS961" s="43">
        <f>(Inventory[[#This Row],[Adjusted Total]]-Inventory[[#This Row],[24Final]])/Inventory[[#This Row],[24Final]]</f>
        <v>-4.4260027662517288E-3</v>
      </c>
    </row>
    <row r="962" spans="1:71">
      <c r="A962" s="30">
        <v>2025</v>
      </c>
      <c r="B962" s="31" t="s">
        <v>1477</v>
      </c>
      <c r="C962" s="31">
        <f>LN(Inventory[[#This Row],[Acres]])</f>
        <v>-1.8325814637483102</v>
      </c>
      <c r="D962" s="30">
        <v>0.16</v>
      </c>
      <c r="E962" s="30">
        <v>7000</v>
      </c>
      <c r="F962" s="31" t="s">
        <v>505</v>
      </c>
      <c r="G962" s="31" t="s">
        <v>155</v>
      </c>
      <c r="H962" s="31" t="s">
        <v>5</v>
      </c>
      <c r="I962" s="31" t="s">
        <v>506</v>
      </c>
      <c r="J962" s="31" t="s">
        <v>507</v>
      </c>
      <c r="K962" s="31" t="s">
        <v>193</v>
      </c>
      <c r="L962" s="31" t="s">
        <v>19</v>
      </c>
      <c r="M962" s="31" t="s">
        <v>22</v>
      </c>
      <c r="N962" s="31">
        <v>20</v>
      </c>
      <c r="O962" s="31">
        <f>2024-Inventory[[#This Row],[YrBlt]]</f>
        <v>20</v>
      </c>
      <c r="P962" s="31">
        <f>2024-Inventory[[#This Row],[EffYr]]</f>
        <v>20</v>
      </c>
      <c r="Q962" s="30">
        <v>2004</v>
      </c>
      <c r="R962" s="30">
        <v>2004</v>
      </c>
      <c r="S962" s="30">
        <v>1690</v>
      </c>
      <c r="T962" s="37"/>
      <c r="U962" s="32"/>
      <c r="V962" s="32"/>
      <c r="W962" s="32"/>
      <c r="X962" s="32">
        <f>Inventory[[#This Row],[Bsmt Area]]-Inventory[[#This Row],[FnBsmt]]</f>
        <v>0</v>
      </c>
      <c r="Y962" s="32">
        <f>Inventory[[#This Row],[MainFn]]+Inventory[[#This Row],[UpprFn]]+Inventory[[#This Row],[AddFn]]+Inventory[[#This Row],[FnBsmt]]</f>
        <v>1690</v>
      </c>
      <c r="Z962" s="32">
        <v>2000</v>
      </c>
      <c r="AA962" s="31" t="s">
        <v>56</v>
      </c>
      <c r="AB962" s="37"/>
      <c r="AC962" s="38">
        <v>466</v>
      </c>
      <c r="AD962" s="37"/>
      <c r="AE962" s="32"/>
      <c r="AF962" s="32"/>
      <c r="AG962" s="32"/>
      <c r="AH962" s="32"/>
      <c r="AI962" s="30">
        <v>330383</v>
      </c>
      <c r="AJ962" s="30">
        <v>303952</v>
      </c>
      <c r="AK962" s="30">
        <v>0</v>
      </c>
      <c r="AL962" s="30">
        <v>0</v>
      </c>
      <c r="AM962" s="30">
        <v>60800</v>
      </c>
      <c r="AN962" s="30">
        <v>324900</v>
      </c>
      <c r="AO962" s="30">
        <v>385700</v>
      </c>
      <c r="AP962" s="30">
        <f>Lookups!$B$58*0.6</f>
        <v>132535.48800000001</v>
      </c>
      <c r="AQ962" s="30">
        <f>Lookups!$B$58*0.4</f>
        <v>88356.992000000013</v>
      </c>
      <c r="AR962" s="30">
        <f>Lookups!$B$59*Inventory[[#This Row],[LnAcres]]</f>
        <v>-24051.387388882686</v>
      </c>
      <c r="AS962" s="30">
        <f>VLOOKUP(Inventory[[#This Row],[Qlty]],Lookups!$A$66:$E$79,2,FALSE)</f>
        <v>37154.252388000001</v>
      </c>
      <c r="AT962" s="30">
        <f>VLOOKUP(Inventory[[#This Row],[Cnd]],Lookups!$A$80:$E$88,2,FALSE)</f>
        <v>50438.379078999998</v>
      </c>
      <c r="AU962" s="30">
        <f>Inventory[[#This Row],[EffAge]]*Lookups!$B$65</f>
        <v>-2174.8220000000001</v>
      </c>
      <c r="AV962" s="30">
        <f>Inventory[[#This Row],[MainFn]]*Lookups!$B$90</f>
        <v>105473.54220000001</v>
      </c>
      <c r="AW962" s="30">
        <f>Inventory[[#This Row],[UpprFn]]*Lookups!$B$91</f>
        <v>0</v>
      </c>
      <c r="AX962" s="30">
        <f>Inventory[[#This Row],[Bsmt Area]]*Lookups!$B$95</f>
        <v>0</v>
      </c>
      <c r="AY962" s="30">
        <f>Inventory[[#This Row],[AttGar]]*Lookups!$B$93</f>
        <v>16450.280446000001</v>
      </c>
      <c r="AZ962" s="30">
        <f>ROUND(Inventory[[#This Row],[25Det]],-2)</f>
        <v>0</v>
      </c>
      <c r="BA962" s="30">
        <f>ROUND(SUM(Inventory[[#This Row],[Mdl Qlty]:[Mdl Garage Area]])+Inventory[[#This Row],[Mdl Res Intercept]],-2)</f>
        <v>339900</v>
      </c>
      <c r="BB962" s="30">
        <f>ROUND(Inventory[[#This Row],[Mdl Land Intercept]]+Inventory[[#This Row],[Mdl LnAcres]],-2)</f>
        <v>64300</v>
      </c>
      <c r="BC962" s="30">
        <f>Inventory[[#This Row],[Unadj Res Value]]+Inventory[[#This Row],[Unadj Det Value]]+Inventory[[#This Row],[Unadj Land Value]]</f>
        <v>404200</v>
      </c>
      <c r="BD962" s="30">
        <f>(Inventory[[#This Row],[Unadj Total Value]]-Inventory[[#This Row],[24Final]])/Inventory[[#This Row],[24Final]]</f>
        <v>4.7964739434793881E-2</v>
      </c>
      <c r="BE962" s="30">
        <f>VLOOKUP(Inventory[[#This Row],[Nbhd]],Lookups!$M$3:$P$5,4,FALSE)</f>
        <v>0.99970000000000003</v>
      </c>
      <c r="BF962" s="30">
        <f>VLOOKUP(Inventory[[#This Row],[Qlty]],Lookups!$M$8:$P$22,4,FALSE)</f>
        <v>0.99819999999999998</v>
      </c>
      <c r="BG962" s="30">
        <f>VLOOKUP(Inventory[[#This Row],[Cnd]],Lookups!$R$8:$U$17,4,FALSE)</f>
        <v>1.0007999999999999</v>
      </c>
      <c r="BH962" s="30">
        <f>VLOOKUP(Inventory[[#This Row],[LivArea Range]],Lookups!$R$25:$U$43,4,FALSE)</f>
        <v>1.0007999999999999</v>
      </c>
      <c r="BI962" s="30">
        <f>VLOOKUP(Inventory[[#This Row],[Decade]],Lookups!$M$24:$P$40,4,FALSE)</f>
        <v>0.99560000000000004</v>
      </c>
      <c r="BJ962" s="30">
        <f>Inventory[[#This Row],[Nbhd Adj]]*0.95</f>
        <v>0.94971499999999998</v>
      </c>
      <c r="BK962" s="30">
        <f>AVERAGE(Inventory[[#This Row],[Nbhd Adj]],Inventory[[#This Row],[Quality Adj]],Inventory[[#This Row],[Condition Adj]],Inventory[[#This Row],[Living Area Adj]],Inventory[[#This Row],[Decade Adj]])*0.95</f>
        <v>0.94906899999999994</v>
      </c>
      <c r="BL962" s="30">
        <f>ROUND((SUM(Inventory[[#This Row],[Mdl Qlty]:[Mdl Garage Area]])+Inventory[[#This Row],[Mdl Res Intercept]])*Inventory[[#This Row],[Res Adj ]],-2)</f>
        <v>322600</v>
      </c>
      <c r="BM962" s="30">
        <f>ROUND(Inventory[[#This Row],[25Det]]*Inventory[[#This Row],[Det/Nbhd Adj]],-2)</f>
        <v>0</v>
      </c>
      <c r="BN962" s="30">
        <f>Inventory[[#This Row],[Adjusted Res]]+Inventory[[#This Row],[Adj Det ]]</f>
        <v>322600</v>
      </c>
      <c r="BO962" s="30">
        <f>ROUND((Inventory[[#This Row],[Mdl Land Intercept]]+Inventory[[#This Row],[Mdl LnAcres]])*Inventory[[#This Row],[Det/Nbhd Adj]],-2)</f>
        <v>61100</v>
      </c>
      <c r="BP962" s="30">
        <f>Inventory[[#This Row],[Adjusted Impr Total]]+Inventory[[#This Row],[Adjusted Land Total]]</f>
        <v>383700</v>
      </c>
      <c r="BQ962" s="30">
        <f>IFERROR((Inventory[[#This Row],[Adjusted Impr Total]]-Inventory[[#This Row],[24Bldg]])/Inventory[[#This Row],[24Bldg]],0)</f>
        <v>-7.0791012619267468E-3</v>
      </c>
      <c r="BR962" s="43">
        <f>(Inventory[[#This Row],[Adjusted Land Total]]-Inventory[[#This Row],[24Lnd]])/Inventory[[#This Row],[24Lnd]]</f>
        <v>4.9342105263157892E-3</v>
      </c>
      <c r="BS962" s="43">
        <f>(Inventory[[#This Row],[Adjusted Total]]-Inventory[[#This Row],[24Final]])/Inventory[[#This Row],[24Final]]</f>
        <v>-5.185377236193933E-3</v>
      </c>
    </row>
    <row r="963" spans="1:71">
      <c r="A963" s="30">
        <v>2025</v>
      </c>
      <c r="B963" s="31" t="s">
        <v>1478</v>
      </c>
      <c r="C963" s="31">
        <f>LN(Inventory[[#This Row],[Acres]])</f>
        <v>-1.8325814637483102</v>
      </c>
      <c r="D963" s="30">
        <v>0.16</v>
      </c>
      <c r="E963" s="30">
        <v>7013</v>
      </c>
      <c r="F963" s="31" t="s">
        <v>505</v>
      </c>
      <c r="G963" s="31" t="s">
        <v>155</v>
      </c>
      <c r="H963" s="31" t="s">
        <v>5</v>
      </c>
      <c r="I963" s="31" t="s">
        <v>506</v>
      </c>
      <c r="J963" s="31" t="s">
        <v>507</v>
      </c>
      <c r="K963" s="31" t="s">
        <v>193</v>
      </c>
      <c r="L963" s="31" t="s">
        <v>19</v>
      </c>
      <c r="M963" s="31" t="s">
        <v>22</v>
      </c>
      <c r="N963" s="31">
        <v>20</v>
      </c>
      <c r="O963" s="31">
        <f>2024-Inventory[[#This Row],[YrBlt]]</f>
        <v>20</v>
      </c>
      <c r="P963" s="31">
        <f>2024-Inventory[[#This Row],[EffYr]]</f>
        <v>20</v>
      </c>
      <c r="Q963" s="30">
        <v>2004</v>
      </c>
      <c r="R963" s="30">
        <v>2004</v>
      </c>
      <c r="S963" s="30">
        <v>1690</v>
      </c>
      <c r="T963" s="32"/>
      <c r="U963" s="32"/>
      <c r="V963" s="32"/>
      <c r="W963" s="32"/>
      <c r="X963" s="32">
        <f>Inventory[[#This Row],[Bsmt Area]]-Inventory[[#This Row],[FnBsmt]]</f>
        <v>0</v>
      </c>
      <c r="Y963" s="32">
        <f>Inventory[[#This Row],[MainFn]]+Inventory[[#This Row],[UpprFn]]+Inventory[[#This Row],[AddFn]]+Inventory[[#This Row],[FnBsmt]]</f>
        <v>1690</v>
      </c>
      <c r="Z963" s="32">
        <v>2000</v>
      </c>
      <c r="AA963" s="31" t="s">
        <v>56</v>
      </c>
      <c r="AB963" s="37"/>
      <c r="AC963" s="30">
        <v>466</v>
      </c>
      <c r="AD963" s="32"/>
      <c r="AE963" s="32"/>
      <c r="AF963" s="32"/>
      <c r="AG963" s="32"/>
      <c r="AH963" s="32"/>
      <c r="AI963" s="30">
        <v>334214</v>
      </c>
      <c r="AJ963" s="30">
        <v>307477</v>
      </c>
      <c r="AK963" s="30">
        <v>0</v>
      </c>
      <c r="AL963" s="30">
        <v>0</v>
      </c>
      <c r="AM963" s="30">
        <v>60800</v>
      </c>
      <c r="AN963" s="30">
        <v>324900</v>
      </c>
      <c r="AO963" s="30">
        <v>385700</v>
      </c>
      <c r="AP963" s="30">
        <f>Lookups!$B$58*0.6</f>
        <v>132535.48800000001</v>
      </c>
      <c r="AQ963" s="30">
        <f>Lookups!$B$58*0.4</f>
        <v>88356.992000000013</v>
      </c>
      <c r="AR963" s="30">
        <f>Lookups!$B$59*Inventory[[#This Row],[LnAcres]]</f>
        <v>-24051.387388882686</v>
      </c>
      <c r="AS963" s="30">
        <f>VLOOKUP(Inventory[[#This Row],[Qlty]],Lookups!$A$66:$E$79,2,FALSE)</f>
        <v>37154.252388000001</v>
      </c>
      <c r="AT963" s="30">
        <f>VLOOKUP(Inventory[[#This Row],[Cnd]],Lookups!$A$80:$E$88,2,FALSE)</f>
        <v>50438.379078999998</v>
      </c>
      <c r="AU963" s="30">
        <f>Inventory[[#This Row],[EffAge]]*Lookups!$B$65</f>
        <v>-2174.8220000000001</v>
      </c>
      <c r="AV963" s="30">
        <f>Inventory[[#This Row],[MainFn]]*Lookups!$B$90</f>
        <v>105473.54220000001</v>
      </c>
      <c r="AW963" s="30">
        <f>Inventory[[#This Row],[UpprFn]]*Lookups!$B$91</f>
        <v>0</v>
      </c>
      <c r="AX963" s="30">
        <f>Inventory[[#This Row],[Bsmt Area]]*Lookups!$B$95</f>
        <v>0</v>
      </c>
      <c r="AY963" s="30">
        <f>Inventory[[#This Row],[AttGar]]*Lookups!$B$93</f>
        <v>16450.280446000001</v>
      </c>
      <c r="AZ963" s="30">
        <f>ROUND(Inventory[[#This Row],[25Det]],-2)</f>
        <v>0</v>
      </c>
      <c r="BA963" s="30">
        <f>ROUND(SUM(Inventory[[#This Row],[Mdl Qlty]:[Mdl Garage Area]])+Inventory[[#This Row],[Mdl Res Intercept]],-2)</f>
        <v>339900</v>
      </c>
      <c r="BB963" s="30">
        <f>ROUND(Inventory[[#This Row],[Mdl Land Intercept]]+Inventory[[#This Row],[Mdl LnAcres]],-2)</f>
        <v>64300</v>
      </c>
      <c r="BC963" s="30">
        <f>Inventory[[#This Row],[Unadj Res Value]]+Inventory[[#This Row],[Unadj Det Value]]+Inventory[[#This Row],[Unadj Land Value]]</f>
        <v>404200</v>
      </c>
      <c r="BD963" s="30">
        <f>(Inventory[[#This Row],[Unadj Total Value]]-Inventory[[#This Row],[24Final]])/Inventory[[#This Row],[24Final]]</f>
        <v>4.7964739434793881E-2</v>
      </c>
      <c r="BE963" s="30">
        <f>VLOOKUP(Inventory[[#This Row],[Nbhd]],Lookups!$M$3:$P$5,4,FALSE)</f>
        <v>0.99970000000000003</v>
      </c>
      <c r="BF963" s="30">
        <f>VLOOKUP(Inventory[[#This Row],[Qlty]],Lookups!$M$8:$P$22,4,FALSE)</f>
        <v>0.99819999999999998</v>
      </c>
      <c r="BG963" s="30">
        <f>VLOOKUP(Inventory[[#This Row],[Cnd]],Lookups!$R$8:$U$17,4,FALSE)</f>
        <v>1.0007999999999999</v>
      </c>
      <c r="BH963" s="30">
        <f>VLOOKUP(Inventory[[#This Row],[LivArea Range]],Lookups!$R$25:$U$43,4,FALSE)</f>
        <v>1.0007999999999999</v>
      </c>
      <c r="BI963" s="30">
        <f>VLOOKUP(Inventory[[#This Row],[Decade]],Lookups!$M$24:$P$40,4,FALSE)</f>
        <v>0.99560000000000004</v>
      </c>
      <c r="BJ963" s="30">
        <f>Inventory[[#This Row],[Nbhd Adj]]*0.95</f>
        <v>0.94971499999999998</v>
      </c>
      <c r="BK963" s="30">
        <f>AVERAGE(Inventory[[#This Row],[Nbhd Adj]],Inventory[[#This Row],[Quality Adj]],Inventory[[#This Row],[Condition Adj]],Inventory[[#This Row],[Living Area Adj]],Inventory[[#This Row],[Decade Adj]])*0.95</f>
        <v>0.94906899999999994</v>
      </c>
      <c r="BL963" s="30">
        <f>ROUND((SUM(Inventory[[#This Row],[Mdl Qlty]:[Mdl Garage Area]])+Inventory[[#This Row],[Mdl Res Intercept]])*Inventory[[#This Row],[Res Adj ]],-2)</f>
        <v>322600</v>
      </c>
      <c r="BM963" s="30">
        <f>ROUND(Inventory[[#This Row],[25Det]]*Inventory[[#This Row],[Det/Nbhd Adj]],-2)</f>
        <v>0</v>
      </c>
      <c r="BN963" s="30">
        <f>Inventory[[#This Row],[Adjusted Res]]+Inventory[[#This Row],[Adj Det ]]</f>
        <v>322600</v>
      </c>
      <c r="BO963" s="30">
        <f>ROUND((Inventory[[#This Row],[Mdl Land Intercept]]+Inventory[[#This Row],[Mdl LnAcres]])*Inventory[[#This Row],[Det/Nbhd Adj]],-2)</f>
        <v>61100</v>
      </c>
      <c r="BP963" s="30">
        <f>Inventory[[#This Row],[Adjusted Impr Total]]+Inventory[[#This Row],[Adjusted Land Total]]</f>
        <v>383700</v>
      </c>
      <c r="BQ963" s="30">
        <f>IFERROR((Inventory[[#This Row],[Adjusted Impr Total]]-Inventory[[#This Row],[24Bldg]])/Inventory[[#This Row],[24Bldg]],0)</f>
        <v>-7.0791012619267468E-3</v>
      </c>
      <c r="BR963" s="43">
        <f>(Inventory[[#This Row],[Adjusted Land Total]]-Inventory[[#This Row],[24Lnd]])/Inventory[[#This Row],[24Lnd]]</f>
        <v>4.9342105263157892E-3</v>
      </c>
      <c r="BS963" s="43">
        <f>(Inventory[[#This Row],[Adjusted Total]]-Inventory[[#This Row],[24Final]])/Inventory[[#This Row],[24Final]]</f>
        <v>-5.185377236193933E-3</v>
      </c>
    </row>
    <row r="964" spans="1:71">
      <c r="A964" s="30">
        <v>2025</v>
      </c>
      <c r="B964" s="31" t="s">
        <v>1479</v>
      </c>
      <c r="C964" s="31">
        <f>LN(Inventory[[#This Row],[Acres]])</f>
        <v>-1.8325814637483102</v>
      </c>
      <c r="D964" s="30">
        <v>0.16</v>
      </c>
      <c r="E964" s="30">
        <v>6754</v>
      </c>
      <c r="F964" s="31" t="s">
        <v>505</v>
      </c>
      <c r="G964" s="31" t="s">
        <v>155</v>
      </c>
      <c r="H964" s="31" t="s">
        <v>5</v>
      </c>
      <c r="I964" s="31" t="s">
        <v>506</v>
      </c>
      <c r="J964" s="31" t="s">
        <v>507</v>
      </c>
      <c r="K964" s="31" t="s">
        <v>157</v>
      </c>
      <c r="L964" s="31" t="s">
        <v>21</v>
      </c>
      <c r="M964" s="31" t="s">
        <v>22</v>
      </c>
      <c r="N964" s="31">
        <v>20</v>
      </c>
      <c r="O964" s="31">
        <f>2024-Inventory[[#This Row],[YrBlt]]</f>
        <v>20</v>
      </c>
      <c r="P964" s="31">
        <f>2024-Inventory[[#This Row],[EffYr]]</f>
        <v>20</v>
      </c>
      <c r="Q964" s="30">
        <v>2004</v>
      </c>
      <c r="R964" s="30">
        <v>2004</v>
      </c>
      <c r="S964" s="30">
        <v>1116</v>
      </c>
      <c r="T964" s="30">
        <v>1116</v>
      </c>
      <c r="U964" s="32"/>
      <c r="V964" s="32"/>
      <c r="W964" s="32"/>
      <c r="X964" s="32">
        <f>Inventory[[#This Row],[Bsmt Area]]-Inventory[[#This Row],[FnBsmt]]</f>
        <v>0</v>
      </c>
      <c r="Y964" s="32">
        <f>Inventory[[#This Row],[MainFn]]+Inventory[[#This Row],[UpprFn]]+Inventory[[#This Row],[AddFn]]+Inventory[[#This Row],[FnBsmt]]</f>
        <v>2232</v>
      </c>
      <c r="Z964" s="32">
        <v>2500</v>
      </c>
      <c r="AA964" s="31" t="s">
        <v>56</v>
      </c>
      <c r="AB964" s="30">
        <v>1</v>
      </c>
      <c r="AC964" s="30">
        <v>440</v>
      </c>
      <c r="AD964" s="32"/>
      <c r="AE964" s="32"/>
      <c r="AF964" s="32"/>
      <c r="AG964" s="32"/>
      <c r="AH964" s="32"/>
      <c r="AI964" s="30">
        <v>448140</v>
      </c>
      <c r="AJ964" s="30">
        <v>412289</v>
      </c>
      <c r="AK964" s="30">
        <v>0</v>
      </c>
      <c r="AL964" s="30">
        <v>0</v>
      </c>
      <c r="AM964" s="30">
        <v>60800</v>
      </c>
      <c r="AN964" s="30">
        <v>349100</v>
      </c>
      <c r="AO964" s="30">
        <v>409900</v>
      </c>
      <c r="AP964" s="30">
        <f>Lookups!$B$58*0.6</f>
        <v>132535.48800000001</v>
      </c>
      <c r="AQ964" s="30">
        <f>Lookups!$B$58*0.4</f>
        <v>88356.992000000013</v>
      </c>
      <c r="AR964" s="30">
        <f>Lookups!$B$59*Inventory[[#This Row],[LnAcres]]</f>
        <v>-24051.387388882686</v>
      </c>
      <c r="AS964" s="30">
        <f>VLOOKUP(Inventory[[#This Row],[Qlty]],Lookups!$A$66:$E$79,2,FALSE)</f>
        <v>32917.849192000001</v>
      </c>
      <c r="AT964" s="30">
        <f>VLOOKUP(Inventory[[#This Row],[Cnd]],Lookups!$A$80:$E$88,2,FALSE)</f>
        <v>50438.379078999998</v>
      </c>
      <c r="AU964" s="30">
        <f>Inventory[[#This Row],[EffAge]]*Lookups!$B$65</f>
        <v>-2174.8220000000001</v>
      </c>
      <c r="AV964" s="30">
        <f>Inventory[[#This Row],[MainFn]]*Lookups!$B$90</f>
        <v>69649.984080000009</v>
      </c>
      <c r="AW964" s="30">
        <f>Inventory[[#This Row],[UpprFn]]*Lookups!$B$91</f>
        <v>66491.707427999994</v>
      </c>
      <c r="AX964" s="30">
        <f>Inventory[[#This Row],[Bsmt Area]]*Lookups!$B$95</f>
        <v>0</v>
      </c>
      <c r="AY964" s="30">
        <f>Inventory[[#This Row],[AttGar]]*Lookups!$B$93</f>
        <v>15532.453640000002</v>
      </c>
      <c r="AZ964" s="30">
        <f>ROUND(Inventory[[#This Row],[25Det]],-2)</f>
        <v>0</v>
      </c>
      <c r="BA964" s="30">
        <f>ROUND(SUM(Inventory[[#This Row],[Mdl Qlty]:[Mdl Garage Area]])+Inventory[[#This Row],[Mdl Res Intercept]],-2)</f>
        <v>365400</v>
      </c>
      <c r="BB964" s="30">
        <f>ROUND(Inventory[[#This Row],[Mdl Land Intercept]]+Inventory[[#This Row],[Mdl LnAcres]],-2)</f>
        <v>64300</v>
      </c>
      <c r="BC964" s="30">
        <f>Inventory[[#This Row],[Unadj Res Value]]+Inventory[[#This Row],[Unadj Det Value]]+Inventory[[#This Row],[Unadj Land Value]]</f>
        <v>429700</v>
      </c>
      <c r="BD964" s="30">
        <f>(Inventory[[#This Row],[Unadj Total Value]]-Inventory[[#This Row],[24Final]])/Inventory[[#This Row],[24Final]]</f>
        <v>4.8304464503537446E-2</v>
      </c>
      <c r="BE964" s="30">
        <f>VLOOKUP(Inventory[[#This Row],[Nbhd]],Lookups!$M$3:$P$5,4,FALSE)</f>
        <v>0.99970000000000003</v>
      </c>
      <c r="BF964" s="30">
        <f>VLOOKUP(Inventory[[#This Row],[Qlty]],Lookups!$M$8:$P$22,4,FALSE)</f>
        <v>1.0019</v>
      </c>
      <c r="BG964" s="30">
        <f>VLOOKUP(Inventory[[#This Row],[Cnd]],Lookups!$R$8:$U$17,4,FALSE)</f>
        <v>1.0007999999999999</v>
      </c>
      <c r="BH964" s="30">
        <f>VLOOKUP(Inventory[[#This Row],[LivArea Range]],Lookups!$R$25:$U$43,4,FALSE)</f>
        <v>1.0008999999999999</v>
      </c>
      <c r="BI964" s="30">
        <f>VLOOKUP(Inventory[[#This Row],[Decade]],Lookups!$M$24:$P$40,4,FALSE)</f>
        <v>0.99560000000000004</v>
      </c>
      <c r="BJ964" s="30">
        <f>Inventory[[#This Row],[Nbhd Adj]]*0.95</f>
        <v>0.94971499999999998</v>
      </c>
      <c r="BK964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964" s="30">
        <f>ROUND((SUM(Inventory[[#This Row],[Mdl Qlty]:[Mdl Garage Area]])+Inventory[[#This Row],[Mdl Res Intercept]])*Inventory[[#This Row],[Res Adj ]],-2)</f>
        <v>347000</v>
      </c>
      <c r="BM964" s="30">
        <f>ROUND(Inventory[[#This Row],[25Det]]*Inventory[[#This Row],[Det/Nbhd Adj]],-2)</f>
        <v>0</v>
      </c>
      <c r="BN964" s="30">
        <f>Inventory[[#This Row],[Adjusted Res]]+Inventory[[#This Row],[Adj Det ]]</f>
        <v>347000</v>
      </c>
      <c r="BO964" s="30">
        <f>ROUND((Inventory[[#This Row],[Mdl Land Intercept]]+Inventory[[#This Row],[Mdl LnAcres]])*Inventory[[#This Row],[Det/Nbhd Adj]],-2)</f>
        <v>61100</v>
      </c>
      <c r="BP964" s="30">
        <f>Inventory[[#This Row],[Adjusted Impr Total]]+Inventory[[#This Row],[Adjusted Land Total]]</f>
        <v>408100</v>
      </c>
      <c r="BQ964" s="30">
        <f>IFERROR((Inventory[[#This Row],[Adjusted Impr Total]]-Inventory[[#This Row],[24Bldg]])/Inventory[[#This Row],[24Bldg]],0)</f>
        <v>-6.0154683471784591E-3</v>
      </c>
      <c r="BR964" s="43">
        <f>(Inventory[[#This Row],[Adjusted Land Total]]-Inventory[[#This Row],[24Lnd]])/Inventory[[#This Row],[24Lnd]]</f>
        <v>4.9342105263157892E-3</v>
      </c>
      <c r="BS964" s="43">
        <f>(Inventory[[#This Row],[Adjusted Total]]-Inventory[[#This Row],[24Final]])/Inventory[[#This Row],[24Final]]</f>
        <v>-4.3913149548670408E-3</v>
      </c>
    </row>
    <row r="965" spans="1:71">
      <c r="A965" s="30">
        <v>2025</v>
      </c>
      <c r="B965" s="31" t="s">
        <v>1480</v>
      </c>
      <c r="C965" s="31">
        <f>LN(Inventory[[#This Row],[Acres]])</f>
        <v>-1.8325814637483102</v>
      </c>
      <c r="D965" s="30">
        <v>0.16</v>
      </c>
      <c r="E965" s="30">
        <v>7000</v>
      </c>
      <c r="F965" s="31" t="s">
        <v>505</v>
      </c>
      <c r="G965" s="31" t="s">
        <v>155</v>
      </c>
      <c r="H965" s="31" t="s">
        <v>5</v>
      </c>
      <c r="I965" s="31" t="s">
        <v>506</v>
      </c>
      <c r="J965" s="31" t="s">
        <v>507</v>
      </c>
      <c r="K965" s="31" t="s">
        <v>157</v>
      </c>
      <c r="L965" s="31" t="s">
        <v>21</v>
      </c>
      <c r="M965" s="31" t="s">
        <v>22</v>
      </c>
      <c r="N965" s="31">
        <v>20</v>
      </c>
      <c r="O965" s="31">
        <f>2024-Inventory[[#This Row],[YrBlt]]</f>
        <v>20</v>
      </c>
      <c r="P965" s="31">
        <f>2024-Inventory[[#This Row],[EffYr]]</f>
        <v>20</v>
      </c>
      <c r="Q965" s="30">
        <v>2004</v>
      </c>
      <c r="R965" s="30">
        <v>2004</v>
      </c>
      <c r="S965" s="30">
        <v>1116</v>
      </c>
      <c r="T965" s="30">
        <v>1116</v>
      </c>
      <c r="U965" s="32"/>
      <c r="V965" s="32"/>
      <c r="W965" s="32"/>
      <c r="X965" s="32">
        <f>Inventory[[#This Row],[Bsmt Area]]-Inventory[[#This Row],[FnBsmt]]</f>
        <v>0</v>
      </c>
      <c r="Y965" s="32">
        <f>Inventory[[#This Row],[MainFn]]+Inventory[[#This Row],[UpprFn]]+Inventory[[#This Row],[AddFn]]+Inventory[[#This Row],[FnBsmt]]</f>
        <v>2232</v>
      </c>
      <c r="Z965" s="32">
        <v>2500</v>
      </c>
      <c r="AA965" s="31" t="s">
        <v>56</v>
      </c>
      <c r="AB965" s="32"/>
      <c r="AC965" s="30">
        <v>440</v>
      </c>
      <c r="AD965" s="32"/>
      <c r="AE965" s="32"/>
      <c r="AF965" s="32"/>
      <c r="AG965" s="32"/>
      <c r="AH965" s="32"/>
      <c r="AI965" s="30">
        <v>439327</v>
      </c>
      <c r="AJ965" s="30">
        <v>404181</v>
      </c>
      <c r="AK965" s="30">
        <v>0</v>
      </c>
      <c r="AL965" s="30">
        <v>0</v>
      </c>
      <c r="AM965" s="30">
        <v>60800</v>
      </c>
      <c r="AN965" s="30">
        <v>349100</v>
      </c>
      <c r="AO965" s="30">
        <v>409900</v>
      </c>
      <c r="AP965" s="30">
        <f>Lookups!$B$58*0.6</f>
        <v>132535.48800000001</v>
      </c>
      <c r="AQ965" s="30">
        <f>Lookups!$B$58*0.4</f>
        <v>88356.992000000013</v>
      </c>
      <c r="AR965" s="30">
        <f>Lookups!$B$59*Inventory[[#This Row],[LnAcres]]</f>
        <v>-24051.387388882686</v>
      </c>
      <c r="AS965" s="30">
        <f>VLOOKUP(Inventory[[#This Row],[Qlty]],Lookups!$A$66:$E$79,2,FALSE)</f>
        <v>32917.849192000001</v>
      </c>
      <c r="AT965" s="30">
        <f>VLOOKUP(Inventory[[#This Row],[Cnd]],Lookups!$A$80:$E$88,2,FALSE)</f>
        <v>50438.379078999998</v>
      </c>
      <c r="AU965" s="30">
        <f>Inventory[[#This Row],[EffAge]]*Lookups!$B$65</f>
        <v>-2174.8220000000001</v>
      </c>
      <c r="AV965" s="30">
        <f>Inventory[[#This Row],[MainFn]]*Lookups!$B$90</f>
        <v>69649.984080000009</v>
      </c>
      <c r="AW965" s="30">
        <f>Inventory[[#This Row],[UpprFn]]*Lookups!$B$91</f>
        <v>66491.707427999994</v>
      </c>
      <c r="AX965" s="30">
        <f>Inventory[[#This Row],[Bsmt Area]]*Lookups!$B$95</f>
        <v>0</v>
      </c>
      <c r="AY965" s="30">
        <f>Inventory[[#This Row],[AttGar]]*Lookups!$B$93</f>
        <v>15532.453640000002</v>
      </c>
      <c r="AZ965" s="30">
        <f>ROUND(Inventory[[#This Row],[25Det]],-2)</f>
        <v>0</v>
      </c>
      <c r="BA965" s="30">
        <f>ROUND(SUM(Inventory[[#This Row],[Mdl Qlty]:[Mdl Garage Area]])+Inventory[[#This Row],[Mdl Res Intercept]],-2)</f>
        <v>365400</v>
      </c>
      <c r="BB965" s="30">
        <f>ROUND(Inventory[[#This Row],[Mdl Land Intercept]]+Inventory[[#This Row],[Mdl LnAcres]],-2)</f>
        <v>64300</v>
      </c>
      <c r="BC965" s="30">
        <f>Inventory[[#This Row],[Unadj Res Value]]+Inventory[[#This Row],[Unadj Det Value]]+Inventory[[#This Row],[Unadj Land Value]]</f>
        <v>429700</v>
      </c>
      <c r="BD965" s="30">
        <f>(Inventory[[#This Row],[Unadj Total Value]]-Inventory[[#This Row],[24Final]])/Inventory[[#This Row],[24Final]]</f>
        <v>4.8304464503537446E-2</v>
      </c>
      <c r="BE965" s="30">
        <f>VLOOKUP(Inventory[[#This Row],[Nbhd]],Lookups!$M$3:$P$5,4,FALSE)</f>
        <v>0.99970000000000003</v>
      </c>
      <c r="BF965" s="30">
        <f>VLOOKUP(Inventory[[#This Row],[Qlty]],Lookups!$M$8:$P$22,4,FALSE)</f>
        <v>1.0019</v>
      </c>
      <c r="BG965" s="30">
        <f>VLOOKUP(Inventory[[#This Row],[Cnd]],Lookups!$R$8:$U$17,4,FALSE)</f>
        <v>1.0007999999999999</v>
      </c>
      <c r="BH965" s="30">
        <f>VLOOKUP(Inventory[[#This Row],[LivArea Range]],Lookups!$R$25:$U$43,4,FALSE)</f>
        <v>1.0008999999999999</v>
      </c>
      <c r="BI965" s="30">
        <f>VLOOKUP(Inventory[[#This Row],[Decade]],Lookups!$M$24:$P$40,4,FALSE)</f>
        <v>0.99560000000000004</v>
      </c>
      <c r="BJ965" s="30">
        <f>Inventory[[#This Row],[Nbhd Adj]]*0.95</f>
        <v>0.94971499999999998</v>
      </c>
      <c r="BK965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965" s="30">
        <f>ROUND((SUM(Inventory[[#This Row],[Mdl Qlty]:[Mdl Garage Area]])+Inventory[[#This Row],[Mdl Res Intercept]])*Inventory[[#This Row],[Res Adj ]],-2)</f>
        <v>347000</v>
      </c>
      <c r="BM965" s="30">
        <f>ROUND(Inventory[[#This Row],[25Det]]*Inventory[[#This Row],[Det/Nbhd Adj]],-2)</f>
        <v>0</v>
      </c>
      <c r="BN965" s="30">
        <f>Inventory[[#This Row],[Adjusted Res]]+Inventory[[#This Row],[Adj Det ]]</f>
        <v>347000</v>
      </c>
      <c r="BO965" s="30">
        <f>ROUND((Inventory[[#This Row],[Mdl Land Intercept]]+Inventory[[#This Row],[Mdl LnAcres]])*Inventory[[#This Row],[Det/Nbhd Adj]],-2)</f>
        <v>61100</v>
      </c>
      <c r="BP965" s="30">
        <f>Inventory[[#This Row],[Adjusted Impr Total]]+Inventory[[#This Row],[Adjusted Land Total]]</f>
        <v>408100</v>
      </c>
      <c r="BQ965" s="30">
        <f>IFERROR((Inventory[[#This Row],[Adjusted Impr Total]]-Inventory[[#This Row],[24Bldg]])/Inventory[[#This Row],[24Bldg]],0)</f>
        <v>-6.0154683471784591E-3</v>
      </c>
      <c r="BR965" s="43">
        <f>(Inventory[[#This Row],[Adjusted Land Total]]-Inventory[[#This Row],[24Lnd]])/Inventory[[#This Row],[24Lnd]]</f>
        <v>4.9342105263157892E-3</v>
      </c>
      <c r="BS965" s="43">
        <f>(Inventory[[#This Row],[Adjusted Total]]-Inventory[[#This Row],[24Final]])/Inventory[[#This Row],[24Final]]</f>
        <v>-4.3913149548670408E-3</v>
      </c>
    </row>
    <row r="966" spans="1:71">
      <c r="A966" s="30">
        <v>2025</v>
      </c>
      <c r="B966" s="31" t="s">
        <v>1481</v>
      </c>
      <c r="C966" s="31">
        <f>LN(Inventory[[#This Row],[Acres]])</f>
        <v>-1.8325814637483102</v>
      </c>
      <c r="D966" s="30">
        <v>0.16</v>
      </c>
      <c r="E966" s="38">
        <v>7011</v>
      </c>
      <c r="F966" s="31" t="s">
        <v>505</v>
      </c>
      <c r="G966" s="31" t="s">
        <v>155</v>
      </c>
      <c r="H966" s="31" t="s">
        <v>5</v>
      </c>
      <c r="I966" s="31" t="s">
        <v>506</v>
      </c>
      <c r="J966" s="31" t="s">
        <v>507</v>
      </c>
      <c r="K966" s="31" t="s">
        <v>157</v>
      </c>
      <c r="L966" s="31" t="s">
        <v>21</v>
      </c>
      <c r="M966" s="31" t="s">
        <v>22</v>
      </c>
      <c r="N966" s="31">
        <v>20</v>
      </c>
      <c r="O966" s="31">
        <f>2024-Inventory[[#This Row],[YrBlt]]</f>
        <v>20</v>
      </c>
      <c r="P966" s="31">
        <f>2024-Inventory[[#This Row],[EffYr]]</f>
        <v>20</v>
      </c>
      <c r="Q966" s="30">
        <v>2004</v>
      </c>
      <c r="R966" s="30">
        <v>2004</v>
      </c>
      <c r="S966" s="30">
        <v>1116</v>
      </c>
      <c r="T966" s="38">
        <v>1116</v>
      </c>
      <c r="U966" s="32"/>
      <c r="V966" s="32"/>
      <c r="W966" s="32"/>
      <c r="X966" s="32">
        <f>Inventory[[#This Row],[Bsmt Area]]-Inventory[[#This Row],[FnBsmt]]</f>
        <v>0</v>
      </c>
      <c r="Y966" s="32">
        <f>Inventory[[#This Row],[MainFn]]+Inventory[[#This Row],[UpprFn]]+Inventory[[#This Row],[AddFn]]+Inventory[[#This Row],[FnBsmt]]</f>
        <v>2232</v>
      </c>
      <c r="Z966" s="32">
        <v>2500</v>
      </c>
      <c r="AA966" s="31" t="s">
        <v>56</v>
      </c>
      <c r="AB966" s="32"/>
      <c r="AC966" s="30">
        <v>440</v>
      </c>
      <c r="AD966" s="32"/>
      <c r="AE966" s="32"/>
      <c r="AF966" s="32"/>
      <c r="AG966" s="32"/>
      <c r="AH966" s="32"/>
      <c r="AI966" s="30">
        <v>439327</v>
      </c>
      <c r="AJ966" s="30">
        <v>404181</v>
      </c>
      <c r="AK966" s="30">
        <v>0</v>
      </c>
      <c r="AL966" s="30">
        <v>0</v>
      </c>
      <c r="AM966" s="30">
        <v>60800</v>
      </c>
      <c r="AN966" s="30">
        <v>349100</v>
      </c>
      <c r="AO966" s="30">
        <v>409900</v>
      </c>
      <c r="AP966" s="30">
        <f>Lookups!$B$58*0.6</f>
        <v>132535.48800000001</v>
      </c>
      <c r="AQ966" s="30">
        <f>Lookups!$B$58*0.4</f>
        <v>88356.992000000013</v>
      </c>
      <c r="AR966" s="30">
        <f>Lookups!$B$59*Inventory[[#This Row],[LnAcres]]</f>
        <v>-24051.387388882686</v>
      </c>
      <c r="AS966" s="30">
        <f>VLOOKUP(Inventory[[#This Row],[Qlty]],Lookups!$A$66:$E$79,2,FALSE)</f>
        <v>32917.849192000001</v>
      </c>
      <c r="AT966" s="30">
        <f>VLOOKUP(Inventory[[#This Row],[Cnd]],Lookups!$A$80:$E$88,2,FALSE)</f>
        <v>50438.379078999998</v>
      </c>
      <c r="AU966" s="30">
        <f>Inventory[[#This Row],[EffAge]]*Lookups!$B$65</f>
        <v>-2174.8220000000001</v>
      </c>
      <c r="AV966" s="30">
        <f>Inventory[[#This Row],[MainFn]]*Lookups!$B$90</f>
        <v>69649.984080000009</v>
      </c>
      <c r="AW966" s="30">
        <f>Inventory[[#This Row],[UpprFn]]*Lookups!$B$91</f>
        <v>66491.707427999994</v>
      </c>
      <c r="AX966" s="30">
        <f>Inventory[[#This Row],[Bsmt Area]]*Lookups!$B$95</f>
        <v>0</v>
      </c>
      <c r="AY966" s="30">
        <f>Inventory[[#This Row],[AttGar]]*Lookups!$B$93</f>
        <v>15532.453640000002</v>
      </c>
      <c r="AZ966" s="30">
        <f>ROUND(Inventory[[#This Row],[25Det]],-2)</f>
        <v>0</v>
      </c>
      <c r="BA966" s="30">
        <f>ROUND(SUM(Inventory[[#This Row],[Mdl Qlty]:[Mdl Garage Area]])+Inventory[[#This Row],[Mdl Res Intercept]],-2)</f>
        <v>365400</v>
      </c>
      <c r="BB966" s="30">
        <f>ROUND(Inventory[[#This Row],[Mdl Land Intercept]]+Inventory[[#This Row],[Mdl LnAcres]],-2)</f>
        <v>64300</v>
      </c>
      <c r="BC966" s="30">
        <f>Inventory[[#This Row],[Unadj Res Value]]+Inventory[[#This Row],[Unadj Det Value]]+Inventory[[#This Row],[Unadj Land Value]]</f>
        <v>429700</v>
      </c>
      <c r="BD966" s="30">
        <f>(Inventory[[#This Row],[Unadj Total Value]]-Inventory[[#This Row],[24Final]])/Inventory[[#This Row],[24Final]]</f>
        <v>4.8304464503537446E-2</v>
      </c>
      <c r="BE966" s="30">
        <f>VLOOKUP(Inventory[[#This Row],[Nbhd]],Lookups!$M$3:$P$5,4,FALSE)</f>
        <v>0.99970000000000003</v>
      </c>
      <c r="BF966" s="30">
        <f>VLOOKUP(Inventory[[#This Row],[Qlty]],Lookups!$M$8:$P$22,4,FALSE)</f>
        <v>1.0019</v>
      </c>
      <c r="BG966" s="30">
        <f>VLOOKUP(Inventory[[#This Row],[Cnd]],Lookups!$R$8:$U$17,4,FALSE)</f>
        <v>1.0007999999999999</v>
      </c>
      <c r="BH966" s="30">
        <f>VLOOKUP(Inventory[[#This Row],[LivArea Range]],Lookups!$R$25:$U$43,4,FALSE)</f>
        <v>1.0008999999999999</v>
      </c>
      <c r="BI966" s="30">
        <f>VLOOKUP(Inventory[[#This Row],[Decade]],Lookups!$M$24:$P$40,4,FALSE)</f>
        <v>0.99560000000000004</v>
      </c>
      <c r="BJ966" s="30">
        <f>Inventory[[#This Row],[Nbhd Adj]]*0.95</f>
        <v>0.94971499999999998</v>
      </c>
      <c r="BK966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966" s="30">
        <f>ROUND((SUM(Inventory[[#This Row],[Mdl Qlty]:[Mdl Garage Area]])+Inventory[[#This Row],[Mdl Res Intercept]])*Inventory[[#This Row],[Res Adj ]],-2)</f>
        <v>347000</v>
      </c>
      <c r="BM966" s="30">
        <f>ROUND(Inventory[[#This Row],[25Det]]*Inventory[[#This Row],[Det/Nbhd Adj]],-2)</f>
        <v>0</v>
      </c>
      <c r="BN966" s="30">
        <f>Inventory[[#This Row],[Adjusted Res]]+Inventory[[#This Row],[Adj Det ]]</f>
        <v>347000</v>
      </c>
      <c r="BO966" s="30">
        <f>ROUND((Inventory[[#This Row],[Mdl Land Intercept]]+Inventory[[#This Row],[Mdl LnAcres]])*Inventory[[#This Row],[Det/Nbhd Adj]],-2)</f>
        <v>61100</v>
      </c>
      <c r="BP966" s="30">
        <f>Inventory[[#This Row],[Adjusted Impr Total]]+Inventory[[#This Row],[Adjusted Land Total]]</f>
        <v>408100</v>
      </c>
      <c r="BQ966" s="30">
        <f>IFERROR((Inventory[[#This Row],[Adjusted Impr Total]]-Inventory[[#This Row],[24Bldg]])/Inventory[[#This Row],[24Bldg]],0)</f>
        <v>-6.0154683471784591E-3</v>
      </c>
      <c r="BR966" s="43">
        <f>(Inventory[[#This Row],[Adjusted Land Total]]-Inventory[[#This Row],[24Lnd]])/Inventory[[#This Row],[24Lnd]]</f>
        <v>4.9342105263157892E-3</v>
      </c>
      <c r="BS966" s="43">
        <f>(Inventory[[#This Row],[Adjusted Total]]-Inventory[[#This Row],[24Final]])/Inventory[[#This Row],[24Final]]</f>
        <v>-4.3913149548670408E-3</v>
      </c>
    </row>
    <row r="967" spans="1:71">
      <c r="A967" s="30">
        <v>2025</v>
      </c>
      <c r="B967" s="31" t="s">
        <v>1482</v>
      </c>
      <c r="C967" s="31">
        <f>LN(Inventory[[#This Row],[Acres]])</f>
        <v>-1.8325814637483102</v>
      </c>
      <c r="D967" s="30">
        <v>0.16</v>
      </c>
      <c r="E967" s="30">
        <v>7013</v>
      </c>
      <c r="F967" s="31" t="s">
        <v>505</v>
      </c>
      <c r="G967" s="31" t="s">
        <v>155</v>
      </c>
      <c r="H967" s="31" t="s">
        <v>5</v>
      </c>
      <c r="I967" s="31" t="s">
        <v>506</v>
      </c>
      <c r="J967" s="31" t="s">
        <v>507</v>
      </c>
      <c r="K967" s="31" t="s">
        <v>157</v>
      </c>
      <c r="L967" s="31" t="s">
        <v>21</v>
      </c>
      <c r="M967" s="31" t="s">
        <v>22</v>
      </c>
      <c r="N967" s="31">
        <v>20</v>
      </c>
      <c r="O967" s="31">
        <f>2024-Inventory[[#This Row],[YrBlt]]</f>
        <v>20</v>
      </c>
      <c r="P967" s="31">
        <f>2024-Inventory[[#This Row],[EffYr]]</f>
        <v>20</v>
      </c>
      <c r="Q967" s="30">
        <v>2004</v>
      </c>
      <c r="R967" s="30">
        <v>2004</v>
      </c>
      <c r="S967" s="30">
        <v>1116</v>
      </c>
      <c r="T967" s="38">
        <v>1116</v>
      </c>
      <c r="U967" s="32"/>
      <c r="V967" s="32"/>
      <c r="W967" s="32"/>
      <c r="X967" s="32">
        <f>Inventory[[#This Row],[Bsmt Area]]-Inventory[[#This Row],[FnBsmt]]</f>
        <v>0</v>
      </c>
      <c r="Y967" s="32">
        <f>Inventory[[#This Row],[MainFn]]+Inventory[[#This Row],[UpprFn]]+Inventory[[#This Row],[AddFn]]+Inventory[[#This Row],[FnBsmt]]</f>
        <v>2232</v>
      </c>
      <c r="Z967" s="32">
        <v>2500</v>
      </c>
      <c r="AA967" s="31" t="s">
        <v>56</v>
      </c>
      <c r="AB967" s="32"/>
      <c r="AC967" s="30">
        <v>440</v>
      </c>
      <c r="AD967" s="32"/>
      <c r="AE967" s="32"/>
      <c r="AF967" s="32"/>
      <c r="AG967" s="32"/>
      <c r="AH967" s="32"/>
      <c r="AI967" s="30">
        <v>451846</v>
      </c>
      <c r="AJ967" s="30">
        <v>415698</v>
      </c>
      <c r="AK967" s="30">
        <v>0</v>
      </c>
      <c r="AL967" s="30">
        <v>0</v>
      </c>
      <c r="AM967" s="30">
        <v>60800</v>
      </c>
      <c r="AN967" s="30">
        <v>349100</v>
      </c>
      <c r="AO967" s="30">
        <v>409900</v>
      </c>
      <c r="AP967" s="30">
        <f>Lookups!$B$58*0.6</f>
        <v>132535.48800000001</v>
      </c>
      <c r="AQ967" s="30">
        <f>Lookups!$B$58*0.4</f>
        <v>88356.992000000013</v>
      </c>
      <c r="AR967" s="30">
        <f>Lookups!$B$59*Inventory[[#This Row],[LnAcres]]</f>
        <v>-24051.387388882686</v>
      </c>
      <c r="AS967" s="30">
        <f>VLOOKUP(Inventory[[#This Row],[Qlty]],Lookups!$A$66:$E$79,2,FALSE)</f>
        <v>32917.849192000001</v>
      </c>
      <c r="AT967" s="30">
        <f>VLOOKUP(Inventory[[#This Row],[Cnd]],Lookups!$A$80:$E$88,2,FALSE)</f>
        <v>50438.379078999998</v>
      </c>
      <c r="AU967" s="30">
        <f>Inventory[[#This Row],[EffAge]]*Lookups!$B$65</f>
        <v>-2174.8220000000001</v>
      </c>
      <c r="AV967" s="30">
        <f>Inventory[[#This Row],[MainFn]]*Lookups!$B$90</f>
        <v>69649.984080000009</v>
      </c>
      <c r="AW967" s="30">
        <f>Inventory[[#This Row],[UpprFn]]*Lookups!$B$91</f>
        <v>66491.707427999994</v>
      </c>
      <c r="AX967" s="30">
        <f>Inventory[[#This Row],[Bsmt Area]]*Lookups!$B$95</f>
        <v>0</v>
      </c>
      <c r="AY967" s="30">
        <f>Inventory[[#This Row],[AttGar]]*Lookups!$B$93</f>
        <v>15532.453640000002</v>
      </c>
      <c r="AZ967" s="30">
        <f>ROUND(Inventory[[#This Row],[25Det]],-2)</f>
        <v>0</v>
      </c>
      <c r="BA967" s="30">
        <f>ROUND(SUM(Inventory[[#This Row],[Mdl Qlty]:[Mdl Garage Area]])+Inventory[[#This Row],[Mdl Res Intercept]],-2)</f>
        <v>365400</v>
      </c>
      <c r="BB967" s="30">
        <f>ROUND(Inventory[[#This Row],[Mdl Land Intercept]]+Inventory[[#This Row],[Mdl LnAcres]],-2)</f>
        <v>64300</v>
      </c>
      <c r="BC967" s="30">
        <f>Inventory[[#This Row],[Unadj Res Value]]+Inventory[[#This Row],[Unadj Det Value]]+Inventory[[#This Row],[Unadj Land Value]]</f>
        <v>429700</v>
      </c>
      <c r="BD967" s="30">
        <f>(Inventory[[#This Row],[Unadj Total Value]]-Inventory[[#This Row],[24Final]])/Inventory[[#This Row],[24Final]]</f>
        <v>4.8304464503537446E-2</v>
      </c>
      <c r="BE967" s="30">
        <f>VLOOKUP(Inventory[[#This Row],[Nbhd]],Lookups!$M$3:$P$5,4,FALSE)</f>
        <v>0.99970000000000003</v>
      </c>
      <c r="BF967" s="30">
        <f>VLOOKUP(Inventory[[#This Row],[Qlty]],Lookups!$M$8:$P$22,4,FALSE)</f>
        <v>1.0019</v>
      </c>
      <c r="BG967" s="30">
        <f>VLOOKUP(Inventory[[#This Row],[Cnd]],Lookups!$R$8:$U$17,4,FALSE)</f>
        <v>1.0007999999999999</v>
      </c>
      <c r="BH967" s="30">
        <f>VLOOKUP(Inventory[[#This Row],[LivArea Range]],Lookups!$R$25:$U$43,4,FALSE)</f>
        <v>1.0008999999999999</v>
      </c>
      <c r="BI967" s="30">
        <f>VLOOKUP(Inventory[[#This Row],[Decade]],Lookups!$M$24:$P$40,4,FALSE)</f>
        <v>0.99560000000000004</v>
      </c>
      <c r="BJ967" s="30">
        <f>Inventory[[#This Row],[Nbhd Adj]]*0.95</f>
        <v>0.94971499999999998</v>
      </c>
      <c r="BK967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967" s="30">
        <f>ROUND((SUM(Inventory[[#This Row],[Mdl Qlty]:[Mdl Garage Area]])+Inventory[[#This Row],[Mdl Res Intercept]])*Inventory[[#This Row],[Res Adj ]],-2)</f>
        <v>347000</v>
      </c>
      <c r="BM967" s="30">
        <f>ROUND(Inventory[[#This Row],[25Det]]*Inventory[[#This Row],[Det/Nbhd Adj]],-2)</f>
        <v>0</v>
      </c>
      <c r="BN967" s="30">
        <f>Inventory[[#This Row],[Adjusted Res]]+Inventory[[#This Row],[Adj Det ]]</f>
        <v>347000</v>
      </c>
      <c r="BO967" s="30">
        <f>ROUND((Inventory[[#This Row],[Mdl Land Intercept]]+Inventory[[#This Row],[Mdl LnAcres]])*Inventory[[#This Row],[Det/Nbhd Adj]],-2)</f>
        <v>61100</v>
      </c>
      <c r="BP967" s="30">
        <f>Inventory[[#This Row],[Adjusted Impr Total]]+Inventory[[#This Row],[Adjusted Land Total]]</f>
        <v>408100</v>
      </c>
      <c r="BQ967" s="30">
        <f>IFERROR((Inventory[[#This Row],[Adjusted Impr Total]]-Inventory[[#This Row],[24Bldg]])/Inventory[[#This Row],[24Bldg]],0)</f>
        <v>-6.0154683471784591E-3</v>
      </c>
      <c r="BR967" s="43">
        <f>(Inventory[[#This Row],[Adjusted Land Total]]-Inventory[[#This Row],[24Lnd]])/Inventory[[#This Row],[24Lnd]]</f>
        <v>4.9342105263157892E-3</v>
      </c>
      <c r="BS967" s="43">
        <f>(Inventory[[#This Row],[Adjusted Total]]-Inventory[[#This Row],[24Final]])/Inventory[[#This Row],[24Final]]</f>
        <v>-4.3913149548670408E-3</v>
      </c>
    </row>
    <row r="968" spans="1:71">
      <c r="A968" s="30">
        <v>2025</v>
      </c>
      <c r="B968" s="31" t="s">
        <v>1483</v>
      </c>
      <c r="C968" s="31">
        <f>LN(Inventory[[#This Row],[Acres]])</f>
        <v>-1.8325814637483102</v>
      </c>
      <c r="D968" s="30">
        <v>0.16</v>
      </c>
      <c r="E968" s="30">
        <v>7014</v>
      </c>
      <c r="F968" s="31" t="s">
        <v>505</v>
      </c>
      <c r="G968" s="31" t="s">
        <v>155</v>
      </c>
      <c r="H968" s="31" t="s">
        <v>5</v>
      </c>
      <c r="I968" s="31" t="s">
        <v>506</v>
      </c>
      <c r="J968" s="31" t="s">
        <v>507</v>
      </c>
      <c r="K968" s="31" t="s">
        <v>157</v>
      </c>
      <c r="L968" s="31" t="s">
        <v>21</v>
      </c>
      <c r="M968" s="31" t="s">
        <v>22</v>
      </c>
      <c r="N968" s="31">
        <v>20</v>
      </c>
      <c r="O968" s="31">
        <f>2024-Inventory[[#This Row],[YrBlt]]</f>
        <v>20</v>
      </c>
      <c r="P968" s="31">
        <f>2024-Inventory[[#This Row],[EffYr]]</f>
        <v>20</v>
      </c>
      <c r="Q968" s="30">
        <v>2004</v>
      </c>
      <c r="R968" s="30">
        <v>2004</v>
      </c>
      <c r="S968" s="30">
        <v>1116</v>
      </c>
      <c r="T968" s="38">
        <v>1116</v>
      </c>
      <c r="U968" s="32"/>
      <c r="V968" s="32"/>
      <c r="W968" s="32"/>
      <c r="X968" s="32">
        <f>Inventory[[#This Row],[Bsmt Area]]-Inventory[[#This Row],[FnBsmt]]</f>
        <v>0</v>
      </c>
      <c r="Y968" s="32">
        <f>Inventory[[#This Row],[MainFn]]+Inventory[[#This Row],[UpprFn]]+Inventory[[#This Row],[AddFn]]+Inventory[[#This Row],[FnBsmt]]</f>
        <v>2232</v>
      </c>
      <c r="Z968" s="32">
        <v>2500</v>
      </c>
      <c r="AA968" s="31" t="s">
        <v>56</v>
      </c>
      <c r="AB968" s="37"/>
      <c r="AC968" s="30">
        <v>440</v>
      </c>
      <c r="AD968" s="32"/>
      <c r="AE968" s="32"/>
      <c r="AF968" s="32"/>
      <c r="AG968" s="32"/>
      <c r="AH968" s="32"/>
      <c r="AI968" s="30">
        <v>439327</v>
      </c>
      <c r="AJ968" s="30">
        <v>404181</v>
      </c>
      <c r="AK968" s="30">
        <v>0</v>
      </c>
      <c r="AL968" s="30">
        <v>0</v>
      </c>
      <c r="AM968" s="30">
        <v>60800</v>
      </c>
      <c r="AN968" s="30">
        <v>349100</v>
      </c>
      <c r="AO968" s="30">
        <v>409900</v>
      </c>
      <c r="AP968" s="30">
        <f>Lookups!$B$58*0.6</f>
        <v>132535.48800000001</v>
      </c>
      <c r="AQ968" s="30">
        <f>Lookups!$B$58*0.4</f>
        <v>88356.992000000013</v>
      </c>
      <c r="AR968" s="30">
        <f>Lookups!$B$59*Inventory[[#This Row],[LnAcres]]</f>
        <v>-24051.387388882686</v>
      </c>
      <c r="AS968" s="30">
        <f>VLOOKUP(Inventory[[#This Row],[Qlty]],Lookups!$A$66:$E$79,2,FALSE)</f>
        <v>32917.849192000001</v>
      </c>
      <c r="AT968" s="30">
        <f>VLOOKUP(Inventory[[#This Row],[Cnd]],Lookups!$A$80:$E$88,2,FALSE)</f>
        <v>50438.379078999998</v>
      </c>
      <c r="AU968" s="30">
        <f>Inventory[[#This Row],[EffAge]]*Lookups!$B$65</f>
        <v>-2174.8220000000001</v>
      </c>
      <c r="AV968" s="30">
        <f>Inventory[[#This Row],[MainFn]]*Lookups!$B$90</f>
        <v>69649.984080000009</v>
      </c>
      <c r="AW968" s="30">
        <f>Inventory[[#This Row],[UpprFn]]*Lookups!$B$91</f>
        <v>66491.707427999994</v>
      </c>
      <c r="AX968" s="30">
        <f>Inventory[[#This Row],[Bsmt Area]]*Lookups!$B$95</f>
        <v>0</v>
      </c>
      <c r="AY968" s="30">
        <f>Inventory[[#This Row],[AttGar]]*Lookups!$B$93</f>
        <v>15532.453640000002</v>
      </c>
      <c r="AZ968" s="30">
        <f>ROUND(Inventory[[#This Row],[25Det]],-2)</f>
        <v>0</v>
      </c>
      <c r="BA968" s="30">
        <f>ROUND(SUM(Inventory[[#This Row],[Mdl Qlty]:[Mdl Garage Area]])+Inventory[[#This Row],[Mdl Res Intercept]],-2)</f>
        <v>365400</v>
      </c>
      <c r="BB968" s="30">
        <f>ROUND(Inventory[[#This Row],[Mdl Land Intercept]]+Inventory[[#This Row],[Mdl LnAcres]],-2)</f>
        <v>64300</v>
      </c>
      <c r="BC968" s="30">
        <f>Inventory[[#This Row],[Unadj Res Value]]+Inventory[[#This Row],[Unadj Det Value]]+Inventory[[#This Row],[Unadj Land Value]]</f>
        <v>429700</v>
      </c>
      <c r="BD968" s="30">
        <f>(Inventory[[#This Row],[Unadj Total Value]]-Inventory[[#This Row],[24Final]])/Inventory[[#This Row],[24Final]]</f>
        <v>4.8304464503537446E-2</v>
      </c>
      <c r="BE968" s="30">
        <f>VLOOKUP(Inventory[[#This Row],[Nbhd]],Lookups!$M$3:$P$5,4,FALSE)</f>
        <v>0.99970000000000003</v>
      </c>
      <c r="BF968" s="30">
        <f>VLOOKUP(Inventory[[#This Row],[Qlty]],Lookups!$M$8:$P$22,4,FALSE)</f>
        <v>1.0019</v>
      </c>
      <c r="BG968" s="30">
        <f>VLOOKUP(Inventory[[#This Row],[Cnd]],Lookups!$R$8:$U$17,4,FALSE)</f>
        <v>1.0007999999999999</v>
      </c>
      <c r="BH968" s="30">
        <f>VLOOKUP(Inventory[[#This Row],[LivArea Range]],Lookups!$R$25:$U$43,4,FALSE)</f>
        <v>1.0008999999999999</v>
      </c>
      <c r="BI968" s="30">
        <f>VLOOKUP(Inventory[[#This Row],[Decade]],Lookups!$M$24:$P$40,4,FALSE)</f>
        <v>0.99560000000000004</v>
      </c>
      <c r="BJ968" s="30">
        <f>Inventory[[#This Row],[Nbhd Adj]]*0.95</f>
        <v>0.94971499999999998</v>
      </c>
      <c r="BK968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968" s="30">
        <f>ROUND((SUM(Inventory[[#This Row],[Mdl Qlty]:[Mdl Garage Area]])+Inventory[[#This Row],[Mdl Res Intercept]])*Inventory[[#This Row],[Res Adj ]],-2)</f>
        <v>347000</v>
      </c>
      <c r="BM968" s="30">
        <f>ROUND(Inventory[[#This Row],[25Det]]*Inventory[[#This Row],[Det/Nbhd Adj]],-2)</f>
        <v>0</v>
      </c>
      <c r="BN968" s="30">
        <f>Inventory[[#This Row],[Adjusted Res]]+Inventory[[#This Row],[Adj Det ]]</f>
        <v>347000</v>
      </c>
      <c r="BO968" s="30">
        <f>ROUND((Inventory[[#This Row],[Mdl Land Intercept]]+Inventory[[#This Row],[Mdl LnAcres]])*Inventory[[#This Row],[Det/Nbhd Adj]],-2)</f>
        <v>61100</v>
      </c>
      <c r="BP968" s="30">
        <f>Inventory[[#This Row],[Adjusted Impr Total]]+Inventory[[#This Row],[Adjusted Land Total]]</f>
        <v>408100</v>
      </c>
      <c r="BQ968" s="30">
        <f>IFERROR((Inventory[[#This Row],[Adjusted Impr Total]]-Inventory[[#This Row],[24Bldg]])/Inventory[[#This Row],[24Bldg]],0)</f>
        <v>-6.0154683471784591E-3</v>
      </c>
      <c r="BR968" s="43">
        <f>(Inventory[[#This Row],[Adjusted Land Total]]-Inventory[[#This Row],[24Lnd]])/Inventory[[#This Row],[24Lnd]]</f>
        <v>4.9342105263157892E-3</v>
      </c>
      <c r="BS968" s="43">
        <f>(Inventory[[#This Row],[Adjusted Total]]-Inventory[[#This Row],[24Final]])/Inventory[[#This Row],[24Final]]</f>
        <v>-4.3913149548670408E-3</v>
      </c>
    </row>
    <row r="969" spans="1:71">
      <c r="A969" s="30">
        <v>2025</v>
      </c>
      <c r="B969" s="31" t="s">
        <v>1484</v>
      </c>
      <c r="C969" s="31">
        <f>LN(Inventory[[#This Row],[Acres]])</f>
        <v>-1.8325814637483102</v>
      </c>
      <c r="D969" s="30">
        <v>0.16</v>
      </c>
      <c r="E969" s="30">
        <v>7017</v>
      </c>
      <c r="F969" s="31" t="s">
        <v>505</v>
      </c>
      <c r="G969" s="31" t="s">
        <v>155</v>
      </c>
      <c r="H969" s="31" t="s">
        <v>5</v>
      </c>
      <c r="I969" s="31" t="s">
        <v>506</v>
      </c>
      <c r="J969" s="31" t="s">
        <v>507</v>
      </c>
      <c r="K969" s="31" t="s">
        <v>157</v>
      </c>
      <c r="L969" s="31" t="s">
        <v>21</v>
      </c>
      <c r="M969" s="31" t="s">
        <v>22</v>
      </c>
      <c r="N969" s="31">
        <v>20</v>
      </c>
      <c r="O969" s="31">
        <f>2024-Inventory[[#This Row],[YrBlt]]</f>
        <v>20</v>
      </c>
      <c r="P969" s="31">
        <f>2024-Inventory[[#This Row],[EffYr]]</f>
        <v>20</v>
      </c>
      <c r="Q969" s="30">
        <v>2004</v>
      </c>
      <c r="R969" s="30">
        <v>2004</v>
      </c>
      <c r="S969" s="30">
        <v>1116</v>
      </c>
      <c r="T969" s="38">
        <v>1116</v>
      </c>
      <c r="U969" s="32"/>
      <c r="V969" s="32"/>
      <c r="W969" s="32"/>
      <c r="X969" s="32">
        <f>Inventory[[#This Row],[Bsmt Area]]-Inventory[[#This Row],[FnBsmt]]</f>
        <v>0</v>
      </c>
      <c r="Y969" s="32">
        <f>Inventory[[#This Row],[MainFn]]+Inventory[[#This Row],[UpprFn]]+Inventory[[#This Row],[AddFn]]+Inventory[[#This Row],[FnBsmt]]</f>
        <v>2232</v>
      </c>
      <c r="Z969" s="32">
        <v>2500</v>
      </c>
      <c r="AA969" s="31" t="s">
        <v>56</v>
      </c>
      <c r="AB969" s="32"/>
      <c r="AC969" s="30">
        <v>440</v>
      </c>
      <c r="AD969" s="32"/>
      <c r="AE969" s="32"/>
      <c r="AF969" s="32"/>
      <c r="AG969" s="32"/>
      <c r="AH969" s="37"/>
      <c r="AI969" s="30">
        <v>452240</v>
      </c>
      <c r="AJ969" s="30">
        <v>416061</v>
      </c>
      <c r="AK969" s="30">
        <v>0</v>
      </c>
      <c r="AL969" s="30">
        <v>0</v>
      </c>
      <c r="AM969" s="30">
        <v>60800</v>
      </c>
      <c r="AN969" s="30">
        <v>349100</v>
      </c>
      <c r="AO969" s="30">
        <v>409900</v>
      </c>
      <c r="AP969" s="30">
        <f>Lookups!$B$58*0.6</f>
        <v>132535.48800000001</v>
      </c>
      <c r="AQ969" s="30">
        <f>Lookups!$B$58*0.4</f>
        <v>88356.992000000013</v>
      </c>
      <c r="AR969" s="30">
        <f>Lookups!$B$59*Inventory[[#This Row],[LnAcres]]</f>
        <v>-24051.387388882686</v>
      </c>
      <c r="AS969" s="30">
        <f>VLOOKUP(Inventory[[#This Row],[Qlty]],Lookups!$A$66:$E$79,2,FALSE)</f>
        <v>32917.849192000001</v>
      </c>
      <c r="AT969" s="30">
        <f>VLOOKUP(Inventory[[#This Row],[Cnd]],Lookups!$A$80:$E$88,2,FALSE)</f>
        <v>50438.379078999998</v>
      </c>
      <c r="AU969" s="30">
        <f>Inventory[[#This Row],[EffAge]]*Lookups!$B$65</f>
        <v>-2174.8220000000001</v>
      </c>
      <c r="AV969" s="30">
        <f>Inventory[[#This Row],[MainFn]]*Lookups!$B$90</f>
        <v>69649.984080000009</v>
      </c>
      <c r="AW969" s="30">
        <f>Inventory[[#This Row],[UpprFn]]*Lookups!$B$91</f>
        <v>66491.707427999994</v>
      </c>
      <c r="AX969" s="30">
        <f>Inventory[[#This Row],[Bsmt Area]]*Lookups!$B$95</f>
        <v>0</v>
      </c>
      <c r="AY969" s="30">
        <f>Inventory[[#This Row],[AttGar]]*Lookups!$B$93</f>
        <v>15532.453640000002</v>
      </c>
      <c r="AZ969" s="30">
        <f>ROUND(Inventory[[#This Row],[25Det]],-2)</f>
        <v>0</v>
      </c>
      <c r="BA969" s="30">
        <f>ROUND(SUM(Inventory[[#This Row],[Mdl Qlty]:[Mdl Garage Area]])+Inventory[[#This Row],[Mdl Res Intercept]],-2)</f>
        <v>365400</v>
      </c>
      <c r="BB969" s="30">
        <f>ROUND(Inventory[[#This Row],[Mdl Land Intercept]]+Inventory[[#This Row],[Mdl LnAcres]],-2)</f>
        <v>64300</v>
      </c>
      <c r="BC969" s="30">
        <f>Inventory[[#This Row],[Unadj Res Value]]+Inventory[[#This Row],[Unadj Det Value]]+Inventory[[#This Row],[Unadj Land Value]]</f>
        <v>429700</v>
      </c>
      <c r="BD969" s="30">
        <f>(Inventory[[#This Row],[Unadj Total Value]]-Inventory[[#This Row],[24Final]])/Inventory[[#This Row],[24Final]]</f>
        <v>4.8304464503537446E-2</v>
      </c>
      <c r="BE969" s="30">
        <f>VLOOKUP(Inventory[[#This Row],[Nbhd]],Lookups!$M$3:$P$5,4,FALSE)</f>
        <v>0.99970000000000003</v>
      </c>
      <c r="BF969" s="30">
        <f>VLOOKUP(Inventory[[#This Row],[Qlty]],Lookups!$M$8:$P$22,4,FALSE)</f>
        <v>1.0019</v>
      </c>
      <c r="BG969" s="30">
        <f>VLOOKUP(Inventory[[#This Row],[Cnd]],Lookups!$R$8:$U$17,4,FALSE)</f>
        <v>1.0007999999999999</v>
      </c>
      <c r="BH969" s="30">
        <f>VLOOKUP(Inventory[[#This Row],[LivArea Range]],Lookups!$R$25:$U$43,4,FALSE)</f>
        <v>1.0008999999999999</v>
      </c>
      <c r="BI969" s="30">
        <f>VLOOKUP(Inventory[[#This Row],[Decade]],Lookups!$M$24:$P$40,4,FALSE)</f>
        <v>0.99560000000000004</v>
      </c>
      <c r="BJ969" s="30">
        <f>Inventory[[#This Row],[Nbhd Adj]]*0.95</f>
        <v>0.94971499999999998</v>
      </c>
      <c r="BK969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969" s="30">
        <f>ROUND((SUM(Inventory[[#This Row],[Mdl Qlty]:[Mdl Garage Area]])+Inventory[[#This Row],[Mdl Res Intercept]])*Inventory[[#This Row],[Res Adj ]],-2)</f>
        <v>347000</v>
      </c>
      <c r="BM969" s="30">
        <f>ROUND(Inventory[[#This Row],[25Det]]*Inventory[[#This Row],[Det/Nbhd Adj]],-2)</f>
        <v>0</v>
      </c>
      <c r="BN969" s="30">
        <f>Inventory[[#This Row],[Adjusted Res]]+Inventory[[#This Row],[Adj Det ]]</f>
        <v>347000</v>
      </c>
      <c r="BO969" s="30">
        <f>ROUND((Inventory[[#This Row],[Mdl Land Intercept]]+Inventory[[#This Row],[Mdl LnAcres]])*Inventory[[#This Row],[Det/Nbhd Adj]],-2)</f>
        <v>61100</v>
      </c>
      <c r="BP969" s="30">
        <f>Inventory[[#This Row],[Adjusted Impr Total]]+Inventory[[#This Row],[Adjusted Land Total]]</f>
        <v>408100</v>
      </c>
      <c r="BQ969" s="30">
        <f>IFERROR((Inventory[[#This Row],[Adjusted Impr Total]]-Inventory[[#This Row],[24Bldg]])/Inventory[[#This Row],[24Bldg]],0)</f>
        <v>-6.0154683471784591E-3</v>
      </c>
      <c r="BR969" s="43">
        <f>(Inventory[[#This Row],[Adjusted Land Total]]-Inventory[[#This Row],[24Lnd]])/Inventory[[#This Row],[24Lnd]]</f>
        <v>4.9342105263157892E-3</v>
      </c>
      <c r="BS969" s="43">
        <f>(Inventory[[#This Row],[Adjusted Total]]-Inventory[[#This Row],[24Final]])/Inventory[[#This Row],[24Final]]</f>
        <v>-4.3913149548670408E-3</v>
      </c>
    </row>
    <row r="970" spans="1:71">
      <c r="A970" s="30">
        <v>2025</v>
      </c>
      <c r="B970" s="31" t="s">
        <v>1485</v>
      </c>
      <c r="C970" s="31">
        <f>LN(Inventory[[#This Row],[Acres]])</f>
        <v>-1.8325814637483102</v>
      </c>
      <c r="D970" s="30">
        <v>0.16</v>
      </c>
      <c r="E970" s="30">
        <v>7132</v>
      </c>
      <c r="F970" s="31" t="s">
        <v>505</v>
      </c>
      <c r="G970" s="31" t="s">
        <v>155</v>
      </c>
      <c r="H970" s="31" t="s">
        <v>5</v>
      </c>
      <c r="I970" s="31" t="s">
        <v>506</v>
      </c>
      <c r="J970" s="31" t="s">
        <v>507</v>
      </c>
      <c r="K970" s="31" t="s">
        <v>157</v>
      </c>
      <c r="L970" s="31" t="s">
        <v>21</v>
      </c>
      <c r="M970" s="31" t="s">
        <v>22</v>
      </c>
      <c r="N970" s="31">
        <v>20</v>
      </c>
      <c r="O970" s="31">
        <f>2024-Inventory[[#This Row],[YrBlt]]</f>
        <v>20</v>
      </c>
      <c r="P970" s="31">
        <f>2024-Inventory[[#This Row],[EffYr]]</f>
        <v>20</v>
      </c>
      <c r="Q970" s="30">
        <v>2004</v>
      </c>
      <c r="R970" s="30">
        <v>2004</v>
      </c>
      <c r="S970" s="30">
        <v>1116</v>
      </c>
      <c r="T970" s="38">
        <v>1116</v>
      </c>
      <c r="U970" s="32"/>
      <c r="V970" s="32"/>
      <c r="W970" s="32"/>
      <c r="X970" s="32">
        <f>Inventory[[#This Row],[Bsmt Area]]-Inventory[[#This Row],[FnBsmt]]</f>
        <v>0</v>
      </c>
      <c r="Y970" s="32">
        <f>Inventory[[#This Row],[MainFn]]+Inventory[[#This Row],[UpprFn]]+Inventory[[#This Row],[AddFn]]+Inventory[[#This Row],[FnBsmt]]</f>
        <v>2232</v>
      </c>
      <c r="Z970" s="32">
        <v>2500</v>
      </c>
      <c r="AA970" s="31" t="s">
        <v>56</v>
      </c>
      <c r="AB970" s="38">
        <v>1</v>
      </c>
      <c r="AC970" s="30">
        <v>440</v>
      </c>
      <c r="AD970" s="32"/>
      <c r="AE970" s="32"/>
      <c r="AF970" s="32"/>
      <c r="AG970" s="32"/>
      <c r="AH970" s="32"/>
      <c r="AI970" s="30">
        <v>464440</v>
      </c>
      <c r="AJ970" s="30">
        <v>427285</v>
      </c>
      <c r="AK970" s="30">
        <v>0</v>
      </c>
      <c r="AL970" s="30">
        <v>0</v>
      </c>
      <c r="AM970" s="30">
        <v>60800</v>
      </c>
      <c r="AN970" s="30">
        <v>349100</v>
      </c>
      <c r="AO970" s="30">
        <v>409900</v>
      </c>
      <c r="AP970" s="30">
        <f>Lookups!$B$58*0.6</f>
        <v>132535.48800000001</v>
      </c>
      <c r="AQ970" s="30">
        <f>Lookups!$B$58*0.4</f>
        <v>88356.992000000013</v>
      </c>
      <c r="AR970" s="30">
        <f>Lookups!$B$59*Inventory[[#This Row],[LnAcres]]</f>
        <v>-24051.387388882686</v>
      </c>
      <c r="AS970" s="30">
        <f>VLOOKUP(Inventory[[#This Row],[Qlty]],Lookups!$A$66:$E$79,2,FALSE)</f>
        <v>32917.849192000001</v>
      </c>
      <c r="AT970" s="30">
        <f>VLOOKUP(Inventory[[#This Row],[Cnd]],Lookups!$A$80:$E$88,2,FALSE)</f>
        <v>50438.379078999998</v>
      </c>
      <c r="AU970" s="30">
        <f>Inventory[[#This Row],[EffAge]]*Lookups!$B$65</f>
        <v>-2174.8220000000001</v>
      </c>
      <c r="AV970" s="30">
        <f>Inventory[[#This Row],[MainFn]]*Lookups!$B$90</f>
        <v>69649.984080000009</v>
      </c>
      <c r="AW970" s="30">
        <f>Inventory[[#This Row],[UpprFn]]*Lookups!$B$91</f>
        <v>66491.707427999994</v>
      </c>
      <c r="AX970" s="30">
        <f>Inventory[[#This Row],[Bsmt Area]]*Lookups!$B$95</f>
        <v>0</v>
      </c>
      <c r="AY970" s="30">
        <f>Inventory[[#This Row],[AttGar]]*Lookups!$B$93</f>
        <v>15532.453640000002</v>
      </c>
      <c r="AZ970" s="30">
        <f>ROUND(Inventory[[#This Row],[25Det]],-2)</f>
        <v>0</v>
      </c>
      <c r="BA970" s="30">
        <f>ROUND(SUM(Inventory[[#This Row],[Mdl Qlty]:[Mdl Garage Area]])+Inventory[[#This Row],[Mdl Res Intercept]],-2)</f>
        <v>365400</v>
      </c>
      <c r="BB970" s="30">
        <f>ROUND(Inventory[[#This Row],[Mdl Land Intercept]]+Inventory[[#This Row],[Mdl LnAcres]],-2)</f>
        <v>64300</v>
      </c>
      <c r="BC970" s="30">
        <f>Inventory[[#This Row],[Unadj Res Value]]+Inventory[[#This Row],[Unadj Det Value]]+Inventory[[#This Row],[Unadj Land Value]]</f>
        <v>429700</v>
      </c>
      <c r="BD970" s="30">
        <f>(Inventory[[#This Row],[Unadj Total Value]]-Inventory[[#This Row],[24Final]])/Inventory[[#This Row],[24Final]]</f>
        <v>4.8304464503537446E-2</v>
      </c>
      <c r="BE970" s="30">
        <f>VLOOKUP(Inventory[[#This Row],[Nbhd]],Lookups!$M$3:$P$5,4,FALSE)</f>
        <v>0.99970000000000003</v>
      </c>
      <c r="BF970" s="30">
        <f>VLOOKUP(Inventory[[#This Row],[Qlty]],Lookups!$M$8:$P$22,4,FALSE)</f>
        <v>1.0019</v>
      </c>
      <c r="BG970" s="30">
        <f>VLOOKUP(Inventory[[#This Row],[Cnd]],Lookups!$R$8:$U$17,4,FALSE)</f>
        <v>1.0007999999999999</v>
      </c>
      <c r="BH970" s="30">
        <f>VLOOKUP(Inventory[[#This Row],[LivArea Range]],Lookups!$R$25:$U$43,4,FALSE)</f>
        <v>1.0008999999999999</v>
      </c>
      <c r="BI970" s="30">
        <f>VLOOKUP(Inventory[[#This Row],[Decade]],Lookups!$M$24:$P$40,4,FALSE)</f>
        <v>0.99560000000000004</v>
      </c>
      <c r="BJ970" s="30">
        <f>Inventory[[#This Row],[Nbhd Adj]]*0.95</f>
        <v>0.94971499999999998</v>
      </c>
      <c r="BK970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970" s="30">
        <f>ROUND((SUM(Inventory[[#This Row],[Mdl Qlty]:[Mdl Garage Area]])+Inventory[[#This Row],[Mdl Res Intercept]])*Inventory[[#This Row],[Res Adj ]],-2)</f>
        <v>347000</v>
      </c>
      <c r="BM970" s="30">
        <f>ROUND(Inventory[[#This Row],[25Det]]*Inventory[[#This Row],[Det/Nbhd Adj]],-2)</f>
        <v>0</v>
      </c>
      <c r="BN970" s="30">
        <f>Inventory[[#This Row],[Adjusted Res]]+Inventory[[#This Row],[Adj Det ]]</f>
        <v>347000</v>
      </c>
      <c r="BO970" s="30">
        <f>ROUND((Inventory[[#This Row],[Mdl Land Intercept]]+Inventory[[#This Row],[Mdl LnAcres]])*Inventory[[#This Row],[Det/Nbhd Adj]],-2)</f>
        <v>61100</v>
      </c>
      <c r="BP970" s="30">
        <f>Inventory[[#This Row],[Adjusted Impr Total]]+Inventory[[#This Row],[Adjusted Land Total]]</f>
        <v>408100</v>
      </c>
      <c r="BQ970" s="30">
        <f>IFERROR((Inventory[[#This Row],[Adjusted Impr Total]]-Inventory[[#This Row],[24Bldg]])/Inventory[[#This Row],[24Bldg]],0)</f>
        <v>-6.0154683471784591E-3</v>
      </c>
      <c r="BR970" s="43">
        <f>(Inventory[[#This Row],[Adjusted Land Total]]-Inventory[[#This Row],[24Lnd]])/Inventory[[#This Row],[24Lnd]]</f>
        <v>4.9342105263157892E-3</v>
      </c>
      <c r="BS970" s="43">
        <f>(Inventory[[#This Row],[Adjusted Total]]-Inventory[[#This Row],[24Final]])/Inventory[[#This Row],[24Final]]</f>
        <v>-4.3913149548670408E-3</v>
      </c>
    </row>
    <row r="971" spans="1:71">
      <c r="A971" s="30">
        <v>2025</v>
      </c>
      <c r="B971" s="31" t="s">
        <v>1486</v>
      </c>
      <c r="C971" s="31">
        <f>LN(Inventory[[#This Row],[Acres]])</f>
        <v>-1.8325814637483102</v>
      </c>
      <c r="D971" s="30">
        <v>0.16</v>
      </c>
      <c r="E971" s="30">
        <v>7153</v>
      </c>
      <c r="F971" s="31" t="s">
        <v>505</v>
      </c>
      <c r="G971" s="31" t="s">
        <v>155</v>
      </c>
      <c r="H971" s="31" t="s">
        <v>5</v>
      </c>
      <c r="I971" s="31" t="s">
        <v>506</v>
      </c>
      <c r="J971" s="31" t="s">
        <v>507</v>
      </c>
      <c r="K971" s="31" t="s">
        <v>157</v>
      </c>
      <c r="L971" s="31" t="s">
        <v>21</v>
      </c>
      <c r="M971" s="31" t="s">
        <v>22</v>
      </c>
      <c r="N971" s="31">
        <v>20</v>
      </c>
      <c r="O971" s="31">
        <f>2024-Inventory[[#This Row],[YrBlt]]</f>
        <v>20</v>
      </c>
      <c r="P971" s="31">
        <f>2024-Inventory[[#This Row],[EffYr]]</f>
        <v>20</v>
      </c>
      <c r="Q971" s="30">
        <v>2004</v>
      </c>
      <c r="R971" s="30">
        <v>2004</v>
      </c>
      <c r="S971" s="30">
        <v>1116</v>
      </c>
      <c r="T971" s="30">
        <v>1116</v>
      </c>
      <c r="U971" s="32"/>
      <c r="V971" s="32"/>
      <c r="W971" s="32"/>
      <c r="X971" s="32">
        <f>Inventory[[#This Row],[Bsmt Area]]-Inventory[[#This Row],[FnBsmt]]</f>
        <v>0</v>
      </c>
      <c r="Y971" s="32">
        <f>Inventory[[#This Row],[MainFn]]+Inventory[[#This Row],[UpprFn]]+Inventory[[#This Row],[AddFn]]+Inventory[[#This Row],[FnBsmt]]</f>
        <v>2232</v>
      </c>
      <c r="Z971" s="32">
        <v>2500</v>
      </c>
      <c r="AA971" s="31" t="s">
        <v>56</v>
      </c>
      <c r="AB971" s="32"/>
      <c r="AC971" s="30">
        <v>440</v>
      </c>
      <c r="AD971" s="32"/>
      <c r="AE971" s="32"/>
      <c r="AF971" s="32"/>
      <c r="AG971" s="32"/>
      <c r="AH971" s="32"/>
      <c r="AI971" s="30">
        <v>439327</v>
      </c>
      <c r="AJ971" s="30">
        <v>404181</v>
      </c>
      <c r="AK971" s="30">
        <v>0</v>
      </c>
      <c r="AL971" s="30">
        <v>0</v>
      </c>
      <c r="AM971" s="30">
        <v>60800</v>
      </c>
      <c r="AN971" s="30">
        <v>349100</v>
      </c>
      <c r="AO971" s="30">
        <v>409900</v>
      </c>
      <c r="AP971" s="30">
        <f>Lookups!$B$58*0.6</f>
        <v>132535.48800000001</v>
      </c>
      <c r="AQ971" s="30">
        <f>Lookups!$B$58*0.4</f>
        <v>88356.992000000013</v>
      </c>
      <c r="AR971" s="30">
        <f>Lookups!$B$59*Inventory[[#This Row],[LnAcres]]</f>
        <v>-24051.387388882686</v>
      </c>
      <c r="AS971" s="30">
        <f>VLOOKUP(Inventory[[#This Row],[Qlty]],Lookups!$A$66:$E$79,2,FALSE)</f>
        <v>32917.849192000001</v>
      </c>
      <c r="AT971" s="30">
        <f>VLOOKUP(Inventory[[#This Row],[Cnd]],Lookups!$A$80:$E$88,2,FALSE)</f>
        <v>50438.379078999998</v>
      </c>
      <c r="AU971" s="30">
        <f>Inventory[[#This Row],[EffAge]]*Lookups!$B$65</f>
        <v>-2174.8220000000001</v>
      </c>
      <c r="AV971" s="30">
        <f>Inventory[[#This Row],[MainFn]]*Lookups!$B$90</f>
        <v>69649.984080000009</v>
      </c>
      <c r="AW971" s="30">
        <f>Inventory[[#This Row],[UpprFn]]*Lookups!$B$91</f>
        <v>66491.707427999994</v>
      </c>
      <c r="AX971" s="30">
        <f>Inventory[[#This Row],[Bsmt Area]]*Lookups!$B$95</f>
        <v>0</v>
      </c>
      <c r="AY971" s="30">
        <f>Inventory[[#This Row],[AttGar]]*Lookups!$B$93</f>
        <v>15532.453640000002</v>
      </c>
      <c r="AZ971" s="30">
        <f>ROUND(Inventory[[#This Row],[25Det]],-2)</f>
        <v>0</v>
      </c>
      <c r="BA971" s="30">
        <f>ROUND(SUM(Inventory[[#This Row],[Mdl Qlty]:[Mdl Garage Area]])+Inventory[[#This Row],[Mdl Res Intercept]],-2)</f>
        <v>365400</v>
      </c>
      <c r="BB971" s="30">
        <f>ROUND(Inventory[[#This Row],[Mdl Land Intercept]]+Inventory[[#This Row],[Mdl LnAcres]],-2)</f>
        <v>64300</v>
      </c>
      <c r="BC971" s="30">
        <f>Inventory[[#This Row],[Unadj Res Value]]+Inventory[[#This Row],[Unadj Det Value]]+Inventory[[#This Row],[Unadj Land Value]]</f>
        <v>429700</v>
      </c>
      <c r="BD971" s="30">
        <f>(Inventory[[#This Row],[Unadj Total Value]]-Inventory[[#This Row],[24Final]])/Inventory[[#This Row],[24Final]]</f>
        <v>4.8304464503537446E-2</v>
      </c>
      <c r="BE971" s="30">
        <f>VLOOKUP(Inventory[[#This Row],[Nbhd]],Lookups!$M$3:$P$5,4,FALSE)</f>
        <v>0.99970000000000003</v>
      </c>
      <c r="BF971" s="30">
        <f>VLOOKUP(Inventory[[#This Row],[Qlty]],Lookups!$M$8:$P$22,4,FALSE)</f>
        <v>1.0019</v>
      </c>
      <c r="BG971" s="30">
        <f>VLOOKUP(Inventory[[#This Row],[Cnd]],Lookups!$R$8:$U$17,4,FALSE)</f>
        <v>1.0007999999999999</v>
      </c>
      <c r="BH971" s="30">
        <f>VLOOKUP(Inventory[[#This Row],[LivArea Range]],Lookups!$R$25:$U$43,4,FALSE)</f>
        <v>1.0008999999999999</v>
      </c>
      <c r="BI971" s="30">
        <f>VLOOKUP(Inventory[[#This Row],[Decade]],Lookups!$M$24:$P$40,4,FALSE)</f>
        <v>0.99560000000000004</v>
      </c>
      <c r="BJ971" s="30">
        <f>Inventory[[#This Row],[Nbhd Adj]]*0.95</f>
        <v>0.94971499999999998</v>
      </c>
      <c r="BK971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971" s="30">
        <f>ROUND((SUM(Inventory[[#This Row],[Mdl Qlty]:[Mdl Garage Area]])+Inventory[[#This Row],[Mdl Res Intercept]])*Inventory[[#This Row],[Res Adj ]],-2)</f>
        <v>347000</v>
      </c>
      <c r="BM971" s="30">
        <f>ROUND(Inventory[[#This Row],[25Det]]*Inventory[[#This Row],[Det/Nbhd Adj]],-2)</f>
        <v>0</v>
      </c>
      <c r="BN971" s="30">
        <f>Inventory[[#This Row],[Adjusted Res]]+Inventory[[#This Row],[Adj Det ]]</f>
        <v>347000</v>
      </c>
      <c r="BO971" s="30">
        <f>ROUND((Inventory[[#This Row],[Mdl Land Intercept]]+Inventory[[#This Row],[Mdl LnAcres]])*Inventory[[#This Row],[Det/Nbhd Adj]],-2)</f>
        <v>61100</v>
      </c>
      <c r="BP971" s="30">
        <f>Inventory[[#This Row],[Adjusted Impr Total]]+Inventory[[#This Row],[Adjusted Land Total]]</f>
        <v>408100</v>
      </c>
      <c r="BQ971" s="30">
        <f>IFERROR((Inventory[[#This Row],[Adjusted Impr Total]]-Inventory[[#This Row],[24Bldg]])/Inventory[[#This Row],[24Bldg]],0)</f>
        <v>-6.0154683471784591E-3</v>
      </c>
      <c r="BR971" s="43">
        <f>(Inventory[[#This Row],[Adjusted Land Total]]-Inventory[[#This Row],[24Lnd]])/Inventory[[#This Row],[24Lnd]]</f>
        <v>4.9342105263157892E-3</v>
      </c>
      <c r="BS971" s="43">
        <f>(Inventory[[#This Row],[Adjusted Total]]-Inventory[[#This Row],[24Final]])/Inventory[[#This Row],[24Final]]</f>
        <v>-4.3913149548670408E-3</v>
      </c>
    </row>
    <row r="972" spans="1:71">
      <c r="A972" s="30">
        <v>2025</v>
      </c>
      <c r="B972" s="31" t="s">
        <v>1487</v>
      </c>
      <c r="C972" s="31">
        <f>LN(Inventory[[#This Row],[Acres]])</f>
        <v>-1.8325814637483102</v>
      </c>
      <c r="D972" s="30">
        <v>0.16</v>
      </c>
      <c r="E972" s="30">
        <v>7122</v>
      </c>
      <c r="F972" s="31" t="s">
        <v>505</v>
      </c>
      <c r="G972" s="31" t="s">
        <v>155</v>
      </c>
      <c r="H972" s="31" t="s">
        <v>5</v>
      </c>
      <c r="I972" s="31" t="s">
        <v>506</v>
      </c>
      <c r="J972" s="31" t="s">
        <v>507</v>
      </c>
      <c r="K972" s="31" t="s">
        <v>157</v>
      </c>
      <c r="L972" s="31" t="s">
        <v>21</v>
      </c>
      <c r="M972" s="31" t="s">
        <v>22</v>
      </c>
      <c r="N972" s="31">
        <v>20</v>
      </c>
      <c r="O972" s="31">
        <f>2024-Inventory[[#This Row],[YrBlt]]</f>
        <v>20</v>
      </c>
      <c r="P972" s="31">
        <f>2024-Inventory[[#This Row],[EffYr]]</f>
        <v>20</v>
      </c>
      <c r="Q972" s="30">
        <v>2004</v>
      </c>
      <c r="R972" s="30">
        <v>2004</v>
      </c>
      <c r="S972" s="30">
        <v>1116</v>
      </c>
      <c r="T972" s="38">
        <v>1116</v>
      </c>
      <c r="U972" s="32"/>
      <c r="V972" s="32"/>
      <c r="W972" s="32"/>
      <c r="X972" s="32">
        <f>Inventory[[#This Row],[Bsmt Area]]-Inventory[[#This Row],[FnBsmt]]</f>
        <v>0</v>
      </c>
      <c r="Y972" s="32">
        <f>Inventory[[#This Row],[MainFn]]+Inventory[[#This Row],[UpprFn]]+Inventory[[#This Row],[AddFn]]+Inventory[[#This Row],[FnBsmt]]</f>
        <v>2232</v>
      </c>
      <c r="Z972" s="32">
        <v>2500</v>
      </c>
      <c r="AA972" s="31" t="s">
        <v>56</v>
      </c>
      <c r="AB972" s="32"/>
      <c r="AC972" s="30">
        <v>440</v>
      </c>
      <c r="AD972" s="32"/>
      <c r="AE972" s="32"/>
      <c r="AF972" s="32"/>
      <c r="AG972" s="32"/>
      <c r="AH972" s="32"/>
      <c r="AI972" s="30">
        <v>439327</v>
      </c>
      <c r="AJ972" s="30">
        <v>404181</v>
      </c>
      <c r="AK972" s="30">
        <v>2649</v>
      </c>
      <c r="AL972" s="30">
        <v>0</v>
      </c>
      <c r="AM972" s="30">
        <v>60800</v>
      </c>
      <c r="AN972" s="30">
        <v>351400</v>
      </c>
      <c r="AO972" s="30">
        <v>412200</v>
      </c>
      <c r="AP972" s="30">
        <f>Lookups!$B$58*0.6</f>
        <v>132535.48800000001</v>
      </c>
      <c r="AQ972" s="30">
        <f>Lookups!$B$58*0.4</f>
        <v>88356.992000000013</v>
      </c>
      <c r="AR972" s="30">
        <f>Lookups!$B$59*Inventory[[#This Row],[LnAcres]]</f>
        <v>-24051.387388882686</v>
      </c>
      <c r="AS972" s="30">
        <f>VLOOKUP(Inventory[[#This Row],[Qlty]],Lookups!$A$66:$E$79,2,FALSE)</f>
        <v>32917.849192000001</v>
      </c>
      <c r="AT972" s="30">
        <f>VLOOKUP(Inventory[[#This Row],[Cnd]],Lookups!$A$80:$E$88,2,FALSE)</f>
        <v>50438.379078999998</v>
      </c>
      <c r="AU972" s="30">
        <f>Inventory[[#This Row],[EffAge]]*Lookups!$B$65</f>
        <v>-2174.8220000000001</v>
      </c>
      <c r="AV972" s="30">
        <f>Inventory[[#This Row],[MainFn]]*Lookups!$B$90</f>
        <v>69649.984080000009</v>
      </c>
      <c r="AW972" s="30">
        <f>Inventory[[#This Row],[UpprFn]]*Lookups!$B$91</f>
        <v>66491.707427999994</v>
      </c>
      <c r="AX972" s="30">
        <f>Inventory[[#This Row],[Bsmt Area]]*Lookups!$B$95</f>
        <v>0</v>
      </c>
      <c r="AY972" s="30">
        <f>Inventory[[#This Row],[AttGar]]*Lookups!$B$93</f>
        <v>15532.453640000002</v>
      </c>
      <c r="AZ972" s="30">
        <f>ROUND(Inventory[[#This Row],[25Det]],-2)</f>
        <v>2600</v>
      </c>
      <c r="BA972" s="30">
        <f>ROUND(SUM(Inventory[[#This Row],[Mdl Qlty]:[Mdl Garage Area]])+Inventory[[#This Row],[Mdl Res Intercept]],-2)</f>
        <v>365400</v>
      </c>
      <c r="BB972" s="30">
        <f>ROUND(Inventory[[#This Row],[Mdl Land Intercept]]+Inventory[[#This Row],[Mdl LnAcres]],-2)</f>
        <v>64300</v>
      </c>
      <c r="BC972" s="30">
        <f>Inventory[[#This Row],[Unadj Res Value]]+Inventory[[#This Row],[Unadj Det Value]]+Inventory[[#This Row],[Unadj Land Value]]</f>
        <v>432300</v>
      </c>
      <c r="BD972" s="30">
        <f>(Inventory[[#This Row],[Unadj Total Value]]-Inventory[[#This Row],[24Final]])/Inventory[[#This Row],[24Final]]</f>
        <v>4.87627365356623E-2</v>
      </c>
      <c r="BE972" s="30">
        <f>VLOOKUP(Inventory[[#This Row],[Nbhd]],Lookups!$M$3:$P$5,4,FALSE)</f>
        <v>0.99970000000000003</v>
      </c>
      <c r="BF972" s="30">
        <f>VLOOKUP(Inventory[[#This Row],[Qlty]],Lookups!$M$8:$P$22,4,FALSE)</f>
        <v>1.0019</v>
      </c>
      <c r="BG972" s="30">
        <f>VLOOKUP(Inventory[[#This Row],[Cnd]],Lookups!$R$8:$U$17,4,FALSE)</f>
        <v>1.0007999999999999</v>
      </c>
      <c r="BH972" s="30">
        <f>VLOOKUP(Inventory[[#This Row],[LivArea Range]],Lookups!$R$25:$U$43,4,FALSE)</f>
        <v>1.0008999999999999</v>
      </c>
      <c r="BI972" s="30">
        <f>VLOOKUP(Inventory[[#This Row],[Decade]],Lookups!$M$24:$P$40,4,FALSE)</f>
        <v>0.99560000000000004</v>
      </c>
      <c r="BJ972" s="30">
        <f>Inventory[[#This Row],[Nbhd Adj]]*0.95</f>
        <v>0.94971499999999998</v>
      </c>
      <c r="BK972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972" s="30">
        <f>ROUND((SUM(Inventory[[#This Row],[Mdl Qlty]:[Mdl Garage Area]])+Inventory[[#This Row],[Mdl Res Intercept]])*Inventory[[#This Row],[Res Adj ]],-2)</f>
        <v>347000</v>
      </c>
      <c r="BM972" s="30">
        <f>ROUND(Inventory[[#This Row],[25Det]]*Inventory[[#This Row],[Det/Nbhd Adj]],-2)</f>
        <v>2500</v>
      </c>
      <c r="BN972" s="30">
        <f>Inventory[[#This Row],[Adjusted Res]]+Inventory[[#This Row],[Adj Det ]]</f>
        <v>349500</v>
      </c>
      <c r="BO972" s="30">
        <f>ROUND((Inventory[[#This Row],[Mdl Land Intercept]]+Inventory[[#This Row],[Mdl LnAcres]])*Inventory[[#This Row],[Det/Nbhd Adj]],-2)</f>
        <v>61100</v>
      </c>
      <c r="BP972" s="30">
        <f>Inventory[[#This Row],[Adjusted Impr Total]]+Inventory[[#This Row],[Adjusted Land Total]]</f>
        <v>410600</v>
      </c>
      <c r="BQ972" s="30">
        <f>IFERROR((Inventory[[#This Row],[Adjusted Impr Total]]-Inventory[[#This Row],[24Bldg]])/Inventory[[#This Row],[24Bldg]],0)</f>
        <v>-5.4069436539556058E-3</v>
      </c>
      <c r="BR972" s="43">
        <f>(Inventory[[#This Row],[Adjusted Land Total]]-Inventory[[#This Row],[24Lnd]])/Inventory[[#This Row],[24Lnd]]</f>
        <v>4.9342105263157892E-3</v>
      </c>
      <c r="BS972" s="43">
        <f>(Inventory[[#This Row],[Adjusted Total]]-Inventory[[#This Row],[24Final]])/Inventory[[#This Row],[24Final]]</f>
        <v>-3.8816108685104317E-3</v>
      </c>
    </row>
    <row r="973" spans="1:71">
      <c r="A973" s="30">
        <v>2025</v>
      </c>
      <c r="B973" s="31" t="s">
        <v>1488</v>
      </c>
      <c r="C973" s="31">
        <f>LN(Inventory[[#This Row],[Acres]])</f>
        <v>-1.8325814637483102</v>
      </c>
      <c r="D973" s="30">
        <v>0.16</v>
      </c>
      <c r="E973" s="30">
        <v>7000</v>
      </c>
      <c r="F973" s="31" t="s">
        <v>505</v>
      </c>
      <c r="G973" s="31" t="s">
        <v>155</v>
      </c>
      <c r="H973" s="31" t="s">
        <v>5</v>
      </c>
      <c r="I973" s="31" t="s">
        <v>506</v>
      </c>
      <c r="J973" s="31" t="s">
        <v>507</v>
      </c>
      <c r="K973" s="31" t="s">
        <v>193</v>
      </c>
      <c r="L973" s="31" t="s">
        <v>21</v>
      </c>
      <c r="M973" s="31" t="s">
        <v>22</v>
      </c>
      <c r="N973" s="31">
        <v>20</v>
      </c>
      <c r="O973" s="31">
        <f>2024-Inventory[[#This Row],[YrBlt]]</f>
        <v>20</v>
      </c>
      <c r="P973" s="31">
        <f>2024-Inventory[[#This Row],[EffYr]]</f>
        <v>20</v>
      </c>
      <c r="Q973" s="30">
        <v>2004</v>
      </c>
      <c r="R973" s="30">
        <v>2004</v>
      </c>
      <c r="S973" s="30">
        <v>1706</v>
      </c>
      <c r="T973" s="37"/>
      <c r="U973" s="32"/>
      <c r="V973" s="32"/>
      <c r="W973" s="32"/>
      <c r="X973" s="32">
        <f>Inventory[[#This Row],[Bsmt Area]]-Inventory[[#This Row],[FnBsmt]]</f>
        <v>0</v>
      </c>
      <c r="Y973" s="32">
        <f>Inventory[[#This Row],[MainFn]]+Inventory[[#This Row],[UpprFn]]+Inventory[[#This Row],[AddFn]]+Inventory[[#This Row],[FnBsmt]]</f>
        <v>1706</v>
      </c>
      <c r="Z973" s="32">
        <v>2000</v>
      </c>
      <c r="AA973" s="31" t="s">
        <v>56</v>
      </c>
      <c r="AB973" s="37"/>
      <c r="AC973" s="30">
        <v>466</v>
      </c>
      <c r="AD973" s="32"/>
      <c r="AE973" s="32"/>
      <c r="AF973" s="32"/>
      <c r="AG973" s="32"/>
      <c r="AH973" s="32"/>
      <c r="AI973" s="30">
        <v>373267</v>
      </c>
      <c r="AJ973" s="30">
        <v>343406</v>
      </c>
      <c r="AK973" s="30">
        <v>0</v>
      </c>
      <c r="AL973" s="30">
        <v>0</v>
      </c>
      <c r="AM973" s="30">
        <v>60800</v>
      </c>
      <c r="AN973" s="30">
        <v>320100</v>
      </c>
      <c r="AO973" s="30">
        <v>380900</v>
      </c>
      <c r="AP973" s="30">
        <f>Lookups!$B$58*0.6</f>
        <v>132535.48800000001</v>
      </c>
      <c r="AQ973" s="30">
        <f>Lookups!$B$58*0.4</f>
        <v>88356.992000000013</v>
      </c>
      <c r="AR973" s="30">
        <f>Lookups!$B$59*Inventory[[#This Row],[LnAcres]]</f>
        <v>-24051.387388882686</v>
      </c>
      <c r="AS973" s="30">
        <f>VLOOKUP(Inventory[[#This Row],[Qlty]],Lookups!$A$66:$E$79,2,FALSE)</f>
        <v>32917.849192000001</v>
      </c>
      <c r="AT973" s="30">
        <f>VLOOKUP(Inventory[[#This Row],[Cnd]],Lookups!$A$80:$E$88,2,FALSE)</f>
        <v>50438.379078999998</v>
      </c>
      <c r="AU973" s="30">
        <f>Inventory[[#This Row],[EffAge]]*Lookups!$B$65</f>
        <v>-2174.8220000000001</v>
      </c>
      <c r="AV973" s="30">
        <f>Inventory[[#This Row],[MainFn]]*Lookups!$B$90</f>
        <v>106472.10828</v>
      </c>
      <c r="AW973" s="30">
        <f>Inventory[[#This Row],[UpprFn]]*Lookups!$B$91</f>
        <v>0</v>
      </c>
      <c r="AX973" s="30">
        <f>Inventory[[#This Row],[Bsmt Area]]*Lookups!$B$95</f>
        <v>0</v>
      </c>
      <c r="AY973" s="30">
        <f>Inventory[[#This Row],[AttGar]]*Lookups!$B$93</f>
        <v>16450.280446000001</v>
      </c>
      <c r="AZ973" s="30">
        <f>ROUND(Inventory[[#This Row],[25Det]],-2)</f>
        <v>0</v>
      </c>
      <c r="BA973" s="30">
        <f>ROUND(SUM(Inventory[[#This Row],[Mdl Qlty]:[Mdl Garage Area]])+Inventory[[#This Row],[Mdl Res Intercept]],-2)</f>
        <v>336600</v>
      </c>
      <c r="BB973" s="30">
        <f>ROUND(Inventory[[#This Row],[Mdl Land Intercept]]+Inventory[[#This Row],[Mdl LnAcres]],-2)</f>
        <v>64300</v>
      </c>
      <c r="BC973" s="30">
        <f>Inventory[[#This Row],[Unadj Res Value]]+Inventory[[#This Row],[Unadj Det Value]]+Inventory[[#This Row],[Unadj Land Value]]</f>
        <v>400900</v>
      </c>
      <c r="BD973" s="30">
        <f>(Inventory[[#This Row],[Unadj Total Value]]-Inventory[[#This Row],[24Final]])/Inventory[[#This Row],[24Final]]</f>
        <v>5.2507219742714627E-2</v>
      </c>
      <c r="BE973" s="30">
        <f>VLOOKUP(Inventory[[#This Row],[Nbhd]],Lookups!$M$3:$P$5,4,FALSE)</f>
        <v>0.99970000000000003</v>
      </c>
      <c r="BF973" s="30">
        <f>VLOOKUP(Inventory[[#This Row],[Qlty]],Lookups!$M$8:$P$22,4,FALSE)</f>
        <v>1.0019</v>
      </c>
      <c r="BG973" s="30">
        <f>VLOOKUP(Inventory[[#This Row],[Cnd]],Lookups!$R$8:$U$17,4,FALSE)</f>
        <v>1.0007999999999999</v>
      </c>
      <c r="BH973" s="30">
        <f>VLOOKUP(Inventory[[#This Row],[LivArea Range]],Lookups!$R$25:$U$43,4,FALSE)</f>
        <v>1.0007999999999999</v>
      </c>
      <c r="BI973" s="30">
        <f>VLOOKUP(Inventory[[#This Row],[Decade]],Lookups!$M$24:$P$40,4,FALSE)</f>
        <v>0.99560000000000004</v>
      </c>
      <c r="BJ973" s="30">
        <f>Inventory[[#This Row],[Nbhd Adj]]*0.95</f>
        <v>0.94971499999999998</v>
      </c>
      <c r="BK973" s="30">
        <f>AVERAGE(Inventory[[#This Row],[Nbhd Adj]],Inventory[[#This Row],[Quality Adj]],Inventory[[#This Row],[Condition Adj]],Inventory[[#This Row],[Living Area Adj]],Inventory[[#This Row],[Decade Adj]])*0.95</f>
        <v>0.94977199999999984</v>
      </c>
      <c r="BL973" s="30">
        <f>ROUND((SUM(Inventory[[#This Row],[Mdl Qlty]:[Mdl Garage Area]])+Inventory[[#This Row],[Mdl Res Intercept]])*Inventory[[#This Row],[Res Adj ]],-2)</f>
        <v>319700</v>
      </c>
      <c r="BM973" s="30">
        <f>ROUND(Inventory[[#This Row],[25Det]]*Inventory[[#This Row],[Det/Nbhd Adj]],-2)</f>
        <v>0</v>
      </c>
      <c r="BN973" s="30">
        <f>Inventory[[#This Row],[Adjusted Res]]+Inventory[[#This Row],[Adj Det ]]</f>
        <v>319700</v>
      </c>
      <c r="BO973" s="30">
        <f>ROUND((Inventory[[#This Row],[Mdl Land Intercept]]+Inventory[[#This Row],[Mdl LnAcres]])*Inventory[[#This Row],[Det/Nbhd Adj]],-2)</f>
        <v>61100</v>
      </c>
      <c r="BP973" s="30">
        <f>Inventory[[#This Row],[Adjusted Impr Total]]+Inventory[[#This Row],[Adjusted Land Total]]</f>
        <v>380800</v>
      </c>
      <c r="BQ973" s="30">
        <f>IFERROR((Inventory[[#This Row],[Adjusted Impr Total]]-Inventory[[#This Row],[24Bldg]])/Inventory[[#This Row],[24Bldg]],0)</f>
        <v>-1.2496094970321774E-3</v>
      </c>
      <c r="BR973" s="43">
        <f>(Inventory[[#This Row],[Adjusted Land Total]]-Inventory[[#This Row],[24Lnd]])/Inventory[[#This Row],[24Lnd]]</f>
        <v>4.9342105263157892E-3</v>
      </c>
      <c r="BS973" s="43">
        <f>(Inventory[[#This Row],[Adjusted Total]]-Inventory[[#This Row],[24Final]])/Inventory[[#This Row],[24Final]]</f>
        <v>-2.6253609871357313E-4</v>
      </c>
    </row>
    <row r="974" spans="1:71">
      <c r="A974" s="30">
        <v>2025</v>
      </c>
      <c r="B974" s="31" t="s">
        <v>1489</v>
      </c>
      <c r="C974" s="31">
        <f>LN(Inventory[[#This Row],[Acres]])</f>
        <v>-1.8325814637483102</v>
      </c>
      <c r="D974" s="30">
        <v>0.16</v>
      </c>
      <c r="E974" s="30">
        <v>7008</v>
      </c>
      <c r="F974" s="31" t="s">
        <v>505</v>
      </c>
      <c r="G974" s="31" t="s">
        <v>155</v>
      </c>
      <c r="H974" s="31" t="s">
        <v>5</v>
      </c>
      <c r="I974" s="31" t="s">
        <v>506</v>
      </c>
      <c r="J974" s="31" t="s">
        <v>507</v>
      </c>
      <c r="K974" s="31" t="s">
        <v>193</v>
      </c>
      <c r="L974" s="31" t="s">
        <v>21</v>
      </c>
      <c r="M974" s="31" t="s">
        <v>22</v>
      </c>
      <c r="N974" s="31">
        <v>20</v>
      </c>
      <c r="O974" s="31">
        <f>2024-Inventory[[#This Row],[YrBlt]]</f>
        <v>20</v>
      </c>
      <c r="P974" s="31">
        <f>2024-Inventory[[#This Row],[EffYr]]</f>
        <v>20</v>
      </c>
      <c r="Q974" s="30">
        <v>2004</v>
      </c>
      <c r="R974" s="30">
        <v>2004</v>
      </c>
      <c r="S974" s="30">
        <v>1706</v>
      </c>
      <c r="T974" s="32"/>
      <c r="U974" s="32"/>
      <c r="V974" s="32"/>
      <c r="W974" s="32"/>
      <c r="X974" s="32">
        <f>Inventory[[#This Row],[Bsmt Area]]-Inventory[[#This Row],[FnBsmt]]</f>
        <v>0</v>
      </c>
      <c r="Y974" s="32">
        <f>Inventory[[#This Row],[MainFn]]+Inventory[[#This Row],[UpprFn]]+Inventory[[#This Row],[AddFn]]+Inventory[[#This Row],[FnBsmt]]</f>
        <v>1706</v>
      </c>
      <c r="Z974" s="32">
        <v>2000</v>
      </c>
      <c r="AA974" s="31" t="s">
        <v>56</v>
      </c>
      <c r="AB974" s="37"/>
      <c r="AC974" s="30">
        <v>466</v>
      </c>
      <c r="AD974" s="32"/>
      <c r="AE974" s="32"/>
      <c r="AF974" s="32"/>
      <c r="AG974" s="32"/>
      <c r="AH974" s="32"/>
      <c r="AI974" s="30">
        <v>374519</v>
      </c>
      <c r="AJ974" s="30">
        <v>344557</v>
      </c>
      <c r="AK974" s="30">
        <v>0</v>
      </c>
      <c r="AL974" s="30">
        <v>0</v>
      </c>
      <c r="AM974" s="30">
        <v>60800</v>
      </c>
      <c r="AN974" s="30">
        <v>320100</v>
      </c>
      <c r="AO974" s="30">
        <v>380900</v>
      </c>
      <c r="AP974" s="30">
        <f>Lookups!$B$58*0.6</f>
        <v>132535.48800000001</v>
      </c>
      <c r="AQ974" s="30">
        <f>Lookups!$B$58*0.4</f>
        <v>88356.992000000013</v>
      </c>
      <c r="AR974" s="30">
        <f>Lookups!$B$59*Inventory[[#This Row],[LnAcres]]</f>
        <v>-24051.387388882686</v>
      </c>
      <c r="AS974" s="30">
        <f>VLOOKUP(Inventory[[#This Row],[Qlty]],Lookups!$A$66:$E$79,2,FALSE)</f>
        <v>32917.849192000001</v>
      </c>
      <c r="AT974" s="30">
        <f>VLOOKUP(Inventory[[#This Row],[Cnd]],Lookups!$A$80:$E$88,2,FALSE)</f>
        <v>50438.379078999998</v>
      </c>
      <c r="AU974" s="30">
        <f>Inventory[[#This Row],[EffAge]]*Lookups!$B$65</f>
        <v>-2174.8220000000001</v>
      </c>
      <c r="AV974" s="30">
        <f>Inventory[[#This Row],[MainFn]]*Lookups!$B$90</f>
        <v>106472.10828</v>
      </c>
      <c r="AW974" s="30">
        <f>Inventory[[#This Row],[UpprFn]]*Lookups!$B$91</f>
        <v>0</v>
      </c>
      <c r="AX974" s="30">
        <f>Inventory[[#This Row],[Bsmt Area]]*Lookups!$B$95</f>
        <v>0</v>
      </c>
      <c r="AY974" s="30">
        <f>Inventory[[#This Row],[AttGar]]*Lookups!$B$93</f>
        <v>16450.280446000001</v>
      </c>
      <c r="AZ974" s="30">
        <f>ROUND(Inventory[[#This Row],[25Det]],-2)</f>
        <v>0</v>
      </c>
      <c r="BA974" s="30">
        <f>ROUND(SUM(Inventory[[#This Row],[Mdl Qlty]:[Mdl Garage Area]])+Inventory[[#This Row],[Mdl Res Intercept]],-2)</f>
        <v>336600</v>
      </c>
      <c r="BB974" s="30">
        <f>ROUND(Inventory[[#This Row],[Mdl Land Intercept]]+Inventory[[#This Row],[Mdl LnAcres]],-2)</f>
        <v>64300</v>
      </c>
      <c r="BC974" s="30">
        <f>Inventory[[#This Row],[Unadj Res Value]]+Inventory[[#This Row],[Unadj Det Value]]+Inventory[[#This Row],[Unadj Land Value]]</f>
        <v>400900</v>
      </c>
      <c r="BD974" s="30">
        <f>(Inventory[[#This Row],[Unadj Total Value]]-Inventory[[#This Row],[24Final]])/Inventory[[#This Row],[24Final]]</f>
        <v>5.2507219742714627E-2</v>
      </c>
      <c r="BE974" s="30">
        <f>VLOOKUP(Inventory[[#This Row],[Nbhd]],Lookups!$M$3:$P$5,4,FALSE)</f>
        <v>0.99970000000000003</v>
      </c>
      <c r="BF974" s="30">
        <f>VLOOKUP(Inventory[[#This Row],[Qlty]],Lookups!$M$8:$P$22,4,FALSE)</f>
        <v>1.0019</v>
      </c>
      <c r="BG974" s="30">
        <f>VLOOKUP(Inventory[[#This Row],[Cnd]],Lookups!$R$8:$U$17,4,FALSE)</f>
        <v>1.0007999999999999</v>
      </c>
      <c r="BH974" s="30">
        <f>VLOOKUP(Inventory[[#This Row],[LivArea Range]],Lookups!$R$25:$U$43,4,FALSE)</f>
        <v>1.0007999999999999</v>
      </c>
      <c r="BI974" s="30">
        <f>VLOOKUP(Inventory[[#This Row],[Decade]],Lookups!$M$24:$P$40,4,FALSE)</f>
        <v>0.99560000000000004</v>
      </c>
      <c r="BJ974" s="30">
        <f>Inventory[[#This Row],[Nbhd Adj]]*0.95</f>
        <v>0.94971499999999998</v>
      </c>
      <c r="BK974" s="30">
        <f>AVERAGE(Inventory[[#This Row],[Nbhd Adj]],Inventory[[#This Row],[Quality Adj]],Inventory[[#This Row],[Condition Adj]],Inventory[[#This Row],[Living Area Adj]],Inventory[[#This Row],[Decade Adj]])*0.95</f>
        <v>0.94977199999999984</v>
      </c>
      <c r="BL974" s="30">
        <f>ROUND((SUM(Inventory[[#This Row],[Mdl Qlty]:[Mdl Garage Area]])+Inventory[[#This Row],[Mdl Res Intercept]])*Inventory[[#This Row],[Res Adj ]],-2)</f>
        <v>319700</v>
      </c>
      <c r="BM974" s="30">
        <f>ROUND(Inventory[[#This Row],[25Det]]*Inventory[[#This Row],[Det/Nbhd Adj]],-2)</f>
        <v>0</v>
      </c>
      <c r="BN974" s="30">
        <f>Inventory[[#This Row],[Adjusted Res]]+Inventory[[#This Row],[Adj Det ]]</f>
        <v>319700</v>
      </c>
      <c r="BO974" s="30">
        <f>ROUND((Inventory[[#This Row],[Mdl Land Intercept]]+Inventory[[#This Row],[Mdl LnAcres]])*Inventory[[#This Row],[Det/Nbhd Adj]],-2)</f>
        <v>61100</v>
      </c>
      <c r="BP974" s="30">
        <f>Inventory[[#This Row],[Adjusted Impr Total]]+Inventory[[#This Row],[Adjusted Land Total]]</f>
        <v>380800</v>
      </c>
      <c r="BQ974" s="30">
        <f>IFERROR((Inventory[[#This Row],[Adjusted Impr Total]]-Inventory[[#This Row],[24Bldg]])/Inventory[[#This Row],[24Bldg]],0)</f>
        <v>-1.2496094970321774E-3</v>
      </c>
      <c r="BR974" s="43">
        <f>(Inventory[[#This Row],[Adjusted Land Total]]-Inventory[[#This Row],[24Lnd]])/Inventory[[#This Row],[24Lnd]]</f>
        <v>4.9342105263157892E-3</v>
      </c>
      <c r="BS974" s="43">
        <f>(Inventory[[#This Row],[Adjusted Total]]-Inventory[[#This Row],[24Final]])/Inventory[[#This Row],[24Final]]</f>
        <v>-2.6253609871357313E-4</v>
      </c>
    </row>
    <row r="975" spans="1:71">
      <c r="A975" s="30">
        <v>2025</v>
      </c>
      <c r="B975" s="31" t="s">
        <v>1490</v>
      </c>
      <c r="C975" s="31">
        <f>LN(Inventory[[#This Row],[Acres]])</f>
        <v>-1.8325814637483102</v>
      </c>
      <c r="D975" s="30">
        <v>0.16</v>
      </c>
      <c r="E975" s="30">
        <v>7013</v>
      </c>
      <c r="F975" s="31" t="s">
        <v>505</v>
      </c>
      <c r="G975" s="31" t="s">
        <v>155</v>
      </c>
      <c r="H975" s="31" t="s">
        <v>5</v>
      </c>
      <c r="I975" s="31" t="s">
        <v>506</v>
      </c>
      <c r="J975" s="31" t="s">
        <v>507</v>
      </c>
      <c r="K975" s="31" t="s">
        <v>157</v>
      </c>
      <c r="L975" s="31" t="s">
        <v>21</v>
      </c>
      <c r="M975" s="31" t="s">
        <v>22</v>
      </c>
      <c r="N975" s="31">
        <v>20</v>
      </c>
      <c r="O975" s="31">
        <f>2024-Inventory[[#This Row],[YrBlt]]</f>
        <v>20</v>
      </c>
      <c r="P975" s="31">
        <f>2024-Inventory[[#This Row],[EffYr]]</f>
        <v>20</v>
      </c>
      <c r="Q975" s="30">
        <v>2004</v>
      </c>
      <c r="R975" s="30">
        <v>2004</v>
      </c>
      <c r="S975" s="30">
        <v>1706</v>
      </c>
      <c r="T975" s="32"/>
      <c r="U975" s="32"/>
      <c r="V975" s="32"/>
      <c r="W975" s="32"/>
      <c r="X975" s="32">
        <f>Inventory[[#This Row],[Bsmt Area]]-Inventory[[#This Row],[FnBsmt]]</f>
        <v>0</v>
      </c>
      <c r="Y975" s="32">
        <f>Inventory[[#This Row],[MainFn]]+Inventory[[#This Row],[UpprFn]]+Inventory[[#This Row],[AddFn]]+Inventory[[#This Row],[FnBsmt]]</f>
        <v>1706</v>
      </c>
      <c r="Z975" s="32">
        <v>2000</v>
      </c>
      <c r="AA975" s="31" t="s">
        <v>56</v>
      </c>
      <c r="AB975" s="38">
        <v>1</v>
      </c>
      <c r="AC975" s="30">
        <v>466</v>
      </c>
      <c r="AD975" s="32"/>
      <c r="AE975" s="32"/>
      <c r="AF975" s="32"/>
      <c r="AG975" s="32"/>
      <c r="AH975" s="32"/>
      <c r="AI975" s="30">
        <v>393349</v>
      </c>
      <c r="AJ975" s="30">
        <v>361881</v>
      </c>
      <c r="AK975" s="30">
        <v>0</v>
      </c>
      <c r="AL975" s="30">
        <v>0</v>
      </c>
      <c r="AM975" s="30">
        <v>60800</v>
      </c>
      <c r="AN975" s="30">
        <v>320100</v>
      </c>
      <c r="AO975" s="30">
        <v>380900</v>
      </c>
      <c r="AP975" s="30">
        <f>Lookups!$B$58*0.6</f>
        <v>132535.48800000001</v>
      </c>
      <c r="AQ975" s="30">
        <f>Lookups!$B$58*0.4</f>
        <v>88356.992000000013</v>
      </c>
      <c r="AR975" s="30">
        <f>Lookups!$B$59*Inventory[[#This Row],[LnAcres]]</f>
        <v>-24051.387388882686</v>
      </c>
      <c r="AS975" s="30">
        <f>VLOOKUP(Inventory[[#This Row],[Qlty]],Lookups!$A$66:$E$79,2,FALSE)</f>
        <v>32917.849192000001</v>
      </c>
      <c r="AT975" s="30">
        <f>VLOOKUP(Inventory[[#This Row],[Cnd]],Lookups!$A$80:$E$88,2,FALSE)</f>
        <v>50438.379078999998</v>
      </c>
      <c r="AU975" s="30">
        <f>Inventory[[#This Row],[EffAge]]*Lookups!$B$65</f>
        <v>-2174.8220000000001</v>
      </c>
      <c r="AV975" s="30">
        <f>Inventory[[#This Row],[MainFn]]*Lookups!$B$90</f>
        <v>106472.10828</v>
      </c>
      <c r="AW975" s="30">
        <f>Inventory[[#This Row],[UpprFn]]*Lookups!$B$91</f>
        <v>0</v>
      </c>
      <c r="AX975" s="30">
        <f>Inventory[[#This Row],[Bsmt Area]]*Lookups!$B$95</f>
        <v>0</v>
      </c>
      <c r="AY975" s="30">
        <f>Inventory[[#This Row],[AttGar]]*Lookups!$B$93</f>
        <v>16450.280446000001</v>
      </c>
      <c r="AZ975" s="30">
        <f>ROUND(Inventory[[#This Row],[25Det]],-2)</f>
        <v>0</v>
      </c>
      <c r="BA975" s="30">
        <f>ROUND(SUM(Inventory[[#This Row],[Mdl Qlty]:[Mdl Garage Area]])+Inventory[[#This Row],[Mdl Res Intercept]],-2)</f>
        <v>336600</v>
      </c>
      <c r="BB975" s="30">
        <f>ROUND(Inventory[[#This Row],[Mdl Land Intercept]]+Inventory[[#This Row],[Mdl LnAcres]],-2)</f>
        <v>64300</v>
      </c>
      <c r="BC975" s="30">
        <f>Inventory[[#This Row],[Unadj Res Value]]+Inventory[[#This Row],[Unadj Det Value]]+Inventory[[#This Row],[Unadj Land Value]]</f>
        <v>400900</v>
      </c>
      <c r="BD975" s="30">
        <f>(Inventory[[#This Row],[Unadj Total Value]]-Inventory[[#This Row],[24Final]])/Inventory[[#This Row],[24Final]]</f>
        <v>5.2507219742714627E-2</v>
      </c>
      <c r="BE975" s="30">
        <f>VLOOKUP(Inventory[[#This Row],[Nbhd]],Lookups!$M$3:$P$5,4,FALSE)</f>
        <v>0.99970000000000003</v>
      </c>
      <c r="BF975" s="30">
        <f>VLOOKUP(Inventory[[#This Row],[Qlty]],Lookups!$M$8:$P$22,4,FALSE)</f>
        <v>1.0019</v>
      </c>
      <c r="BG975" s="30">
        <f>VLOOKUP(Inventory[[#This Row],[Cnd]],Lookups!$R$8:$U$17,4,FALSE)</f>
        <v>1.0007999999999999</v>
      </c>
      <c r="BH975" s="30">
        <f>VLOOKUP(Inventory[[#This Row],[LivArea Range]],Lookups!$R$25:$U$43,4,FALSE)</f>
        <v>1.0007999999999999</v>
      </c>
      <c r="BI975" s="30">
        <f>VLOOKUP(Inventory[[#This Row],[Decade]],Lookups!$M$24:$P$40,4,FALSE)</f>
        <v>0.99560000000000004</v>
      </c>
      <c r="BJ975" s="30">
        <f>Inventory[[#This Row],[Nbhd Adj]]*0.95</f>
        <v>0.94971499999999998</v>
      </c>
      <c r="BK975" s="30">
        <f>AVERAGE(Inventory[[#This Row],[Nbhd Adj]],Inventory[[#This Row],[Quality Adj]],Inventory[[#This Row],[Condition Adj]],Inventory[[#This Row],[Living Area Adj]],Inventory[[#This Row],[Decade Adj]])*0.95</f>
        <v>0.94977199999999984</v>
      </c>
      <c r="BL975" s="30">
        <f>ROUND((SUM(Inventory[[#This Row],[Mdl Qlty]:[Mdl Garage Area]])+Inventory[[#This Row],[Mdl Res Intercept]])*Inventory[[#This Row],[Res Adj ]],-2)</f>
        <v>319700</v>
      </c>
      <c r="BM975" s="30">
        <f>ROUND(Inventory[[#This Row],[25Det]]*Inventory[[#This Row],[Det/Nbhd Adj]],-2)</f>
        <v>0</v>
      </c>
      <c r="BN975" s="30">
        <f>Inventory[[#This Row],[Adjusted Res]]+Inventory[[#This Row],[Adj Det ]]</f>
        <v>319700</v>
      </c>
      <c r="BO975" s="30">
        <f>ROUND((Inventory[[#This Row],[Mdl Land Intercept]]+Inventory[[#This Row],[Mdl LnAcres]])*Inventory[[#This Row],[Det/Nbhd Adj]],-2)</f>
        <v>61100</v>
      </c>
      <c r="BP975" s="30">
        <f>Inventory[[#This Row],[Adjusted Impr Total]]+Inventory[[#This Row],[Adjusted Land Total]]</f>
        <v>380800</v>
      </c>
      <c r="BQ975" s="30">
        <f>IFERROR((Inventory[[#This Row],[Adjusted Impr Total]]-Inventory[[#This Row],[24Bldg]])/Inventory[[#This Row],[24Bldg]],0)</f>
        <v>-1.2496094970321774E-3</v>
      </c>
      <c r="BR975" s="43">
        <f>(Inventory[[#This Row],[Adjusted Land Total]]-Inventory[[#This Row],[24Lnd]])/Inventory[[#This Row],[24Lnd]]</f>
        <v>4.9342105263157892E-3</v>
      </c>
      <c r="BS975" s="43">
        <f>(Inventory[[#This Row],[Adjusted Total]]-Inventory[[#This Row],[24Final]])/Inventory[[#This Row],[24Final]]</f>
        <v>-2.6253609871357313E-4</v>
      </c>
    </row>
    <row r="976" spans="1:71">
      <c r="A976" s="30">
        <v>2025</v>
      </c>
      <c r="B976" s="31" t="s">
        <v>1491</v>
      </c>
      <c r="C976" s="31">
        <f>LN(Inventory[[#This Row],[Acres]])</f>
        <v>-1.8325814637483102</v>
      </c>
      <c r="D976" s="30">
        <v>0.16</v>
      </c>
      <c r="E976" s="30">
        <v>7018</v>
      </c>
      <c r="F976" s="31" t="s">
        <v>505</v>
      </c>
      <c r="G976" s="31" t="s">
        <v>155</v>
      </c>
      <c r="H976" s="31" t="s">
        <v>5</v>
      </c>
      <c r="I976" s="31" t="s">
        <v>506</v>
      </c>
      <c r="J976" s="31" t="s">
        <v>507</v>
      </c>
      <c r="K976" s="31" t="s">
        <v>193</v>
      </c>
      <c r="L976" s="31" t="s">
        <v>21</v>
      </c>
      <c r="M976" s="31" t="s">
        <v>22</v>
      </c>
      <c r="N976" s="31">
        <v>20</v>
      </c>
      <c r="O976" s="31">
        <f>2024-Inventory[[#This Row],[YrBlt]]</f>
        <v>20</v>
      </c>
      <c r="P976" s="31">
        <f>2024-Inventory[[#This Row],[EffYr]]</f>
        <v>20</v>
      </c>
      <c r="Q976" s="30">
        <v>2004</v>
      </c>
      <c r="R976" s="30">
        <v>2004</v>
      </c>
      <c r="S976" s="30">
        <v>1706</v>
      </c>
      <c r="T976" s="32"/>
      <c r="U976" s="32"/>
      <c r="V976" s="32"/>
      <c r="W976" s="32"/>
      <c r="X976" s="32">
        <f>Inventory[[#This Row],[Bsmt Area]]-Inventory[[#This Row],[FnBsmt]]</f>
        <v>0</v>
      </c>
      <c r="Y976" s="32">
        <f>Inventory[[#This Row],[MainFn]]+Inventory[[#This Row],[UpprFn]]+Inventory[[#This Row],[AddFn]]+Inventory[[#This Row],[FnBsmt]]</f>
        <v>1706</v>
      </c>
      <c r="Z976" s="32">
        <v>2000</v>
      </c>
      <c r="AA976" s="31" t="s">
        <v>56</v>
      </c>
      <c r="AB976" s="37"/>
      <c r="AC976" s="30">
        <v>466</v>
      </c>
      <c r="AD976" s="32"/>
      <c r="AE976" s="32"/>
      <c r="AF976" s="32"/>
      <c r="AG976" s="32"/>
      <c r="AH976" s="32"/>
      <c r="AI976" s="30">
        <v>377535</v>
      </c>
      <c r="AJ976" s="30">
        <v>347332</v>
      </c>
      <c r="AK976" s="30">
        <v>0</v>
      </c>
      <c r="AL976" s="30">
        <v>0</v>
      </c>
      <c r="AM976" s="30">
        <v>60800</v>
      </c>
      <c r="AN976" s="30">
        <v>320100</v>
      </c>
      <c r="AO976" s="30">
        <v>380900</v>
      </c>
      <c r="AP976" s="30">
        <f>Lookups!$B$58*0.6</f>
        <v>132535.48800000001</v>
      </c>
      <c r="AQ976" s="30">
        <f>Lookups!$B$58*0.4</f>
        <v>88356.992000000013</v>
      </c>
      <c r="AR976" s="30">
        <f>Lookups!$B$59*Inventory[[#This Row],[LnAcres]]</f>
        <v>-24051.387388882686</v>
      </c>
      <c r="AS976" s="30">
        <f>VLOOKUP(Inventory[[#This Row],[Qlty]],Lookups!$A$66:$E$79,2,FALSE)</f>
        <v>32917.849192000001</v>
      </c>
      <c r="AT976" s="30">
        <f>VLOOKUP(Inventory[[#This Row],[Cnd]],Lookups!$A$80:$E$88,2,FALSE)</f>
        <v>50438.379078999998</v>
      </c>
      <c r="AU976" s="30">
        <f>Inventory[[#This Row],[EffAge]]*Lookups!$B$65</f>
        <v>-2174.8220000000001</v>
      </c>
      <c r="AV976" s="30">
        <f>Inventory[[#This Row],[MainFn]]*Lookups!$B$90</f>
        <v>106472.10828</v>
      </c>
      <c r="AW976" s="30">
        <f>Inventory[[#This Row],[UpprFn]]*Lookups!$B$91</f>
        <v>0</v>
      </c>
      <c r="AX976" s="30">
        <f>Inventory[[#This Row],[Bsmt Area]]*Lookups!$B$95</f>
        <v>0</v>
      </c>
      <c r="AY976" s="30">
        <f>Inventory[[#This Row],[AttGar]]*Lookups!$B$93</f>
        <v>16450.280446000001</v>
      </c>
      <c r="AZ976" s="30">
        <f>ROUND(Inventory[[#This Row],[25Det]],-2)</f>
        <v>0</v>
      </c>
      <c r="BA976" s="30">
        <f>ROUND(SUM(Inventory[[#This Row],[Mdl Qlty]:[Mdl Garage Area]])+Inventory[[#This Row],[Mdl Res Intercept]],-2)</f>
        <v>336600</v>
      </c>
      <c r="BB976" s="30">
        <f>ROUND(Inventory[[#This Row],[Mdl Land Intercept]]+Inventory[[#This Row],[Mdl LnAcres]],-2)</f>
        <v>64300</v>
      </c>
      <c r="BC976" s="30">
        <f>Inventory[[#This Row],[Unadj Res Value]]+Inventory[[#This Row],[Unadj Det Value]]+Inventory[[#This Row],[Unadj Land Value]]</f>
        <v>400900</v>
      </c>
      <c r="BD976" s="30">
        <f>(Inventory[[#This Row],[Unadj Total Value]]-Inventory[[#This Row],[24Final]])/Inventory[[#This Row],[24Final]]</f>
        <v>5.2507219742714627E-2</v>
      </c>
      <c r="BE976" s="30">
        <f>VLOOKUP(Inventory[[#This Row],[Nbhd]],Lookups!$M$3:$P$5,4,FALSE)</f>
        <v>0.99970000000000003</v>
      </c>
      <c r="BF976" s="30">
        <f>VLOOKUP(Inventory[[#This Row],[Qlty]],Lookups!$M$8:$P$22,4,FALSE)</f>
        <v>1.0019</v>
      </c>
      <c r="BG976" s="30">
        <f>VLOOKUP(Inventory[[#This Row],[Cnd]],Lookups!$R$8:$U$17,4,FALSE)</f>
        <v>1.0007999999999999</v>
      </c>
      <c r="BH976" s="30">
        <f>VLOOKUP(Inventory[[#This Row],[LivArea Range]],Lookups!$R$25:$U$43,4,FALSE)</f>
        <v>1.0007999999999999</v>
      </c>
      <c r="BI976" s="30">
        <f>VLOOKUP(Inventory[[#This Row],[Decade]],Lookups!$M$24:$P$40,4,FALSE)</f>
        <v>0.99560000000000004</v>
      </c>
      <c r="BJ976" s="30">
        <f>Inventory[[#This Row],[Nbhd Adj]]*0.95</f>
        <v>0.94971499999999998</v>
      </c>
      <c r="BK976" s="30">
        <f>AVERAGE(Inventory[[#This Row],[Nbhd Adj]],Inventory[[#This Row],[Quality Adj]],Inventory[[#This Row],[Condition Adj]],Inventory[[#This Row],[Living Area Adj]],Inventory[[#This Row],[Decade Adj]])*0.95</f>
        <v>0.94977199999999984</v>
      </c>
      <c r="BL976" s="30">
        <f>ROUND((SUM(Inventory[[#This Row],[Mdl Qlty]:[Mdl Garage Area]])+Inventory[[#This Row],[Mdl Res Intercept]])*Inventory[[#This Row],[Res Adj ]],-2)</f>
        <v>319700</v>
      </c>
      <c r="BM976" s="30">
        <f>ROUND(Inventory[[#This Row],[25Det]]*Inventory[[#This Row],[Det/Nbhd Adj]],-2)</f>
        <v>0</v>
      </c>
      <c r="BN976" s="30">
        <f>Inventory[[#This Row],[Adjusted Res]]+Inventory[[#This Row],[Adj Det ]]</f>
        <v>319700</v>
      </c>
      <c r="BO976" s="30">
        <f>ROUND((Inventory[[#This Row],[Mdl Land Intercept]]+Inventory[[#This Row],[Mdl LnAcres]])*Inventory[[#This Row],[Det/Nbhd Adj]],-2)</f>
        <v>61100</v>
      </c>
      <c r="BP976" s="30">
        <f>Inventory[[#This Row],[Adjusted Impr Total]]+Inventory[[#This Row],[Adjusted Land Total]]</f>
        <v>380800</v>
      </c>
      <c r="BQ976" s="30">
        <f>IFERROR((Inventory[[#This Row],[Adjusted Impr Total]]-Inventory[[#This Row],[24Bldg]])/Inventory[[#This Row],[24Bldg]],0)</f>
        <v>-1.2496094970321774E-3</v>
      </c>
      <c r="BR976" s="43">
        <f>(Inventory[[#This Row],[Adjusted Land Total]]-Inventory[[#This Row],[24Lnd]])/Inventory[[#This Row],[24Lnd]]</f>
        <v>4.9342105263157892E-3</v>
      </c>
      <c r="BS976" s="43">
        <f>(Inventory[[#This Row],[Adjusted Total]]-Inventory[[#This Row],[24Final]])/Inventory[[#This Row],[24Final]]</f>
        <v>-2.6253609871357313E-4</v>
      </c>
    </row>
    <row r="977" spans="1:71">
      <c r="A977" s="30">
        <v>2025</v>
      </c>
      <c r="B977" s="31" t="s">
        <v>1492</v>
      </c>
      <c r="C977" s="31">
        <f>LN(Inventory[[#This Row],[Acres]])</f>
        <v>-1.8325814637483102</v>
      </c>
      <c r="D977" s="30">
        <v>0.16</v>
      </c>
      <c r="E977" s="30">
        <v>7017</v>
      </c>
      <c r="F977" s="31" t="s">
        <v>505</v>
      </c>
      <c r="G977" s="31" t="s">
        <v>155</v>
      </c>
      <c r="H977" s="31" t="s">
        <v>5</v>
      </c>
      <c r="I977" s="31" t="s">
        <v>506</v>
      </c>
      <c r="J977" s="31" t="s">
        <v>507</v>
      </c>
      <c r="K977" s="31" t="s">
        <v>193</v>
      </c>
      <c r="L977" s="31" t="s">
        <v>21</v>
      </c>
      <c r="M977" s="31" t="s">
        <v>22</v>
      </c>
      <c r="N977" s="31">
        <v>20</v>
      </c>
      <c r="O977" s="31">
        <f>2024-Inventory[[#This Row],[YrBlt]]</f>
        <v>20</v>
      </c>
      <c r="P977" s="31">
        <f>2024-Inventory[[#This Row],[EffYr]]</f>
        <v>20</v>
      </c>
      <c r="Q977" s="30">
        <v>2004</v>
      </c>
      <c r="R977" s="30">
        <v>2004</v>
      </c>
      <c r="S977" s="30">
        <v>1706</v>
      </c>
      <c r="T977" s="32"/>
      <c r="U977" s="32"/>
      <c r="V977" s="32"/>
      <c r="W977" s="32"/>
      <c r="X977" s="32">
        <f>Inventory[[#This Row],[Bsmt Area]]-Inventory[[#This Row],[FnBsmt]]</f>
        <v>0</v>
      </c>
      <c r="Y977" s="32">
        <f>Inventory[[#This Row],[MainFn]]+Inventory[[#This Row],[UpprFn]]+Inventory[[#This Row],[AddFn]]+Inventory[[#This Row],[FnBsmt]]</f>
        <v>1706</v>
      </c>
      <c r="Z977" s="32">
        <v>2000</v>
      </c>
      <c r="AA977" s="31" t="s">
        <v>56</v>
      </c>
      <c r="AB977" s="30">
        <v>1</v>
      </c>
      <c r="AC977" s="30">
        <v>466</v>
      </c>
      <c r="AD977" s="32"/>
      <c r="AE977" s="32"/>
      <c r="AF977" s="32"/>
      <c r="AG977" s="32"/>
      <c r="AH977" s="32"/>
      <c r="AI977" s="30">
        <v>375962</v>
      </c>
      <c r="AJ977" s="30">
        <v>345885</v>
      </c>
      <c r="AK977" s="30">
        <v>0</v>
      </c>
      <c r="AL977" s="30">
        <v>0</v>
      </c>
      <c r="AM977" s="30">
        <v>60800</v>
      </c>
      <c r="AN977" s="30">
        <v>316800</v>
      </c>
      <c r="AO977" s="30">
        <v>377600</v>
      </c>
      <c r="AP977" s="30">
        <f>Lookups!$B$58*0.6</f>
        <v>132535.48800000001</v>
      </c>
      <c r="AQ977" s="30">
        <f>Lookups!$B$58*0.4</f>
        <v>88356.992000000013</v>
      </c>
      <c r="AR977" s="30">
        <f>Lookups!$B$59*Inventory[[#This Row],[LnAcres]]</f>
        <v>-24051.387388882686</v>
      </c>
      <c r="AS977" s="30">
        <f>VLOOKUP(Inventory[[#This Row],[Qlty]],Lookups!$A$66:$E$79,2,FALSE)</f>
        <v>32917.849192000001</v>
      </c>
      <c r="AT977" s="30">
        <f>VLOOKUP(Inventory[[#This Row],[Cnd]],Lookups!$A$80:$E$88,2,FALSE)</f>
        <v>50438.379078999998</v>
      </c>
      <c r="AU977" s="30">
        <f>Inventory[[#This Row],[EffAge]]*Lookups!$B$65</f>
        <v>-2174.8220000000001</v>
      </c>
      <c r="AV977" s="30">
        <f>Inventory[[#This Row],[MainFn]]*Lookups!$B$90</f>
        <v>106472.10828</v>
      </c>
      <c r="AW977" s="30">
        <f>Inventory[[#This Row],[UpprFn]]*Lookups!$B$91</f>
        <v>0</v>
      </c>
      <c r="AX977" s="30">
        <f>Inventory[[#This Row],[Bsmt Area]]*Lookups!$B$95</f>
        <v>0</v>
      </c>
      <c r="AY977" s="30">
        <f>Inventory[[#This Row],[AttGar]]*Lookups!$B$93</f>
        <v>16450.280446000001</v>
      </c>
      <c r="AZ977" s="30">
        <f>ROUND(Inventory[[#This Row],[25Det]],-2)</f>
        <v>0</v>
      </c>
      <c r="BA977" s="30">
        <f>ROUND(SUM(Inventory[[#This Row],[Mdl Qlty]:[Mdl Garage Area]])+Inventory[[#This Row],[Mdl Res Intercept]],-2)</f>
        <v>336600</v>
      </c>
      <c r="BB977" s="30">
        <f>ROUND(Inventory[[#This Row],[Mdl Land Intercept]]+Inventory[[#This Row],[Mdl LnAcres]],-2)</f>
        <v>64300</v>
      </c>
      <c r="BC977" s="30">
        <f>Inventory[[#This Row],[Unadj Res Value]]+Inventory[[#This Row],[Unadj Det Value]]+Inventory[[#This Row],[Unadj Land Value]]</f>
        <v>400900</v>
      </c>
      <c r="BD977" s="30">
        <f>(Inventory[[#This Row],[Unadj Total Value]]-Inventory[[#This Row],[24Final]])/Inventory[[#This Row],[24Final]]</f>
        <v>6.1705508474576273E-2</v>
      </c>
      <c r="BE977" s="30">
        <f>VLOOKUP(Inventory[[#This Row],[Nbhd]],Lookups!$M$3:$P$5,4,FALSE)</f>
        <v>0.99970000000000003</v>
      </c>
      <c r="BF977" s="30">
        <f>VLOOKUP(Inventory[[#This Row],[Qlty]],Lookups!$M$8:$P$22,4,FALSE)</f>
        <v>1.0019</v>
      </c>
      <c r="BG977" s="30">
        <f>VLOOKUP(Inventory[[#This Row],[Cnd]],Lookups!$R$8:$U$17,4,FALSE)</f>
        <v>1.0007999999999999</v>
      </c>
      <c r="BH977" s="30">
        <f>VLOOKUP(Inventory[[#This Row],[LivArea Range]],Lookups!$R$25:$U$43,4,FALSE)</f>
        <v>1.0007999999999999</v>
      </c>
      <c r="BI977" s="30">
        <f>VLOOKUP(Inventory[[#This Row],[Decade]],Lookups!$M$24:$P$40,4,FALSE)</f>
        <v>0.99560000000000004</v>
      </c>
      <c r="BJ977" s="30">
        <f>Inventory[[#This Row],[Nbhd Adj]]*0.95</f>
        <v>0.94971499999999998</v>
      </c>
      <c r="BK977" s="30">
        <f>AVERAGE(Inventory[[#This Row],[Nbhd Adj]],Inventory[[#This Row],[Quality Adj]],Inventory[[#This Row],[Condition Adj]],Inventory[[#This Row],[Living Area Adj]],Inventory[[#This Row],[Decade Adj]])*0.95</f>
        <v>0.94977199999999984</v>
      </c>
      <c r="BL977" s="30">
        <f>ROUND((SUM(Inventory[[#This Row],[Mdl Qlty]:[Mdl Garage Area]])+Inventory[[#This Row],[Mdl Res Intercept]])*Inventory[[#This Row],[Res Adj ]],-2)</f>
        <v>319700</v>
      </c>
      <c r="BM977" s="30">
        <f>ROUND(Inventory[[#This Row],[25Det]]*Inventory[[#This Row],[Det/Nbhd Adj]],-2)</f>
        <v>0</v>
      </c>
      <c r="BN977" s="30">
        <f>Inventory[[#This Row],[Adjusted Res]]+Inventory[[#This Row],[Adj Det ]]</f>
        <v>319700</v>
      </c>
      <c r="BO977" s="30">
        <f>ROUND((Inventory[[#This Row],[Mdl Land Intercept]]+Inventory[[#This Row],[Mdl LnAcres]])*Inventory[[#This Row],[Det/Nbhd Adj]],-2)</f>
        <v>61100</v>
      </c>
      <c r="BP977" s="30">
        <f>Inventory[[#This Row],[Adjusted Impr Total]]+Inventory[[#This Row],[Adjusted Land Total]]</f>
        <v>380800</v>
      </c>
      <c r="BQ977" s="30">
        <f>IFERROR((Inventory[[#This Row],[Adjusted Impr Total]]-Inventory[[#This Row],[24Bldg]])/Inventory[[#This Row],[24Bldg]],0)</f>
        <v>9.154040404040404E-3</v>
      </c>
      <c r="BR977" s="43">
        <f>(Inventory[[#This Row],[Adjusted Land Total]]-Inventory[[#This Row],[24Lnd]])/Inventory[[#This Row],[24Lnd]]</f>
        <v>4.9342105263157892E-3</v>
      </c>
      <c r="BS977" s="43">
        <f>(Inventory[[#This Row],[Adjusted Total]]-Inventory[[#This Row],[24Final]])/Inventory[[#This Row],[24Final]]</f>
        <v>8.4745762711864406E-3</v>
      </c>
    </row>
    <row r="978" spans="1:71">
      <c r="A978" s="30">
        <v>2025</v>
      </c>
      <c r="B978" s="31" t="s">
        <v>1493</v>
      </c>
      <c r="C978" s="31">
        <f>LN(Inventory[[#This Row],[Acres]])</f>
        <v>-1.7719568419318752</v>
      </c>
      <c r="D978" s="30">
        <v>0.17</v>
      </c>
      <c r="E978" s="30">
        <v>7205</v>
      </c>
      <c r="F978" s="31" t="s">
        <v>505</v>
      </c>
      <c r="G978" s="31" t="s">
        <v>155</v>
      </c>
      <c r="H978" s="31" t="s">
        <v>5</v>
      </c>
      <c r="I978" s="31" t="s">
        <v>506</v>
      </c>
      <c r="J978" s="31" t="s">
        <v>507</v>
      </c>
      <c r="K978" s="31" t="s">
        <v>157</v>
      </c>
      <c r="L978" s="31" t="s">
        <v>21</v>
      </c>
      <c r="M978" s="31" t="s">
        <v>22</v>
      </c>
      <c r="N978" s="31">
        <v>20</v>
      </c>
      <c r="O978" s="31">
        <f>2024-Inventory[[#This Row],[YrBlt]]</f>
        <v>20</v>
      </c>
      <c r="P978" s="31">
        <f>2024-Inventory[[#This Row],[EffYr]]</f>
        <v>20</v>
      </c>
      <c r="Q978" s="30">
        <v>2004</v>
      </c>
      <c r="R978" s="30">
        <v>2004</v>
      </c>
      <c r="S978" s="30">
        <v>1158</v>
      </c>
      <c r="T978" s="38">
        <v>1322</v>
      </c>
      <c r="U978" s="32"/>
      <c r="V978" s="32"/>
      <c r="W978" s="32"/>
      <c r="X978" s="32">
        <f>Inventory[[#This Row],[Bsmt Area]]-Inventory[[#This Row],[FnBsmt]]</f>
        <v>0</v>
      </c>
      <c r="Y978" s="32">
        <f>Inventory[[#This Row],[MainFn]]+Inventory[[#This Row],[UpprFn]]+Inventory[[#This Row],[AddFn]]+Inventory[[#This Row],[FnBsmt]]</f>
        <v>2480</v>
      </c>
      <c r="Z978" s="32">
        <v>2500</v>
      </c>
      <c r="AA978" s="31" t="s">
        <v>57</v>
      </c>
      <c r="AB978" s="32"/>
      <c r="AC978" s="30">
        <v>300</v>
      </c>
      <c r="AD978" s="38">
        <v>502</v>
      </c>
      <c r="AE978" s="32"/>
      <c r="AF978" s="32"/>
      <c r="AG978" s="32"/>
      <c r="AH978" s="32"/>
      <c r="AI978" s="30">
        <v>509763</v>
      </c>
      <c r="AJ978" s="30">
        <v>468982</v>
      </c>
      <c r="AK978" s="30">
        <v>0</v>
      </c>
      <c r="AL978" s="30">
        <v>0</v>
      </c>
      <c r="AM978" s="30">
        <v>61700</v>
      </c>
      <c r="AN978" s="30">
        <v>378800</v>
      </c>
      <c r="AO978" s="30">
        <v>440500</v>
      </c>
      <c r="AP978" s="30">
        <f>Lookups!$B$58*0.6</f>
        <v>132535.48800000001</v>
      </c>
      <c r="AQ978" s="30">
        <f>Lookups!$B$58*0.4</f>
        <v>88356.992000000013</v>
      </c>
      <c r="AR978" s="30">
        <f>Lookups!$B$59*Inventory[[#This Row],[LnAcres]]</f>
        <v>-23255.730391660189</v>
      </c>
      <c r="AS978" s="30">
        <f>VLOOKUP(Inventory[[#This Row],[Qlty]],Lookups!$A$66:$E$79,2,FALSE)</f>
        <v>32917.849192000001</v>
      </c>
      <c r="AT978" s="30">
        <f>VLOOKUP(Inventory[[#This Row],[Cnd]],Lookups!$A$80:$E$88,2,FALSE)</f>
        <v>50438.379078999998</v>
      </c>
      <c r="AU978" s="30">
        <f>Inventory[[#This Row],[EffAge]]*Lookups!$B$65</f>
        <v>-2174.8220000000001</v>
      </c>
      <c r="AV978" s="30">
        <f>Inventory[[#This Row],[MainFn]]*Lookups!$B$90</f>
        <v>72271.22004</v>
      </c>
      <c r="AW978" s="30">
        <f>Inventory[[#This Row],[UpprFn]]*Lookups!$B$91</f>
        <v>78765.266325999997</v>
      </c>
      <c r="AX978" s="30">
        <f>Inventory[[#This Row],[Bsmt Area]]*Lookups!$B$95</f>
        <v>0</v>
      </c>
      <c r="AY978" s="30">
        <f>Inventory[[#This Row],[AttGar]]*Lookups!$B$93</f>
        <v>10590.309300000001</v>
      </c>
      <c r="AZ978" s="30">
        <f>ROUND(Inventory[[#This Row],[25Det]],-2)</f>
        <v>0</v>
      </c>
      <c r="BA978" s="30">
        <f>ROUND(SUM(Inventory[[#This Row],[Mdl Qlty]:[Mdl Garage Area]])+Inventory[[#This Row],[Mdl Res Intercept]],-2)</f>
        <v>375300</v>
      </c>
      <c r="BB978" s="30">
        <f>ROUND(Inventory[[#This Row],[Mdl Land Intercept]]+Inventory[[#This Row],[Mdl LnAcres]],-2)</f>
        <v>65100</v>
      </c>
      <c r="BC978" s="30">
        <f>Inventory[[#This Row],[Unadj Res Value]]+Inventory[[#This Row],[Unadj Det Value]]+Inventory[[#This Row],[Unadj Land Value]]</f>
        <v>440400</v>
      </c>
      <c r="BD978" s="30">
        <f>(Inventory[[#This Row],[Unadj Total Value]]-Inventory[[#This Row],[24Final]])/Inventory[[#This Row],[24Final]]</f>
        <v>-2.2701475595913735E-4</v>
      </c>
      <c r="BE978" s="30">
        <f>VLOOKUP(Inventory[[#This Row],[Nbhd]],Lookups!$M$3:$P$5,4,FALSE)</f>
        <v>0.99970000000000003</v>
      </c>
      <c r="BF978" s="30">
        <f>VLOOKUP(Inventory[[#This Row],[Qlty]],Lookups!$M$8:$P$22,4,FALSE)</f>
        <v>1.0019</v>
      </c>
      <c r="BG978" s="30">
        <f>VLOOKUP(Inventory[[#This Row],[Cnd]],Lookups!$R$8:$U$17,4,FALSE)</f>
        <v>1.0007999999999999</v>
      </c>
      <c r="BH978" s="30">
        <f>VLOOKUP(Inventory[[#This Row],[LivArea Range]],Lookups!$R$25:$U$43,4,FALSE)</f>
        <v>1.0008999999999999</v>
      </c>
      <c r="BI978" s="30">
        <f>VLOOKUP(Inventory[[#This Row],[Decade]],Lookups!$M$24:$P$40,4,FALSE)</f>
        <v>0.99560000000000004</v>
      </c>
      <c r="BJ978" s="30">
        <f>Inventory[[#This Row],[Nbhd Adj]]*0.95</f>
        <v>0.94971499999999998</v>
      </c>
      <c r="BK978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978" s="30">
        <f>ROUND((SUM(Inventory[[#This Row],[Mdl Qlty]:[Mdl Garage Area]])+Inventory[[#This Row],[Mdl Res Intercept]])*Inventory[[#This Row],[Res Adj ]],-2)</f>
        <v>356500</v>
      </c>
      <c r="BM978" s="30">
        <f>ROUND(Inventory[[#This Row],[25Det]]*Inventory[[#This Row],[Det/Nbhd Adj]],-2)</f>
        <v>0</v>
      </c>
      <c r="BN978" s="30">
        <f>Inventory[[#This Row],[Adjusted Res]]+Inventory[[#This Row],[Adj Det ]]</f>
        <v>356500</v>
      </c>
      <c r="BO978" s="30">
        <f>ROUND((Inventory[[#This Row],[Mdl Land Intercept]]+Inventory[[#This Row],[Mdl LnAcres]])*Inventory[[#This Row],[Det/Nbhd Adj]],-2)</f>
        <v>61800</v>
      </c>
      <c r="BP978" s="30">
        <f>Inventory[[#This Row],[Adjusted Impr Total]]+Inventory[[#This Row],[Adjusted Land Total]]</f>
        <v>418300</v>
      </c>
      <c r="BQ978" s="30">
        <f>IFERROR((Inventory[[#This Row],[Adjusted Impr Total]]-Inventory[[#This Row],[24Bldg]])/Inventory[[#This Row],[24Bldg]],0)</f>
        <v>-5.8870116156283001E-2</v>
      </c>
      <c r="BR978" s="43">
        <f>(Inventory[[#This Row],[Adjusted Land Total]]-Inventory[[#This Row],[24Lnd]])/Inventory[[#This Row],[24Lnd]]</f>
        <v>1.6207455429497568E-3</v>
      </c>
      <c r="BS978" s="43">
        <f>(Inventory[[#This Row],[Adjusted Total]]-Inventory[[#This Row],[24Final]])/Inventory[[#This Row],[24Final]]</f>
        <v>-5.0397275822928488E-2</v>
      </c>
    </row>
    <row r="979" spans="1:71">
      <c r="A979" s="30">
        <v>2025</v>
      </c>
      <c r="B979" s="31" t="s">
        <v>1494</v>
      </c>
      <c r="C979" s="31">
        <f>LN(Inventory[[#This Row],[Acres]])</f>
        <v>-1.7719568419318752</v>
      </c>
      <c r="D979" s="30">
        <v>0.17</v>
      </c>
      <c r="E979" s="30">
        <v>7215</v>
      </c>
      <c r="F979" s="31" t="s">
        <v>505</v>
      </c>
      <c r="G979" s="31" t="s">
        <v>155</v>
      </c>
      <c r="H979" s="31" t="s">
        <v>5</v>
      </c>
      <c r="I979" s="31" t="s">
        <v>506</v>
      </c>
      <c r="J979" s="31" t="s">
        <v>507</v>
      </c>
      <c r="K979" s="31" t="s">
        <v>193</v>
      </c>
      <c r="L979" s="31" t="s">
        <v>21</v>
      </c>
      <c r="M979" s="31" t="s">
        <v>20</v>
      </c>
      <c r="N979" s="31">
        <v>20</v>
      </c>
      <c r="O979" s="31">
        <f>2024-Inventory[[#This Row],[YrBlt]]</f>
        <v>20</v>
      </c>
      <c r="P979" s="31">
        <f>2024-Inventory[[#This Row],[EffYr]]</f>
        <v>20</v>
      </c>
      <c r="Q979" s="30">
        <v>2004</v>
      </c>
      <c r="R979" s="30">
        <v>2004</v>
      </c>
      <c r="S979" s="30">
        <v>1380</v>
      </c>
      <c r="T979" s="32"/>
      <c r="U979" s="32"/>
      <c r="V979" s="32"/>
      <c r="W979" s="32"/>
      <c r="X979" s="32">
        <f>Inventory[[#This Row],[Bsmt Area]]-Inventory[[#This Row],[FnBsmt]]</f>
        <v>0</v>
      </c>
      <c r="Y979" s="32">
        <f>Inventory[[#This Row],[MainFn]]+Inventory[[#This Row],[UpprFn]]+Inventory[[#This Row],[AddFn]]+Inventory[[#This Row],[FnBsmt]]</f>
        <v>1380</v>
      </c>
      <c r="Z979" s="32">
        <v>1500</v>
      </c>
      <c r="AA979" s="31" t="s">
        <v>57</v>
      </c>
      <c r="AB979" s="32"/>
      <c r="AC979" s="30">
        <v>428</v>
      </c>
      <c r="AD979" s="32"/>
      <c r="AE979" s="32"/>
      <c r="AF979" s="32"/>
      <c r="AG979" s="32"/>
      <c r="AH979" s="32"/>
      <c r="AI979" s="30">
        <v>308394</v>
      </c>
      <c r="AJ979" s="30">
        <v>280639</v>
      </c>
      <c r="AK979" s="30">
        <v>0</v>
      </c>
      <c r="AL979" s="30">
        <v>0</v>
      </c>
      <c r="AM979" s="30">
        <v>61700</v>
      </c>
      <c r="AN979" s="30">
        <v>285100</v>
      </c>
      <c r="AO979" s="30">
        <v>346800</v>
      </c>
      <c r="AP979" s="30">
        <f>Lookups!$B$58*0.6</f>
        <v>132535.48800000001</v>
      </c>
      <c r="AQ979" s="30">
        <f>Lookups!$B$58*0.4</f>
        <v>88356.992000000013</v>
      </c>
      <c r="AR979" s="30">
        <f>Lookups!$B$59*Inventory[[#This Row],[LnAcres]]</f>
        <v>-23255.730391660189</v>
      </c>
      <c r="AS979" s="30">
        <f>VLOOKUP(Inventory[[#This Row],[Qlty]],Lookups!$A$66:$E$79,2,FALSE)</f>
        <v>32917.849192000001</v>
      </c>
      <c r="AT979" s="30">
        <f>VLOOKUP(Inventory[[#This Row],[Cnd]],Lookups!$A$80:$E$88,2,FALSE)</f>
        <v>30300.329274</v>
      </c>
      <c r="AU979" s="30">
        <f>Inventory[[#This Row],[EffAge]]*Lookups!$B$65</f>
        <v>-2174.8220000000001</v>
      </c>
      <c r="AV979" s="30">
        <f>Inventory[[#This Row],[MainFn]]*Lookups!$B$90</f>
        <v>86126.324399999998</v>
      </c>
      <c r="AW979" s="30">
        <f>Inventory[[#This Row],[UpprFn]]*Lookups!$B$91</f>
        <v>0</v>
      </c>
      <c r="AX979" s="30">
        <f>Inventory[[#This Row],[Bsmt Area]]*Lookups!$B$95</f>
        <v>0</v>
      </c>
      <c r="AY979" s="30">
        <f>Inventory[[#This Row],[AttGar]]*Lookups!$B$93</f>
        <v>15108.841268</v>
      </c>
      <c r="AZ979" s="30">
        <f>ROUND(Inventory[[#This Row],[25Det]],-2)</f>
        <v>0</v>
      </c>
      <c r="BA979" s="30">
        <f>ROUND(SUM(Inventory[[#This Row],[Mdl Qlty]:[Mdl Garage Area]])+Inventory[[#This Row],[Mdl Res Intercept]],-2)</f>
        <v>294800</v>
      </c>
      <c r="BB979" s="30">
        <f>ROUND(Inventory[[#This Row],[Mdl Land Intercept]]+Inventory[[#This Row],[Mdl LnAcres]],-2)</f>
        <v>65100</v>
      </c>
      <c r="BC979" s="30">
        <f>Inventory[[#This Row],[Unadj Res Value]]+Inventory[[#This Row],[Unadj Det Value]]+Inventory[[#This Row],[Unadj Land Value]]</f>
        <v>359900</v>
      </c>
      <c r="BD979" s="30">
        <f>(Inventory[[#This Row],[Unadj Total Value]]-Inventory[[#This Row],[24Final]])/Inventory[[#This Row],[24Final]]</f>
        <v>3.7773933102652826E-2</v>
      </c>
      <c r="BE979" s="30">
        <f>VLOOKUP(Inventory[[#This Row],[Nbhd]],Lookups!$M$3:$P$5,4,FALSE)</f>
        <v>0.99970000000000003</v>
      </c>
      <c r="BF979" s="30">
        <f>VLOOKUP(Inventory[[#This Row],[Qlty]],Lookups!$M$8:$P$22,4,FALSE)</f>
        <v>1.0019</v>
      </c>
      <c r="BG979" s="30">
        <f>VLOOKUP(Inventory[[#This Row],[Cnd]],Lookups!$R$8:$U$17,4,FALSE)</f>
        <v>0.997</v>
      </c>
      <c r="BH979" s="30">
        <f>VLOOKUP(Inventory[[#This Row],[LivArea Range]],Lookups!$R$25:$U$43,4,FALSE)</f>
        <v>0.99519999999999997</v>
      </c>
      <c r="BI979" s="30">
        <f>VLOOKUP(Inventory[[#This Row],[Decade]],Lookups!$M$24:$P$40,4,FALSE)</f>
        <v>0.99560000000000004</v>
      </c>
      <c r="BJ979" s="30">
        <f>Inventory[[#This Row],[Nbhd Adj]]*0.95</f>
        <v>0.94971499999999998</v>
      </c>
      <c r="BK979" s="30">
        <f>AVERAGE(Inventory[[#This Row],[Nbhd Adj]],Inventory[[#This Row],[Quality Adj]],Inventory[[#This Row],[Condition Adj]],Inventory[[#This Row],[Living Area Adj]],Inventory[[#This Row],[Decade Adj]])*0.95</f>
        <v>0.947986</v>
      </c>
      <c r="BL979" s="30">
        <f>ROUND((SUM(Inventory[[#This Row],[Mdl Qlty]:[Mdl Garage Area]])+Inventory[[#This Row],[Mdl Res Intercept]])*Inventory[[#This Row],[Res Adj ]],-2)</f>
        <v>279500</v>
      </c>
      <c r="BM979" s="30">
        <f>ROUND(Inventory[[#This Row],[25Det]]*Inventory[[#This Row],[Det/Nbhd Adj]],-2)</f>
        <v>0</v>
      </c>
      <c r="BN979" s="30">
        <f>Inventory[[#This Row],[Adjusted Res]]+Inventory[[#This Row],[Adj Det ]]</f>
        <v>279500</v>
      </c>
      <c r="BO979" s="30">
        <f>ROUND((Inventory[[#This Row],[Mdl Land Intercept]]+Inventory[[#This Row],[Mdl LnAcres]])*Inventory[[#This Row],[Det/Nbhd Adj]],-2)</f>
        <v>61800</v>
      </c>
      <c r="BP979" s="30">
        <f>Inventory[[#This Row],[Adjusted Impr Total]]+Inventory[[#This Row],[Adjusted Land Total]]</f>
        <v>341300</v>
      </c>
      <c r="BQ979" s="30">
        <f>IFERROR((Inventory[[#This Row],[Adjusted Impr Total]]-Inventory[[#This Row],[24Bldg]])/Inventory[[#This Row],[24Bldg]],0)</f>
        <v>-1.9642230796211857E-2</v>
      </c>
      <c r="BR979" s="43">
        <f>(Inventory[[#This Row],[Adjusted Land Total]]-Inventory[[#This Row],[24Lnd]])/Inventory[[#This Row],[24Lnd]]</f>
        <v>1.6207455429497568E-3</v>
      </c>
      <c r="BS979" s="43">
        <f>(Inventory[[#This Row],[Adjusted Total]]-Inventory[[#This Row],[24Final]])/Inventory[[#This Row],[24Final]]</f>
        <v>-1.5859284890426758E-2</v>
      </c>
    </row>
    <row r="980" spans="1:71">
      <c r="A980" s="30">
        <v>2025</v>
      </c>
      <c r="B980" s="31" t="s">
        <v>1495</v>
      </c>
      <c r="C980" s="31">
        <f>LN(Inventory[[#This Row],[Acres]])</f>
        <v>-1.7719568419318752</v>
      </c>
      <c r="D980" s="30">
        <v>0.17</v>
      </c>
      <c r="E980" s="30">
        <v>7562</v>
      </c>
      <c r="F980" s="31" t="s">
        <v>505</v>
      </c>
      <c r="G980" s="31" t="s">
        <v>155</v>
      </c>
      <c r="H980" s="31" t="s">
        <v>5</v>
      </c>
      <c r="I980" s="31" t="s">
        <v>506</v>
      </c>
      <c r="J980" s="31" t="s">
        <v>507</v>
      </c>
      <c r="K980" s="31" t="s">
        <v>157</v>
      </c>
      <c r="L980" s="31" t="s">
        <v>21</v>
      </c>
      <c r="M980" s="31" t="s">
        <v>20</v>
      </c>
      <c r="N980" s="31">
        <v>20</v>
      </c>
      <c r="O980" s="31">
        <f>2024-Inventory[[#This Row],[YrBlt]]</f>
        <v>20</v>
      </c>
      <c r="P980" s="31">
        <f>2024-Inventory[[#This Row],[EffYr]]</f>
        <v>20</v>
      </c>
      <c r="Q980" s="30">
        <v>2004</v>
      </c>
      <c r="R980" s="30">
        <v>2004</v>
      </c>
      <c r="S980" s="30">
        <v>1116</v>
      </c>
      <c r="T980" s="30">
        <v>1116</v>
      </c>
      <c r="U980" s="32"/>
      <c r="V980" s="32"/>
      <c r="W980" s="32"/>
      <c r="X980" s="32">
        <f>Inventory[[#This Row],[Bsmt Area]]-Inventory[[#This Row],[FnBsmt]]</f>
        <v>0</v>
      </c>
      <c r="Y980" s="32">
        <f>Inventory[[#This Row],[MainFn]]+Inventory[[#This Row],[UpprFn]]+Inventory[[#This Row],[AddFn]]+Inventory[[#This Row],[FnBsmt]]</f>
        <v>2232</v>
      </c>
      <c r="Z980" s="32">
        <v>2500</v>
      </c>
      <c r="AA980" s="31" t="s">
        <v>57</v>
      </c>
      <c r="AB980" s="38">
        <v>1</v>
      </c>
      <c r="AC980" s="38">
        <v>440</v>
      </c>
      <c r="AD980" s="37"/>
      <c r="AE980" s="32"/>
      <c r="AF980" s="32"/>
      <c r="AG980" s="32"/>
      <c r="AH980" s="32"/>
      <c r="AI980" s="30">
        <v>444722</v>
      </c>
      <c r="AJ980" s="30">
        <v>404697</v>
      </c>
      <c r="AK980" s="30">
        <v>0</v>
      </c>
      <c r="AL980" s="30">
        <v>0</v>
      </c>
      <c r="AM980" s="30">
        <v>61700</v>
      </c>
      <c r="AN980" s="30">
        <v>333600</v>
      </c>
      <c r="AO980" s="30">
        <v>395300</v>
      </c>
      <c r="AP980" s="30">
        <f>Lookups!$B$58*0.6</f>
        <v>132535.48800000001</v>
      </c>
      <c r="AQ980" s="30">
        <f>Lookups!$B$58*0.4</f>
        <v>88356.992000000013</v>
      </c>
      <c r="AR980" s="30">
        <f>Lookups!$B$59*Inventory[[#This Row],[LnAcres]]</f>
        <v>-23255.730391660189</v>
      </c>
      <c r="AS980" s="30">
        <f>VLOOKUP(Inventory[[#This Row],[Qlty]],Lookups!$A$66:$E$79,2,FALSE)</f>
        <v>32917.849192000001</v>
      </c>
      <c r="AT980" s="30">
        <f>VLOOKUP(Inventory[[#This Row],[Cnd]],Lookups!$A$80:$E$88,2,FALSE)</f>
        <v>30300.329274</v>
      </c>
      <c r="AU980" s="30">
        <f>Inventory[[#This Row],[EffAge]]*Lookups!$B$65</f>
        <v>-2174.8220000000001</v>
      </c>
      <c r="AV980" s="30">
        <f>Inventory[[#This Row],[MainFn]]*Lookups!$B$90</f>
        <v>69649.984080000009</v>
      </c>
      <c r="AW980" s="30">
        <f>Inventory[[#This Row],[UpprFn]]*Lookups!$B$91</f>
        <v>66491.707427999994</v>
      </c>
      <c r="AX980" s="30">
        <f>Inventory[[#This Row],[Bsmt Area]]*Lookups!$B$95</f>
        <v>0</v>
      </c>
      <c r="AY980" s="30">
        <f>Inventory[[#This Row],[AttGar]]*Lookups!$B$93</f>
        <v>15532.453640000002</v>
      </c>
      <c r="AZ980" s="30">
        <f>ROUND(Inventory[[#This Row],[25Det]],-2)</f>
        <v>0</v>
      </c>
      <c r="BA980" s="30">
        <f>ROUND(SUM(Inventory[[#This Row],[Mdl Qlty]:[Mdl Garage Area]])+Inventory[[#This Row],[Mdl Res Intercept]],-2)</f>
        <v>345300</v>
      </c>
      <c r="BB980" s="30">
        <f>ROUND(Inventory[[#This Row],[Mdl Land Intercept]]+Inventory[[#This Row],[Mdl LnAcres]],-2)</f>
        <v>65100</v>
      </c>
      <c r="BC980" s="30">
        <f>Inventory[[#This Row],[Unadj Res Value]]+Inventory[[#This Row],[Unadj Det Value]]+Inventory[[#This Row],[Unadj Land Value]]</f>
        <v>410400</v>
      </c>
      <c r="BD980" s="30">
        <f>(Inventory[[#This Row],[Unadj Total Value]]-Inventory[[#This Row],[24Final]])/Inventory[[#This Row],[24Final]]</f>
        <v>3.8198836326840374E-2</v>
      </c>
      <c r="BE980" s="30">
        <f>VLOOKUP(Inventory[[#This Row],[Nbhd]],Lookups!$M$3:$P$5,4,FALSE)</f>
        <v>0.99970000000000003</v>
      </c>
      <c r="BF980" s="30">
        <f>VLOOKUP(Inventory[[#This Row],[Qlty]],Lookups!$M$8:$P$22,4,FALSE)</f>
        <v>1.0019</v>
      </c>
      <c r="BG980" s="30">
        <f>VLOOKUP(Inventory[[#This Row],[Cnd]],Lookups!$R$8:$U$17,4,FALSE)</f>
        <v>0.997</v>
      </c>
      <c r="BH980" s="30">
        <f>VLOOKUP(Inventory[[#This Row],[LivArea Range]],Lookups!$R$25:$U$43,4,FALSE)</f>
        <v>1.0008999999999999</v>
      </c>
      <c r="BI980" s="30">
        <f>VLOOKUP(Inventory[[#This Row],[Decade]],Lookups!$M$24:$P$40,4,FALSE)</f>
        <v>0.99560000000000004</v>
      </c>
      <c r="BJ980" s="30">
        <f>Inventory[[#This Row],[Nbhd Adj]]*0.95</f>
        <v>0.94971499999999998</v>
      </c>
      <c r="BK980" s="30">
        <f>AVERAGE(Inventory[[#This Row],[Nbhd Adj]],Inventory[[#This Row],[Quality Adj]],Inventory[[#This Row],[Condition Adj]],Inventory[[#This Row],[Living Area Adj]],Inventory[[#This Row],[Decade Adj]])*0.95</f>
        <v>0.94906899999999972</v>
      </c>
      <c r="BL980" s="30">
        <f>ROUND((SUM(Inventory[[#This Row],[Mdl Qlty]:[Mdl Garage Area]])+Inventory[[#This Row],[Mdl Res Intercept]])*Inventory[[#This Row],[Res Adj ]],-2)</f>
        <v>327700</v>
      </c>
      <c r="BM980" s="30">
        <f>ROUND(Inventory[[#This Row],[25Det]]*Inventory[[#This Row],[Det/Nbhd Adj]],-2)</f>
        <v>0</v>
      </c>
      <c r="BN980" s="30">
        <f>Inventory[[#This Row],[Adjusted Res]]+Inventory[[#This Row],[Adj Det ]]</f>
        <v>327700</v>
      </c>
      <c r="BO980" s="30">
        <f>ROUND((Inventory[[#This Row],[Mdl Land Intercept]]+Inventory[[#This Row],[Mdl LnAcres]])*Inventory[[#This Row],[Det/Nbhd Adj]],-2)</f>
        <v>61800</v>
      </c>
      <c r="BP980" s="30">
        <f>Inventory[[#This Row],[Adjusted Impr Total]]+Inventory[[#This Row],[Adjusted Land Total]]</f>
        <v>389500</v>
      </c>
      <c r="BQ980" s="30">
        <f>IFERROR((Inventory[[#This Row],[Adjusted Impr Total]]-Inventory[[#This Row],[24Bldg]])/Inventory[[#This Row],[24Bldg]],0)</f>
        <v>-1.7685851318944845E-2</v>
      </c>
      <c r="BR980" s="43">
        <f>(Inventory[[#This Row],[Adjusted Land Total]]-Inventory[[#This Row],[24Lnd]])/Inventory[[#This Row],[24Lnd]]</f>
        <v>1.6207455429497568E-3</v>
      </c>
      <c r="BS980" s="43">
        <f>(Inventory[[#This Row],[Adjusted Total]]-Inventory[[#This Row],[24Final]])/Inventory[[#This Row],[24Final]]</f>
        <v>-1.4672400708322793E-2</v>
      </c>
    </row>
    <row r="981" spans="1:71">
      <c r="A981" s="30">
        <v>2025</v>
      </c>
      <c r="B981" s="31" t="s">
        <v>1496</v>
      </c>
      <c r="C981" s="31">
        <f>LN(Inventory[[#This Row],[Acres]])</f>
        <v>-1.7719568419318752</v>
      </c>
      <c r="D981" s="30">
        <v>0.17</v>
      </c>
      <c r="E981" s="30">
        <v>7205</v>
      </c>
      <c r="F981" s="31" t="s">
        <v>505</v>
      </c>
      <c r="G981" s="31" t="s">
        <v>155</v>
      </c>
      <c r="H981" s="31" t="s">
        <v>5</v>
      </c>
      <c r="I981" s="31" t="s">
        <v>506</v>
      </c>
      <c r="J981" s="31" t="s">
        <v>507</v>
      </c>
      <c r="K981" s="31" t="s">
        <v>193</v>
      </c>
      <c r="L981" s="31" t="s">
        <v>21</v>
      </c>
      <c r="M981" s="31" t="s">
        <v>20</v>
      </c>
      <c r="N981" s="31">
        <v>20</v>
      </c>
      <c r="O981" s="31">
        <f>2024-Inventory[[#This Row],[YrBlt]]</f>
        <v>20</v>
      </c>
      <c r="P981" s="31">
        <f>2024-Inventory[[#This Row],[EffYr]]</f>
        <v>20</v>
      </c>
      <c r="Q981" s="30">
        <v>2004</v>
      </c>
      <c r="R981" s="30">
        <v>2004</v>
      </c>
      <c r="S981" s="30">
        <v>1706</v>
      </c>
      <c r="T981" s="32"/>
      <c r="U981" s="32"/>
      <c r="V981" s="32"/>
      <c r="W981" s="32"/>
      <c r="X981" s="32">
        <f>Inventory[[#This Row],[Bsmt Area]]-Inventory[[#This Row],[FnBsmt]]</f>
        <v>0</v>
      </c>
      <c r="Y981" s="32">
        <f>Inventory[[#This Row],[MainFn]]+Inventory[[#This Row],[UpprFn]]+Inventory[[#This Row],[AddFn]]+Inventory[[#This Row],[FnBsmt]]</f>
        <v>1706</v>
      </c>
      <c r="Z981" s="32">
        <v>2000</v>
      </c>
      <c r="AA981" s="31" t="s">
        <v>57</v>
      </c>
      <c r="AB981" s="32"/>
      <c r="AC981" s="30">
        <v>466</v>
      </c>
      <c r="AD981" s="32"/>
      <c r="AE981" s="32"/>
      <c r="AF981" s="32"/>
      <c r="AG981" s="32"/>
      <c r="AH981" s="32"/>
      <c r="AI981" s="30">
        <v>373267</v>
      </c>
      <c r="AJ981" s="30">
        <v>339673</v>
      </c>
      <c r="AK981" s="30">
        <v>0</v>
      </c>
      <c r="AL981" s="30">
        <v>0</v>
      </c>
      <c r="AM981" s="30">
        <v>61700</v>
      </c>
      <c r="AN981" s="30">
        <v>304500</v>
      </c>
      <c r="AO981" s="30">
        <v>366200</v>
      </c>
      <c r="AP981" s="30">
        <f>Lookups!$B$58*0.6</f>
        <v>132535.48800000001</v>
      </c>
      <c r="AQ981" s="30">
        <f>Lookups!$B$58*0.4</f>
        <v>88356.992000000013</v>
      </c>
      <c r="AR981" s="30">
        <f>Lookups!$B$59*Inventory[[#This Row],[LnAcres]]</f>
        <v>-23255.730391660189</v>
      </c>
      <c r="AS981" s="30">
        <f>VLOOKUP(Inventory[[#This Row],[Qlty]],Lookups!$A$66:$E$79,2,FALSE)</f>
        <v>32917.849192000001</v>
      </c>
      <c r="AT981" s="30">
        <f>VLOOKUP(Inventory[[#This Row],[Cnd]],Lookups!$A$80:$E$88,2,FALSE)</f>
        <v>30300.329274</v>
      </c>
      <c r="AU981" s="30">
        <f>Inventory[[#This Row],[EffAge]]*Lookups!$B$65</f>
        <v>-2174.8220000000001</v>
      </c>
      <c r="AV981" s="30">
        <f>Inventory[[#This Row],[MainFn]]*Lookups!$B$90</f>
        <v>106472.10828</v>
      </c>
      <c r="AW981" s="30">
        <f>Inventory[[#This Row],[UpprFn]]*Lookups!$B$91</f>
        <v>0</v>
      </c>
      <c r="AX981" s="30">
        <f>Inventory[[#This Row],[Bsmt Area]]*Lookups!$B$95</f>
        <v>0</v>
      </c>
      <c r="AY981" s="30">
        <f>Inventory[[#This Row],[AttGar]]*Lookups!$B$93</f>
        <v>16450.280446000001</v>
      </c>
      <c r="AZ981" s="30">
        <f>ROUND(Inventory[[#This Row],[25Det]],-2)</f>
        <v>0</v>
      </c>
      <c r="BA981" s="30">
        <f>ROUND(SUM(Inventory[[#This Row],[Mdl Qlty]:[Mdl Garage Area]])+Inventory[[#This Row],[Mdl Res Intercept]],-2)</f>
        <v>316500</v>
      </c>
      <c r="BB981" s="30">
        <f>ROUND(Inventory[[#This Row],[Mdl Land Intercept]]+Inventory[[#This Row],[Mdl LnAcres]],-2)</f>
        <v>65100</v>
      </c>
      <c r="BC981" s="30">
        <f>Inventory[[#This Row],[Unadj Res Value]]+Inventory[[#This Row],[Unadj Det Value]]+Inventory[[#This Row],[Unadj Land Value]]</f>
        <v>381600</v>
      </c>
      <c r="BD981" s="30">
        <f>(Inventory[[#This Row],[Unadj Total Value]]-Inventory[[#This Row],[24Final]])/Inventory[[#This Row],[24Final]]</f>
        <v>4.2053522665210265E-2</v>
      </c>
      <c r="BE981" s="30">
        <f>VLOOKUP(Inventory[[#This Row],[Nbhd]],Lookups!$M$3:$P$5,4,FALSE)</f>
        <v>0.99970000000000003</v>
      </c>
      <c r="BF981" s="30">
        <f>VLOOKUP(Inventory[[#This Row],[Qlty]],Lookups!$M$8:$P$22,4,FALSE)</f>
        <v>1.0019</v>
      </c>
      <c r="BG981" s="30">
        <f>VLOOKUP(Inventory[[#This Row],[Cnd]],Lookups!$R$8:$U$17,4,FALSE)</f>
        <v>0.997</v>
      </c>
      <c r="BH981" s="30">
        <f>VLOOKUP(Inventory[[#This Row],[LivArea Range]],Lookups!$R$25:$U$43,4,FALSE)</f>
        <v>1.0007999999999999</v>
      </c>
      <c r="BI981" s="30">
        <f>VLOOKUP(Inventory[[#This Row],[Decade]],Lookups!$M$24:$P$40,4,FALSE)</f>
        <v>0.99560000000000004</v>
      </c>
      <c r="BJ981" s="30">
        <f>Inventory[[#This Row],[Nbhd Adj]]*0.95</f>
        <v>0.94971499999999998</v>
      </c>
      <c r="BK981" s="30">
        <f>AVERAGE(Inventory[[#This Row],[Nbhd Adj]],Inventory[[#This Row],[Quality Adj]],Inventory[[#This Row],[Condition Adj]],Inventory[[#This Row],[Living Area Adj]],Inventory[[#This Row],[Decade Adj]])*0.95</f>
        <v>0.94904999999999984</v>
      </c>
      <c r="BL981" s="30">
        <f>ROUND((SUM(Inventory[[#This Row],[Mdl Qlty]:[Mdl Garage Area]])+Inventory[[#This Row],[Mdl Res Intercept]])*Inventory[[#This Row],[Res Adj ]],-2)</f>
        <v>300400</v>
      </c>
      <c r="BM981" s="30">
        <f>ROUND(Inventory[[#This Row],[25Det]]*Inventory[[#This Row],[Det/Nbhd Adj]],-2)</f>
        <v>0</v>
      </c>
      <c r="BN981" s="30">
        <f>Inventory[[#This Row],[Adjusted Res]]+Inventory[[#This Row],[Adj Det ]]</f>
        <v>300400</v>
      </c>
      <c r="BO981" s="30">
        <f>ROUND((Inventory[[#This Row],[Mdl Land Intercept]]+Inventory[[#This Row],[Mdl LnAcres]])*Inventory[[#This Row],[Det/Nbhd Adj]],-2)</f>
        <v>61800</v>
      </c>
      <c r="BP981" s="30">
        <f>Inventory[[#This Row],[Adjusted Impr Total]]+Inventory[[#This Row],[Adjusted Land Total]]</f>
        <v>362200</v>
      </c>
      <c r="BQ981" s="30">
        <f>IFERROR((Inventory[[#This Row],[Adjusted Impr Total]]-Inventory[[#This Row],[24Bldg]])/Inventory[[#This Row],[24Bldg]],0)</f>
        <v>-1.3464696223316914E-2</v>
      </c>
      <c r="BR981" s="43">
        <f>(Inventory[[#This Row],[Adjusted Land Total]]-Inventory[[#This Row],[24Lnd]])/Inventory[[#This Row],[24Lnd]]</f>
        <v>1.6207455429497568E-3</v>
      </c>
      <c r="BS981" s="43">
        <f>(Inventory[[#This Row],[Adjusted Total]]-Inventory[[#This Row],[24Final]])/Inventory[[#This Row],[24Final]]</f>
        <v>-1.0922992900054615E-2</v>
      </c>
    </row>
    <row r="982" spans="1:71">
      <c r="A982" s="30">
        <v>2025</v>
      </c>
      <c r="B982" s="31" t="s">
        <v>1497</v>
      </c>
      <c r="C982" s="31">
        <f>LN(Inventory[[#This Row],[Acres]])</f>
        <v>-1.7719568419318752</v>
      </c>
      <c r="D982" s="30">
        <v>0.17</v>
      </c>
      <c r="E982" s="30">
        <v>7205</v>
      </c>
      <c r="F982" s="31" t="s">
        <v>505</v>
      </c>
      <c r="G982" s="31" t="s">
        <v>155</v>
      </c>
      <c r="H982" s="31" t="s">
        <v>5</v>
      </c>
      <c r="I982" s="31" t="s">
        <v>506</v>
      </c>
      <c r="J982" s="31" t="s">
        <v>507</v>
      </c>
      <c r="K982" s="31" t="s">
        <v>157</v>
      </c>
      <c r="L982" s="31" t="s">
        <v>21</v>
      </c>
      <c r="M982" s="31" t="s">
        <v>22</v>
      </c>
      <c r="N982" s="31">
        <v>20</v>
      </c>
      <c r="O982" s="31">
        <f>2024-Inventory[[#This Row],[YrBlt]]</f>
        <v>20</v>
      </c>
      <c r="P982" s="31">
        <f>2024-Inventory[[#This Row],[EffYr]]</f>
        <v>20</v>
      </c>
      <c r="Q982" s="30">
        <v>2004</v>
      </c>
      <c r="R982" s="30">
        <v>2004</v>
      </c>
      <c r="S982" s="30">
        <v>1116</v>
      </c>
      <c r="T982" s="38">
        <v>1116</v>
      </c>
      <c r="U982" s="32"/>
      <c r="V982" s="32"/>
      <c r="W982" s="32"/>
      <c r="X982" s="32">
        <f>Inventory[[#This Row],[Bsmt Area]]-Inventory[[#This Row],[FnBsmt]]</f>
        <v>0</v>
      </c>
      <c r="Y982" s="32">
        <f>Inventory[[#This Row],[MainFn]]+Inventory[[#This Row],[UpprFn]]+Inventory[[#This Row],[AddFn]]+Inventory[[#This Row],[FnBsmt]]</f>
        <v>2232</v>
      </c>
      <c r="Z982" s="32">
        <v>2500</v>
      </c>
      <c r="AA982" s="31" t="s">
        <v>57</v>
      </c>
      <c r="AB982" s="37"/>
      <c r="AC982" s="30">
        <v>736</v>
      </c>
      <c r="AD982" s="32"/>
      <c r="AE982" s="32"/>
      <c r="AF982" s="32"/>
      <c r="AG982" s="32"/>
      <c r="AH982" s="32"/>
      <c r="AI982" s="30">
        <v>485594</v>
      </c>
      <c r="AJ982" s="30">
        <v>446746</v>
      </c>
      <c r="AK982" s="30">
        <v>0</v>
      </c>
      <c r="AL982" s="30">
        <v>0</v>
      </c>
      <c r="AM982" s="30">
        <v>61700</v>
      </c>
      <c r="AN982" s="30">
        <v>361900</v>
      </c>
      <c r="AO982" s="30">
        <v>423600</v>
      </c>
      <c r="AP982" s="30">
        <f>Lookups!$B$58*0.6</f>
        <v>132535.48800000001</v>
      </c>
      <c r="AQ982" s="30">
        <f>Lookups!$B$58*0.4</f>
        <v>88356.992000000013</v>
      </c>
      <c r="AR982" s="30">
        <f>Lookups!$B$59*Inventory[[#This Row],[LnAcres]]</f>
        <v>-23255.730391660189</v>
      </c>
      <c r="AS982" s="30">
        <f>VLOOKUP(Inventory[[#This Row],[Qlty]],Lookups!$A$66:$E$79,2,FALSE)</f>
        <v>32917.849192000001</v>
      </c>
      <c r="AT982" s="30">
        <f>VLOOKUP(Inventory[[#This Row],[Cnd]],Lookups!$A$80:$E$88,2,FALSE)</f>
        <v>50438.379078999998</v>
      </c>
      <c r="AU982" s="30">
        <f>Inventory[[#This Row],[EffAge]]*Lookups!$B$65</f>
        <v>-2174.8220000000001</v>
      </c>
      <c r="AV982" s="30">
        <f>Inventory[[#This Row],[MainFn]]*Lookups!$B$90</f>
        <v>69649.984080000009</v>
      </c>
      <c r="AW982" s="30">
        <f>Inventory[[#This Row],[UpprFn]]*Lookups!$B$91</f>
        <v>66491.707427999994</v>
      </c>
      <c r="AX982" s="30">
        <f>Inventory[[#This Row],[Bsmt Area]]*Lookups!$B$95</f>
        <v>0</v>
      </c>
      <c r="AY982" s="30">
        <f>Inventory[[#This Row],[AttGar]]*Lookups!$B$93</f>
        <v>25981.558816000001</v>
      </c>
      <c r="AZ982" s="30">
        <f>ROUND(Inventory[[#This Row],[25Det]],-2)</f>
        <v>0</v>
      </c>
      <c r="BA982" s="30">
        <f>ROUND(SUM(Inventory[[#This Row],[Mdl Qlty]:[Mdl Garage Area]])+Inventory[[#This Row],[Mdl Res Intercept]],-2)</f>
        <v>375800</v>
      </c>
      <c r="BB982" s="30">
        <f>ROUND(Inventory[[#This Row],[Mdl Land Intercept]]+Inventory[[#This Row],[Mdl LnAcres]],-2)</f>
        <v>65100</v>
      </c>
      <c r="BC982" s="30">
        <f>Inventory[[#This Row],[Unadj Res Value]]+Inventory[[#This Row],[Unadj Det Value]]+Inventory[[#This Row],[Unadj Land Value]]</f>
        <v>440900</v>
      </c>
      <c r="BD982" s="30">
        <f>(Inventory[[#This Row],[Unadj Total Value]]-Inventory[[#This Row],[24Final]])/Inventory[[#This Row],[24Final]]</f>
        <v>4.0840415486307839E-2</v>
      </c>
      <c r="BE982" s="30">
        <f>VLOOKUP(Inventory[[#This Row],[Nbhd]],Lookups!$M$3:$P$5,4,FALSE)</f>
        <v>0.99970000000000003</v>
      </c>
      <c r="BF982" s="30">
        <f>VLOOKUP(Inventory[[#This Row],[Qlty]],Lookups!$M$8:$P$22,4,FALSE)</f>
        <v>1.0019</v>
      </c>
      <c r="BG982" s="30">
        <f>VLOOKUP(Inventory[[#This Row],[Cnd]],Lookups!$R$8:$U$17,4,FALSE)</f>
        <v>1.0007999999999999</v>
      </c>
      <c r="BH982" s="30">
        <f>VLOOKUP(Inventory[[#This Row],[LivArea Range]],Lookups!$R$25:$U$43,4,FALSE)</f>
        <v>1.0008999999999999</v>
      </c>
      <c r="BI982" s="30">
        <f>VLOOKUP(Inventory[[#This Row],[Decade]],Lookups!$M$24:$P$40,4,FALSE)</f>
        <v>0.99560000000000004</v>
      </c>
      <c r="BJ982" s="30">
        <f>Inventory[[#This Row],[Nbhd Adj]]*0.95</f>
        <v>0.94971499999999998</v>
      </c>
      <c r="BK982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982" s="30">
        <f>ROUND((SUM(Inventory[[#This Row],[Mdl Qlty]:[Mdl Garage Area]])+Inventory[[#This Row],[Mdl Res Intercept]])*Inventory[[#This Row],[Res Adj ]],-2)</f>
        <v>357000</v>
      </c>
      <c r="BM982" s="30">
        <f>ROUND(Inventory[[#This Row],[25Det]]*Inventory[[#This Row],[Det/Nbhd Adj]],-2)</f>
        <v>0</v>
      </c>
      <c r="BN982" s="30">
        <f>Inventory[[#This Row],[Adjusted Res]]+Inventory[[#This Row],[Adj Det ]]</f>
        <v>357000</v>
      </c>
      <c r="BO982" s="30">
        <f>ROUND((Inventory[[#This Row],[Mdl Land Intercept]]+Inventory[[#This Row],[Mdl LnAcres]])*Inventory[[#This Row],[Det/Nbhd Adj]],-2)</f>
        <v>61800</v>
      </c>
      <c r="BP982" s="30">
        <f>Inventory[[#This Row],[Adjusted Impr Total]]+Inventory[[#This Row],[Adjusted Land Total]]</f>
        <v>418800</v>
      </c>
      <c r="BQ982" s="30">
        <f>IFERROR((Inventory[[#This Row],[Adjusted Impr Total]]-Inventory[[#This Row],[24Bldg]])/Inventory[[#This Row],[24Bldg]],0)</f>
        <v>-1.3539651837524178E-2</v>
      </c>
      <c r="BR982" s="43">
        <f>(Inventory[[#This Row],[Adjusted Land Total]]-Inventory[[#This Row],[24Lnd]])/Inventory[[#This Row],[24Lnd]]</f>
        <v>1.6207455429497568E-3</v>
      </c>
      <c r="BS982" s="43">
        <f>(Inventory[[#This Row],[Adjusted Total]]-Inventory[[#This Row],[24Final]])/Inventory[[#This Row],[24Final]]</f>
        <v>-1.1331444759206799E-2</v>
      </c>
    </row>
    <row r="983" spans="1:71">
      <c r="A983" s="30">
        <v>2025</v>
      </c>
      <c r="B983" s="31" t="s">
        <v>1498</v>
      </c>
      <c r="C983" s="31">
        <f>LN(Inventory[[#This Row],[Acres]])</f>
        <v>-1.7719568419318752</v>
      </c>
      <c r="D983" s="30">
        <v>0.17</v>
      </c>
      <c r="E983" s="30">
        <v>7534</v>
      </c>
      <c r="F983" s="31" t="s">
        <v>505</v>
      </c>
      <c r="G983" s="31" t="s">
        <v>155</v>
      </c>
      <c r="H983" s="31" t="s">
        <v>5</v>
      </c>
      <c r="I983" s="31" t="s">
        <v>506</v>
      </c>
      <c r="J983" s="31" t="s">
        <v>507</v>
      </c>
      <c r="K983" s="31" t="s">
        <v>157</v>
      </c>
      <c r="L983" s="31" t="s">
        <v>21</v>
      </c>
      <c r="M983" s="31" t="s">
        <v>20</v>
      </c>
      <c r="N983" s="31">
        <v>20</v>
      </c>
      <c r="O983" s="31">
        <f>2024-Inventory[[#This Row],[YrBlt]]</f>
        <v>20</v>
      </c>
      <c r="P983" s="31">
        <f>2024-Inventory[[#This Row],[EffYr]]</f>
        <v>20</v>
      </c>
      <c r="Q983" s="30">
        <v>2004</v>
      </c>
      <c r="R983" s="30">
        <v>2004</v>
      </c>
      <c r="S983" s="30">
        <v>1158</v>
      </c>
      <c r="T983" s="30">
        <v>1322</v>
      </c>
      <c r="U983" s="32"/>
      <c r="V983" s="32"/>
      <c r="W983" s="32"/>
      <c r="X983" s="32">
        <f>Inventory[[#This Row],[Bsmt Area]]-Inventory[[#This Row],[FnBsmt]]</f>
        <v>0</v>
      </c>
      <c r="Y983" s="32">
        <f>Inventory[[#This Row],[MainFn]]+Inventory[[#This Row],[UpprFn]]+Inventory[[#This Row],[AddFn]]+Inventory[[#This Row],[FnBsmt]]</f>
        <v>2480</v>
      </c>
      <c r="Z983" s="32">
        <v>2500</v>
      </c>
      <c r="AA983" s="31" t="s">
        <v>55</v>
      </c>
      <c r="AB983" s="38">
        <v>1</v>
      </c>
      <c r="AC983" s="37"/>
      <c r="AD983" s="38">
        <v>802</v>
      </c>
      <c r="AE983" s="32"/>
      <c r="AF983" s="32"/>
      <c r="AG983" s="32"/>
      <c r="AH983" s="32"/>
      <c r="AI983" s="30">
        <v>492165</v>
      </c>
      <c r="AJ983" s="30">
        <v>447870</v>
      </c>
      <c r="AK983" s="30">
        <v>0</v>
      </c>
      <c r="AL983" s="30">
        <v>0</v>
      </c>
      <c r="AM983" s="30">
        <v>61700</v>
      </c>
      <c r="AN983" s="30">
        <v>362100</v>
      </c>
      <c r="AO983" s="30">
        <v>423800</v>
      </c>
      <c r="AP983" s="30">
        <f>Lookups!$B$58*0.6</f>
        <v>132535.48800000001</v>
      </c>
      <c r="AQ983" s="30">
        <f>Lookups!$B$58*0.4</f>
        <v>88356.992000000013</v>
      </c>
      <c r="AR983" s="30">
        <f>Lookups!$B$59*Inventory[[#This Row],[LnAcres]]</f>
        <v>-23255.730391660189</v>
      </c>
      <c r="AS983" s="30">
        <f>VLOOKUP(Inventory[[#This Row],[Qlty]],Lookups!$A$66:$E$79,2,FALSE)</f>
        <v>32917.849192000001</v>
      </c>
      <c r="AT983" s="30">
        <f>VLOOKUP(Inventory[[#This Row],[Cnd]],Lookups!$A$80:$E$88,2,FALSE)</f>
        <v>30300.329274</v>
      </c>
      <c r="AU983" s="30">
        <f>Inventory[[#This Row],[EffAge]]*Lookups!$B$65</f>
        <v>-2174.8220000000001</v>
      </c>
      <c r="AV983" s="30">
        <f>Inventory[[#This Row],[MainFn]]*Lookups!$B$90</f>
        <v>72271.22004</v>
      </c>
      <c r="AW983" s="30">
        <f>Inventory[[#This Row],[UpprFn]]*Lookups!$B$91</f>
        <v>78765.266325999997</v>
      </c>
      <c r="AX983" s="30">
        <f>Inventory[[#This Row],[Bsmt Area]]*Lookups!$B$95</f>
        <v>0</v>
      </c>
      <c r="AY983" s="30">
        <f>Inventory[[#This Row],[AttGar]]*Lookups!$B$93</f>
        <v>0</v>
      </c>
      <c r="AZ983" s="30">
        <f>ROUND(Inventory[[#This Row],[25Det]],-2)</f>
        <v>0</v>
      </c>
      <c r="BA983" s="30">
        <f>ROUND(SUM(Inventory[[#This Row],[Mdl Qlty]:[Mdl Garage Area]])+Inventory[[#This Row],[Mdl Res Intercept]],-2)</f>
        <v>344600</v>
      </c>
      <c r="BB983" s="30">
        <f>ROUND(Inventory[[#This Row],[Mdl Land Intercept]]+Inventory[[#This Row],[Mdl LnAcres]],-2)</f>
        <v>65100</v>
      </c>
      <c r="BC983" s="30">
        <f>Inventory[[#This Row],[Unadj Res Value]]+Inventory[[#This Row],[Unadj Det Value]]+Inventory[[#This Row],[Unadj Land Value]]</f>
        <v>409700</v>
      </c>
      <c r="BD983" s="30">
        <f>(Inventory[[#This Row],[Unadj Total Value]]-Inventory[[#This Row],[24Final]])/Inventory[[#This Row],[24Final]]</f>
        <v>-3.3270410571024069E-2</v>
      </c>
      <c r="BE983" s="30">
        <f>VLOOKUP(Inventory[[#This Row],[Nbhd]],Lookups!$M$3:$P$5,4,FALSE)</f>
        <v>0.99970000000000003</v>
      </c>
      <c r="BF983" s="30">
        <f>VLOOKUP(Inventory[[#This Row],[Qlty]],Lookups!$M$8:$P$22,4,FALSE)</f>
        <v>1.0019</v>
      </c>
      <c r="BG983" s="30">
        <f>VLOOKUP(Inventory[[#This Row],[Cnd]],Lookups!$R$8:$U$17,4,FALSE)</f>
        <v>0.997</v>
      </c>
      <c r="BH983" s="30">
        <f>VLOOKUP(Inventory[[#This Row],[LivArea Range]],Lookups!$R$25:$U$43,4,FALSE)</f>
        <v>1.0008999999999999</v>
      </c>
      <c r="BI983" s="30">
        <f>VLOOKUP(Inventory[[#This Row],[Decade]],Lookups!$M$24:$P$40,4,FALSE)</f>
        <v>0.99560000000000004</v>
      </c>
      <c r="BJ983" s="30">
        <f>Inventory[[#This Row],[Nbhd Adj]]*0.95</f>
        <v>0.94971499999999998</v>
      </c>
      <c r="BK983" s="30">
        <f>AVERAGE(Inventory[[#This Row],[Nbhd Adj]],Inventory[[#This Row],[Quality Adj]],Inventory[[#This Row],[Condition Adj]],Inventory[[#This Row],[Living Area Adj]],Inventory[[#This Row],[Decade Adj]])*0.95</f>
        <v>0.94906899999999972</v>
      </c>
      <c r="BL983" s="30">
        <f>ROUND((SUM(Inventory[[#This Row],[Mdl Qlty]:[Mdl Garage Area]])+Inventory[[#This Row],[Mdl Res Intercept]])*Inventory[[#This Row],[Res Adj ]],-2)</f>
        <v>327100</v>
      </c>
      <c r="BM983" s="30">
        <f>ROUND(Inventory[[#This Row],[25Det]]*Inventory[[#This Row],[Det/Nbhd Adj]],-2)</f>
        <v>0</v>
      </c>
      <c r="BN983" s="30">
        <f>Inventory[[#This Row],[Adjusted Res]]+Inventory[[#This Row],[Adj Det ]]</f>
        <v>327100</v>
      </c>
      <c r="BO983" s="30">
        <f>ROUND((Inventory[[#This Row],[Mdl Land Intercept]]+Inventory[[#This Row],[Mdl LnAcres]])*Inventory[[#This Row],[Det/Nbhd Adj]],-2)</f>
        <v>61800</v>
      </c>
      <c r="BP983" s="30">
        <f>Inventory[[#This Row],[Adjusted Impr Total]]+Inventory[[#This Row],[Adjusted Land Total]]</f>
        <v>388900</v>
      </c>
      <c r="BQ983" s="30">
        <f>IFERROR((Inventory[[#This Row],[Adjusted Impr Total]]-Inventory[[#This Row],[24Bldg]])/Inventory[[#This Row],[24Bldg]],0)</f>
        <v>-9.6658381662524162E-2</v>
      </c>
      <c r="BR983" s="43">
        <f>(Inventory[[#This Row],[Adjusted Land Total]]-Inventory[[#This Row],[24Lnd]])/Inventory[[#This Row],[24Lnd]]</f>
        <v>1.6207455429497568E-3</v>
      </c>
      <c r="BS983" s="43">
        <f>(Inventory[[#This Row],[Adjusted Total]]-Inventory[[#This Row],[24Final]])/Inventory[[#This Row],[24Final]]</f>
        <v>-8.2350165172251064E-2</v>
      </c>
    </row>
    <row r="984" spans="1:71">
      <c r="A984" s="30">
        <v>2025</v>
      </c>
      <c r="B984" s="31" t="s">
        <v>1499</v>
      </c>
      <c r="C984" s="31">
        <f>LN(Inventory[[#This Row],[Acres]])</f>
        <v>-1.7719568419318752</v>
      </c>
      <c r="D984" s="30">
        <v>0.17</v>
      </c>
      <c r="E984" s="30">
        <v>7558</v>
      </c>
      <c r="F984" s="31" t="s">
        <v>505</v>
      </c>
      <c r="G984" s="31" t="s">
        <v>155</v>
      </c>
      <c r="H984" s="31" t="s">
        <v>5</v>
      </c>
      <c r="I984" s="31" t="s">
        <v>506</v>
      </c>
      <c r="J984" s="31" t="s">
        <v>507</v>
      </c>
      <c r="K984" s="31" t="s">
        <v>157</v>
      </c>
      <c r="L984" s="31" t="s">
        <v>21</v>
      </c>
      <c r="M984" s="31" t="s">
        <v>20</v>
      </c>
      <c r="N984" s="31">
        <v>20</v>
      </c>
      <c r="O984" s="31">
        <f>2024-Inventory[[#This Row],[YrBlt]]</f>
        <v>20</v>
      </c>
      <c r="P984" s="31">
        <f>2024-Inventory[[#This Row],[EffYr]]</f>
        <v>20</v>
      </c>
      <c r="Q984" s="30">
        <v>2004</v>
      </c>
      <c r="R984" s="30">
        <v>2004</v>
      </c>
      <c r="S984" s="30">
        <v>1116</v>
      </c>
      <c r="T984" s="38">
        <v>1116</v>
      </c>
      <c r="U984" s="32"/>
      <c r="V984" s="32"/>
      <c r="W984" s="32"/>
      <c r="X984" s="32">
        <f>Inventory[[#This Row],[Bsmt Area]]-Inventory[[#This Row],[FnBsmt]]</f>
        <v>0</v>
      </c>
      <c r="Y984" s="32">
        <f>Inventory[[#This Row],[MainFn]]+Inventory[[#This Row],[UpprFn]]+Inventory[[#This Row],[AddFn]]+Inventory[[#This Row],[FnBsmt]]</f>
        <v>2232</v>
      </c>
      <c r="Z984" s="32">
        <v>2500</v>
      </c>
      <c r="AA984" s="31" t="s">
        <v>55</v>
      </c>
      <c r="AB984" s="38">
        <v>1</v>
      </c>
      <c r="AC984" s="30">
        <v>716</v>
      </c>
      <c r="AD984" s="32"/>
      <c r="AE984" s="32"/>
      <c r="AF984" s="32"/>
      <c r="AG984" s="32"/>
      <c r="AH984" s="32"/>
      <c r="AI984" s="30">
        <v>458818</v>
      </c>
      <c r="AJ984" s="30">
        <v>417524</v>
      </c>
      <c r="AK984" s="30">
        <v>0</v>
      </c>
      <c r="AL984" s="30">
        <v>0</v>
      </c>
      <c r="AM984" s="30">
        <v>61700</v>
      </c>
      <c r="AN984" s="30">
        <v>345500</v>
      </c>
      <c r="AO984" s="30">
        <v>407200</v>
      </c>
      <c r="AP984" s="30">
        <f>Lookups!$B$58*0.6</f>
        <v>132535.48800000001</v>
      </c>
      <c r="AQ984" s="30">
        <f>Lookups!$B$58*0.4</f>
        <v>88356.992000000013</v>
      </c>
      <c r="AR984" s="30">
        <f>Lookups!$B$59*Inventory[[#This Row],[LnAcres]]</f>
        <v>-23255.730391660189</v>
      </c>
      <c r="AS984" s="30">
        <f>VLOOKUP(Inventory[[#This Row],[Qlty]],Lookups!$A$66:$E$79,2,FALSE)</f>
        <v>32917.849192000001</v>
      </c>
      <c r="AT984" s="30">
        <f>VLOOKUP(Inventory[[#This Row],[Cnd]],Lookups!$A$80:$E$88,2,FALSE)</f>
        <v>30300.329274</v>
      </c>
      <c r="AU984" s="30">
        <f>Inventory[[#This Row],[EffAge]]*Lookups!$B$65</f>
        <v>-2174.8220000000001</v>
      </c>
      <c r="AV984" s="30">
        <f>Inventory[[#This Row],[MainFn]]*Lookups!$B$90</f>
        <v>69649.984080000009</v>
      </c>
      <c r="AW984" s="30">
        <f>Inventory[[#This Row],[UpprFn]]*Lookups!$B$91</f>
        <v>66491.707427999994</v>
      </c>
      <c r="AX984" s="30">
        <f>Inventory[[#This Row],[Bsmt Area]]*Lookups!$B$95</f>
        <v>0</v>
      </c>
      <c r="AY984" s="30">
        <f>Inventory[[#This Row],[AttGar]]*Lookups!$B$93</f>
        <v>25275.538196000001</v>
      </c>
      <c r="AZ984" s="30">
        <f>ROUND(Inventory[[#This Row],[25Det]],-2)</f>
        <v>0</v>
      </c>
      <c r="BA984" s="30">
        <f>ROUND(SUM(Inventory[[#This Row],[Mdl Qlty]:[Mdl Garage Area]])+Inventory[[#This Row],[Mdl Res Intercept]],-2)</f>
        <v>355000</v>
      </c>
      <c r="BB984" s="30">
        <f>ROUND(Inventory[[#This Row],[Mdl Land Intercept]]+Inventory[[#This Row],[Mdl LnAcres]],-2)</f>
        <v>65100</v>
      </c>
      <c r="BC984" s="30">
        <f>Inventory[[#This Row],[Unadj Res Value]]+Inventory[[#This Row],[Unadj Det Value]]+Inventory[[#This Row],[Unadj Land Value]]</f>
        <v>420100</v>
      </c>
      <c r="BD984" s="30">
        <f>(Inventory[[#This Row],[Unadj Total Value]]-Inventory[[#This Row],[24Final]])/Inventory[[#This Row],[24Final]]</f>
        <v>3.1679764243614933E-2</v>
      </c>
      <c r="BE984" s="30">
        <f>VLOOKUP(Inventory[[#This Row],[Nbhd]],Lookups!$M$3:$P$5,4,FALSE)</f>
        <v>0.99970000000000003</v>
      </c>
      <c r="BF984" s="30">
        <f>VLOOKUP(Inventory[[#This Row],[Qlty]],Lookups!$M$8:$P$22,4,FALSE)</f>
        <v>1.0019</v>
      </c>
      <c r="BG984" s="30">
        <f>VLOOKUP(Inventory[[#This Row],[Cnd]],Lookups!$R$8:$U$17,4,FALSE)</f>
        <v>0.997</v>
      </c>
      <c r="BH984" s="30">
        <f>VLOOKUP(Inventory[[#This Row],[LivArea Range]],Lookups!$R$25:$U$43,4,FALSE)</f>
        <v>1.0008999999999999</v>
      </c>
      <c r="BI984" s="30">
        <f>VLOOKUP(Inventory[[#This Row],[Decade]],Lookups!$M$24:$P$40,4,FALSE)</f>
        <v>0.99560000000000004</v>
      </c>
      <c r="BJ984" s="30">
        <f>Inventory[[#This Row],[Nbhd Adj]]*0.95</f>
        <v>0.94971499999999998</v>
      </c>
      <c r="BK984" s="30">
        <f>AVERAGE(Inventory[[#This Row],[Nbhd Adj]],Inventory[[#This Row],[Quality Adj]],Inventory[[#This Row],[Condition Adj]],Inventory[[#This Row],[Living Area Adj]],Inventory[[#This Row],[Decade Adj]])*0.95</f>
        <v>0.94906899999999972</v>
      </c>
      <c r="BL984" s="30">
        <f>ROUND((SUM(Inventory[[#This Row],[Mdl Qlty]:[Mdl Garage Area]])+Inventory[[#This Row],[Mdl Res Intercept]])*Inventory[[#This Row],[Res Adj ]],-2)</f>
        <v>336900</v>
      </c>
      <c r="BM984" s="30">
        <f>ROUND(Inventory[[#This Row],[25Det]]*Inventory[[#This Row],[Det/Nbhd Adj]],-2)</f>
        <v>0</v>
      </c>
      <c r="BN984" s="30">
        <f>Inventory[[#This Row],[Adjusted Res]]+Inventory[[#This Row],[Adj Det ]]</f>
        <v>336900</v>
      </c>
      <c r="BO984" s="30">
        <f>ROUND((Inventory[[#This Row],[Mdl Land Intercept]]+Inventory[[#This Row],[Mdl LnAcres]])*Inventory[[#This Row],[Det/Nbhd Adj]],-2)</f>
        <v>61800</v>
      </c>
      <c r="BP984" s="30">
        <f>Inventory[[#This Row],[Adjusted Impr Total]]+Inventory[[#This Row],[Adjusted Land Total]]</f>
        <v>398700</v>
      </c>
      <c r="BQ984" s="30">
        <f>IFERROR((Inventory[[#This Row],[Adjusted Impr Total]]-Inventory[[#This Row],[24Bldg]])/Inventory[[#This Row],[24Bldg]],0)</f>
        <v>-2.4891461649782922E-2</v>
      </c>
      <c r="BR984" s="43">
        <f>(Inventory[[#This Row],[Adjusted Land Total]]-Inventory[[#This Row],[24Lnd]])/Inventory[[#This Row],[24Lnd]]</f>
        <v>1.6207455429497568E-3</v>
      </c>
      <c r="BS984" s="43">
        <f>(Inventory[[#This Row],[Adjusted Total]]-Inventory[[#This Row],[24Final]])/Inventory[[#This Row],[24Final]]</f>
        <v>-2.0874263261296658E-2</v>
      </c>
    </row>
    <row r="985" spans="1:71">
      <c r="A985" s="30">
        <v>2025</v>
      </c>
      <c r="B985" s="31" t="s">
        <v>1500</v>
      </c>
      <c r="C985" s="31">
        <f>LN(Inventory[[#This Row],[Acres]])</f>
        <v>-1.7719568419318752</v>
      </c>
      <c r="D985" s="30">
        <v>0.17</v>
      </c>
      <c r="E985" s="30">
        <v>7303</v>
      </c>
      <c r="F985" s="31" t="s">
        <v>505</v>
      </c>
      <c r="G985" s="31" t="s">
        <v>155</v>
      </c>
      <c r="H985" s="31" t="s">
        <v>5</v>
      </c>
      <c r="I985" s="31" t="s">
        <v>506</v>
      </c>
      <c r="J985" s="31" t="s">
        <v>507</v>
      </c>
      <c r="K985" s="31" t="s">
        <v>157</v>
      </c>
      <c r="L985" s="31" t="s">
        <v>21</v>
      </c>
      <c r="M985" s="31" t="s">
        <v>20</v>
      </c>
      <c r="N985" s="31">
        <v>20</v>
      </c>
      <c r="O985" s="31">
        <f>2024-Inventory[[#This Row],[YrBlt]]</f>
        <v>20</v>
      </c>
      <c r="P985" s="31">
        <f>2024-Inventory[[#This Row],[EffYr]]</f>
        <v>20</v>
      </c>
      <c r="Q985" s="30">
        <v>2004</v>
      </c>
      <c r="R985" s="30">
        <v>2004</v>
      </c>
      <c r="S985" s="30">
        <v>1116</v>
      </c>
      <c r="T985" s="38">
        <v>1116</v>
      </c>
      <c r="U985" s="32"/>
      <c r="V985" s="32"/>
      <c r="W985" s="32"/>
      <c r="X985" s="32">
        <f>Inventory[[#This Row],[Bsmt Area]]-Inventory[[#This Row],[FnBsmt]]</f>
        <v>0</v>
      </c>
      <c r="Y985" s="32">
        <f>Inventory[[#This Row],[MainFn]]+Inventory[[#This Row],[UpprFn]]+Inventory[[#This Row],[AddFn]]+Inventory[[#This Row],[FnBsmt]]</f>
        <v>2232</v>
      </c>
      <c r="Z985" s="32">
        <v>2500</v>
      </c>
      <c r="AA985" s="31" t="s">
        <v>55</v>
      </c>
      <c r="AB985" s="30">
        <v>1</v>
      </c>
      <c r="AC985" s="30">
        <v>440</v>
      </c>
      <c r="AD985" s="32"/>
      <c r="AE985" s="32"/>
      <c r="AF985" s="32"/>
      <c r="AG985" s="32"/>
      <c r="AH985" s="32"/>
      <c r="AI985" s="30">
        <v>444722</v>
      </c>
      <c r="AJ985" s="30">
        <v>404697</v>
      </c>
      <c r="AK985" s="30">
        <v>0</v>
      </c>
      <c r="AL985" s="30">
        <v>0</v>
      </c>
      <c r="AM985" s="30">
        <v>61700</v>
      </c>
      <c r="AN985" s="30">
        <v>333600</v>
      </c>
      <c r="AO985" s="30">
        <v>395300</v>
      </c>
      <c r="AP985" s="30">
        <f>Lookups!$B$58*0.6</f>
        <v>132535.48800000001</v>
      </c>
      <c r="AQ985" s="30">
        <f>Lookups!$B$58*0.4</f>
        <v>88356.992000000013</v>
      </c>
      <c r="AR985" s="30">
        <f>Lookups!$B$59*Inventory[[#This Row],[LnAcres]]</f>
        <v>-23255.730391660189</v>
      </c>
      <c r="AS985" s="30">
        <f>VLOOKUP(Inventory[[#This Row],[Qlty]],Lookups!$A$66:$E$79,2,FALSE)</f>
        <v>32917.849192000001</v>
      </c>
      <c r="AT985" s="30">
        <f>VLOOKUP(Inventory[[#This Row],[Cnd]],Lookups!$A$80:$E$88,2,FALSE)</f>
        <v>30300.329274</v>
      </c>
      <c r="AU985" s="30">
        <f>Inventory[[#This Row],[EffAge]]*Lookups!$B$65</f>
        <v>-2174.8220000000001</v>
      </c>
      <c r="AV985" s="30">
        <f>Inventory[[#This Row],[MainFn]]*Lookups!$B$90</f>
        <v>69649.984080000009</v>
      </c>
      <c r="AW985" s="30">
        <f>Inventory[[#This Row],[UpprFn]]*Lookups!$B$91</f>
        <v>66491.707427999994</v>
      </c>
      <c r="AX985" s="30">
        <f>Inventory[[#This Row],[Bsmt Area]]*Lookups!$B$95</f>
        <v>0</v>
      </c>
      <c r="AY985" s="30">
        <f>Inventory[[#This Row],[AttGar]]*Lookups!$B$93</f>
        <v>15532.453640000002</v>
      </c>
      <c r="AZ985" s="30">
        <f>ROUND(Inventory[[#This Row],[25Det]],-2)</f>
        <v>0</v>
      </c>
      <c r="BA985" s="30">
        <f>ROUND(SUM(Inventory[[#This Row],[Mdl Qlty]:[Mdl Garage Area]])+Inventory[[#This Row],[Mdl Res Intercept]],-2)</f>
        <v>345300</v>
      </c>
      <c r="BB985" s="30">
        <f>ROUND(Inventory[[#This Row],[Mdl Land Intercept]]+Inventory[[#This Row],[Mdl LnAcres]],-2)</f>
        <v>65100</v>
      </c>
      <c r="BC985" s="30">
        <f>Inventory[[#This Row],[Unadj Res Value]]+Inventory[[#This Row],[Unadj Det Value]]+Inventory[[#This Row],[Unadj Land Value]]</f>
        <v>410400</v>
      </c>
      <c r="BD985" s="30">
        <f>(Inventory[[#This Row],[Unadj Total Value]]-Inventory[[#This Row],[24Final]])/Inventory[[#This Row],[24Final]]</f>
        <v>3.8198836326840374E-2</v>
      </c>
      <c r="BE985" s="30">
        <f>VLOOKUP(Inventory[[#This Row],[Nbhd]],Lookups!$M$3:$P$5,4,FALSE)</f>
        <v>0.99970000000000003</v>
      </c>
      <c r="BF985" s="30">
        <f>VLOOKUP(Inventory[[#This Row],[Qlty]],Lookups!$M$8:$P$22,4,FALSE)</f>
        <v>1.0019</v>
      </c>
      <c r="BG985" s="30">
        <f>VLOOKUP(Inventory[[#This Row],[Cnd]],Lookups!$R$8:$U$17,4,FALSE)</f>
        <v>0.997</v>
      </c>
      <c r="BH985" s="30">
        <f>VLOOKUP(Inventory[[#This Row],[LivArea Range]],Lookups!$R$25:$U$43,4,FALSE)</f>
        <v>1.0008999999999999</v>
      </c>
      <c r="BI985" s="30">
        <f>VLOOKUP(Inventory[[#This Row],[Decade]],Lookups!$M$24:$P$40,4,FALSE)</f>
        <v>0.99560000000000004</v>
      </c>
      <c r="BJ985" s="30">
        <f>Inventory[[#This Row],[Nbhd Adj]]*0.95</f>
        <v>0.94971499999999998</v>
      </c>
      <c r="BK985" s="30">
        <f>AVERAGE(Inventory[[#This Row],[Nbhd Adj]],Inventory[[#This Row],[Quality Adj]],Inventory[[#This Row],[Condition Adj]],Inventory[[#This Row],[Living Area Adj]],Inventory[[#This Row],[Decade Adj]])*0.95</f>
        <v>0.94906899999999972</v>
      </c>
      <c r="BL985" s="30">
        <f>ROUND((SUM(Inventory[[#This Row],[Mdl Qlty]:[Mdl Garage Area]])+Inventory[[#This Row],[Mdl Res Intercept]])*Inventory[[#This Row],[Res Adj ]],-2)</f>
        <v>327700</v>
      </c>
      <c r="BM985" s="30">
        <f>ROUND(Inventory[[#This Row],[25Det]]*Inventory[[#This Row],[Det/Nbhd Adj]],-2)</f>
        <v>0</v>
      </c>
      <c r="BN985" s="30">
        <f>Inventory[[#This Row],[Adjusted Res]]+Inventory[[#This Row],[Adj Det ]]</f>
        <v>327700</v>
      </c>
      <c r="BO985" s="30">
        <f>ROUND((Inventory[[#This Row],[Mdl Land Intercept]]+Inventory[[#This Row],[Mdl LnAcres]])*Inventory[[#This Row],[Det/Nbhd Adj]],-2)</f>
        <v>61800</v>
      </c>
      <c r="BP985" s="30">
        <f>Inventory[[#This Row],[Adjusted Impr Total]]+Inventory[[#This Row],[Adjusted Land Total]]</f>
        <v>389500</v>
      </c>
      <c r="BQ985" s="30">
        <f>IFERROR((Inventory[[#This Row],[Adjusted Impr Total]]-Inventory[[#This Row],[24Bldg]])/Inventory[[#This Row],[24Bldg]],0)</f>
        <v>-1.7685851318944845E-2</v>
      </c>
      <c r="BR985" s="43">
        <f>(Inventory[[#This Row],[Adjusted Land Total]]-Inventory[[#This Row],[24Lnd]])/Inventory[[#This Row],[24Lnd]]</f>
        <v>1.6207455429497568E-3</v>
      </c>
      <c r="BS985" s="43">
        <f>(Inventory[[#This Row],[Adjusted Total]]-Inventory[[#This Row],[24Final]])/Inventory[[#This Row],[24Final]]</f>
        <v>-1.4672400708322793E-2</v>
      </c>
    </row>
    <row r="986" spans="1:71">
      <c r="A986" s="30">
        <v>2025</v>
      </c>
      <c r="B986" s="31" t="s">
        <v>1501</v>
      </c>
      <c r="C986" s="31">
        <f>LN(Inventory[[#This Row],[Acres]])</f>
        <v>-1.7719568419318752</v>
      </c>
      <c r="D986" s="30">
        <v>0.17</v>
      </c>
      <c r="E986" s="30">
        <v>7500</v>
      </c>
      <c r="F986" s="31" t="s">
        <v>505</v>
      </c>
      <c r="G986" s="31" t="s">
        <v>155</v>
      </c>
      <c r="H986" s="31" t="s">
        <v>5</v>
      </c>
      <c r="I986" s="31" t="s">
        <v>506</v>
      </c>
      <c r="J986" s="31" t="s">
        <v>507</v>
      </c>
      <c r="K986" s="31" t="s">
        <v>193</v>
      </c>
      <c r="L986" s="31" t="s">
        <v>21</v>
      </c>
      <c r="M986" s="31" t="s">
        <v>20</v>
      </c>
      <c r="N986" s="31">
        <v>20</v>
      </c>
      <c r="O986" s="31">
        <f>2024-Inventory[[#This Row],[YrBlt]]</f>
        <v>20</v>
      </c>
      <c r="P986" s="31">
        <f>2024-Inventory[[#This Row],[EffYr]]</f>
        <v>20</v>
      </c>
      <c r="Q986" s="30">
        <v>2004</v>
      </c>
      <c r="R986" s="30">
        <v>2004</v>
      </c>
      <c r="S986" s="30">
        <v>1706</v>
      </c>
      <c r="T986" s="32"/>
      <c r="U986" s="32"/>
      <c r="V986" s="32"/>
      <c r="W986" s="32"/>
      <c r="X986" s="32">
        <f>Inventory[[#This Row],[Bsmt Area]]-Inventory[[#This Row],[FnBsmt]]</f>
        <v>0</v>
      </c>
      <c r="Y986" s="32">
        <f>Inventory[[#This Row],[MainFn]]+Inventory[[#This Row],[UpprFn]]+Inventory[[#This Row],[AddFn]]+Inventory[[#This Row],[FnBsmt]]</f>
        <v>1706</v>
      </c>
      <c r="Z986" s="32">
        <v>2000</v>
      </c>
      <c r="AA986" s="31" t="s">
        <v>55</v>
      </c>
      <c r="AB986" s="32"/>
      <c r="AC986" s="30">
        <v>466</v>
      </c>
      <c r="AD986" s="32"/>
      <c r="AE986" s="32"/>
      <c r="AF986" s="32"/>
      <c r="AG986" s="32"/>
      <c r="AH986" s="32"/>
      <c r="AI986" s="30">
        <v>373267</v>
      </c>
      <c r="AJ986" s="30">
        <v>339673</v>
      </c>
      <c r="AK986" s="30">
        <v>0</v>
      </c>
      <c r="AL986" s="30">
        <v>0</v>
      </c>
      <c r="AM986" s="30">
        <v>61700</v>
      </c>
      <c r="AN986" s="30">
        <v>304500</v>
      </c>
      <c r="AO986" s="30">
        <v>366200</v>
      </c>
      <c r="AP986" s="30">
        <f>Lookups!$B$58*0.6</f>
        <v>132535.48800000001</v>
      </c>
      <c r="AQ986" s="30">
        <f>Lookups!$B$58*0.4</f>
        <v>88356.992000000013</v>
      </c>
      <c r="AR986" s="30">
        <f>Lookups!$B$59*Inventory[[#This Row],[LnAcres]]</f>
        <v>-23255.730391660189</v>
      </c>
      <c r="AS986" s="30">
        <f>VLOOKUP(Inventory[[#This Row],[Qlty]],Lookups!$A$66:$E$79,2,FALSE)</f>
        <v>32917.849192000001</v>
      </c>
      <c r="AT986" s="30">
        <f>VLOOKUP(Inventory[[#This Row],[Cnd]],Lookups!$A$80:$E$88,2,FALSE)</f>
        <v>30300.329274</v>
      </c>
      <c r="AU986" s="30">
        <f>Inventory[[#This Row],[EffAge]]*Lookups!$B$65</f>
        <v>-2174.8220000000001</v>
      </c>
      <c r="AV986" s="30">
        <f>Inventory[[#This Row],[MainFn]]*Lookups!$B$90</f>
        <v>106472.10828</v>
      </c>
      <c r="AW986" s="30">
        <f>Inventory[[#This Row],[UpprFn]]*Lookups!$B$91</f>
        <v>0</v>
      </c>
      <c r="AX986" s="30">
        <f>Inventory[[#This Row],[Bsmt Area]]*Lookups!$B$95</f>
        <v>0</v>
      </c>
      <c r="AY986" s="30">
        <f>Inventory[[#This Row],[AttGar]]*Lookups!$B$93</f>
        <v>16450.280446000001</v>
      </c>
      <c r="AZ986" s="30">
        <f>ROUND(Inventory[[#This Row],[25Det]],-2)</f>
        <v>0</v>
      </c>
      <c r="BA986" s="30">
        <f>ROUND(SUM(Inventory[[#This Row],[Mdl Qlty]:[Mdl Garage Area]])+Inventory[[#This Row],[Mdl Res Intercept]],-2)</f>
        <v>316500</v>
      </c>
      <c r="BB986" s="30">
        <f>ROUND(Inventory[[#This Row],[Mdl Land Intercept]]+Inventory[[#This Row],[Mdl LnAcres]],-2)</f>
        <v>65100</v>
      </c>
      <c r="BC986" s="30">
        <f>Inventory[[#This Row],[Unadj Res Value]]+Inventory[[#This Row],[Unadj Det Value]]+Inventory[[#This Row],[Unadj Land Value]]</f>
        <v>381600</v>
      </c>
      <c r="BD986" s="30">
        <f>(Inventory[[#This Row],[Unadj Total Value]]-Inventory[[#This Row],[24Final]])/Inventory[[#This Row],[24Final]]</f>
        <v>4.2053522665210265E-2</v>
      </c>
      <c r="BE986" s="30">
        <f>VLOOKUP(Inventory[[#This Row],[Nbhd]],Lookups!$M$3:$P$5,4,FALSE)</f>
        <v>0.99970000000000003</v>
      </c>
      <c r="BF986" s="30">
        <f>VLOOKUP(Inventory[[#This Row],[Qlty]],Lookups!$M$8:$P$22,4,FALSE)</f>
        <v>1.0019</v>
      </c>
      <c r="BG986" s="30">
        <f>VLOOKUP(Inventory[[#This Row],[Cnd]],Lookups!$R$8:$U$17,4,FALSE)</f>
        <v>0.997</v>
      </c>
      <c r="BH986" s="30">
        <f>VLOOKUP(Inventory[[#This Row],[LivArea Range]],Lookups!$R$25:$U$43,4,FALSE)</f>
        <v>1.0007999999999999</v>
      </c>
      <c r="BI986" s="30">
        <f>VLOOKUP(Inventory[[#This Row],[Decade]],Lookups!$M$24:$P$40,4,FALSE)</f>
        <v>0.99560000000000004</v>
      </c>
      <c r="BJ986" s="30">
        <f>Inventory[[#This Row],[Nbhd Adj]]*0.95</f>
        <v>0.94971499999999998</v>
      </c>
      <c r="BK986" s="30">
        <f>AVERAGE(Inventory[[#This Row],[Nbhd Adj]],Inventory[[#This Row],[Quality Adj]],Inventory[[#This Row],[Condition Adj]],Inventory[[#This Row],[Living Area Adj]],Inventory[[#This Row],[Decade Adj]])*0.95</f>
        <v>0.94904999999999984</v>
      </c>
      <c r="BL986" s="30">
        <f>ROUND((SUM(Inventory[[#This Row],[Mdl Qlty]:[Mdl Garage Area]])+Inventory[[#This Row],[Mdl Res Intercept]])*Inventory[[#This Row],[Res Adj ]],-2)</f>
        <v>300400</v>
      </c>
      <c r="BM986" s="30">
        <f>ROUND(Inventory[[#This Row],[25Det]]*Inventory[[#This Row],[Det/Nbhd Adj]],-2)</f>
        <v>0</v>
      </c>
      <c r="BN986" s="30">
        <f>Inventory[[#This Row],[Adjusted Res]]+Inventory[[#This Row],[Adj Det ]]</f>
        <v>300400</v>
      </c>
      <c r="BO986" s="30">
        <f>ROUND((Inventory[[#This Row],[Mdl Land Intercept]]+Inventory[[#This Row],[Mdl LnAcres]])*Inventory[[#This Row],[Det/Nbhd Adj]],-2)</f>
        <v>61800</v>
      </c>
      <c r="BP986" s="30">
        <f>Inventory[[#This Row],[Adjusted Impr Total]]+Inventory[[#This Row],[Adjusted Land Total]]</f>
        <v>362200</v>
      </c>
      <c r="BQ986" s="30">
        <f>IFERROR((Inventory[[#This Row],[Adjusted Impr Total]]-Inventory[[#This Row],[24Bldg]])/Inventory[[#This Row],[24Bldg]],0)</f>
        <v>-1.3464696223316914E-2</v>
      </c>
      <c r="BR986" s="43">
        <f>(Inventory[[#This Row],[Adjusted Land Total]]-Inventory[[#This Row],[24Lnd]])/Inventory[[#This Row],[24Lnd]]</f>
        <v>1.6207455429497568E-3</v>
      </c>
      <c r="BS986" s="43">
        <f>(Inventory[[#This Row],[Adjusted Total]]-Inventory[[#This Row],[24Final]])/Inventory[[#This Row],[24Final]]</f>
        <v>-1.0922992900054615E-2</v>
      </c>
    </row>
    <row r="987" spans="1:71">
      <c r="A987" s="30">
        <v>2025</v>
      </c>
      <c r="B987" s="31" t="s">
        <v>1502</v>
      </c>
      <c r="C987" s="31">
        <f>LN(Inventory[[#This Row],[Acres]])</f>
        <v>-1.7719568419318752</v>
      </c>
      <c r="D987" s="30">
        <v>0.17</v>
      </c>
      <c r="E987" s="30">
        <v>7198</v>
      </c>
      <c r="F987" s="31" t="s">
        <v>505</v>
      </c>
      <c r="G987" s="31" t="s">
        <v>155</v>
      </c>
      <c r="H987" s="31" t="s">
        <v>5</v>
      </c>
      <c r="I987" s="31" t="s">
        <v>506</v>
      </c>
      <c r="J987" s="31" t="s">
        <v>507</v>
      </c>
      <c r="K987" s="31" t="s">
        <v>157</v>
      </c>
      <c r="L987" s="31" t="s">
        <v>21</v>
      </c>
      <c r="M987" s="31" t="s">
        <v>22</v>
      </c>
      <c r="N987" s="31">
        <v>20</v>
      </c>
      <c r="O987" s="31">
        <f>2024-Inventory[[#This Row],[YrBlt]]</f>
        <v>20</v>
      </c>
      <c r="P987" s="31">
        <f>2024-Inventory[[#This Row],[EffYr]]</f>
        <v>20</v>
      </c>
      <c r="Q987" s="30">
        <v>2004</v>
      </c>
      <c r="R987" s="30">
        <v>2004</v>
      </c>
      <c r="S987" s="30">
        <v>1116</v>
      </c>
      <c r="T987" s="38">
        <v>1116</v>
      </c>
      <c r="U987" s="32"/>
      <c r="V987" s="32"/>
      <c r="W987" s="32"/>
      <c r="X987" s="32">
        <f>Inventory[[#This Row],[Bsmt Area]]-Inventory[[#This Row],[FnBsmt]]</f>
        <v>0</v>
      </c>
      <c r="Y987" s="32">
        <f>Inventory[[#This Row],[MainFn]]+Inventory[[#This Row],[UpprFn]]+Inventory[[#This Row],[AddFn]]+Inventory[[#This Row],[FnBsmt]]</f>
        <v>2232</v>
      </c>
      <c r="Z987" s="32">
        <v>2500</v>
      </c>
      <c r="AA987" s="31" t="s">
        <v>55</v>
      </c>
      <c r="AB987" s="32"/>
      <c r="AC987" s="30">
        <v>440</v>
      </c>
      <c r="AD987" s="32"/>
      <c r="AE987" s="32"/>
      <c r="AF987" s="32"/>
      <c r="AG987" s="32"/>
      <c r="AH987" s="32"/>
      <c r="AI987" s="30">
        <v>441746</v>
      </c>
      <c r="AJ987" s="30">
        <v>406406</v>
      </c>
      <c r="AK987" s="30">
        <v>0</v>
      </c>
      <c r="AL987" s="30">
        <v>0</v>
      </c>
      <c r="AM987" s="30">
        <v>61700</v>
      </c>
      <c r="AN987" s="30">
        <v>349100</v>
      </c>
      <c r="AO987" s="30">
        <v>410800</v>
      </c>
      <c r="AP987" s="30">
        <f>Lookups!$B$58*0.6</f>
        <v>132535.48800000001</v>
      </c>
      <c r="AQ987" s="30">
        <f>Lookups!$B$58*0.4</f>
        <v>88356.992000000013</v>
      </c>
      <c r="AR987" s="30">
        <f>Lookups!$B$59*Inventory[[#This Row],[LnAcres]]</f>
        <v>-23255.730391660189</v>
      </c>
      <c r="AS987" s="30">
        <f>VLOOKUP(Inventory[[#This Row],[Qlty]],Lookups!$A$66:$E$79,2,FALSE)</f>
        <v>32917.849192000001</v>
      </c>
      <c r="AT987" s="30">
        <f>VLOOKUP(Inventory[[#This Row],[Cnd]],Lookups!$A$80:$E$88,2,FALSE)</f>
        <v>50438.379078999998</v>
      </c>
      <c r="AU987" s="30">
        <f>Inventory[[#This Row],[EffAge]]*Lookups!$B$65</f>
        <v>-2174.8220000000001</v>
      </c>
      <c r="AV987" s="30">
        <f>Inventory[[#This Row],[MainFn]]*Lookups!$B$90</f>
        <v>69649.984080000009</v>
      </c>
      <c r="AW987" s="30">
        <f>Inventory[[#This Row],[UpprFn]]*Lookups!$B$91</f>
        <v>66491.707427999994</v>
      </c>
      <c r="AX987" s="30">
        <f>Inventory[[#This Row],[Bsmt Area]]*Lookups!$B$95</f>
        <v>0</v>
      </c>
      <c r="AY987" s="30">
        <f>Inventory[[#This Row],[AttGar]]*Lookups!$B$93</f>
        <v>15532.453640000002</v>
      </c>
      <c r="AZ987" s="30">
        <f>ROUND(Inventory[[#This Row],[25Det]],-2)</f>
        <v>0</v>
      </c>
      <c r="BA987" s="30">
        <f>ROUND(SUM(Inventory[[#This Row],[Mdl Qlty]:[Mdl Garage Area]])+Inventory[[#This Row],[Mdl Res Intercept]],-2)</f>
        <v>365400</v>
      </c>
      <c r="BB987" s="30">
        <f>ROUND(Inventory[[#This Row],[Mdl Land Intercept]]+Inventory[[#This Row],[Mdl LnAcres]],-2)</f>
        <v>65100</v>
      </c>
      <c r="BC987" s="30">
        <f>Inventory[[#This Row],[Unadj Res Value]]+Inventory[[#This Row],[Unadj Det Value]]+Inventory[[#This Row],[Unadj Land Value]]</f>
        <v>430500</v>
      </c>
      <c r="BD987" s="30">
        <f>(Inventory[[#This Row],[Unadj Total Value]]-Inventory[[#This Row],[24Final]])/Inventory[[#This Row],[24Final]]</f>
        <v>4.7955209347614408E-2</v>
      </c>
      <c r="BE987" s="30">
        <f>VLOOKUP(Inventory[[#This Row],[Nbhd]],Lookups!$M$3:$P$5,4,FALSE)</f>
        <v>0.99970000000000003</v>
      </c>
      <c r="BF987" s="30">
        <f>VLOOKUP(Inventory[[#This Row],[Qlty]],Lookups!$M$8:$P$22,4,FALSE)</f>
        <v>1.0019</v>
      </c>
      <c r="BG987" s="30">
        <f>VLOOKUP(Inventory[[#This Row],[Cnd]],Lookups!$R$8:$U$17,4,FALSE)</f>
        <v>1.0007999999999999</v>
      </c>
      <c r="BH987" s="30">
        <f>VLOOKUP(Inventory[[#This Row],[LivArea Range]],Lookups!$R$25:$U$43,4,FALSE)</f>
        <v>1.0008999999999999</v>
      </c>
      <c r="BI987" s="30">
        <f>VLOOKUP(Inventory[[#This Row],[Decade]],Lookups!$M$24:$P$40,4,FALSE)</f>
        <v>0.99560000000000004</v>
      </c>
      <c r="BJ987" s="30">
        <f>Inventory[[#This Row],[Nbhd Adj]]*0.95</f>
        <v>0.94971499999999998</v>
      </c>
      <c r="BK987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987" s="30">
        <f>ROUND((SUM(Inventory[[#This Row],[Mdl Qlty]:[Mdl Garage Area]])+Inventory[[#This Row],[Mdl Res Intercept]])*Inventory[[#This Row],[Res Adj ]],-2)</f>
        <v>347000</v>
      </c>
      <c r="BM987" s="30">
        <f>ROUND(Inventory[[#This Row],[25Det]]*Inventory[[#This Row],[Det/Nbhd Adj]],-2)</f>
        <v>0</v>
      </c>
      <c r="BN987" s="30">
        <f>Inventory[[#This Row],[Adjusted Res]]+Inventory[[#This Row],[Adj Det ]]</f>
        <v>347000</v>
      </c>
      <c r="BO987" s="30">
        <f>ROUND((Inventory[[#This Row],[Mdl Land Intercept]]+Inventory[[#This Row],[Mdl LnAcres]])*Inventory[[#This Row],[Det/Nbhd Adj]],-2)</f>
        <v>61800</v>
      </c>
      <c r="BP987" s="30">
        <f>Inventory[[#This Row],[Adjusted Impr Total]]+Inventory[[#This Row],[Adjusted Land Total]]</f>
        <v>408800</v>
      </c>
      <c r="BQ987" s="30">
        <f>IFERROR((Inventory[[#This Row],[Adjusted Impr Total]]-Inventory[[#This Row],[24Bldg]])/Inventory[[#This Row],[24Bldg]],0)</f>
        <v>-6.0154683471784591E-3</v>
      </c>
      <c r="BR987" s="43">
        <f>(Inventory[[#This Row],[Adjusted Land Total]]-Inventory[[#This Row],[24Lnd]])/Inventory[[#This Row],[24Lnd]]</f>
        <v>1.6207455429497568E-3</v>
      </c>
      <c r="BS987" s="43">
        <f>(Inventory[[#This Row],[Adjusted Total]]-Inventory[[#This Row],[24Final]])/Inventory[[#This Row],[24Final]]</f>
        <v>-4.8685491723466411E-3</v>
      </c>
    </row>
    <row r="988" spans="1:71">
      <c r="A988" s="30">
        <v>2025</v>
      </c>
      <c r="B988" s="31" t="s">
        <v>1503</v>
      </c>
      <c r="C988" s="31">
        <f>LN(Inventory[[#This Row],[Acres]])</f>
        <v>-1.7719568419318752</v>
      </c>
      <c r="D988" s="30">
        <v>0.17</v>
      </c>
      <c r="E988" s="30">
        <v>7193</v>
      </c>
      <c r="F988" s="31" t="s">
        <v>505</v>
      </c>
      <c r="G988" s="31" t="s">
        <v>155</v>
      </c>
      <c r="H988" s="31" t="s">
        <v>5</v>
      </c>
      <c r="I988" s="31" t="s">
        <v>506</v>
      </c>
      <c r="J988" s="31" t="s">
        <v>507</v>
      </c>
      <c r="K988" s="31" t="s">
        <v>157</v>
      </c>
      <c r="L988" s="31" t="s">
        <v>21</v>
      </c>
      <c r="M988" s="31" t="s">
        <v>20</v>
      </c>
      <c r="N988" s="31">
        <v>20</v>
      </c>
      <c r="O988" s="31">
        <f>2024-Inventory[[#This Row],[YrBlt]]</f>
        <v>20</v>
      </c>
      <c r="P988" s="31">
        <f>2024-Inventory[[#This Row],[EffYr]]</f>
        <v>20</v>
      </c>
      <c r="Q988" s="30">
        <v>2004</v>
      </c>
      <c r="R988" s="30">
        <v>2004</v>
      </c>
      <c r="S988" s="30">
        <v>1158</v>
      </c>
      <c r="T988" s="30">
        <v>1322</v>
      </c>
      <c r="U988" s="32"/>
      <c r="V988" s="32"/>
      <c r="W988" s="32"/>
      <c r="X988" s="32">
        <f>Inventory[[#This Row],[Bsmt Area]]-Inventory[[#This Row],[FnBsmt]]</f>
        <v>0</v>
      </c>
      <c r="Y988" s="32">
        <f>Inventory[[#This Row],[MainFn]]+Inventory[[#This Row],[UpprFn]]+Inventory[[#This Row],[AddFn]]+Inventory[[#This Row],[FnBsmt]]</f>
        <v>2480</v>
      </c>
      <c r="Z988" s="32">
        <v>2500</v>
      </c>
      <c r="AA988" s="31" t="s">
        <v>56</v>
      </c>
      <c r="AB988" s="38">
        <v>1</v>
      </c>
      <c r="AC988" s="30">
        <v>300</v>
      </c>
      <c r="AD988" s="38">
        <v>502</v>
      </c>
      <c r="AE988" s="32"/>
      <c r="AF988" s="32"/>
      <c r="AG988" s="32"/>
      <c r="AH988" s="32"/>
      <c r="AI988" s="30">
        <v>528093</v>
      </c>
      <c r="AJ988" s="30">
        <v>480565</v>
      </c>
      <c r="AK988" s="30">
        <v>0</v>
      </c>
      <c r="AL988" s="30">
        <v>0</v>
      </c>
      <c r="AM988" s="30">
        <v>61700</v>
      </c>
      <c r="AN988" s="30">
        <v>385300</v>
      </c>
      <c r="AO988" s="30">
        <v>447000</v>
      </c>
      <c r="AP988" s="30">
        <f>Lookups!$B$58*0.6</f>
        <v>132535.48800000001</v>
      </c>
      <c r="AQ988" s="30">
        <f>Lookups!$B$58*0.4</f>
        <v>88356.992000000013</v>
      </c>
      <c r="AR988" s="30">
        <f>Lookups!$B$59*Inventory[[#This Row],[LnAcres]]</f>
        <v>-23255.730391660189</v>
      </c>
      <c r="AS988" s="30">
        <f>VLOOKUP(Inventory[[#This Row],[Qlty]],Lookups!$A$66:$E$79,2,FALSE)</f>
        <v>32917.849192000001</v>
      </c>
      <c r="AT988" s="30">
        <f>VLOOKUP(Inventory[[#This Row],[Cnd]],Lookups!$A$80:$E$88,2,FALSE)</f>
        <v>30300.329274</v>
      </c>
      <c r="AU988" s="30">
        <f>Inventory[[#This Row],[EffAge]]*Lookups!$B$65</f>
        <v>-2174.8220000000001</v>
      </c>
      <c r="AV988" s="30">
        <f>Inventory[[#This Row],[MainFn]]*Lookups!$B$90</f>
        <v>72271.22004</v>
      </c>
      <c r="AW988" s="30">
        <f>Inventory[[#This Row],[UpprFn]]*Lookups!$B$91</f>
        <v>78765.266325999997</v>
      </c>
      <c r="AX988" s="30">
        <f>Inventory[[#This Row],[Bsmt Area]]*Lookups!$B$95</f>
        <v>0</v>
      </c>
      <c r="AY988" s="30">
        <f>Inventory[[#This Row],[AttGar]]*Lookups!$B$93</f>
        <v>10590.309300000001</v>
      </c>
      <c r="AZ988" s="30">
        <f>ROUND(Inventory[[#This Row],[25Det]],-2)</f>
        <v>0</v>
      </c>
      <c r="BA988" s="30">
        <f>ROUND(SUM(Inventory[[#This Row],[Mdl Qlty]:[Mdl Garage Area]])+Inventory[[#This Row],[Mdl Res Intercept]],-2)</f>
        <v>355200</v>
      </c>
      <c r="BB988" s="30">
        <f>ROUND(Inventory[[#This Row],[Mdl Land Intercept]]+Inventory[[#This Row],[Mdl LnAcres]],-2)</f>
        <v>65100</v>
      </c>
      <c r="BC988" s="30">
        <f>Inventory[[#This Row],[Unadj Res Value]]+Inventory[[#This Row],[Unadj Det Value]]+Inventory[[#This Row],[Unadj Land Value]]</f>
        <v>420300</v>
      </c>
      <c r="BD988" s="30">
        <f>(Inventory[[#This Row],[Unadj Total Value]]-Inventory[[#This Row],[24Final]])/Inventory[[#This Row],[24Final]]</f>
        <v>-5.9731543624161075E-2</v>
      </c>
      <c r="BE988" s="30">
        <f>VLOOKUP(Inventory[[#This Row],[Nbhd]],Lookups!$M$3:$P$5,4,FALSE)</f>
        <v>0.99970000000000003</v>
      </c>
      <c r="BF988" s="30">
        <f>VLOOKUP(Inventory[[#This Row],[Qlty]],Lookups!$M$8:$P$22,4,FALSE)</f>
        <v>1.0019</v>
      </c>
      <c r="BG988" s="30">
        <f>VLOOKUP(Inventory[[#This Row],[Cnd]],Lookups!$R$8:$U$17,4,FALSE)</f>
        <v>0.997</v>
      </c>
      <c r="BH988" s="30">
        <f>VLOOKUP(Inventory[[#This Row],[LivArea Range]],Lookups!$R$25:$U$43,4,FALSE)</f>
        <v>1.0008999999999999</v>
      </c>
      <c r="BI988" s="30">
        <f>VLOOKUP(Inventory[[#This Row],[Decade]],Lookups!$M$24:$P$40,4,FALSE)</f>
        <v>0.99560000000000004</v>
      </c>
      <c r="BJ988" s="30">
        <f>Inventory[[#This Row],[Nbhd Adj]]*0.95</f>
        <v>0.94971499999999998</v>
      </c>
      <c r="BK988" s="30">
        <f>AVERAGE(Inventory[[#This Row],[Nbhd Adj]],Inventory[[#This Row],[Quality Adj]],Inventory[[#This Row],[Condition Adj]],Inventory[[#This Row],[Living Area Adj]],Inventory[[#This Row],[Decade Adj]])*0.95</f>
        <v>0.94906899999999972</v>
      </c>
      <c r="BL988" s="30">
        <f>ROUND((SUM(Inventory[[#This Row],[Mdl Qlty]:[Mdl Garage Area]])+Inventory[[#This Row],[Mdl Res Intercept]])*Inventory[[#This Row],[Res Adj ]],-2)</f>
        <v>337100</v>
      </c>
      <c r="BM988" s="30">
        <f>ROUND(Inventory[[#This Row],[25Det]]*Inventory[[#This Row],[Det/Nbhd Adj]],-2)</f>
        <v>0</v>
      </c>
      <c r="BN988" s="30">
        <f>Inventory[[#This Row],[Adjusted Res]]+Inventory[[#This Row],[Adj Det ]]</f>
        <v>337100</v>
      </c>
      <c r="BO988" s="30">
        <f>ROUND((Inventory[[#This Row],[Mdl Land Intercept]]+Inventory[[#This Row],[Mdl LnAcres]])*Inventory[[#This Row],[Det/Nbhd Adj]],-2)</f>
        <v>61800</v>
      </c>
      <c r="BP988" s="30">
        <f>Inventory[[#This Row],[Adjusted Impr Total]]+Inventory[[#This Row],[Adjusted Land Total]]</f>
        <v>398900</v>
      </c>
      <c r="BQ988" s="30">
        <f>IFERROR((Inventory[[#This Row],[Adjusted Impr Total]]-Inventory[[#This Row],[24Bldg]])/Inventory[[#This Row],[24Bldg]],0)</f>
        <v>-0.1250973267583701</v>
      </c>
      <c r="BR988" s="43">
        <f>(Inventory[[#This Row],[Adjusted Land Total]]-Inventory[[#This Row],[24Lnd]])/Inventory[[#This Row],[24Lnd]]</f>
        <v>1.6207455429497568E-3</v>
      </c>
      <c r="BS988" s="43">
        <f>(Inventory[[#This Row],[Adjusted Total]]-Inventory[[#This Row],[24Final]])/Inventory[[#This Row],[24Final]]</f>
        <v>-0.10760626398210291</v>
      </c>
    </row>
    <row r="989" spans="1:71">
      <c r="A989" s="30">
        <v>2025</v>
      </c>
      <c r="B989" s="31" t="s">
        <v>1504</v>
      </c>
      <c r="C989" s="31">
        <f>LN(Inventory[[#This Row],[Acres]])</f>
        <v>-1.7719568419318752</v>
      </c>
      <c r="D989" s="30">
        <v>0.17</v>
      </c>
      <c r="E989" s="30">
        <v>7500</v>
      </c>
      <c r="F989" s="31" t="s">
        <v>505</v>
      </c>
      <c r="G989" s="31" t="s">
        <v>155</v>
      </c>
      <c r="H989" s="31" t="s">
        <v>5</v>
      </c>
      <c r="I989" s="31" t="s">
        <v>506</v>
      </c>
      <c r="J989" s="31" t="s">
        <v>507</v>
      </c>
      <c r="K989" s="31" t="s">
        <v>193</v>
      </c>
      <c r="L989" s="31" t="s">
        <v>19</v>
      </c>
      <c r="M989" s="31" t="s">
        <v>18</v>
      </c>
      <c r="N989" s="31">
        <v>20</v>
      </c>
      <c r="O989" s="31">
        <f>2024-Inventory[[#This Row],[YrBlt]]</f>
        <v>20</v>
      </c>
      <c r="P989" s="31">
        <f>2024-Inventory[[#This Row],[EffYr]]</f>
        <v>20</v>
      </c>
      <c r="Q989" s="30">
        <v>2004</v>
      </c>
      <c r="R989" s="30">
        <v>2004</v>
      </c>
      <c r="S989" s="30">
        <v>1380</v>
      </c>
      <c r="T989" s="32"/>
      <c r="U989" s="32"/>
      <c r="V989" s="32"/>
      <c r="W989" s="32"/>
      <c r="X989" s="32">
        <f>Inventory[[#This Row],[Bsmt Area]]-Inventory[[#This Row],[FnBsmt]]</f>
        <v>0</v>
      </c>
      <c r="Y989" s="32">
        <f>Inventory[[#This Row],[MainFn]]+Inventory[[#This Row],[UpprFn]]+Inventory[[#This Row],[AddFn]]+Inventory[[#This Row],[FnBsmt]]</f>
        <v>1380</v>
      </c>
      <c r="Z989" s="32">
        <v>1500</v>
      </c>
      <c r="AA989" s="31" t="s">
        <v>56</v>
      </c>
      <c r="AB989" s="32"/>
      <c r="AC989" s="30">
        <v>428</v>
      </c>
      <c r="AD989" s="32"/>
      <c r="AE989" s="32"/>
      <c r="AF989" s="32"/>
      <c r="AG989" s="32"/>
      <c r="AH989" s="32"/>
      <c r="AI989" s="30">
        <v>285452</v>
      </c>
      <c r="AJ989" s="30">
        <v>259761</v>
      </c>
      <c r="AK989" s="30">
        <v>0</v>
      </c>
      <c r="AL989" s="30">
        <v>0</v>
      </c>
      <c r="AM989" s="30">
        <v>61700</v>
      </c>
      <c r="AN989" s="30">
        <v>300700</v>
      </c>
      <c r="AO989" s="30">
        <v>362400</v>
      </c>
      <c r="AP989" s="30">
        <f>Lookups!$B$58*0.6</f>
        <v>132535.48800000001</v>
      </c>
      <c r="AQ989" s="30">
        <f>Lookups!$B$58*0.4</f>
        <v>88356.992000000013</v>
      </c>
      <c r="AR989" s="30">
        <f>Lookups!$B$59*Inventory[[#This Row],[LnAcres]]</f>
        <v>-23255.730391660189</v>
      </c>
      <c r="AS989" s="30">
        <f>VLOOKUP(Inventory[[#This Row],[Qlty]],Lookups!$A$66:$E$79,2,FALSE)</f>
        <v>37154.252388000001</v>
      </c>
      <c r="AT989" s="30">
        <f>VLOOKUP(Inventory[[#This Row],[Cnd]],Lookups!$A$80:$E$88,2,FALSE)</f>
        <v>17761.121909000001</v>
      </c>
      <c r="AU989" s="30">
        <f>Inventory[[#This Row],[EffAge]]*Lookups!$B$65</f>
        <v>-2174.8220000000001</v>
      </c>
      <c r="AV989" s="30">
        <f>Inventory[[#This Row],[MainFn]]*Lookups!$B$90</f>
        <v>86126.324399999998</v>
      </c>
      <c r="AW989" s="30">
        <f>Inventory[[#This Row],[UpprFn]]*Lookups!$B$91</f>
        <v>0</v>
      </c>
      <c r="AX989" s="30">
        <f>Inventory[[#This Row],[Bsmt Area]]*Lookups!$B$95</f>
        <v>0</v>
      </c>
      <c r="AY989" s="30">
        <f>Inventory[[#This Row],[AttGar]]*Lookups!$B$93</f>
        <v>15108.841268</v>
      </c>
      <c r="AZ989" s="30">
        <f>ROUND(Inventory[[#This Row],[25Det]],-2)</f>
        <v>0</v>
      </c>
      <c r="BA989" s="30">
        <f>ROUND(SUM(Inventory[[#This Row],[Mdl Qlty]:[Mdl Garage Area]])+Inventory[[#This Row],[Mdl Res Intercept]],-2)</f>
        <v>286500</v>
      </c>
      <c r="BB989" s="30">
        <f>ROUND(Inventory[[#This Row],[Mdl Land Intercept]]+Inventory[[#This Row],[Mdl LnAcres]],-2)</f>
        <v>65100</v>
      </c>
      <c r="BC989" s="30">
        <f>Inventory[[#This Row],[Unadj Res Value]]+Inventory[[#This Row],[Unadj Det Value]]+Inventory[[#This Row],[Unadj Land Value]]</f>
        <v>351600</v>
      </c>
      <c r="BD989" s="30">
        <f>(Inventory[[#This Row],[Unadj Total Value]]-Inventory[[#This Row],[24Final]])/Inventory[[#This Row],[24Final]]</f>
        <v>-2.9801324503311258E-2</v>
      </c>
      <c r="BE989" s="30">
        <f>VLOOKUP(Inventory[[#This Row],[Nbhd]],Lookups!$M$3:$P$5,4,FALSE)</f>
        <v>0.99970000000000003</v>
      </c>
      <c r="BF989" s="30">
        <f>VLOOKUP(Inventory[[#This Row],[Qlty]],Lookups!$M$8:$P$22,4,FALSE)</f>
        <v>0.99819999999999998</v>
      </c>
      <c r="BG989" s="30">
        <f>VLOOKUP(Inventory[[#This Row],[Cnd]],Lookups!$R$8:$U$17,4,FALSE)</f>
        <v>0.99680000000000002</v>
      </c>
      <c r="BH989" s="30">
        <f>VLOOKUP(Inventory[[#This Row],[LivArea Range]],Lookups!$R$25:$U$43,4,FALSE)</f>
        <v>0.99519999999999997</v>
      </c>
      <c r="BI989" s="30">
        <f>VLOOKUP(Inventory[[#This Row],[Decade]],Lookups!$M$24:$P$40,4,FALSE)</f>
        <v>0.99560000000000004</v>
      </c>
      <c r="BJ989" s="30">
        <f>Inventory[[#This Row],[Nbhd Adj]]*0.95</f>
        <v>0.94971499999999998</v>
      </c>
      <c r="BK989" s="30">
        <f>AVERAGE(Inventory[[#This Row],[Nbhd Adj]],Inventory[[#This Row],[Quality Adj]],Inventory[[#This Row],[Condition Adj]],Inventory[[#This Row],[Living Area Adj]],Inventory[[#This Row],[Decade Adj]])*0.95</f>
        <v>0.94724499999999989</v>
      </c>
      <c r="BL989" s="30">
        <f>ROUND((SUM(Inventory[[#This Row],[Mdl Qlty]:[Mdl Garage Area]])+Inventory[[#This Row],[Mdl Res Intercept]])*Inventory[[#This Row],[Res Adj ]],-2)</f>
        <v>271400</v>
      </c>
      <c r="BM989" s="30">
        <f>ROUND(Inventory[[#This Row],[25Det]]*Inventory[[#This Row],[Det/Nbhd Adj]],-2)</f>
        <v>0</v>
      </c>
      <c r="BN989" s="30">
        <f>Inventory[[#This Row],[Adjusted Res]]+Inventory[[#This Row],[Adj Det ]]</f>
        <v>271400</v>
      </c>
      <c r="BO989" s="30">
        <f>ROUND((Inventory[[#This Row],[Mdl Land Intercept]]+Inventory[[#This Row],[Mdl LnAcres]])*Inventory[[#This Row],[Det/Nbhd Adj]],-2)</f>
        <v>61800</v>
      </c>
      <c r="BP989" s="30">
        <f>Inventory[[#This Row],[Adjusted Impr Total]]+Inventory[[#This Row],[Adjusted Land Total]]</f>
        <v>333200</v>
      </c>
      <c r="BQ989" s="30">
        <f>IFERROR((Inventory[[#This Row],[Adjusted Impr Total]]-Inventory[[#This Row],[24Bldg]])/Inventory[[#This Row],[24Bldg]],0)</f>
        <v>-9.7439308280678413E-2</v>
      </c>
      <c r="BR989" s="43">
        <f>(Inventory[[#This Row],[Adjusted Land Total]]-Inventory[[#This Row],[24Lnd]])/Inventory[[#This Row],[24Lnd]]</f>
        <v>1.6207455429497568E-3</v>
      </c>
      <c r="BS989" s="43">
        <f>(Inventory[[#This Row],[Adjusted Total]]-Inventory[[#This Row],[24Final]])/Inventory[[#This Row],[24Final]]</f>
        <v>-8.0573951434878582E-2</v>
      </c>
    </row>
    <row r="990" spans="1:71">
      <c r="A990" s="30">
        <v>2025</v>
      </c>
      <c r="B990" s="31" t="s">
        <v>1505</v>
      </c>
      <c r="C990" s="31">
        <f>LN(Inventory[[#This Row],[Acres]])</f>
        <v>-1.7719568419318752</v>
      </c>
      <c r="D990" s="30">
        <v>0.17</v>
      </c>
      <c r="E990" s="30">
        <v>7439</v>
      </c>
      <c r="F990" s="31" t="s">
        <v>505</v>
      </c>
      <c r="G990" s="31" t="s">
        <v>155</v>
      </c>
      <c r="H990" s="31" t="s">
        <v>5</v>
      </c>
      <c r="I990" s="31" t="s">
        <v>506</v>
      </c>
      <c r="J990" s="31" t="s">
        <v>507</v>
      </c>
      <c r="K990" s="31" t="s">
        <v>157</v>
      </c>
      <c r="L990" s="31" t="s">
        <v>21</v>
      </c>
      <c r="M990" s="31" t="s">
        <v>20</v>
      </c>
      <c r="N990" s="31">
        <v>20</v>
      </c>
      <c r="O990" s="31">
        <f>2024-Inventory[[#This Row],[YrBlt]]</f>
        <v>20</v>
      </c>
      <c r="P990" s="31">
        <f>2024-Inventory[[#This Row],[EffYr]]</f>
        <v>20</v>
      </c>
      <c r="Q990" s="30">
        <v>2004</v>
      </c>
      <c r="R990" s="30">
        <v>2004</v>
      </c>
      <c r="S990" s="30">
        <v>1158</v>
      </c>
      <c r="T990" s="30">
        <v>1322</v>
      </c>
      <c r="U990" s="32"/>
      <c r="V990" s="32"/>
      <c r="W990" s="32"/>
      <c r="X990" s="32">
        <f>Inventory[[#This Row],[Bsmt Area]]-Inventory[[#This Row],[FnBsmt]]</f>
        <v>0</v>
      </c>
      <c r="Y990" s="32">
        <f>Inventory[[#This Row],[MainFn]]+Inventory[[#This Row],[UpprFn]]+Inventory[[#This Row],[AddFn]]+Inventory[[#This Row],[FnBsmt]]</f>
        <v>2480</v>
      </c>
      <c r="Z990" s="32">
        <v>2500</v>
      </c>
      <c r="AA990" s="31" t="s">
        <v>56</v>
      </c>
      <c r="AB990" s="38">
        <v>1</v>
      </c>
      <c r="AC990" s="30">
        <v>300</v>
      </c>
      <c r="AD990" s="38">
        <v>502</v>
      </c>
      <c r="AE990" s="32"/>
      <c r="AF990" s="32"/>
      <c r="AG990" s="32"/>
      <c r="AH990" s="32"/>
      <c r="AI990" s="30">
        <v>517390</v>
      </c>
      <c r="AJ990" s="30">
        <v>470825</v>
      </c>
      <c r="AK990" s="30">
        <v>0</v>
      </c>
      <c r="AL990" s="30">
        <v>0</v>
      </c>
      <c r="AM990" s="30">
        <v>61700</v>
      </c>
      <c r="AN990" s="30">
        <v>363300</v>
      </c>
      <c r="AO990" s="30">
        <v>425000</v>
      </c>
      <c r="AP990" s="30">
        <f>Lookups!$B$58*0.6</f>
        <v>132535.48800000001</v>
      </c>
      <c r="AQ990" s="30">
        <f>Lookups!$B$58*0.4</f>
        <v>88356.992000000013</v>
      </c>
      <c r="AR990" s="30">
        <f>Lookups!$B$59*Inventory[[#This Row],[LnAcres]]</f>
        <v>-23255.730391660189</v>
      </c>
      <c r="AS990" s="30">
        <f>VLOOKUP(Inventory[[#This Row],[Qlty]],Lookups!$A$66:$E$79,2,FALSE)</f>
        <v>32917.849192000001</v>
      </c>
      <c r="AT990" s="30">
        <f>VLOOKUP(Inventory[[#This Row],[Cnd]],Lookups!$A$80:$E$88,2,FALSE)</f>
        <v>30300.329274</v>
      </c>
      <c r="AU990" s="30">
        <f>Inventory[[#This Row],[EffAge]]*Lookups!$B$65</f>
        <v>-2174.8220000000001</v>
      </c>
      <c r="AV990" s="30">
        <f>Inventory[[#This Row],[MainFn]]*Lookups!$B$90</f>
        <v>72271.22004</v>
      </c>
      <c r="AW990" s="30">
        <f>Inventory[[#This Row],[UpprFn]]*Lookups!$B$91</f>
        <v>78765.266325999997</v>
      </c>
      <c r="AX990" s="30">
        <f>Inventory[[#This Row],[Bsmt Area]]*Lookups!$B$95</f>
        <v>0</v>
      </c>
      <c r="AY990" s="30">
        <f>Inventory[[#This Row],[AttGar]]*Lookups!$B$93</f>
        <v>10590.309300000001</v>
      </c>
      <c r="AZ990" s="30">
        <f>ROUND(Inventory[[#This Row],[25Det]],-2)</f>
        <v>0</v>
      </c>
      <c r="BA990" s="30">
        <f>ROUND(SUM(Inventory[[#This Row],[Mdl Qlty]:[Mdl Garage Area]])+Inventory[[#This Row],[Mdl Res Intercept]],-2)</f>
        <v>355200</v>
      </c>
      <c r="BB990" s="30">
        <f>ROUND(Inventory[[#This Row],[Mdl Land Intercept]]+Inventory[[#This Row],[Mdl LnAcres]],-2)</f>
        <v>65100</v>
      </c>
      <c r="BC990" s="30">
        <f>Inventory[[#This Row],[Unadj Res Value]]+Inventory[[#This Row],[Unadj Det Value]]+Inventory[[#This Row],[Unadj Land Value]]</f>
        <v>420300</v>
      </c>
      <c r="BD990" s="30">
        <f>(Inventory[[#This Row],[Unadj Total Value]]-Inventory[[#This Row],[24Final]])/Inventory[[#This Row],[24Final]]</f>
        <v>-1.1058823529411765E-2</v>
      </c>
      <c r="BE990" s="30">
        <f>VLOOKUP(Inventory[[#This Row],[Nbhd]],Lookups!$M$3:$P$5,4,FALSE)</f>
        <v>0.99970000000000003</v>
      </c>
      <c r="BF990" s="30">
        <f>VLOOKUP(Inventory[[#This Row],[Qlty]],Lookups!$M$8:$P$22,4,FALSE)</f>
        <v>1.0019</v>
      </c>
      <c r="BG990" s="30">
        <f>VLOOKUP(Inventory[[#This Row],[Cnd]],Lookups!$R$8:$U$17,4,FALSE)</f>
        <v>0.997</v>
      </c>
      <c r="BH990" s="30">
        <f>VLOOKUP(Inventory[[#This Row],[LivArea Range]],Lookups!$R$25:$U$43,4,FALSE)</f>
        <v>1.0008999999999999</v>
      </c>
      <c r="BI990" s="30">
        <f>VLOOKUP(Inventory[[#This Row],[Decade]],Lookups!$M$24:$P$40,4,FALSE)</f>
        <v>0.99560000000000004</v>
      </c>
      <c r="BJ990" s="30">
        <f>Inventory[[#This Row],[Nbhd Adj]]*0.95</f>
        <v>0.94971499999999998</v>
      </c>
      <c r="BK990" s="30">
        <f>AVERAGE(Inventory[[#This Row],[Nbhd Adj]],Inventory[[#This Row],[Quality Adj]],Inventory[[#This Row],[Condition Adj]],Inventory[[#This Row],[Living Area Adj]],Inventory[[#This Row],[Decade Adj]])*0.95</f>
        <v>0.94906899999999972</v>
      </c>
      <c r="BL990" s="30">
        <f>ROUND((SUM(Inventory[[#This Row],[Mdl Qlty]:[Mdl Garage Area]])+Inventory[[#This Row],[Mdl Res Intercept]])*Inventory[[#This Row],[Res Adj ]],-2)</f>
        <v>337100</v>
      </c>
      <c r="BM990" s="30">
        <f>ROUND(Inventory[[#This Row],[25Det]]*Inventory[[#This Row],[Det/Nbhd Adj]],-2)</f>
        <v>0</v>
      </c>
      <c r="BN990" s="30">
        <f>Inventory[[#This Row],[Adjusted Res]]+Inventory[[#This Row],[Adj Det ]]</f>
        <v>337100</v>
      </c>
      <c r="BO990" s="30">
        <f>ROUND((Inventory[[#This Row],[Mdl Land Intercept]]+Inventory[[#This Row],[Mdl LnAcres]])*Inventory[[#This Row],[Det/Nbhd Adj]],-2)</f>
        <v>61800</v>
      </c>
      <c r="BP990" s="30">
        <f>Inventory[[#This Row],[Adjusted Impr Total]]+Inventory[[#This Row],[Adjusted Land Total]]</f>
        <v>398900</v>
      </c>
      <c r="BQ990" s="30">
        <f>IFERROR((Inventory[[#This Row],[Adjusted Impr Total]]-Inventory[[#This Row],[24Bldg]])/Inventory[[#This Row],[24Bldg]],0)</f>
        <v>-7.211670795485825E-2</v>
      </c>
      <c r="BR990" s="43">
        <f>(Inventory[[#This Row],[Adjusted Land Total]]-Inventory[[#This Row],[24Lnd]])/Inventory[[#This Row],[24Lnd]]</f>
        <v>1.6207455429497568E-3</v>
      </c>
      <c r="BS990" s="43">
        <f>(Inventory[[#This Row],[Adjusted Total]]-Inventory[[#This Row],[24Final]])/Inventory[[#This Row],[24Final]]</f>
        <v>-6.1411764705882353E-2</v>
      </c>
    </row>
    <row r="991" spans="1:71">
      <c r="A991" s="30">
        <v>2025</v>
      </c>
      <c r="B991" s="31" t="s">
        <v>1506</v>
      </c>
      <c r="C991" s="31">
        <f>LN(Inventory[[#This Row],[Acres]])</f>
        <v>-1.7719568419318752</v>
      </c>
      <c r="D991" s="30">
        <v>0.17</v>
      </c>
      <c r="E991" s="30">
        <v>7464</v>
      </c>
      <c r="F991" s="31" t="s">
        <v>505</v>
      </c>
      <c r="G991" s="31" t="s">
        <v>155</v>
      </c>
      <c r="H991" s="31" t="s">
        <v>5</v>
      </c>
      <c r="I991" s="31" t="s">
        <v>506</v>
      </c>
      <c r="J991" s="31" t="s">
        <v>507</v>
      </c>
      <c r="K991" s="31" t="s">
        <v>157</v>
      </c>
      <c r="L991" s="31" t="s">
        <v>21</v>
      </c>
      <c r="M991" s="31" t="s">
        <v>18</v>
      </c>
      <c r="N991" s="31">
        <v>20</v>
      </c>
      <c r="O991" s="31">
        <f>2024-Inventory[[#This Row],[YrBlt]]</f>
        <v>20</v>
      </c>
      <c r="P991" s="31">
        <f>2024-Inventory[[#This Row],[EffYr]]</f>
        <v>20</v>
      </c>
      <c r="Q991" s="30">
        <v>2004</v>
      </c>
      <c r="R991" s="30">
        <v>2004</v>
      </c>
      <c r="S991" s="30">
        <v>1158</v>
      </c>
      <c r="T991" s="30">
        <v>1322</v>
      </c>
      <c r="U991" s="32"/>
      <c r="V991" s="32"/>
      <c r="W991" s="32"/>
      <c r="X991" s="32">
        <f>Inventory[[#This Row],[Bsmt Area]]-Inventory[[#This Row],[FnBsmt]]</f>
        <v>0</v>
      </c>
      <c r="Y991" s="32">
        <f>Inventory[[#This Row],[MainFn]]+Inventory[[#This Row],[UpprFn]]+Inventory[[#This Row],[AddFn]]+Inventory[[#This Row],[FnBsmt]]</f>
        <v>2480</v>
      </c>
      <c r="Z991" s="32">
        <v>2500</v>
      </c>
      <c r="AA991" s="31" t="s">
        <v>56</v>
      </c>
      <c r="AB991" s="38">
        <v>1</v>
      </c>
      <c r="AC991" s="32"/>
      <c r="AD991" s="30">
        <v>502</v>
      </c>
      <c r="AE991" s="32"/>
      <c r="AF991" s="32"/>
      <c r="AG991" s="32"/>
      <c r="AH991" s="32"/>
      <c r="AI991" s="30">
        <v>481791</v>
      </c>
      <c r="AJ991" s="30">
        <v>438430</v>
      </c>
      <c r="AK991" s="30">
        <v>0</v>
      </c>
      <c r="AL991" s="30">
        <v>0</v>
      </c>
      <c r="AM991" s="30">
        <v>61700</v>
      </c>
      <c r="AN991" s="30">
        <v>338700</v>
      </c>
      <c r="AO991" s="30">
        <v>400400</v>
      </c>
      <c r="AP991" s="30">
        <f>Lookups!$B$58*0.6</f>
        <v>132535.48800000001</v>
      </c>
      <c r="AQ991" s="30">
        <f>Lookups!$B$58*0.4</f>
        <v>88356.992000000013</v>
      </c>
      <c r="AR991" s="30">
        <f>Lookups!$B$59*Inventory[[#This Row],[LnAcres]]</f>
        <v>-23255.730391660189</v>
      </c>
      <c r="AS991" s="30">
        <f>VLOOKUP(Inventory[[#This Row],[Qlty]],Lookups!$A$66:$E$79,2,FALSE)</f>
        <v>32917.849192000001</v>
      </c>
      <c r="AT991" s="30">
        <f>VLOOKUP(Inventory[[#This Row],[Cnd]],Lookups!$A$80:$E$88,2,FALSE)</f>
        <v>17761.121909000001</v>
      </c>
      <c r="AU991" s="30">
        <f>Inventory[[#This Row],[EffAge]]*Lookups!$B$65</f>
        <v>-2174.8220000000001</v>
      </c>
      <c r="AV991" s="30">
        <f>Inventory[[#This Row],[MainFn]]*Lookups!$B$90</f>
        <v>72271.22004</v>
      </c>
      <c r="AW991" s="30">
        <f>Inventory[[#This Row],[UpprFn]]*Lookups!$B$91</f>
        <v>78765.266325999997</v>
      </c>
      <c r="AX991" s="30">
        <f>Inventory[[#This Row],[Bsmt Area]]*Lookups!$B$95</f>
        <v>0</v>
      </c>
      <c r="AY991" s="30">
        <f>Inventory[[#This Row],[AttGar]]*Lookups!$B$93</f>
        <v>0</v>
      </c>
      <c r="AZ991" s="30">
        <f>ROUND(Inventory[[#This Row],[25Det]],-2)</f>
        <v>0</v>
      </c>
      <c r="BA991" s="30">
        <f>ROUND(SUM(Inventory[[#This Row],[Mdl Qlty]:[Mdl Garage Area]])+Inventory[[#This Row],[Mdl Res Intercept]],-2)</f>
        <v>332100</v>
      </c>
      <c r="BB991" s="30">
        <f>ROUND(Inventory[[#This Row],[Mdl Land Intercept]]+Inventory[[#This Row],[Mdl LnAcres]],-2)</f>
        <v>65100</v>
      </c>
      <c r="BC991" s="30">
        <f>Inventory[[#This Row],[Unadj Res Value]]+Inventory[[#This Row],[Unadj Det Value]]+Inventory[[#This Row],[Unadj Land Value]]</f>
        <v>397200</v>
      </c>
      <c r="BD991" s="30">
        <f>(Inventory[[#This Row],[Unadj Total Value]]-Inventory[[#This Row],[24Final]])/Inventory[[#This Row],[24Final]]</f>
        <v>-7.992007992007992E-3</v>
      </c>
      <c r="BE991" s="30">
        <f>VLOOKUP(Inventory[[#This Row],[Nbhd]],Lookups!$M$3:$P$5,4,FALSE)</f>
        <v>0.99970000000000003</v>
      </c>
      <c r="BF991" s="30">
        <f>VLOOKUP(Inventory[[#This Row],[Qlty]],Lookups!$M$8:$P$22,4,FALSE)</f>
        <v>1.0019</v>
      </c>
      <c r="BG991" s="30">
        <f>VLOOKUP(Inventory[[#This Row],[Cnd]],Lookups!$R$8:$U$17,4,FALSE)</f>
        <v>0.99680000000000002</v>
      </c>
      <c r="BH991" s="30">
        <f>VLOOKUP(Inventory[[#This Row],[LivArea Range]],Lookups!$R$25:$U$43,4,FALSE)</f>
        <v>1.0008999999999999</v>
      </c>
      <c r="BI991" s="30">
        <f>VLOOKUP(Inventory[[#This Row],[Decade]],Lookups!$M$24:$P$40,4,FALSE)</f>
        <v>0.99560000000000004</v>
      </c>
      <c r="BJ991" s="30">
        <f>Inventory[[#This Row],[Nbhd Adj]]*0.95</f>
        <v>0.94971499999999998</v>
      </c>
      <c r="BK991" s="30">
        <f>AVERAGE(Inventory[[#This Row],[Nbhd Adj]],Inventory[[#This Row],[Quality Adj]],Inventory[[#This Row],[Condition Adj]],Inventory[[#This Row],[Living Area Adj]],Inventory[[#This Row],[Decade Adj]])*0.95</f>
        <v>0.94903099999999985</v>
      </c>
      <c r="BL991" s="30">
        <f>ROUND((SUM(Inventory[[#This Row],[Mdl Qlty]:[Mdl Garage Area]])+Inventory[[#This Row],[Mdl Res Intercept]])*Inventory[[#This Row],[Res Adj ]],-2)</f>
        <v>315200</v>
      </c>
      <c r="BM991" s="30">
        <f>ROUND(Inventory[[#This Row],[25Det]]*Inventory[[#This Row],[Det/Nbhd Adj]],-2)</f>
        <v>0</v>
      </c>
      <c r="BN991" s="30">
        <f>Inventory[[#This Row],[Adjusted Res]]+Inventory[[#This Row],[Adj Det ]]</f>
        <v>315200</v>
      </c>
      <c r="BO991" s="30">
        <f>ROUND((Inventory[[#This Row],[Mdl Land Intercept]]+Inventory[[#This Row],[Mdl LnAcres]])*Inventory[[#This Row],[Det/Nbhd Adj]],-2)</f>
        <v>61800</v>
      </c>
      <c r="BP991" s="30">
        <f>Inventory[[#This Row],[Adjusted Impr Total]]+Inventory[[#This Row],[Adjusted Land Total]]</f>
        <v>377000</v>
      </c>
      <c r="BQ991" s="30">
        <f>IFERROR((Inventory[[#This Row],[Adjusted Impr Total]]-Inventory[[#This Row],[24Bldg]])/Inventory[[#This Row],[24Bldg]],0)</f>
        <v>-6.9382934750516684E-2</v>
      </c>
      <c r="BR991" s="43">
        <f>(Inventory[[#This Row],[Adjusted Land Total]]-Inventory[[#This Row],[24Lnd]])/Inventory[[#This Row],[24Lnd]]</f>
        <v>1.6207455429497568E-3</v>
      </c>
      <c r="BS991" s="43">
        <f>(Inventory[[#This Row],[Adjusted Total]]-Inventory[[#This Row],[24Final]])/Inventory[[#This Row],[24Final]]</f>
        <v>-5.844155844155844E-2</v>
      </c>
    </row>
    <row r="992" spans="1:71">
      <c r="A992" s="30">
        <v>2025</v>
      </c>
      <c r="B992" s="31" t="s">
        <v>1507</v>
      </c>
      <c r="C992" s="31">
        <f>LN(Inventory[[#This Row],[Acres]])</f>
        <v>-1.7719568419318752</v>
      </c>
      <c r="D992" s="30">
        <v>0.17</v>
      </c>
      <c r="E992" s="38">
        <v>7439</v>
      </c>
      <c r="F992" s="31" t="s">
        <v>505</v>
      </c>
      <c r="G992" s="31" t="s">
        <v>155</v>
      </c>
      <c r="H992" s="31" t="s">
        <v>5</v>
      </c>
      <c r="I992" s="31" t="s">
        <v>506</v>
      </c>
      <c r="J992" s="31" t="s">
        <v>507</v>
      </c>
      <c r="K992" s="31" t="s">
        <v>157</v>
      </c>
      <c r="L992" s="31" t="s">
        <v>21</v>
      </c>
      <c r="M992" s="31" t="s">
        <v>20</v>
      </c>
      <c r="N992" s="31">
        <v>20</v>
      </c>
      <c r="O992" s="31">
        <f>2024-Inventory[[#This Row],[YrBlt]]</f>
        <v>20</v>
      </c>
      <c r="P992" s="31">
        <f>2024-Inventory[[#This Row],[EffYr]]</f>
        <v>20</v>
      </c>
      <c r="Q992" s="30">
        <v>2004</v>
      </c>
      <c r="R992" s="30">
        <v>2004</v>
      </c>
      <c r="S992" s="30">
        <v>1158</v>
      </c>
      <c r="T992" s="38">
        <v>1322</v>
      </c>
      <c r="U992" s="32"/>
      <c r="V992" s="32"/>
      <c r="W992" s="32"/>
      <c r="X992" s="32">
        <f>Inventory[[#This Row],[Bsmt Area]]-Inventory[[#This Row],[FnBsmt]]</f>
        <v>0</v>
      </c>
      <c r="Y992" s="32">
        <f>Inventory[[#This Row],[MainFn]]+Inventory[[#This Row],[UpprFn]]+Inventory[[#This Row],[AddFn]]+Inventory[[#This Row],[FnBsmt]]</f>
        <v>2480</v>
      </c>
      <c r="Z992" s="32">
        <v>2500</v>
      </c>
      <c r="AA992" s="31" t="s">
        <v>56</v>
      </c>
      <c r="AB992" s="37"/>
      <c r="AC992" s="37"/>
      <c r="AD992" s="38">
        <v>502</v>
      </c>
      <c r="AE992" s="32"/>
      <c r="AF992" s="32"/>
      <c r="AG992" s="32"/>
      <c r="AH992" s="32"/>
      <c r="AI992" s="30">
        <v>484632</v>
      </c>
      <c r="AJ992" s="30">
        <v>441015</v>
      </c>
      <c r="AK992" s="30">
        <v>0</v>
      </c>
      <c r="AL992" s="30">
        <v>0</v>
      </c>
      <c r="AM992" s="30">
        <v>61700</v>
      </c>
      <c r="AN992" s="30">
        <v>350400</v>
      </c>
      <c r="AO992" s="30">
        <v>412100</v>
      </c>
      <c r="AP992" s="30">
        <f>Lookups!$B$58*0.6</f>
        <v>132535.48800000001</v>
      </c>
      <c r="AQ992" s="30">
        <f>Lookups!$B$58*0.4</f>
        <v>88356.992000000013</v>
      </c>
      <c r="AR992" s="30">
        <f>Lookups!$B$59*Inventory[[#This Row],[LnAcres]]</f>
        <v>-23255.730391660189</v>
      </c>
      <c r="AS992" s="30">
        <f>VLOOKUP(Inventory[[#This Row],[Qlty]],Lookups!$A$66:$E$79,2,FALSE)</f>
        <v>32917.849192000001</v>
      </c>
      <c r="AT992" s="30">
        <f>VLOOKUP(Inventory[[#This Row],[Cnd]],Lookups!$A$80:$E$88,2,FALSE)</f>
        <v>30300.329274</v>
      </c>
      <c r="AU992" s="30">
        <f>Inventory[[#This Row],[EffAge]]*Lookups!$B$65</f>
        <v>-2174.8220000000001</v>
      </c>
      <c r="AV992" s="30">
        <f>Inventory[[#This Row],[MainFn]]*Lookups!$B$90</f>
        <v>72271.22004</v>
      </c>
      <c r="AW992" s="30">
        <f>Inventory[[#This Row],[UpprFn]]*Lookups!$B$91</f>
        <v>78765.266325999997</v>
      </c>
      <c r="AX992" s="30">
        <f>Inventory[[#This Row],[Bsmt Area]]*Lookups!$B$95</f>
        <v>0</v>
      </c>
      <c r="AY992" s="30">
        <f>Inventory[[#This Row],[AttGar]]*Lookups!$B$93</f>
        <v>0</v>
      </c>
      <c r="AZ992" s="30">
        <f>ROUND(Inventory[[#This Row],[25Det]],-2)</f>
        <v>0</v>
      </c>
      <c r="BA992" s="30">
        <f>ROUND(SUM(Inventory[[#This Row],[Mdl Qlty]:[Mdl Garage Area]])+Inventory[[#This Row],[Mdl Res Intercept]],-2)</f>
        <v>344600</v>
      </c>
      <c r="BB992" s="30">
        <f>ROUND(Inventory[[#This Row],[Mdl Land Intercept]]+Inventory[[#This Row],[Mdl LnAcres]],-2)</f>
        <v>65100</v>
      </c>
      <c r="BC992" s="30">
        <f>Inventory[[#This Row],[Unadj Res Value]]+Inventory[[#This Row],[Unadj Det Value]]+Inventory[[#This Row],[Unadj Land Value]]</f>
        <v>409700</v>
      </c>
      <c r="BD992" s="30">
        <f>(Inventory[[#This Row],[Unadj Total Value]]-Inventory[[#This Row],[24Final]])/Inventory[[#This Row],[24Final]]</f>
        <v>-5.8238291676777484E-3</v>
      </c>
      <c r="BE992" s="30">
        <f>VLOOKUP(Inventory[[#This Row],[Nbhd]],Lookups!$M$3:$P$5,4,FALSE)</f>
        <v>0.99970000000000003</v>
      </c>
      <c r="BF992" s="30">
        <f>VLOOKUP(Inventory[[#This Row],[Qlty]],Lookups!$M$8:$P$22,4,FALSE)</f>
        <v>1.0019</v>
      </c>
      <c r="BG992" s="30">
        <f>VLOOKUP(Inventory[[#This Row],[Cnd]],Lookups!$R$8:$U$17,4,FALSE)</f>
        <v>0.997</v>
      </c>
      <c r="BH992" s="30">
        <f>VLOOKUP(Inventory[[#This Row],[LivArea Range]],Lookups!$R$25:$U$43,4,FALSE)</f>
        <v>1.0008999999999999</v>
      </c>
      <c r="BI992" s="30">
        <f>VLOOKUP(Inventory[[#This Row],[Decade]],Lookups!$M$24:$P$40,4,FALSE)</f>
        <v>0.99560000000000004</v>
      </c>
      <c r="BJ992" s="30">
        <f>Inventory[[#This Row],[Nbhd Adj]]*0.95</f>
        <v>0.94971499999999998</v>
      </c>
      <c r="BK992" s="30">
        <f>AVERAGE(Inventory[[#This Row],[Nbhd Adj]],Inventory[[#This Row],[Quality Adj]],Inventory[[#This Row],[Condition Adj]],Inventory[[#This Row],[Living Area Adj]],Inventory[[#This Row],[Decade Adj]])*0.95</f>
        <v>0.94906899999999972</v>
      </c>
      <c r="BL992" s="30">
        <f>ROUND((SUM(Inventory[[#This Row],[Mdl Qlty]:[Mdl Garage Area]])+Inventory[[#This Row],[Mdl Res Intercept]])*Inventory[[#This Row],[Res Adj ]],-2)</f>
        <v>327100</v>
      </c>
      <c r="BM992" s="30">
        <f>ROUND(Inventory[[#This Row],[25Det]]*Inventory[[#This Row],[Det/Nbhd Adj]],-2)</f>
        <v>0</v>
      </c>
      <c r="BN992" s="30">
        <f>Inventory[[#This Row],[Adjusted Res]]+Inventory[[#This Row],[Adj Det ]]</f>
        <v>327100</v>
      </c>
      <c r="BO992" s="30">
        <f>ROUND((Inventory[[#This Row],[Mdl Land Intercept]]+Inventory[[#This Row],[Mdl LnAcres]])*Inventory[[#This Row],[Det/Nbhd Adj]],-2)</f>
        <v>61800</v>
      </c>
      <c r="BP992" s="30">
        <f>Inventory[[#This Row],[Adjusted Impr Total]]+Inventory[[#This Row],[Adjusted Land Total]]</f>
        <v>388900</v>
      </c>
      <c r="BQ992" s="30">
        <f>IFERROR((Inventory[[#This Row],[Adjusted Impr Total]]-Inventory[[#This Row],[24Bldg]])/Inventory[[#This Row],[24Bldg]],0)</f>
        <v>-6.6495433789954345E-2</v>
      </c>
      <c r="BR992" s="43">
        <f>(Inventory[[#This Row],[Adjusted Land Total]]-Inventory[[#This Row],[24Lnd]])/Inventory[[#This Row],[24Lnd]]</f>
        <v>1.6207455429497568E-3</v>
      </c>
      <c r="BS992" s="43">
        <f>(Inventory[[#This Row],[Adjusted Total]]-Inventory[[#This Row],[24Final]])/Inventory[[#This Row],[24Final]]</f>
        <v>-5.6297015287551565E-2</v>
      </c>
    </row>
    <row r="993" spans="1:71">
      <c r="A993" s="30">
        <v>2025</v>
      </c>
      <c r="B993" s="31" t="s">
        <v>1508</v>
      </c>
      <c r="C993" s="31">
        <f>LN(Inventory[[#This Row],[Acres]])</f>
        <v>-1.7719568419318752</v>
      </c>
      <c r="D993" s="30">
        <v>0.17</v>
      </c>
      <c r="E993" s="30">
        <v>7205</v>
      </c>
      <c r="F993" s="31" t="s">
        <v>505</v>
      </c>
      <c r="G993" s="31" t="s">
        <v>155</v>
      </c>
      <c r="H993" s="31" t="s">
        <v>5</v>
      </c>
      <c r="I993" s="31" t="s">
        <v>506</v>
      </c>
      <c r="J993" s="31" t="s">
        <v>507</v>
      </c>
      <c r="K993" s="31" t="s">
        <v>157</v>
      </c>
      <c r="L993" s="31" t="s">
        <v>21</v>
      </c>
      <c r="M993" s="31" t="s">
        <v>22</v>
      </c>
      <c r="N993" s="31">
        <v>20</v>
      </c>
      <c r="O993" s="31">
        <f>2024-Inventory[[#This Row],[YrBlt]]</f>
        <v>20</v>
      </c>
      <c r="P993" s="31">
        <f>2024-Inventory[[#This Row],[EffYr]]</f>
        <v>20</v>
      </c>
      <c r="Q993" s="30">
        <v>2004</v>
      </c>
      <c r="R993" s="30">
        <v>2004</v>
      </c>
      <c r="S993" s="30">
        <v>1158</v>
      </c>
      <c r="T993" s="38">
        <v>1322</v>
      </c>
      <c r="U993" s="32"/>
      <c r="V993" s="32"/>
      <c r="W993" s="32"/>
      <c r="X993" s="32">
        <f>Inventory[[#This Row],[Bsmt Area]]-Inventory[[#This Row],[FnBsmt]]</f>
        <v>0</v>
      </c>
      <c r="Y993" s="32">
        <f>Inventory[[#This Row],[MainFn]]+Inventory[[#This Row],[UpprFn]]+Inventory[[#This Row],[AddFn]]+Inventory[[#This Row],[FnBsmt]]</f>
        <v>2480</v>
      </c>
      <c r="Z993" s="32">
        <v>2500</v>
      </c>
      <c r="AA993" s="31" t="s">
        <v>56</v>
      </c>
      <c r="AB993" s="37"/>
      <c r="AC993" s="30">
        <v>300</v>
      </c>
      <c r="AD993" s="38">
        <v>502</v>
      </c>
      <c r="AE993" s="32"/>
      <c r="AF993" s="32"/>
      <c r="AG993" s="32"/>
      <c r="AH993" s="32"/>
      <c r="AI993" s="30">
        <v>497798</v>
      </c>
      <c r="AJ993" s="30">
        <v>457974</v>
      </c>
      <c r="AK993" s="30">
        <v>0</v>
      </c>
      <c r="AL993" s="30">
        <v>0</v>
      </c>
      <c r="AM993" s="30">
        <v>61700</v>
      </c>
      <c r="AN993" s="30">
        <v>378800</v>
      </c>
      <c r="AO993" s="30">
        <v>440500</v>
      </c>
      <c r="AP993" s="30">
        <f>Lookups!$B$58*0.6</f>
        <v>132535.48800000001</v>
      </c>
      <c r="AQ993" s="30">
        <f>Lookups!$B$58*0.4</f>
        <v>88356.992000000013</v>
      </c>
      <c r="AR993" s="30">
        <f>Lookups!$B$59*Inventory[[#This Row],[LnAcres]]</f>
        <v>-23255.730391660189</v>
      </c>
      <c r="AS993" s="30">
        <f>VLOOKUP(Inventory[[#This Row],[Qlty]],Lookups!$A$66:$E$79,2,FALSE)</f>
        <v>32917.849192000001</v>
      </c>
      <c r="AT993" s="30">
        <f>VLOOKUP(Inventory[[#This Row],[Cnd]],Lookups!$A$80:$E$88,2,FALSE)</f>
        <v>50438.379078999998</v>
      </c>
      <c r="AU993" s="30">
        <f>Inventory[[#This Row],[EffAge]]*Lookups!$B$65</f>
        <v>-2174.8220000000001</v>
      </c>
      <c r="AV993" s="30">
        <f>Inventory[[#This Row],[MainFn]]*Lookups!$B$90</f>
        <v>72271.22004</v>
      </c>
      <c r="AW993" s="30">
        <f>Inventory[[#This Row],[UpprFn]]*Lookups!$B$91</f>
        <v>78765.266325999997</v>
      </c>
      <c r="AX993" s="30">
        <f>Inventory[[#This Row],[Bsmt Area]]*Lookups!$B$95</f>
        <v>0</v>
      </c>
      <c r="AY993" s="30">
        <f>Inventory[[#This Row],[AttGar]]*Lookups!$B$93</f>
        <v>10590.309300000001</v>
      </c>
      <c r="AZ993" s="30">
        <f>ROUND(Inventory[[#This Row],[25Det]],-2)</f>
        <v>0</v>
      </c>
      <c r="BA993" s="30">
        <f>ROUND(SUM(Inventory[[#This Row],[Mdl Qlty]:[Mdl Garage Area]])+Inventory[[#This Row],[Mdl Res Intercept]],-2)</f>
        <v>375300</v>
      </c>
      <c r="BB993" s="30">
        <f>ROUND(Inventory[[#This Row],[Mdl Land Intercept]]+Inventory[[#This Row],[Mdl LnAcres]],-2)</f>
        <v>65100</v>
      </c>
      <c r="BC993" s="30">
        <f>Inventory[[#This Row],[Unadj Res Value]]+Inventory[[#This Row],[Unadj Det Value]]+Inventory[[#This Row],[Unadj Land Value]]</f>
        <v>440400</v>
      </c>
      <c r="BD993" s="30">
        <f>(Inventory[[#This Row],[Unadj Total Value]]-Inventory[[#This Row],[24Final]])/Inventory[[#This Row],[24Final]]</f>
        <v>-2.2701475595913735E-4</v>
      </c>
      <c r="BE993" s="30">
        <f>VLOOKUP(Inventory[[#This Row],[Nbhd]],Lookups!$M$3:$P$5,4,FALSE)</f>
        <v>0.99970000000000003</v>
      </c>
      <c r="BF993" s="30">
        <f>VLOOKUP(Inventory[[#This Row],[Qlty]],Lookups!$M$8:$P$22,4,FALSE)</f>
        <v>1.0019</v>
      </c>
      <c r="BG993" s="30">
        <f>VLOOKUP(Inventory[[#This Row],[Cnd]],Lookups!$R$8:$U$17,4,FALSE)</f>
        <v>1.0007999999999999</v>
      </c>
      <c r="BH993" s="30">
        <f>VLOOKUP(Inventory[[#This Row],[LivArea Range]],Lookups!$R$25:$U$43,4,FALSE)</f>
        <v>1.0008999999999999</v>
      </c>
      <c r="BI993" s="30">
        <f>VLOOKUP(Inventory[[#This Row],[Decade]],Lookups!$M$24:$P$40,4,FALSE)</f>
        <v>0.99560000000000004</v>
      </c>
      <c r="BJ993" s="30">
        <f>Inventory[[#This Row],[Nbhd Adj]]*0.95</f>
        <v>0.94971499999999998</v>
      </c>
      <c r="BK993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993" s="30">
        <f>ROUND((SUM(Inventory[[#This Row],[Mdl Qlty]:[Mdl Garage Area]])+Inventory[[#This Row],[Mdl Res Intercept]])*Inventory[[#This Row],[Res Adj ]],-2)</f>
        <v>356500</v>
      </c>
      <c r="BM993" s="30">
        <f>ROUND(Inventory[[#This Row],[25Det]]*Inventory[[#This Row],[Det/Nbhd Adj]],-2)</f>
        <v>0</v>
      </c>
      <c r="BN993" s="30">
        <f>Inventory[[#This Row],[Adjusted Res]]+Inventory[[#This Row],[Adj Det ]]</f>
        <v>356500</v>
      </c>
      <c r="BO993" s="30">
        <f>ROUND((Inventory[[#This Row],[Mdl Land Intercept]]+Inventory[[#This Row],[Mdl LnAcres]])*Inventory[[#This Row],[Det/Nbhd Adj]],-2)</f>
        <v>61800</v>
      </c>
      <c r="BP993" s="30">
        <f>Inventory[[#This Row],[Adjusted Impr Total]]+Inventory[[#This Row],[Adjusted Land Total]]</f>
        <v>418300</v>
      </c>
      <c r="BQ993" s="30">
        <f>IFERROR((Inventory[[#This Row],[Adjusted Impr Total]]-Inventory[[#This Row],[24Bldg]])/Inventory[[#This Row],[24Bldg]],0)</f>
        <v>-5.8870116156283001E-2</v>
      </c>
      <c r="BR993" s="43">
        <f>(Inventory[[#This Row],[Adjusted Land Total]]-Inventory[[#This Row],[24Lnd]])/Inventory[[#This Row],[24Lnd]]</f>
        <v>1.6207455429497568E-3</v>
      </c>
      <c r="BS993" s="43">
        <f>(Inventory[[#This Row],[Adjusted Total]]-Inventory[[#This Row],[24Final]])/Inventory[[#This Row],[24Final]]</f>
        <v>-5.0397275822928488E-2</v>
      </c>
    </row>
    <row r="994" spans="1:71">
      <c r="A994" s="30">
        <v>2025</v>
      </c>
      <c r="B994" s="31" t="s">
        <v>1509</v>
      </c>
      <c r="C994" s="31">
        <f>LN(Inventory[[#This Row],[Acres]])</f>
        <v>-1.7719568419318752</v>
      </c>
      <c r="D994" s="30">
        <v>0.17</v>
      </c>
      <c r="E994" s="30">
        <v>7315</v>
      </c>
      <c r="F994" s="31" t="s">
        <v>505</v>
      </c>
      <c r="G994" s="31" t="s">
        <v>155</v>
      </c>
      <c r="H994" s="31" t="s">
        <v>5</v>
      </c>
      <c r="I994" s="31" t="s">
        <v>506</v>
      </c>
      <c r="J994" s="31" t="s">
        <v>507</v>
      </c>
      <c r="K994" s="31" t="s">
        <v>157</v>
      </c>
      <c r="L994" s="31" t="s">
        <v>21</v>
      </c>
      <c r="M994" s="31" t="s">
        <v>22</v>
      </c>
      <c r="N994" s="31">
        <v>20</v>
      </c>
      <c r="O994" s="31">
        <f>2024-Inventory[[#This Row],[YrBlt]]</f>
        <v>20</v>
      </c>
      <c r="P994" s="31">
        <f>2024-Inventory[[#This Row],[EffYr]]</f>
        <v>20</v>
      </c>
      <c r="Q994" s="30">
        <v>2004</v>
      </c>
      <c r="R994" s="30">
        <v>2004</v>
      </c>
      <c r="S994" s="30">
        <v>1158</v>
      </c>
      <c r="T994" s="38">
        <v>1322</v>
      </c>
      <c r="U994" s="32"/>
      <c r="V994" s="32"/>
      <c r="W994" s="32"/>
      <c r="X994" s="32">
        <f>Inventory[[#This Row],[Bsmt Area]]-Inventory[[#This Row],[FnBsmt]]</f>
        <v>0</v>
      </c>
      <c r="Y994" s="32">
        <f>Inventory[[#This Row],[MainFn]]+Inventory[[#This Row],[UpprFn]]+Inventory[[#This Row],[AddFn]]+Inventory[[#This Row],[FnBsmt]]</f>
        <v>2480</v>
      </c>
      <c r="Z994" s="32">
        <v>2500</v>
      </c>
      <c r="AA994" s="31" t="s">
        <v>56</v>
      </c>
      <c r="AB994" s="38">
        <v>1</v>
      </c>
      <c r="AC994" s="30">
        <v>300</v>
      </c>
      <c r="AD994" s="38">
        <v>502</v>
      </c>
      <c r="AE994" s="32"/>
      <c r="AF994" s="32"/>
      <c r="AG994" s="32"/>
      <c r="AH994" s="32"/>
      <c r="AI994" s="30">
        <v>513980</v>
      </c>
      <c r="AJ994" s="30">
        <v>472862</v>
      </c>
      <c r="AK994" s="30">
        <v>0</v>
      </c>
      <c r="AL994" s="30">
        <v>0</v>
      </c>
      <c r="AM994" s="30">
        <v>61700</v>
      </c>
      <c r="AN994" s="30">
        <v>378800</v>
      </c>
      <c r="AO994" s="30">
        <v>440500</v>
      </c>
      <c r="AP994" s="30">
        <f>Lookups!$B$58*0.6</f>
        <v>132535.48800000001</v>
      </c>
      <c r="AQ994" s="30">
        <f>Lookups!$B$58*0.4</f>
        <v>88356.992000000013</v>
      </c>
      <c r="AR994" s="30">
        <f>Lookups!$B$59*Inventory[[#This Row],[LnAcres]]</f>
        <v>-23255.730391660189</v>
      </c>
      <c r="AS994" s="30">
        <f>VLOOKUP(Inventory[[#This Row],[Qlty]],Lookups!$A$66:$E$79,2,FALSE)</f>
        <v>32917.849192000001</v>
      </c>
      <c r="AT994" s="30">
        <f>VLOOKUP(Inventory[[#This Row],[Cnd]],Lookups!$A$80:$E$88,2,FALSE)</f>
        <v>50438.379078999998</v>
      </c>
      <c r="AU994" s="30">
        <f>Inventory[[#This Row],[EffAge]]*Lookups!$B$65</f>
        <v>-2174.8220000000001</v>
      </c>
      <c r="AV994" s="30">
        <f>Inventory[[#This Row],[MainFn]]*Lookups!$B$90</f>
        <v>72271.22004</v>
      </c>
      <c r="AW994" s="30">
        <f>Inventory[[#This Row],[UpprFn]]*Lookups!$B$91</f>
        <v>78765.266325999997</v>
      </c>
      <c r="AX994" s="30">
        <f>Inventory[[#This Row],[Bsmt Area]]*Lookups!$B$95</f>
        <v>0</v>
      </c>
      <c r="AY994" s="30">
        <f>Inventory[[#This Row],[AttGar]]*Lookups!$B$93</f>
        <v>10590.309300000001</v>
      </c>
      <c r="AZ994" s="30">
        <f>ROUND(Inventory[[#This Row],[25Det]],-2)</f>
        <v>0</v>
      </c>
      <c r="BA994" s="30">
        <f>ROUND(SUM(Inventory[[#This Row],[Mdl Qlty]:[Mdl Garage Area]])+Inventory[[#This Row],[Mdl Res Intercept]],-2)</f>
        <v>375300</v>
      </c>
      <c r="BB994" s="30">
        <f>ROUND(Inventory[[#This Row],[Mdl Land Intercept]]+Inventory[[#This Row],[Mdl LnAcres]],-2)</f>
        <v>65100</v>
      </c>
      <c r="BC994" s="30">
        <f>Inventory[[#This Row],[Unadj Res Value]]+Inventory[[#This Row],[Unadj Det Value]]+Inventory[[#This Row],[Unadj Land Value]]</f>
        <v>440400</v>
      </c>
      <c r="BD994" s="30">
        <f>(Inventory[[#This Row],[Unadj Total Value]]-Inventory[[#This Row],[24Final]])/Inventory[[#This Row],[24Final]]</f>
        <v>-2.2701475595913735E-4</v>
      </c>
      <c r="BE994" s="30">
        <f>VLOOKUP(Inventory[[#This Row],[Nbhd]],Lookups!$M$3:$P$5,4,FALSE)</f>
        <v>0.99970000000000003</v>
      </c>
      <c r="BF994" s="30">
        <f>VLOOKUP(Inventory[[#This Row],[Qlty]],Lookups!$M$8:$P$22,4,FALSE)</f>
        <v>1.0019</v>
      </c>
      <c r="BG994" s="30">
        <f>VLOOKUP(Inventory[[#This Row],[Cnd]],Lookups!$R$8:$U$17,4,FALSE)</f>
        <v>1.0007999999999999</v>
      </c>
      <c r="BH994" s="30">
        <f>VLOOKUP(Inventory[[#This Row],[LivArea Range]],Lookups!$R$25:$U$43,4,FALSE)</f>
        <v>1.0008999999999999</v>
      </c>
      <c r="BI994" s="30">
        <f>VLOOKUP(Inventory[[#This Row],[Decade]],Lookups!$M$24:$P$40,4,FALSE)</f>
        <v>0.99560000000000004</v>
      </c>
      <c r="BJ994" s="30">
        <f>Inventory[[#This Row],[Nbhd Adj]]*0.95</f>
        <v>0.94971499999999998</v>
      </c>
      <c r="BK994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994" s="30">
        <f>ROUND((SUM(Inventory[[#This Row],[Mdl Qlty]:[Mdl Garage Area]])+Inventory[[#This Row],[Mdl Res Intercept]])*Inventory[[#This Row],[Res Adj ]],-2)</f>
        <v>356500</v>
      </c>
      <c r="BM994" s="30">
        <f>ROUND(Inventory[[#This Row],[25Det]]*Inventory[[#This Row],[Det/Nbhd Adj]],-2)</f>
        <v>0</v>
      </c>
      <c r="BN994" s="30">
        <f>Inventory[[#This Row],[Adjusted Res]]+Inventory[[#This Row],[Adj Det ]]</f>
        <v>356500</v>
      </c>
      <c r="BO994" s="30">
        <f>ROUND((Inventory[[#This Row],[Mdl Land Intercept]]+Inventory[[#This Row],[Mdl LnAcres]])*Inventory[[#This Row],[Det/Nbhd Adj]],-2)</f>
        <v>61800</v>
      </c>
      <c r="BP994" s="30">
        <f>Inventory[[#This Row],[Adjusted Impr Total]]+Inventory[[#This Row],[Adjusted Land Total]]</f>
        <v>418300</v>
      </c>
      <c r="BQ994" s="30">
        <f>IFERROR((Inventory[[#This Row],[Adjusted Impr Total]]-Inventory[[#This Row],[24Bldg]])/Inventory[[#This Row],[24Bldg]],0)</f>
        <v>-5.8870116156283001E-2</v>
      </c>
      <c r="BR994" s="43">
        <f>(Inventory[[#This Row],[Adjusted Land Total]]-Inventory[[#This Row],[24Lnd]])/Inventory[[#This Row],[24Lnd]]</f>
        <v>1.6207455429497568E-3</v>
      </c>
      <c r="BS994" s="43">
        <f>(Inventory[[#This Row],[Adjusted Total]]-Inventory[[#This Row],[24Final]])/Inventory[[#This Row],[24Final]]</f>
        <v>-5.0397275822928488E-2</v>
      </c>
    </row>
    <row r="995" spans="1:71">
      <c r="A995" s="30">
        <v>2025</v>
      </c>
      <c r="B995" s="31" t="s">
        <v>1510</v>
      </c>
      <c r="C995" s="31">
        <f>LN(Inventory[[#This Row],[Acres]])</f>
        <v>-1.7719568419318752</v>
      </c>
      <c r="D995" s="30">
        <v>0.17</v>
      </c>
      <c r="E995" s="30">
        <v>7222</v>
      </c>
      <c r="F995" s="31" t="s">
        <v>505</v>
      </c>
      <c r="G995" s="31" t="s">
        <v>155</v>
      </c>
      <c r="H995" s="31" t="s">
        <v>5</v>
      </c>
      <c r="I995" s="31" t="s">
        <v>506</v>
      </c>
      <c r="J995" s="31" t="s">
        <v>507</v>
      </c>
      <c r="K995" s="31" t="s">
        <v>157</v>
      </c>
      <c r="L995" s="31" t="s">
        <v>21</v>
      </c>
      <c r="M995" s="31" t="s">
        <v>22</v>
      </c>
      <c r="N995" s="31">
        <v>20</v>
      </c>
      <c r="O995" s="31">
        <f>2024-Inventory[[#This Row],[YrBlt]]</f>
        <v>20</v>
      </c>
      <c r="P995" s="31">
        <f>2024-Inventory[[#This Row],[EffYr]]</f>
        <v>20</v>
      </c>
      <c r="Q995" s="30">
        <v>2004</v>
      </c>
      <c r="R995" s="30">
        <v>2004</v>
      </c>
      <c r="S995" s="30">
        <v>1158</v>
      </c>
      <c r="T995" s="38">
        <v>1322</v>
      </c>
      <c r="U995" s="32"/>
      <c r="V995" s="32"/>
      <c r="W995" s="32"/>
      <c r="X995" s="32">
        <f>Inventory[[#This Row],[Bsmt Area]]-Inventory[[#This Row],[FnBsmt]]</f>
        <v>0</v>
      </c>
      <c r="Y995" s="32">
        <f>Inventory[[#This Row],[MainFn]]+Inventory[[#This Row],[UpprFn]]+Inventory[[#This Row],[AddFn]]+Inventory[[#This Row],[FnBsmt]]</f>
        <v>2480</v>
      </c>
      <c r="Z995" s="32">
        <v>2500</v>
      </c>
      <c r="AA995" s="31" t="s">
        <v>56</v>
      </c>
      <c r="AB995" s="32"/>
      <c r="AC995" s="37"/>
      <c r="AD995" s="38">
        <v>502</v>
      </c>
      <c r="AE995" s="32"/>
      <c r="AF995" s="32"/>
      <c r="AG995" s="32"/>
      <c r="AH995" s="32"/>
      <c r="AI995" s="30">
        <v>493265</v>
      </c>
      <c r="AJ995" s="30">
        <v>453804</v>
      </c>
      <c r="AK995" s="30">
        <v>0</v>
      </c>
      <c r="AL995" s="30">
        <v>0</v>
      </c>
      <c r="AM995" s="30">
        <v>61700</v>
      </c>
      <c r="AN995" s="30">
        <v>365900</v>
      </c>
      <c r="AO995" s="30">
        <v>427600</v>
      </c>
      <c r="AP995" s="30">
        <f>Lookups!$B$58*0.6</f>
        <v>132535.48800000001</v>
      </c>
      <c r="AQ995" s="30">
        <f>Lookups!$B$58*0.4</f>
        <v>88356.992000000013</v>
      </c>
      <c r="AR995" s="30">
        <f>Lookups!$B$59*Inventory[[#This Row],[LnAcres]]</f>
        <v>-23255.730391660189</v>
      </c>
      <c r="AS995" s="30">
        <f>VLOOKUP(Inventory[[#This Row],[Qlty]],Lookups!$A$66:$E$79,2,FALSE)</f>
        <v>32917.849192000001</v>
      </c>
      <c r="AT995" s="30">
        <f>VLOOKUP(Inventory[[#This Row],[Cnd]],Lookups!$A$80:$E$88,2,FALSE)</f>
        <v>50438.379078999998</v>
      </c>
      <c r="AU995" s="30">
        <f>Inventory[[#This Row],[EffAge]]*Lookups!$B$65</f>
        <v>-2174.8220000000001</v>
      </c>
      <c r="AV995" s="30">
        <f>Inventory[[#This Row],[MainFn]]*Lookups!$B$90</f>
        <v>72271.22004</v>
      </c>
      <c r="AW995" s="30">
        <f>Inventory[[#This Row],[UpprFn]]*Lookups!$B$91</f>
        <v>78765.266325999997</v>
      </c>
      <c r="AX995" s="30">
        <f>Inventory[[#This Row],[Bsmt Area]]*Lookups!$B$95</f>
        <v>0</v>
      </c>
      <c r="AY995" s="30">
        <f>Inventory[[#This Row],[AttGar]]*Lookups!$B$93</f>
        <v>0</v>
      </c>
      <c r="AZ995" s="30">
        <f>ROUND(Inventory[[#This Row],[25Det]],-2)</f>
        <v>0</v>
      </c>
      <c r="BA995" s="30">
        <f>ROUND(SUM(Inventory[[#This Row],[Mdl Qlty]:[Mdl Garage Area]])+Inventory[[#This Row],[Mdl Res Intercept]],-2)</f>
        <v>364800</v>
      </c>
      <c r="BB995" s="30">
        <f>ROUND(Inventory[[#This Row],[Mdl Land Intercept]]+Inventory[[#This Row],[Mdl LnAcres]],-2)</f>
        <v>65100</v>
      </c>
      <c r="BC995" s="30">
        <f>Inventory[[#This Row],[Unadj Res Value]]+Inventory[[#This Row],[Unadj Det Value]]+Inventory[[#This Row],[Unadj Land Value]]</f>
        <v>429900</v>
      </c>
      <c r="BD995" s="30">
        <f>(Inventory[[#This Row],[Unadj Total Value]]-Inventory[[#This Row],[24Final]])/Inventory[[#This Row],[24Final]]</f>
        <v>5.378858746492049E-3</v>
      </c>
      <c r="BE995" s="30">
        <f>VLOOKUP(Inventory[[#This Row],[Nbhd]],Lookups!$M$3:$P$5,4,FALSE)</f>
        <v>0.99970000000000003</v>
      </c>
      <c r="BF995" s="30">
        <f>VLOOKUP(Inventory[[#This Row],[Qlty]],Lookups!$M$8:$P$22,4,FALSE)</f>
        <v>1.0019</v>
      </c>
      <c r="BG995" s="30">
        <f>VLOOKUP(Inventory[[#This Row],[Cnd]],Lookups!$R$8:$U$17,4,FALSE)</f>
        <v>1.0007999999999999</v>
      </c>
      <c r="BH995" s="30">
        <f>VLOOKUP(Inventory[[#This Row],[LivArea Range]],Lookups!$R$25:$U$43,4,FALSE)</f>
        <v>1.0008999999999999</v>
      </c>
      <c r="BI995" s="30">
        <f>VLOOKUP(Inventory[[#This Row],[Decade]],Lookups!$M$24:$P$40,4,FALSE)</f>
        <v>0.99560000000000004</v>
      </c>
      <c r="BJ995" s="30">
        <f>Inventory[[#This Row],[Nbhd Adj]]*0.95</f>
        <v>0.94971499999999998</v>
      </c>
      <c r="BK995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995" s="30">
        <f>ROUND((SUM(Inventory[[#This Row],[Mdl Qlty]:[Mdl Garage Area]])+Inventory[[#This Row],[Mdl Res Intercept]])*Inventory[[#This Row],[Res Adj ]],-2)</f>
        <v>346400</v>
      </c>
      <c r="BM995" s="30">
        <f>ROUND(Inventory[[#This Row],[25Det]]*Inventory[[#This Row],[Det/Nbhd Adj]],-2)</f>
        <v>0</v>
      </c>
      <c r="BN995" s="30">
        <f>Inventory[[#This Row],[Adjusted Res]]+Inventory[[#This Row],[Adj Det ]]</f>
        <v>346400</v>
      </c>
      <c r="BO995" s="30">
        <f>ROUND((Inventory[[#This Row],[Mdl Land Intercept]]+Inventory[[#This Row],[Mdl LnAcres]])*Inventory[[#This Row],[Det/Nbhd Adj]],-2)</f>
        <v>61800</v>
      </c>
      <c r="BP995" s="30">
        <f>Inventory[[#This Row],[Adjusted Impr Total]]+Inventory[[#This Row],[Adjusted Land Total]]</f>
        <v>408200</v>
      </c>
      <c r="BQ995" s="30">
        <f>IFERROR((Inventory[[#This Row],[Adjusted Impr Total]]-Inventory[[#This Row],[24Bldg]])/Inventory[[#This Row],[24Bldg]],0)</f>
        <v>-5.3293249521727246E-2</v>
      </c>
      <c r="BR995" s="43">
        <f>(Inventory[[#This Row],[Adjusted Land Total]]-Inventory[[#This Row],[24Lnd]])/Inventory[[#This Row],[24Lnd]]</f>
        <v>1.6207455429497568E-3</v>
      </c>
      <c r="BS995" s="43">
        <f>(Inventory[[#This Row],[Adjusted Total]]-Inventory[[#This Row],[24Final]])/Inventory[[#This Row],[24Final]]</f>
        <v>-4.5369504209541625E-2</v>
      </c>
    </row>
    <row r="996" spans="1:71">
      <c r="A996" s="30">
        <v>2025</v>
      </c>
      <c r="B996" s="31" t="s">
        <v>1511</v>
      </c>
      <c r="C996" s="31">
        <f>LN(Inventory[[#This Row],[Acres]])</f>
        <v>-1.7719568419318752</v>
      </c>
      <c r="D996" s="30">
        <v>0.17</v>
      </c>
      <c r="E996" s="30">
        <v>7343</v>
      </c>
      <c r="F996" s="31" t="s">
        <v>505</v>
      </c>
      <c r="G996" s="31" t="s">
        <v>155</v>
      </c>
      <c r="H996" s="31" t="s">
        <v>5</v>
      </c>
      <c r="I996" s="31" t="s">
        <v>506</v>
      </c>
      <c r="J996" s="31" t="s">
        <v>507</v>
      </c>
      <c r="K996" s="31" t="s">
        <v>157</v>
      </c>
      <c r="L996" s="31" t="s">
        <v>21</v>
      </c>
      <c r="M996" s="31" t="s">
        <v>22</v>
      </c>
      <c r="N996" s="31">
        <v>20</v>
      </c>
      <c r="O996" s="31">
        <f>2024-Inventory[[#This Row],[YrBlt]]</f>
        <v>20</v>
      </c>
      <c r="P996" s="31">
        <f>2024-Inventory[[#This Row],[EffYr]]</f>
        <v>20</v>
      </c>
      <c r="Q996" s="30">
        <v>2004</v>
      </c>
      <c r="R996" s="30">
        <v>2004</v>
      </c>
      <c r="S996" s="30">
        <v>1158</v>
      </c>
      <c r="T996" s="38">
        <v>1322</v>
      </c>
      <c r="U996" s="32"/>
      <c r="V996" s="32"/>
      <c r="W996" s="32"/>
      <c r="X996" s="32">
        <f>Inventory[[#This Row],[Bsmt Area]]-Inventory[[#This Row],[FnBsmt]]</f>
        <v>0</v>
      </c>
      <c r="Y996" s="32">
        <f>Inventory[[#This Row],[MainFn]]+Inventory[[#This Row],[UpprFn]]+Inventory[[#This Row],[AddFn]]+Inventory[[#This Row],[FnBsmt]]</f>
        <v>2480</v>
      </c>
      <c r="Z996" s="32">
        <v>2500</v>
      </c>
      <c r="AA996" s="31" t="s">
        <v>56</v>
      </c>
      <c r="AB996" s="38">
        <v>1</v>
      </c>
      <c r="AC996" s="37"/>
      <c r="AD996" s="38">
        <v>502</v>
      </c>
      <c r="AE996" s="32"/>
      <c r="AF996" s="32"/>
      <c r="AG996" s="32"/>
      <c r="AH996" s="32"/>
      <c r="AI996" s="30">
        <v>494364</v>
      </c>
      <c r="AJ996" s="30">
        <v>454815</v>
      </c>
      <c r="AK996" s="30">
        <v>0</v>
      </c>
      <c r="AL996" s="30">
        <v>0</v>
      </c>
      <c r="AM996" s="30">
        <v>61700</v>
      </c>
      <c r="AN996" s="30">
        <v>365900</v>
      </c>
      <c r="AO996" s="30">
        <v>427600</v>
      </c>
      <c r="AP996" s="30">
        <f>Lookups!$B$58*0.6</f>
        <v>132535.48800000001</v>
      </c>
      <c r="AQ996" s="30">
        <f>Lookups!$B$58*0.4</f>
        <v>88356.992000000013</v>
      </c>
      <c r="AR996" s="30">
        <f>Lookups!$B$59*Inventory[[#This Row],[LnAcres]]</f>
        <v>-23255.730391660189</v>
      </c>
      <c r="AS996" s="30">
        <f>VLOOKUP(Inventory[[#This Row],[Qlty]],Lookups!$A$66:$E$79,2,FALSE)</f>
        <v>32917.849192000001</v>
      </c>
      <c r="AT996" s="30">
        <f>VLOOKUP(Inventory[[#This Row],[Cnd]],Lookups!$A$80:$E$88,2,FALSE)</f>
        <v>50438.379078999998</v>
      </c>
      <c r="AU996" s="30">
        <f>Inventory[[#This Row],[EffAge]]*Lookups!$B$65</f>
        <v>-2174.8220000000001</v>
      </c>
      <c r="AV996" s="30">
        <f>Inventory[[#This Row],[MainFn]]*Lookups!$B$90</f>
        <v>72271.22004</v>
      </c>
      <c r="AW996" s="30">
        <f>Inventory[[#This Row],[UpprFn]]*Lookups!$B$91</f>
        <v>78765.266325999997</v>
      </c>
      <c r="AX996" s="30">
        <f>Inventory[[#This Row],[Bsmt Area]]*Lookups!$B$95</f>
        <v>0</v>
      </c>
      <c r="AY996" s="30">
        <f>Inventory[[#This Row],[AttGar]]*Lookups!$B$93</f>
        <v>0</v>
      </c>
      <c r="AZ996" s="30">
        <f>ROUND(Inventory[[#This Row],[25Det]],-2)</f>
        <v>0</v>
      </c>
      <c r="BA996" s="30">
        <f>ROUND(SUM(Inventory[[#This Row],[Mdl Qlty]:[Mdl Garage Area]])+Inventory[[#This Row],[Mdl Res Intercept]],-2)</f>
        <v>364800</v>
      </c>
      <c r="BB996" s="30">
        <f>ROUND(Inventory[[#This Row],[Mdl Land Intercept]]+Inventory[[#This Row],[Mdl LnAcres]],-2)</f>
        <v>65100</v>
      </c>
      <c r="BC996" s="30">
        <f>Inventory[[#This Row],[Unadj Res Value]]+Inventory[[#This Row],[Unadj Det Value]]+Inventory[[#This Row],[Unadj Land Value]]</f>
        <v>429900</v>
      </c>
      <c r="BD996" s="30">
        <f>(Inventory[[#This Row],[Unadj Total Value]]-Inventory[[#This Row],[24Final]])/Inventory[[#This Row],[24Final]]</f>
        <v>5.378858746492049E-3</v>
      </c>
      <c r="BE996" s="30">
        <f>VLOOKUP(Inventory[[#This Row],[Nbhd]],Lookups!$M$3:$P$5,4,FALSE)</f>
        <v>0.99970000000000003</v>
      </c>
      <c r="BF996" s="30">
        <f>VLOOKUP(Inventory[[#This Row],[Qlty]],Lookups!$M$8:$P$22,4,FALSE)</f>
        <v>1.0019</v>
      </c>
      <c r="BG996" s="30">
        <f>VLOOKUP(Inventory[[#This Row],[Cnd]],Lookups!$R$8:$U$17,4,FALSE)</f>
        <v>1.0007999999999999</v>
      </c>
      <c r="BH996" s="30">
        <f>VLOOKUP(Inventory[[#This Row],[LivArea Range]],Lookups!$R$25:$U$43,4,FALSE)</f>
        <v>1.0008999999999999</v>
      </c>
      <c r="BI996" s="30">
        <f>VLOOKUP(Inventory[[#This Row],[Decade]],Lookups!$M$24:$P$40,4,FALSE)</f>
        <v>0.99560000000000004</v>
      </c>
      <c r="BJ996" s="30">
        <f>Inventory[[#This Row],[Nbhd Adj]]*0.95</f>
        <v>0.94971499999999998</v>
      </c>
      <c r="BK996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996" s="30">
        <f>ROUND((SUM(Inventory[[#This Row],[Mdl Qlty]:[Mdl Garage Area]])+Inventory[[#This Row],[Mdl Res Intercept]])*Inventory[[#This Row],[Res Adj ]],-2)</f>
        <v>346400</v>
      </c>
      <c r="BM996" s="30">
        <f>ROUND(Inventory[[#This Row],[25Det]]*Inventory[[#This Row],[Det/Nbhd Adj]],-2)</f>
        <v>0</v>
      </c>
      <c r="BN996" s="30">
        <f>Inventory[[#This Row],[Adjusted Res]]+Inventory[[#This Row],[Adj Det ]]</f>
        <v>346400</v>
      </c>
      <c r="BO996" s="30">
        <f>ROUND((Inventory[[#This Row],[Mdl Land Intercept]]+Inventory[[#This Row],[Mdl LnAcres]])*Inventory[[#This Row],[Det/Nbhd Adj]],-2)</f>
        <v>61800</v>
      </c>
      <c r="BP996" s="30">
        <f>Inventory[[#This Row],[Adjusted Impr Total]]+Inventory[[#This Row],[Adjusted Land Total]]</f>
        <v>408200</v>
      </c>
      <c r="BQ996" s="30">
        <f>IFERROR((Inventory[[#This Row],[Adjusted Impr Total]]-Inventory[[#This Row],[24Bldg]])/Inventory[[#This Row],[24Bldg]],0)</f>
        <v>-5.3293249521727246E-2</v>
      </c>
      <c r="BR996" s="43">
        <f>(Inventory[[#This Row],[Adjusted Land Total]]-Inventory[[#This Row],[24Lnd]])/Inventory[[#This Row],[24Lnd]]</f>
        <v>1.6207455429497568E-3</v>
      </c>
      <c r="BS996" s="43">
        <f>(Inventory[[#This Row],[Adjusted Total]]-Inventory[[#This Row],[24Final]])/Inventory[[#This Row],[24Final]]</f>
        <v>-4.5369504209541625E-2</v>
      </c>
    </row>
    <row r="997" spans="1:71">
      <c r="A997" s="30">
        <v>2025</v>
      </c>
      <c r="B997" s="31" t="s">
        <v>1512</v>
      </c>
      <c r="C997" s="31">
        <f>LN(Inventory[[#This Row],[Acres]])</f>
        <v>-1.7719568419318752</v>
      </c>
      <c r="D997" s="30">
        <v>0.17</v>
      </c>
      <c r="E997" s="30">
        <v>7490</v>
      </c>
      <c r="F997" s="31" t="s">
        <v>505</v>
      </c>
      <c r="G997" s="31" t="s">
        <v>155</v>
      </c>
      <c r="H997" s="31" t="s">
        <v>5</v>
      </c>
      <c r="I997" s="31" t="s">
        <v>506</v>
      </c>
      <c r="J997" s="31" t="s">
        <v>507</v>
      </c>
      <c r="K997" s="31" t="s">
        <v>157</v>
      </c>
      <c r="L997" s="31" t="s">
        <v>21</v>
      </c>
      <c r="M997" s="31" t="s">
        <v>22</v>
      </c>
      <c r="N997" s="31">
        <v>20</v>
      </c>
      <c r="O997" s="31">
        <f>2024-Inventory[[#This Row],[YrBlt]]</f>
        <v>20</v>
      </c>
      <c r="P997" s="31">
        <f>2024-Inventory[[#This Row],[EffYr]]</f>
        <v>20</v>
      </c>
      <c r="Q997" s="30">
        <v>2004</v>
      </c>
      <c r="R997" s="30">
        <v>2004</v>
      </c>
      <c r="S997" s="30">
        <v>1158</v>
      </c>
      <c r="T997" s="38">
        <v>1322</v>
      </c>
      <c r="U997" s="32"/>
      <c r="V997" s="32"/>
      <c r="W997" s="32"/>
      <c r="X997" s="32">
        <f>Inventory[[#This Row],[Bsmt Area]]-Inventory[[#This Row],[FnBsmt]]</f>
        <v>0</v>
      </c>
      <c r="Y997" s="32">
        <f>Inventory[[#This Row],[MainFn]]+Inventory[[#This Row],[UpprFn]]+Inventory[[#This Row],[AddFn]]+Inventory[[#This Row],[FnBsmt]]</f>
        <v>2480</v>
      </c>
      <c r="Z997" s="32">
        <v>2500</v>
      </c>
      <c r="AA997" s="31" t="s">
        <v>56</v>
      </c>
      <c r="AB997" s="38">
        <v>1</v>
      </c>
      <c r="AC997" s="37"/>
      <c r="AD997" s="38">
        <v>502</v>
      </c>
      <c r="AE997" s="32"/>
      <c r="AF997" s="32"/>
      <c r="AG997" s="32"/>
      <c r="AH997" s="32"/>
      <c r="AI997" s="30">
        <v>481791</v>
      </c>
      <c r="AJ997" s="30">
        <v>443248</v>
      </c>
      <c r="AK997" s="30">
        <v>0</v>
      </c>
      <c r="AL997" s="30">
        <v>0</v>
      </c>
      <c r="AM997" s="30">
        <v>61700</v>
      </c>
      <c r="AN997" s="30">
        <v>365900</v>
      </c>
      <c r="AO997" s="30">
        <v>427600</v>
      </c>
      <c r="AP997" s="30">
        <f>Lookups!$B$58*0.6</f>
        <v>132535.48800000001</v>
      </c>
      <c r="AQ997" s="30">
        <f>Lookups!$B$58*0.4</f>
        <v>88356.992000000013</v>
      </c>
      <c r="AR997" s="30">
        <f>Lookups!$B$59*Inventory[[#This Row],[LnAcres]]</f>
        <v>-23255.730391660189</v>
      </c>
      <c r="AS997" s="30">
        <f>VLOOKUP(Inventory[[#This Row],[Qlty]],Lookups!$A$66:$E$79,2,FALSE)</f>
        <v>32917.849192000001</v>
      </c>
      <c r="AT997" s="30">
        <f>VLOOKUP(Inventory[[#This Row],[Cnd]],Lookups!$A$80:$E$88,2,FALSE)</f>
        <v>50438.379078999998</v>
      </c>
      <c r="AU997" s="30">
        <f>Inventory[[#This Row],[EffAge]]*Lookups!$B$65</f>
        <v>-2174.8220000000001</v>
      </c>
      <c r="AV997" s="30">
        <f>Inventory[[#This Row],[MainFn]]*Lookups!$B$90</f>
        <v>72271.22004</v>
      </c>
      <c r="AW997" s="30">
        <f>Inventory[[#This Row],[UpprFn]]*Lookups!$B$91</f>
        <v>78765.266325999997</v>
      </c>
      <c r="AX997" s="30">
        <f>Inventory[[#This Row],[Bsmt Area]]*Lookups!$B$95</f>
        <v>0</v>
      </c>
      <c r="AY997" s="30">
        <f>Inventory[[#This Row],[AttGar]]*Lookups!$B$93</f>
        <v>0</v>
      </c>
      <c r="AZ997" s="30">
        <f>ROUND(Inventory[[#This Row],[25Det]],-2)</f>
        <v>0</v>
      </c>
      <c r="BA997" s="30">
        <f>ROUND(SUM(Inventory[[#This Row],[Mdl Qlty]:[Mdl Garage Area]])+Inventory[[#This Row],[Mdl Res Intercept]],-2)</f>
        <v>364800</v>
      </c>
      <c r="BB997" s="30">
        <f>ROUND(Inventory[[#This Row],[Mdl Land Intercept]]+Inventory[[#This Row],[Mdl LnAcres]],-2)</f>
        <v>65100</v>
      </c>
      <c r="BC997" s="30">
        <f>Inventory[[#This Row],[Unadj Res Value]]+Inventory[[#This Row],[Unadj Det Value]]+Inventory[[#This Row],[Unadj Land Value]]</f>
        <v>429900</v>
      </c>
      <c r="BD997" s="30">
        <f>(Inventory[[#This Row],[Unadj Total Value]]-Inventory[[#This Row],[24Final]])/Inventory[[#This Row],[24Final]]</f>
        <v>5.378858746492049E-3</v>
      </c>
      <c r="BE997" s="30">
        <f>VLOOKUP(Inventory[[#This Row],[Nbhd]],Lookups!$M$3:$P$5,4,FALSE)</f>
        <v>0.99970000000000003</v>
      </c>
      <c r="BF997" s="30">
        <f>VLOOKUP(Inventory[[#This Row],[Qlty]],Lookups!$M$8:$P$22,4,FALSE)</f>
        <v>1.0019</v>
      </c>
      <c r="BG997" s="30">
        <f>VLOOKUP(Inventory[[#This Row],[Cnd]],Lookups!$R$8:$U$17,4,FALSE)</f>
        <v>1.0007999999999999</v>
      </c>
      <c r="BH997" s="30">
        <f>VLOOKUP(Inventory[[#This Row],[LivArea Range]],Lookups!$R$25:$U$43,4,FALSE)</f>
        <v>1.0008999999999999</v>
      </c>
      <c r="BI997" s="30">
        <f>VLOOKUP(Inventory[[#This Row],[Decade]],Lookups!$M$24:$P$40,4,FALSE)</f>
        <v>0.99560000000000004</v>
      </c>
      <c r="BJ997" s="30">
        <f>Inventory[[#This Row],[Nbhd Adj]]*0.95</f>
        <v>0.94971499999999998</v>
      </c>
      <c r="BK997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997" s="30">
        <f>ROUND((SUM(Inventory[[#This Row],[Mdl Qlty]:[Mdl Garage Area]])+Inventory[[#This Row],[Mdl Res Intercept]])*Inventory[[#This Row],[Res Adj ]],-2)</f>
        <v>346400</v>
      </c>
      <c r="BM997" s="30">
        <f>ROUND(Inventory[[#This Row],[25Det]]*Inventory[[#This Row],[Det/Nbhd Adj]],-2)</f>
        <v>0</v>
      </c>
      <c r="BN997" s="30">
        <f>Inventory[[#This Row],[Adjusted Res]]+Inventory[[#This Row],[Adj Det ]]</f>
        <v>346400</v>
      </c>
      <c r="BO997" s="30">
        <f>ROUND((Inventory[[#This Row],[Mdl Land Intercept]]+Inventory[[#This Row],[Mdl LnAcres]])*Inventory[[#This Row],[Det/Nbhd Adj]],-2)</f>
        <v>61800</v>
      </c>
      <c r="BP997" s="30">
        <f>Inventory[[#This Row],[Adjusted Impr Total]]+Inventory[[#This Row],[Adjusted Land Total]]</f>
        <v>408200</v>
      </c>
      <c r="BQ997" s="30">
        <f>IFERROR((Inventory[[#This Row],[Adjusted Impr Total]]-Inventory[[#This Row],[24Bldg]])/Inventory[[#This Row],[24Bldg]],0)</f>
        <v>-5.3293249521727246E-2</v>
      </c>
      <c r="BR997" s="43">
        <f>(Inventory[[#This Row],[Adjusted Land Total]]-Inventory[[#This Row],[24Lnd]])/Inventory[[#This Row],[24Lnd]]</f>
        <v>1.6207455429497568E-3</v>
      </c>
      <c r="BS997" s="43">
        <f>(Inventory[[#This Row],[Adjusted Total]]-Inventory[[#This Row],[24Final]])/Inventory[[#This Row],[24Final]]</f>
        <v>-4.5369504209541625E-2</v>
      </c>
    </row>
    <row r="998" spans="1:71">
      <c r="A998" s="30">
        <v>2025</v>
      </c>
      <c r="B998" s="31" t="s">
        <v>1513</v>
      </c>
      <c r="C998" s="31">
        <f>LN(Inventory[[#This Row],[Acres]])</f>
        <v>-1.7719568419318752</v>
      </c>
      <c r="D998" s="30">
        <v>0.17</v>
      </c>
      <c r="E998" s="30">
        <v>7502</v>
      </c>
      <c r="F998" s="31" t="s">
        <v>505</v>
      </c>
      <c r="G998" s="31" t="s">
        <v>155</v>
      </c>
      <c r="H998" s="31" t="s">
        <v>5</v>
      </c>
      <c r="I998" s="31" t="s">
        <v>506</v>
      </c>
      <c r="J998" s="31" t="s">
        <v>507</v>
      </c>
      <c r="K998" s="31" t="s">
        <v>157</v>
      </c>
      <c r="L998" s="31" t="s">
        <v>21</v>
      </c>
      <c r="M998" s="31" t="s">
        <v>22</v>
      </c>
      <c r="N998" s="31">
        <v>20</v>
      </c>
      <c r="O998" s="31">
        <f>2024-Inventory[[#This Row],[YrBlt]]</f>
        <v>20</v>
      </c>
      <c r="P998" s="31">
        <f>2024-Inventory[[#This Row],[EffYr]]</f>
        <v>20</v>
      </c>
      <c r="Q998" s="30">
        <v>2004</v>
      </c>
      <c r="R998" s="30">
        <v>2004</v>
      </c>
      <c r="S998" s="30">
        <v>1158</v>
      </c>
      <c r="T998" s="30">
        <v>1322</v>
      </c>
      <c r="U998" s="32"/>
      <c r="V998" s="32"/>
      <c r="W998" s="32"/>
      <c r="X998" s="32">
        <f>Inventory[[#This Row],[Bsmt Area]]-Inventory[[#This Row],[FnBsmt]]</f>
        <v>0</v>
      </c>
      <c r="Y998" s="32">
        <f>Inventory[[#This Row],[MainFn]]+Inventory[[#This Row],[UpprFn]]+Inventory[[#This Row],[AddFn]]+Inventory[[#This Row],[FnBsmt]]</f>
        <v>2480</v>
      </c>
      <c r="Z998" s="32">
        <v>2500</v>
      </c>
      <c r="AA998" s="31" t="s">
        <v>56</v>
      </c>
      <c r="AB998" s="37"/>
      <c r="AC998" s="37"/>
      <c r="AD998" s="30">
        <v>502</v>
      </c>
      <c r="AE998" s="32"/>
      <c r="AF998" s="32"/>
      <c r="AG998" s="32"/>
      <c r="AH998" s="32"/>
      <c r="AI998" s="30">
        <v>483786</v>
      </c>
      <c r="AJ998" s="30">
        <v>445083</v>
      </c>
      <c r="AK998" s="30">
        <v>0</v>
      </c>
      <c r="AL998" s="30">
        <v>0</v>
      </c>
      <c r="AM998" s="30">
        <v>61700</v>
      </c>
      <c r="AN998" s="30">
        <v>365900</v>
      </c>
      <c r="AO998" s="30">
        <v>427600</v>
      </c>
      <c r="AP998" s="30">
        <f>Lookups!$B$58*0.6</f>
        <v>132535.48800000001</v>
      </c>
      <c r="AQ998" s="30">
        <f>Lookups!$B$58*0.4</f>
        <v>88356.992000000013</v>
      </c>
      <c r="AR998" s="30">
        <f>Lookups!$B$59*Inventory[[#This Row],[LnAcres]]</f>
        <v>-23255.730391660189</v>
      </c>
      <c r="AS998" s="30">
        <f>VLOOKUP(Inventory[[#This Row],[Qlty]],Lookups!$A$66:$E$79,2,FALSE)</f>
        <v>32917.849192000001</v>
      </c>
      <c r="AT998" s="30">
        <f>VLOOKUP(Inventory[[#This Row],[Cnd]],Lookups!$A$80:$E$88,2,FALSE)</f>
        <v>50438.379078999998</v>
      </c>
      <c r="AU998" s="30">
        <f>Inventory[[#This Row],[EffAge]]*Lookups!$B$65</f>
        <v>-2174.8220000000001</v>
      </c>
      <c r="AV998" s="30">
        <f>Inventory[[#This Row],[MainFn]]*Lookups!$B$90</f>
        <v>72271.22004</v>
      </c>
      <c r="AW998" s="30">
        <f>Inventory[[#This Row],[UpprFn]]*Lookups!$B$91</f>
        <v>78765.266325999997</v>
      </c>
      <c r="AX998" s="30">
        <f>Inventory[[#This Row],[Bsmt Area]]*Lookups!$B$95</f>
        <v>0</v>
      </c>
      <c r="AY998" s="30">
        <f>Inventory[[#This Row],[AttGar]]*Lookups!$B$93</f>
        <v>0</v>
      </c>
      <c r="AZ998" s="30">
        <f>ROUND(Inventory[[#This Row],[25Det]],-2)</f>
        <v>0</v>
      </c>
      <c r="BA998" s="30">
        <f>ROUND(SUM(Inventory[[#This Row],[Mdl Qlty]:[Mdl Garage Area]])+Inventory[[#This Row],[Mdl Res Intercept]],-2)</f>
        <v>364800</v>
      </c>
      <c r="BB998" s="30">
        <f>ROUND(Inventory[[#This Row],[Mdl Land Intercept]]+Inventory[[#This Row],[Mdl LnAcres]],-2)</f>
        <v>65100</v>
      </c>
      <c r="BC998" s="30">
        <f>Inventory[[#This Row],[Unadj Res Value]]+Inventory[[#This Row],[Unadj Det Value]]+Inventory[[#This Row],[Unadj Land Value]]</f>
        <v>429900</v>
      </c>
      <c r="BD998" s="30">
        <f>(Inventory[[#This Row],[Unadj Total Value]]-Inventory[[#This Row],[24Final]])/Inventory[[#This Row],[24Final]]</f>
        <v>5.378858746492049E-3</v>
      </c>
      <c r="BE998" s="30">
        <f>VLOOKUP(Inventory[[#This Row],[Nbhd]],Lookups!$M$3:$P$5,4,FALSE)</f>
        <v>0.99970000000000003</v>
      </c>
      <c r="BF998" s="30">
        <f>VLOOKUP(Inventory[[#This Row],[Qlty]],Lookups!$M$8:$P$22,4,FALSE)</f>
        <v>1.0019</v>
      </c>
      <c r="BG998" s="30">
        <f>VLOOKUP(Inventory[[#This Row],[Cnd]],Lookups!$R$8:$U$17,4,FALSE)</f>
        <v>1.0007999999999999</v>
      </c>
      <c r="BH998" s="30">
        <f>VLOOKUP(Inventory[[#This Row],[LivArea Range]],Lookups!$R$25:$U$43,4,FALSE)</f>
        <v>1.0008999999999999</v>
      </c>
      <c r="BI998" s="30">
        <f>VLOOKUP(Inventory[[#This Row],[Decade]],Lookups!$M$24:$P$40,4,FALSE)</f>
        <v>0.99560000000000004</v>
      </c>
      <c r="BJ998" s="30">
        <f>Inventory[[#This Row],[Nbhd Adj]]*0.95</f>
        <v>0.94971499999999998</v>
      </c>
      <c r="BK998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998" s="30">
        <f>ROUND((SUM(Inventory[[#This Row],[Mdl Qlty]:[Mdl Garage Area]])+Inventory[[#This Row],[Mdl Res Intercept]])*Inventory[[#This Row],[Res Adj ]],-2)</f>
        <v>346400</v>
      </c>
      <c r="BM998" s="30">
        <f>ROUND(Inventory[[#This Row],[25Det]]*Inventory[[#This Row],[Det/Nbhd Adj]],-2)</f>
        <v>0</v>
      </c>
      <c r="BN998" s="30">
        <f>Inventory[[#This Row],[Adjusted Res]]+Inventory[[#This Row],[Adj Det ]]</f>
        <v>346400</v>
      </c>
      <c r="BO998" s="30">
        <f>ROUND((Inventory[[#This Row],[Mdl Land Intercept]]+Inventory[[#This Row],[Mdl LnAcres]])*Inventory[[#This Row],[Det/Nbhd Adj]],-2)</f>
        <v>61800</v>
      </c>
      <c r="BP998" s="30">
        <f>Inventory[[#This Row],[Adjusted Impr Total]]+Inventory[[#This Row],[Adjusted Land Total]]</f>
        <v>408200</v>
      </c>
      <c r="BQ998" s="30">
        <f>IFERROR((Inventory[[#This Row],[Adjusted Impr Total]]-Inventory[[#This Row],[24Bldg]])/Inventory[[#This Row],[24Bldg]],0)</f>
        <v>-5.3293249521727246E-2</v>
      </c>
      <c r="BR998" s="43">
        <f>(Inventory[[#This Row],[Adjusted Land Total]]-Inventory[[#This Row],[24Lnd]])/Inventory[[#This Row],[24Lnd]]</f>
        <v>1.6207455429497568E-3</v>
      </c>
      <c r="BS998" s="43">
        <f>(Inventory[[#This Row],[Adjusted Total]]-Inventory[[#This Row],[24Final]])/Inventory[[#This Row],[24Final]]</f>
        <v>-4.5369504209541625E-2</v>
      </c>
    </row>
    <row r="999" spans="1:71">
      <c r="A999" s="30">
        <v>2025</v>
      </c>
      <c r="B999" s="31" t="s">
        <v>1514</v>
      </c>
      <c r="C999" s="31">
        <f>LN(Inventory[[#This Row],[Acres]])</f>
        <v>-1.7719568419318752</v>
      </c>
      <c r="D999" s="30">
        <v>0.17</v>
      </c>
      <c r="E999" s="30">
        <v>7215</v>
      </c>
      <c r="F999" s="31" t="s">
        <v>505</v>
      </c>
      <c r="G999" s="31" t="s">
        <v>155</v>
      </c>
      <c r="H999" s="31" t="s">
        <v>5</v>
      </c>
      <c r="I999" s="31" t="s">
        <v>506</v>
      </c>
      <c r="J999" s="31" t="s">
        <v>507</v>
      </c>
      <c r="K999" s="31" t="s">
        <v>193</v>
      </c>
      <c r="L999" s="31" t="s">
        <v>19</v>
      </c>
      <c r="M999" s="31" t="s">
        <v>20</v>
      </c>
      <c r="N999" s="31">
        <v>20</v>
      </c>
      <c r="O999" s="31">
        <f>2024-Inventory[[#This Row],[YrBlt]]</f>
        <v>20</v>
      </c>
      <c r="P999" s="31">
        <f>2024-Inventory[[#This Row],[EffYr]]</f>
        <v>20</v>
      </c>
      <c r="Q999" s="30">
        <v>2004</v>
      </c>
      <c r="R999" s="30">
        <v>2004</v>
      </c>
      <c r="S999" s="30">
        <v>1092</v>
      </c>
      <c r="T999" s="37"/>
      <c r="U999" s="32"/>
      <c r="V999" s="32"/>
      <c r="W999" s="32"/>
      <c r="X999" s="32">
        <f>Inventory[[#This Row],[Bsmt Area]]-Inventory[[#This Row],[FnBsmt]]</f>
        <v>0</v>
      </c>
      <c r="Y999" s="32">
        <f>Inventory[[#This Row],[MainFn]]+Inventory[[#This Row],[UpprFn]]+Inventory[[#This Row],[AddFn]]+Inventory[[#This Row],[FnBsmt]]</f>
        <v>1092</v>
      </c>
      <c r="Z999" s="32">
        <v>1500</v>
      </c>
      <c r="AA999" s="31" t="s">
        <v>56</v>
      </c>
      <c r="AB999" s="32"/>
      <c r="AC999" s="30">
        <v>440</v>
      </c>
      <c r="AD999" s="37"/>
      <c r="AE999" s="32"/>
      <c r="AF999" s="32"/>
      <c r="AG999" s="32"/>
      <c r="AH999" s="32"/>
      <c r="AI999" s="30">
        <v>232884</v>
      </c>
      <c r="AJ999" s="30">
        <v>211924</v>
      </c>
      <c r="AK999" s="30">
        <v>0</v>
      </c>
      <c r="AL999" s="30">
        <v>0</v>
      </c>
      <c r="AM999" s="30">
        <v>61700</v>
      </c>
      <c r="AN999" s="30">
        <v>275800</v>
      </c>
      <c r="AO999" s="30">
        <v>337500</v>
      </c>
      <c r="AP999" s="30">
        <f>Lookups!$B$58*0.6</f>
        <v>132535.48800000001</v>
      </c>
      <c r="AQ999" s="30">
        <f>Lookups!$B$58*0.4</f>
        <v>88356.992000000013</v>
      </c>
      <c r="AR999" s="30">
        <f>Lookups!$B$59*Inventory[[#This Row],[LnAcres]]</f>
        <v>-23255.730391660189</v>
      </c>
      <c r="AS999" s="30">
        <f>VLOOKUP(Inventory[[#This Row],[Qlty]],Lookups!$A$66:$E$79,2,FALSE)</f>
        <v>37154.252388000001</v>
      </c>
      <c r="AT999" s="30">
        <f>VLOOKUP(Inventory[[#This Row],[Cnd]],Lookups!$A$80:$E$88,2,FALSE)</f>
        <v>30300.329274</v>
      </c>
      <c r="AU999" s="30">
        <f>Inventory[[#This Row],[EffAge]]*Lookups!$B$65</f>
        <v>-2174.8220000000001</v>
      </c>
      <c r="AV999" s="30">
        <f>Inventory[[#This Row],[MainFn]]*Lookups!$B$90</f>
        <v>68152.13496000001</v>
      </c>
      <c r="AW999" s="30">
        <f>Inventory[[#This Row],[UpprFn]]*Lookups!$B$91</f>
        <v>0</v>
      </c>
      <c r="AX999" s="30">
        <f>Inventory[[#This Row],[Bsmt Area]]*Lookups!$B$95</f>
        <v>0</v>
      </c>
      <c r="AY999" s="30">
        <f>Inventory[[#This Row],[AttGar]]*Lookups!$B$93</f>
        <v>15532.453640000002</v>
      </c>
      <c r="AZ999" s="30">
        <f>ROUND(Inventory[[#This Row],[25Det]],-2)</f>
        <v>0</v>
      </c>
      <c r="BA999" s="30">
        <f>ROUND(SUM(Inventory[[#This Row],[Mdl Qlty]:[Mdl Garage Area]])+Inventory[[#This Row],[Mdl Res Intercept]],-2)</f>
        <v>281500</v>
      </c>
      <c r="BB999" s="30">
        <f>ROUND(Inventory[[#This Row],[Mdl Land Intercept]]+Inventory[[#This Row],[Mdl LnAcres]],-2)</f>
        <v>65100</v>
      </c>
      <c r="BC999" s="30">
        <f>Inventory[[#This Row],[Unadj Res Value]]+Inventory[[#This Row],[Unadj Det Value]]+Inventory[[#This Row],[Unadj Land Value]]</f>
        <v>346600</v>
      </c>
      <c r="BD999" s="30">
        <f>(Inventory[[#This Row],[Unadj Total Value]]-Inventory[[#This Row],[24Final]])/Inventory[[#This Row],[24Final]]</f>
        <v>2.6962962962962963E-2</v>
      </c>
      <c r="BE999" s="30">
        <f>VLOOKUP(Inventory[[#This Row],[Nbhd]],Lookups!$M$3:$P$5,4,FALSE)</f>
        <v>0.99970000000000003</v>
      </c>
      <c r="BF999" s="30">
        <f>VLOOKUP(Inventory[[#This Row],[Qlty]],Lookups!$M$8:$P$22,4,FALSE)</f>
        <v>0.99819999999999998</v>
      </c>
      <c r="BG999" s="30">
        <f>VLOOKUP(Inventory[[#This Row],[Cnd]],Lookups!$R$8:$U$17,4,FALSE)</f>
        <v>0.997</v>
      </c>
      <c r="BH999" s="30">
        <f>VLOOKUP(Inventory[[#This Row],[LivArea Range]],Lookups!$R$25:$U$43,4,FALSE)</f>
        <v>0.99519999999999997</v>
      </c>
      <c r="BI999" s="30">
        <f>VLOOKUP(Inventory[[#This Row],[Decade]],Lookups!$M$24:$P$40,4,FALSE)</f>
        <v>0.99560000000000004</v>
      </c>
      <c r="BJ999" s="30">
        <f>Inventory[[#This Row],[Nbhd Adj]]*0.95</f>
        <v>0.94971499999999998</v>
      </c>
      <c r="BK999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999" s="30">
        <f>ROUND((SUM(Inventory[[#This Row],[Mdl Qlty]:[Mdl Garage Area]])+Inventory[[#This Row],[Mdl Res Intercept]])*Inventory[[#This Row],[Res Adj ]],-2)</f>
        <v>266700</v>
      </c>
      <c r="BM999" s="30">
        <f>ROUND(Inventory[[#This Row],[25Det]]*Inventory[[#This Row],[Det/Nbhd Adj]],-2)</f>
        <v>0</v>
      </c>
      <c r="BN999" s="30">
        <f>Inventory[[#This Row],[Adjusted Res]]+Inventory[[#This Row],[Adj Det ]]</f>
        <v>266700</v>
      </c>
      <c r="BO999" s="30">
        <f>ROUND((Inventory[[#This Row],[Mdl Land Intercept]]+Inventory[[#This Row],[Mdl LnAcres]])*Inventory[[#This Row],[Det/Nbhd Adj]],-2)</f>
        <v>61800</v>
      </c>
      <c r="BP999" s="30">
        <f>Inventory[[#This Row],[Adjusted Impr Total]]+Inventory[[#This Row],[Adjusted Land Total]]</f>
        <v>328500</v>
      </c>
      <c r="BQ999" s="30">
        <f>IFERROR((Inventory[[#This Row],[Adjusted Impr Total]]-Inventory[[#This Row],[24Bldg]])/Inventory[[#This Row],[24Bldg]],0)</f>
        <v>-3.2994923857868022E-2</v>
      </c>
      <c r="BR999" s="43">
        <f>(Inventory[[#This Row],[Adjusted Land Total]]-Inventory[[#This Row],[24Lnd]])/Inventory[[#This Row],[24Lnd]]</f>
        <v>1.6207455429497568E-3</v>
      </c>
      <c r="BS999" s="43">
        <f>(Inventory[[#This Row],[Adjusted Total]]-Inventory[[#This Row],[24Final]])/Inventory[[#This Row],[24Final]]</f>
        <v>-2.6666666666666668E-2</v>
      </c>
    </row>
    <row r="1000" spans="1:71">
      <c r="A1000" s="30">
        <v>2025</v>
      </c>
      <c r="B1000" s="31" t="s">
        <v>1515</v>
      </c>
      <c r="C1000" s="31">
        <f>LN(Inventory[[#This Row],[Acres]])</f>
        <v>-1.7719568419318752</v>
      </c>
      <c r="D1000" s="30">
        <v>0.17</v>
      </c>
      <c r="E1000" s="30">
        <v>7199</v>
      </c>
      <c r="F1000" s="31" t="s">
        <v>505</v>
      </c>
      <c r="G1000" s="31" t="s">
        <v>155</v>
      </c>
      <c r="H1000" s="31" t="s">
        <v>5</v>
      </c>
      <c r="I1000" s="31" t="s">
        <v>506</v>
      </c>
      <c r="J1000" s="31" t="s">
        <v>507</v>
      </c>
      <c r="K1000" s="31" t="s">
        <v>193</v>
      </c>
      <c r="L1000" s="31" t="s">
        <v>19</v>
      </c>
      <c r="M1000" s="31" t="s">
        <v>20</v>
      </c>
      <c r="N1000" s="31">
        <v>20</v>
      </c>
      <c r="O1000" s="31">
        <f>2024-Inventory[[#This Row],[YrBlt]]</f>
        <v>20</v>
      </c>
      <c r="P1000" s="31">
        <f>2024-Inventory[[#This Row],[EffYr]]</f>
        <v>20</v>
      </c>
      <c r="Q1000" s="30">
        <v>2004</v>
      </c>
      <c r="R1000" s="30">
        <v>2004</v>
      </c>
      <c r="S1000" s="30">
        <v>1096</v>
      </c>
      <c r="T1000" s="32"/>
      <c r="U1000" s="32"/>
      <c r="V1000" s="32"/>
      <c r="W1000" s="32"/>
      <c r="X1000" s="32">
        <f>Inventory[[#This Row],[Bsmt Area]]-Inventory[[#This Row],[FnBsmt]]</f>
        <v>0</v>
      </c>
      <c r="Y1000" s="32">
        <f>Inventory[[#This Row],[MainFn]]+Inventory[[#This Row],[UpprFn]]+Inventory[[#This Row],[AddFn]]+Inventory[[#This Row],[FnBsmt]]</f>
        <v>1096</v>
      </c>
      <c r="Z1000" s="32">
        <v>1500</v>
      </c>
      <c r="AA1000" s="31" t="s">
        <v>56</v>
      </c>
      <c r="AB1000" s="38">
        <v>1</v>
      </c>
      <c r="AC1000" s="30">
        <v>460</v>
      </c>
      <c r="AD1000" s="32"/>
      <c r="AE1000" s="32"/>
      <c r="AF1000" s="32"/>
      <c r="AG1000" s="32"/>
      <c r="AH1000" s="32"/>
      <c r="AI1000" s="30">
        <v>236419</v>
      </c>
      <c r="AJ1000" s="30">
        <v>215141</v>
      </c>
      <c r="AK1000" s="30">
        <v>0</v>
      </c>
      <c r="AL1000" s="30">
        <v>0</v>
      </c>
      <c r="AM1000" s="30">
        <v>61700</v>
      </c>
      <c r="AN1000" s="30">
        <v>276400</v>
      </c>
      <c r="AO1000" s="30">
        <v>338100</v>
      </c>
      <c r="AP1000" s="30">
        <f>Lookups!$B$58*0.6</f>
        <v>132535.48800000001</v>
      </c>
      <c r="AQ1000" s="30">
        <f>Lookups!$B$58*0.4</f>
        <v>88356.992000000013</v>
      </c>
      <c r="AR1000" s="30">
        <f>Lookups!$B$59*Inventory[[#This Row],[LnAcres]]</f>
        <v>-23255.730391660189</v>
      </c>
      <c r="AS1000" s="30">
        <f>VLOOKUP(Inventory[[#This Row],[Qlty]],Lookups!$A$66:$E$79,2,FALSE)</f>
        <v>37154.252388000001</v>
      </c>
      <c r="AT1000" s="30">
        <f>VLOOKUP(Inventory[[#This Row],[Cnd]],Lookups!$A$80:$E$88,2,FALSE)</f>
        <v>30300.329274</v>
      </c>
      <c r="AU1000" s="30">
        <f>Inventory[[#This Row],[EffAge]]*Lookups!$B$65</f>
        <v>-2174.8220000000001</v>
      </c>
      <c r="AV1000" s="30">
        <f>Inventory[[#This Row],[MainFn]]*Lookups!$B$90</f>
        <v>68401.77648</v>
      </c>
      <c r="AW1000" s="30">
        <f>Inventory[[#This Row],[UpprFn]]*Lookups!$B$91</f>
        <v>0</v>
      </c>
      <c r="AX1000" s="30">
        <f>Inventory[[#This Row],[Bsmt Area]]*Lookups!$B$95</f>
        <v>0</v>
      </c>
      <c r="AY1000" s="30">
        <f>Inventory[[#This Row],[AttGar]]*Lookups!$B$93</f>
        <v>16238.474260000001</v>
      </c>
      <c r="AZ1000" s="30">
        <f>ROUND(Inventory[[#This Row],[25Det]],-2)</f>
        <v>0</v>
      </c>
      <c r="BA1000" s="30">
        <f>ROUND(SUM(Inventory[[#This Row],[Mdl Qlty]:[Mdl Garage Area]])+Inventory[[#This Row],[Mdl Res Intercept]],-2)</f>
        <v>282500</v>
      </c>
      <c r="BB1000" s="30">
        <f>ROUND(Inventory[[#This Row],[Mdl Land Intercept]]+Inventory[[#This Row],[Mdl LnAcres]],-2)</f>
        <v>65100</v>
      </c>
      <c r="BC1000" s="30">
        <f>Inventory[[#This Row],[Unadj Res Value]]+Inventory[[#This Row],[Unadj Det Value]]+Inventory[[#This Row],[Unadj Land Value]]</f>
        <v>347600</v>
      </c>
      <c r="BD1000" s="30">
        <f>(Inventory[[#This Row],[Unadj Total Value]]-Inventory[[#This Row],[24Final]])/Inventory[[#This Row],[24Final]]</f>
        <v>2.8098195800059154E-2</v>
      </c>
      <c r="BE1000" s="30">
        <f>VLOOKUP(Inventory[[#This Row],[Nbhd]],Lookups!$M$3:$P$5,4,FALSE)</f>
        <v>0.99970000000000003</v>
      </c>
      <c r="BF1000" s="30">
        <f>VLOOKUP(Inventory[[#This Row],[Qlty]],Lookups!$M$8:$P$22,4,FALSE)</f>
        <v>0.99819999999999998</v>
      </c>
      <c r="BG1000" s="30">
        <f>VLOOKUP(Inventory[[#This Row],[Cnd]],Lookups!$R$8:$U$17,4,FALSE)</f>
        <v>0.997</v>
      </c>
      <c r="BH1000" s="30">
        <f>VLOOKUP(Inventory[[#This Row],[LivArea Range]],Lookups!$R$25:$U$43,4,FALSE)</f>
        <v>0.99519999999999997</v>
      </c>
      <c r="BI1000" s="30">
        <f>VLOOKUP(Inventory[[#This Row],[Decade]],Lookups!$M$24:$P$40,4,FALSE)</f>
        <v>0.99560000000000004</v>
      </c>
      <c r="BJ1000" s="30">
        <f>Inventory[[#This Row],[Nbhd Adj]]*0.95</f>
        <v>0.94971499999999998</v>
      </c>
      <c r="BK1000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1000" s="30">
        <f>ROUND((SUM(Inventory[[#This Row],[Mdl Qlty]:[Mdl Garage Area]])+Inventory[[#This Row],[Mdl Res Intercept]])*Inventory[[#This Row],[Res Adj ]],-2)</f>
        <v>267600</v>
      </c>
      <c r="BM1000" s="30">
        <f>ROUND(Inventory[[#This Row],[25Det]]*Inventory[[#This Row],[Det/Nbhd Adj]],-2)</f>
        <v>0</v>
      </c>
      <c r="BN1000" s="30">
        <f>Inventory[[#This Row],[Adjusted Res]]+Inventory[[#This Row],[Adj Det ]]</f>
        <v>267600</v>
      </c>
      <c r="BO1000" s="30">
        <f>ROUND((Inventory[[#This Row],[Mdl Land Intercept]]+Inventory[[#This Row],[Mdl LnAcres]])*Inventory[[#This Row],[Det/Nbhd Adj]],-2)</f>
        <v>61800</v>
      </c>
      <c r="BP1000" s="30">
        <f>Inventory[[#This Row],[Adjusted Impr Total]]+Inventory[[#This Row],[Adjusted Land Total]]</f>
        <v>329400</v>
      </c>
      <c r="BQ1000" s="30">
        <f>IFERROR((Inventory[[#This Row],[Adjusted Impr Total]]-Inventory[[#This Row],[24Bldg]])/Inventory[[#This Row],[24Bldg]],0)</f>
        <v>-3.1837916063675829E-2</v>
      </c>
      <c r="BR1000" s="43">
        <f>(Inventory[[#This Row],[Adjusted Land Total]]-Inventory[[#This Row],[24Lnd]])/Inventory[[#This Row],[24Lnd]]</f>
        <v>1.6207455429497568E-3</v>
      </c>
      <c r="BS1000" s="43">
        <f>(Inventory[[#This Row],[Adjusted Total]]-Inventory[[#This Row],[24Final]])/Inventory[[#This Row],[24Final]]</f>
        <v>-2.5732031943212066E-2</v>
      </c>
    </row>
    <row r="1001" spans="1:71">
      <c r="A1001" s="30">
        <v>2025</v>
      </c>
      <c r="B1001" s="31" t="s">
        <v>1516</v>
      </c>
      <c r="C1001" s="31">
        <f>LN(Inventory[[#This Row],[Acres]])</f>
        <v>-1.7719568419318752</v>
      </c>
      <c r="D1001" s="30">
        <v>0.17</v>
      </c>
      <c r="E1001" s="30">
        <v>7372</v>
      </c>
      <c r="F1001" s="31" t="s">
        <v>505</v>
      </c>
      <c r="G1001" s="31" t="s">
        <v>155</v>
      </c>
      <c r="H1001" s="31" t="s">
        <v>5</v>
      </c>
      <c r="I1001" s="31" t="s">
        <v>506</v>
      </c>
      <c r="J1001" s="31" t="s">
        <v>507</v>
      </c>
      <c r="K1001" s="31" t="s">
        <v>193</v>
      </c>
      <c r="L1001" s="31" t="s">
        <v>19</v>
      </c>
      <c r="M1001" s="31" t="s">
        <v>20</v>
      </c>
      <c r="N1001" s="31">
        <v>20</v>
      </c>
      <c r="O1001" s="31">
        <f>2024-Inventory[[#This Row],[YrBlt]]</f>
        <v>20</v>
      </c>
      <c r="P1001" s="31">
        <f>2024-Inventory[[#This Row],[EffYr]]</f>
        <v>20</v>
      </c>
      <c r="Q1001" s="30">
        <v>2004</v>
      </c>
      <c r="R1001" s="30">
        <v>2004</v>
      </c>
      <c r="S1001" s="30">
        <v>1096</v>
      </c>
      <c r="T1001" s="32"/>
      <c r="U1001" s="32"/>
      <c r="V1001" s="32"/>
      <c r="W1001" s="32"/>
      <c r="X1001" s="32">
        <f>Inventory[[#This Row],[Bsmt Area]]-Inventory[[#This Row],[FnBsmt]]</f>
        <v>0</v>
      </c>
      <c r="Y1001" s="32">
        <f>Inventory[[#This Row],[MainFn]]+Inventory[[#This Row],[UpprFn]]+Inventory[[#This Row],[AddFn]]+Inventory[[#This Row],[FnBsmt]]</f>
        <v>1096</v>
      </c>
      <c r="Z1001" s="32">
        <v>1500</v>
      </c>
      <c r="AA1001" s="31" t="s">
        <v>56</v>
      </c>
      <c r="AB1001" s="32"/>
      <c r="AC1001" s="30">
        <v>460</v>
      </c>
      <c r="AD1001" s="32"/>
      <c r="AE1001" s="32"/>
      <c r="AF1001" s="32"/>
      <c r="AG1001" s="32"/>
      <c r="AH1001" s="32"/>
      <c r="AI1001" s="30">
        <v>232730</v>
      </c>
      <c r="AJ1001" s="30">
        <v>211784</v>
      </c>
      <c r="AK1001" s="30">
        <v>0</v>
      </c>
      <c r="AL1001" s="30">
        <v>0</v>
      </c>
      <c r="AM1001" s="30">
        <v>61700</v>
      </c>
      <c r="AN1001" s="30">
        <v>276400</v>
      </c>
      <c r="AO1001" s="30">
        <v>338100</v>
      </c>
      <c r="AP1001" s="30">
        <f>Lookups!$B$58*0.6</f>
        <v>132535.48800000001</v>
      </c>
      <c r="AQ1001" s="30">
        <f>Lookups!$B$58*0.4</f>
        <v>88356.992000000013</v>
      </c>
      <c r="AR1001" s="30">
        <f>Lookups!$B$59*Inventory[[#This Row],[LnAcres]]</f>
        <v>-23255.730391660189</v>
      </c>
      <c r="AS1001" s="30">
        <f>VLOOKUP(Inventory[[#This Row],[Qlty]],Lookups!$A$66:$E$79,2,FALSE)</f>
        <v>37154.252388000001</v>
      </c>
      <c r="AT1001" s="30">
        <f>VLOOKUP(Inventory[[#This Row],[Cnd]],Lookups!$A$80:$E$88,2,FALSE)</f>
        <v>30300.329274</v>
      </c>
      <c r="AU1001" s="30">
        <f>Inventory[[#This Row],[EffAge]]*Lookups!$B$65</f>
        <v>-2174.8220000000001</v>
      </c>
      <c r="AV1001" s="30">
        <f>Inventory[[#This Row],[MainFn]]*Lookups!$B$90</f>
        <v>68401.77648</v>
      </c>
      <c r="AW1001" s="30">
        <f>Inventory[[#This Row],[UpprFn]]*Lookups!$B$91</f>
        <v>0</v>
      </c>
      <c r="AX1001" s="30">
        <f>Inventory[[#This Row],[Bsmt Area]]*Lookups!$B$95</f>
        <v>0</v>
      </c>
      <c r="AY1001" s="30">
        <f>Inventory[[#This Row],[AttGar]]*Lookups!$B$93</f>
        <v>16238.474260000001</v>
      </c>
      <c r="AZ1001" s="30">
        <f>ROUND(Inventory[[#This Row],[25Det]],-2)</f>
        <v>0</v>
      </c>
      <c r="BA1001" s="30">
        <f>ROUND(SUM(Inventory[[#This Row],[Mdl Qlty]:[Mdl Garage Area]])+Inventory[[#This Row],[Mdl Res Intercept]],-2)</f>
        <v>282500</v>
      </c>
      <c r="BB1001" s="30">
        <f>ROUND(Inventory[[#This Row],[Mdl Land Intercept]]+Inventory[[#This Row],[Mdl LnAcres]],-2)</f>
        <v>65100</v>
      </c>
      <c r="BC1001" s="30">
        <f>Inventory[[#This Row],[Unadj Res Value]]+Inventory[[#This Row],[Unadj Det Value]]+Inventory[[#This Row],[Unadj Land Value]]</f>
        <v>347600</v>
      </c>
      <c r="BD1001" s="30">
        <f>(Inventory[[#This Row],[Unadj Total Value]]-Inventory[[#This Row],[24Final]])/Inventory[[#This Row],[24Final]]</f>
        <v>2.8098195800059154E-2</v>
      </c>
      <c r="BE1001" s="30">
        <f>VLOOKUP(Inventory[[#This Row],[Nbhd]],Lookups!$M$3:$P$5,4,FALSE)</f>
        <v>0.99970000000000003</v>
      </c>
      <c r="BF1001" s="30">
        <f>VLOOKUP(Inventory[[#This Row],[Qlty]],Lookups!$M$8:$P$22,4,FALSE)</f>
        <v>0.99819999999999998</v>
      </c>
      <c r="BG1001" s="30">
        <f>VLOOKUP(Inventory[[#This Row],[Cnd]],Lookups!$R$8:$U$17,4,FALSE)</f>
        <v>0.997</v>
      </c>
      <c r="BH1001" s="30">
        <f>VLOOKUP(Inventory[[#This Row],[LivArea Range]],Lookups!$R$25:$U$43,4,FALSE)</f>
        <v>0.99519999999999997</v>
      </c>
      <c r="BI1001" s="30">
        <f>VLOOKUP(Inventory[[#This Row],[Decade]],Lookups!$M$24:$P$40,4,FALSE)</f>
        <v>0.99560000000000004</v>
      </c>
      <c r="BJ1001" s="30">
        <f>Inventory[[#This Row],[Nbhd Adj]]*0.95</f>
        <v>0.94971499999999998</v>
      </c>
      <c r="BK1001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1001" s="30">
        <f>ROUND((SUM(Inventory[[#This Row],[Mdl Qlty]:[Mdl Garage Area]])+Inventory[[#This Row],[Mdl Res Intercept]])*Inventory[[#This Row],[Res Adj ]],-2)</f>
        <v>267600</v>
      </c>
      <c r="BM1001" s="30">
        <f>ROUND(Inventory[[#This Row],[25Det]]*Inventory[[#This Row],[Det/Nbhd Adj]],-2)</f>
        <v>0</v>
      </c>
      <c r="BN1001" s="30">
        <f>Inventory[[#This Row],[Adjusted Res]]+Inventory[[#This Row],[Adj Det ]]</f>
        <v>267600</v>
      </c>
      <c r="BO1001" s="30">
        <f>ROUND((Inventory[[#This Row],[Mdl Land Intercept]]+Inventory[[#This Row],[Mdl LnAcres]])*Inventory[[#This Row],[Det/Nbhd Adj]],-2)</f>
        <v>61800</v>
      </c>
      <c r="BP1001" s="30">
        <f>Inventory[[#This Row],[Adjusted Impr Total]]+Inventory[[#This Row],[Adjusted Land Total]]</f>
        <v>329400</v>
      </c>
      <c r="BQ1001" s="30">
        <f>IFERROR((Inventory[[#This Row],[Adjusted Impr Total]]-Inventory[[#This Row],[24Bldg]])/Inventory[[#This Row],[24Bldg]],0)</f>
        <v>-3.1837916063675829E-2</v>
      </c>
      <c r="BR1001" s="43">
        <f>(Inventory[[#This Row],[Adjusted Land Total]]-Inventory[[#This Row],[24Lnd]])/Inventory[[#This Row],[24Lnd]]</f>
        <v>1.6207455429497568E-3</v>
      </c>
      <c r="BS1001" s="43">
        <f>(Inventory[[#This Row],[Adjusted Total]]-Inventory[[#This Row],[24Final]])/Inventory[[#This Row],[24Final]]</f>
        <v>-2.5732031943212066E-2</v>
      </c>
    </row>
    <row r="1002" spans="1:71">
      <c r="A1002" s="30">
        <v>2025</v>
      </c>
      <c r="B1002" s="31" t="s">
        <v>1517</v>
      </c>
      <c r="C1002" s="31">
        <f>LN(Inventory[[#This Row],[Acres]])</f>
        <v>-1.7719568419318752</v>
      </c>
      <c r="D1002" s="30">
        <v>0.17</v>
      </c>
      <c r="E1002" s="30">
        <v>7198</v>
      </c>
      <c r="F1002" s="31" t="s">
        <v>505</v>
      </c>
      <c r="G1002" s="31" t="s">
        <v>155</v>
      </c>
      <c r="H1002" s="31" t="s">
        <v>5</v>
      </c>
      <c r="I1002" s="31" t="s">
        <v>506</v>
      </c>
      <c r="J1002" s="31" t="s">
        <v>773</v>
      </c>
      <c r="K1002" s="31" t="s">
        <v>193</v>
      </c>
      <c r="L1002" s="31" t="s">
        <v>19</v>
      </c>
      <c r="M1002" s="31" t="s">
        <v>20</v>
      </c>
      <c r="N1002" s="31">
        <v>20</v>
      </c>
      <c r="O1002" s="31">
        <f>2024-Inventory[[#This Row],[YrBlt]]</f>
        <v>20</v>
      </c>
      <c r="P1002" s="31">
        <f>2024-Inventory[[#This Row],[EffYr]]</f>
        <v>20</v>
      </c>
      <c r="Q1002" s="30">
        <v>2004</v>
      </c>
      <c r="R1002" s="30">
        <v>2004</v>
      </c>
      <c r="S1002" s="30">
        <v>1380</v>
      </c>
      <c r="T1002" s="37"/>
      <c r="U1002" s="32"/>
      <c r="V1002" s="32"/>
      <c r="W1002" s="32"/>
      <c r="X1002" s="32">
        <f>Inventory[[#This Row],[Bsmt Area]]-Inventory[[#This Row],[FnBsmt]]</f>
        <v>0</v>
      </c>
      <c r="Y1002" s="32">
        <f>Inventory[[#This Row],[MainFn]]+Inventory[[#This Row],[UpprFn]]+Inventory[[#This Row],[AddFn]]+Inventory[[#This Row],[FnBsmt]]</f>
        <v>1380</v>
      </c>
      <c r="Z1002" s="32">
        <v>1500</v>
      </c>
      <c r="AA1002" s="31" t="s">
        <v>56</v>
      </c>
      <c r="AB1002" s="37"/>
      <c r="AC1002" s="30">
        <v>428</v>
      </c>
      <c r="AD1002" s="37"/>
      <c r="AE1002" s="32"/>
      <c r="AF1002" s="32"/>
      <c r="AG1002" s="32"/>
      <c r="AH1002" s="32"/>
      <c r="AI1002" s="30">
        <v>280936</v>
      </c>
      <c r="AJ1002" s="30">
        <v>255652</v>
      </c>
      <c r="AK1002" s="30">
        <v>0</v>
      </c>
      <c r="AL1002" s="30">
        <v>0</v>
      </c>
      <c r="AM1002" s="30">
        <v>61700</v>
      </c>
      <c r="AN1002" s="30">
        <v>289400</v>
      </c>
      <c r="AO1002" s="30">
        <v>351100</v>
      </c>
      <c r="AP1002" s="30">
        <f>Lookups!$B$58*0.6</f>
        <v>132535.48800000001</v>
      </c>
      <c r="AQ1002" s="30">
        <f>Lookups!$B$58*0.4</f>
        <v>88356.992000000013</v>
      </c>
      <c r="AR1002" s="30">
        <f>Lookups!$B$59*Inventory[[#This Row],[LnAcres]]</f>
        <v>-23255.730391660189</v>
      </c>
      <c r="AS1002" s="30">
        <f>VLOOKUP(Inventory[[#This Row],[Qlty]],Lookups!$A$66:$E$79,2,FALSE)</f>
        <v>37154.252388000001</v>
      </c>
      <c r="AT1002" s="30">
        <f>VLOOKUP(Inventory[[#This Row],[Cnd]],Lookups!$A$80:$E$88,2,FALSE)</f>
        <v>30300.329274</v>
      </c>
      <c r="AU1002" s="30">
        <f>Inventory[[#This Row],[EffAge]]*Lookups!$B$65</f>
        <v>-2174.8220000000001</v>
      </c>
      <c r="AV1002" s="30">
        <f>Inventory[[#This Row],[MainFn]]*Lookups!$B$90</f>
        <v>86126.324399999998</v>
      </c>
      <c r="AW1002" s="30">
        <f>Inventory[[#This Row],[UpprFn]]*Lookups!$B$91</f>
        <v>0</v>
      </c>
      <c r="AX1002" s="30">
        <f>Inventory[[#This Row],[Bsmt Area]]*Lookups!$B$95</f>
        <v>0</v>
      </c>
      <c r="AY1002" s="30">
        <f>Inventory[[#This Row],[AttGar]]*Lookups!$B$93</f>
        <v>15108.841268</v>
      </c>
      <c r="AZ1002" s="30">
        <f>ROUND(Inventory[[#This Row],[25Det]],-2)</f>
        <v>0</v>
      </c>
      <c r="BA1002" s="30">
        <f>ROUND(SUM(Inventory[[#This Row],[Mdl Qlty]:[Mdl Garage Area]])+Inventory[[#This Row],[Mdl Res Intercept]],-2)</f>
        <v>299100</v>
      </c>
      <c r="BB1002" s="30">
        <f>ROUND(Inventory[[#This Row],[Mdl Land Intercept]]+Inventory[[#This Row],[Mdl LnAcres]],-2)</f>
        <v>65100</v>
      </c>
      <c r="BC1002" s="30">
        <f>Inventory[[#This Row],[Unadj Res Value]]+Inventory[[#This Row],[Unadj Det Value]]+Inventory[[#This Row],[Unadj Land Value]]</f>
        <v>364200</v>
      </c>
      <c r="BD1002" s="30">
        <f>(Inventory[[#This Row],[Unadj Total Value]]-Inventory[[#This Row],[24Final]])/Inventory[[#This Row],[24Final]]</f>
        <v>3.7311307319851897E-2</v>
      </c>
      <c r="BE1002" s="30">
        <f>VLOOKUP(Inventory[[#This Row],[Nbhd]],Lookups!$M$3:$P$5,4,FALSE)</f>
        <v>0.99970000000000003</v>
      </c>
      <c r="BF1002" s="30">
        <f>VLOOKUP(Inventory[[#This Row],[Qlty]],Lookups!$M$8:$P$22,4,FALSE)</f>
        <v>0.99819999999999998</v>
      </c>
      <c r="BG1002" s="30">
        <f>VLOOKUP(Inventory[[#This Row],[Cnd]],Lookups!$R$8:$U$17,4,FALSE)</f>
        <v>0.997</v>
      </c>
      <c r="BH1002" s="30">
        <f>VLOOKUP(Inventory[[#This Row],[LivArea Range]],Lookups!$R$25:$U$43,4,FALSE)</f>
        <v>0.99519999999999997</v>
      </c>
      <c r="BI1002" s="30">
        <f>VLOOKUP(Inventory[[#This Row],[Decade]],Lookups!$M$24:$P$40,4,FALSE)</f>
        <v>0.99560000000000004</v>
      </c>
      <c r="BJ1002" s="30">
        <f>Inventory[[#This Row],[Nbhd Adj]]*0.95</f>
        <v>0.94971499999999998</v>
      </c>
      <c r="BK1002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1002" s="30">
        <f>ROUND((SUM(Inventory[[#This Row],[Mdl Qlty]:[Mdl Garage Area]])+Inventory[[#This Row],[Mdl Res Intercept]])*Inventory[[#This Row],[Res Adj ]],-2)</f>
        <v>283300</v>
      </c>
      <c r="BM1002" s="30">
        <f>ROUND(Inventory[[#This Row],[25Det]]*Inventory[[#This Row],[Det/Nbhd Adj]],-2)</f>
        <v>0</v>
      </c>
      <c r="BN1002" s="30">
        <f>Inventory[[#This Row],[Adjusted Res]]+Inventory[[#This Row],[Adj Det ]]</f>
        <v>283300</v>
      </c>
      <c r="BO1002" s="30">
        <f>ROUND((Inventory[[#This Row],[Mdl Land Intercept]]+Inventory[[#This Row],[Mdl LnAcres]])*Inventory[[#This Row],[Det/Nbhd Adj]],-2)</f>
        <v>61800</v>
      </c>
      <c r="BP1002" s="30">
        <f>Inventory[[#This Row],[Adjusted Impr Total]]+Inventory[[#This Row],[Adjusted Land Total]]</f>
        <v>345100</v>
      </c>
      <c r="BQ1002" s="30">
        <f>IFERROR((Inventory[[#This Row],[Adjusted Impr Total]]-Inventory[[#This Row],[24Bldg]])/Inventory[[#This Row],[24Bldg]],0)</f>
        <v>-2.1078092605390463E-2</v>
      </c>
      <c r="BR1002" s="43">
        <f>(Inventory[[#This Row],[Adjusted Land Total]]-Inventory[[#This Row],[24Lnd]])/Inventory[[#This Row],[24Lnd]]</f>
        <v>1.6207455429497568E-3</v>
      </c>
      <c r="BS1002" s="43">
        <f>(Inventory[[#This Row],[Adjusted Total]]-Inventory[[#This Row],[24Final]])/Inventory[[#This Row],[24Final]]</f>
        <v>-1.7089148390771861E-2</v>
      </c>
    </row>
    <row r="1003" spans="1:71">
      <c r="A1003" s="30">
        <v>2025</v>
      </c>
      <c r="B1003" s="31" t="s">
        <v>1518</v>
      </c>
      <c r="C1003" s="31">
        <f>LN(Inventory[[#This Row],[Acres]])</f>
        <v>-1.7719568419318752</v>
      </c>
      <c r="D1003" s="30">
        <v>0.17</v>
      </c>
      <c r="E1003" s="30">
        <v>7219</v>
      </c>
      <c r="F1003" s="31" t="s">
        <v>505</v>
      </c>
      <c r="G1003" s="31" t="s">
        <v>155</v>
      </c>
      <c r="H1003" s="31" t="s">
        <v>5</v>
      </c>
      <c r="I1003" s="31" t="s">
        <v>506</v>
      </c>
      <c r="J1003" s="31" t="s">
        <v>507</v>
      </c>
      <c r="K1003" s="31" t="s">
        <v>193</v>
      </c>
      <c r="L1003" s="31" t="s">
        <v>19</v>
      </c>
      <c r="M1003" s="31" t="s">
        <v>20</v>
      </c>
      <c r="N1003" s="31">
        <v>20</v>
      </c>
      <c r="O1003" s="31">
        <f>2024-Inventory[[#This Row],[YrBlt]]</f>
        <v>20</v>
      </c>
      <c r="P1003" s="31">
        <f>2024-Inventory[[#This Row],[EffYr]]</f>
        <v>20</v>
      </c>
      <c r="Q1003" s="30">
        <v>2004</v>
      </c>
      <c r="R1003" s="30">
        <v>2004</v>
      </c>
      <c r="S1003" s="30">
        <v>1380</v>
      </c>
      <c r="T1003" s="32"/>
      <c r="U1003" s="32"/>
      <c r="V1003" s="32"/>
      <c r="W1003" s="32"/>
      <c r="X1003" s="32">
        <f>Inventory[[#This Row],[Bsmt Area]]-Inventory[[#This Row],[FnBsmt]]</f>
        <v>0</v>
      </c>
      <c r="Y1003" s="32">
        <f>Inventory[[#This Row],[MainFn]]+Inventory[[#This Row],[UpprFn]]+Inventory[[#This Row],[AddFn]]+Inventory[[#This Row],[FnBsmt]]</f>
        <v>1380</v>
      </c>
      <c r="Z1003" s="32">
        <v>1500</v>
      </c>
      <c r="AA1003" s="31" t="s">
        <v>56</v>
      </c>
      <c r="AB1003" s="32"/>
      <c r="AC1003" s="30">
        <v>428</v>
      </c>
      <c r="AD1003" s="32"/>
      <c r="AE1003" s="32"/>
      <c r="AF1003" s="32"/>
      <c r="AG1003" s="32"/>
      <c r="AH1003" s="32"/>
      <c r="AI1003" s="30">
        <v>275531</v>
      </c>
      <c r="AJ1003" s="30">
        <v>250733</v>
      </c>
      <c r="AK1003" s="30">
        <v>0</v>
      </c>
      <c r="AL1003" s="30">
        <v>0</v>
      </c>
      <c r="AM1003" s="30">
        <v>61700</v>
      </c>
      <c r="AN1003" s="30">
        <v>289400</v>
      </c>
      <c r="AO1003" s="30">
        <v>351100</v>
      </c>
      <c r="AP1003" s="30">
        <f>Lookups!$B$58*0.6</f>
        <v>132535.48800000001</v>
      </c>
      <c r="AQ1003" s="30">
        <f>Lookups!$B$58*0.4</f>
        <v>88356.992000000013</v>
      </c>
      <c r="AR1003" s="30">
        <f>Lookups!$B$59*Inventory[[#This Row],[LnAcres]]</f>
        <v>-23255.730391660189</v>
      </c>
      <c r="AS1003" s="30">
        <f>VLOOKUP(Inventory[[#This Row],[Qlty]],Lookups!$A$66:$E$79,2,FALSE)</f>
        <v>37154.252388000001</v>
      </c>
      <c r="AT1003" s="30">
        <f>VLOOKUP(Inventory[[#This Row],[Cnd]],Lookups!$A$80:$E$88,2,FALSE)</f>
        <v>30300.329274</v>
      </c>
      <c r="AU1003" s="30">
        <f>Inventory[[#This Row],[EffAge]]*Lookups!$B$65</f>
        <v>-2174.8220000000001</v>
      </c>
      <c r="AV1003" s="30">
        <f>Inventory[[#This Row],[MainFn]]*Lookups!$B$90</f>
        <v>86126.324399999998</v>
      </c>
      <c r="AW1003" s="30">
        <f>Inventory[[#This Row],[UpprFn]]*Lookups!$B$91</f>
        <v>0</v>
      </c>
      <c r="AX1003" s="30">
        <f>Inventory[[#This Row],[Bsmt Area]]*Lookups!$B$95</f>
        <v>0</v>
      </c>
      <c r="AY1003" s="30">
        <f>Inventory[[#This Row],[AttGar]]*Lookups!$B$93</f>
        <v>15108.841268</v>
      </c>
      <c r="AZ1003" s="30">
        <f>ROUND(Inventory[[#This Row],[25Det]],-2)</f>
        <v>0</v>
      </c>
      <c r="BA1003" s="30">
        <f>ROUND(SUM(Inventory[[#This Row],[Mdl Qlty]:[Mdl Garage Area]])+Inventory[[#This Row],[Mdl Res Intercept]],-2)</f>
        <v>299100</v>
      </c>
      <c r="BB1003" s="30">
        <f>ROUND(Inventory[[#This Row],[Mdl Land Intercept]]+Inventory[[#This Row],[Mdl LnAcres]],-2)</f>
        <v>65100</v>
      </c>
      <c r="BC1003" s="30">
        <f>Inventory[[#This Row],[Unadj Res Value]]+Inventory[[#This Row],[Unadj Det Value]]+Inventory[[#This Row],[Unadj Land Value]]</f>
        <v>364200</v>
      </c>
      <c r="BD1003" s="30">
        <f>(Inventory[[#This Row],[Unadj Total Value]]-Inventory[[#This Row],[24Final]])/Inventory[[#This Row],[24Final]]</f>
        <v>3.7311307319851897E-2</v>
      </c>
      <c r="BE1003" s="30">
        <f>VLOOKUP(Inventory[[#This Row],[Nbhd]],Lookups!$M$3:$P$5,4,FALSE)</f>
        <v>0.99970000000000003</v>
      </c>
      <c r="BF1003" s="30">
        <f>VLOOKUP(Inventory[[#This Row],[Qlty]],Lookups!$M$8:$P$22,4,FALSE)</f>
        <v>0.99819999999999998</v>
      </c>
      <c r="BG1003" s="30">
        <f>VLOOKUP(Inventory[[#This Row],[Cnd]],Lookups!$R$8:$U$17,4,FALSE)</f>
        <v>0.997</v>
      </c>
      <c r="BH1003" s="30">
        <f>VLOOKUP(Inventory[[#This Row],[LivArea Range]],Lookups!$R$25:$U$43,4,FALSE)</f>
        <v>0.99519999999999997</v>
      </c>
      <c r="BI1003" s="30">
        <f>VLOOKUP(Inventory[[#This Row],[Decade]],Lookups!$M$24:$P$40,4,FALSE)</f>
        <v>0.99560000000000004</v>
      </c>
      <c r="BJ1003" s="30">
        <f>Inventory[[#This Row],[Nbhd Adj]]*0.95</f>
        <v>0.94971499999999998</v>
      </c>
      <c r="BK1003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1003" s="30">
        <f>ROUND((SUM(Inventory[[#This Row],[Mdl Qlty]:[Mdl Garage Area]])+Inventory[[#This Row],[Mdl Res Intercept]])*Inventory[[#This Row],[Res Adj ]],-2)</f>
        <v>283300</v>
      </c>
      <c r="BM1003" s="30">
        <f>ROUND(Inventory[[#This Row],[25Det]]*Inventory[[#This Row],[Det/Nbhd Adj]],-2)</f>
        <v>0</v>
      </c>
      <c r="BN1003" s="30">
        <f>Inventory[[#This Row],[Adjusted Res]]+Inventory[[#This Row],[Adj Det ]]</f>
        <v>283300</v>
      </c>
      <c r="BO1003" s="30">
        <f>ROUND((Inventory[[#This Row],[Mdl Land Intercept]]+Inventory[[#This Row],[Mdl LnAcres]])*Inventory[[#This Row],[Det/Nbhd Adj]],-2)</f>
        <v>61800</v>
      </c>
      <c r="BP1003" s="30">
        <f>Inventory[[#This Row],[Adjusted Impr Total]]+Inventory[[#This Row],[Adjusted Land Total]]</f>
        <v>345100</v>
      </c>
      <c r="BQ1003" s="30">
        <f>IFERROR((Inventory[[#This Row],[Adjusted Impr Total]]-Inventory[[#This Row],[24Bldg]])/Inventory[[#This Row],[24Bldg]],0)</f>
        <v>-2.1078092605390463E-2</v>
      </c>
      <c r="BR1003" s="43">
        <f>(Inventory[[#This Row],[Adjusted Land Total]]-Inventory[[#This Row],[24Lnd]])/Inventory[[#This Row],[24Lnd]]</f>
        <v>1.6207455429497568E-3</v>
      </c>
      <c r="BS1003" s="43">
        <f>(Inventory[[#This Row],[Adjusted Total]]-Inventory[[#This Row],[24Final]])/Inventory[[#This Row],[24Final]]</f>
        <v>-1.7089148390771861E-2</v>
      </c>
    </row>
    <row r="1004" spans="1:71">
      <c r="A1004" s="30">
        <v>2025</v>
      </c>
      <c r="B1004" s="31" t="s">
        <v>1519</v>
      </c>
      <c r="C1004" s="31">
        <f>LN(Inventory[[#This Row],[Acres]])</f>
        <v>-1.7719568419318752</v>
      </c>
      <c r="D1004" s="30">
        <v>0.17</v>
      </c>
      <c r="E1004" s="30">
        <v>7407</v>
      </c>
      <c r="F1004" s="31" t="s">
        <v>505</v>
      </c>
      <c r="G1004" s="31" t="s">
        <v>155</v>
      </c>
      <c r="H1004" s="31" t="s">
        <v>5</v>
      </c>
      <c r="I1004" s="31" t="s">
        <v>506</v>
      </c>
      <c r="J1004" s="31" t="s">
        <v>507</v>
      </c>
      <c r="K1004" s="31" t="s">
        <v>193</v>
      </c>
      <c r="L1004" s="31" t="s">
        <v>19</v>
      </c>
      <c r="M1004" s="31" t="s">
        <v>20</v>
      </c>
      <c r="N1004" s="31">
        <v>20</v>
      </c>
      <c r="O1004" s="31">
        <f>2024-Inventory[[#This Row],[YrBlt]]</f>
        <v>20</v>
      </c>
      <c r="P1004" s="31">
        <f>2024-Inventory[[#This Row],[EffYr]]</f>
        <v>20</v>
      </c>
      <c r="Q1004" s="30">
        <v>2004</v>
      </c>
      <c r="R1004" s="30">
        <v>2004</v>
      </c>
      <c r="S1004" s="30">
        <v>1380</v>
      </c>
      <c r="T1004" s="37"/>
      <c r="U1004" s="32"/>
      <c r="V1004" s="32"/>
      <c r="W1004" s="32"/>
      <c r="X1004" s="32">
        <f>Inventory[[#This Row],[Bsmt Area]]-Inventory[[#This Row],[FnBsmt]]</f>
        <v>0</v>
      </c>
      <c r="Y1004" s="32">
        <f>Inventory[[#This Row],[MainFn]]+Inventory[[#This Row],[UpprFn]]+Inventory[[#This Row],[AddFn]]+Inventory[[#This Row],[FnBsmt]]</f>
        <v>1380</v>
      </c>
      <c r="Z1004" s="32">
        <v>1500</v>
      </c>
      <c r="AA1004" s="31" t="s">
        <v>56</v>
      </c>
      <c r="AB1004" s="32"/>
      <c r="AC1004" s="38">
        <v>428</v>
      </c>
      <c r="AD1004" s="37"/>
      <c r="AE1004" s="32"/>
      <c r="AF1004" s="32"/>
      <c r="AG1004" s="32"/>
      <c r="AH1004" s="32"/>
      <c r="AI1004" s="30">
        <v>278238</v>
      </c>
      <c r="AJ1004" s="30">
        <v>253197</v>
      </c>
      <c r="AK1004" s="30">
        <v>0</v>
      </c>
      <c r="AL1004" s="30">
        <v>0</v>
      </c>
      <c r="AM1004" s="30">
        <v>61700</v>
      </c>
      <c r="AN1004" s="30">
        <v>289400</v>
      </c>
      <c r="AO1004" s="30">
        <v>351100</v>
      </c>
      <c r="AP1004" s="30">
        <f>Lookups!$B$58*0.6</f>
        <v>132535.48800000001</v>
      </c>
      <c r="AQ1004" s="30">
        <f>Lookups!$B$58*0.4</f>
        <v>88356.992000000013</v>
      </c>
      <c r="AR1004" s="30">
        <f>Lookups!$B$59*Inventory[[#This Row],[LnAcres]]</f>
        <v>-23255.730391660189</v>
      </c>
      <c r="AS1004" s="30">
        <f>VLOOKUP(Inventory[[#This Row],[Qlty]],Lookups!$A$66:$E$79,2,FALSE)</f>
        <v>37154.252388000001</v>
      </c>
      <c r="AT1004" s="30">
        <f>VLOOKUP(Inventory[[#This Row],[Cnd]],Lookups!$A$80:$E$88,2,FALSE)</f>
        <v>30300.329274</v>
      </c>
      <c r="AU1004" s="30">
        <f>Inventory[[#This Row],[EffAge]]*Lookups!$B$65</f>
        <v>-2174.8220000000001</v>
      </c>
      <c r="AV1004" s="30">
        <f>Inventory[[#This Row],[MainFn]]*Lookups!$B$90</f>
        <v>86126.324399999998</v>
      </c>
      <c r="AW1004" s="30">
        <f>Inventory[[#This Row],[UpprFn]]*Lookups!$B$91</f>
        <v>0</v>
      </c>
      <c r="AX1004" s="30">
        <f>Inventory[[#This Row],[Bsmt Area]]*Lookups!$B$95</f>
        <v>0</v>
      </c>
      <c r="AY1004" s="30">
        <f>Inventory[[#This Row],[AttGar]]*Lookups!$B$93</f>
        <v>15108.841268</v>
      </c>
      <c r="AZ1004" s="30">
        <f>ROUND(Inventory[[#This Row],[25Det]],-2)</f>
        <v>0</v>
      </c>
      <c r="BA1004" s="30">
        <f>ROUND(SUM(Inventory[[#This Row],[Mdl Qlty]:[Mdl Garage Area]])+Inventory[[#This Row],[Mdl Res Intercept]],-2)</f>
        <v>299100</v>
      </c>
      <c r="BB1004" s="30">
        <f>ROUND(Inventory[[#This Row],[Mdl Land Intercept]]+Inventory[[#This Row],[Mdl LnAcres]],-2)</f>
        <v>65100</v>
      </c>
      <c r="BC1004" s="30">
        <f>Inventory[[#This Row],[Unadj Res Value]]+Inventory[[#This Row],[Unadj Det Value]]+Inventory[[#This Row],[Unadj Land Value]]</f>
        <v>364200</v>
      </c>
      <c r="BD1004" s="30">
        <f>(Inventory[[#This Row],[Unadj Total Value]]-Inventory[[#This Row],[24Final]])/Inventory[[#This Row],[24Final]]</f>
        <v>3.7311307319851897E-2</v>
      </c>
      <c r="BE1004" s="30">
        <f>VLOOKUP(Inventory[[#This Row],[Nbhd]],Lookups!$M$3:$P$5,4,FALSE)</f>
        <v>0.99970000000000003</v>
      </c>
      <c r="BF1004" s="30">
        <f>VLOOKUP(Inventory[[#This Row],[Qlty]],Lookups!$M$8:$P$22,4,FALSE)</f>
        <v>0.99819999999999998</v>
      </c>
      <c r="BG1004" s="30">
        <f>VLOOKUP(Inventory[[#This Row],[Cnd]],Lookups!$R$8:$U$17,4,FALSE)</f>
        <v>0.997</v>
      </c>
      <c r="BH1004" s="30">
        <f>VLOOKUP(Inventory[[#This Row],[LivArea Range]],Lookups!$R$25:$U$43,4,FALSE)</f>
        <v>0.99519999999999997</v>
      </c>
      <c r="BI1004" s="30">
        <f>VLOOKUP(Inventory[[#This Row],[Decade]],Lookups!$M$24:$P$40,4,FALSE)</f>
        <v>0.99560000000000004</v>
      </c>
      <c r="BJ1004" s="30">
        <f>Inventory[[#This Row],[Nbhd Adj]]*0.95</f>
        <v>0.94971499999999998</v>
      </c>
      <c r="BK1004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1004" s="30">
        <f>ROUND((SUM(Inventory[[#This Row],[Mdl Qlty]:[Mdl Garage Area]])+Inventory[[#This Row],[Mdl Res Intercept]])*Inventory[[#This Row],[Res Adj ]],-2)</f>
        <v>283300</v>
      </c>
      <c r="BM1004" s="30">
        <f>ROUND(Inventory[[#This Row],[25Det]]*Inventory[[#This Row],[Det/Nbhd Adj]],-2)</f>
        <v>0</v>
      </c>
      <c r="BN1004" s="30">
        <f>Inventory[[#This Row],[Adjusted Res]]+Inventory[[#This Row],[Adj Det ]]</f>
        <v>283300</v>
      </c>
      <c r="BO1004" s="30">
        <f>ROUND((Inventory[[#This Row],[Mdl Land Intercept]]+Inventory[[#This Row],[Mdl LnAcres]])*Inventory[[#This Row],[Det/Nbhd Adj]],-2)</f>
        <v>61800</v>
      </c>
      <c r="BP1004" s="30">
        <f>Inventory[[#This Row],[Adjusted Impr Total]]+Inventory[[#This Row],[Adjusted Land Total]]</f>
        <v>345100</v>
      </c>
      <c r="BQ1004" s="30">
        <f>IFERROR((Inventory[[#This Row],[Adjusted Impr Total]]-Inventory[[#This Row],[24Bldg]])/Inventory[[#This Row],[24Bldg]],0)</f>
        <v>-2.1078092605390463E-2</v>
      </c>
      <c r="BR1004" s="43">
        <f>(Inventory[[#This Row],[Adjusted Land Total]]-Inventory[[#This Row],[24Lnd]])/Inventory[[#This Row],[24Lnd]]</f>
        <v>1.6207455429497568E-3</v>
      </c>
      <c r="BS1004" s="43">
        <f>(Inventory[[#This Row],[Adjusted Total]]-Inventory[[#This Row],[24Final]])/Inventory[[#This Row],[24Final]]</f>
        <v>-1.7089148390771861E-2</v>
      </c>
    </row>
    <row r="1005" spans="1:71">
      <c r="A1005" s="30">
        <v>2025</v>
      </c>
      <c r="B1005" s="31" t="s">
        <v>1520</v>
      </c>
      <c r="C1005" s="31">
        <f>LN(Inventory[[#This Row],[Acres]])</f>
        <v>-1.7719568419318752</v>
      </c>
      <c r="D1005" s="30">
        <v>0.17</v>
      </c>
      <c r="E1005" s="30">
        <v>7560</v>
      </c>
      <c r="F1005" s="31" t="s">
        <v>505</v>
      </c>
      <c r="G1005" s="31" t="s">
        <v>155</v>
      </c>
      <c r="H1005" s="31" t="s">
        <v>5</v>
      </c>
      <c r="I1005" s="31" t="s">
        <v>506</v>
      </c>
      <c r="J1005" s="31" t="s">
        <v>507</v>
      </c>
      <c r="K1005" s="31" t="s">
        <v>193</v>
      </c>
      <c r="L1005" s="31" t="s">
        <v>19</v>
      </c>
      <c r="M1005" s="31" t="s">
        <v>20</v>
      </c>
      <c r="N1005" s="31">
        <v>20</v>
      </c>
      <c r="O1005" s="31">
        <f>2024-Inventory[[#This Row],[YrBlt]]</f>
        <v>20</v>
      </c>
      <c r="P1005" s="31">
        <f>2024-Inventory[[#This Row],[EffYr]]</f>
        <v>20</v>
      </c>
      <c r="Q1005" s="30">
        <v>2004</v>
      </c>
      <c r="R1005" s="30">
        <v>2004</v>
      </c>
      <c r="S1005" s="30">
        <v>1380</v>
      </c>
      <c r="T1005" s="32"/>
      <c r="U1005" s="32"/>
      <c r="V1005" s="32"/>
      <c r="W1005" s="32"/>
      <c r="X1005" s="32">
        <f>Inventory[[#This Row],[Bsmt Area]]-Inventory[[#This Row],[FnBsmt]]</f>
        <v>0</v>
      </c>
      <c r="Y1005" s="32">
        <f>Inventory[[#This Row],[MainFn]]+Inventory[[#This Row],[UpprFn]]+Inventory[[#This Row],[AddFn]]+Inventory[[#This Row],[FnBsmt]]</f>
        <v>1380</v>
      </c>
      <c r="Z1005" s="32">
        <v>1500</v>
      </c>
      <c r="AA1005" s="31" t="s">
        <v>56</v>
      </c>
      <c r="AB1005" s="32"/>
      <c r="AC1005" s="30">
        <v>428</v>
      </c>
      <c r="AD1005" s="32"/>
      <c r="AE1005" s="32"/>
      <c r="AF1005" s="32"/>
      <c r="AG1005" s="32"/>
      <c r="AH1005" s="32"/>
      <c r="AI1005" s="30">
        <v>277753</v>
      </c>
      <c r="AJ1005" s="30">
        <v>252755</v>
      </c>
      <c r="AK1005" s="30">
        <v>0</v>
      </c>
      <c r="AL1005" s="30">
        <v>0</v>
      </c>
      <c r="AM1005" s="30">
        <v>61700</v>
      </c>
      <c r="AN1005" s="30">
        <v>289400</v>
      </c>
      <c r="AO1005" s="30">
        <v>351100</v>
      </c>
      <c r="AP1005" s="30">
        <f>Lookups!$B$58*0.6</f>
        <v>132535.48800000001</v>
      </c>
      <c r="AQ1005" s="30">
        <f>Lookups!$B$58*0.4</f>
        <v>88356.992000000013</v>
      </c>
      <c r="AR1005" s="30">
        <f>Lookups!$B$59*Inventory[[#This Row],[LnAcres]]</f>
        <v>-23255.730391660189</v>
      </c>
      <c r="AS1005" s="30">
        <f>VLOOKUP(Inventory[[#This Row],[Qlty]],Lookups!$A$66:$E$79,2,FALSE)</f>
        <v>37154.252388000001</v>
      </c>
      <c r="AT1005" s="30">
        <f>VLOOKUP(Inventory[[#This Row],[Cnd]],Lookups!$A$80:$E$88,2,FALSE)</f>
        <v>30300.329274</v>
      </c>
      <c r="AU1005" s="30">
        <f>Inventory[[#This Row],[EffAge]]*Lookups!$B$65</f>
        <v>-2174.8220000000001</v>
      </c>
      <c r="AV1005" s="30">
        <f>Inventory[[#This Row],[MainFn]]*Lookups!$B$90</f>
        <v>86126.324399999998</v>
      </c>
      <c r="AW1005" s="30">
        <f>Inventory[[#This Row],[UpprFn]]*Lookups!$B$91</f>
        <v>0</v>
      </c>
      <c r="AX1005" s="30">
        <f>Inventory[[#This Row],[Bsmt Area]]*Lookups!$B$95</f>
        <v>0</v>
      </c>
      <c r="AY1005" s="30">
        <f>Inventory[[#This Row],[AttGar]]*Lookups!$B$93</f>
        <v>15108.841268</v>
      </c>
      <c r="AZ1005" s="30">
        <f>ROUND(Inventory[[#This Row],[25Det]],-2)</f>
        <v>0</v>
      </c>
      <c r="BA1005" s="30">
        <f>ROUND(SUM(Inventory[[#This Row],[Mdl Qlty]:[Mdl Garage Area]])+Inventory[[#This Row],[Mdl Res Intercept]],-2)</f>
        <v>299100</v>
      </c>
      <c r="BB1005" s="30">
        <f>ROUND(Inventory[[#This Row],[Mdl Land Intercept]]+Inventory[[#This Row],[Mdl LnAcres]],-2)</f>
        <v>65100</v>
      </c>
      <c r="BC1005" s="30">
        <f>Inventory[[#This Row],[Unadj Res Value]]+Inventory[[#This Row],[Unadj Det Value]]+Inventory[[#This Row],[Unadj Land Value]]</f>
        <v>364200</v>
      </c>
      <c r="BD1005" s="30">
        <f>(Inventory[[#This Row],[Unadj Total Value]]-Inventory[[#This Row],[24Final]])/Inventory[[#This Row],[24Final]]</f>
        <v>3.7311307319851897E-2</v>
      </c>
      <c r="BE1005" s="30">
        <f>VLOOKUP(Inventory[[#This Row],[Nbhd]],Lookups!$M$3:$P$5,4,FALSE)</f>
        <v>0.99970000000000003</v>
      </c>
      <c r="BF1005" s="30">
        <f>VLOOKUP(Inventory[[#This Row],[Qlty]],Lookups!$M$8:$P$22,4,FALSE)</f>
        <v>0.99819999999999998</v>
      </c>
      <c r="BG1005" s="30">
        <f>VLOOKUP(Inventory[[#This Row],[Cnd]],Lookups!$R$8:$U$17,4,FALSE)</f>
        <v>0.997</v>
      </c>
      <c r="BH1005" s="30">
        <f>VLOOKUP(Inventory[[#This Row],[LivArea Range]],Lookups!$R$25:$U$43,4,FALSE)</f>
        <v>0.99519999999999997</v>
      </c>
      <c r="BI1005" s="30">
        <f>VLOOKUP(Inventory[[#This Row],[Decade]],Lookups!$M$24:$P$40,4,FALSE)</f>
        <v>0.99560000000000004</v>
      </c>
      <c r="BJ1005" s="30">
        <f>Inventory[[#This Row],[Nbhd Adj]]*0.95</f>
        <v>0.94971499999999998</v>
      </c>
      <c r="BK1005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1005" s="30">
        <f>ROUND((SUM(Inventory[[#This Row],[Mdl Qlty]:[Mdl Garage Area]])+Inventory[[#This Row],[Mdl Res Intercept]])*Inventory[[#This Row],[Res Adj ]],-2)</f>
        <v>283300</v>
      </c>
      <c r="BM1005" s="30">
        <f>ROUND(Inventory[[#This Row],[25Det]]*Inventory[[#This Row],[Det/Nbhd Adj]],-2)</f>
        <v>0</v>
      </c>
      <c r="BN1005" s="30">
        <f>Inventory[[#This Row],[Adjusted Res]]+Inventory[[#This Row],[Adj Det ]]</f>
        <v>283300</v>
      </c>
      <c r="BO1005" s="30">
        <f>ROUND((Inventory[[#This Row],[Mdl Land Intercept]]+Inventory[[#This Row],[Mdl LnAcres]])*Inventory[[#This Row],[Det/Nbhd Adj]],-2)</f>
        <v>61800</v>
      </c>
      <c r="BP1005" s="30">
        <f>Inventory[[#This Row],[Adjusted Impr Total]]+Inventory[[#This Row],[Adjusted Land Total]]</f>
        <v>345100</v>
      </c>
      <c r="BQ1005" s="30">
        <f>IFERROR((Inventory[[#This Row],[Adjusted Impr Total]]-Inventory[[#This Row],[24Bldg]])/Inventory[[#This Row],[24Bldg]],0)</f>
        <v>-2.1078092605390463E-2</v>
      </c>
      <c r="BR1005" s="43">
        <f>(Inventory[[#This Row],[Adjusted Land Total]]-Inventory[[#This Row],[24Lnd]])/Inventory[[#This Row],[24Lnd]]</f>
        <v>1.6207455429497568E-3</v>
      </c>
      <c r="BS1005" s="43">
        <f>(Inventory[[#This Row],[Adjusted Total]]-Inventory[[#This Row],[24Final]])/Inventory[[#This Row],[24Final]]</f>
        <v>-1.7089148390771861E-2</v>
      </c>
    </row>
    <row r="1006" spans="1:71">
      <c r="A1006" s="30">
        <v>2025</v>
      </c>
      <c r="B1006" s="31" t="s">
        <v>1521</v>
      </c>
      <c r="C1006" s="31">
        <f>LN(Inventory[[#This Row],[Acres]])</f>
        <v>-1.7719568419318752</v>
      </c>
      <c r="D1006" s="30">
        <v>0.17</v>
      </c>
      <c r="E1006" s="30">
        <v>7205</v>
      </c>
      <c r="F1006" s="31" t="s">
        <v>505</v>
      </c>
      <c r="G1006" s="31" t="s">
        <v>155</v>
      </c>
      <c r="H1006" s="31" t="s">
        <v>5</v>
      </c>
      <c r="I1006" s="31" t="s">
        <v>506</v>
      </c>
      <c r="J1006" s="31" t="s">
        <v>507</v>
      </c>
      <c r="K1006" s="31" t="s">
        <v>193</v>
      </c>
      <c r="L1006" s="31" t="s">
        <v>19</v>
      </c>
      <c r="M1006" s="31" t="s">
        <v>22</v>
      </c>
      <c r="N1006" s="31">
        <v>20</v>
      </c>
      <c r="O1006" s="31">
        <f>2024-Inventory[[#This Row],[YrBlt]]</f>
        <v>20</v>
      </c>
      <c r="P1006" s="31">
        <f>2024-Inventory[[#This Row],[EffYr]]</f>
        <v>20</v>
      </c>
      <c r="Q1006" s="30">
        <v>2004</v>
      </c>
      <c r="R1006" s="30">
        <v>2004</v>
      </c>
      <c r="S1006" s="30">
        <v>1092</v>
      </c>
      <c r="T1006" s="32"/>
      <c r="U1006" s="32"/>
      <c r="V1006" s="32"/>
      <c r="W1006" s="32"/>
      <c r="X1006" s="32">
        <f>Inventory[[#This Row],[Bsmt Area]]-Inventory[[#This Row],[FnBsmt]]</f>
        <v>0</v>
      </c>
      <c r="Y1006" s="32">
        <f>Inventory[[#This Row],[MainFn]]+Inventory[[#This Row],[UpprFn]]+Inventory[[#This Row],[AddFn]]+Inventory[[#This Row],[FnBsmt]]</f>
        <v>1092</v>
      </c>
      <c r="Z1006" s="32">
        <v>1500</v>
      </c>
      <c r="AA1006" s="31" t="s">
        <v>56</v>
      </c>
      <c r="AB1006" s="32"/>
      <c r="AC1006" s="30">
        <v>440</v>
      </c>
      <c r="AD1006" s="32"/>
      <c r="AE1006" s="32"/>
      <c r="AF1006" s="32"/>
      <c r="AG1006" s="32"/>
      <c r="AH1006" s="32"/>
      <c r="AI1006" s="30">
        <v>231626</v>
      </c>
      <c r="AJ1006" s="30">
        <v>213096</v>
      </c>
      <c r="AK1006" s="30">
        <v>0</v>
      </c>
      <c r="AL1006" s="30">
        <v>0</v>
      </c>
      <c r="AM1006" s="30">
        <v>61700</v>
      </c>
      <c r="AN1006" s="30">
        <v>291500</v>
      </c>
      <c r="AO1006" s="30">
        <v>353200</v>
      </c>
      <c r="AP1006" s="30">
        <f>Lookups!$B$58*0.6</f>
        <v>132535.48800000001</v>
      </c>
      <c r="AQ1006" s="30">
        <f>Lookups!$B$58*0.4</f>
        <v>88356.992000000013</v>
      </c>
      <c r="AR1006" s="30">
        <f>Lookups!$B$59*Inventory[[#This Row],[LnAcres]]</f>
        <v>-23255.730391660189</v>
      </c>
      <c r="AS1006" s="30">
        <f>VLOOKUP(Inventory[[#This Row],[Qlty]],Lookups!$A$66:$E$79,2,FALSE)</f>
        <v>37154.252388000001</v>
      </c>
      <c r="AT1006" s="30">
        <f>VLOOKUP(Inventory[[#This Row],[Cnd]],Lookups!$A$80:$E$88,2,FALSE)</f>
        <v>50438.379078999998</v>
      </c>
      <c r="AU1006" s="30">
        <f>Inventory[[#This Row],[EffAge]]*Lookups!$B$65</f>
        <v>-2174.8220000000001</v>
      </c>
      <c r="AV1006" s="30">
        <f>Inventory[[#This Row],[MainFn]]*Lookups!$B$90</f>
        <v>68152.13496000001</v>
      </c>
      <c r="AW1006" s="30">
        <f>Inventory[[#This Row],[UpprFn]]*Lookups!$B$91</f>
        <v>0</v>
      </c>
      <c r="AX1006" s="30">
        <f>Inventory[[#This Row],[Bsmt Area]]*Lookups!$B$95</f>
        <v>0</v>
      </c>
      <c r="AY1006" s="30">
        <f>Inventory[[#This Row],[AttGar]]*Lookups!$B$93</f>
        <v>15532.453640000002</v>
      </c>
      <c r="AZ1006" s="30">
        <f>ROUND(Inventory[[#This Row],[25Det]],-2)</f>
        <v>0</v>
      </c>
      <c r="BA1006" s="30">
        <f>ROUND(SUM(Inventory[[#This Row],[Mdl Qlty]:[Mdl Garage Area]])+Inventory[[#This Row],[Mdl Res Intercept]],-2)</f>
        <v>301600</v>
      </c>
      <c r="BB1006" s="30">
        <f>ROUND(Inventory[[#This Row],[Mdl Land Intercept]]+Inventory[[#This Row],[Mdl LnAcres]],-2)</f>
        <v>65100</v>
      </c>
      <c r="BC1006" s="30">
        <f>Inventory[[#This Row],[Unadj Res Value]]+Inventory[[#This Row],[Unadj Det Value]]+Inventory[[#This Row],[Unadj Land Value]]</f>
        <v>366700</v>
      </c>
      <c r="BD1006" s="30">
        <f>(Inventory[[#This Row],[Unadj Total Value]]-Inventory[[#This Row],[24Final]])/Inventory[[#This Row],[24Final]]</f>
        <v>3.8221970554926391E-2</v>
      </c>
      <c r="BE1006" s="30">
        <f>VLOOKUP(Inventory[[#This Row],[Nbhd]],Lookups!$M$3:$P$5,4,FALSE)</f>
        <v>0.99970000000000003</v>
      </c>
      <c r="BF1006" s="30">
        <f>VLOOKUP(Inventory[[#This Row],[Qlty]],Lookups!$M$8:$P$22,4,FALSE)</f>
        <v>0.99819999999999998</v>
      </c>
      <c r="BG1006" s="30">
        <f>VLOOKUP(Inventory[[#This Row],[Cnd]],Lookups!$R$8:$U$17,4,FALSE)</f>
        <v>1.0007999999999999</v>
      </c>
      <c r="BH1006" s="30">
        <f>VLOOKUP(Inventory[[#This Row],[LivArea Range]],Lookups!$R$25:$U$43,4,FALSE)</f>
        <v>0.99519999999999997</v>
      </c>
      <c r="BI1006" s="30">
        <f>VLOOKUP(Inventory[[#This Row],[Decade]],Lookups!$M$24:$P$40,4,FALSE)</f>
        <v>0.99560000000000004</v>
      </c>
      <c r="BJ1006" s="30">
        <f>Inventory[[#This Row],[Nbhd Adj]]*0.95</f>
        <v>0.94971499999999998</v>
      </c>
      <c r="BK1006" s="30">
        <f>AVERAGE(Inventory[[#This Row],[Nbhd Adj]],Inventory[[#This Row],[Quality Adj]],Inventory[[#This Row],[Condition Adj]],Inventory[[#This Row],[Living Area Adj]],Inventory[[#This Row],[Decade Adj]])*0.95</f>
        <v>0.94800499999999988</v>
      </c>
      <c r="BL1006" s="30">
        <f>ROUND((SUM(Inventory[[#This Row],[Mdl Qlty]:[Mdl Garage Area]])+Inventory[[#This Row],[Mdl Res Intercept]])*Inventory[[#This Row],[Res Adj ]],-2)</f>
        <v>286000</v>
      </c>
      <c r="BM1006" s="30">
        <f>ROUND(Inventory[[#This Row],[25Det]]*Inventory[[#This Row],[Det/Nbhd Adj]],-2)</f>
        <v>0</v>
      </c>
      <c r="BN1006" s="30">
        <f>Inventory[[#This Row],[Adjusted Res]]+Inventory[[#This Row],[Adj Det ]]</f>
        <v>286000</v>
      </c>
      <c r="BO1006" s="30">
        <f>ROUND((Inventory[[#This Row],[Mdl Land Intercept]]+Inventory[[#This Row],[Mdl LnAcres]])*Inventory[[#This Row],[Det/Nbhd Adj]],-2)</f>
        <v>61800</v>
      </c>
      <c r="BP1006" s="30">
        <f>Inventory[[#This Row],[Adjusted Impr Total]]+Inventory[[#This Row],[Adjusted Land Total]]</f>
        <v>347800</v>
      </c>
      <c r="BQ1006" s="30">
        <f>IFERROR((Inventory[[#This Row],[Adjusted Impr Total]]-Inventory[[#This Row],[24Bldg]])/Inventory[[#This Row],[24Bldg]],0)</f>
        <v>-1.8867924528301886E-2</v>
      </c>
      <c r="BR1006" s="43">
        <f>(Inventory[[#This Row],[Adjusted Land Total]]-Inventory[[#This Row],[24Lnd]])/Inventory[[#This Row],[24Lnd]]</f>
        <v>1.6207455429497568E-3</v>
      </c>
      <c r="BS1006" s="43">
        <f>(Inventory[[#This Row],[Adjusted Total]]-Inventory[[#This Row],[24Final]])/Inventory[[#This Row],[24Final]]</f>
        <v>-1.5288788221970554E-2</v>
      </c>
    </row>
    <row r="1007" spans="1:71">
      <c r="A1007" s="30">
        <v>2025</v>
      </c>
      <c r="B1007" s="31" t="s">
        <v>1522</v>
      </c>
      <c r="C1007" s="31">
        <f>LN(Inventory[[#This Row],[Acres]])</f>
        <v>-1.7719568419318752</v>
      </c>
      <c r="D1007" s="30">
        <v>0.17</v>
      </c>
      <c r="E1007" s="30">
        <v>7215</v>
      </c>
      <c r="F1007" s="31" t="s">
        <v>505</v>
      </c>
      <c r="G1007" s="31" t="s">
        <v>155</v>
      </c>
      <c r="H1007" s="31" t="s">
        <v>5</v>
      </c>
      <c r="I1007" s="31" t="s">
        <v>506</v>
      </c>
      <c r="J1007" s="31" t="s">
        <v>507</v>
      </c>
      <c r="K1007" s="31" t="s">
        <v>193</v>
      </c>
      <c r="L1007" s="31" t="s">
        <v>19</v>
      </c>
      <c r="M1007" s="31" t="s">
        <v>22</v>
      </c>
      <c r="N1007" s="31">
        <v>20</v>
      </c>
      <c r="O1007" s="31">
        <f>2024-Inventory[[#This Row],[YrBlt]]</f>
        <v>20</v>
      </c>
      <c r="P1007" s="31">
        <f>2024-Inventory[[#This Row],[EffYr]]</f>
        <v>20</v>
      </c>
      <c r="Q1007" s="30">
        <v>2004</v>
      </c>
      <c r="R1007" s="30">
        <v>2004</v>
      </c>
      <c r="S1007" s="30">
        <v>1092</v>
      </c>
      <c r="T1007" s="37"/>
      <c r="U1007" s="32"/>
      <c r="V1007" s="32"/>
      <c r="W1007" s="32"/>
      <c r="X1007" s="32">
        <f>Inventory[[#This Row],[Bsmt Area]]-Inventory[[#This Row],[FnBsmt]]</f>
        <v>0</v>
      </c>
      <c r="Y1007" s="32">
        <f>Inventory[[#This Row],[MainFn]]+Inventory[[#This Row],[UpprFn]]+Inventory[[#This Row],[AddFn]]+Inventory[[#This Row],[FnBsmt]]</f>
        <v>1092</v>
      </c>
      <c r="Z1007" s="32">
        <v>1500</v>
      </c>
      <c r="AA1007" s="31" t="s">
        <v>56</v>
      </c>
      <c r="AB1007" s="32"/>
      <c r="AC1007" s="30">
        <v>440</v>
      </c>
      <c r="AD1007" s="32"/>
      <c r="AE1007" s="32"/>
      <c r="AF1007" s="32"/>
      <c r="AG1007" s="32"/>
      <c r="AH1007" s="32"/>
      <c r="AI1007" s="30">
        <v>232884</v>
      </c>
      <c r="AJ1007" s="30">
        <v>214253</v>
      </c>
      <c r="AK1007" s="30">
        <v>0</v>
      </c>
      <c r="AL1007" s="30">
        <v>0</v>
      </c>
      <c r="AM1007" s="30">
        <v>61700</v>
      </c>
      <c r="AN1007" s="30">
        <v>291500</v>
      </c>
      <c r="AO1007" s="30">
        <v>353200</v>
      </c>
      <c r="AP1007" s="30">
        <f>Lookups!$B$58*0.6</f>
        <v>132535.48800000001</v>
      </c>
      <c r="AQ1007" s="30">
        <f>Lookups!$B$58*0.4</f>
        <v>88356.992000000013</v>
      </c>
      <c r="AR1007" s="30">
        <f>Lookups!$B$59*Inventory[[#This Row],[LnAcres]]</f>
        <v>-23255.730391660189</v>
      </c>
      <c r="AS1007" s="30">
        <f>VLOOKUP(Inventory[[#This Row],[Qlty]],Lookups!$A$66:$E$79,2,FALSE)</f>
        <v>37154.252388000001</v>
      </c>
      <c r="AT1007" s="30">
        <f>VLOOKUP(Inventory[[#This Row],[Cnd]],Lookups!$A$80:$E$88,2,FALSE)</f>
        <v>50438.379078999998</v>
      </c>
      <c r="AU1007" s="30">
        <f>Inventory[[#This Row],[EffAge]]*Lookups!$B$65</f>
        <v>-2174.8220000000001</v>
      </c>
      <c r="AV1007" s="30">
        <f>Inventory[[#This Row],[MainFn]]*Lookups!$B$90</f>
        <v>68152.13496000001</v>
      </c>
      <c r="AW1007" s="30">
        <f>Inventory[[#This Row],[UpprFn]]*Lookups!$B$91</f>
        <v>0</v>
      </c>
      <c r="AX1007" s="30">
        <f>Inventory[[#This Row],[Bsmt Area]]*Lookups!$B$95</f>
        <v>0</v>
      </c>
      <c r="AY1007" s="30">
        <f>Inventory[[#This Row],[AttGar]]*Lookups!$B$93</f>
        <v>15532.453640000002</v>
      </c>
      <c r="AZ1007" s="30">
        <f>ROUND(Inventory[[#This Row],[25Det]],-2)</f>
        <v>0</v>
      </c>
      <c r="BA1007" s="30">
        <f>ROUND(SUM(Inventory[[#This Row],[Mdl Qlty]:[Mdl Garage Area]])+Inventory[[#This Row],[Mdl Res Intercept]],-2)</f>
        <v>301600</v>
      </c>
      <c r="BB1007" s="30">
        <f>ROUND(Inventory[[#This Row],[Mdl Land Intercept]]+Inventory[[#This Row],[Mdl LnAcres]],-2)</f>
        <v>65100</v>
      </c>
      <c r="BC1007" s="30">
        <f>Inventory[[#This Row],[Unadj Res Value]]+Inventory[[#This Row],[Unadj Det Value]]+Inventory[[#This Row],[Unadj Land Value]]</f>
        <v>366700</v>
      </c>
      <c r="BD1007" s="30">
        <f>(Inventory[[#This Row],[Unadj Total Value]]-Inventory[[#This Row],[24Final]])/Inventory[[#This Row],[24Final]]</f>
        <v>3.8221970554926391E-2</v>
      </c>
      <c r="BE1007" s="30">
        <f>VLOOKUP(Inventory[[#This Row],[Nbhd]],Lookups!$M$3:$P$5,4,FALSE)</f>
        <v>0.99970000000000003</v>
      </c>
      <c r="BF1007" s="30">
        <f>VLOOKUP(Inventory[[#This Row],[Qlty]],Lookups!$M$8:$P$22,4,FALSE)</f>
        <v>0.99819999999999998</v>
      </c>
      <c r="BG1007" s="30">
        <f>VLOOKUP(Inventory[[#This Row],[Cnd]],Lookups!$R$8:$U$17,4,FALSE)</f>
        <v>1.0007999999999999</v>
      </c>
      <c r="BH1007" s="30">
        <f>VLOOKUP(Inventory[[#This Row],[LivArea Range]],Lookups!$R$25:$U$43,4,FALSE)</f>
        <v>0.99519999999999997</v>
      </c>
      <c r="BI1007" s="30">
        <f>VLOOKUP(Inventory[[#This Row],[Decade]],Lookups!$M$24:$P$40,4,FALSE)</f>
        <v>0.99560000000000004</v>
      </c>
      <c r="BJ1007" s="30">
        <f>Inventory[[#This Row],[Nbhd Adj]]*0.95</f>
        <v>0.94971499999999998</v>
      </c>
      <c r="BK1007" s="30">
        <f>AVERAGE(Inventory[[#This Row],[Nbhd Adj]],Inventory[[#This Row],[Quality Adj]],Inventory[[#This Row],[Condition Adj]],Inventory[[#This Row],[Living Area Adj]],Inventory[[#This Row],[Decade Adj]])*0.95</f>
        <v>0.94800499999999988</v>
      </c>
      <c r="BL1007" s="30">
        <f>ROUND((SUM(Inventory[[#This Row],[Mdl Qlty]:[Mdl Garage Area]])+Inventory[[#This Row],[Mdl Res Intercept]])*Inventory[[#This Row],[Res Adj ]],-2)</f>
        <v>286000</v>
      </c>
      <c r="BM1007" s="30">
        <f>ROUND(Inventory[[#This Row],[25Det]]*Inventory[[#This Row],[Det/Nbhd Adj]],-2)</f>
        <v>0</v>
      </c>
      <c r="BN1007" s="30">
        <f>Inventory[[#This Row],[Adjusted Res]]+Inventory[[#This Row],[Adj Det ]]</f>
        <v>286000</v>
      </c>
      <c r="BO1007" s="30">
        <f>ROUND((Inventory[[#This Row],[Mdl Land Intercept]]+Inventory[[#This Row],[Mdl LnAcres]])*Inventory[[#This Row],[Det/Nbhd Adj]],-2)</f>
        <v>61800</v>
      </c>
      <c r="BP1007" s="30">
        <f>Inventory[[#This Row],[Adjusted Impr Total]]+Inventory[[#This Row],[Adjusted Land Total]]</f>
        <v>347800</v>
      </c>
      <c r="BQ1007" s="30">
        <f>IFERROR((Inventory[[#This Row],[Adjusted Impr Total]]-Inventory[[#This Row],[24Bldg]])/Inventory[[#This Row],[24Bldg]],0)</f>
        <v>-1.8867924528301886E-2</v>
      </c>
      <c r="BR1007" s="43">
        <f>(Inventory[[#This Row],[Adjusted Land Total]]-Inventory[[#This Row],[24Lnd]])/Inventory[[#This Row],[24Lnd]]</f>
        <v>1.6207455429497568E-3</v>
      </c>
      <c r="BS1007" s="43">
        <f>(Inventory[[#This Row],[Adjusted Total]]-Inventory[[#This Row],[24Final]])/Inventory[[#This Row],[24Final]]</f>
        <v>-1.5288788221970554E-2</v>
      </c>
    </row>
    <row r="1008" spans="1:71">
      <c r="A1008" s="30">
        <v>2025</v>
      </c>
      <c r="B1008" s="31" t="s">
        <v>1523</v>
      </c>
      <c r="C1008" s="31">
        <f>LN(Inventory[[#This Row],[Acres]])</f>
        <v>-1.7719568419318752</v>
      </c>
      <c r="D1008" s="30">
        <v>0.17</v>
      </c>
      <c r="E1008" s="30">
        <v>7286</v>
      </c>
      <c r="F1008" s="31" t="s">
        <v>505</v>
      </c>
      <c r="G1008" s="31" t="s">
        <v>155</v>
      </c>
      <c r="H1008" s="31" t="s">
        <v>5</v>
      </c>
      <c r="I1008" s="31" t="s">
        <v>506</v>
      </c>
      <c r="J1008" s="31" t="s">
        <v>507</v>
      </c>
      <c r="K1008" s="31" t="s">
        <v>193</v>
      </c>
      <c r="L1008" s="31" t="s">
        <v>21</v>
      </c>
      <c r="M1008" s="31" t="s">
        <v>22</v>
      </c>
      <c r="N1008" s="31">
        <v>20</v>
      </c>
      <c r="O1008" s="31">
        <f>2024-Inventory[[#This Row],[YrBlt]]</f>
        <v>20</v>
      </c>
      <c r="P1008" s="31">
        <f>2024-Inventory[[#This Row],[EffYr]]</f>
        <v>20</v>
      </c>
      <c r="Q1008" s="30">
        <v>2004</v>
      </c>
      <c r="R1008" s="30">
        <v>2004</v>
      </c>
      <c r="S1008" s="30">
        <v>1096</v>
      </c>
      <c r="T1008" s="37"/>
      <c r="U1008" s="32"/>
      <c r="V1008" s="32"/>
      <c r="W1008" s="32"/>
      <c r="X1008" s="32">
        <f>Inventory[[#This Row],[Bsmt Area]]-Inventory[[#This Row],[FnBsmt]]</f>
        <v>0</v>
      </c>
      <c r="Y1008" s="32">
        <f>Inventory[[#This Row],[MainFn]]+Inventory[[#This Row],[UpprFn]]+Inventory[[#This Row],[AddFn]]+Inventory[[#This Row],[FnBsmt]]</f>
        <v>1096</v>
      </c>
      <c r="Z1008" s="32">
        <v>1500</v>
      </c>
      <c r="AA1008" s="31" t="s">
        <v>56</v>
      </c>
      <c r="AB1008" s="32"/>
      <c r="AC1008" s="30">
        <v>460</v>
      </c>
      <c r="AD1008" s="32"/>
      <c r="AE1008" s="32"/>
      <c r="AF1008" s="32"/>
      <c r="AG1008" s="32"/>
      <c r="AH1008" s="32"/>
      <c r="AI1008" s="30">
        <v>270447</v>
      </c>
      <c r="AJ1008" s="30">
        <v>248811</v>
      </c>
      <c r="AK1008" s="30">
        <v>0</v>
      </c>
      <c r="AL1008" s="30">
        <v>0</v>
      </c>
      <c r="AM1008" s="30">
        <v>61700</v>
      </c>
      <c r="AN1008" s="30">
        <v>287800</v>
      </c>
      <c r="AO1008" s="30">
        <v>349500</v>
      </c>
      <c r="AP1008" s="30">
        <f>Lookups!$B$58*0.6</f>
        <v>132535.48800000001</v>
      </c>
      <c r="AQ1008" s="30">
        <f>Lookups!$B$58*0.4</f>
        <v>88356.992000000013</v>
      </c>
      <c r="AR1008" s="30">
        <f>Lookups!$B$59*Inventory[[#This Row],[LnAcres]]</f>
        <v>-23255.730391660189</v>
      </c>
      <c r="AS1008" s="30">
        <f>VLOOKUP(Inventory[[#This Row],[Qlty]],Lookups!$A$66:$E$79,2,FALSE)</f>
        <v>32917.849192000001</v>
      </c>
      <c r="AT1008" s="30">
        <f>VLOOKUP(Inventory[[#This Row],[Cnd]],Lookups!$A$80:$E$88,2,FALSE)</f>
        <v>50438.379078999998</v>
      </c>
      <c r="AU1008" s="30">
        <f>Inventory[[#This Row],[EffAge]]*Lookups!$B$65</f>
        <v>-2174.8220000000001</v>
      </c>
      <c r="AV1008" s="30">
        <f>Inventory[[#This Row],[MainFn]]*Lookups!$B$90</f>
        <v>68401.77648</v>
      </c>
      <c r="AW1008" s="30">
        <f>Inventory[[#This Row],[UpprFn]]*Lookups!$B$91</f>
        <v>0</v>
      </c>
      <c r="AX1008" s="30">
        <f>Inventory[[#This Row],[Bsmt Area]]*Lookups!$B$95</f>
        <v>0</v>
      </c>
      <c r="AY1008" s="30">
        <f>Inventory[[#This Row],[AttGar]]*Lookups!$B$93</f>
        <v>16238.474260000001</v>
      </c>
      <c r="AZ1008" s="30">
        <f>ROUND(Inventory[[#This Row],[25Det]],-2)</f>
        <v>0</v>
      </c>
      <c r="BA1008" s="30">
        <f>ROUND(SUM(Inventory[[#This Row],[Mdl Qlty]:[Mdl Garage Area]])+Inventory[[#This Row],[Mdl Res Intercept]],-2)</f>
        <v>298400</v>
      </c>
      <c r="BB1008" s="30">
        <f>ROUND(Inventory[[#This Row],[Mdl Land Intercept]]+Inventory[[#This Row],[Mdl LnAcres]],-2)</f>
        <v>65100</v>
      </c>
      <c r="BC1008" s="30">
        <f>Inventory[[#This Row],[Unadj Res Value]]+Inventory[[#This Row],[Unadj Det Value]]+Inventory[[#This Row],[Unadj Land Value]]</f>
        <v>363500</v>
      </c>
      <c r="BD1008" s="30">
        <f>(Inventory[[#This Row],[Unadj Total Value]]-Inventory[[#This Row],[24Final]])/Inventory[[#This Row],[24Final]]</f>
        <v>4.005722460658083E-2</v>
      </c>
      <c r="BE1008" s="30">
        <f>VLOOKUP(Inventory[[#This Row],[Nbhd]],Lookups!$M$3:$P$5,4,FALSE)</f>
        <v>0.99970000000000003</v>
      </c>
      <c r="BF1008" s="30">
        <f>VLOOKUP(Inventory[[#This Row],[Qlty]],Lookups!$M$8:$P$22,4,FALSE)</f>
        <v>1.0019</v>
      </c>
      <c r="BG1008" s="30">
        <f>VLOOKUP(Inventory[[#This Row],[Cnd]],Lookups!$R$8:$U$17,4,FALSE)</f>
        <v>1.0007999999999999</v>
      </c>
      <c r="BH1008" s="30">
        <f>VLOOKUP(Inventory[[#This Row],[LivArea Range]],Lookups!$R$25:$U$43,4,FALSE)</f>
        <v>0.99519999999999997</v>
      </c>
      <c r="BI1008" s="30">
        <f>VLOOKUP(Inventory[[#This Row],[Decade]],Lookups!$M$24:$P$40,4,FALSE)</f>
        <v>0.99560000000000004</v>
      </c>
      <c r="BJ1008" s="30">
        <f>Inventory[[#This Row],[Nbhd Adj]]*0.95</f>
        <v>0.94971499999999998</v>
      </c>
      <c r="BK1008" s="30">
        <f>AVERAGE(Inventory[[#This Row],[Nbhd Adj]],Inventory[[#This Row],[Quality Adj]],Inventory[[#This Row],[Condition Adj]],Inventory[[#This Row],[Living Area Adj]],Inventory[[#This Row],[Decade Adj]])*0.95</f>
        <v>0.94870799999999988</v>
      </c>
      <c r="BL1008" s="30">
        <f>ROUND((SUM(Inventory[[#This Row],[Mdl Qlty]:[Mdl Garage Area]])+Inventory[[#This Row],[Mdl Res Intercept]])*Inventory[[#This Row],[Res Adj ]],-2)</f>
        <v>283100</v>
      </c>
      <c r="BM1008" s="30">
        <f>ROUND(Inventory[[#This Row],[25Det]]*Inventory[[#This Row],[Det/Nbhd Adj]],-2)</f>
        <v>0</v>
      </c>
      <c r="BN1008" s="30">
        <f>Inventory[[#This Row],[Adjusted Res]]+Inventory[[#This Row],[Adj Det ]]</f>
        <v>283100</v>
      </c>
      <c r="BO1008" s="30">
        <f>ROUND((Inventory[[#This Row],[Mdl Land Intercept]]+Inventory[[#This Row],[Mdl LnAcres]])*Inventory[[#This Row],[Det/Nbhd Adj]],-2)</f>
        <v>61800</v>
      </c>
      <c r="BP1008" s="30">
        <f>Inventory[[#This Row],[Adjusted Impr Total]]+Inventory[[#This Row],[Adjusted Land Total]]</f>
        <v>344900</v>
      </c>
      <c r="BQ1008" s="30">
        <f>IFERROR((Inventory[[#This Row],[Adjusted Impr Total]]-Inventory[[#This Row],[24Bldg]])/Inventory[[#This Row],[24Bldg]],0)</f>
        <v>-1.6330785267546909E-2</v>
      </c>
      <c r="BR1008" s="43">
        <f>(Inventory[[#This Row],[Adjusted Land Total]]-Inventory[[#This Row],[24Lnd]])/Inventory[[#This Row],[24Lnd]]</f>
        <v>1.6207455429497568E-3</v>
      </c>
      <c r="BS1008" s="43">
        <f>(Inventory[[#This Row],[Adjusted Total]]-Inventory[[#This Row],[24Final]])/Inventory[[#This Row],[24Final]]</f>
        <v>-1.3161659513590844E-2</v>
      </c>
    </row>
    <row r="1009" spans="1:71">
      <c r="A1009" s="30">
        <v>2025</v>
      </c>
      <c r="B1009" s="31" t="s">
        <v>1524</v>
      </c>
      <c r="C1009" s="31">
        <f>LN(Inventory[[#This Row],[Acres]])</f>
        <v>-1.7719568419318752</v>
      </c>
      <c r="D1009" s="30">
        <v>0.17</v>
      </c>
      <c r="E1009" s="30">
        <v>7440</v>
      </c>
      <c r="F1009" s="31" t="s">
        <v>505</v>
      </c>
      <c r="G1009" s="31" t="s">
        <v>155</v>
      </c>
      <c r="H1009" s="31" t="s">
        <v>5</v>
      </c>
      <c r="I1009" s="31" t="s">
        <v>506</v>
      </c>
      <c r="J1009" s="31" t="s">
        <v>507</v>
      </c>
      <c r="K1009" s="31" t="s">
        <v>157</v>
      </c>
      <c r="L1009" s="31" t="s">
        <v>21</v>
      </c>
      <c r="M1009" s="31" t="s">
        <v>20</v>
      </c>
      <c r="N1009" s="31">
        <v>20</v>
      </c>
      <c r="O1009" s="31">
        <f>2024-Inventory[[#This Row],[YrBlt]]</f>
        <v>20</v>
      </c>
      <c r="P1009" s="31">
        <f>2024-Inventory[[#This Row],[EffYr]]</f>
        <v>20</v>
      </c>
      <c r="Q1009" s="30">
        <v>2004</v>
      </c>
      <c r="R1009" s="30">
        <v>2004</v>
      </c>
      <c r="S1009" s="30">
        <v>1116</v>
      </c>
      <c r="T1009" s="30">
        <v>1116</v>
      </c>
      <c r="U1009" s="32"/>
      <c r="V1009" s="32"/>
      <c r="W1009" s="32"/>
      <c r="X1009" s="32">
        <f>Inventory[[#This Row],[Bsmt Area]]-Inventory[[#This Row],[FnBsmt]]</f>
        <v>0</v>
      </c>
      <c r="Y1009" s="32">
        <f>Inventory[[#This Row],[MainFn]]+Inventory[[#This Row],[UpprFn]]+Inventory[[#This Row],[AddFn]]+Inventory[[#This Row],[FnBsmt]]</f>
        <v>2232</v>
      </c>
      <c r="Z1009" s="32">
        <v>2500</v>
      </c>
      <c r="AA1009" s="31" t="s">
        <v>56</v>
      </c>
      <c r="AB1009" s="37"/>
      <c r="AC1009" s="38">
        <v>440</v>
      </c>
      <c r="AD1009" s="37"/>
      <c r="AE1009" s="32"/>
      <c r="AF1009" s="32"/>
      <c r="AG1009" s="32"/>
      <c r="AH1009" s="32"/>
      <c r="AI1009" s="30">
        <v>439327</v>
      </c>
      <c r="AJ1009" s="30">
        <v>399788</v>
      </c>
      <c r="AK1009" s="30">
        <v>0</v>
      </c>
      <c r="AL1009" s="30">
        <v>0</v>
      </c>
      <c r="AM1009" s="30">
        <v>61700</v>
      </c>
      <c r="AN1009" s="30">
        <v>333600</v>
      </c>
      <c r="AO1009" s="30">
        <v>395300</v>
      </c>
      <c r="AP1009" s="30">
        <f>Lookups!$B$58*0.6</f>
        <v>132535.48800000001</v>
      </c>
      <c r="AQ1009" s="30">
        <f>Lookups!$B$58*0.4</f>
        <v>88356.992000000013</v>
      </c>
      <c r="AR1009" s="30">
        <f>Lookups!$B$59*Inventory[[#This Row],[LnAcres]]</f>
        <v>-23255.730391660189</v>
      </c>
      <c r="AS1009" s="30">
        <f>VLOOKUP(Inventory[[#This Row],[Qlty]],Lookups!$A$66:$E$79,2,FALSE)</f>
        <v>32917.849192000001</v>
      </c>
      <c r="AT1009" s="30">
        <f>VLOOKUP(Inventory[[#This Row],[Cnd]],Lookups!$A$80:$E$88,2,FALSE)</f>
        <v>30300.329274</v>
      </c>
      <c r="AU1009" s="30">
        <f>Inventory[[#This Row],[EffAge]]*Lookups!$B$65</f>
        <v>-2174.8220000000001</v>
      </c>
      <c r="AV1009" s="30">
        <f>Inventory[[#This Row],[MainFn]]*Lookups!$B$90</f>
        <v>69649.984080000009</v>
      </c>
      <c r="AW1009" s="30">
        <f>Inventory[[#This Row],[UpprFn]]*Lookups!$B$91</f>
        <v>66491.707427999994</v>
      </c>
      <c r="AX1009" s="30">
        <f>Inventory[[#This Row],[Bsmt Area]]*Lookups!$B$95</f>
        <v>0</v>
      </c>
      <c r="AY1009" s="30">
        <f>Inventory[[#This Row],[AttGar]]*Lookups!$B$93</f>
        <v>15532.453640000002</v>
      </c>
      <c r="AZ1009" s="30">
        <f>ROUND(Inventory[[#This Row],[25Det]],-2)</f>
        <v>0</v>
      </c>
      <c r="BA1009" s="30">
        <f>ROUND(SUM(Inventory[[#This Row],[Mdl Qlty]:[Mdl Garage Area]])+Inventory[[#This Row],[Mdl Res Intercept]],-2)</f>
        <v>345300</v>
      </c>
      <c r="BB1009" s="30">
        <f>ROUND(Inventory[[#This Row],[Mdl Land Intercept]]+Inventory[[#This Row],[Mdl LnAcres]],-2)</f>
        <v>65100</v>
      </c>
      <c r="BC1009" s="30">
        <f>Inventory[[#This Row],[Unadj Res Value]]+Inventory[[#This Row],[Unadj Det Value]]+Inventory[[#This Row],[Unadj Land Value]]</f>
        <v>410400</v>
      </c>
      <c r="BD1009" s="30">
        <f>(Inventory[[#This Row],[Unadj Total Value]]-Inventory[[#This Row],[24Final]])/Inventory[[#This Row],[24Final]]</f>
        <v>3.8198836326840374E-2</v>
      </c>
      <c r="BE1009" s="30">
        <f>VLOOKUP(Inventory[[#This Row],[Nbhd]],Lookups!$M$3:$P$5,4,FALSE)</f>
        <v>0.99970000000000003</v>
      </c>
      <c r="BF1009" s="30">
        <f>VLOOKUP(Inventory[[#This Row],[Qlty]],Lookups!$M$8:$P$22,4,FALSE)</f>
        <v>1.0019</v>
      </c>
      <c r="BG1009" s="30">
        <f>VLOOKUP(Inventory[[#This Row],[Cnd]],Lookups!$R$8:$U$17,4,FALSE)</f>
        <v>0.997</v>
      </c>
      <c r="BH1009" s="30">
        <f>VLOOKUP(Inventory[[#This Row],[LivArea Range]],Lookups!$R$25:$U$43,4,FALSE)</f>
        <v>1.0008999999999999</v>
      </c>
      <c r="BI1009" s="30">
        <f>VLOOKUP(Inventory[[#This Row],[Decade]],Lookups!$M$24:$P$40,4,FALSE)</f>
        <v>0.99560000000000004</v>
      </c>
      <c r="BJ1009" s="30">
        <f>Inventory[[#This Row],[Nbhd Adj]]*0.95</f>
        <v>0.94971499999999998</v>
      </c>
      <c r="BK1009" s="30">
        <f>AVERAGE(Inventory[[#This Row],[Nbhd Adj]],Inventory[[#This Row],[Quality Adj]],Inventory[[#This Row],[Condition Adj]],Inventory[[#This Row],[Living Area Adj]],Inventory[[#This Row],[Decade Adj]])*0.95</f>
        <v>0.94906899999999972</v>
      </c>
      <c r="BL1009" s="30">
        <f>ROUND((SUM(Inventory[[#This Row],[Mdl Qlty]:[Mdl Garage Area]])+Inventory[[#This Row],[Mdl Res Intercept]])*Inventory[[#This Row],[Res Adj ]],-2)</f>
        <v>327700</v>
      </c>
      <c r="BM1009" s="30">
        <f>ROUND(Inventory[[#This Row],[25Det]]*Inventory[[#This Row],[Det/Nbhd Adj]],-2)</f>
        <v>0</v>
      </c>
      <c r="BN1009" s="30">
        <f>Inventory[[#This Row],[Adjusted Res]]+Inventory[[#This Row],[Adj Det ]]</f>
        <v>327700</v>
      </c>
      <c r="BO1009" s="30">
        <f>ROUND((Inventory[[#This Row],[Mdl Land Intercept]]+Inventory[[#This Row],[Mdl LnAcres]])*Inventory[[#This Row],[Det/Nbhd Adj]],-2)</f>
        <v>61800</v>
      </c>
      <c r="BP1009" s="30">
        <f>Inventory[[#This Row],[Adjusted Impr Total]]+Inventory[[#This Row],[Adjusted Land Total]]</f>
        <v>389500</v>
      </c>
      <c r="BQ1009" s="30">
        <f>IFERROR((Inventory[[#This Row],[Adjusted Impr Total]]-Inventory[[#This Row],[24Bldg]])/Inventory[[#This Row],[24Bldg]],0)</f>
        <v>-1.7685851318944845E-2</v>
      </c>
      <c r="BR1009" s="43">
        <f>(Inventory[[#This Row],[Adjusted Land Total]]-Inventory[[#This Row],[24Lnd]])/Inventory[[#This Row],[24Lnd]]</f>
        <v>1.6207455429497568E-3</v>
      </c>
      <c r="BS1009" s="43">
        <f>(Inventory[[#This Row],[Adjusted Total]]-Inventory[[#This Row],[24Final]])/Inventory[[#This Row],[24Final]]</f>
        <v>-1.4672400708322793E-2</v>
      </c>
    </row>
    <row r="1010" spans="1:71">
      <c r="A1010" s="30">
        <v>2025</v>
      </c>
      <c r="B1010" s="31" t="s">
        <v>1525</v>
      </c>
      <c r="C1010" s="31">
        <f>LN(Inventory[[#This Row],[Acres]])</f>
        <v>-1.7719568419318752</v>
      </c>
      <c r="D1010" s="30">
        <v>0.17</v>
      </c>
      <c r="E1010" s="30">
        <v>7500</v>
      </c>
      <c r="F1010" s="31" t="s">
        <v>505</v>
      </c>
      <c r="G1010" s="31" t="s">
        <v>155</v>
      </c>
      <c r="H1010" s="31" t="s">
        <v>5</v>
      </c>
      <c r="I1010" s="31" t="s">
        <v>506</v>
      </c>
      <c r="J1010" s="31" t="s">
        <v>507</v>
      </c>
      <c r="K1010" s="31" t="s">
        <v>157</v>
      </c>
      <c r="L1010" s="31" t="s">
        <v>21</v>
      </c>
      <c r="M1010" s="31" t="s">
        <v>20</v>
      </c>
      <c r="N1010" s="31">
        <v>20</v>
      </c>
      <c r="O1010" s="31">
        <f>2024-Inventory[[#This Row],[YrBlt]]</f>
        <v>20</v>
      </c>
      <c r="P1010" s="31">
        <f>2024-Inventory[[#This Row],[EffYr]]</f>
        <v>20</v>
      </c>
      <c r="Q1010" s="30">
        <v>2004</v>
      </c>
      <c r="R1010" s="30">
        <v>2004</v>
      </c>
      <c r="S1010" s="30">
        <v>1116</v>
      </c>
      <c r="T1010" s="38">
        <v>1116</v>
      </c>
      <c r="U1010" s="32"/>
      <c r="V1010" s="32"/>
      <c r="W1010" s="32"/>
      <c r="X1010" s="32">
        <f>Inventory[[#This Row],[Bsmt Area]]-Inventory[[#This Row],[FnBsmt]]</f>
        <v>0</v>
      </c>
      <c r="Y1010" s="32">
        <f>Inventory[[#This Row],[MainFn]]+Inventory[[#This Row],[UpprFn]]+Inventory[[#This Row],[AddFn]]+Inventory[[#This Row],[FnBsmt]]</f>
        <v>2232</v>
      </c>
      <c r="Z1010" s="32">
        <v>2500</v>
      </c>
      <c r="AA1010" s="31" t="s">
        <v>56</v>
      </c>
      <c r="AB1010" s="32"/>
      <c r="AC1010" s="30">
        <v>440</v>
      </c>
      <c r="AD1010" s="32"/>
      <c r="AE1010" s="32"/>
      <c r="AF1010" s="32"/>
      <c r="AG1010" s="32"/>
      <c r="AH1010" s="32"/>
      <c r="AI1010" s="30">
        <v>439327</v>
      </c>
      <c r="AJ1010" s="30">
        <v>399788</v>
      </c>
      <c r="AK1010" s="30">
        <v>0</v>
      </c>
      <c r="AL1010" s="30">
        <v>0</v>
      </c>
      <c r="AM1010" s="30">
        <v>61700</v>
      </c>
      <c r="AN1010" s="30">
        <v>333600</v>
      </c>
      <c r="AO1010" s="30">
        <v>395300</v>
      </c>
      <c r="AP1010" s="30">
        <f>Lookups!$B$58*0.6</f>
        <v>132535.48800000001</v>
      </c>
      <c r="AQ1010" s="30">
        <f>Lookups!$B$58*0.4</f>
        <v>88356.992000000013</v>
      </c>
      <c r="AR1010" s="30">
        <f>Lookups!$B$59*Inventory[[#This Row],[LnAcres]]</f>
        <v>-23255.730391660189</v>
      </c>
      <c r="AS1010" s="30">
        <f>VLOOKUP(Inventory[[#This Row],[Qlty]],Lookups!$A$66:$E$79,2,FALSE)</f>
        <v>32917.849192000001</v>
      </c>
      <c r="AT1010" s="30">
        <f>VLOOKUP(Inventory[[#This Row],[Cnd]],Lookups!$A$80:$E$88,2,FALSE)</f>
        <v>30300.329274</v>
      </c>
      <c r="AU1010" s="30">
        <f>Inventory[[#This Row],[EffAge]]*Lookups!$B$65</f>
        <v>-2174.8220000000001</v>
      </c>
      <c r="AV1010" s="30">
        <f>Inventory[[#This Row],[MainFn]]*Lookups!$B$90</f>
        <v>69649.984080000009</v>
      </c>
      <c r="AW1010" s="30">
        <f>Inventory[[#This Row],[UpprFn]]*Lookups!$B$91</f>
        <v>66491.707427999994</v>
      </c>
      <c r="AX1010" s="30">
        <f>Inventory[[#This Row],[Bsmt Area]]*Lookups!$B$95</f>
        <v>0</v>
      </c>
      <c r="AY1010" s="30">
        <f>Inventory[[#This Row],[AttGar]]*Lookups!$B$93</f>
        <v>15532.453640000002</v>
      </c>
      <c r="AZ1010" s="30">
        <f>ROUND(Inventory[[#This Row],[25Det]],-2)</f>
        <v>0</v>
      </c>
      <c r="BA1010" s="30">
        <f>ROUND(SUM(Inventory[[#This Row],[Mdl Qlty]:[Mdl Garage Area]])+Inventory[[#This Row],[Mdl Res Intercept]],-2)</f>
        <v>345300</v>
      </c>
      <c r="BB1010" s="30">
        <f>ROUND(Inventory[[#This Row],[Mdl Land Intercept]]+Inventory[[#This Row],[Mdl LnAcres]],-2)</f>
        <v>65100</v>
      </c>
      <c r="BC1010" s="30">
        <f>Inventory[[#This Row],[Unadj Res Value]]+Inventory[[#This Row],[Unadj Det Value]]+Inventory[[#This Row],[Unadj Land Value]]</f>
        <v>410400</v>
      </c>
      <c r="BD1010" s="30">
        <f>(Inventory[[#This Row],[Unadj Total Value]]-Inventory[[#This Row],[24Final]])/Inventory[[#This Row],[24Final]]</f>
        <v>3.8198836326840374E-2</v>
      </c>
      <c r="BE1010" s="30">
        <f>VLOOKUP(Inventory[[#This Row],[Nbhd]],Lookups!$M$3:$P$5,4,FALSE)</f>
        <v>0.99970000000000003</v>
      </c>
      <c r="BF1010" s="30">
        <f>VLOOKUP(Inventory[[#This Row],[Qlty]],Lookups!$M$8:$P$22,4,FALSE)</f>
        <v>1.0019</v>
      </c>
      <c r="BG1010" s="30">
        <f>VLOOKUP(Inventory[[#This Row],[Cnd]],Lookups!$R$8:$U$17,4,FALSE)</f>
        <v>0.997</v>
      </c>
      <c r="BH1010" s="30">
        <f>VLOOKUP(Inventory[[#This Row],[LivArea Range]],Lookups!$R$25:$U$43,4,FALSE)</f>
        <v>1.0008999999999999</v>
      </c>
      <c r="BI1010" s="30">
        <f>VLOOKUP(Inventory[[#This Row],[Decade]],Lookups!$M$24:$P$40,4,FALSE)</f>
        <v>0.99560000000000004</v>
      </c>
      <c r="BJ1010" s="30">
        <f>Inventory[[#This Row],[Nbhd Adj]]*0.95</f>
        <v>0.94971499999999998</v>
      </c>
      <c r="BK1010" s="30">
        <f>AVERAGE(Inventory[[#This Row],[Nbhd Adj]],Inventory[[#This Row],[Quality Adj]],Inventory[[#This Row],[Condition Adj]],Inventory[[#This Row],[Living Area Adj]],Inventory[[#This Row],[Decade Adj]])*0.95</f>
        <v>0.94906899999999972</v>
      </c>
      <c r="BL1010" s="30">
        <f>ROUND((SUM(Inventory[[#This Row],[Mdl Qlty]:[Mdl Garage Area]])+Inventory[[#This Row],[Mdl Res Intercept]])*Inventory[[#This Row],[Res Adj ]],-2)</f>
        <v>327700</v>
      </c>
      <c r="BM1010" s="30">
        <f>ROUND(Inventory[[#This Row],[25Det]]*Inventory[[#This Row],[Det/Nbhd Adj]],-2)</f>
        <v>0</v>
      </c>
      <c r="BN1010" s="30">
        <f>Inventory[[#This Row],[Adjusted Res]]+Inventory[[#This Row],[Adj Det ]]</f>
        <v>327700</v>
      </c>
      <c r="BO1010" s="30">
        <f>ROUND((Inventory[[#This Row],[Mdl Land Intercept]]+Inventory[[#This Row],[Mdl LnAcres]])*Inventory[[#This Row],[Det/Nbhd Adj]],-2)</f>
        <v>61800</v>
      </c>
      <c r="BP1010" s="30">
        <f>Inventory[[#This Row],[Adjusted Impr Total]]+Inventory[[#This Row],[Adjusted Land Total]]</f>
        <v>389500</v>
      </c>
      <c r="BQ1010" s="30">
        <f>IFERROR((Inventory[[#This Row],[Adjusted Impr Total]]-Inventory[[#This Row],[24Bldg]])/Inventory[[#This Row],[24Bldg]],0)</f>
        <v>-1.7685851318944845E-2</v>
      </c>
      <c r="BR1010" s="43">
        <f>(Inventory[[#This Row],[Adjusted Land Total]]-Inventory[[#This Row],[24Lnd]])/Inventory[[#This Row],[24Lnd]]</f>
        <v>1.6207455429497568E-3</v>
      </c>
      <c r="BS1010" s="43">
        <f>(Inventory[[#This Row],[Adjusted Total]]-Inventory[[#This Row],[24Final]])/Inventory[[#This Row],[24Final]]</f>
        <v>-1.4672400708322793E-2</v>
      </c>
    </row>
    <row r="1011" spans="1:71">
      <c r="A1011" s="30">
        <v>2025</v>
      </c>
      <c r="B1011" s="31" t="s">
        <v>1526</v>
      </c>
      <c r="C1011" s="31">
        <f>LN(Inventory[[#This Row],[Acres]])</f>
        <v>-1.7719568419318752</v>
      </c>
      <c r="D1011" s="30">
        <v>0.17</v>
      </c>
      <c r="E1011" s="30">
        <v>7211</v>
      </c>
      <c r="F1011" s="31" t="s">
        <v>505</v>
      </c>
      <c r="G1011" s="31" t="s">
        <v>155</v>
      </c>
      <c r="H1011" s="31" t="s">
        <v>5</v>
      </c>
      <c r="I1011" s="31" t="s">
        <v>506</v>
      </c>
      <c r="J1011" s="31" t="s">
        <v>507</v>
      </c>
      <c r="K1011" s="31" t="s">
        <v>193</v>
      </c>
      <c r="L1011" s="31" t="s">
        <v>19</v>
      </c>
      <c r="M1011" s="31" t="s">
        <v>22</v>
      </c>
      <c r="N1011" s="31">
        <v>20</v>
      </c>
      <c r="O1011" s="31">
        <f>2024-Inventory[[#This Row],[YrBlt]]</f>
        <v>20</v>
      </c>
      <c r="P1011" s="31">
        <f>2024-Inventory[[#This Row],[EffYr]]</f>
        <v>20</v>
      </c>
      <c r="Q1011" s="30">
        <v>2004</v>
      </c>
      <c r="R1011" s="30">
        <v>2004</v>
      </c>
      <c r="S1011" s="30">
        <v>1364</v>
      </c>
      <c r="T1011" s="32"/>
      <c r="U1011" s="32"/>
      <c r="V1011" s="32"/>
      <c r="W1011" s="32"/>
      <c r="X1011" s="32">
        <f>Inventory[[#This Row],[Bsmt Area]]-Inventory[[#This Row],[FnBsmt]]</f>
        <v>0</v>
      </c>
      <c r="Y1011" s="32">
        <f>Inventory[[#This Row],[MainFn]]+Inventory[[#This Row],[UpprFn]]+Inventory[[#This Row],[AddFn]]+Inventory[[#This Row],[FnBsmt]]</f>
        <v>1364</v>
      </c>
      <c r="Z1011" s="32">
        <v>1500</v>
      </c>
      <c r="AA1011" s="31" t="s">
        <v>56</v>
      </c>
      <c r="AB1011" s="32"/>
      <c r="AC1011" s="30">
        <v>428</v>
      </c>
      <c r="AD1011" s="32"/>
      <c r="AE1011" s="32"/>
      <c r="AF1011" s="32"/>
      <c r="AG1011" s="32"/>
      <c r="AH1011" s="32"/>
      <c r="AI1011" s="30">
        <v>273939</v>
      </c>
      <c r="AJ1011" s="30">
        <v>252024</v>
      </c>
      <c r="AK1011" s="30">
        <v>0</v>
      </c>
      <c r="AL1011" s="30">
        <v>0</v>
      </c>
      <c r="AM1011" s="30">
        <v>61700</v>
      </c>
      <c r="AN1011" s="30">
        <v>305500</v>
      </c>
      <c r="AO1011" s="30">
        <v>367200</v>
      </c>
      <c r="AP1011" s="30">
        <f>Lookups!$B$58*0.6</f>
        <v>132535.48800000001</v>
      </c>
      <c r="AQ1011" s="30">
        <f>Lookups!$B$58*0.4</f>
        <v>88356.992000000013</v>
      </c>
      <c r="AR1011" s="30">
        <f>Lookups!$B$59*Inventory[[#This Row],[LnAcres]]</f>
        <v>-23255.730391660189</v>
      </c>
      <c r="AS1011" s="30">
        <f>VLOOKUP(Inventory[[#This Row],[Qlty]],Lookups!$A$66:$E$79,2,FALSE)</f>
        <v>37154.252388000001</v>
      </c>
      <c r="AT1011" s="30">
        <f>VLOOKUP(Inventory[[#This Row],[Cnd]],Lookups!$A$80:$E$88,2,FALSE)</f>
        <v>50438.379078999998</v>
      </c>
      <c r="AU1011" s="30">
        <f>Inventory[[#This Row],[EffAge]]*Lookups!$B$65</f>
        <v>-2174.8220000000001</v>
      </c>
      <c r="AV1011" s="30">
        <f>Inventory[[#This Row],[MainFn]]*Lookups!$B$90</f>
        <v>85127.758320000008</v>
      </c>
      <c r="AW1011" s="30">
        <f>Inventory[[#This Row],[UpprFn]]*Lookups!$B$91</f>
        <v>0</v>
      </c>
      <c r="AX1011" s="30">
        <f>Inventory[[#This Row],[Bsmt Area]]*Lookups!$B$95</f>
        <v>0</v>
      </c>
      <c r="AY1011" s="30">
        <f>Inventory[[#This Row],[AttGar]]*Lookups!$B$93</f>
        <v>15108.841268</v>
      </c>
      <c r="AZ1011" s="30">
        <f>ROUND(Inventory[[#This Row],[25Det]],-2)</f>
        <v>0</v>
      </c>
      <c r="BA1011" s="30">
        <f>ROUND(SUM(Inventory[[#This Row],[Mdl Qlty]:[Mdl Garage Area]])+Inventory[[#This Row],[Mdl Res Intercept]],-2)</f>
        <v>318200</v>
      </c>
      <c r="BB1011" s="30">
        <f>ROUND(Inventory[[#This Row],[Mdl Land Intercept]]+Inventory[[#This Row],[Mdl LnAcres]],-2)</f>
        <v>65100</v>
      </c>
      <c r="BC1011" s="30">
        <f>Inventory[[#This Row],[Unadj Res Value]]+Inventory[[#This Row],[Unadj Det Value]]+Inventory[[#This Row],[Unadj Land Value]]</f>
        <v>383300</v>
      </c>
      <c r="BD1011" s="30">
        <f>(Inventory[[#This Row],[Unadj Total Value]]-Inventory[[#This Row],[24Final]])/Inventory[[#This Row],[24Final]]</f>
        <v>4.3845315904139433E-2</v>
      </c>
      <c r="BE1011" s="30">
        <f>VLOOKUP(Inventory[[#This Row],[Nbhd]],Lookups!$M$3:$P$5,4,FALSE)</f>
        <v>0.99970000000000003</v>
      </c>
      <c r="BF1011" s="30">
        <f>VLOOKUP(Inventory[[#This Row],[Qlty]],Lookups!$M$8:$P$22,4,FALSE)</f>
        <v>0.99819999999999998</v>
      </c>
      <c r="BG1011" s="30">
        <f>VLOOKUP(Inventory[[#This Row],[Cnd]],Lookups!$R$8:$U$17,4,FALSE)</f>
        <v>1.0007999999999999</v>
      </c>
      <c r="BH1011" s="30">
        <f>VLOOKUP(Inventory[[#This Row],[LivArea Range]],Lookups!$R$25:$U$43,4,FALSE)</f>
        <v>0.99519999999999997</v>
      </c>
      <c r="BI1011" s="30">
        <f>VLOOKUP(Inventory[[#This Row],[Decade]],Lookups!$M$24:$P$40,4,FALSE)</f>
        <v>0.99560000000000004</v>
      </c>
      <c r="BJ1011" s="30">
        <f>Inventory[[#This Row],[Nbhd Adj]]*0.95</f>
        <v>0.94971499999999998</v>
      </c>
      <c r="BK1011" s="30">
        <f>AVERAGE(Inventory[[#This Row],[Nbhd Adj]],Inventory[[#This Row],[Quality Adj]],Inventory[[#This Row],[Condition Adj]],Inventory[[#This Row],[Living Area Adj]],Inventory[[#This Row],[Decade Adj]])*0.95</f>
        <v>0.94800499999999988</v>
      </c>
      <c r="BL1011" s="30">
        <f>ROUND((SUM(Inventory[[#This Row],[Mdl Qlty]:[Mdl Garage Area]])+Inventory[[#This Row],[Mdl Res Intercept]])*Inventory[[#This Row],[Res Adj ]],-2)</f>
        <v>301600</v>
      </c>
      <c r="BM1011" s="30">
        <f>ROUND(Inventory[[#This Row],[25Det]]*Inventory[[#This Row],[Det/Nbhd Adj]],-2)</f>
        <v>0</v>
      </c>
      <c r="BN1011" s="30">
        <f>Inventory[[#This Row],[Adjusted Res]]+Inventory[[#This Row],[Adj Det ]]</f>
        <v>301600</v>
      </c>
      <c r="BO1011" s="30">
        <f>ROUND((Inventory[[#This Row],[Mdl Land Intercept]]+Inventory[[#This Row],[Mdl LnAcres]])*Inventory[[#This Row],[Det/Nbhd Adj]],-2)</f>
        <v>61800</v>
      </c>
      <c r="BP1011" s="30">
        <f>Inventory[[#This Row],[Adjusted Impr Total]]+Inventory[[#This Row],[Adjusted Land Total]]</f>
        <v>363400</v>
      </c>
      <c r="BQ1011" s="30">
        <f>IFERROR((Inventory[[#This Row],[Adjusted Impr Total]]-Inventory[[#This Row],[24Bldg]])/Inventory[[#This Row],[24Bldg]],0)</f>
        <v>-1.276595744680851E-2</v>
      </c>
      <c r="BR1011" s="43">
        <f>(Inventory[[#This Row],[Adjusted Land Total]]-Inventory[[#This Row],[24Lnd]])/Inventory[[#This Row],[24Lnd]]</f>
        <v>1.6207455429497568E-3</v>
      </c>
      <c r="BS1011" s="43">
        <f>(Inventory[[#This Row],[Adjusted Total]]-Inventory[[#This Row],[24Final]])/Inventory[[#This Row],[24Final]]</f>
        <v>-1.0348583877995643E-2</v>
      </c>
    </row>
    <row r="1012" spans="1:71">
      <c r="A1012" s="30">
        <v>2025</v>
      </c>
      <c r="B1012" s="31" t="s">
        <v>1527</v>
      </c>
      <c r="C1012" s="31">
        <f>LN(Inventory[[#This Row],[Acres]])</f>
        <v>-1.7719568419318752</v>
      </c>
      <c r="D1012" s="30">
        <v>0.17</v>
      </c>
      <c r="E1012" s="30">
        <v>7263</v>
      </c>
      <c r="F1012" s="31" t="s">
        <v>505</v>
      </c>
      <c r="G1012" s="31" t="s">
        <v>155</v>
      </c>
      <c r="H1012" s="31" t="s">
        <v>5</v>
      </c>
      <c r="I1012" s="31" t="s">
        <v>506</v>
      </c>
      <c r="J1012" s="31" t="s">
        <v>507</v>
      </c>
      <c r="K1012" s="31" t="s">
        <v>193</v>
      </c>
      <c r="L1012" s="31" t="s">
        <v>19</v>
      </c>
      <c r="M1012" s="31" t="s">
        <v>20</v>
      </c>
      <c r="N1012" s="31">
        <v>20</v>
      </c>
      <c r="O1012" s="31">
        <f>2024-Inventory[[#This Row],[YrBlt]]</f>
        <v>20</v>
      </c>
      <c r="P1012" s="31">
        <f>2024-Inventory[[#This Row],[EffYr]]</f>
        <v>20</v>
      </c>
      <c r="Q1012" s="30">
        <v>2004</v>
      </c>
      <c r="R1012" s="30">
        <v>2004</v>
      </c>
      <c r="S1012" s="30">
        <v>1436</v>
      </c>
      <c r="T1012" s="32"/>
      <c r="U1012" s="32"/>
      <c r="V1012" s="32"/>
      <c r="W1012" s="32"/>
      <c r="X1012" s="32">
        <f>Inventory[[#This Row],[Bsmt Area]]-Inventory[[#This Row],[FnBsmt]]</f>
        <v>0</v>
      </c>
      <c r="Y1012" s="32">
        <f>Inventory[[#This Row],[MainFn]]+Inventory[[#This Row],[UpprFn]]+Inventory[[#This Row],[AddFn]]+Inventory[[#This Row],[FnBsmt]]</f>
        <v>1436</v>
      </c>
      <c r="Z1012" s="32">
        <v>1500</v>
      </c>
      <c r="AA1012" s="31" t="s">
        <v>56</v>
      </c>
      <c r="AB1012" s="32"/>
      <c r="AC1012" s="30">
        <v>400</v>
      </c>
      <c r="AD1012" s="32"/>
      <c r="AE1012" s="32"/>
      <c r="AF1012" s="32"/>
      <c r="AG1012" s="32"/>
      <c r="AH1012" s="32"/>
      <c r="AI1012" s="30">
        <v>280937</v>
      </c>
      <c r="AJ1012" s="30">
        <v>255653</v>
      </c>
      <c r="AK1012" s="30">
        <v>0</v>
      </c>
      <c r="AL1012" s="30">
        <v>0</v>
      </c>
      <c r="AM1012" s="30">
        <v>61700</v>
      </c>
      <c r="AN1012" s="30">
        <v>288500</v>
      </c>
      <c r="AO1012" s="30">
        <v>350200</v>
      </c>
      <c r="AP1012" s="30">
        <f>Lookups!$B$58*0.6</f>
        <v>132535.48800000001</v>
      </c>
      <c r="AQ1012" s="30">
        <f>Lookups!$B$58*0.4</f>
        <v>88356.992000000013</v>
      </c>
      <c r="AR1012" s="30">
        <f>Lookups!$B$59*Inventory[[#This Row],[LnAcres]]</f>
        <v>-23255.730391660189</v>
      </c>
      <c r="AS1012" s="30">
        <f>VLOOKUP(Inventory[[#This Row],[Qlty]],Lookups!$A$66:$E$79,2,FALSE)</f>
        <v>37154.252388000001</v>
      </c>
      <c r="AT1012" s="30">
        <f>VLOOKUP(Inventory[[#This Row],[Cnd]],Lookups!$A$80:$E$88,2,FALSE)</f>
        <v>30300.329274</v>
      </c>
      <c r="AU1012" s="30">
        <f>Inventory[[#This Row],[EffAge]]*Lookups!$B$65</f>
        <v>-2174.8220000000001</v>
      </c>
      <c r="AV1012" s="30">
        <f>Inventory[[#This Row],[MainFn]]*Lookups!$B$90</f>
        <v>89621.305680000005</v>
      </c>
      <c r="AW1012" s="30">
        <f>Inventory[[#This Row],[UpprFn]]*Lookups!$B$91</f>
        <v>0</v>
      </c>
      <c r="AX1012" s="30">
        <f>Inventory[[#This Row],[Bsmt Area]]*Lookups!$B$95</f>
        <v>0</v>
      </c>
      <c r="AY1012" s="30">
        <f>Inventory[[#This Row],[AttGar]]*Lookups!$B$93</f>
        <v>14120.412400000001</v>
      </c>
      <c r="AZ1012" s="30">
        <f>ROUND(Inventory[[#This Row],[25Det]],-2)</f>
        <v>0</v>
      </c>
      <c r="BA1012" s="30">
        <f>ROUND(SUM(Inventory[[#This Row],[Mdl Qlty]:[Mdl Garage Area]])+Inventory[[#This Row],[Mdl Res Intercept]],-2)</f>
        <v>301600</v>
      </c>
      <c r="BB1012" s="30">
        <f>ROUND(Inventory[[#This Row],[Mdl Land Intercept]]+Inventory[[#This Row],[Mdl LnAcres]],-2)</f>
        <v>65100</v>
      </c>
      <c r="BC1012" s="30">
        <f>Inventory[[#This Row],[Unadj Res Value]]+Inventory[[#This Row],[Unadj Det Value]]+Inventory[[#This Row],[Unadj Land Value]]</f>
        <v>366700</v>
      </c>
      <c r="BD1012" s="30">
        <f>(Inventory[[#This Row],[Unadj Total Value]]-Inventory[[#This Row],[24Final]])/Inventory[[#This Row],[24Final]]</f>
        <v>4.7115933752141632E-2</v>
      </c>
      <c r="BE1012" s="30">
        <f>VLOOKUP(Inventory[[#This Row],[Nbhd]],Lookups!$M$3:$P$5,4,FALSE)</f>
        <v>0.99970000000000003</v>
      </c>
      <c r="BF1012" s="30">
        <f>VLOOKUP(Inventory[[#This Row],[Qlty]],Lookups!$M$8:$P$22,4,FALSE)</f>
        <v>0.99819999999999998</v>
      </c>
      <c r="BG1012" s="30">
        <f>VLOOKUP(Inventory[[#This Row],[Cnd]],Lookups!$R$8:$U$17,4,FALSE)</f>
        <v>0.997</v>
      </c>
      <c r="BH1012" s="30">
        <f>VLOOKUP(Inventory[[#This Row],[LivArea Range]],Lookups!$R$25:$U$43,4,FALSE)</f>
        <v>0.99519999999999997</v>
      </c>
      <c r="BI1012" s="30">
        <f>VLOOKUP(Inventory[[#This Row],[Decade]],Lookups!$M$24:$P$40,4,FALSE)</f>
        <v>0.99560000000000004</v>
      </c>
      <c r="BJ1012" s="30">
        <f>Inventory[[#This Row],[Nbhd Adj]]*0.95</f>
        <v>0.94971499999999998</v>
      </c>
      <c r="BK1012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1012" s="30">
        <f>ROUND((SUM(Inventory[[#This Row],[Mdl Qlty]:[Mdl Garage Area]])+Inventory[[#This Row],[Mdl Res Intercept]])*Inventory[[#This Row],[Res Adj ]],-2)</f>
        <v>285700</v>
      </c>
      <c r="BM1012" s="30">
        <f>ROUND(Inventory[[#This Row],[25Det]]*Inventory[[#This Row],[Det/Nbhd Adj]],-2)</f>
        <v>0</v>
      </c>
      <c r="BN1012" s="30">
        <f>Inventory[[#This Row],[Adjusted Res]]+Inventory[[#This Row],[Adj Det ]]</f>
        <v>285700</v>
      </c>
      <c r="BO1012" s="30">
        <f>ROUND((Inventory[[#This Row],[Mdl Land Intercept]]+Inventory[[#This Row],[Mdl LnAcres]])*Inventory[[#This Row],[Det/Nbhd Adj]],-2)</f>
        <v>61800</v>
      </c>
      <c r="BP1012" s="30">
        <f>Inventory[[#This Row],[Adjusted Impr Total]]+Inventory[[#This Row],[Adjusted Land Total]]</f>
        <v>347500</v>
      </c>
      <c r="BQ1012" s="30">
        <f>IFERROR((Inventory[[#This Row],[Adjusted Impr Total]]-Inventory[[#This Row],[24Bldg]])/Inventory[[#This Row],[24Bldg]],0)</f>
        <v>-9.7053726169844014E-3</v>
      </c>
      <c r="BR1012" s="43">
        <f>(Inventory[[#This Row],[Adjusted Land Total]]-Inventory[[#This Row],[24Lnd]])/Inventory[[#This Row],[24Lnd]]</f>
        <v>1.6207455429497568E-3</v>
      </c>
      <c r="BS1012" s="43">
        <f>(Inventory[[#This Row],[Adjusted Total]]-Inventory[[#This Row],[24Final]])/Inventory[[#This Row],[24Final]]</f>
        <v>-7.7098800685322672E-3</v>
      </c>
    </row>
    <row r="1013" spans="1:71">
      <c r="A1013" s="30">
        <v>2025</v>
      </c>
      <c r="B1013" s="31" t="s">
        <v>1528</v>
      </c>
      <c r="C1013" s="31">
        <f>LN(Inventory[[#This Row],[Acres]])</f>
        <v>-1.7719568419318752</v>
      </c>
      <c r="D1013" s="30">
        <v>0.17</v>
      </c>
      <c r="E1013" s="30">
        <v>7229</v>
      </c>
      <c r="F1013" s="31" t="s">
        <v>505</v>
      </c>
      <c r="G1013" s="31" t="s">
        <v>155</v>
      </c>
      <c r="H1013" s="31" t="s">
        <v>5</v>
      </c>
      <c r="I1013" s="31" t="s">
        <v>506</v>
      </c>
      <c r="J1013" s="31" t="s">
        <v>507</v>
      </c>
      <c r="K1013" s="31" t="s">
        <v>193</v>
      </c>
      <c r="L1013" s="31" t="s">
        <v>19</v>
      </c>
      <c r="M1013" s="31" t="s">
        <v>22</v>
      </c>
      <c r="N1013" s="31">
        <v>20</v>
      </c>
      <c r="O1013" s="31">
        <f>2024-Inventory[[#This Row],[YrBlt]]</f>
        <v>20</v>
      </c>
      <c r="P1013" s="31">
        <f>2024-Inventory[[#This Row],[EffYr]]</f>
        <v>20</v>
      </c>
      <c r="Q1013" s="30">
        <v>2004</v>
      </c>
      <c r="R1013" s="30">
        <v>2004</v>
      </c>
      <c r="S1013" s="30">
        <v>1380</v>
      </c>
      <c r="T1013" s="32"/>
      <c r="U1013" s="32"/>
      <c r="V1013" s="32"/>
      <c r="W1013" s="32"/>
      <c r="X1013" s="32">
        <f>Inventory[[#This Row],[Bsmt Area]]-Inventory[[#This Row],[FnBsmt]]</f>
        <v>0</v>
      </c>
      <c r="Y1013" s="32">
        <f>Inventory[[#This Row],[MainFn]]+Inventory[[#This Row],[UpprFn]]+Inventory[[#This Row],[AddFn]]+Inventory[[#This Row],[FnBsmt]]</f>
        <v>1380</v>
      </c>
      <c r="Z1013" s="32">
        <v>1500</v>
      </c>
      <c r="AA1013" s="31" t="s">
        <v>56</v>
      </c>
      <c r="AB1013" s="32"/>
      <c r="AC1013" s="30">
        <v>428</v>
      </c>
      <c r="AD1013" s="32"/>
      <c r="AE1013" s="32"/>
      <c r="AF1013" s="32"/>
      <c r="AG1013" s="32"/>
      <c r="AH1013" s="32"/>
      <c r="AI1013" s="30">
        <v>275531</v>
      </c>
      <c r="AJ1013" s="30">
        <v>253489</v>
      </c>
      <c r="AK1013" s="30">
        <v>0</v>
      </c>
      <c r="AL1013" s="30">
        <v>0</v>
      </c>
      <c r="AM1013" s="30">
        <v>61700</v>
      </c>
      <c r="AN1013" s="30">
        <v>305100</v>
      </c>
      <c r="AO1013" s="30">
        <v>366800</v>
      </c>
      <c r="AP1013" s="30">
        <f>Lookups!$B$58*0.6</f>
        <v>132535.48800000001</v>
      </c>
      <c r="AQ1013" s="30">
        <f>Lookups!$B$58*0.4</f>
        <v>88356.992000000013</v>
      </c>
      <c r="AR1013" s="30">
        <f>Lookups!$B$59*Inventory[[#This Row],[LnAcres]]</f>
        <v>-23255.730391660189</v>
      </c>
      <c r="AS1013" s="30">
        <f>VLOOKUP(Inventory[[#This Row],[Qlty]],Lookups!$A$66:$E$79,2,FALSE)</f>
        <v>37154.252388000001</v>
      </c>
      <c r="AT1013" s="30">
        <f>VLOOKUP(Inventory[[#This Row],[Cnd]],Lookups!$A$80:$E$88,2,FALSE)</f>
        <v>50438.379078999998</v>
      </c>
      <c r="AU1013" s="30">
        <f>Inventory[[#This Row],[EffAge]]*Lookups!$B$65</f>
        <v>-2174.8220000000001</v>
      </c>
      <c r="AV1013" s="30">
        <f>Inventory[[#This Row],[MainFn]]*Lookups!$B$90</f>
        <v>86126.324399999998</v>
      </c>
      <c r="AW1013" s="30">
        <f>Inventory[[#This Row],[UpprFn]]*Lookups!$B$91</f>
        <v>0</v>
      </c>
      <c r="AX1013" s="30">
        <f>Inventory[[#This Row],[Bsmt Area]]*Lookups!$B$95</f>
        <v>0</v>
      </c>
      <c r="AY1013" s="30">
        <f>Inventory[[#This Row],[AttGar]]*Lookups!$B$93</f>
        <v>15108.841268</v>
      </c>
      <c r="AZ1013" s="30">
        <f>ROUND(Inventory[[#This Row],[25Det]],-2)</f>
        <v>0</v>
      </c>
      <c r="BA1013" s="30">
        <f>ROUND(SUM(Inventory[[#This Row],[Mdl Qlty]:[Mdl Garage Area]])+Inventory[[#This Row],[Mdl Res Intercept]],-2)</f>
        <v>319200</v>
      </c>
      <c r="BB1013" s="30">
        <f>ROUND(Inventory[[#This Row],[Mdl Land Intercept]]+Inventory[[#This Row],[Mdl LnAcres]],-2)</f>
        <v>65100</v>
      </c>
      <c r="BC1013" s="30">
        <f>Inventory[[#This Row],[Unadj Res Value]]+Inventory[[#This Row],[Unadj Det Value]]+Inventory[[#This Row],[Unadj Land Value]]</f>
        <v>384300</v>
      </c>
      <c r="BD1013" s="30">
        <f>(Inventory[[#This Row],[Unadj Total Value]]-Inventory[[#This Row],[24Final]])/Inventory[[#This Row],[24Final]]</f>
        <v>4.7709923664122141E-2</v>
      </c>
      <c r="BE1013" s="30">
        <f>VLOOKUP(Inventory[[#This Row],[Nbhd]],Lookups!$M$3:$P$5,4,FALSE)</f>
        <v>0.99970000000000003</v>
      </c>
      <c r="BF1013" s="30">
        <f>VLOOKUP(Inventory[[#This Row],[Qlty]],Lookups!$M$8:$P$22,4,FALSE)</f>
        <v>0.99819999999999998</v>
      </c>
      <c r="BG1013" s="30">
        <f>VLOOKUP(Inventory[[#This Row],[Cnd]],Lookups!$R$8:$U$17,4,FALSE)</f>
        <v>1.0007999999999999</v>
      </c>
      <c r="BH1013" s="30">
        <f>VLOOKUP(Inventory[[#This Row],[LivArea Range]],Lookups!$R$25:$U$43,4,FALSE)</f>
        <v>0.99519999999999997</v>
      </c>
      <c r="BI1013" s="30">
        <f>VLOOKUP(Inventory[[#This Row],[Decade]],Lookups!$M$24:$P$40,4,FALSE)</f>
        <v>0.99560000000000004</v>
      </c>
      <c r="BJ1013" s="30">
        <f>Inventory[[#This Row],[Nbhd Adj]]*0.95</f>
        <v>0.94971499999999998</v>
      </c>
      <c r="BK1013" s="30">
        <f>AVERAGE(Inventory[[#This Row],[Nbhd Adj]],Inventory[[#This Row],[Quality Adj]],Inventory[[#This Row],[Condition Adj]],Inventory[[#This Row],[Living Area Adj]],Inventory[[#This Row],[Decade Adj]])*0.95</f>
        <v>0.94800499999999988</v>
      </c>
      <c r="BL1013" s="30">
        <f>ROUND((SUM(Inventory[[#This Row],[Mdl Qlty]:[Mdl Garage Area]])+Inventory[[#This Row],[Mdl Res Intercept]])*Inventory[[#This Row],[Res Adj ]],-2)</f>
        <v>302600</v>
      </c>
      <c r="BM1013" s="30">
        <f>ROUND(Inventory[[#This Row],[25Det]]*Inventory[[#This Row],[Det/Nbhd Adj]],-2)</f>
        <v>0</v>
      </c>
      <c r="BN1013" s="30">
        <f>Inventory[[#This Row],[Adjusted Res]]+Inventory[[#This Row],[Adj Det ]]</f>
        <v>302600</v>
      </c>
      <c r="BO1013" s="30">
        <f>ROUND((Inventory[[#This Row],[Mdl Land Intercept]]+Inventory[[#This Row],[Mdl LnAcres]])*Inventory[[#This Row],[Det/Nbhd Adj]],-2)</f>
        <v>61800</v>
      </c>
      <c r="BP1013" s="30">
        <f>Inventory[[#This Row],[Adjusted Impr Total]]+Inventory[[#This Row],[Adjusted Land Total]]</f>
        <v>364400</v>
      </c>
      <c r="BQ1013" s="30">
        <f>IFERROR((Inventory[[#This Row],[Adjusted Impr Total]]-Inventory[[#This Row],[24Bldg]])/Inventory[[#This Row],[24Bldg]],0)</f>
        <v>-8.1940347427073099E-3</v>
      </c>
      <c r="BR1013" s="43">
        <f>(Inventory[[#This Row],[Adjusted Land Total]]-Inventory[[#This Row],[24Lnd]])/Inventory[[#This Row],[24Lnd]]</f>
        <v>1.6207455429497568E-3</v>
      </c>
      <c r="BS1013" s="43">
        <f>(Inventory[[#This Row],[Adjusted Total]]-Inventory[[#This Row],[24Final]])/Inventory[[#This Row],[24Final]]</f>
        <v>-6.5430752453653216E-3</v>
      </c>
    </row>
    <row r="1014" spans="1:71">
      <c r="A1014" s="30">
        <v>2025</v>
      </c>
      <c r="B1014" s="31" t="s">
        <v>1529</v>
      </c>
      <c r="C1014" s="31">
        <f>LN(Inventory[[#This Row],[Acres]])</f>
        <v>-1.7719568419318752</v>
      </c>
      <c r="D1014" s="30">
        <v>0.17</v>
      </c>
      <c r="E1014" s="30">
        <v>7215</v>
      </c>
      <c r="F1014" s="31" t="s">
        <v>505</v>
      </c>
      <c r="G1014" s="31" t="s">
        <v>155</v>
      </c>
      <c r="H1014" s="31" t="s">
        <v>5</v>
      </c>
      <c r="I1014" s="31" t="s">
        <v>506</v>
      </c>
      <c r="J1014" s="31" t="s">
        <v>507</v>
      </c>
      <c r="K1014" s="31" t="s">
        <v>193</v>
      </c>
      <c r="L1014" s="31" t="s">
        <v>19</v>
      </c>
      <c r="M1014" s="31" t="s">
        <v>22</v>
      </c>
      <c r="N1014" s="31">
        <v>20</v>
      </c>
      <c r="O1014" s="31">
        <f>2024-Inventory[[#This Row],[YrBlt]]</f>
        <v>20</v>
      </c>
      <c r="P1014" s="31">
        <f>2024-Inventory[[#This Row],[EffYr]]</f>
        <v>20</v>
      </c>
      <c r="Q1014" s="30">
        <v>2004</v>
      </c>
      <c r="R1014" s="30">
        <v>2004</v>
      </c>
      <c r="S1014" s="30">
        <v>1690</v>
      </c>
      <c r="T1014" s="32"/>
      <c r="U1014" s="32"/>
      <c r="V1014" s="32"/>
      <c r="W1014" s="32"/>
      <c r="X1014" s="32">
        <f>Inventory[[#This Row],[Bsmt Area]]-Inventory[[#This Row],[FnBsmt]]</f>
        <v>0</v>
      </c>
      <c r="Y1014" s="32">
        <f>Inventory[[#This Row],[MainFn]]+Inventory[[#This Row],[UpprFn]]+Inventory[[#This Row],[AddFn]]+Inventory[[#This Row],[FnBsmt]]</f>
        <v>1690</v>
      </c>
      <c r="Z1014" s="32">
        <v>2000</v>
      </c>
      <c r="AA1014" s="31" t="s">
        <v>56</v>
      </c>
      <c r="AB1014" s="32"/>
      <c r="AC1014" s="30">
        <v>466</v>
      </c>
      <c r="AD1014" s="32"/>
      <c r="AE1014" s="32"/>
      <c r="AF1014" s="32"/>
      <c r="AG1014" s="32"/>
      <c r="AH1014" s="32"/>
      <c r="AI1014" s="30">
        <v>330383</v>
      </c>
      <c r="AJ1014" s="30">
        <v>303952</v>
      </c>
      <c r="AK1014" s="30">
        <v>0</v>
      </c>
      <c r="AL1014" s="30">
        <v>0</v>
      </c>
      <c r="AM1014" s="30">
        <v>61700</v>
      </c>
      <c r="AN1014" s="30">
        <v>324900</v>
      </c>
      <c r="AO1014" s="30">
        <v>386600</v>
      </c>
      <c r="AP1014" s="30">
        <f>Lookups!$B$58*0.6</f>
        <v>132535.48800000001</v>
      </c>
      <c r="AQ1014" s="30">
        <f>Lookups!$B$58*0.4</f>
        <v>88356.992000000013</v>
      </c>
      <c r="AR1014" s="30">
        <f>Lookups!$B$59*Inventory[[#This Row],[LnAcres]]</f>
        <v>-23255.730391660189</v>
      </c>
      <c r="AS1014" s="30">
        <f>VLOOKUP(Inventory[[#This Row],[Qlty]],Lookups!$A$66:$E$79,2,FALSE)</f>
        <v>37154.252388000001</v>
      </c>
      <c r="AT1014" s="30">
        <f>VLOOKUP(Inventory[[#This Row],[Cnd]],Lookups!$A$80:$E$88,2,FALSE)</f>
        <v>50438.379078999998</v>
      </c>
      <c r="AU1014" s="30">
        <f>Inventory[[#This Row],[EffAge]]*Lookups!$B$65</f>
        <v>-2174.8220000000001</v>
      </c>
      <c r="AV1014" s="30">
        <f>Inventory[[#This Row],[MainFn]]*Lookups!$B$90</f>
        <v>105473.54220000001</v>
      </c>
      <c r="AW1014" s="30">
        <f>Inventory[[#This Row],[UpprFn]]*Lookups!$B$91</f>
        <v>0</v>
      </c>
      <c r="AX1014" s="30">
        <f>Inventory[[#This Row],[Bsmt Area]]*Lookups!$B$95</f>
        <v>0</v>
      </c>
      <c r="AY1014" s="30">
        <f>Inventory[[#This Row],[AttGar]]*Lookups!$B$93</f>
        <v>16450.280446000001</v>
      </c>
      <c r="AZ1014" s="30">
        <f>ROUND(Inventory[[#This Row],[25Det]],-2)</f>
        <v>0</v>
      </c>
      <c r="BA1014" s="30">
        <f>ROUND(SUM(Inventory[[#This Row],[Mdl Qlty]:[Mdl Garage Area]])+Inventory[[#This Row],[Mdl Res Intercept]],-2)</f>
        <v>339900</v>
      </c>
      <c r="BB1014" s="30">
        <f>ROUND(Inventory[[#This Row],[Mdl Land Intercept]]+Inventory[[#This Row],[Mdl LnAcres]],-2)</f>
        <v>65100</v>
      </c>
      <c r="BC1014" s="30">
        <f>Inventory[[#This Row],[Unadj Res Value]]+Inventory[[#This Row],[Unadj Det Value]]+Inventory[[#This Row],[Unadj Land Value]]</f>
        <v>405000</v>
      </c>
      <c r="BD1014" s="30">
        <f>(Inventory[[#This Row],[Unadj Total Value]]-Inventory[[#This Row],[24Final]])/Inventory[[#This Row],[24Final]]</f>
        <v>4.759441282979824E-2</v>
      </c>
      <c r="BE1014" s="30">
        <f>VLOOKUP(Inventory[[#This Row],[Nbhd]],Lookups!$M$3:$P$5,4,FALSE)</f>
        <v>0.99970000000000003</v>
      </c>
      <c r="BF1014" s="30">
        <f>VLOOKUP(Inventory[[#This Row],[Qlty]],Lookups!$M$8:$P$22,4,FALSE)</f>
        <v>0.99819999999999998</v>
      </c>
      <c r="BG1014" s="30">
        <f>VLOOKUP(Inventory[[#This Row],[Cnd]],Lookups!$R$8:$U$17,4,FALSE)</f>
        <v>1.0007999999999999</v>
      </c>
      <c r="BH1014" s="30">
        <f>VLOOKUP(Inventory[[#This Row],[LivArea Range]],Lookups!$R$25:$U$43,4,FALSE)</f>
        <v>1.0007999999999999</v>
      </c>
      <c r="BI1014" s="30">
        <f>VLOOKUP(Inventory[[#This Row],[Decade]],Lookups!$M$24:$P$40,4,FALSE)</f>
        <v>0.99560000000000004</v>
      </c>
      <c r="BJ1014" s="30">
        <f>Inventory[[#This Row],[Nbhd Adj]]*0.95</f>
        <v>0.94971499999999998</v>
      </c>
      <c r="BK1014" s="30">
        <f>AVERAGE(Inventory[[#This Row],[Nbhd Adj]],Inventory[[#This Row],[Quality Adj]],Inventory[[#This Row],[Condition Adj]],Inventory[[#This Row],[Living Area Adj]],Inventory[[#This Row],[Decade Adj]])*0.95</f>
        <v>0.94906899999999994</v>
      </c>
      <c r="BL1014" s="30">
        <f>ROUND((SUM(Inventory[[#This Row],[Mdl Qlty]:[Mdl Garage Area]])+Inventory[[#This Row],[Mdl Res Intercept]])*Inventory[[#This Row],[Res Adj ]],-2)</f>
        <v>322600</v>
      </c>
      <c r="BM1014" s="30">
        <f>ROUND(Inventory[[#This Row],[25Det]]*Inventory[[#This Row],[Det/Nbhd Adj]],-2)</f>
        <v>0</v>
      </c>
      <c r="BN1014" s="30">
        <f>Inventory[[#This Row],[Adjusted Res]]+Inventory[[#This Row],[Adj Det ]]</f>
        <v>322600</v>
      </c>
      <c r="BO1014" s="30">
        <f>ROUND((Inventory[[#This Row],[Mdl Land Intercept]]+Inventory[[#This Row],[Mdl LnAcres]])*Inventory[[#This Row],[Det/Nbhd Adj]],-2)</f>
        <v>61800</v>
      </c>
      <c r="BP1014" s="30">
        <f>Inventory[[#This Row],[Adjusted Impr Total]]+Inventory[[#This Row],[Adjusted Land Total]]</f>
        <v>384400</v>
      </c>
      <c r="BQ1014" s="30">
        <f>IFERROR((Inventory[[#This Row],[Adjusted Impr Total]]-Inventory[[#This Row],[24Bldg]])/Inventory[[#This Row],[24Bldg]],0)</f>
        <v>-7.0791012619267468E-3</v>
      </c>
      <c r="BR1014" s="43">
        <f>(Inventory[[#This Row],[Adjusted Land Total]]-Inventory[[#This Row],[24Lnd]])/Inventory[[#This Row],[24Lnd]]</f>
        <v>1.6207455429497568E-3</v>
      </c>
      <c r="BS1014" s="43">
        <f>(Inventory[[#This Row],[Adjusted Total]]-Inventory[[#This Row],[24Final]])/Inventory[[#This Row],[24Final]]</f>
        <v>-5.6906363166063113E-3</v>
      </c>
    </row>
    <row r="1015" spans="1:71">
      <c r="A1015" s="30">
        <v>2025</v>
      </c>
      <c r="B1015" s="31" t="s">
        <v>1530</v>
      </c>
      <c r="C1015" s="31">
        <f>LN(Inventory[[#This Row],[Acres]])</f>
        <v>-1.7719568419318752</v>
      </c>
      <c r="D1015" s="30">
        <v>0.17</v>
      </c>
      <c r="E1015" s="30">
        <v>7546</v>
      </c>
      <c r="F1015" s="31" t="s">
        <v>505</v>
      </c>
      <c r="G1015" s="31" t="s">
        <v>155</v>
      </c>
      <c r="H1015" s="31" t="s">
        <v>5</v>
      </c>
      <c r="I1015" s="31" t="s">
        <v>506</v>
      </c>
      <c r="J1015" s="31" t="s">
        <v>507</v>
      </c>
      <c r="K1015" s="31" t="s">
        <v>193</v>
      </c>
      <c r="L1015" s="31" t="s">
        <v>19</v>
      </c>
      <c r="M1015" s="31" t="s">
        <v>22</v>
      </c>
      <c r="N1015" s="31">
        <v>20</v>
      </c>
      <c r="O1015" s="31">
        <f>2024-Inventory[[#This Row],[YrBlt]]</f>
        <v>20</v>
      </c>
      <c r="P1015" s="31">
        <f>2024-Inventory[[#This Row],[EffYr]]</f>
        <v>20</v>
      </c>
      <c r="Q1015" s="30">
        <v>2004</v>
      </c>
      <c r="R1015" s="30">
        <v>2004</v>
      </c>
      <c r="S1015" s="30">
        <v>1690</v>
      </c>
      <c r="T1015" s="32"/>
      <c r="U1015" s="32"/>
      <c r="V1015" s="32"/>
      <c r="W1015" s="32"/>
      <c r="X1015" s="32">
        <f>Inventory[[#This Row],[Bsmt Area]]-Inventory[[#This Row],[FnBsmt]]</f>
        <v>0</v>
      </c>
      <c r="Y1015" s="32">
        <f>Inventory[[#This Row],[MainFn]]+Inventory[[#This Row],[UpprFn]]+Inventory[[#This Row],[AddFn]]+Inventory[[#This Row],[FnBsmt]]</f>
        <v>1690</v>
      </c>
      <c r="Z1015" s="32">
        <v>2000</v>
      </c>
      <c r="AA1015" s="31" t="s">
        <v>56</v>
      </c>
      <c r="AB1015" s="32"/>
      <c r="AC1015" s="30">
        <v>466</v>
      </c>
      <c r="AD1015" s="32"/>
      <c r="AE1015" s="32"/>
      <c r="AF1015" s="32"/>
      <c r="AG1015" s="32"/>
      <c r="AH1015" s="32"/>
      <c r="AI1015" s="30">
        <v>339607</v>
      </c>
      <c r="AJ1015" s="30">
        <v>312438</v>
      </c>
      <c r="AK1015" s="30">
        <v>0</v>
      </c>
      <c r="AL1015" s="30">
        <v>0</v>
      </c>
      <c r="AM1015" s="30">
        <v>61700</v>
      </c>
      <c r="AN1015" s="30">
        <v>324900</v>
      </c>
      <c r="AO1015" s="30">
        <v>386600</v>
      </c>
      <c r="AP1015" s="30">
        <f>Lookups!$B$58*0.6</f>
        <v>132535.48800000001</v>
      </c>
      <c r="AQ1015" s="30">
        <f>Lookups!$B$58*0.4</f>
        <v>88356.992000000013</v>
      </c>
      <c r="AR1015" s="30">
        <f>Lookups!$B$59*Inventory[[#This Row],[LnAcres]]</f>
        <v>-23255.730391660189</v>
      </c>
      <c r="AS1015" s="30">
        <f>VLOOKUP(Inventory[[#This Row],[Qlty]],Lookups!$A$66:$E$79,2,FALSE)</f>
        <v>37154.252388000001</v>
      </c>
      <c r="AT1015" s="30">
        <f>VLOOKUP(Inventory[[#This Row],[Cnd]],Lookups!$A$80:$E$88,2,FALSE)</f>
        <v>50438.379078999998</v>
      </c>
      <c r="AU1015" s="30">
        <f>Inventory[[#This Row],[EffAge]]*Lookups!$B$65</f>
        <v>-2174.8220000000001</v>
      </c>
      <c r="AV1015" s="30">
        <f>Inventory[[#This Row],[MainFn]]*Lookups!$B$90</f>
        <v>105473.54220000001</v>
      </c>
      <c r="AW1015" s="30">
        <f>Inventory[[#This Row],[UpprFn]]*Lookups!$B$91</f>
        <v>0</v>
      </c>
      <c r="AX1015" s="30">
        <f>Inventory[[#This Row],[Bsmt Area]]*Lookups!$B$95</f>
        <v>0</v>
      </c>
      <c r="AY1015" s="30">
        <f>Inventory[[#This Row],[AttGar]]*Lookups!$B$93</f>
        <v>16450.280446000001</v>
      </c>
      <c r="AZ1015" s="30">
        <f>ROUND(Inventory[[#This Row],[25Det]],-2)</f>
        <v>0</v>
      </c>
      <c r="BA1015" s="30">
        <f>ROUND(SUM(Inventory[[#This Row],[Mdl Qlty]:[Mdl Garage Area]])+Inventory[[#This Row],[Mdl Res Intercept]],-2)</f>
        <v>339900</v>
      </c>
      <c r="BB1015" s="30">
        <f>ROUND(Inventory[[#This Row],[Mdl Land Intercept]]+Inventory[[#This Row],[Mdl LnAcres]],-2)</f>
        <v>65100</v>
      </c>
      <c r="BC1015" s="30">
        <f>Inventory[[#This Row],[Unadj Res Value]]+Inventory[[#This Row],[Unadj Det Value]]+Inventory[[#This Row],[Unadj Land Value]]</f>
        <v>405000</v>
      </c>
      <c r="BD1015" s="30">
        <f>(Inventory[[#This Row],[Unadj Total Value]]-Inventory[[#This Row],[24Final]])/Inventory[[#This Row],[24Final]]</f>
        <v>4.759441282979824E-2</v>
      </c>
      <c r="BE1015" s="30">
        <f>VLOOKUP(Inventory[[#This Row],[Nbhd]],Lookups!$M$3:$P$5,4,FALSE)</f>
        <v>0.99970000000000003</v>
      </c>
      <c r="BF1015" s="30">
        <f>VLOOKUP(Inventory[[#This Row],[Qlty]],Lookups!$M$8:$P$22,4,FALSE)</f>
        <v>0.99819999999999998</v>
      </c>
      <c r="BG1015" s="30">
        <f>VLOOKUP(Inventory[[#This Row],[Cnd]],Lookups!$R$8:$U$17,4,FALSE)</f>
        <v>1.0007999999999999</v>
      </c>
      <c r="BH1015" s="30">
        <f>VLOOKUP(Inventory[[#This Row],[LivArea Range]],Lookups!$R$25:$U$43,4,FALSE)</f>
        <v>1.0007999999999999</v>
      </c>
      <c r="BI1015" s="30">
        <f>VLOOKUP(Inventory[[#This Row],[Decade]],Lookups!$M$24:$P$40,4,FALSE)</f>
        <v>0.99560000000000004</v>
      </c>
      <c r="BJ1015" s="30">
        <f>Inventory[[#This Row],[Nbhd Adj]]*0.95</f>
        <v>0.94971499999999998</v>
      </c>
      <c r="BK1015" s="30">
        <f>AVERAGE(Inventory[[#This Row],[Nbhd Adj]],Inventory[[#This Row],[Quality Adj]],Inventory[[#This Row],[Condition Adj]],Inventory[[#This Row],[Living Area Adj]],Inventory[[#This Row],[Decade Adj]])*0.95</f>
        <v>0.94906899999999994</v>
      </c>
      <c r="BL1015" s="30">
        <f>ROUND((SUM(Inventory[[#This Row],[Mdl Qlty]:[Mdl Garage Area]])+Inventory[[#This Row],[Mdl Res Intercept]])*Inventory[[#This Row],[Res Adj ]],-2)</f>
        <v>322600</v>
      </c>
      <c r="BM1015" s="30">
        <f>ROUND(Inventory[[#This Row],[25Det]]*Inventory[[#This Row],[Det/Nbhd Adj]],-2)</f>
        <v>0</v>
      </c>
      <c r="BN1015" s="30">
        <f>Inventory[[#This Row],[Adjusted Res]]+Inventory[[#This Row],[Adj Det ]]</f>
        <v>322600</v>
      </c>
      <c r="BO1015" s="30">
        <f>ROUND((Inventory[[#This Row],[Mdl Land Intercept]]+Inventory[[#This Row],[Mdl LnAcres]])*Inventory[[#This Row],[Det/Nbhd Adj]],-2)</f>
        <v>61800</v>
      </c>
      <c r="BP1015" s="30">
        <f>Inventory[[#This Row],[Adjusted Impr Total]]+Inventory[[#This Row],[Adjusted Land Total]]</f>
        <v>384400</v>
      </c>
      <c r="BQ1015" s="30">
        <f>IFERROR((Inventory[[#This Row],[Adjusted Impr Total]]-Inventory[[#This Row],[24Bldg]])/Inventory[[#This Row],[24Bldg]],0)</f>
        <v>-7.0791012619267468E-3</v>
      </c>
      <c r="BR1015" s="43">
        <f>(Inventory[[#This Row],[Adjusted Land Total]]-Inventory[[#This Row],[24Lnd]])/Inventory[[#This Row],[24Lnd]]</f>
        <v>1.6207455429497568E-3</v>
      </c>
      <c r="BS1015" s="43">
        <f>(Inventory[[#This Row],[Adjusted Total]]-Inventory[[#This Row],[24Final]])/Inventory[[#This Row],[24Final]]</f>
        <v>-5.6906363166063113E-3</v>
      </c>
    </row>
    <row r="1016" spans="1:71">
      <c r="A1016" s="30">
        <v>2025</v>
      </c>
      <c r="B1016" s="31" t="s">
        <v>1531</v>
      </c>
      <c r="C1016" s="31">
        <f>LN(Inventory[[#This Row],[Acres]])</f>
        <v>-1.7719568419318752</v>
      </c>
      <c r="D1016" s="30">
        <v>0.17</v>
      </c>
      <c r="E1016" s="30">
        <v>7201</v>
      </c>
      <c r="F1016" s="31" t="s">
        <v>505</v>
      </c>
      <c r="G1016" s="31" t="s">
        <v>155</v>
      </c>
      <c r="H1016" s="31" t="s">
        <v>5</v>
      </c>
      <c r="I1016" s="31" t="s">
        <v>506</v>
      </c>
      <c r="J1016" s="31" t="s">
        <v>507</v>
      </c>
      <c r="K1016" s="31" t="s">
        <v>157</v>
      </c>
      <c r="L1016" s="31" t="s">
        <v>21</v>
      </c>
      <c r="M1016" s="31" t="s">
        <v>22</v>
      </c>
      <c r="N1016" s="31">
        <v>20</v>
      </c>
      <c r="O1016" s="31">
        <f>2024-Inventory[[#This Row],[YrBlt]]</f>
        <v>20</v>
      </c>
      <c r="P1016" s="31">
        <f>2024-Inventory[[#This Row],[EffYr]]</f>
        <v>20</v>
      </c>
      <c r="Q1016" s="30">
        <v>2004</v>
      </c>
      <c r="R1016" s="30">
        <v>2004</v>
      </c>
      <c r="S1016" s="30">
        <v>1116</v>
      </c>
      <c r="T1016" s="38">
        <v>1116</v>
      </c>
      <c r="U1016" s="32"/>
      <c r="V1016" s="32"/>
      <c r="W1016" s="32"/>
      <c r="X1016" s="32">
        <f>Inventory[[#This Row],[Bsmt Area]]-Inventory[[#This Row],[FnBsmt]]</f>
        <v>0</v>
      </c>
      <c r="Y1016" s="32">
        <f>Inventory[[#This Row],[MainFn]]+Inventory[[#This Row],[UpprFn]]+Inventory[[#This Row],[AddFn]]+Inventory[[#This Row],[FnBsmt]]</f>
        <v>2232</v>
      </c>
      <c r="Z1016" s="32">
        <v>2500</v>
      </c>
      <c r="AA1016" s="31" t="s">
        <v>56</v>
      </c>
      <c r="AB1016" s="32"/>
      <c r="AC1016" s="30">
        <v>440</v>
      </c>
      <c r="AD1016" s="32"/>
      <c r="AE1016" s="32"/>
      <c r="AF1016" s="32"/>
      <c r="AG1016" s="32"/>
      <c r="AH1016" s="32"/>
      <c r="AI1016" s="30">
        <v>439327</v>
      </c>
      <c r="AJ1016" s="30">
        <v>404181</v>
      </c>
      <c r="AK1016" s="30">
        <v>0</v>
      </c>
      <c r="AL1016" s="30">
        <v>0</v>
      </c>
      <c r="AM1016" s="30">
        <v>61700</v>
      </c>
      <c r="AN1016" s="30">
        <v>349100</v>
      </c>
      <c r="AO1016" s="30">
        <v>410800</v>
      </c>
      <c r="AP1016" s="30">
        <f>Lookups!$B$58*0.6</f>
        <v>132535.48800000001</v>
      </c>
      <c r="AQ1016" s="30">
        <f>Lookups!$B$58*0.4</f>
        <v>88356.992000000013</v>
      </c>
      <c r="AR1016" s="30">
        <f>Lookups!$B$59*Inventory[[#This Row],[LnAcres]]</f>
        <v>-23255.730391660189</v>
      </c>
      <c r="AS1016" s="30">
        <f>VLOOKUP(Inventory[[#This Row],[Qlty]],Lookups!$A$66:$E$79,2,FALSE)</f>
        <v>32917.849192000001</v>
      </c>
      <c r="AT1016" s="30">
        <f>VLOOKUP(Inventory[[#This Row],[Cnd]],Lookups!$A$80:$E$88,2,FALSE)</f>
        <v>50438.379078999998</v>
      </c>
      <c r="AU1016" s="30">
        <f>Inventory[[#This Row],[EffAge]]*Lookups!$B$65</f>
        <v>-2174.8220000000001</v>
      </c>
      <c r="AV1016" s="30">
        <f>Inventory[[#This Row],[MainFn]]*Lookups!$B$90</f>
        <v>69649.984080000009</v>
      </c>
      <c r="AW1016" s="30">
        <f>Inventory[[#This Row],[UpprFn]]*Lookups!$B$91</f>
        <v>66491.707427999994</v>
      </c>
      <c r="AX1016" s="30">
        <f>Inventory[[#This Row],[Bsmt Area]]*Lookups!$B$95</f>
        <v>0</v>
      </c>
      <c r="AY1016" s="30">
        <f>Inventory[[#This Row],[AttGar]]*Lookups!$B$93</f>
        <v>15532.453640000002</v>
      </c>
      <c r="AZ1016" s="30">
        <f>ROUND(Inventory[[#This Row],[25Det]],-2)</f>
        <v>0</v>
      </c>
      <c r="BA1016" s="30">
        <f>ROUND(SUM(Inventory[[#This Row],[Mdl Qlty]:[Mdl Garage Area]])+Inventory[[#This Row],[Mdl Res Intercept]],-2)</f>
        <v>365400</v>
      </c>
      <c r="BB1016" s="30">
        <f>ROUND(Inventory[[#This Row],[Mdl Land Intercept]]+Inventory[[#This Row],[Mdl LnAcres]],-2)</f>
        <v>65100</v>
      </c>
      <c r="BC1016" s="30">
        <f>Inventory[[#This Row],[Unadj Res Value]]+Inventory[[#This Row],[Unadj Det Value]]+Inventory[[#This Row],[Unadj Land Value]]</f>
        <v>430500</v>
      </c>
      <c r="BD1016" s="30">
        <f>(Inventory[[#This Row],[Unadj Total Value]]-Inventory[[#This Row],[24Final]])/Inventory[[#This Row],[24Final]]</f>
        <v>4.7955209347614408E-2</v>
      </c>
      <c r="BE1016" s="30">
        <f>VLOOKUP(Inventory[[#This Row],[Nbhd]],Lookups!$M$3:$P$5,4,FALSE)</f>
        <v>0.99970000000000003</v>
      </c>
      <c r="BF1016" s="30">
        <f>VLOOKUP(Inventory[[#This Row],[Qlty]],Lookups!$M$8:$P$22,4,FALSE)</f>
        <v>1.0019</v>
      </c>
      <c r="BG1016" s="30">
        <f>VLOOKUP(Inventory[[#This Row],[Cnd]],Lookups!$R$8:$U$17,4,FALSE)</f>
        <v>1.0007999999999999</v>
      </c>
      <c r="BH1016" s="30">
        <f>VLOOKUP(Inventory[[#This Row],[LivArea Range]],Lookups!$R$25:$U$43,4,FALSE)</f>
        <v>1.0008999999999999</v>
      </c>
      <c r="BI1016" s="30">
        <f>VLOOKUP(Inventory[[#This Row],[Decade]],Lookups!$M$24:$P$40,4,FALSE)</f>
        <v>0.99560000000000004</v>
      </c>
      <c r="BJ1016" s="30">
        <f>Inventory[[#This Row],[Nbhd Adj]]*0.95</f>
        <v>0.94971499999999998</v>
      </c>
      <c r="BK1016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1016" s="30">
        <f>ROUND((SUM(Inventory[[#This Row],[Mdl Qlty]:[Mdl Garage Area]])+Inventory[[#This Row],[Mdl Res Intercept]])*Inventory[[#This Row],[Res Adj ]],-2)</f>
        <v>347000</v>
      </c>
      <c r="BM1016" s="30">
        <f>ROUND(Inventory[[#This Row],[25Det]]*Inventory[[#This Row],[Det/Nbhd Adj]],-2)</f>
        <v>0</v>
      </c>
      <c r="BN1016" s="30">
        <f>Inventory[[#This Row],[Adjusted Res]]+Inventory[[#This Row],[Adj Det ]]</f>
        <v>347000</v>
      </c>
      <c r="BO1016" s="30">
        <f>ROUND((Inventory[[#This Row],[Mdl Land Intercept]]+Inventory[[#This Row],[Mdl LnAcres]])*Inventory[[#This Row],[Det/Nbhd Adj]],-2)</f>
        <v>61800</v>
      </c>
      <c r="BP1016" s="30">
        <f>Inventory[[#This Row],[Adjusted Impr Total]]+Inventory[[#This Row],[Adjusted Land Total]]</f>
        <v>408800</v>
      </c>
      <c r="BQ1016" s="30">
        <f>IFERROR((Inventory[[#This Row],[Adjusted Impr Total]]-Inventory[[#This Row],[24Bldg]])/Inventory[[#This Row],[24Bldg]],0)</f>
        <v>-6.0154683471784591E-3</v>
      </c>
      <c r="BR1016" s="43">
        <f>(Inventory[[#This Row],[Adjusted Land Total]]-Inventory[[#This Row],[24Lnd]])/Inventory[[#This Row],[24Lnd]]</f>
        <v>1.6207455429497568E-3</v>
      </c>
      <c r="BS1016" s="43">
        <f>(Inventory[[#This Row],[Adjusted Total]]-Inventory[[#This Row],[24Final]])/Inventory[[#This Row],[24Final]]</f>
        <v>-4.8685491723466411E-3</v>
      </c>
    </row>
    <row r="1017" spans="1:71">
      <c r="A1017" s="30">
        <v>2025</v>
      </c>
      <c r="B1017" s="31" t="s">
        <v>1532</v>
      </c>
      <c r="C1017" s="31">
        <f>LN(Inventory[[#This Row],[Acres]])</f>
        <v>-1.7719568419318752</v>
      </c>
      <c r="D1017" s="30">
        <v>0.17</v>
      </c>
      <c r="E1017" s="30">
        <v>7215</v>
      </c>
      <c r="F1017" s="31" t="s">
        <v>505</v>
      </c>
      <c r="G1017" s="31" t="s">
        <v>155</v>
      </c>
      <c r="H1017" s="31" t="s">
        <v>5</v>
      </c>
      <c r="I1017" s="31" t="s">
        <v>506</v>
      </c>
      <c r="J1017" s="31" t="s">
        <v>507</v>
      </c>
      <c r="K1017" s="31" t="s">
        <v>157</v>
      </c>
      <c r="L1017" s="31" t="s">
        <v>21</v>
      </c>
      <c r="M1017" s="31" t="s">
        <v>22</v>
      </c>
      <c r="N1017" s="31">
        <v>20</v>
      </c>
      <c r="O1017" s="31">
        <f>2024-Inventory[[#This Row],[YrBlt]]</f>
        <v>20</v>
      </c>
      <c r="P1017" s="31">
        <f>2024-Inventory[[#This Row],[EffYr]]</f>
        <v>20</v>
      </c>
      <c r="Q1017" s="30">
        <v>2004</v>
      </c>
      <c r="R1017" s="30">
        <v>2004</v>
      </c>
      <c r="S1017" s="30">
        <v>1116</v>
      </c>
      <c r="T1017" s="30">
        <v>1116</v>
      </c>
      <c r="U1017" s="32"/>
      <c r="V1017" s="32"/>
      <c r="W1017" s="32"/>
      <c r="X1017" s="32">
        <f>Inventory[[#This Row],[Bsmt Area]]-Inventory[[#This Row],[FnBsmt]]</f>
        <v>0</v>
      </c>
      <c r="Y1017" s="32">
        <f>Inventory[[#This Row],[MainFn]]+Inventory[[#This Row],[UpprFn]]+Inventory[[#This Row],[AddFn]]+Inventory[[#This Row],[FnBsmt]]</f>
        <v>2232</v>
      </c>
      <c r="Z1017" s="32">
        <v>2500</v>
      </c>
      <c r="AA1017" s="31" t="s">
        <v>56</v>
      </c>
      <c r="AB1017" s="32"/>
      <c r="AC1017" s="38">
        <v>440</v>
      </c>
      <c r="AD1017" s="37"/>
      <c r="AE1017" s="32"/>
      <c r="AF1017" s="32"/>
      <c r="AG1017" s="32"/>
      <c r="AH1017" s="32"/>
      <c r="AI1017" s="30">
        <v>439327</v>
      </c>
      <c r="AJ1017" s="30">
        <v>404181</v>
      </c>
      <c r="AK1017" s="30">
        <v>0</v>
      </c>
      <c r="AL1017" s="30">
        <v>0</v>
      </c>
      <c r="AM1017" s="30">
        <v>61700</v>
      </c>
      <c r="AN1017" s="30">
        <v>349100</v>
      </c>
      <c r="AO1017" s="30">
        <v>410800</v>
      </c>
      <c r="AP1017" s="30">
        <f>Lookups!$B$58*0.6</f>
        <v>132535.48800000001</v>
      </c>
      <c r="AQ1017" s="30">
        <f>Lookups!$B$58*0.4</f>
        <v>88356.992000000013</v>
      </c>
      <c r="AR1017" s="30">
        <f>Lookups!$B$59*Inventory[[#This Row],[LnAcres]]</f>
        <v>-23255.730391660189</v>
      </c>
      <c r="AS1017" s="30">
        <f>VLOOKUP(Inventory[[#This Row],[Qlty]],Lookups!$A$66:$E$79,2,FALSE)</f>
        <v>32917.849192000001</v>
      </c>
      <c r="AT1017" s="30">
        <f>VLOOKUP(Inventory[[#This Row],[Cnd]],Lookups!$A$80:$E$88,2,FALSE)</f>
        <v>50438.379078999998</v>
      </c>
      <c r="AU1017" s="30">
        <f>Inventory[[#This Row],[EffAge]]*Lookups!$B$65</f>
        <v>-2174.8220000000001</v>
      </c>
      <c r="AV1017" s="30">
        <f>Inventory[[#This Row],[MainFn]]*Lookups!$B$90</f>
        <v>69649.984080000009</v>
      </c>
      <c r="AW1017" s="30">
        <f>Inventory[[#This Row],[UpprFn]]*Lookups!$B$91</f>
        <v>66491.707427999994</v>
      </c>
      <c r="AX1017" s="30">
        <f>Inventory[[#This Row],[Bsmt Area]]*Lookups!$B$95</f>
        <v>0</v>
      </c>
      <c r="AY1017" s="30">
        <f>Inventory[[#This Row],[AttGar]]*Lookups!$B$93</f>
        <v>15532.453640000002</v>
      </c>
      <c r="AZ1017" s="30">
        <f>ROUND(Inventory[[#This Row],[25Det]],-2)</f>
        <v>0</v>
      </c>
      <c r="BA1017" s="30">
        <f>ROUND(SUM(Inventory[[#This Row],[Mdl Qlty]:[Mdl Garage Area]])+Inventory[[#This Row],[Mdl Res Intercept]],-2)</f>
        <v>365400</v>
      </c>
      <c r="BB1017" s="30">
        <f>ROUND(Inventory[[#This Row],[Mdl Land Intercept]]+Inventory[[#This Row],[Mdl LnAcres]],-2)</f>
        <v>65100</v>
      </c>
      <c r="BC1017" s="30">
        <f>Inventory[[#This Row],[Unadj Res Value]]+Inventory[[#This Row],[Unadj Det Value]]+Inventory[[#This Row],[Unadj Land Value]]</f>
        <v>430500</v>
      </c>
      <c r="BD1017" s="30">
        <f>(Inventory[[#This Row],[Unadj Total Value]]-Inventory[[#This Row],[24Final]])/Inventory[[#This Row],[24Final]]</f>
        <v>4.7955209347614408E-2</v>
      </c>
      <c r="BE1017" s="30">
        <f>VLOOKUP(Inventory[[#This Row],[Nbhd]],Lookups!$M$3:$P$5,4,FALSE)</f>
        <v>0.99970000000000003</v>
      </c>
      <c r="BF1017" s="30">
        <f>VLOOKUP(Inventory[[#This Row],[Qlty]],Lookups!$M$8:$P$22,4,FALSE)</f>
        <v>1.0019</v>
      </c>
      <c r="BG1017" s="30">
        <f>VLOOKUP(Inventory[[#This Row],[Cnd]],Lookups!$R$8:$U$17,4,FALSE)</f>
        <v>1.0007999999999999</v>
      </c>
      <c r="BH1017" s="30">
        <f>VLOOKUP(Inventory[[#This Row],[LivArea Range]],Lookups!$R$25:$U$43,4,FALSE)</f>
        <v>1.0008999999999999</v>
      </c>
      <c r="BI1017" s="30">
        <f>VLOOKUP(Inventory[[#This Row],[Decade]],Lookups!$M$24:$P$40,4,FALSE)</f>
        <v>0.99560000000000004</v>
      </c>
      <c r="BJ1017" s="30">
        <f>Inventory[[#This Row],[Nbhd Adj]]*0.95</f>
        <v>0.94971499999999998</v>
      </c>
      <c r="BK1017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1017" s="30">
        <f>ROUND((SUM(Inventory[[#This Row],[Mdl Qlty]:[Mdl Garage Area]])+Inventory[[#This Row],[Mdl Res Intercept]])*Inventory[[#This Row],[Res Adj ]],-2)</f>
        <v>347000</v>
      </c>
      <c r="BM1017" s="30">
        <f>ROUND(Inventory[[#This Row],[25Det]]*Inventory[[#This Row],[Det/Nbhd Adj]],-2)</f>
        <v>0</v>
      </c>
      <c r="BN1017" s="30">
        <f>Inventory[[#This Row],[Adjusted Res]]+Inventory[[#This Row],[Adj Det ]]</f>
        <v>347000</v>
      </c>
      <c r="BO1017" s="30">
        <f>ROUND((Inventory[[#This Row],[Mdl Land Intercept]]+Inventory[[#This Row],[Mdl LnAcres]])*Inventory[[#This Row],[Det/Nbhd Adj]],-2)</f>
        <v>61800</v>
      </c>
      <c r="BP1017" s="30">
        <f>Inventory[[#This Row],[Adjusted Impr Total]]+Inventory[[#This Row],[Adjusted Land Total]]</f>
        <v>408800</v>
      </c>
      <c r="BQ1017" s="30">
        <f>IFERROR((Inventory[[#This Row],[Adjusted Impr Total]]-Inventory[[#This Row],[24Bldg]])/Inventory[[#This Row],[24Bldg]],0)</f>
        <v>-6.0154683471784591E-3</v>
      </c>
      <c r="BR1017" s="43">
        <f>(Inventory[[#This Row],[Adjusted Land Total]]-Inventory[[#This Row],[24Lnd]])/Inventory[[#This Row],[24Lnd]]</f>
        <v>1.6207455429497568E-3</v>
      </c>
      <c r="BS1017" s="43">
        <f>(Inventory[[#This Row],[Adjusted Total]]-Inventory[[#This Row],[24Final]])/Inventory[[#This Row],[24Final]]</f>
        <v>-4.8685491723466411E-3</v>
      </c>
    </row>
    <row r="1018" spans="1:71">
      <c r="A1018" s="30">
        <v>2025</v>
      </c>
      <c r="B1018" s="31" t="s">
        <v>1533</v>
      </c>
      <c r="C1018" s="31">
        <f>LN(Inventory[[#This Row],[Acres]])</f>
        <v>-1.7719568419318752</v>
      </c>
      <c r="D1018" s="30">
        <v>0.17</v>
      </c>
      <c r="E1018" s="30">
        <v>7534</v>
      </c>
      <c r="F1018" s="31" t="s">
        <v>505</v>
      </c>
      <c r="G1018" s="31" t="s">
        <v>155</v>
      </c>
      <c r="H1018" s="31" t="s">
        <v>5</v>
      </c>
      <c r="I1018" s="31" t="s">
        <v>506</v>
      </c>
      <c r="J1018" s="31" t="s">
        <v>507</v>
      </c>
      <c r="K1018" s="31" t="s">
        <v>157</v>
      </c>
      <c r="L1018" s="31" t="s">
        <v>21</v>
      </c>
      <c r="M1018" s="31" t="s">
        <v>22</v>
      </c>
      <c r="N1018" s="31">
        <v>20</v>
      </c>
      <c r="O1018" s="31">
        <f>2024-Inventory[[#This Row],[YrBlt]]</f>
        <v>20</v>
      </c>
      <c r="P1018" s="31">
        <f>2024-Inventory[[#This Row],[EffYr]]</f>
        <v>20</v>
      </c>
      <c r="Q1018" s="30">
        <v>2004</v>
      </c>
      <c r="R1018" s="30">
        <v>2004</v>
      </c>
      <c r="S1018" s="30">
        <v>1116</v>
      </c>
      <c r="T1018" s="38">
        <v>1116</v>
      </c>
      <c r="U1018" s="32"/>
      <c r="V1018" s="32"/>
      <c r="W1018" s="32"/>
      <c r="X1018" s="32">
        <f>Inventory[[#This Row],[Bsmt Area]]-Inventory[[#This Row],[FnBsmt]]</f>
        <v>0</v>
      </c>
      <c r="Y1018" s="32">
        <f>Inventory[[#This Row],[MainFn]]+Inventory[[#This Row],[UpprFn]]+Inventory[[#This Row],[AddFn]]+Inventory[[#This Row],[FnBsmt]]</f>
        <v>2232</v>
      </c>
      <c r="Z1018" s="32">
        <v>2500</v>
      </c>
      <c r="AA1018" s="31" t="s">
        <v>56</v>
      </c>
      <c r="AB1018" s="32"/>
      <c r="AC1018" s="30">
        <v>440</v>
      </c>
      <c r="AD1018" s="32"/>
      <c r="AE1018" s="32"/>
      <c r="AF1018" s="32"/>
      <c r="AG1018" s="32"/>
      <c r="AH1018" s="32"/>
      <c r="AI1018" s="30">
        <v>439327</v>
      </c>
      <c r="AJ1018" s="30">
        <v>404181</v>
      </c>
      <c r="AK1018" s="30">
        <v>0</v>
      </c>
      <c r="AL1018" s="30">
        <v>0</v>
      </c>
      <c r="AM1018" s="30">
        <v>61700</v>
      </c>
      <c r="AN1018" s="30">
        <v>349100</v>
      </c>
      <c r="AO1018" s="30">
        <v>410800</v>
      </c>
      <c r="AP1018" s="30">
        <f>Lookups!$B$58*0.6</f>
        <v>132535.48800000001</v>
      </c>
      <c r="AQ1018" s="30">
        <f>Lookups!$B$58*0.4</f>
        <v>88356.992000000013</v>
      </c>
      <c r="AR1018" s="30">
        <f>Lookups!$B$59*Inventory[[#This Row],[LnAcres]]</f>
        <v>-23255.730391660189</v>
      </c>
      <c r="AS1018" s="30">
        <f>VLOOKUP(Inventory[[#This Row],[Qlty]],Lookups!$A$66:$E$79,2,FALSE)</f>
        <v>32917.849192000001</v>
      </c>
      <c r="AT1018" s="30">
        <f>VLOOKUP(Inventory[[#This Row],[Cnd]],Lookups!$A$80:$E$88,2,FALSE)</f>
        <v>50438.379078999998</v>
      </c>
      <c r="AU1018" s="30">
        <f>Inventory[[#This Row],[EffAge]]*Lookups!$B$65</f>
        <v>-2174.8220000000001</v>
      </c>
      <c r="AV1018" s="30">
        <f>Inventory[[#This Row],[MainFn]]*Lookups!$B$90</f>
        <v>69649.984080000009</v>
      </c>
      <c r="AW1018" s="30">
        <f>Inventory[[#This Row],[UpprFn]]*Lookups!$B$91</f>
        <v>66491.707427999994</v>
      </c>
      <c r="AX1018" s="30">
        <f>Inventory[[#This Row],[Bsmt Area]]*Lookups!$B$95</f>
        <v>0</v>
      </c>
      <c r="AY1018" s="30">
        <f>Inventory[[#This Row],[AttGar]]*Lookups!$B$93</f>
        <v>15532.453640000002</v>
      </c>
      <c r="AZ1018" s="30">
        <f>ROUND(Inventory[[#This Row],[25Det]],-2)</f>
        <v>0</v>
      </c>
      <c r="BA1018" s="30">
        <f>ROUND(SUM(Inventory[[#This Row],[Mdl Qlty]:[Mdl Garage Area]])+Inventory[[#This Row],[Mdl Res Intercept]],-2)</f>
        <v>365400</v>
      </c>
      <c r="BB1018" s="30">
        <f>ROUND(Inventory[[#This Row],[Mdl Land Intercept]]+Inventory[[#This Row],[Mdl LnAcres]],-2)</f>
        <v>65100</v>
      </c>
      <c r="BC1018" s="30">
        <f>Inventory[[#This Row],[Unadj Res Value]]+Inventory[[#This Row],[Unadj Det Value]]+Inventory[[#This Row],[Unadj Land Value]]</f>
        <v>430500</v>
      </c>
      <c r="BD1018" s="30">
        <f>(Inventory[[#This Row],[Unadj Total Value]]-Inventory[[#This Row],[24Final]])/Inventory[[#This Row],[24Final]]</f>
        <v>4.7955209347614408E-2</v>
      </c>
      <c r="BE1018" s="30">
        <f>VLOOKUP(Inventory[[#This Row],[Nbhd]],Lookups!$M$3:$P$5,4,FALSE)</f>
        <v>0.99970000000000003</v>
      </c>
      <c r="BF1018" s="30">
        <f>VLOOKUP(Inventory[[#This Row],[Qlty]],Lookups!$M$8:$P$22,4,FALSE)</f>
        <v>1.0019</v>
      </c>
      <c r="BG1018" s="30">
        <f>VLOOKUP(Inventory[[#This Row],[Cnd]],Lookups!$R$8:$U$17,4,FALSE)</f>
        <v>1.0007999999999999</v>
      </c>
      <c r="BH1018" s="30">
        <f>VLOOKUP(Inventory[[#This Row],[LivArea Range]],Lookups!$R$25:$U$43,4,FALSE)</f>
        <v>1.0008999999999999</v>
      </c>
      <c r="BI1018" s="30">
        <f>VLOOKUP(Inventory[[#This Row],[Decade]],Lookups!$M$24:$P$40,4,FALSE)</f>
        <v>0.99560000000000004</v>
      </c>
      <c r="BJ1018" s="30">
        <f>Inventory[[#This Row],[Nbhd Adj]]*0.95</f>
        <v>0.94971499999999998</v>
      </c>
      <c r="BK1018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1018" s="30">
        <f>ROUND((SUM(Inventory[[#This Row],[Mdl Qlty]:[Mdl Garage Area]])+Inventory[[#This Row],[Mdl Res Intercept]])*Inventory[[#This Row],[Res Adj ]],-2)</f>
        <v>347000</v>
      </c>
      <c r="BM1018" s="30">
        <f>ROUND(Inventory[[#This Row],[25Det]]*Inventory[[#This Row],[Det/Nbhd Adj]],-2)</f>
        <v>0</v>
      </c>
      <c r="BN1018" s="30">
        <f>Inventory[[#This Row],[Adjusted Res]]+Inventory[[#This Row],[Adj Det ]]</f>
        <v>347000</v>
      </c>
      <c r="BO1018" s="30">
        <f>ROUND((Inventory[[#This Row],[Mdl Land Intercept]]+Inventory[[#This Row],[Mdl LnAcres]])*Inventory[[#This Row],[Det/Nbhd Adj]],-2)</f>
        <v>61800</v>
      </c>
      <c r="BP1018" s="30">
        <f>Inventory[[#This Row],[Adjusted Impr Total]]+Inventory[[#This Row],[Adjusted Land Total]]</f>
        <v>408800</v>
      </c>
      <c r="BQ1018" s="30">
        <f>IFERROR((Inventory[[#This Row],[Adjusted Impr Total]]-Inventory[[#This Row],[24Bldg]])/Inventory[[#This Row],[24Bldg]],0)</f>
        <v>-6.0154683471784591E-3</v>
      </c>
      <c r="BR1018" s="43">
        <f>(Inventory[[#This Row],[Adjusted Land Total]]-Inventory[[#This Row],[24Lnd]])/Inventory[[#This Row],[24Lnd]]</f>
        <v>1.6207455429497568E-3</v>
      </c>
      <c r="BS1018" s="43">
        <f>(Inventory[[#This Row],[Adjusted Total]]-Inventory[[#This Row],[24Final]])/Inventory[[#This Row],[24Final]]</f>
        <v>-4.8685491723466411E-3</v>
      </c>
    </row>
    <row r="1019" spans="1:71">
      <c r="A1019" s="30">
        <v>2025</v>
      </c>
      <c r="B1019" s="31" t="s">
        <v>1534</v>
      </c>
      <c r="C1019" s="31">
        <f>LN(Inventory[[#This Row],[Acres]])</f>
        <v>-1.7719568419318752</v>
      </c>
      <c r="D1019" s="30">
        <v>0.17</v>
      </c>
      <c r="E1019" s="30">
        <v>7204</v>
      </c>
      <c r="F1019" s="31" t="s">
        <v>505</v>
      </c>
      <c r="G1019" s="31" t="s">
        <v>155</v>
      </c>
      <c r="H1019" s="31" t="s">
        <v>5</v>
      </c>
      <c r="I1019" s="31" t="s">
        <v>506</v>
      </c>
      <c r="J1019" s="31" t="s">
        <v>507</v>
      </c>
      <c r="K1019" s="31" t="s">
        <v>193</v>
      </c>
      <c r="L1019" s="31" t="s">
        <v>21</v>
      </c>
      <c r="M1019" s="31" t="s">
        <v>22</v>
      </c>
      <c r="N1019" s="31">
        <v>20</v>
      </c>
      <c r="O1019" s="31">
        <f>2024-Inventory[[#This Row],[YrBlt]]</f>
        <v>20</v>
      </c>
      <c r="P1019" s="31">
        <f>2024-Inventory[[#This Row],[EffYr]]</f>
        <v>20</v>
      </c>
      <c r="Q1019" s="30">
        <v>2004</v>
      </c>
      <c r="R1019" s="30">
        <v>2004</v>
      </c>
      <c r="S1019" s="30">
        <v>2154</v>
      </c>
      <c r="T1019" s="37"/>
      <c r="U1019" s="32"/>
      <c r="V1019" s="32"/>
      <c r="W1019" s="32"/>
      <c r="X1019" s="32">
        <f>Inventory[[#This Row],[Bsmt Area]]-Inventory[[#This Row],[FnBsmt]]</f>
        <v>0</v>
      </c>
      <c r="Y1019" s="32">
        <f>Inventory[[#This Row],[MainFn]]+Inventory[[#This Row],[UpprFn]]+Inventory[[#This Row],[AddFn]]+Inventory[[#This Row],[FnBsmt]]</f>
        <v>2154</v>
      </c>
      <c r="Z1019" s="32">
        <v>2500</v>
      </c>
      <c r="AA1019" s="31" t="s">
        <v>56</v>
      </c>
      <c r="AB1019" s="38">
        <v>1</v>
      </c>
      <c r="AC1019" s="30">
        <v>730</v>
      </c>
      <c r="AD1019" s="37"/>
      <c r="AE1019" s="32"/>
      <c r="AF1019" s="32"/>
      <c r="AG1019" s="32"/>
      <c r="AH1019" s="32"/>
      <c r="AI1019" s="30">
        <v>457245</v>
      </c>
      <c r="AJ1019" s="30">
        <v>420665</v>
      </c>
      <c r="AK1019" s="30">
        <v>0</v>
      </c>
      <c r="AL1019" s="30">
        <v>0</v>
      </c>
      <c r="AM1019" s="30">
        <v>61700</v>
      </c>
      <c r="AN1019" s="30">
        <v>344500</v>
      </c>
      <c r="AO1019" s="30">
        <v>406200</v>
      </c>
      <c r="AP1019" s="30">
        <f>Lookups!$B$58*0.6</f>
        <v>132535.48800000001</v>
      </c>
      <c r="AQ1019" s="30">
        <f>Lookups!$B$58*0.4</f>
        <v>88356.992000000013</v>
      </c>
      <c r="AR1019" s="30">
        <f>Lookups!$B$59*Inventory[[#This Row],[LnAcres]]</f>
        <v>-23255.730391660189</v>
      </c>
      <c r="AS1019" s="30">
        <f>VLOOKUP(Inventory[[#This Row],[Qlty]],Lookups!$A$66:$E$79,2,FALSE)</f>
        <v>32917.849192000001</v>
      </c>
      <c r="AT1019" s="30">
        <f>VLOOKUP(Inventory[[#This Row],[Cnd]],Lookups!$A$80:$E$88,2,FALSE)</f>
        <v>50438.379078999998</v>
      </c>
      <c r="AU1019" s="30">
        <f>Inventory[[#This Row],[EffAge]]*Lookups!$B$65</f>
        <v>-2174.8220000000001</v>
      </c>
      <c r="AV1019" s="30">
        <f>Inventory[[#This Row],[MainFn]]*Lookups!$B$90</f>
        <v>134431.95852000001</v>
      </c>
      <c r="AW1019" s="30">
        <f>Inventory[[#This Row],[UpprFn]]*Lookups!$B$91</f>
        <v>0</v>
      </c>
      <c r="AX1019" s="30">
        <f>Inventory[[#This Row],[Bsmt Area]]*Lookups!$B$95</f>
        <v>0</v>
      </c>
      <c r="AY1019" s="30">
        <f>Inventory[[#This Row],[AttGar]]*Lookups!$B$93</f>
        <v>25769.752630000003</v>
      </c>
      <c r="AZ1019" s="30">
        <f>ROUND(Inventory[[#This Row],[25Det]],-2)</f>
        <v>0</v>
      </c>
      <c r="BA1019" s="30">
        <f>ROUND(SUM(Inventory[[#This Row],[Mdl Qlty]:[Mdl Garage Area]])+Inventory[[#This Row],[Mdl Res Intercept]],-2)</f>
        <v>373900</v>
      </c>
      <c r="BB1019" s="30">
        <f>ROUND(Inventory[[#This Row],[Mdl Land Intercept]]+Inventory[[#This Row],[Mdl LnAcres]],-2)</f>
        <v>65100</v>
      </c>
      <c r="BC1019" s="30">
        <f>Inventory[[#This Row],[Unadj Res Value]]+Inventory[[#This Row],[Unadj Det Value]]+Inventory[[#This Row],[Unadj Land Value]]</f>
        <v>439000</v>
      </c>
      <c r="BD1019" s="30">
        <f>(Inventory[[#This Row],[Unadj Total Value]]-Inventory[[#This Row],[24Final]])/Inventory[[#This Row],[24Final]]</f>
        <v>8.0748399803052678E-2</v>
      </c>
      <c r="BE1019" s="30">
        <f>VLOOKUP(Inventory[[#This Row],[Nbhd]],Lookups!$M$3:$P$5,4,FALSE)</f>
        <v>0.99970000000000003</v>
      </c>
      <c r="BF1019" s="30">
        <f>VLOOKUP(Inventory[[#This Row],[Qlty]],Lookups!$M$8:$P$22,4,FALSE)</f>
        <v>1.0019</v>
      </c>
      <c r="BG1019" s="30">
        <f>VLOOKUP(Inventory[[#This Row],[Cnd]],Lookups!$R$8:$U$17,4,FALSE)</f>
        <v>1.0007999999999999</v>
      </c>
      <c r="BH1019" s="30">
        <f>VLOOKUP(Inventory[[#This Row],[LivArea Range]],Lookups!$R$25:$U$43,4,FALSE)</f>
        <v>1.0008999999999999</v>
      </c>
      <c r="BI1019" s="30">
        <f>VLOOKUP(Inventory[[#This Row],[Decade]],Lookups!$M$24:$P$40,4,FALSE)</f>
        <v>0.99560000000000004</v>
      </c>
      <c r="BJ1019" s="30">
        <f>Inventory[[#This Row],[Nbhd Adj]]*0.95</f>
        <v>0.94971499999999998</v>
      </c>
      <c r="BK1019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1019" s="30">
        <f>ROUND((SUM(Inventory[[#This Row],[Mdl Qlty]:[Mdl Garage Area]])+Inventory[[#This Row],[Mdl Res Intercept]])*Inventory[[#This Row],[Res Adj ]],-2)</f>
        <v>355100</v>
      </c>
      <c r="BM1019" s="30">
        <f>ROUND(Inventory[[#This Row],[25Det]]*Inventory[[#This Row],[Det/Nbhd Adj]],-2)</f>
        <v>0</v>
      </c>
      <c r="BN1019" s="30">
        <f>Inventory[[#This Row],[Adjusted Res]]+Inventory[[#This Row],[Adj Det ]]</f>
        <v>355100</v>
      </c>
      <c r="BO1019" s="30">
        <f>ROUND((Inventory[[#This Row],[Mdl Land Intercept]]+Inventory[[#This Row],[Mdl LnAcres]])*Inventory[[#This Row],[Det/Nbhd Adj]],-2)</f>
        <v>61800</v>
      </c>
      <c r="BP1019" s="30">
        <f>Inventory[[#This Row],[Adjusted Impr Total]]+Inventory[[#This Row],[Adjusted Land Total]]</f>
        <v>416900</v>
      </c>
      <c r="BQ1019" s="30">
        <f>IFERROR((Inventory[[#This Row],[Adjusted Impr Total]]-Inventory[[#This Row],[24Bldg]])/Inventory[[#This Row],[24Bldg]],0)</f>
        <v>3.0769230769230771E-2</v>
      </c>
      <c r="BR1019" s="43">
        <f>(Inventory[[#This Row],[Adjusted Land Total]]-Inventory[[#This Row],[24Lnd]])/Inventory[[#This Row],[24Lnd]]</f>
        <v>1.6207455429497568E-3</v>
      </c>
      <c r="BS1019" s="43">
        <f>(Inventory[[#This Row],[Adjusted Total]]-Inventory[[#This Row],[24Final]])/Inventory[[#This Row],[24Final]]</f>
        <v>2.6341703594288529E-2</v>
      </c>
    </row>
    <row r="1020" spans="1:71">
      <c r="A1020" s="30">
        <v>2025</v>
      </c>
      <c r="B1020" s="31" t="s">
        <v>1535</v>
      </c>
      <c r="C1020" s="31">
        <f>LN(Inventory[[#This Row],[Acres]])</f>
        <v>-1.7147984280919266</v>
      </c>
      <c r="D1020" s="30">
        <v>0.18</v>
      </c>
      <c r="E1020" s="30">
        <v>7686</v>
      </c>
      <c r="F1020" s="31" t="s">
        <v>505</v>
      </c>
      <c r="G1020" s="31" t="s">
        <v>155</v>
      </c>
      <c r="H1020" s="31" t="s">
        <v>5</v>
      </c>
      <c r="I1020" s="31" t="s">
        <v>506</v>
      </c>
      <c r="J1020" s="31" t="s">
        <v>507</v>
      </c>
      <c r="K1020" s="31" t="s">
        <v>193</v>
      </c>
      <c r="L1020" s="31" t="s">
        <v>21</v>
      </c>
      <c r="M1020" s="31" t="s">
        <v>18</v>
      </c>
      <c r="N1020" s="31">
        <v>20</v>
      </c>
      <c r="O1020" s="31">
        <f>2024-Inventory[[#This Row],[YrBlt]]</f>
        <v>20</v>
      </c>
      <c r="P1020" s="31">
        <f>2024-Inventory[[#This Row],[EffYr]]</f>
        <v>20</v>
      </c>
      <c r="Q1020" s="30">
        <v>2004</v>
      </c>
      <c r="R1020" s="30">
        <v>2004</v>
      </c>
      <c r="S1020" s="30">
        <v>1706</v>
      </c>
      <c r="T1020" s="37"/>
      <c r="U1020" s="32"/>
      <c r="V1020" s="32"/>
      <c r="W1020" s="32"/>
      <c r="X1020" s="32">
        <f>Inventory[[#This Row],[Bsmt Area]]-Inventory[[#This Row],[FnBsmt]]</f>
        <v>0</v>
      </c>
      <c r="Y1020" s="32">
        <f>Inventory[[#This Row],[MainFn]]+Inventory[[#This Row],[UpprFn]]+Inventory[[#This Row],[AddFn]]+Inventory[[#This Row],[FnBsmt]]</f>
        <v>1706</v>
      </c>
      <c r="Z1020" s="32">
        <v>2000</v>
      </c>
      <c r="AA1020" s="31" t="s">
        <v>57</v>
      </c>
      <c r="AB1020" s="38">
        <v>1</v>
      </c>
      <c r="AC1020" s="38">
        <v>466</v>
      </c>
      <c r="AD1020" s="37"/>
      <c r="AE1020" s="32"/>
      <c r="AF1020" s="32"/>
      <c r="AG1020" s="32"/>
      <c r="AH1020" s="32"/>
      <c r="AI1020" s="30">
        <v>377587</v>
      </c>
      <c r="AJ1020" s="30">
        <v>343604</v>
      </c>
      <c r="AK1020" s="30">
        <v>0</v>
      </c>
      <c r="AL1020" s="30">
        <v>0</v>
      </c>
      <c r="AM1020" s="30">
        <v>62500</v>
      </c>
      <c r="AN1020" s="30">
        <v>320100</v>
      </c>
      <c r="AO1020" s="30">
        <v>382600</v>
      </c>
      <c r="AP1020" s="30">
        <f>Lookups!$B$58*0.6</f>
        <v>132535.48800000001</v>
      </c>
      <c r="AQ1020" s="30">
        <f>Lookups!$B$58*0.4</f>
        <v>88356.992000000013</v>
      </c>
      <c r="AR1020" s="30">
        <f>Lookups!$B$59*Inventory[[#This Row],[LnAcres]]</f>
        <v>-22505.565020573864</v>
      </c>
      <c r="AS1020" s="30">
        <f>VLOOKUP(Inventory[[#This Row],[Qlty]],Lookups!$A$66:$E$79,2,FALSE)</f>
        <v>32917.849192000001</v>
      </c>
      <c r="AT1020" s="30">
        <f>VLOOKUP(Inventory[[#This Row],[Cnd]],Lookups!$A$80:$E$88,2,FALSE)</f>
        <v>17761.121909000001</v>
      </c>
      <c r="AU1020" s="30">
        <f>Inventory[[#This Row],[EffAge]]*Lookups!$B$65</f>
        <v>-2174.8220000000001</v>
      </c>
      <c r="AV1020" s="30">
        <f>Inventory[[#This Row],[MainFn]]*Lookups!$B$90</f>
        <v>106472.10828</v>
      </c>
      <c r="AW1020" s="30">
        <f>Inventory[[#This Row],[UpprFn]]*Lookups!$B$91</f>
        <v>0</v>
      </c>
      <c r="AX1020" s="30">
        <f>Inventory[[#This Row],[Bsmt Area]]*Lookups!$B$95</f>
        <v>0</v>
      </c>
      <c r="AY1020" s="30">
        <f>Inventory[[#This Row],[AttGar]]*Lookups!$B$93</f>
        <v>16450.280446000001</v>
      </c>
      <c r="AZ1020" s="30">
        <f>ROUND(Inventory[[#This Row],[25Det]],-2)</f>
        <v>0</v>
      </c>
      <c r="BA1020" s="30">
        <f>ROUND(SUM(Inventory[[#This Row],[Mdl Qlty]:[Mdl Garage Area]])+Inventory[[#This Row],[Mdl Res Intercept]],-2)</f>
        <v>304000</v>
      </c>
      <c r="BB1020" s="30">
        <f>ROUND(Inventory[[#This Row],[Mdl Land Intercept]]+Inventory[[#This Row],[Mdl LnAcres]],-2)</f>
        <v>65900</v>
      </c>
      <c r="BC1020" s="30">
        <f>Inventory[[#This Row],[Unadj Res Value]]+Inventory[[#This Row],[Unadj Det Value]]+Inventory[[#This Row],[Unadj Land Value]]</f>
        <v>369900</v>
      </c>
      <c r="BD1020" s="30">
        <f>(Inventory[[#This Row],[Unadj Total Value]]-Inventory[[#This Row],[24Final]])/Inventory[[#This Row],[24Final]]</f>
        <v>-3.3193936225823312E-2</v>
      </c>
      <c r="BE1020" s="30">
        <f>VLOOKUP(Inventory[[#This Row],[Nbhd]],Lookups!$M$3:$P$5,4,FALSE)</f>
        <v>0.99970000000000003</v>
      </c>
      <c r="BF1020" s="30">
        <f>VLOOKUP(Inventory[[#This Row],[Qlty]],Lookups!$M$8:$P$22,4,FALSE)</f>
        <v>1.0019</v>
      </c>
      <c r="BG1020" s="30">
        <f>VLOOKUP(Inventory[[#This Row],[Cnd]],Lookups!$R$8:$U$17,4,FALSE)</f>
        <v>0.99680000000000002</v>
      </c>
      <c r="BH1020" s="30">
        <f>VLOOKUP(Inventory[[#This Row],[LivArea Range]],Lookups!$R$25:$U$43,4,FALSE)</f>
        <v>1.0007999999999999</v>
      </c>
      <c r="BI1020" s="30">
        <f>VLOOKUP(Inventory[[#This Row],[Decade]],Lookups!$M$24:$P$40,4,FALSE)</f>
        <v>0.99560000000000004</v>
      </c>
      <c r="BJ1020" s="30">
        <f>Inventory[[#This Row],[Nbhd Adj]]*0.95</f>
        <v>0.94971499999999998</v>
      </c>
      <c r="BK1020" s="30">
        <f>AVERAGE(Inventory[[#This Row],[Nbhd Adj]],Inventory[[#This Row],[Quality Adj]],Inventory[[#This Row],[Condition Adj]],Inventory[[#This Row],[Living Area Adj]],Inventory[[#This Row],[Decade Adj]])*0.95</f>
        <v>0.94901199999999997</v>
      </c>
      <c r="BL1020" s="30">
        <f>ROUND((SUM(Inventory[[#This Row],[Mdl Qlty]:[Mdl Garage Area]])+Inventory[[#This Row],[Mdl Res Intercept]])*Inventory[[#This Row],[Res Adj ]],-2)</f>
        <v>288500</v>
      </c>
      <c r="BM1020" s="30">
        <f>ROUND(Inventory[[#This Row],[25Det]]*Inventory[[#This Row],[Det/Nbhd Adj]],-2)</f>
        <v>0</v>
      </c>
      <c r="BN1020" s="30">
        <f>Inventory[[#This Row],[Adjusted Res]]+Inventory[[#This Row],[Adj Det ]]</f>
        <v>288500</v>
      </c>
      <c r="BO1020" s="30">
        <f>ROUND((Inventory[[#This Row],[Mdl Land Intercept]]+Inventory[[#This Row],[Mdl LnAcres]])*Inventory[[#This Row],[Det/Nbhd Adj]],-2)</f>
        <v>62500</v>
      </c>
      <c r="BP1020" s="30">
        <f>Inventory[[#This Row],[Adjusted Impr Total]]+Inventory[[#This Row],[Adjusted Land Total]]</f>
        <v>351000</v>
      </c>
      <c r="BQ1020" s="30">
        <f>IFERROR((Inventory[[#This Row],[Adjusted Impr Total]]-Inventory[[#This Row],[24Bldg]])/Inventory[[#This Row],[24Bldg]],0)</f>
        <v>-9.8719150265542024E-2</v>
      </c>
      <c r="BR1020" s="43">
        <f>(Inventory[[#This Row],[Adjusted Land Total]]-Inventory[[#This Row],[24Lnd]])/Inventory[[#This Row],[24Lnd]]</f>
        <v>0</v>
      </c>
      <c r="BS1020" s="43">
        <f>(Inventory[[#This Row],[Adjusted Total]]-Inventory[[#This Row],[24Final]])/Inventory[[#This Row],[24Final]]</f>
        <v>-8.2592786199686352E-2</v>
      </c>
    </row>
    <row r="1021" spans="1:71">
      <c r="A1021" s="30">
        <v>2025</v>
      </c>
      <c r="B1021" s="31" t="s">
        <v>1536</v>
      </c>
      <c r="C1021" s="31">
        <f>LN(Inventory[[#This Row],[Acres]])</f>
        <v>-1.7147984280919266</v>
      </c>
      <c r="D1021" s="30">
        <v>0.18</v>
      </c>
      <c r="E1021" s="30">
        <v>7624</v>
      </c>
      <c r="F1021" s="31" t="s">
        <v>505</v>
      </c>
      <c r="G1021" s="31" t="s">
        <v>155</v>
      </c>
      <c r="H1021" s="31" t="s">
        <v>5</v>
      </c>
      <c r="I1021" s="31" t="s">
        <v>506</v>
      </c>
      <c r="J1021" s="31" t="s">
        <v>507</v>
      </c>
      <c r="K1021" s="31" t="s">
        <v>157</v>
      </c>
      <c r="L1021" s="31" t="s">
        <v>21</v>
      </c>
      <c r="M1021" s="31" t="s">
        <v>22</v>
      </c>
      <c r="N1021" s="31">
        <v>20</v>
      </c>
      <c r="O1021" s="31">
        <f>2024-Inventory[[#This Row],[YrBlt]]</f>
        <v>20</v>
      </c>
      <c r="P1021" s="31">
        <f>2024-Inventory[[#This Row],[EffYr]]</f>
        <v>20</v>
      </c>
      <c r="Q1021" s="30">
        <v>2004</v>
      </c>
      <c r="R1021" s="30">
        <v>2004</v>
      </c>
      <c r="S1021" s="30">
        <v>1158</v>
      </c>
      <c r="T1021" s="30">
        <v>1322</v>
      </c>
      <c r="U1021" s="32"/>
      <c r="V1021" s="32"/>
      <c r="W1021" s="32"/>
      <c r="X1021" s="32">
        <f>Inventory[[#This Row],[Bsmt Area]]-Inventory[[#This Row],[FnBsmt]]</f>
        <v>0</v>
      </c>
      <c r="Y1021" s="32">
        <f>Inventory[[#This Row],[MainFn]]+Inventory[[#This Row],[UpprFn]]+Inventory[[#This Row],[AddFn]]+Inventory[[#This Row],[FnBsmt]]</f>
        <v>2480</v>
      </c>
      <c r="Z1021" s="32">
        <v>2500</v>
      </c>
      <c r="AA1021" s="31" t="s">
        <v>56</v>
      </c>
      <c r="AB1021" s="37"/>
      <c r="AC1021" s="37"/>
      <c r="AD1021" s="38">
        <v>502</v>
      </c>
      <c r="AE1021" s="32"/>
      <c r="AF1021" s="32"/>
      <c r="AG1021" s="32"/>
      <c r="AH1021" s="32"/>
      <c r="AI1021" s="30">
        <v>476396</v>
      </c>
      <c r="AJ1021" s="30">
        <v>438284</v>
      </c>
      <c r="AK1021" s="30">
        <v>0</v>
      </c>
      <c r="AL1021" s="30">
        <v>0</v>
      </c>
      <c r="AM1021" s="30">
        <v>62500</v>
      </c>
      <c r="AN1021" s="30">
        <v>365900</v>
      </c>
      <c r="AO1021" s="30">
        <v>428400</v>
      </c>
      <c r="AP1021" s="30">
        <f>Lookups!$B$58*0.6</f>
        <v>132535.48800000001</v>
      </c>
      <c r="AQ1021" s="30">
        <f>Lookups!$B$58*0.4</f>
        <v>88356.992000000013</v>
      </c>
      <c r="AR1021" s="30">
        <f>Lookups!$B$59*Inventory[[#This Row],[LnAcres]]</f>
        <v>-22505.565020573864</v>
      </c>
      <c r="AS1021" s="30">
        <f>VLOOKUP(Inventory[[#This Row],[Qlty]],Lookups!$A$66:$E$79,2,FALSE)</f>
        <v>32917.849192000001</v>
      </c>
      <c r="AT1021" s="30">
        <f>VLOOKUP(Inventory[[#This Row],[Cnd]],Lookups!$A$80:$E$88,2,FALSE)</f>
        <v>50438.379078999998</v>
      </c>
      <c r="AU1021" s="30">
        <f>Inventory[[#This Row],[EffAge]]*Lookups!$B$65</f>
        <v>-2174.8220000000001</v>
      </c>
      <c r="AV1021" s="30">
        <f>Inventory[[#This Row],[MainFn]]*Lookups!$B$90</f>
        <v>72271.22004</v>
      </c>
      <c r="AW1021" s="30">
        <f>Inventory[[#This Row],[UpprFn]]*Lookups!$B$91</f>
        <v>78765.266325999997</v>
      </c>
      <c r="AX1021" s="30">
        <f>Inventory[[#This Row],[Bsmt Area]]*Lookups!$B$95</f>
        <v>0</v>
      </c>
      <c r="AY1021" s="30">
        <f>Inventory[[#This Row],[AttGar]]*Lookups!$B$93</f>
        <v>0</v>
      </c>
      <c r="AZ1021" s="30">
        <f>ROUND(Inventory[[#This Row],[25Det]],-2)</f>
        <v>0</v>
      </c>
      <c r="BA1021" s="30">
        <f>ROUND(SUM(Inventory[[#This Row],[Mdl Qlty]:[Mdl Garage Area]])+Inventory[[#This Row],[Mdl Res Intercept]],-2)</f>
        <v>364800</v>
      </c>
      <c r="BB1021" s="30">
        <f>ROUND(Inventory[[#This Row],[Mdl Land Intercept]]+Inventory[[#This Row],[Mdl LnAcres]],-2)</f>
        <v>65900</v>
      </c>
      <c r="BC1021" s="30">
        <f>Inventory[[#This Row],[Unadj Res Value]]+Inventory[[#This Row],[Unadj Det Value]]+Inventory[[#This Row],[Unadj Land Value]]</f>
        <v>430700</v>
      </c>
      <c r="BD1021" s="30">
        <f>(Inventory[[#This Row],[Unadj Total Value]]-Inventory[[#This Row],[24Final]])/Inventory[[#This Row],[24Final]]</f>
        <v>5.3688141923436041E-3</v>
      </c>
      <c r="BE1021" s="30">
        <f>VLOOKUP(Inventory[[#This Row],[Nbhd]],Lookups!$M$3:$P$5,4,FALSE)</f>
        <v>0.99970000000000003</v>
      </c>
      <c r="BF1021" s="30">
        <f>VLOOKUP(Inventory[[#This Row],[Qlty]],Lookups!$M$8:$P$22,4,FALSE)</f>
        <v>1.0019</v>
      </c>
      <c r="BG1021" s="30">
        <f>VLOOKUP(Inventory[[#This Row],[Cnd]],Lookups!$R$8:$U$17,4,FALSE)</f>
        <v>1.0007999999999999</v>
      </c>
      <c r="BH1021" s="30">
        <f>VLOOKUP(Inventory[[#This Row],[LivArea Range]],Lookups!$R$25:$U$43,4,FALSE)</f>
        <v>1.0008999999999999</v>
      </c>
      <c r="BI1021" s="30">
        <f>VLOOKUP(Inventory[[#This Row],[Decade]],Lookups!$M$24:$P$40,4,FALSE)</f>
        <v>0.99560000000000004</v>
      </c>
      <c r="BJ1021" s="30">
        <f>Inventory[[#This Row],[Nbhd Adj]]*0.95</f>
        <v>0.94971499999999998</v>
      </c>
      <c r="BK1021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1021" s="30">
        <f>ROUND((SUM(Inventory[[#This Row],[Mdl Qlty]:[Mdl Garage Area]])+Inventory[[#This Row],[Mdl Res Intercept]])*Inventory[[#This Row],[Res Adj ]],-2)</f>
        <v>346400</v>
      </c>
      <c r="BM1021" s="30">
        <f>ROUND(Inventory[[#This Row],[25Det]]*Inventory[[#This Row],[Det/Nbhd Adj]],-2)</f>
        <v>0</v>
      </c>
      <c r="BN1021" s="30">
        <f>Inventory[[#This Row],[Adjusted Res]]+Inventory[[#This Row],[Adj Det ]]</f>
        <v>346400</v>
      </c>
      <c r="BO1021" s="30">
        <f>ROUND((Inventory[[#This Row],[Mdl Land Intercept]]+Inventory[[#This Row],[Mdl LnAcres]])*Inventory[[#This Row],[Det/Nbhd Adj]],-2)</f>
        <v>62500</v>
      </c>
      <c r="BP1021" s="30">
        <f>Inventory[[#This Row],[Adjusted Impr Total]]+Inventory[[#This Row],[Adjusted Land Total]]</f>
        <v>408900</v>
      </c>
      <c r="BQ1021" s="30">
        <f>IFERROR((Inventory[[#This Row],[Adjusted Impr Total]]-Inventory[[#This Row],[24Bldg]])/Inventory[[#This Row],[24Bldg]],0)</f>
        <v>-5.3293249521727246E-2</v>
      </c>
      <c r="BR1021" s="43">
        <f>(Inventory[[#This Row],[Adjusted Land Total]]-Inventory[[#This Row],[24Lnd]])/Inventory[[#This Row],[24Lnd]]</f>
        <v>0</v>
      </c>
      <c r="BS1021" s="43">
        <f>(Inventory[[#This Row],[Adjusted Total]]-Inventory[[#This Row],[24Final]])/Inventory[[#This Row],[24Final]]</f>
        <v>-4.5518207282913163E-2</v>
      </c>
    </row>
    <row r="1022" spans="1:71">
      <c r="A1022" s="30">
        <v>2025</v>
      </c>
      <c r="B1022" s="31" t="s">
        <v>1537</v>
      </c>
      <c r="C1022" s="31">
        <f>LN(Inventory[[#This Row],[Acres]])</f>
        <v>-1.7147984280919266</v>
      </c>
      <c r="D1022" s="30">
        <v>0.18</v>
      </c>
      <c r="E1022" s="30">
        <v>7895</v>
      </c>
      <c r="F1022" s="31" t="s">
        <v>505</v>
      </c>
      <c r="G1022" s="31" t="s">
        <v>155</v>
      </c>
      <c r="H1022" s="31" t="s">
        <v>5</v>
      </c>
      <c r="I1022" s="31" t="s">
        <v>506</v>
      </c>
      <c r="J1022" s="31" t="s">
        <v>507</v>
      </c>
      <c r="K1022" s="31" t="s">
        <v>193</v>
      </c>
      <c r="L1022" s="31" t="s">
        <v>19</v>
      </c>
      <c r="M1022" s="31" t="s">
        <v>18</v>
      </c>
      <c r="N1022" s="31">
        <v>20</v>
      </c>
      <c r="O1022" s="31">
        <f>2024-Inventory[[#This Row],[YrBlt]]</f>
        <v>20</v>
      </c>
      <c r="P1022" s="31">
        <f>2024-Inventory[[#This Row],[EffYr]]</f>
        <v>20</v>
      </c>
      <c r="Q1022" s="30">
        <v>2004</v>
      </c>
      <c r="R1022" s="30">
        <v>2004</v>
      </c>
      <c r="S1022" s="30">
        <v>1092</v>
      </c>
      <c r="T1022" s="32"/>
      <c r="U1022" s="32"/>
      <c r="V1022" s="32"/>
      <c r="W1022" s="32"/>
      <c r="X1022" s="32">
        <f>Inventory[[#This Row],[Bsmt Area]]-Inventory[[#This Row],[FnBsmt]]</f>
        <v>0</v>
      </c>
      <c r="Y1022" s="32">
        <f>Inventory[[#This Row],[MainFn]]+Inventory[[#This Row],[UpprFn]]+Inventory[[#This Row],[AddFn]]+Inventory[[#This Row],[FnBsmt]]</f>
        <v>1092</v>
      </c>
      <c r="Z1022" s="32">
        <v>1500</v>
      </c>
      <c r="AA1022" s="31" t="s">
        <v>56</v>
      </c>
      <c r="AB1022" s="32"/>
      <c r="AC1022" s="30">
        <v>440</v>
      </c>
      <c r="AD1022" s="32"/>
      <c r="AE1022" s="32"/>
      <c r="AF1022" s="32"/>
      <c r="AG1022" s="32"/>
      <c r="AH1022" s="32"/>
      <c r="AI1022" s="30">
        <v>243140</v>
      </c>
      <c r="AJ1022" s="30">
        <v>221257</v>
      </c>
      <c r="AK1022" s="30">
        <v>5686</v>
      </c>
      <c r="AL1022" s="30">
        <v>0</v>
      </c>
      <c r="AM1022" s="30">
        <v>62500</v>
      </c>
      <c r="AN1022" s="30">
        <v>269100</v>
      </c>
      <c r="AO1022" s="30">
        <v>331600</v>
      </c>
      <c r="AP1022" s="30">
        <f>Lookups!$B$58*0.6</f>
        <v>132535.48800000001</v>
      </c>
      <c r="AQ1022" s="30">
        <f>Lookups!$B$58*0.4</f>
        <v>88356.992000000013</v>
      </c>
      <c r="AR1022" s="30">
        <f>Lookups!$B$59*Inventory[[#This Row],[LnAcres]]</f>
        <v>-22505.565020573864</v>
      </c>
      <c r="AS1022" s="30">
        <f>VLOOKUP(Inventory[[#This Row],[Qlty]],Lookups!$A$66:$E$79,2,FALSE)</f>
        <v>37154.252388000001</v>
      </c>
      <c r="AT1022" s="30">
        <f>VLOOKUP(Inventory[[#This Row],[Cnd]],Lookups!$A$80:$E$88,2,FALSE)</f>
        <v>17761.121909000001</v>
      </c>
      <c r="AU1022" s="30">
        <f>Inventory[[#This Row],[EffAge]]*Lookups!$B$65</f>
        <v>-2174.8220000000001</v>
      </c>
      <c r="AV1022" s="30">
        <f>Inventory[[#This Row],[MainFn]]*Lookups!$B$90</f>
        <v>68152.13496000001</v>
      </c>
      <c r="AW1022" s="30">
        <f>Inventory[[#This Row],[UpprFn]]*Lookups!$B$91</f>
        <v>0</v>
      </c>
      <c r="AX1022" s="30">
        <f>Inventory[[#This Row],[Bsmt Area]]*Lookups!$B$95</f>
        <v>0</v>
      </c>
      <c r="AY1022" s="30">
        <f>Inventory[[#This Row],[AttGar]]*Lookups!$B$93</f>
        <v>15532.453640000002</v>
      </c>
      <c r="AZ1022" s="30">
        <f>ROUND(Inventory[[#This Row],[25Det]],-2)</f>
        <v>5700</v>
      </c>
      <c r="BA1022" s="30">
        <f>ROUND(SUM(Inventory[[#This Row],[Mdl Qlty]:[Mdl Garage Area]])+Inventory[[#This Row],[Mdl Res Intercept]],-2)</f>
        <v>269000</v>
      </c>
      <c r="BB1022" s="30">
        <f>ROUND(Inventory[[#This Row],[Mdl Land Intercept]]+Inventory[[#This Row],[Mdl LnAcres]],-2)</f>
        <v>65900</v>
      </c>
      <c r="BC1022" s="30">
        <f>Inventory[[#This Row],[Unadj Res Value]]+Inventory[[#This Row],[Unadj Det Value]]+Inventory[[#This Row],[Unadj Land Value]]</f>
        <v>340600</v>
      </c>
      <c r="BD1022" s="30">
        <f>(Inventory[[#This Row],[Unadj Total Value]]-Inventory[[#This Row],[24Final]])/Inventory[[#This Row],[24Final]]</f>
        <v>2.7141133896260553E-2</v>
      </c>
      <c r="BE1022" s="30">
        <f>VLOOKUP(Inventory[[#This Row],[Nbhd]],Lookups!$M$3:$P$5,4,FALSE)</f>
        <v>0.99970000000000003</v>
      </c>
      <c r="BF1022" s="30">
        <f>VLOOKUP(Inventory[[#This Row],[Qlty]],Lookups!$M$8:$P$22,4,FALSE)</f>
        <v>0.99819999999999998</v>
      </c>
      <c r="BG1022" s="30">
        <f>VLOOKUP(Inventory[[#This Row],[Cnd]],Lookups!$R$8:$U$17,4,FALSE)</f>
        <v>0.99680000000000002</v>
      </c>
      <c r="BH1022" s="30">
        <f>VLOOKUP(Inventory[[#This Row],[LivArea Range]],Lookups!$R$25:$U$43,4,FALSE)</f>
        <v>0.99519999999999997</v>
      </c>
      <c r="BI1022" s="30">
        <f>VLOOKUP(Inventory[[#This Row],[Decade]],Lookups!$M$24:$P$40,4,FALSE)</f>
        <v>0.99560000000000004</v>
      </c>
      <c r="BJ1022" s="30">
        <f>Inventory[[#This Row],[Nbhd Adj]]*0.95</f>
        <v>0.94971499999999998</v>
      </c>
      <c r="BK1022" s="30">
        <f>AVERAGE(Inventory[[#This Row],[Nbhd Adj]],Inventory[[#This Row],[Quality Adj]],Inventory[[#This Row],[Condition Adj]],Inventory[[#This Row],[Living Area Adj]],Inventory[[#This Row],[Decade Adj]])*0.95</f>
        <v>0.94724499999999989</v>
      </c>
      <c r="BL1022" s="30">
        <f>ROUND((SUM(Inventory[[#This Row],[Mdl Qlty]:[Mdl Garage Area]])+Inventory[[#This Row],[Mdl Res Intercept]])*Inventory[[#This Row],[Res Adj ]],-2)</f>
        <v>254800</v>
      </c>
      <c r="BM1022" s="30">
        <f>ROUND(Inventory[[#This Row],[25Det]]*Inventory[[#This Row],[Det/Nbhd Adj]],-2)</f>
        <v>5400</v>
      </c>
      <c r="BN1022" s="30">
        <f>Inventory[[#This Row],[Adjusted Res]]+Inventory[[#This Row],[Adj Det ]]</f>
        <v>260200</v>
      </c>
      <c r="BO1022" s="30">
        <f>ROUND((Inventory[[#This Row],[Mdl Land Intercept]]+Inventory[[#This Row],[Mdl LnAcres]])*Inventory[[#This Row],[Det/Nbhd Adj]],-2)</f>
        <v>62500</v>
      </c>
      <c r="BP1022" s="30">
        <f>Inventory[[#This Row],[Adjusted Impr Total]]+Inventory[[#This Row],[Adjusted Land Total]]</f>
        <v>322700</v>
      </c>
      <c r="BQ1022" s="30">
        <f>IFERROR((Inventory[[#This Row],[Adjusted Impr Total]]-Inventory[[#This Row],[24Bldg]])/Inventory[[#This Row],[24Bldg]],0)</f>
        <v>-3.3073206986250464E-2</v>
      </c>
      <c r="BR1022" s="43">
        <f>(Inventory[[#This Row],[Adjusted Land Total]]-Inventory[[#This Row],[24Lnd]])/Inventory[[#This Row],[24Lnd]]</f>
        <v>0</v>
      </c>
      <c r="BS1022" s="43">
        <f>(Inventory[[#This Row],[Adjusted Total]]-Inventory[[#This Row],[24Final]])/Inventory[[#This Row],[24Final]]</f>
        <v>-2.6839565741857661E-2</v>
      </c>
    </row>
    <row r="1023" spans="1:71">
      <c r="A1023" s="30">
        <v>2025</v>
      </c>
      <c r="B1023" s="31" t="s">
        <v>1538</v>
      </c>
      <c r="C1023" s="31">
        <f>LN(Inventory[[#This Row],[Acres]])</f>
        <v>-1.6607312068216509</v>
      </c>
      <c r="D1023" s="30">
        <v>0.19</v>
      </c>
      <c r="E1023" s="30">
        <v>8370</v>
      </c>
      <c r="F1023" s="31" t="s">
        <v>505</v>
      </c>
      <c r="G1023" s="31" t="s">
        <v>155</v>
      </c>
      <c r="H1023" s="31" t="s">
        <v>5</v>
      </c>
      <c r="I1023" s="31" t="s">
        <v>506</v>
      </c>
      <c r="J1023" s="31" t="s">
        <v>507</v>
      </c>
      <c r="K1023" s="31" t="s">
        <v>193</v>
      </c>
      <c r="L1023" s="31" t="s">
        <v>21</v>
      </c>
      <c r="M1023" s="31" t="s">
        <v>22</v>
      </c>
      <c r="N1023" s="31">
        <v>20</v>
      </c>
      <c r="O1023" s="31">
        <f>2024-Inventory[[#This Row],[YrBlt]]</f>
        <v>20</v>
      </c>
      <c r="P1023" s="31">
        <f>2024-Inventory[[#This Row],[EffYr]]</f>
        <v>20</v>
      </c>
      <c r="Q1023" s="30">
        <v>2004</v>
      </c>
      <c r="R1023" s="30">
        <v>2004</v>
      </c>
      <c r="S1023" s="30">
        <v>1380</v>
      </c>
      <c r="T1023" s="32"/>
      <c r="U1023" s="32"/>
      <c r="V1023" s="32"/>
      <c r="W1023" s="32"/>
      <c r="X1023" s="32">
        <f>Inventory[[#This Row],[Bsmt Area]]-Inventory[[#This Row],[FnBsmt]]</f>
        <v>0</v>
      </c>
      <c r="Y1023" s="32">
        <f>Inventory[[#This Row],[MainFn]]+Inventory[[#This Row],[UpprFn]]+Inventory[[#This Row],[AddFn]]+Inventory[[#This Row],[FnBsmt]]</f>
        <v>1380</v>
      </c>
      <c r="Z1023" s="32">
        <v>1500</v>
      </c>
      <c r="AA1023" s="31" t="s">
        <v>55</v>
      </c>
      <c r="AB1023" s="32"/>
      <c r="AC1023" s="30">
        <v>428</v>
      </c>
      <c r="AD1023" s="32"/>
      <c r="AE1023" s="32"/>
      <c r="AF1023" s="32"/>
      <c r="AG1023" s="32"/>
      <c r="AH1023" s="32"/>
      <c r="AI1023" s="30">
        <v>329169</v>
      </c>
      <c r="AJ1023" s="30">
        <v>302835</v>
      </c>
      <c r="AK1023" s="30">
        <v>0</v>
      </c>
      <c r="AL1023" s="30">
        <v>0</v>
      </c>
      <c r="AM1023" s="30">
        <v>63200</v>
      </c>
      <c r="AN1023" s="30">
        <v>330200</v>
      </c>
      <c r="AO1023" s="30">
        <v>393400</v>
      </c>
      <c r="AP1023" s="30">
        <f>Lookups!$B$58*0.6</f>
        <v>132535.48800000001</v>
      </c>
      <c r="AQ1023" s="30">
        <f>Lookups!$B$58*0.4</f>
        <v>88356.992000000013</v>
      </c>
      <c r="AR1023" s="30">
        <f>Lookups!$B$59*Inventory[[#This Row],[LnAcres]]</f>
        <v>-21795.969453044734</v>
      </c>
      <c r="AS1023" s="30">
        <f>VLOOKUP(Inventory[[#This Row],[Qlty]],Lookups!$A$66:$E$79,2,FALSE)</f>
        <v>32917.849192000001</v>
      </c>
      <c r="AT1023" s="30">
        <f>VLOOKUP(Inventory[[#This Row],[Cnd]],Lookups!$A$80:$E$88,2,FALSE)</f>
        <v>50438.379078999998</v>
      </c>
      <c r="AU1023" s="30">
        <f>Inventory[[#This Row],[EffAge]]*Lookups!$B$65</f>
        <v>-2174.8220000000001</v>
      </c>
      <c r="AV1023" s="30">
        <f>Inventory[[#This Row],[MainFn]]*Lookups!$B$90</f>
        <v>86126.324399999998</v>
      </c>
      <c r="AW1023" s="30">
        <f>Inventory[[#This Row],[UpprFn]]*Lookups!$B$91</f>
        <v>0</v>
      </c>
      <c r="AX1023" s="30">
        <f>Inventory[[#This Row],[Bsmt Area]]*Lookups!$B$95</f>
        <v>0</v>
      </c>
      <c r="AY1023" s="30">
        <f>Inventory[[#This Row],[AttGar]]*Lookups!$B$93</f>
        <v>15108.841268</v>
      </c>
      <c r="AZ1023" s="30">
        <f>ROUND(Inventory[[#This Row],[25Det]],-2)</f>
        <v>0</v>
      </c>
      <c r="BA1023" s="30">
        <f>ROUND(SUM(Inventory[[#This Row],[Mdl Qlty]:[Mdl Garage Area]])+Inventory[[#This Row],[Mdl Res Intercept]],-2)</f>
        <v>315000</v>
      </c>
      <c r="BB1023" s="30">
        <f>ROUND(Inventory[[#This Row],[Mdl Land Intercept]]+Inventory[[#This Row],[Mdl LnAcres]],-2)</f>
        <v>66600</v>
      </c>
      <c r="BC1023" s="30">
        <f>Inventory[[#This Row],[Unadj Res Value]]+Inventory[[#This Row],[Unadj Det Value]]+Inventory[[#This Row],[Unadj Land Value]]</f>
        <v>381600</v>
      </c>
      <c r="BD1023" s="30">
        <f>(Inventory[[#This Row],[Unadj Total Value]]-Inventory[[#This Row],[24Final]])/Inventory[[#This Row],[24Final]]</f>
        <v>-2.9994916115912557E-2</v>
      </c>
      <c r="BE1023" s="30">
        <f>VLOOKUP(Inventory[[#This Row],[Nbhd]],Lookups!$M$3:$P$5,4,FALSE)</f>
        <v>0.99970000000000003</v>
      </c>
      <c r="BF1023" s="30">
        <f>VLOOKUP(Inventory[[#This Row],[Qlty]],Lookups!$M$8:$P$22,4,FALSE)</f>
        <v>1.0019</v>
      </c>
      <c r="BG1023" s="30">
        <f>VLOOKUP(Inventory[[#This Row],[Cnd]],Lookups!$R$8:$U$17,4,FALSE)</f>
        <v>1.0007999999999999</v>
      </c>
      <c r="BH1023" s="30">
        <f>VLOOKUP(Inventory[[#This Row],[LivArea Range]],Lookups!$R$25:$U$43,4,FALSE)</f>
        <v>0.99519999999999997</v>
      </c>
      <c r="BI1023" s="30">
        <f>VLOOKUP(Inventory[[#This Row],[Decade]],Lookups!$M$24:$P$40,4,FALSE)</f>
        <v>0.99560000000000004</v>
      </c>
      <c r="BJ1023" s="30">
        <f>Inventory[[#This Row],[Nbhd Adj]]*0.95</f>
        <v>0.94971499999999998</v>
      </c>
      <c r="BK1023" s="30">
        <f>AVERAGE(Inventory[[#This Row],[Nbhd Adj]],Inventory[[#This Row],[Quality Adj]],Inventory[[#This Row],[Condition Adj]],Inventory[[#This Row],[Living Area Adj]],Inventory[[#This Row],[Decade Adj]])*0.95</f>
        <v>0.94870799999999988</v>
      </c>
      <c r="BL1023" s="30">
        <f>ROUND((SUM(Inventory[[#This Row],[Mdl Qlty]:[Mdl Garage Area]])+Inventory[[#This Row],[Mdl Res Intercept]])*Inventory[[#This Row],[Res Adj ]],-2)</f>
        <v>298800</v>
      </c>
      <c r="BM1023" s="30">
        <f>ROUND(Inventory[[#This Row],[25Det]]*Inventory[[#This Row],[Det/Nbhd Adj]],-2)</f>
        <v>0</v>
      </c>
      <c r="BN1023" s="30">
        <f>Inventory[[#This Row],[Adjusted Res]]+Inventory[[#This Row],[Adj Det ]]</f>
        <v>298800</v>
      </c>
      <c r="BO1023" s="30">
        <f>ROUND((Inventory[[#This Row],[Mdl Land Intercept]]+Inventory[[#This Row],[Mdl LnAcres]])*Inventory[[#This Row],[Det/Nbhd Adj]],-2)</f>
        <v>63200</v>
      </c>
      <c r="BP1023" s="30">
        <f>Inventory[[#This Row],[Adjusted Impr Total]]+Inventory[[#This Row],[Adjusted Land Total]]</f>
        <v>362000</v>
      </c>
      <c r="BQ1023" s="30">
        <f>IFERROR((Inventory[[#This Row],[Adjusted Impr Total]]-Inventory[[#This Row],[24Bldg]])/Inventory[[#This Row],[24Bldg]],0)</f>
        <v>-9.5093882495457305E-2</v>
      </c>
      <c r="BR1023" s="43">
        <f>(Inventory[[#This Row],[Adjusted Land Total]]-Inventory[[#This Row],[24Lnd]])/Inventory[[#This Row],[24Lnd]]</f>
        <v>0</v>
      </c>
      <c r="BS1023" s="43">
        <f>(Inventory[[#This Row],[Adjusted Total]]-Inventory[[#This Row],[24Final]])/Inventory[[#This Row],[24Final]]</f>
        <v>-7.9816980172852062E-2</v>
      </c>
    </row>
    <row r="1024" spans="1:71">
      <c r="A1024" s="30">
        <v>2025</v>
      </c>
      <c r="B1024" s="31" t="s">
        <v>1539</v>
      </c>
      <c r="C1024" s="31">
        <f>LN(Inventory[[#This Row],[Acres]])</f>
        <v>-1.6607312068216509</v>
      </c>
      <c r="D1024" s="30">
        <v>0.19</v>
      </c>
      <c r="E1024" s="30">
        <v>8270</v>
      </c>
      <c r="F1024" s="31" t="s">
        <v>505</v>
      </c>
      <c r="G1024" s="31" t="s">
        <v>155</v>
      </c>
      <c r="H1024" s="31" t="s">
        <v>5</v>
      </c>
      <c r="I1024" s="31" t="s">
        <v>506</v>
      </c>
      <c r="J1024" s="31" t="s">
        <v>507</v>
      </c>
      <c r="K1024" s="31" t="s">
        <v>157</v>
      </c>
      <c r="L1024" s="31" t="s">
        <v>21</v>
      </c>
      <c r="M1024" s="31" t="s">
        <v>22</v>
      </c>
      <c r="N1024" s="31">
        <v>20</v>
      </c>
      <c r="O1024" s="31">
        <f>2024-Inventory[[#This Row],[YrBlt]]</f>
        <v>20</v>
      </c>
      <c r="P1024" s="31">
        <f>2024-Inventory[[#This Row],[EffYr]]</f>
        <v>20</v>
      </c>
      <c r="Q1024" s="30">
        <v>2004</v>
      </c>
      <c r="R1024" s="30">
        <v>2004</v>
      </c>
      <c r="S1024" s="30">
        <v>1158</v>
      </c>
      <c r="T1024" s="38">
        <v>1322</v>
      </c>
      <c r="U1024" s="32"/>
      <c r="V1024" s="32"/>
      <c r="W1024" s="32"/>
      <c r="X1024" s="32">
        <f>Inventory[[#This Row],[Bsmt Area]]-Inventory[[#This Row],[FnBsmt]]</f>
        <v>0</v>
      </c>
      <c r="Y1024" s="32">
        <f>Inventory[[#This Row],[MainFn]]+Inventory[[#This Row],[UpprFn]]+Inventory[[#This Row],[AddFn]]+Inventory[[#This Row],[FnBsmt]]</f>
        <v>2480</v>
      </c>
      <c r="Z1024" s="32">
        <v>2500</v>
      </c>
      <c r="AA1024" s="31" t="s">
        <v>56</v>
      </c>
      <c r="AB1024" s="32"/>
      <c r="AC1024" s="37"/>
      <c r="AD1024" s="38">
        <v>502</v>
      </c>
      <c r="AE1024" s="32"/>
      <c r="AF1024" s="32"/>
      <c r="AG1024" s="32"/>
      <c r="AH1024" s="32"/>
      <c r="AI1024" s="30">
        <v>490259</v>
      </c>
      <c r="AJ1024" s="30">
        <v>451038</v>
      </c>
      <c r="AK1024" s="30">
        <v>0</v>
      </c>
      <c r="AL1024" s="30">
        <v>0</v>
      </c>
      <c r="AM1024" s="30">
        <v>63200</v>
      </c>
      <c r="AN1024" s="30">
        <v>365900</v>
      </c>
      <c r="AO1024" s="30">
        <v>429100</v>
      </c>
      <c r="AP1024" s="30">
        <f>Lookups!$B$58*0.6</f>
        <v>132535.48800000001</v>
      </c>
      <c r="AQ1024" s="30">
        <f>Lookups!$B$58*0.4</f>
        <v>88356.992000000013</v>
      </c>
      <c r="AR1024" s="30">
        <f>Lookups!$B$59*Inventory[[#This Row],[LnAcres]]</f>
        <v>-21795.969453044734</v>
      </c>
      <c r="AS1024" s="30">
        <f>VLOOKUP(Inventory[[#This Row],[Qlty]],Lookups!$A$66:$E$79,2,FALSE)</f>
        <v>32917.849192000001</v>
      </c>
      <c r="AT1024" s="30">
        <f>VLOOKUP(Inventory[[#This Row],[Cnd]],Lookups!$A$80:$E$88,2,FALSE)</f>
        <v>50438.379078999998</v>
      </c>
      <c r="AU1024" s="30">
        <f>Inventory[[#This Row],[EffAge]]*Lookups!$B$65</f>
        <v>-2174.8220000000001</v>
      </c>
      <c r="AV1024" s="30">
        <f>Inventory[[#This Row],[MainFn]]*Lookups!$B$90</f>
        <v>72271.22004</v>
      </c>
      <c r="AW1024" s="30">
        <f>Inventory[[#This Row],[UpprFn]]*Lookups!$B$91</f>
        <v>78765.266325999997</v>
      </c>
      <c r="AX1024" s="30">
        <f>Inventory[[#This Row],[Bsmt Area]]*Lookups!$B$95</f>
        <v>0</v>
      </c>
      <c r="AY1024" s="30">
        <f>Inventory[[#This Row],[AttGar]]*Lookups!$B$93</f>
        <v>0</v>
      </c>
      <c r="AZ1024" s="30">
        <f>ROUND(Inventory[[#This Row],[25Det]],-2)</f>
        <v>0</v>
      </c>
      <c r="BA1024" s="30">
        <f>ROUND(SUM(Inventory[[#This Row],[Mdl Qlty]:[Mdl Garage Area]])+Inventory[[#This Row],[Mdl Res Intercept]],-2)</f>
        <v>364800</v>
      </c>
      <c r="BB1024" s="30">
        <f>ROUND(Inventory[[#This Row],[Mdl Land Intercept]]+Inventory[[#This Row],[Mdl LnAcres]],-2)</f>
        <v>66600</v>
      </c>
      <c r="BC1024" s="30">
        <f>Inventory[[#This Row],[Unadj Res Value]]+Inventory[[#This Row],[Unadj Det Value]]+Inventory[[#This Row],[Unadj Land Value]]</f>
        <v>431400</v>
      </c>
      <c r="BD1024" s="30">
        <f>(Inventory[[#This Row],[Unadj Total Value]]-Inventory[[#This Row],[24Final]])/Inventory[[#This Row],[24Final]]</f>
        <v>5.3600559310184107E-3</v>
      </c>
      <c r="BE1024" s="30">
        <f>VLOOKUP(Inventory[[#This Row],[Nbhd]],Lookups!$M$3:$P$5,4,FALSE)</f>
        <v>0.99970000000000003</v>
      </c>
      <c r="BF1024" s="30">
        <f>VLOOKUP(Inventory[[#This Row],[Qlty]],Lookups!$M$8:$P$22,4,FALSE)</f>
        <v>1.0019</v>
      </c>
      <c r="BG1024" s="30">
        <f>VLOOKUP(Inventory[[#This Row],[Cnd]],Lookups!$R$8:$U$17,4,FALSE)</f>
        <v>1.0007999999999999</v>
      </c>
      <c r="BH1024" s="30">
        <f>VLOOKUP(Inventory[[#This Row],[LivArea Range]],Lookups!$R$25:$U$43,4,FALSE)</f>
        <v>1.0008999999999999</v>
      </c>
      <c r="BI1024" s="30">
        <f>VLOOKUP(Inventory[[#This Row],[Decade]],Lookups!$M$24:$P$40,4,FALSE)</f>
        <v>0.99560000000000004</v>
      </c>
      <c r="BJ1024" s="30">
        <f>Inventory[[#This Row],[Nbhd Adj]]*0.95</f>
        <v>0.94971499999999998</v>
      </c>
      <c r="BK1024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1024" s="30">
        <f>ROUND((SUM(Inventory[[#This Row],[Mdl Qlty]:[Mdl Garage Area]])+Inventory[[#This Row],[Mdl Res Intercept]])*Inventory[[#This Row],[Res Adj ]],-2)</f>
        <v>346400</v>
      </c>
      <c r="BM1024" s="30">
        <f>ROUND(Inventory[[#This Row],[25Det]]*Inventory[[#This Row],[Det/Nbhd Adj]],-2)</f>
        <v>0</v>
      </c>
      <c r="BN1024" s="30">
        <f>Inventory[[#This Row],[Adjusted Res]]+Inventory[[#This Row],[Adj Det ]]</f>
        <v>346400</v>
      </c>
      <c r="BO1024" s="30">
        <f>ROUND((Inventory[[#This Row],[Mdl Land Intercept]]+Inventory[[#This Row],[Mdl LnAcres]])*Inventory[[#This Row],[Det/Nbhd Adj]],-2)</f>
        <v>63200</v>
      </c>
      <c r="BP1024" s="30">
        <f>Inventory[[#This Row],[Adjusted Impr Total]]+Inventory[[#This Row],[Adjusted Land Total]]</f>
        <v>409600</v>
      </c>
      <c r="BQ1024" s="30">
        <f>IFERROR((Inventory[[#This Row],[Adjusted Impr Total]]-Inventory[[#This Row],[24Bldg]])/Inventory[[#This Row],[24Bldg]],0)</f>
        <v>-5.3293249521727246E-2</v>
      </c>
      <c r="BR1024" s="43">
        <f>(Inventory[[#This Row],[Adjusted Land Total]]-Inventory[[#This Row],[24Lnd]])/Inventory[[#This Row],[24Lnd]]</f>
        <v>0</v>
      </c>
      <c r="BS1024" s="43">
        <f>(Inventory[[#This Row],[Adjusted Total]]-Inventory[[#This Row],[24Final]])/Inventory[[#This Row],[24Final]]</f>
        <v>-4.5443952458634349E-2</v>
      </c>
    </row>
    <row r="1025" spans="1:71">
      <c r="A1025" s="30">
        <v>2025</v>
      </c>
      <c r="B1025" s="31" t="s">
        <v>1540</v>
      </c>
      <c r="C1025" s="31">
        <f>LN(Inventory[[#This Row],[Acres]])</f>
        <v>-1.6094379124341003</v>
      </c>
      <c r="D1025" s="30">
        <v>0.2</v>
      </c>
      <c r="E1025" s="30">
        <v>8678</v>
      </c>
      <c r="F1025" s="31" t="s">
        <v>505</v>
      </c>
      <c r="G1025" s="31" t="s">
        <v>155</v>
      </c>
      <c r="H1025" s="31" t="s">
        <v>5</v>
      </c>
      <c r="I1025" s="31" t="s">
        <v>506</v>
      </c>
      <c r="J1025" s="31" t="s">
        <v>507</v>
      </c>
      <c r="K1025" s="31" t="s">
        <v>193</v>
      </c>
      <c r="L1025" s="31" t="s">
        <v>21</v>
      </c>
      <c r="M1025" s="31" t="s">
        <v>22</v>
      </c>
      <c r="N1025" s="31">
        <v>20</v>
      </c>
      <c r="O1025" s="31">
        <f>2024-Inventory[[#This Row],[YrBlt]]</f>
        <v>20</v>
      </c>
      <c r="P1025" s="31">
        <f>2024-Inventory[[#This Row],[EffYr]]</f>
        <v>20</v>
      </c>
      <c r="Q1025" s="30">
        <v>2004</v>
      </c>
      <c r="R1025" s="30">
        <v>2004</v>
      </c>
      <c r="S1025" s="30">
        <v>1652</v>
      </c>
      <c r="T1025" s="32"/>
      <c r="U1025" s="32"/>
      <c r="V1025" s="32"/>
      <c r="W1025" s="32"/>
      <c r="X1025" s="32">
        <f>Inventory[[#This Row],[Bsmt Area]]-Inventory[[#This Row],[FnBsmt]]</f>
        <v>0</v>
      </c>
      <c r="Y1025" s="32">
        <f>Inventory[[#This Row],[MainFn]]+Inventory[[#This Row],[UpprFn]]+Inventory[[#This Row],[AddFn]]+Inventory[[#This Row],[FnBsmt]]</f>
        <v>1652</v>
      </c>
      <c r="Z1025" s="32">
        <v>2000</v>
      </c>
      <c r="AA1025" s="31" t="s">
        <v>56</v>
      </c>
      <c r="AB1025" s="32"/>
      <c r="AC1025" s="30">
        <v>576</v>
      </c>
      <c r="AD1025" s="32"/>
      <c r="AE1025" s="32"/>
      <c r="AF1025" s="32"/>
      <c r="AG1025" s="32"/>
      <c r="AH1025" s="32"/>
      <c r="AI1025" s="30">
        <v>368482</v>
      </c>
      <c r="AJ1025" s="30">
        <v>339003</v>
      </c>
      <c r="AK1025" s="30">
        <v>6214</v>
      </c>
      <c r="AL1025" s="30">
        <v>0</v>
      </c>
      <c r="AM1025" s="30">
        <v>64000</v>
      </c>
      <c r="AN1025" s="30">
        <v>318600</v>
      </c>
      <c r="AO1025" s="30">
        <v>382600</v>
      </c>
      <c r="AP1025" s="30">
        <f>Lookups!$B$58*0.6</f>
        <v>132535.48800000001</v>
      </c>
      <c r="AQ1025" s="30">
        <f>Lookups!$B$58*0.4</f>
        <v>88356.992000000013</v>
      </c>
      <c r="AR1025" s="30">
        <f>Lookups!$B$59*Inventory[[#This Row],[LnAcres]]</f>
        <v>-21122.779792355024</v>
      </c>
      <c r="AS1025" s="30">
        <f>VLOOKUP(Inventory[[#This Row],[Qlty]],Lookups!$A$66:$E$79,2,FALSE)</f>
        <v>32917.849192000001</v>
      </c>
      <c r="AT1025" s="30">
        <f>VLOOKUP(Inventory[[#This Row],[Cnd]],Lookups!$A$80:$E$88,2,FALSE)</f>
        <v>50438.379078999998</v>
      </c>
      <c r="AU1025" s="30">
        <f>Inventory[[#This Row],[EffAge]]*Lookups!$B$65</f>
        <v>-2174.8220000000001</v>
      </c>
      <c r="AV1025" s="30">
        <f>Inventory[[#This Row],[MainFn]]*Lookups!$B$90</f>
        <v>103101.94776000001</v>
      </c>
      <c r="AW1025" s="30">
        <f>Inventory[[#This Row],[UpprFn]]*Lookups!$B$91</f>
        <v>0</v>
      </c>
      <c r="AX1025" s="30">
        <f>Inventory[[#This Row],[Bsmt Area]]*Lookups!$B$95</f>
        <v>0</v>
      </c>
      <c r="AY1025" s="30">
        <f>Inventory[[#This Row],[AttGar]]*Lookups!$B$93</f>
        <v>20333.393856000002</v>
      </c>
      <c r="AZ1025" s="30">
        <f>ROUND(Inventory[[#This Row],[25Det]],-2)</f>
        <v>6200</v>
      </c>
      <c r="BA1025" s="30">
        <f>ROUND(SUM(Inventory[[#This Row],[Mdl Qlty]:[Mdl Garage Area]])+Inventory[[#This Row],[Mdl Res Intercept]],-2)</f>
        <v>337200</v>
      </c>
      <c r="BB1025" s="30">
        <f>ROUND(Inventory[[#This Row],[Mdl Land Intercept]]+Inventory[[#This Row],[Mdl LnAcres]],-2)</f>
        <v>67200</v>
      </c>
      <c r="BC1025" s="30">
        <f>Inventory[[#This Row],[Unadj Res Value]]+Inventory[[#This Row],[Unadj Det Value]]+Inventory[[#This Row],[Unadj Land Value]]</f>
        <v>410600</v>
      </c>
      <c r="BD1025" s="30">
        <f>(Inventory[[#This Row],[Unadj Total Value]]-Inventory[[#This Row],[24Final]])/Inventory[[#This Row],[24Final]]</f>
        <v>7.3183481442760059E-2</v>
      </c>
      <c r="BE1025" s="30">
        <f>VLOOKUP(Inventory[[#This Row],[Nbhd]],Lookups!$M$3:$P$5,4,FALSE)</f>
        <v>0.99970000000000003</v>
      </c>
      <c r="BF1025" s="30">
        <f>VLOOKUP(Inventory[[#This Row],[Qlty]],Lookups!$M$8:$P$22,4,FALSE)</f>
        <v>1.0019</v>
      </c>
      <c r="BG1025" s="30">
        <f>VLOOKUP(Inventory[[#This Row],[Cnd]],Lookups!$R$8:$U$17,4,FALSE)</f>
        <v>1.0007999999999999</v>
      </c>
      <c r="BH1025" s="30">
        <f>VLOOKUP(Inventory[[#This Row],[LivArea Range]],Lookups!$R$25:$U$43,4,FALSE)</f>
        <v>1.0007999999999999</v>
      </c>
      <c r="BI1025" s="30">
        <f>VLOOKUP(Inventory[[#This Row],[Decade]],Lookups!$M$24:$P$40,4,FALSE)</f>
        <v>0.99560000000000004</v>
      </c>
      <c r="BJ1025" s="30">
        <f>Inventory[[#This Row],[Nbhd Adj]]*0.95</f>
        <v>0.94971499999999998</v>
      </c>
      <c r="BK1025" s="30">
        <f>AVERAGE(Inventory[[#This Row],[Nbhd Adj]],Inventory[[#This Row],[Quality Adj]],Inventory[[#This Row],[Condition Adj]],Inventory[[#This Row],[Living Area Adj]],Inventory[[#This Row],[Decade Adj]])*0.95</f>
        <v>0.94977199999999984</v>
      </c>
      <c r="BL1025" s="30">
        <f>ROUND((SUM(Inventory[[#This Row],[Mdl Qlty]:[Mdl Garage Area]])+Inventory[[#This Row],[Mdl Res Intercept]])*Inventory[[#This Row],[Res Adj ]],-2)</f>
        <v>320200</v>
      </c>
      <c r="BM1025" s="30">
        <f>ROUND(Inventory[[#This Row],[25Det]]*Inventory[[#This Row],[Det/Nbhd Adj]],-2)</f>
        <v>5900</v>
      </c>
      <c r="BN1025" s="30">
        <f>Inventory[[#This Row],[Adjusted Res]]+Inventory[[#This Row],[Adj Det ]]</f>
        <v>326100</v>
      </c>
      <c r="BO1025" s="30">
        <f>ROUND((Inventory[[#This Row],[Mdl Land Intercept]]+Inventory[[#This Row],[Mdl LnAcres]])*Inventory[[#This Row],[Det/Nbhd Adj]],-2)</f>
        <v>63900</v>
      </c>
      <c r="BP1025" s="30">
        <f>Inventory[[#This Row],[Adjusted Impr Total]]+Inventory[[#This Row],[Adjusted Land Total]]</f>
        <v>390000</v>
      </c>
      <c r="BQ1025" s="30">
        <f>IFERROR((Inventory[[#This Row],[Adjusted Impr Total]]-Inventory[[#This Row],[24Bldg]])/Inventory[[#This Row],[24Bldg]],0)</f>
        <v>2.3540489642184557E-2</v>
      </c>
      <c r="BR1025" s="43">
        <f>(Inventory[[#This Row],[Adjusted Land Total]]-Inventory[[#This Row],[24Lnd]])/Inventory[[#This Row],[24Lnd]]</f>
        <v>-1.5625000000000001E-3</v>
      </c>
      <c r="BS1025" s="43">
        <f>(Inventory[[#This Row],[Adjusted Total]]-Inventory[[#This Row],[24Final]])/Inventory[[#This Row],[24Final]]</f>
        <v>1.934134866701516E-2</v>
      </c>
    </row>
    <row r="1026" spans="1:71">
      <c r="A1026" s="30">
        <v>2025</v>
      </c>
      <c r="B1026" s="31" t="s">
        <v>1541</v>
      </c>
      <c r="C1026" s="31">
        <f>LN(Inventory[[#This Row],[Acres]])</f>
        <v>-1.5141277326297755</v>
      </c>
      <c r="D1026" s="30">
        <v>0.22</v>
      </c>
      <c r="E1026" s="30">
        <v>9508</v>
      </c>
      <c r="F1026" s="31" t="s">
        <v>505</v>
      </c>
      <c r="G1026" s="31" t="s">
        <v>155</v>
      </c>
      <c r="H1026" s="31" t="s">
        <v>5</v>
      </c>
      <c r="I1026" s="31" t="s">
        <v>506</v>
      </c>
      <c r="J1026" s="31" t="s">
        <v>507</v>
      </c>
      <c r="K1026" s="31" t="s">
        <v>193</v>
      </c>
      <c r="L1026" s="31" t="s">
        <v>19</v>
      </c>
      <c r="M1026" s="31" t="s">
        <v>20</v>
      </c>
      <c r="N1026" s="31">
        <v>20</v>
      </c>
      <c r="O1026" s="31">
        <f>2024-Inventory[[#This Row],[YrBlt]]</f>
        <v>20</v>
      </c>
      <c r="P1026" s="31">
        <f>2024-Inventory[[#This Row],[EffYr]]</f>
        <v>20</v>
      </c>
      <c r="Q1026" s="30">
        <v>2004</v>
      </c>
      <c r="R1026" s="30">
        <v>2004</v>
      </c>
      <c r="S1026" s="30">
        <v>1106</v>
      </c>
      <c r="T1026" s="32"/>
      <c r="U1026" s="32"/>
      <c r="V1026" s="32"/>
      <c r="W1026" s="32"/>
      <c r="X1026" s="32">
        <f>Inventory[[#This Row],[Bsmt Area]]-Inventory[[#This Row],[FnBsmt]]</f>
        <v>0</v>
      </c>
      <c r="Y1026" s="32">
        <f>Inventory[[#This Row],[MainFn]]+Inventory[[#This Row],[UpprFn]]+Inventory[[#This Row],[AddFn]]+Inventory[[#This Row],[FnBsmt]]</f>
        <v>1106</v>
      </c>
      <c r="Z1026" s="32">
        <v>1500</v>
      </c>
      <c r="AA1026" s="31" t="s">
        <v>56</v>
      </c>
      <c r="AB1026" s="32"/>
      <c r="AC1026" s="30">
        <v>426</v>
      </c>
      <c r="AD1026" s="32"/>
      <c r="AE1026" s="32"/>
      <c r="AF1026" s="32"/>
      <c r="AG1026" s="32"/>
      <c r="AH1026" s="32"/>
      <c r="AI1026" s="30">
        <v>242090</v>
      </c>
      <c r="AJ1026" s="30">
        <v>220302</v>
      </c>
      <c r="AK1026" s="30">
        <v>0</v>
      </c>
      <c r="AL1026" s="30">
        <v>0</v>
      </c>
      <c r="AM1026" s="30">
        <v>65300</v>
      </c>
      <c r="AN1026" s="30">
        <v>275900</v>
      </c>
      <c r="AO1026" s="30">
        <v>341200</v>
      </c>
      <c r="AP1026" s="30">
        <f>Lookups!$B$58*0.6</f>
        <v>132535.48800000001</v>
      </c>
      <c r="AQ1026" s="30">
        <f>Lookups!$B$58*0.4</f>
        <v>88356.992000000013</v>
      </c>
      <c r="AR1026" s="30">
        <f>Lookups!$B$59*Inventory[[#This Row],[LnAcres]]</f>
        <v>-19871.898398035348</v>
      </c>
      <c r="AS1026" s="30">
        <f>VLOOKUP(Inventory[[#This Row],[Qlty]],Lookups!$A$66:$E$79,2,FALSE)</f>
        <v>37154.252388000001</v>
      </c>
      <c r="AT1026" s="30">
        <f>VLOOKUP(Inventory[[#This Row],[Cnd]],Lookups!$A$80:$E$88,2,FALSE)</f>
        <v>30300.329274</v>
      </c>
      <c r="AU1026" s="30">
        <f>Inventory[[#This Row],[EffAge]]*Lookups!$B$65</f>
        <v>-2174.8220000000001</v>
      </c>
      <c r="AV1026" s="30">
        <f>Inventory[[#This Row],[MainFn]]*Lookups!$B$90</f>
        <v>69025.880279999998</v>
      </c>
      <c r="AW1026" s="30">
        <f>Inventory[[#This Row],[UpprFn]]*Lookups!$B$91</f>
        <v>0</v>
      </c>
      <c r="AX1026" s="30">
        <f>Inventory[[#This Row],[Bsmt Area]]*Lookups!$B$95</f>
        <v>0</v>
      </c>
      <c r="AY1026" s="30">
        <f>Inventory[[#This Row],[AttGar]]*Lookups!$B$93</f>
        <v>15038.239206</v>
      </c>
      <c r="AZ1026" s="30">
        <f>ROUND(Inventory[[#This Row],[25Det]],-2)</f>
        <v>0</v>
      </c>
      <c r="BA1026" s="30">
        <f>ROUND(SUM(Inventory[[#This Row],[Mdl Qlty]:[Mdl Garage Area]])+Inventory[[#This Row],[Mdl Res Intercept]],-2)</f>
        <v>281900</v>
      </c>
      <c r="BB1026" s="30">
        <f>ROUND(Inventory[[#This Row],[Mdl Land Intercept]]+Inventory[[#This Row],[Mdl LnAcres]],-2)</f>
        <v>68500</v>
      </c>
      <c r="BC1026" s="30">
        <f>Inventory[[#This Row],[Unadj Res Value]]+Inventory[[#This Row],[Unadj Det Value]]+Inventory[[#This Row],[Unadj Land Value]]</f>
        <v>350400</v>
      </c>
      <c r="BD1026" s="30">
        <f>(Inventory[[#This Row],[Unadj Total Value]]-Inventory[[#This Row],[24Final]])/Inventory[[#This Row],[24Final]]</f>
        <v>2.6963657678780773E-2</v>
      </c>
      <c r="BE1026" s="30">
        <f>VLOOKUP(Inventory[[#This Row],[Nbhd]],Lookups!$M$3:$P$5,4,FALSE)</f>
        <v>0.99970000000000003</v>
      </c>
      <c r="BF1026" s="30">
        <f>VLOOKUP(Inventory[[#This Row],[Qlty]],Lookups!$M$8:$P$22,4,FALSE)</f>
        <v>0.99819999999999998</v>
      </c>
      <c r="BG1026" s="30">
        <f>VLOOKUP(Inventory[[#This Row],[Cnd]],Lookups!$R$8:$U$17,4,FALSE)</f>
        <v>0.997</v>
      </c>
      <c r="BH1026" s="30">
        <f>VLOOKUP(Inventory[[#This Row],[LivArea Range]],Lookups!$R$25:$U$43,4,FALSE)</f>
        <v>0.99519999999999997</v>
      </c>
      <c r="BI1026" s="30">
        <f>VLOOKUP(Inventory[[#This Row],[Decade]],Lookups!$M$24:$P$40,4,FALSE)</f>
        <v>0.99560000000000004</v>
      </c>
      <c r="BJ1026" s="30">
        <f>Inventory[[#This Row],[Nbhd Adj]]*0.95</f>
        <v>0.94971499999999998</v>
      </c>
      <c r="BK1026" s="30">
        <f>AVERAGE(Inventory[[#This Row],[Nbhd Adj]],Inventory[[#This Row],[Quality Adj]],Inventory[[#This Row],[Condition Adj]],Inventory[[#This Row],[Living Area Adj]],Inventory[[#This Row],[Decade Adj]])*0.95</f>
        <v>0.94728299999999988</v>
      </c>
      <c r="BL1026" s="30">
        <f>ROUND((SUM(Inventory[[#This Row],[Mdl Qlty]:[Mdl Garage Area]])+Inventory[[#This Row],[Mdl Res Intercept]])*Inventory[[#This Row],[Res Adj ]],-2)</f>
        <v>267000</v>
      </c>
      <c r="BM1026" s="30">
        <f>ROUND(Inventory[[#This Row],[25Det]]*Inventory[[#This Row],[Det/Nbhd Adj]],-2)</f>
        <v>0</v>
      </c>
      <c r="BN1026" s="30">
        <f>Inventory[[#This Row],[Adjusted Res]]+Inventory[[#This Row],[Adj Det ]]</f>
        <v>267000</v>
      </c>
      <c r="BO1026" s="30">
        <f>ROUND((Inventory[[#This Row],[Mdl Land Intercept]]+Inventory[[#This Row],[Mdl LnAcres]])*Inventory[[#This Row],[Det/Nbhd Adj]],-2)</f>
        <v>65000</v>
      </c>
      <c r="BP1026" s="30">
        <f>Inventory[[#This Row],[Adjusted Impr Total]]+Inventory[[#This Row],[Adjusted Land Total]]</f>
        <v>332000</v>
      </c>
      <c r="BQ1026" s="30">
        <f>IFERROR((Inventory[[#This Row],[Adjusted Impr Total]]-Inventory[[#This Row],[24Bldg]])/Inventory[[#This Row],[24Bldg]],0)</f>
        <v>-3.2258064516129031E-2</v>
      </c>
      <c r="BR1026" s="43">
        <f>(Inventory[[#This Row],[Adjusted Land Total]]-Inventory[[#This Row],[24Lnd]])/Inventory[[#This Row],[24Lnd]]</f>
        <v>-4.5941807044410417E-3</v>
      </c>
      <c r="BS1026" s="43">
        <f>(Inventory[[#This Row],[Adjusted Total]]-Inventory[[#This Row],[24Final]])/Inventory[[#This Row],[24Final]]</f>
        <v>-2.6963657678780773E-2</v>
      </c>
    </row>
    <row r="1027" spans="1:71">
      <c r="A1027" s="30">
        <v>2025</v>
      </c>
      <c r="B1027" s="31" t="s">
        <v>1542</v>
      </c>
      <c r="C1027" s="31">
        <f>LN(Inventory[[#This Row],[Acres]])</f>
        <v>-1.4271163556401458</v>
      </c>
      <c r="D1027" s="30">
        <v>0.24</v>
      </c>
      <c r="E1027" s="30">
        <v>10609</v>
      </c>
      <c r="F1027" s="31" t="s">
        <v>505</v>
      </c>
      <c r="G1027" s="31" t="s">
        <v>155</v>
      </c>
      <c r="H1027" s="31" t="s">
        <v>5</v>
      </c>
      <c r="I1027" s="31" t="s">
        <v>506</v>
      </c>
      <c r="J1027" s="31" t="s">
        <v>507</v>
      </c>
      <c r="K1027" s="31" t="s">
        <v>193</v>
      </c>
      <c r="L1027" s="31" t="s">
        <v>19</v>
      </c>
      <c r="M1027" s="31" t="s">
        <v>22</v>
      </c>
      <c r="N1027" s="31">
        <v>20</v>
      </c>
      <c r="O1027" s="31">
        <f>2024-Inventory[[#This Row],[YrBlt]]</f>
        <v>20</v>
      </c>
      <c r="P1027" s="31">
        <f>2024-Inventory[[#This Row],[EffYr]]</f>
        <v>20</v>
      </c>
      <c r="Q1027" s="30">
        <v>2004</v>
      </c>
      <c r="R1027" s="30">
        <v>2004</v>
      </c>
      <c r="S1027" s="30">
        <v>1380</v>
      </c>
      <c r="T1027" s="37"/>
      <c r="U1027" s="32"/>
      <c r="V1027" s="32"/>
      <c r="W1027" s="32"/>
      <c r="X1027" s="32">
        <f>Inventory[[#This Row],[Bsmt Area]]-Inventory[[#This Row],[FnBsmt]]</f>
        <v>0</v>
      </c>
      <c r="Y1027" s="32">
        <f>Inventory[[#This Row],[MainFn]]+Inventory[[#This Row],[UpprFn]]+Inventory[[#This Row],[AddFn]]+Inventory[[#This Row],[FnBsmt]]</f>
        <v>1380</v>
      </c>
      <c r="Z1027" s="32">
        <v>1500</v>
      </c>
      <c r="AA1027" s="31" t="s">
        <v>56</v>
      </c>
      <c r="AB1027" s="32"/>
      <c r="AC1027" s="30">
        <v>428</v>
      </c>
      <c r="AD1027" s="32"/>
      <c r="AE1027" s="32"/>
      <c r="AF1027" s="32"/>
      <c r="AG1027" s="32"/>
      <c r="AH1027" s="32"/>
      <c r="AI1027" s="30">
        <v>277753</v>
      </c>
      <c r="AJ1027" s="30">
        <v>255533</v>
      </c>
      <c r="AK1027" s="30">
        <v>0</v>
      </c>
      <c r="AL1027" s="30">
        <v>0</v>
      </c>
      <c r="AM1027" s="30">
        <v>66500</v>
      </c>
      <c r="AN1027" s="30">
        <v>305100</v>
      </c>
      <c r="AO1027" s="30">
        <v>371600</v>
      </c>
      <c r="AP1027" s="30">
        <f>Lookups!$B$58*0.6</f>
        <v>132535.48800000001</v>
      </c>
      <c r="AQ1027" s="30">
        <f>Lookups!$B$58*0.4</f>
        <v>88356.992000000013</v>
      </c>
      <c r="AR1027" s="30">
        <f>Lookups!$B$59*Inventory[[#This Row],[LnAcres]]</f>
        <v>-18729.933155771436</v>
      </c>
      <c r="AS1027" s="30">
        <f>VLOOKUP(Inventory[[#This Row],[Qlty]],Lookups!$A$66:$E$79,2,FALSE)</f>
        <v>37154.252388000001</v>
      </c>
      <c r="AT1027" s="30">
        <f>VLOOKUP(Inventory[[#This Row],[Cnd]],Lookups!$A$80:$E$88,2,FALSE)</f>
        <v>50438.379078999998</v>
      </c>
      <c r="AU1027" s="30">
        <f>Inventory[[#This Row],[EffAge]]*Lookups!$B$65</f>
        <v>-2174.8220000000001</v>
      </c>
      <c r="AV1027" s="30">
        <f>Inventory[[#This Row],[MainFn]]*Lookups!$B$90</f>
        <v>86126.324399999998</v>
      </c>
      <c r="AW1027" s="30">
        <f>Inventory[[#This Row],[UpprFn]]*Lookups!$B$91</f>
        <v>0</v>
      </c>
      <c r="AX1027" s="30">
        <f>Inventory[[#This Row],[Bsmt Area]]*Lookups!$B$95</f>
        <v>0</v>
      </c>
      <c r="AY1027" s="30">
        <f>Inventory[[#This Row],[AttGar]]*Lookups!$B$93</f>
        <v>15108.841268</v>
      </c>
      <c r="AZ1027" s="30">
        <f>ROUND(Inventory[[#This Row],[25Det]],-2)</f>
        <v>0</v>
      </c>
      <c r="BA1027" s="30">
        <f>ROUND(SUM(Inventory[[#This Row],[Mdl Qlty]:[Mdl Garage Area]])+Inventory[[#This Row],[Mdl Res Intercept]],-2)</f>
        <v>319200</v>
      </c>
      <c r="BB1027" s="30">
        <f>ROUND(Inventory[[#This Row],[Mdl Land Intercept]]+Inventory[[#This Row],[Mdl LnAcres]],-2)</f>
        <v>69600</v>
      </c>
      <c r="BC1027" s="30">
        <f>Inventory[[#This Row],[Unadj Res Value]]+Inventory[[#This Row],[Unadj Det Value]]+Inventory[[#This Row],[Unadj Land Value]]</f>
        <v>388800</v>
      </c>
      <c r="BD1027" s="30">
        <f>(Inventory[[#This Row],[Unadj Total Value]]-Inventory[[#This Row],[24Final]])/Inventory[[#This Row],[24Final]]</f>
        <v>4.6286329386437029E-2</v>
      </c>
      <c r="BE1027" s="30">
        <f>VLOOKUP(Inventory[[#This Row],[Nbhd]],Lookups!$M$3:$P$5,4,FALSE)</f>
        <v>0.99970000000000003</v>
      </c>
      <c r="BF1027" s="30">
        <f>VLOOKUP(Inventory[[#This Row],[Qlty]],Lookups!$M$8:$P$22,4,FALSE)</f>
        <v>0.99819999999999998</v>
      </c>
      <c r="BG1027" s="30">
        <f>VLOOKUP(Inventory[[#This Row],[Cnd]],Lookups!$R$8:$U$17,4,FALSE)</f>
        <v>1.0007999999999999</v>
      </c>
      <c r="BH1027" s="30">
        <f>VLOOKUP(Inventory[[#This Row],[LivArea Range]],Lookups!$R$25:$U$43,4,FALSE)</f>
        <v>0.99519999999999997</v>
      </c>
      <c r="BI1027" s="30">
        <f>VLOOKUP(Inventory[[#This Row],[Decade]],Lookups!$M$24:$P$40,4,FALSE)</f>
        <v>0.99560000000000004</v>
      </c>
      <c r="BJ1027" s="30">
        <f>Inventory[[#This Row],[Nbhd Adj]]*0.95</f>
        <v>0.94971499999999998</v>
      </c>
      <c r="BK1027" s="30">
        <f>AVERAGE(Inventory[[#This Row],[Nbhd Adj]],Inventory[[#This Row],[Quality Adj]],Inventory[[#This Row],[Condition Adj]],Inventory[[#This Row],[Living Area Adj]],Inventory[[#This Row],[Decade Adj]])*0.95</f>
        <v>0.94800499999999988</v>
      </c>
      <c r="BL1027" s="30">
        <f>ROUND((SUM(Inventory[[#This Row],[Mdl Qlty]:[Mdl Garage Area]])+Inventory[[#This Row],[Mdl Res Intercept]])*Inventory[[#This Row],[Res Adj ]],-2)</f>
        <v>302600</v>
      </c>
      <c r="BM1027" s="30">
        <f>ROUND(Inventory[[#This Row],[25Det]]*Inventory[[#This Row],[Det/Nbhd Adj]],-2)</f>
        <v>0</v>
      </c>
      <c r="BN1027" s="30">
        <f>Inventory[[#This Row],[Adjusted Res]]+Inventory[[#This Row],[Adj Det ]]</f>
        <v>302600</v>
      </c>
      <c r="BO1027" s="30">
        <f>ROUND((Inventory[[#This Row],[Mdl Land Intercept]]+Inventory[[#This Row],[Mdl LnAcres]])*Inventory[[#This Row],[Det/Nbhd Adj]],-2)</f>
        <v>66100</v>
      </c>
      <c r="BP1027" s="30">
        <f>Inventory[[#This Row],[Adjusted Impr Total]]+Inventory[[#This Row],[Adjusted Land Total]]</f>
        <v>368700</v>
      </c>
      <c r="BQ1027" s="30">
        <f>IFERROR((Inventory[[#This Row],[Adjusted Impr Total]]-Inventory[[#This Row],[24Bldg]])/Inventory[[#This Row],[24Bldg]],0)</f>
        <v>-8.1940347427073099E-3</v>
      </c>
      <c r="BR1027" s="43">
        <f>(Inventory[[#This Row],[Adjusted Land Total]]-Inventory[[#This Row],[24Lnd]])/Inventory[[#This Row],[24Lnd]]</f>
        <v>-6.0150375939849628E-3</v>
      </c>
      <c r="BS1027" s="43">
        <f>(Inventory[[#This Row],[Adjusted Total]]-Inventory[[#This Row],[24Final]])/Inventory[[#This Row],[24Final]]</f>
        <v>-7.8040904198062432E-3</v>
      </c>
    </row>
    <row r="1028" spans="1:71">
      <c r="A1028" s="30">
        <v>2025</v>
      </c>
      <c r="B1028" s="31" t="s">
        <v>1543</v>
      </c>
      <c r="C1028" s="31">
        <f>LN(Inventory[[#This Row],[Acres]])</f>
        <v>-1.4271163556401458</v>
      </c>
      <c r="D1028" s="30">
        <v>0.24</v>
      </c>
      <c r="E1028" s="30">
        <v>10595</v>
      </c>
      <c r="F1028" s="31" t="s">
        <v>505</v>
      </c>
      <c r="G1028" s="31" t="s">
        <v>155</v>
      </c>
      <c r="H1028" s="31" t="s">
        <v>5</v>
      </c>
      <c r="I1028" s="31" t="s">
        <v>506</v>
      </c>
      <c r="J1028" s="31" t="s">
        <v>507</v>
      </c>
      <c r="K1028" s="31" t="s">
        <v>193</v>
      </c>
      <c r="L1028" s="31" t="s">
        <v>21</v>
      </c>
      <c r="M1028" s="31" t="s">
        <v>22</v>
      </c>
      <c r="N1028" s="31">
        <v>20</v>
      </c>
      <c r="O1028" s="31">
        <f>2024-Inventory[[#This Row],[YrBlt]]</f>
        <v>20</v>
      </c>
      <c r="P1028" s="31">
        <f>2024-Inventory[[#This Row],[EffYr]]</f>
        <v>20</v>
      </c>
      <c r="Q1028" s="30">
        <v>2004</v>
      </c>
      <c r="R1028" s="30">
        <v>2004</v>
      </c>
      <c r="S1028" s="30">
        <v>1380</v>
      </c>
      <c r="T1028" s="32"/>
      <c r="U1028" s="32"/>
      <c r="V1028" s="32"/>
      <c r="W1028" s="32"/>
      <c r="X1028" s="32">
        <f>Inventory[[#This Row],[Bsmt Area]]-Inventory[[#This Row],[FnBsmt]]</f>
        <v>0</v>
      </c>
      <c r="Y1028" s="32">
        <f>Inventory[[#This Row],[MainFn]]+Inventory[[#This Row],[UpprFn]]+Inventory[[#This Row],[AddFn]]+Inventory[[#This Row],[FnBsmt]]</f>
        <v>1380</v>
      </c>
      <c r="Z1028" s="32">
        <v>1500</v>
      </c>
      <c r="AA1028" s="31" t="s">
        <v>56</v>
      </c>
      <c r="AB1028" s="32"/>
      <c r="AC1028" s="30">
        <v>428</v>
      </c>
      <c r="AD1028" s="32"/>
      <c r="AE1028" s="32"/>
      <c r="AF1028" s="32"/>
      <c r="AG1028" s="32"/>
      <c r="AH1028" s="32"/>
      <c r="AI1028" s="30">
        <v>311438</v>
      </c>
      <c r="AJ1028" s="30">
        <v>286523</v>
      </c>
      <c r="AK1028" s="30">
        <v>0</v>
      </c>
      <c r="AL1028" s="30">
        <v>0</v>
      </c>
      <c r="AM1028" s="30">
        <v>66500</v>
      </c>
      <c r="AN1028" s="30">
        <v>300700</v>
      </c>
      <c r="AO1028" s="30">
        <v>367200</v>
      </c>
      <c r="AP1028" s="30">
        <f>Lookups!$B$58*0.6</f>
        <v>132535.48800000001</v>
      </c>
      <c r="AQ1028" s="30">
        <f>Lookups!$B$58*0.4</f>
        <v>88356.992000000013</v>
      </c>
      <c r="AR1028" s="30">
        <f>Lookups!$B$59*Inventory[[#This Row],[LnAcres]]</f>
        <v>-18729.933155771436</v>
      </c>
      <c r="AS1028" s="30">
        <f>VLOOKUP(Inventory[[#This Row],[Qlty]],Lookups!$A$66:$E$79,2,FALSE)</f>
        <v>32917.849192000001</v>
      </c>
      <c r="AT1028" s="30">
        <f>VLOOKUP(Inventory[[#This Row],[Cnd]],Lookups!$A$80:$E$88,2,FALSE)</f>
        <v>50438.379078999998</v>
      </c>
      <c r="AU1028" s="30">
        <f>Inventory[[#This Row],[EffAge]]*Lookups!$B$65</f>
        <v>-2174.8220000000001</v>
      </c>
      <c r="AV1028" s="30">
        <f>Inventory[[#This Row],[MainFn]]*Lookups!$B$90</f>
        <v>86126.324399999998</v>
      </c>
      <c r="AW1028" s="30">
        <f>Inventory[[#This Row],[UpprFn]]*Lookups!$B$91</f>
        <v>0</v>
      </c>
      <c r="AX1028" s="30">
        <f>Inventory[[#This Row],[Bsmt Area]]*Lookups!$B$95</f>
        <v>0</v>
      </c>
      <c r="AY1028" s="30">
        <f>Inventory[[#This Row],[AttGar]]*Lookups!$B$93</f>
        <v>15108.841268</v>
      </c>
      <c r="AZ1028" s="30">
        <f>ROUND(Inventory[[#This Row],[25Det]],-2)</f>
        <v>0</v>
      </c>
      <c r="BA1028" s="30">
        <f>ROUND(SUM(Inventory[[#This Row],[Mdl Qlty]:[Mdl Garage Area]])+Inventory[[#This Row],[Mdl Res Intercept]],-2)</f>
        <v>315000</v>
      </c>
      <c r="BB1028" s="30">
        <f>ROUND(Inventory[[#This Row],[Mdl Land Intercept]]+Inventory[[#This Row],[Mdl LnAcres]],-2)</f>
        <v>69600</v>
      </c>
      <c r="BC1028" s="30">
        <f>Inventory[[#This Row],[Unadj Res Value]]+Inventory[[#This Row],[Unadj Det Value]]+Inventory[[#This Row],[Unadj Land Value]]</f>
        <v>384600</v>
      </c>
      <c r="BD1028" s="30">
        <f>(Inventory[[#This Row],[Unadj Total Value]]-Inventory[[#This Row],[24Final]])/Inventory[[#This Row],[24Final]]</f>
        <v>4.7385620915032678E-2</v>
      </c>
      <c r="BE1028" s="30">
        <f>VLOOKUP(Inventory[[#This Row],[Nbhd]],Lookups!$M$3:$P$5,4,FALSE)</f>
        <v>0.99970000000000003</v>
      </c>
      <c r="BF1028" s="30">
        <f>VLOOKUP(Inventory[[#This Row],[Qlty]],Lookups!$M$8:$P$22,4,FALSE)</f>
        <v>1.0019</v>
      </c>
      <c r="BG1028" s="30">
        <f>VLOOKUP(Inventory[[#This Row],[Cnd]],Lookups!$R$8:$U$17,4,FALSE)</f>
        <v>1.0007999999999999</v>
      </c>
      <c r="BH1028" s="30">
        <f>VLOOKUP(Inventory[[#This Row],[LivArea Range]],Lookups!$R$25:$U$43,4,FALSE)</f>
        <v>0.99519999999999997</v>
      </c>
      <c r="BI1028" s="30">
        <f>VLOOKUP(Inventory[[#This Row],[Decade]],Lookups!$M$24:$P$40,4,FALSE)</f>
        <v>0.99560000000000004</v>
      </c>
      <c r="BJ1028" s="30">
        <f>Inventory[[#This Row],[Nbhd Adj]]*0.95</f>
        <v>0.94971499999999998</v>
      </c>
      <c r="BK1028" s="30">
        <f>AVERAGE(Inventory[[#This Row],[Nbhd Adj]],Inventory[[#This Row],[Quality Adj]],Inventory[[#This Row],[Condition Adj]],Inventory[[#This Row],[Living Area Adj]],Inventory[[#This Row],[Decade Adj]])*0.95</f>
        <v>0.94870799999999988</v>
      </c>
      <c r="BL1028" s="30">
        <f>ROUND((SUM(Inventory[[#This Row],[Mdl Qlty]:[Mdl Garage Area]])+Inventory[[#This Row],[Mdl Res Intercept]])*Inventory[[#This Row],[Res Adj ]],-2)</f>
        <v>298800</v>
      </c>
      <c r="BM1028" s="30">
        <f>ROUND(Inventory[[#This Row],[25Det]]*Inventory[[#This Row],[Det/Nbhd Adj]],-2)</f>
        <v>0</v>
      </c>
      <c r="BN1028" s="30">
        <f>Inventory[[#This Row],[Adjusted Res]]+Inventory[[#This Row],[Adj Det ]]</f>
        <v>298800</v>
      </c>
      <c r="BO1028" s="30">
        <f>ROUND((Inventory[[#This Row],[Mdl Land Intercept]]+Inventory[[#This Row],[Mdl LnAcres]])*Inventory[[#This Row],[Det/Nbhd Adj]],-2)</f>
        <v>66100</v>
      </c>
      <c r="BP1028" s="30">
        <f>Inventory[[#This Row],[Adjusted Impr Total]]+Inventory[[#This Row],[Adjusted Land Total]]</f>
        <v>364900</v>
      </c>
      <c r="BQ1028" s="30">
        <f>IFERROR((Inventory[[#This Row],[Adjusted Impr Total]]-Inventory[[#This Row],[24Bldg]])/Inventory[[#This Row],[24Bldg]],0)</f>
        <v>-6.3185899567675423E-3</v>
      </c>
      <c r="BR1028" s="43">
        <f>(Inventory[[#This Row],[Adjusted Land Total]]-Inventory[[#This Row],[24Lnd]])/Inventory[[#This Row],[24Lnd]]</f>
        <v>-6.0150375939849628E-3</v>
      </c>
      <c r="BS1028" s="43">
        <f>(Inventory[[#This Row],[Adjusted Total]]-Inventory[[#This Row],[24Final]])/Inventory[[#This Row],[24Final]]</f>
        <v>-6.2636165577342048E-3</v>
      </c>
    </row>
    <row r="1029" spans="1:71">
      <c r="A1029" s="30">
        <v>2025</v>
      </c>
      <c r="B1029" s="31" t="s">
        <v>1544</v>
      </c>
      <c r="C1029" s="31">
        <f>LN(Inventory[[#This Row],[Acres]])</f>
        <v>-1.3862943611198906</v>
      </c>
      <c r="D1029" s="30">
        <v>0.25</v>
      </c>
      <c r="E1029" s="30">
        <v>10844</v>
      </c>
      <c r="F1029" s="31" t="s">
        <v>505</v>
      </c>
      <c r="G1029" s="31" t="s">
        <v>155</v>
      </c>
      <c r="H1029" s="31" t="s">
        <v>5</v>
      </c>
      <c r="I1029" s="31" t="s">
        <v>506</v>
      </c>
      <c r="J1029" s="31" t="s">
        <v>507</v>
      </c>
      <c r="K1029" s="31" t="s">
        <v>193</v>
      </c>
      <c r="L1029" s="31" t="s">
        <v>19</v>
      </c>
      <c r="M1029" s="31" t="s">
        <v>20</v>
      </c>
      <c r="N1029" s="31">
        <v>20</v>
      </c>
      <c r="O1029" s="31">
        <f>2024-Inventory[[#This Row],[YrBlt]]</f>
        <v>20</v>
      </c>
      <c r="P1029" s="31">
        <f>2024-Inventory[[#This Row],[EffYr]]</f>
        <v>20</v>
      </c>
      <c r="Q1029" s="30">
        <v>2004</v>
      </c>
      <c r="R1029" s="30">
        <v>2004</v>
      </c>
      <c r="S1029" s="30">
        <v>1690</v>
      </c>
      <c r="T1029" s="32"/>
      <c r="U1029" s="32"/>
      <c r="V1029" s="32"/>
      <c r="W1029" s="32"/>
      <c r="X1029" s="32">
        <f>Inventory[[#This Row],[Bsmt Area]]-Inventory[[#This Row],[FnBsmt]]</f>
        <v>0</v>
      </c>
      <c r="Y1029" s="32">
        <f>Inventory[[#This Row],[MainFn]]+Inventory[[#This Row],[UpprFn]]+Inventory[[#This Row],[AddFn]]+Inventory[[#This Row],[FnBsmt]]</f>
        <v>1690</v>
      </c>
      <c r="Z1029" s="32">
        <v>2000</v>
      </c>
      <c r="AA1029" s="31" t="s">
        <v>57</v>
      </c>
      <c r="AB1029" s="32"/>
      <c r="AC1029" s="30">
        <v>466</v>
      </c>
      <c r="AD1029" s="32"/>
      <c r="AE1029" s="32"/>
      <c r="AF1029" s="32"/>
      <c r="AG1029" s="32"/>
      <c r="AH1029" s="32"/>
      <c r="AI1029" s="30">
        <v>330383</v>
      </c>
      <c r="AJ1029" s="30">
        <v>300649</v>
      </c>
      <c r="AK1029" s="30">
        <v>0</v>
      </c>
      <c r="AL1029" s="30">
        <v>0</v>
      </c>
      <c r="AM1029" s="30">
        <v>67100</v>
      </c>
      <c r="AN1029" s="30">
        <v>309300</v>
      </c>
      <c r="AO1029" s="30">
        <v>376400</v>
      </c>
      <c r="AP1029" s="30">
        <f>Lookups!$B$58*0.6</f>
        <v>132535.48800000001</v>
      </c>
      <c r="AQ1029" s="30">
        <f>Lookups!$B$58*0.4</f>
        <v>88356.992000000013</v>
      </c>
      <c r="AR1029" s="30">
        <f>Lookups!$B$59*Inventory[[#This Row],[LnAcres]]</f>
        <v>-18194.172195827363</v>
      </c>
      <c r="AS1029" s="30">
        <f>VLOOKUP(Inventory[[#This Row],[Qlty]],Lookups!$A$66:$E$79,2,FALSE)</f>
        <v>37154.252388000001</v>
      </c>
      <c r="AT1029" s="30">
        <f>VLOOKUP(Inventory[[#This Row],[Cnd]],Lookups!$A$80:$E$88,2,FALSE)</f>
        <v>30300.329274</v>
      </c>
      <c r="AU1029" s="30">
        <f>Inventory[[#This Row],[EffAge]]*Lookups!$B$65</f>
        <v>-2174.8220000000001</v>
      </c>
      <c r="AV1029" s="30">
        <f>Inventory[[#This Row],[MainFn]]*Lookups!$B$90</f>
        <v>105473.54220000001</v>
      </c>
      <c r="AW1029" s="30">
        <f>Inventory[[#This Row],[UpprFn]]*Lookups!$B$91</f>
        <v>0</v>
      </c>
      <c r="AX1029" s="30">
        <f>Inventory[[#This Row],[Bsmt Area]]*Lookups!$B$95</f>
        <v>0</v>
      </c>
      <c r="AY1029" s="30">
        <f>Inventory[[#This Row],[AttGar]]*Lookups!$B$93</f>
        <v>16450.280446000001</v>
      </c>
      <c r="AZ1029" s="30">
        <f>ROUND(Inventory[[#This Row],[25Det]],-2)</f>
        <v>0</v>
      </c>
      <c r="BA1029" s="30">
        <f>ROUND(SUM(Inventory[[#This Row],[Mdl Qlty]:[Mdl Garage Area]])+Inventory[[#This Row],[Mdl Res Intercept]],-2)</f>
        <v>319700</v>
      </c>
      <c r="BB1029" s="30">
        <f>ROUND(Inventory[[#This Row],[Mdl Land Intercept]]+Inventory[[#This Row],[Mdl LnAcres]],-2)</f>
        <v>70200</v>
      </c>
      <c r="BC1029" s="30">
        <f>Inventory[[#This Row],[Unadj Res Value]]+Inventory[[#This Row],[Unadj Det Value]]+Inventory[[#This Row],[Unadj Land Value]]</f>
        <v>389900</v>
      </c>
      <c r="BD1029" s="30">
        <f>(Inventory[[#This Row],[Unadj Total Value]]-Inventory[[#This Row],[24Final]])/Inventory[[#This Row],[24Final]]</f>
        <v>3.5866099893730075E-2</v>
      </c>
      <c r="BE1029" s="30">
        <f>VLOOKUP(Inventory[[#This Row],[Nbhd]],Lookups!$M$3:$P$5,4,FALSE)</f>
        <v>0.99970000000000003</v>
      </c>
      <c r="BF1029" s="30">
        <f>VLOOKUP(Inventory[[#This Row],[Qlty]],Lookups!$M$8:$P$22,4,FALSE)</f>
        <v>0.99819999999999998</v>
      </c>
      <c r="BG1029" s="30">
        <f>VLOOKUP(Inventory[[#This Row],[Cnd]],Lookups!$R$8:$U$17,4,FALSE)</f>
        <v>0.997</v>
      </c>
      <c r="BH1029" s="30">
        <f>VLOOKUP(Inventory[[#This Row],[LivArea Range]],Lookups!$R$25:$U$43,4,FALSE)</f>
        <v>1.0007999999999999</v>
      </c>
      <c r="BI1029" s="30">
        <f>VLOOKUP(Inventory[[#This Row],[Decade]],Lookups!$M$24:$P$40,4,FALSE)</f>
        <v>0.99560000000000004</v>
      </c>
      <c r="BJ1029" s="30">
        <f>Inventory[[#This Row],[Nbhd Adj]]*0.95</f>
        <v>0.94971499999999998</v>
      </c>
      <c r="BK1029" s="30">
        <f>AVERAGE(Inventory[[#This Row],[Nbhd Adj]],Inventory[[#This Row],[Quality Adj]],Inventory[[#This Row],[Condition Adj]],Inventory[[#This Row],[Living Area Adj]],Inventory[[#This Row],[Decade Adj]])*0.95</f>
        <v>0.94834699999999994</v>
      </c>
      <c r="BL1029" s="30">
        <f>ROUND((SUM(Inventory[[#This Row],[Mdl Qlty]:[Mdl Garage Area]])+Inventory[[#This Row],[Mdl Res Intercept]])*Inventory[[#This Row],[Res Adj ]],-2)</f>
        <v>303200</v>
      </c>
      <c r="BM1029" s="30">
        <f>ROUND(Inventory[[#This Row],[25Det]]*Inventory[[#This Row],[Det/Nbhd Adj]],-2)</f>
        <v>0</v>
      </c>
      <c r="BN1029" s="30">
        <f>Inventory[[#This Row],[Adjusted Res]]+Inventory[[#This Row],[Adj Det ]]</f>
        <v>303200</v>
      </c>
      <c r="BO1029" s="30">
        <f>ROUND((Inventory[[#This Row],[Mdl Land Intercept]]+Inventory[[#This Row],[Mdl LnAcres]])*Inventory[[#This Row],[Det/Nbhd Adj]],-2)</f>
        <v>66600</v>
      </c>
      <c r="BP1029" s="30">
        <f>Inventory[[#This Row],[Adjusted Impr Total]]+Inventory[[#This Row],[Adjusted Land Total]]</f>
        <v>369800</v>
      </c>
      <c r="BQ1029" s="30">
        <f>IFERROR((Inventory[[#This Row],[Adjusted Impr Total]]-Inventory[[#This Row],[24Bldg]])/Inventory[[#This Row],[24Bldg]],0)</f>
        <v>-1.9721952796637569E-2</v>
      </c>
      <c r="BR1029" s="43">
        <f>(Inventory[[#This Row],[Adjusted Land Total]]-Inventory[[#This Row],[24Lnd]])/Inventory[[#This Row],[24Lnd]]</f>
        <v>-7.4515648286140089E-3</v>
      </c>
      <c r="BS1029" s="43">
        <f>(Inventory[[#This Row],[Adjusted Total]]-Inventory[[#This Row],[24Final]])/Inventory[[#This Row],[24Final]]</f>
        <v>-1.7534537725823592E-2</v>
      </c>
    </row>
    <row r="1030" spans="1:71">
      <c r="A1030" s="30">
        <v>2025</v>
      </c>
      <c r="B1030" s="31" t="s">
        <v>1545</v>
      </c>
      <c r="C1030" s="31">
        <f>LN(Inventory[[#This Row],[Acres]])</f>
        <v>-0.75502258427803282</v>
      </c>
      <c r="D1030" s="30">
        <v>0.47</v>
      </c>
      <c r="E1030" s="30">
        <v>20331</v>
      </c>
      <c r="F1030" s="31" t="s">
        <v>505</v>
      </c>
      <c r="G1030" s="31" t="s">
        <v>155</v>
      </c>
      <c r="H1030" s="31" t="s">
        <v>5</v>
      </c>
      <c r="I1030" s="31" t="s">
        <v>506</v>
      </c>
      <c r="J1030" s="31" t="s">
        <v>507</v>
      </c>
      <c r="K1030" s="31" t="s">
        <v>330</v>
      </c>
      <c r="L1030" s="31" t="s">
        <v>21</v>
      </c>
      <c r="M1030" s="31" t="s">
        <v>22</v>
      </c>
      <c r="N1030" s="31">
        <v>20</v>
      </c>
      <c r="O1030" s="31">
        <f>2024-Inventory[[#This Row],[YrBlt]]</f>
        <v>20</v>
      </c>
      <c r="P1030" s="31">
        <f>2024-Inventory[[#This Row],[EffYr]]</f>
        <v>20</v>
      </c>
      <c r="Q1030" s="30">
        <v>2004</v>
      </c>
      <c r="R1030" s="30">
        <v>2004</v>
      </c>
      <c r="S1030" s="30">
        <v>1750</v>
      </c>
      <c r="T1030" s="32"/>
      <c r="U1030" s="32"/>
      <c r="V1030" s="32"/>
      <c r="W1030" s="32"/>
      <c r="X1030" s="32">
        <f>Inventory[[#This Row],[Bsmt Area]]-Inventory[[#This Row],[FnBsmt]]</f>
        <v>0</v>
      </c>
      <c r="Y1030" s="32">
        <f>Inventory[[#This Row],[MainFn]]+Inventory[[#This Row],[UpprFn]]+Inventory[[#This Row],[AddFn]]+Inventory[[#This Row],[FnBsmt]]</f>
        <v>1750</v>
      </c>
      <c r="Z1030" s="32">
        <v>2000</v>
      </c>
      <c r="AA1030" s="31" t="s">
        <v>55</v>
      </c>
      <c r="AB1030" s="32"/>
      <c r="AC1030" s="30">
        <v>1272</v>
      </c>
      <c r="AD1030" s="32"/>
      <c r="AE1030" s="32"/>
      <c r="AF1030" s="32"/>
      <c r="AG1030" s="32"/>
      <c r="AH1030" s="32"/>
      <c r="AI1030" s="30">
        <v>444326</v>
      </c>
      <c r="AJ1030" s="30">
        <v>408780</v>
      </c>
      <c r="AK1030" s="30">
        <v>6047</v>
      </c>
      <c r="AL1030" s="30">
        <v>0</v>
      </c>
      <c r="AM1030" s="30">
        <v>75900</v>
      </c>
      <c r="AN1030" s="30">
        <v>356300</v>
      </c>
      <c r="AO1030" s="30">
        <v>432200</v>
      </c>
      <c r="AP1030" s="30">
        <f>Lookups!$B$58*0.6</f>
        <v>132535.48800000001</v>
      </c>
      <c r="AQ1030" s="30">
        <f>Lookups!$B$58*0.4</f>
        <v>88356.992000000013</v>
      </c>
      <c r="AR1030" s="30">
        <f>Lookups!$B$59*Inventory[[#This Row],[LnAcres]]</f>
        <v>-9909.1587583144556</v>
      </c>
      <c r="AS1030" s="30">
        <f>VLOOKUP(Inventory[[#This Row],[Qlty]],Lookups!$A$66:$E$79,2,FALSE)</f>
        <v>32917.849192000001</v>
      </c>
      <c r="AT1030" s="30">
        <f>VLOOKUP(Inventory[[#This Row],[Cnd]],Lookups!$A$80:$E$88,2,FALSE)</f>
        <v>50438.379078999998</v>
      </c>
      <c r="AU1030" s="30">
        <f>Inventory[[#This Row],[EffAge]]*Lookups!$B$65</f>
        <v>-2174.8220000000001</v>
      </c>
      <c r="AV1030" s="30">
        <f>Inventory[[#This Row],[MainFn]]*Lookups!$B$90</f>
        <v>109218.16500000001</v>
      </c>
      <c r="AW1030" s="30">
        <f>Inventory[[#This Row],[UpprFn]]*Lookups!$B$91</f>
        <v>0</v>
      </c>
      <c r="AX1030" s="30">
        <f>Inventory[[#This Row],[Bsmt Area]]*Lookups!$B$95</f>
        <v>0</v>
      </c>
      <c r="AY1030" s="30">
        <f>Inventory[[#This Row],[AttGar]]*Lookups!$B$93</f>
        <v>44902.911432000001</v>
      </c>
      <c r="AZ1030" s="30">
        <f>ROUND(Inventory[[#This Row],[25Det]],-2)</f>
        <v>6000</v>
      </c>
      <c r="BA1030" s="30">
        <f>ROUND(SUM(Inventory[[#This Row],[Mdl Qlty]:[Mdl Garage Area]])+Inventory[[#This Row],[Mdl Res Intercept]],-2)</f>
        <v>367800</v>
      </c>
      <c r="BB1030" s="30">
        <f>ROUND(Inventory[[#This Row],[Mdl Land Intercept]]+Inventory[[#This Row],[Mdl LnAcres]],-2)</f>
        <v>78400</v>
      </c>
      <c r="BC1030" s="30">
        <f>Inventory[[#This Row],[Unadj Res Value]]+Inventory[[#This Row],[Unadj Det Value]]+Inventory[[#This Row],[Unadj Land Value]]</f>
        <v>452200</v>
      </c>
      <c r="BD1030" s="30">
        <f>(Inventory[[#This Row],[Unadj Total Value]]-Inventory[[#This Row],[24Final]])/Inventory[[#This Row],[24Final]]</f>
        <v>4.6274872744099957E-2</v>
      </c>
      <c r="BE1030" s="30">
        <f>VLOOKUP(Inventory[[#This Row],[Nbhd]],Lookups!$M$3:$P$5,4,FALSE)</f>
        <v>0.99970000000000003</v>
      </c>
      <c r="BF1030" s="30">
        <f>VLOOKUP(Inventory[[#This Row],[Qlty]],Lookups!$M$8:$P$22,4,FALSE)</f>
        <v>1.0019</v>
      </c>
      <c r="BG1030" s="30">
        <f>VLOOKUP(Inventory[[#This Row],[Cnd]],Lookups!$R$8:$U$17,4,FALSE)</f>
        <v>1.0007999999999999</v>
      </c>
      <c r="BH1030" s="30">
        <f>VLOOKUP(Inventory[[#This Row],[LivArea Range]],Lookups!$R$25:$U$43,4,FALSE)</f>
        <v>1.0007999999999999</v>
      </c>
      <c r="BI1030" s="30">
        <f>VLOOKUP(Inventory[[#This Row],[Decade]],Lookups!$M$24:$P$40,4,FALSE)</f>
        <v>0.99560000000000004</v>
      </c>
      <c r="BJ1030" s="30">
        <f>Inventory[[#This Row],[Nbhd Adj]]*0.95</f>
        <v>0.94971499999999998</v>
      </c>
      <c r="BK1030" s="30">
        <f>AVERAGE(Inventory[[#This Row],[Nbhd Adj]],Inventory[[#This Row],[Quality Adj]],Inventory[[#This Row],[Condition Adj]],Inventory[[#This Row],[Living Area Adj]],Inventory[[#This Row],[Decade Adj]])*0.95</f>
        <v>0.94977199999999984</v>
      </c>
      <c r="BL1030" s="30">
        <f>ROUND((SUM(Inventory[[#This Row],[Mdl Qlty]:[Mdl Garage Area]])+Inventory[[#This Row],[Mdl Res Intercept]])*Inventory[[#This Row],[Res Adj ]],-2)</f>
        <v>349400</v>
      </c>
      <c r="BM1030" s="30">
        <f>ROUND(Inventory[[#This Row],[25Det]]*Inventory[[#This Row],[Det/Nbhd Adj]],-2)</f>
        <v>5700</v>
      </c>
      <c r="BN1030" s="30">
        <f>Inventory[[#This Row],[Adjusted Res]]+Inventory[[#This Row],[Adj Det ]]</f>
        <v>355100</v>
      </c>
      <c r="BO1030" s="30">
        <f>ROUND((Inventory[[#This Row],[Mdl Land Intercept]]+Inventory[[#This Row],[Mdl LnAcres]])*Inventory[[#This Row],[Det/Nbhd Adj]],-2)</f>
        <v>74500</v>
      </c>
      <c r="BP1030" s="30">
        <f>Inventory[[#This Row],[Adjusted Impr Total]]+Inventory[[#This Row],[Adjusted Land Total]]</f>
        <v>429600</v>
      </c>
      <c r="BQ1030" s="30">
        <f>IFERROR((Inventory[[#This Row],[Adjusted Impr Total]]-Inventory[[#This Row],[24Bldg]])/Inventory[[#This Row],[24Bldg]],0)</f>
        <v>-3.3679483581251753E-3</v>
      </c>
      <c r="BR1030" s="43">
        <f>(Inventory[[#This Row],[Adjusted Land Total]]-Inventory[[#This Row],[24Lnd]])/Inventory[[#This Row],[24Lnd]]</f>
        <v>-1.844532279314888E-2</v>
      </c>
      <c r="BS1030" s="43">
        <f>(Inventory[[#This Row],[Adjusted Total]]-Inventory[[#This Row],[24Final]])/Inventory[[#This Row],[24Final]]</f>
        <v>-6.015733456732994E-3</v>
      </c>
    </row>
    <row r="1031" spans="1:71">
      <c r="A1031" s="30">
        <v>2025</v>
      </c>
      <c r="B1031" s="31" t="s">
        <v>1546</v>
      </c>
      <c r="C1031" s="31">
        <f>LN(Inventory[[#This Row],[Acres]])</f>
        <v>-1.6094379124341003</v>
      </c>
      <c r="D1031" s="30">
        <v>0.2</v>
      </c>
      <c r="E1031" s="30">
        <v>8904</v>
      </c>
      <c r="F1031" s="31" t="s">
        <v>505</v>
      </c>
      <c r="G1031" s="31" t="s">
        <v>155</v>
      </c>
      <c r="H1031" s="31" t="s">
        <v>5</v>
      </c>
      <c r="I1031" s="31" t="s">
        <v>506</v>
      </c>
      <c r="J1031" s="31" t="s">
        <v>507</v>
      </c>
      <c r="K1031" s="31" t="s">
        <v>157</v>
      </c>
      <c r="L1031" s="31" t="s">
        <v>19</v>
      </c>
      <c r="M1031" s="31" t="s">
        <v>20</v>
      </c>
      <c r="N1031" s="31">
        <v>20</v>
      </c>
      <c r="O1031" s="31">
        <f>2024-Inventory[[#This Row],[YrBlt]]</f>
        <v>21</v>
      </c>
      <c r="P1031" s="31">
        <f>2024-Inventory[[#This Row],[EffYr]]</f>
        <v>21</v>
      </c>
      <c r="Q1031" s="30">
        <v>2003</v>
      </c>
      <c r="R1031" s="30">
        <v>2003</v>
      </c>
      <c r="S1031" s="30">
        <v>1548</v>
      </c>
      <c r="T1031" s="32"/>
      <c r="U1031" s="32"/>
      <c r="V1031" s="32"/>
      <c r="W1031" s="32"/>
      <c r="X1031" s="32">
        <f>Inventory[[#This Row],[Bsmt Area]]-Inventory[[#This Row],[FnBsmt]]</f>
        <v>0</v>
      </c>
      <c r="Y1031" s="32">
        <f>Inventory[[#This Row],[MainFn]]+Inventory[[#This Row],[UpprFn]]+Inventory[[#This Row],[AddFn]]+Inventory[[#This Row],[FnBsmt]]</f>
        <v>1548</v>
      </c>
      <c r="Z1031" s="32">
        <v>2000</v>
      </c>
      <c r="AA1031" s="31" t="s">
        <v>56</v>
      </c>
      <c r="AB1031" s="32"/>
      <c r="AC1031" s="30">
        <v>420</v>
      </c>
      <c r="AD1031" s="32"/>
      <c r="AE1031" s="32"/>
      <c r="AF1031" s="32"/>
      <c r="AG1031" s="32"/>
      <c r="AH1031" s="32"/>
      <c r="AI1031" s="30">
        <v>303835</v>
      </c>
      <c r="AJ1031" s="30">
        <v>276490</v>
      </c>
      <c r="AK1031" s="30">
        <v>0</v>
      </c>
      <c r="AL1031" s="30">
        <v>0</v>
      </c>
      <c r="AM1031" s="30">
        <v>64000</v>
      </c>
      <c r="AN1031" s="30">
        <v>289300</v>
      </c>
      <c r="AO1031" s="30">
        <v>353300</v>
      </c>
      <c r="AP1031" s="30">
        <f>Lookups!$B$58*0.6</f>
        <v>132535.48800000001</v>
      </c>
      <c r="AQ1031" s="30">
        <f>Lookups!$B$58*0.4</f>
        <v>88356.992000000013</v>
      </c>
      <c r="AR1031" s="30">
        <f>Lookups!$B$59*Inventory[[#This Row],[LnAcres]]</f>
        <v>-21122.779792355024</v>
      </c>
      <c r="AS1031" s="30">
        <f>VLOOKUP(Inventory[[#This Row],[Qlty]],Lookups!$A$66:$E$79,2,FALSE)</f>
        <v>37154.252388000001</v>
      </c>
      <c r="AT1031" s="30">
        <f>VLOOKUP(Inventory[[#This Row],[Cnd]],Lookups!$A$80:$E$88,2,FALSE)</f>
        <v>30300.329274</v>
      </c>
      <c r="AU1031" s="30">
        <f>Inventory[[#This Row],[EffAge]]*Lookups!$B$65</f>
        <v>-2283.5630999999998</v>
      </c>
      <c r="AV1031" s="30">
        <f>Inventory[[#This Row],[MainFn]]*Lookups!$B$90</f>
        <v>96611.268240000005</v>
      </c>
      <c r="AW1031" s="30">
        <f>Inventory[[#This Row],[UpprFn]]*Lookups!$B$91</f>
        <v>0</v>
      </c>
      <c r="AX1031" s="30">
        <f>Inventory[[#This Row],[Bsmt Area]]*Lookups!$B$95</f>
        <v>0</v>
      </c>
      <c r="AY1031" s="30">
        <f>Inventory[[#This Row],[AttGar]]*Lookups!$B$93</f>
        <v>14826.43302</v>
      </c>
      <c r="AZ1031" s="30">
        <f>ROUND(Inventory[[#This Row],[25Det]],-2)</f>
        <v>0</v>
      </c>
      <c r="BA1031" s="30">
        <f>ROUND(SUM(Inventory[[#This Row],[Mdl Qlty]:[Mdl Garage Area]])+Inventory[[#This Row],[Mdl Res Intercept]],-2)</f>
        <v>309100</v>
      </c>
      <c r="BB1031" s="30">
        <f>ROUND(Inventory[[#This Row],[Mdl Land Intercept]]+Inventory[[#This Row],[Mdl LnAcres]],-2)</f>
        <v>67200</v>
      </c>
      <c r="BC1031" s="30">
        <f>Inventory[[#This Row],[Unadj Res Value]]+Inventory[[#This Row],[Unadj Det Value]]+Inventory[[#This Row],[Unadj Land Value]]</f>
        <v>376300</v>
      </c>
      <c r="BD1031" s="30">
        <f>(Inventory[[#This Row],[Unadj Total Value]]-Inventory[[#This Row],[24Final]])/Inventory[[#This Row],[24Final]]</f>
        <v>6.5100481177469569E-2</v>
      </c>
      <c r="BE1031" s="30">
        <f>VLOOKUP(Inventory[[#This Row],[Nbhd]],Lookups!$M$3:$P$5,4,FALSE)</f>
        <v>0.99970000000000003</v>
      </c>
      <c r="BF1031" s="30">
        <f>VLOOKUP(Inventory[[#This Row],[Qlty]],Lookups!$M$8:$P$22,4,FALSE)</f>
        <v>0.99819999999999998</v>
      </c>
      <c r="BG1031" s="30">
        <f>VLOOKUP(Inventory[[#This Row],[Cnd]],Lookups!$R$8:$U$17,4,FALSE)</f>
        <v>0.997</v>
      </c>
      <c r="BH1031" s="30">
        <f>VLOOKUP(Inventory[[#This Row],[LivArea Range]],Lookups!$R$25:$U$43,4,FALSE)</f>
        <v>1.0007999999999999</v>
      </c>
      <c r="BI1031" s="30">
        <f>VLOOKUP(Inventory[[#This Row],[Decade]],Lookups!$M$24:$P$40,4,FALSE)</f>
        <v>0.99560000000000004</v>
      </c>
      <c r="BJ1031" s="30">
        <f>Inventory[[#This Row],[Nbhd Adj]]*0.95</f>
        <v>0.94971499999999998</v>
      </c>
      <c r="BK1031" s="30">
        <f>AVERAGE(Inventory[[#This Row],[Nbhd Adj]],Inventory[[#This Row],[Quality Adj]],Inventory[[#This Row],[Condition Adj]],Inventory[[#This Row],[Living Area Adj]],Inventory[[#This Row],[Decade Adj]])*0.95</f>
        <v>0.94834699999999994</v>
      </c>
      <c r="BL1031" s="30">
        <f>ROUND((SUM(Inventory[[#This Row],[Mdl Qlty]:[Mdl Garage Area]])+Inventory[[#This Row],[Mdl Res Intercept]])*Inventory[[#This Row],[Res Adj ]],-2)</f>
        <v>293200</v>
      </c>
      <c r="BM1031" s="30">
        <f>ROUND(Inventory[[#This Row],[25Det]]*Inventory[[#This Row],[Det/Nbhd Adj]],-2)</f>
        <v>0</v>
      </c>
      <c r="BN1031" s="30">
        <f>Inventory[[#This Row],[Adjusted Res]]+Inventory[[#This Row],[Adj Det ]]</f>
        <v>293200</v>
      </c>
      <c r="BO1031" s="30">
        <f>ROUND((Inventory[[#This Row],[Mdl Land Intercept]]+Inventory[[#This Row],[Mdl LnAcres]])*Inventory[[#This Row],[Det/Nbhd Adj]],-2)</f>
        <v>63900</v>
      </c>
      <c r="BP1031" s="30">
        <f>Inventory[[#This Row],[Adjusted Impr Total]]+Inventory[[#This Row],[Adjusted Land Total]]</f>
        <v>357100</v>
      </c>
      <c r="BQ1031" s="30">
        <f>IFERROR((Inventory[[#This Row],[Adjusted Impr Total]]-Inventory[[#This Row],[24Bldg]])/Inventory[[#This Row],[24Bldg]],0)</f>
        <v>1.3480815762184583E-2</v>
      </c>
      <c r="BR1031" s="43">
        <f>(Inventory[[#This Row],[Adjusted Land Total]]-Inventory[[#This Row],[24Lnd]])/Inventory[[#This Row],[24Lnd]]</f>
        <v>-1.5625000000000001E-3</v>
      </c>
      <c r="BS1031" s="43">
        <f>(Inventory[[#This Row],[Adjusted Total]]-Inventory[[#This Row],[24Final]])/Inventory[[#This Row],[24Final]]</f>
        <v>1.0755731672799321E-2</v>
      </c>
    </row>
    <row r="1032" spans="1:71">
      <c r="A1032" s="30">
        <v>2025</v>
      </c>
      <c r="B1032" s="31" t="s">
        <v>1547</v>
      </c>
      <c r="C1032" s="31">
        <f>LN(Inventory[[#This Row],[Acres]])</f>
        <v>0.636576829071551</v>
      </c>
      <c r="D1032" s="30">
        <v>1.89</v>
      </c>
      <c r="E1032" s="30">
        <v>82480</v>
      </c>
      <c r="F1032" s="31" t="s">
        <v>505</v>
      </c>
      <c r="G1032" s="31" t="s">
        <v>155</v>
      </c>
      <c r="H1032" s="31" t="s">
        <v>5</v>
      </c>
      <c r="I1032" s="31" t="s">
        <v>506</v>
      </c>
      <c r="J1032" s="31" t="s">
        <v>507</v>
      </c>
      <c r="K1032" s="31" t="s">
        <v>330</v>
      </c>
      <c r="L1032" s="31" t="s">
        <v>21</v>
      </c>
      <c r="M1032" s="31" t="s">
        <v>22</v>
      </c>
      <c r="N1032" s="31">
        <v>20</v>
      </c>
      <c r="O1032" s="31">
        <f>2024-Inventory[[#This Row],[YrBlt]]</f>
        <v>21</v>
      </c>
      <c r="P1032" s="31">
        <f>2024-Inventory[[#This Row],[EffYr]]</f>
        <v>21</v>
      </c>
      <c r="Q1032" s="30">
        <v>2003</v>
      </c>
      <c r="R1032" s="30">
        <v>2003</v>
      </c>
      <c r="S1032" s="30">
        <v>2385</v>
      </c>
      <c r="T1032" s="32"/>
      <c r="U1032" s="32"/>
      <c r="V1032" s="32"/>
      <c r="W1032" s="32"/>
      <c r="X1032" s="32">
        <f>Inventory[[#This Row],[Bsmt Area]]-Inventory[[#This Row],[FnBsmt]]</f>
        <v>0</v>
      </c>
      <c r="Y1032" s="32">
        <f>Inventory[[#This Row],[MainFn]]+Inventory[[#This Row],[UpprFn]]+Inventory[[#This Row],[AddFn]]+Inventory[[#This Row],[FnBsmt]]</f>
        <v>2385</v>
      </c>
      <c r="Z1032" s="32">
        <v>2500</v>
      </c>
      <c r="AA1032" s="31" t="s">
        <v>55</v>
      </c>
      <c r="AB1032" s="37"/>
      <c r="AC1032" s="30">
        <v>600</v>
      </c>
      <c r="AD1032" s="32"/>
      <c r="AE1032" s="32"/>
      <c r="AF1032" s="32"/>
      <c r="AG1032" s="32"/>
      <c r="AH1032" s="32"/>
      <c r="AI1032" s="30">
        <v>519905</v>
      </c>
      <c r="AJ1032" s="30">
        <v>478313</v>
      </c>
      <c r="AK1032" s="30">
        <v>0</v>
      </c>
      <c r="AL1032" s="30">
        <v>0</v>
      </c>
      <c r="AM1032" s="30">
        <v>95400</v>
      </c>
      <c r="AN1032" s="30">
        <v>351100</v>
      </c>
      <c r="AO1032" s="30">
        <v>446500</v>
      </c>
      <c r="AP1032" s="30">
        <f>Lookups!$B$58*0.6</f>
        <v>132535.48800000001</v>
      </c>
      <c r="AQ1032" s="30">
        <f>Lookups!$B$58*0.4</f>
        <v>88356.992000000013</v>
      </c>
      <c r="AR1032" s="30">
        <f>Lookups!$B$59*Inventory[[#This Row],[LnAcres]]</f>
        <v>8354.6386458971665</v>
      </c>
      <c r="AS1032" s="30">
        <f>VLOOKUP(Inventory[[#This Row],[Qlty]],Lookups!$A$66:$E$79,2,FALSE)</f>
        <v>32917.849192000001</v>
      </c>
      <c r="AT1032" s="30">
        <f>VLOOKUP(Inventory[[#This Row],[Cnd]],Lookups!$A$80:$E$88,2,FALSE)</f>
        <v>50438.379078999998</v>
      </c>
      <c r="AU1032" s="30">
        <f>Inventory[[#This Row],[EffAge]]*Lookups!$B$65</f>
        <v>-2283.5630999999998</v>
      </c>
      <c r="AV1032" s="30">
        <f>Inventory[[#This Row],[MainFn]]*Lookups!$B$90</f>
        <v>148848.75630000001</v>
      </c>
      <c r="AW1032" s="30">
        <f>Inventory[[#This Row],[UpprFn]]*Lookups!$B$91</f>
        <v>0</v>
      </c>
      <c r="AX1032" s="30">
        <f>Inventory[[#This Row],[Bsmt Area]]*Lookups!$B$95</f>
        <v>0</v>
      </c>
      <c r="AY1032" s="30">
        <f>Inventory[[#This Row],[AttGar]]*Lookups!$B$93</f>
        <v>21180.618600000002</v>
      </c>
      <c r="AZ1032" s="30">
        <f>ROUND(Inventory[[#This Row],[25Det]],-2)</f>
        <v>0</v>
      </c>
      <c r="BA1032" s="30">
        <f>ROUND(SUM(Inventory[[#This Row],[Mdl Qlty]:[Mdl Garage Area]])+Inventory[[#This Row],[Mdl Res Intercept]],-2)</f>
        <v>383600</v>
      </c>
      <c r="BB1032" s="30">
        <f>ROUND(Inventory[[#This Row],[Mdl Land Intercept]]+Inventory[[#This Row],[Mdl LnAcres]],-2)</f>
        <v>96700</v>
      </c>
      <c r="BC1032" s="30">
        <f>Inventory[[#This Row],[Unadj Res Value]]+Inventory[[#This Row],[Unadj Det Value]]+Inventory[[#This Row],[Unadj Land Value]]</f>
        <v>480300</v>
      </c>
      <c r="BD1032" s="30">
        <f>(Inventory[[#This Row],[Unadj Total Value]]-Inventory[[#This Row],[24Final]])/Inventory[[#This Row],[24Final]]</f>
        <v>7.5699888017917133E-2</v>
      </c>
      <c r="BE1032" s="30">
        <f>VLOOKUP(Inventory[[#This Row],[Nbhd]],Lookups!$M$3:$P$5,4,FALSE)</f>
        <v>0.99970000000000003</v>
      </c>
      <c r="BF1032" s="30">
        <f>VLOOKUP(Inventory[[#This Row],[Qlty]],Lookups!$M$8:$P$22,4,FALSE)</f>
        <v>1.0019</v>
      </c>
      <c r="BG1032" s="30">
        <f>VLOOKUP(Inventory[[#This Row],[Cnd]],Lookups!$R$8:$U$17,4,FALSE)</f>
        <v>1.0007999999999999</v>
      </c>
      <c r="BH1032" s="30">
        <f>VLOOKUP(Inventory[[#This Row],[LivArea Range]],Lookups!$R$25:$U$43,4,FALSE)</f>
        <v>1.0008999999999999</v>
      </c>
      <c r="BI1032" s="30">
        <f>VLOOKUP(Inventory[[#This Row],[Decade]],Lookups!$M$24:$P$40,4,FALSE)</f>
        <v>0.99560000000000004</v>
      </c>
      <c r="BJ1032" s="30">
        <f>Inventory[[#This Row],[Nbhd Adj]]*0.95</f>
        <v>0.94971499999999998</v>
      </c>
      <c r="BK1032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1032" s="30">
        <f>ROUND((SUM(Inventory[[#This Row],[Mdl Qlty]:[Mdl Garage Area]])+Inventory[[#This Row],[Mdl Res Intercept]])*Inventory[[#This Row],[Res Adj ]],-2)</f>
        <v>364400</v>
      </c>
      <c r="BM1032" s="30">
        <f>ROUND(Inventory[[#This Row],[25Det]]*Inventory[[#This Row],[Det/Nbhd Adj]],-2)</f>
        <v>0</v>
      </c>
      <c r="BN1032" s="30">
        <f>Inventory[[#This Row],[Adjusted Res]]+Inventory[[#This Row],[Adj Det ]]</f>
        <v>364400</v>
      </c>
      <c r="BO1032" s="30">
        <f>ROUND((Inventory[[#This Row],[Mdl Land Intercept]]+Inventory[[#This Row],[Mdl LnAcres]])*Inventory[[#This Row],[Det/Nbhd Adj]],-2)</f>
        <v>91800</v>
      </c>
      <c r="BP1032" s="30">
        <f>Inventory[[#This Row],[Adjusted Impr Total]]+Inventory[[#This Row],[Adjusted Land Total]]</f>
        <v>456200</v>
      </c>
      <c r="BQ1032" s="30">
        <f>IFERROR((Inventory[[#This Row],[Adjusted Impr Total]]-Inventory[[#This Row],[24Bldg]])/Inventory[[#This Row],[24Bldg]],0)</f>
        <v>3.7880945599544288E-2</v>
      </c>
      <c r="BR1032" s="43">
        <f>(Inventory[[#This Row],[Adjusted Land Total]]-Inventory[[#This Row],[24Lnd]])/Inventory[[#This Row],[24Lnd]]</f>
        <v>-3.7735849056603772E-2</v>
      </c>
      <c r="BS1032" s="43">
        <f>(Inventory[[#This Row],[Adjusted Total]]-Inventory[[#This Row],[24Final]])/Inventory[[#This Row],[24Final]]</f>
        <v>2.1724524076147816E-2</v>
      </c>
    </row>
    <row r="1033" spans="1:71">
      <c r="A1033" s="30">
        <v>2025</v>
      </c>
      <c r="B1033" s="31" t="s">
        <v>1548</v>
      </c>
      <c r="C1033" s="31">
        <f>LN(Inventory[[#This Row],[Acres]])</f>
        <v>-1.7719568419318752</v>
      </c>
      <c r="D1033" s="30">
        <v>0.17</v>
      </c>
      <c r="E1033" s="30">
        <v>7345</v>
      </c>
      <c r="F1033" s="31" t="s">
        <v>505</v>
      </c>
      <c r="G1033" s="31" t="s">
        <v>155</v>
      </c>
      <c r="H1033" s="31" t="s">
        <v>5</v>
      </c>
      <c r="I1033" s="31" t="s">
        <v>506</v>
      </c>
      <c r="J1033" s="31" t="s">
        <v>507</v>
      </c>
      <c r="K1033" s="31" t="s">
        <v>157</v>
      </c>
      <c r="L1033" s="31" t="s">
        <v>17</v>
      </c>
      <c r="M1033" s="31" t="s">
        <v>20</v>
      </c>
      <c r="N1033" s="31">
        <v>20</v>
      </c>
      <c r="O1033" s="31">
        <f>2024-Inventory[[#This Row],[YrBlt]]</f>
        <v>22</v>
      </c>
      <c r="P1033" s="31">
        <f>2024-Inventory[[#This Row],[EffYr]]</f>
        <v>22</v>
      </c>
      <c r="Q1033" s="30">
        <v>2002</v>
      </c>
      <c r="R1033" s="30">
        <v>2002</v>
      </c>
      <c r="S1033" s="30">
        <v>936</v>
      </c>
      <c r="T1033" s="30">
        <v>494</v>
      </c>
      <c r="U1033" s="32"/>
      <c r="V1033" s="32"/>
      <c r="W1033" s="32"/>
      <c r="X1033" s="32">
        <f>Inventory[[#This Row],[Bsmt Area]]-Inventory[[#This Row],[FnBsmt]]</f>
        <v>0</v>
      </c>
      <c r="Y1033" s="32">
        <f>Inventory[[#This Row],[MainFn]]+Inventory[[#This Row],[UpprFn]]+Inventory[[#This Row],[AddFn]]+Inventory[[#This Row],[FnBsmt]]</f>
        <v>1430</v>
      </c>
      <c r="Z1033" s="32">
        <v>1500</v>
      </c>
      <c r="AA1033" s="31" t="s">
        <v>56</v>
      </c>
      <c r="AB1033" s="37"/>
      <c r="AC1033" s="37"/>
      <c r="AD1033" s="32"/>
      <c r="AE1033" s="32"/>
      <c r="AF1033" s="32"/>
      <c r="AG1033" s="32"/>
      <c r="AH1033" s="32"/>
      <c r="AI1033" s="30">
        <v>207653</v>
      </c>
      <c r="AJ1033" s="30">
        <v>188964</v>
      </c>
      <c r="AK1033" s="30">
        <v>0</v>
      </c>
      <c r="AL1033" s="30">
        <v>0</v>
      </c>
      <c r="AM1033" s="30">
        <v>61700</v>
      </c>
      <c r="AN1033" s="30">
        <v>252000</v>
      </c>
      <c r="AO1033" s="30">
        <v>313700</v>
      </c>
      <c r="AP1033" s="30">
        <f>Lookups!$B$58*0.6</f>
        <v>132535.48800000001</v>
      </c>
      <c r="AQ1033" s="30">
        <f>Lookups!$B$58*0.4</f>
        <v>88356.992000000013</v>
      </c>
      <c r="AR1033" s="30">
        <f>Lookups!$B$59*Inventory[[#This Row],[LnAcres]]</f>
        <v>-23255.730391660189</v>
      </c>
      <c r="AS1033" s="30">
        <f>VLOOKUP(Inventory[[#This Row],[Qlty]],Lookups!$A$66:$E$79,2,FALSE)</f>
        <v>24371.765965999999</v>
      </c>
      <c r="AT1033" s="30">
        <f>VLOOKUP(Inventory[[#This Row],[Cnd]],Lookups!$A$80:$E$88,2,FALSE)</f>
        <v>30300.329274</v>
      </c>
      <c r="AU1033" s="30">
        <f>Inventory[[#This Row],[EffAge]]*Lookups!$B$65</f>
        <v>-2392.3042</v>
      </c>
      <c r="AV1033" s="30">
        <f>Inventory[[#This Row],[MainFn]]*Lookups!$B$90</f>
        <v>58416.115680000003</v>
      </c>
      <c r="AW1033" s="30">
        <f>Inventory[[#This Row],[UpprFn]]*Lookups!$B$91</f>
        <v>29432.709201999998</v>
      </c>
      <c r="AX1033" s="30">
        <f>Inventory[[#This Row],[Bsmt Area]]*Lookups!$B$95</f>
        <v>0</v>
      </c>
      <c r="AY1033" s="30">
        <f>Inventory[[#This Row],[AttGar]]*Lookups!$B$93</f>
        <v>0</v>
      </c>
      <c r="AZ1033" s="30">
        <f>ROUND(Inventory[[#This Row],[25Det]],-2)</f>
        <v>0</v>
      </c>
      <c r="BA1033" s="30">
        <f>ROUND(SUM(Inventory[[#This Row],[Mdl Qlty]:[Mdl Garage Area]])+Inventory[[#This Row],[Mdl Res Intercept]],-2)</f>
        <v>272700</v>
      </c>
      <c r="BB1033" s="30">
        <f>ROUND(Inventory[[#This Row],[Mdl Land Intercept]]+Inventory[[#This Row],[Mdl LnAcres]],-2)</f>
        <v>65100</v>
      </c>
      <c r="BC1033" s="30">
        <f>Inventory[[#This Row],[Unadj Res Value]]+Inventory[[#This Row],[Unadj Det Value]]+Inventory[[#This Row],[Unadj Land Value]]</f>
        <v>337800</v>
      </c>
      <c r="BD1033" s="30">
        <f>(Inventory[[#This Row],[Unadj Total Value]]-Inventory[[#This Row],[24Final]])/Inventory[[#This Row],[24Final]]</f>
        <v>7.6824992030602487E-2</v>
      </c>
      <c r="BE1033" s="30">
        <f>VLOOKUP(Inventory[[#This Row],[Nbhd]],Lookups!$M$3:$P$5,4,FALSE)</f>
        <v>0.99970000000000003</v>
      </c>
      <c r="BF1033" s="30">
        <f>VLOOKUP(Inventory[[#This Row],[Qlty]],Lookups!$M$8:$P$22,4,FALSE)</f>
        <v>0.99199999999999999</v>
      </c>
      <c r="BG1033" s="30">
        <f>VLOOKUP(Inventory[[#This Row],[Cnd]],Lookups!$R$8:$U$17,4,FALSE)</f>
        <v>0.997</v>
      </c>
      <c r="BH1033" s="30">
        <f>VLOOKUP(Inventory[[#This Row],[LivArea Range]],Lookups!$R$25:$U$43,4,FALSE)</f>
        <v>0.99519999999999997</v>
      </c>
      <c r="BI1033" s="30">
        <f>VLOOKUP(Inventory[[#This Row],[Decade]],Lookups!$M$24:$P$40,4,FALSE)</f>
        <v>0.99560000000000004</v>
      </c>
      <c r="BJ1033" s="30">
        <f>Inventory[[#This Row],[Nbhd Adj]]*0.95</f>
        <v>0.94971499999999998</v>
      </c>
      <c r="BK1033" s="30">
        <f>AVERAGE(Inventory[[#This Row],[Nbhd Adj]],Inventory[[#This Row],[Quality Adj]],Inventory[[#This Row],[Condition Adj]],Inventory[[#This Row],[Living Area Adj]],Inventory[[#This Row],[Decade Adj]])*0.95</f>
        <v>0.94610499999999997</v>
      </c>
      <c r="BL1033" s="30">
        <f>ROUND((SUM(Inventory[[#This Row],[Mdl Qlty]:[Mdl Garage Area]])+Inventory[[#This Row],[Mdl Res Intercept]])*Inventory[[#This Row],[Res Adj ]],-2)</f>
        <v>258000</v>
      </c>
      <c r="BM1033" s="30">
        <f>ROUND(Inventory[[#This Row],[25Det]]*Inventory[[#This Row],[Det/Nbhd Adj]],-2)</f>
        <v>0</v>
      </c>
      <c r="BN1033" s="30">
        <f>Inventory[[#This Row],[Adjusted Res]]+Inventory[[#This Row],[Adj Det ]]</f>
        <v>258000</v>
      </c>
      <c r="BO1033" s="30">
        <f>ROUND((Inventory[[#This Row],[Mdl Land Intercept]]+Inventory[[#This Row],[Mdl LnAcres]])*Inventory[[#This Row],[Det/Nbhd Adj]],-2)</f>
        <v>61800</v>
      </c>
      <c r="BP1033" s="30">
        <f>Inventory[[#This Row],[Adjusted Impr Total]]+Inventory[[#This Row],[Adjusted Land Total]]</f>
        <v>319800</v>
      </c>
      <c r="BQ1033" s="30">
        <f>IFERROR((Inventory[[#This Row],[Adjusted Impr Total]]-Inventory[[#This Row],[24Bldg]])/Inventory[[#This Row],[24Bldg]],0)</f>
        <v>2.3809523809523808E-2</v>
      </c>
      <c r="BR1033" s="43">
        <f>(Inventory[[#This Row],[Adjusted Land Total]]-Inventory[[#This Row],[24Lnd]])/Inventory[[#This Row],[24Lnd]]</f>
        <v>1.6207455429497568E-3</v>
      </c>
      <c r="BS1033" s="43">
        <f>(Inventory[[#This Row],[Adjusted Total]]-Inventory[[#This Row],[24Final]])/Inventory[[#This Row],[24Final]]</f>
        <v>1.9445329933057059E-2</v>
      </c>
    </row>
    <row r="1034" spans="1:71">
      <c r="A1034" s="30">
        <v>2025</v>
      </c>
      <c r="B1034" s="31" t="s">
        <v>1549</v>
      </c>
      <c r="C1034" s="31">
        <f>LN(Inventory[[#This Row],[Acres]])</f>
        <v>0</v>
      </c>
      <c r="D1034" s="30">
        <v>1</v>
      </c>
      <c r="E1034" s="37"/>
      <c r="F1034" s="31" t="s">
        <v>505</v>
      </c>
      <c r="G1034" s="31" t="s">
        <v>155</v>
      </c>
      <c r="H1034" s="31" t="s">
        <v>5</v>
      </c>
      <c r="I1034" s="31" t="s">
        <v>506</v>
      </c>
      <c r="J1034" s="31" t="s">
        <v>507</v>
      </c>
      <c r="K1034" s="31" t="s">
        <v>453</v>
      </c>
      <c r="L1034" s="31" t="s">
        <v>19</v>
      </c>
      <c r="M1034" s="31" t="s">
        <v>22</v>
      </c>
      <c r="N1034" s="31">
        <v>20</v>
      </c>
      <c r="O1034" s="31">
        <f>2024-Inventory[[#This Row],[YrBlt]]</f>
        <v>23</v>
      </c>
      <c r="P1034" s="31">
        <f>2024-Inventory[[#This Row],[EffYr]]</f>
        <v>23</v>
      </c>
      <c r="Q1034" s="30">
        <v>2001</v>
      </c>
      <c r="R1034" s="30">
        <v>2001</v>
      </c>
      <c r="S1034" s="30">
        <v>1164</v>
      </c>
      <c r="T1034" s="30">
        <v>528</v>
      </c>
      <c r="U1034" s="32"/>
      <c r="V1034" s="32"/>
      <c r="W1034" s="32"/>
      <c r="X1034" s="32">
        <f>Inventory[[#This Row],[Bsmt Area]]-Inventory[[#This Row],[FnBsmt]]</f>
        <v>0</v>
      </c>
      <c r="Y1034" s="32">
        <f>Inventory[[#This Row],[MainFn]]+Inventory[[#This Row],[UpprFn]]+Inventory[[#This Row],[AddFn]]+Inventory[[#This Row],[FnBsmt]]</f>
        <v>1692</v>
      </c>
      <c r="Z1034" s="32">
        <v>2000</v>
      </c>
      <c r="AA1034" s="31" t="s">
        <v>56</v>
      </c>
      <c r="AB1034" s="37"/>
      <c r="AC1034" s="30">
        <v>1236</v>
      </c>
      <c r="AD1034" s="32"/>
      <c r="AE1034" s="32"/>
      <c r="AF1034" s="32"/>
      <c r="AG1034" s="32"/>
      <c r="AH1034" s="32"/>
      <c r="AI1034" s="30">
        <v>344006</v>
      </c>
      <c r="AJ1034" s="30">
        <v>313045</v>
      </c>
      <c r="AK1034" s="30">
        <v>2414</v>
      </c>
      <c r="AL1034" s="30">
        <v>0</v>
      </c>
      <c r="AM1034" s="30">
        <v>86500</v>
      </c>
      <c r="AN1034" s="30">
        <v>350400</v>
      </c>
      <c r="AO1034" s="30">
        <v>436900</v>
      </c>
      <c r="AP1034" s="30">
        <f>Lookups!$B$58*0.6</f>
        <v>132535.48800000001</v>
      </c>
      <c r="AQ1034" s="30">
        <f>Lookups!$B$58*0.4</f>
        <v>88356.992000000013</v>
      </c>
      <c r="AR1034" s="30">
        <f>Lookups!$B$59*Inventory[[#This Row],[LnAcres]]</f>
        <v>0</v>
      </c>
      <c r="AS1034" s="30">
        <f>VLOOKUP(Inventory[[#This Row],[Qlty]],Lookups!$A$66:$E$79,2,FALSE)</f>
        <v>37154.252388000001</v>
      </c>
      <c r="AT1034" s="30">
        <f>VLOOKUP(Inventory[[#This Row],[Cnd]],Lookups!$A$80:$E$88,2,FALSE)</f>
        <v>50438.379078999998</v>
      </c>
      <c r="AU1034" s="30">
        <f>Inventory[[#This Row],[EffAge]]*Lookups!$B$65</f>
        <v>-2501.0453000000002</v>
      </c>
      <c r="AV1034" s="30">
        <f>Inventory[[#This Row],[MainFn]]*Lookups!$B$90</f>
        <v>72645.682320000007</v>
      </c>
      <c r="AW1034" s="30">
        <f>Inventory[[#This Row],[UpprFn]]*Lookups!$B$91</f>
        <v>31458.442223999999</v>
      </c>
      <c r="AX1034" s="30">
        <f>Inventory[[#This Row],[Bsmt Area]]*Lookups!$B$95</f>
        <v>0</v>
      </c>
      <c r="AY1034" s="30">
        <f>Inventory[[#This Row],[AttGar]]*Lookups!$B$93</f>
        <v>43632.074316000006</v>
      </c>
      <c r="AZ1034" s="30">
        <f>ROUND(Inventory[[#This Row],[25Det]],-2)</f>
        <v>2400</v>
      </c>
      <c r="BA1034" s="30">
        <f>ROUND(SUM(Inventory[[#This Row],[Mdl Qlty]:[Mdl Garage Area]])+Inventory[[#This Row],[Mdl Res Intercept]],-2)</f>
        <v>365400</v>
      </c>
      <c r="BB1034" s="30">
        <f>ROUND(Inventory[[#This Row],[Mdl Land Intercept]]+Inventory[[#This Row],[Mdl LnAcres]],-2)</f>
        <v>88400</v>
      </c>
      <c r="BC1034" s="30">
        <f>Inventory[[#This Row],[Unadj Res Value]]+Inventory[[#This Row],[Unadj Det Value]]+Inventory[[#This Row],[Unadj Land Value]]</f>
        <v>456200</v>
      </c>
      <c r="BD1034" s="30">
        <f>(Inventory[[#This Row],[Unadj Total Value]]-Inventory[[#This Row],[24Final]])/Inventory[[#This Row],[24Final]]</f>
        <v>4.4174868390936144E-2</v>
      </c>
      <c r="BE1034" s="30">
        <f>VLOOKUP(Inventory[[#This Row],[Nbhd]],Lookups!$M$3:$P$5,4,FALSE)</f>
        <v>0.99970000000000003</v>
      </c>
      <c r="BF1034" s="30">
        <f>VLOOKUP(Inventory[[#This Row],[Qlty]],Lookups!$M$8:$P$22,4,FALSE)</f>
        <v>0.99819999999999998</v>
      </c>
      <c r="BG1034" s="30">
        <f>VLOOKUP(Inventory[[#This Row],[Cnd]],Lookups!$R$8:$U$17,4,FALSE)</f>
        <v>1.0007999999999999</v>
      </c>
      <c r="BH1034" s="30">
        <f>VLOOKUP(Inventory[[#This Row],[LivArea Range]],Lookups!$R$25:$U$43,4,FALSE)</f>
        <v>1.0007999999999999</v>
      </c>
      <c r="BI1034" s="30">
        <f>VLOOKUP(Inventory[[#This Row],[Decade]],Lookups!$M$24:$P$40,4,FALSE)</f>
        <v>0.99560000000000004</v>
      </c>
      <c r="BJ1034" s="30">
        <f>Inventory[[#This Row],[Nbhd Adj]]*0.95</f>
        <v>0.94971499999999998</v>
      </c>
      <c r="BK1034" s="30">
        <f>AVERAGE(Inventory[[#This Row],[Nbhd Adj]],Inventory[[#This Row],[Quality Adj]],Inventory[[#This Row],[Condition Adj]],Inventory[[#This Row],[Living Area Adj]],Inventory[[#This Row],[Decade Adj]])*0.95</f>
        <v>0.94906899999999994</v>
      </c>
      <c r="BL1034" s="30">
        <f>ROUND((SUM(Inventory[[#This Row],[Mdl Qlty]:[Mdl Garage Area]])+Inventory[[#This Row],[Mdl Res Intercept]])*Inventory[[#This Row],[Res Adj ]],-2)</f>
        <v>346800</v>
      </c>
      <c r="BM1034" s="30">
        <f>ROUND(Inventory[[#This Row],[25Det]]*Inventory[[#This Row],[Det/Nbhd Adj]],-2)</f>
        <v>2300</v>
      </c>
      <c r="BN1034" s="30">
        <f>Inventory[[#This Row],[Adjusted Res]]+Inventory[[#This Row],[Adj Det ]]</f>
        <v>349100</v>
      </c>
      <c r="BO1034" s="30">
        <f>ROUND((Inventory[[#This Row],[Mdl Land Intercept]]+Inventory[[#This Row],[Mdl LnAcres]])*Inventory[[#This Row],[Det/Nbhd Adj]],-2)</f>
        <v>83900</v>
      </c>
      <c r="BP1034" s="30">
        <f>Inventory[[#This Row],[Adjusted Impr Total]]+Inventory[[#This Row],[Adjusted Land Total]]</f>
        <v>433000</v>
      </c>
      <c r="BQ1034" s="30">
        <f>IFERROR((Inventory[[#This Row],[Adjusted Impr Total]]-Inventory[[#This Row],[24Bldg]])/Inventory[[#This Row],[24Bldg]],0)</f>
        <v>-3.7100456621004564E-3</v>
      </c>
      <c r="BR1034" s="43">
        <f>(Inventory[[#This Row],[Adjusted Land Total]]-Inventory[[#This Row],[24Lnd]])/Inventory[[#This Row],[24Lnd]]</f>
        <v>-3.0057803468208091E-2</v>
      </c>
      <c r="BS1034" s="43">
        <f>(Inventory[[#This Row],[Adjusted Total]]-Inventory[[#This Row],[24Final]])/Inventory[[#This Row],[24Final]]</f>
        <v>-8.9265278095674062E-3</v>
      </c>
    </row>
    <row r="1035" spans="1:71">
      <c r="A1035" s="30">
        <v>2025</v>
      </c>
      <c r="B1035" s="31" t="s">
        <v>1550</v>
      </c>
      <c r="C1035" s="31">
        <f>LN(Inventory[[#This Row],[Acres]])</f>
        <v>1.951608170169951</v>
      </c>
      <c r="D1035" s="30">
        <v>7.04</v>
      </c>
      <c r="E1035" s="37"/>
      <c r="F1035" s="31" t="s">
        <v>505</v>
      </c>
      <c r="G1035" s="31" t="s">
        <v>155</v>
      </c>
      <c r="H1035" s="31" t="s">
        <v>5</v>
      </c>
      <c r="I1035" s="31" t="s">
        <v>506</v>
      </c>
      <c r="J1035" s="31" t="s">
        <v>567</v>
      </c>
      <c r="K1035" s="31" t="s">
        <v>568</v>
      </c>
      <c r="L1035" s="31" t="s">
        <v>26</v>
      </c>
      <c r="M1035" s="31" t="s">
        <v>20</v>
      </c>
      <c r="N1035" s="31">
        <v>20</v>
      </c>
      <c r="O1035" s="31">
        <f>2024-Inventory[[#This Row],[YrBlt]]</f>
        <v>23</v>
      </c>
      <c r="P1035" s="31">
        <f>2024-Inventory[[#This Row],[EffYr]]</f>
        <v>23</v>
      </c>
      <c r="Q1035" s="30">
        <v>2001</v>
      </c>
      <c r="R1035" s="30">
        <v>2001</v>
      </c>
      <c r="S1035" s="30">
        <v>2427</v>
      </c>
      <c r="T1035" s="32"/>
      <c r="U1035" s="32"/>
      <c r="V1035" s="32"/>
      <c r="W1035" s="32"/>
      <c r="X1035" s="32">
        <f>Inventory[[#This Row],[Bsmt Area]]-Inventory[[#This Row],[FnBsmt]]</f>
        <v>0</v>
      </c>
      <c r="Y1035" s="32">
        <f>Inventory[[#This Row],[MainFn]]+Inventory[[#This Row],[UpprFn]]+Inventory[[#This Row],[AddFn]]+Inventory[[#This Row],[FnBsmt]]</f>
        <v>2427</v>
      </c>
      <c r="Z1035" s="32">
        <v>2500</v>
      </c>
      <c r="AA1035" s="31" t="s">
        <v>55</v>
      </c>
      <c r="AB1035" s="37"/>
      <c r="AC1035" s="30">
        <v>681</v>
      </c>
      <c r="AD1035" s="32"/>
      <c r="AE1035" s="32"/>
      <c r="AF1035" s="32"/>
      <c r="AG1035" s="32"/>
      <c r="AH1035" s="32"/>
      <c r="AI1035" s="30">
        <v>791013</v>
      </c>
      <c r="AJ1035" s="30">
        <v>735642</v>
      </c>
      <c r="AK1035" s="30">
        <v>142070</v>
      </c>
      <c r="AL1035" s="30">
        <v>6000</v>
      </c>
      <c r="AM1035" s="30">
        <v>73100</v>
      </c>
      <c r="AN1035" s="30">
        <v>699100</v>
      </c>
      <c r="AO1035" s="30">
        <v>778200</v>
      </c>
      <c r="AP1035" s="30">
        <f>Lookups!$B$58*0.6</f>
        <v>132535.48800000001</v>
      </c>
      <c r="AQ1035" s="30">
        <f>Lookups!$B$58*0.4</f>
        <v>88356.992000000013</v>
      </c>
      <c r="AR1035" s="30">
        <f>Lookups!$B$59*Inventory[[#This Row],[LnAcres]]</f>
        <v>25613.532091533063</v>
      </c>
      <c r="AS1035" s="30">
        <f>VLOOKUP(Inventory[[#This Row],[Qlty]],Lookups!$A$66:$E$79,2,FALSE)</f>
        <v>62220.902449590503</v>
      </c>
      <c r="AT1035" s="30">
        <f>VLOOKUP(Inventory[[#This Row],[Cnd]],Lookups!$A$80:$E$88,2,FALSE)</f>
        <v>30300.329274</v>
      </c>
      <c r="AU1035" s="30">
        <f>Inventory[[#This Row],[EffAge]]*Lookups!$B$65</f>
        <v>-2501.0453000000002</v>
      </c>
      <c r="AV1035" s="30">
        <f>Inventory[[#This Row],[MainFn]]*Lookups!$B$90</f>
        <v>151469.99226</v>
      </c>
      <c r="AW1035" s="30">
        <f>Inventory[[#This Row],[UpprFn]]*Lookups!$B$91</f>
        <v>0</v>
      </c>
      <c r="AX1035" s="30">
        <f>Inventory[[#This Row],[Bsmt Area]]*Lookups!$B$95</f>
        <v>0</v>
      </c>
      <c r="AY1035" s="30">
        <f>Inventory[[#This Row],[AttGar]]*Lookups!$B$93</f>
        <v>24040.002111000002</v>
      </c>
      <c r="AZ1035" s="30">
        <f>ROUND(Inventory[[#This Row],[25Det]],-2)</f>
        <v>142100</v>
      </c>
      <c r="BA1035" s="30">
        <f>ROUND(SUM(Inventory[[#This Row],[Mdl Qlty]:[Mdl Garage Area]])+Inventory[[#This Row],[Mdl Res Intercept]],-2)</f>
        <v>398100</v>
      </c>
      <c r="BB1035" s="30">
        <f>ROUND(Inventory[[#This Row],[Mdl Land Intercept]]+Inventory[[#This Row],[Mdl LnAcres]],-2)</f>
        <v>114000</v>
      </c>
      <c r="BC1035" s="30">
        <f>Inventory[[#This Row],[Unadj Res Value]]+Inventory[[#This Row],[Unadj Det Value]]+Inventory[[#This Row],[Unadj Land Value]]</f>
        <v>654200</v>
      </c>
      <c r="BD1035" s="30">
        <f>(Inventory[[#This Row],[Unadj Total Value]]-Inventory[[#This Row],[24Final]])/Inventory[[#This Row],[24Final]]</f>
        <v>-0.1593420714469288</v>
      </c>
      <c r="BE1035" s="30">
        <f>VLOOKUP(Inventory[[#This Row],[Nbhd]],Lookups!$M$3:$P$5,4,FALSE)</f>
        <v>0.99970000000000003</v>
      </c>
      <c r="BF1035" s="30">
        <f>VLOOKUP(Inventory[[#This Row],[Qlty]],Lookups!$M$8:$P$22,4,FALSE)</f>
        <v>1</v>
      </c>
      <c r="BG1035" s="30">
        <f>VLOOKUP(Inventory[[#This Row],[Cnd]],Lookups!$R$8:$U$17,4,FALSE)</f>
        <v>0.997</v>
      </c>
      <c r="BH1035" s="30">
        <f>VLOOKUP(Inventory[[#This Row],[LivArea Range]],Lookups!$R$25:$U$43,4,FALSE)</f>
        <v>1.0008999999999999</v>
      </c>
      <c r="BI1035" s="30">
        <f>VLOOKUP(Inventory[[#This Row],[Decade]],Lookups!$M$24:$P$40,4,FALSE)</f>
        <v>0.99560000000000004</v>
      </c>
      <c r="BJ1035" s="30">
        <f>Inventory[[#This Row],[Nbhd Adj]]*0.95</f>
        <v>0.94971499999999998</v>
      </c>
      <c r="BK1035" s="30">
        <f>AVERAGE(Inventory[[#This Row],[Nbhd Adj]],Inventory[[#This Row],[Quality Adj]],Inventory[[#This Row],[Condition Adj]],Inventory[[#This Row],[Living Area Adj]],Inventory[[#This Row],[Decade Adj]])*0.95</f>
        <v>0.94870799999999988</v>
      </c>
      <c r="BL1035" s="30">
        <f>ROUND((SUM(Inventory[[#This Row],[Mdl Qlty]:[Mdl Garage Area]])+Inventory[[#This Row],[Mdl Res Intercept]])*Inventory[[#This Row],[Res Adj ]],-2)</f>
        <v>377600</v>
      </c>
      <c r="BM1035" s="30">
        <f>ROUND(Inventory[[#This Row],[25Det]]*Inventory[[#This Row],[Det/Nbhd Adj]],-2)</f>
        <v>134900</v>
      </c>
      <c r="BN1035" s="30">
        <f>Inventory[[#This Row],[Adjusted Res]]+Inventory[[#This Row],[Adj Det ]]</f>
        <v>512500</v>
      </c>
      <c r="BO1035" s="30">
        <f>ROUND((Inventory[[#This Row],[Mdl Land Intercept]]+Inventory[[#This Row],[Mdl LnAcres]])*Inventory[[#This Row],[Det/Nbhd Adj]],-2)</f>
        <v>108200</v>
      </c>
      <c r="BP1035" s="30">
        <f>Inventory[[#This Row],[Adjusted Impr Total]]+Inventory[[#This Row],[Adjusted Land Total]]</f>
        <v>620700</v>
      </c>
      <c r="BQ1035" s="30">
        <f>IFERROR((Inventory[[#This Row],[Adjusted Impr Total]]-Inventory[[#This Row],[24Bldg]])/Inventory[[#This Row],[24Bldg]],0)</f>
        <v>-0.26691460449148907</v>
      </c>
      <c r="BR1035" s="43">
        <f>(Inventory[[#This Row],[Adjusted Land Total]]-Inventory[[#This Row],[24Lnd]])/Inventory[[#This Row],[24Lnd]]</f>
        <v>0.48016415868673051</v>
      </c>
      <c r="BS1035" s="43">
        <f>(Inventory[[#This Row],[Adjusted Total]]-Inventory[[#This Row],[24Final]])/Inventory[[#This Row],[24Final]]</f>
        <v>-0.20239013107170392</v>
      </c>
    </row>
    <row r="1036" spans="1:71">
      <c r="A1036" s="30">
        <v>2025</v>
      </c>
      <c r="B1036" s="31" t="s">
        <v>1551</v>
      </c>
      <c r="C1036" s="31">
        <f>LN(Inventory[[#This Row],[Acres]])</f>
        <v>-1.7147984280919266</v>
      </c>
      <c r="D1036" s="30">
        <v>0.18</v>
      </c>
      <c r="E1036" s="38">
        <v>7995</v>
      </c>
      <c r="F1036" s="31" t="s">
        <v>505</v>
      </c>
      <c r="G1036" s="31" t="s">
        <v>155</v>
      </c>
      <c r="H1036" s="31" t="s">
        <v>5</v>
      </c>
      <c r="I1036" s="31" t="s">
        <v>506</v>
      </c>
      <c r="J1036" s="31" t="s">
        <v>507</v>
      </c>
      <c r="K1036" s="31" t="s">
        <v>193</v>
      </c>
      <c r="L1036" s="31" t="s">
        <v>17</v>
      </c>
      <c r="M1036" s="31" t="s">
        <v>20</v>
      </c>
      <c r="N1036" s="31">
        <v>20</v>
      </c>
      <c r="O1036" s="31">
        <f>2024-Inventory[[#This Row],[YrBlt]]</f>
        <v>24</v>
      </c>
      <c r="P1036" s="31">
        <f>2024-Inventory[[#This Row],[EffYr]]</f>
        <v>24</v>
      </c>
      <c r="Q1036" s="30">
        <v>2000</v>
      </c>
      <c r="R1036" s="30">
        <v>2000</v>
      </c>
      <c r="S1036" s="30">
        <v>1092</v>
      </c>
      <c r="T1036" s="37"/>
      <c r="U1036" s="32"/>
      <c r="V1036" s="32"/>
      <c r="W1036" s="32"/>
      <c r="X1036" s="32">
        <f>Inventory[[#This Row],[Bsmt Area]]-Inventory[[#This Row],[FnBsmt]]</f>
        <v>0</v>
      </c>
      <c r="Y1036" s="32">
        <f>Inventory[[#This Row],[MainFn]]+Inventory[[#This Row],[UpprFn]]+Inventory[[#This Row],[AddFn]]+Inventory[[#This Row],[FnBsmt]]</f>
        <v>1092</v>
      </c>
      <c r="Z1036" s="32">
        <v>1500</v>
      </c>
      <c r="AA1036" s="31" t="s">
        <v>56</v>
      </c>
      <c r="AB1036" s="37"/>
      <c r="AC1036" s="32"/>
      <c r="AD1036" s="37"/>
      <c r="AE1036" s="32"/>
      <c r="AF1036" s="37"/>
      <c r="AG1036" s="32"/>
      <c r="AH1036" s="32"/>
      <c r="AI1036" s="30">
        <v>179798</v>
      </c>
      <c r="AJ1036" s="30">
        <v>161818</v>
      </c>
      <c r="AK1036" s="30">
        <v>0</v>
      </c>
      <c r="AL1036" s="30">
        <v>0</v>
      </c>
      <c r="AM1036" s="30">
        <v>62500</v>
      </c>
      <c r="AN1036" s="30">
        <v>229000</v>
      </c>
      <c r="AO1036" s="30">
        <v>291500</v>
      </c>
      <c r="AP1036" s="30">
        <f>Lookups!$B$58*0.6</f>
        <v>132535.48800000001</v>
      </c>
      <c r="AQ1036" s="30">
        <f>Lookups!$B$58*0.4</f>
        <v>88356.992000000013</v>
      </c>
      <c r="AR1036" s="30">
        <f>Lookups!$B$59*Inventory[[#This Row],[LnAcres]]</f>
        <v>-22505.565020573864</v>
      </c>
      <c r="AS1036" s="30">
        <f>VLOOKUP(Inventory[[#This Row],[Qlty]],Lookups!$A$66:$E$79,2,FALSE)</f>
        <v>24371.765965999999</v>
      </c>
      <c r="AT1036" s="30">
        <f>VLOOKUP(Inventory[[#This Row],[Cnd]],Lookups!$A$80:$E$88,2,FALSE)</f>
        <v>30300.329274</v>
      </c>
      <c r="AU1036" s="30">
        <f>Inventory[[#This Row],[EffAge]]*Lookups!$B$65</f>
        <v>-2609.7864</v>
      </c>
      <c r="AV1036" s="30">
        <f>Inventory[[#This Row],[MainFn]]*Lookups!$B$90</f>
        <v>68152.13496000001</v>
      </c>
      <c r="AW1036" s="30">
        <f>Inventory[[#This Row],[UpprFn]]*Lookups!$B$91</f>
        <v>0</v>
      </c>
      <c r="AX1036" s="30">
        <f>Inventory[[#This Row],[Bsmt Area]]*Lookups!$B$95</f>
        <v>0</v>
      </c>
      <c r="AY1036" s="30">
        <f>Inventory[[#This Row],[AttGar]]*Lookups!$B$93</f>
        <v>0</v>
      </c>
      <c r="AZ1036" s="30">
        <f>ROUND(Inventory[[#This Row],[25Det]],-2)</f>
        <v>0</v>
      </c>
      <c r="BA1036" s="30">
        <f>ROUND(SUM(Inventory[[#This Row],[Mdl Qlty]:[Mdl Garage Area]])+Inventory[[#This Row],[Mdl Res Intercept]],-2)</f>
        <v>252700</v>
      </c>
      <c r="BB1036" s="30">
        <f>ROUND(Inventory[[#This Row],[Mdl Land Intercept]]+Inventory[[#This Row],[Mdl LnAcres]],-2)</f>
        <v>65900</v>
      </c>
      <c r="BC1036" s="30">
        <f>Inventory[[#This Row],[Unadj Res Value]]+Inventory[[#This Row],[Unadj Det Value]]+Inventory[[#This Row],[Unadj Land Value]]</f>
        <v>318600</v>
      </c>
      <c r="BD1036" s="30">
        <f>(Inventory[[#This Row],[Unadj Total Value]]-Inventory[[#This Row],[24Final]])/Inventory[[#This Row],[24Final]]</f>
        <v>9.2967409948542024E-2</v>
      </c>
      <c r="BE1036" s="30">
        <f>VLOOKUP(Inventory[[#This Row],[Nbhd]],Lookups!$M$3:$P$5,4,FALSE)</f>
        <v>0.99970000000000003</v>
      </c>
      <c r="BF1036" s="30">
        <f>VLOOKUP(Inventory[[#This Row],[Qlty]],Lookups!$M$8:$P$22,4,FALSE)</f>
        <v>0.99199999999999999</v>
      </c>
      <c r="BG1036" s="30">
        <f>VLOOKUP(Inventory[[#This Row],[Cnd]],Lookups!$R$8:$U$17,4,FALSE)</f>
        <v>0.997</v>
      </c>
      <c r="BH1036" s="30">
        <f>VLOOKUP(Inventory[[#This Row],[LivArea Range]],Lookups!$R$25:$U$43,4,FALSE)</f>
        <v>0.99519999999999997</v>
      </c>
      <c r="BI1036" s="30">
        <f>VLOOKUP(Inventory[[#This Row],[Decade]],Lookups!$M$24:$P$40,4,FALSE)</f>
        <v>0.99560000000000004</v>
      </c>
      <c r="BJ1036" s="30">
        <f>Inventory[[#This Row],[Nbhd Adj]]*0.95</f>
        <v>0.94971499999999998</v>
      </c>
      <c r="BK1036" s="30">
        <f>AVERAGE(Inventory[[#This Row],[Nbhd Adj]],Inventory[[#This Row],[Quality Adj]],Inventory[[#This Row],[Condition Adj]],Inventory[[#This Row],[Living Area Adj]],Inventory[[#This Row],[Decade Adj]])*0.95</f>
        <v>0.94610499999999997</v>
      </c>
      <c r="BL1036" s="30">
        <f>ROUND((SUM(Inventory[[#This Row],[Mdl Qlty]:[Mdl Garage Area]])+Inventory[[#This Row],[Mdl Res Intercept]])*Inventory[[#This Row],[Res Adj ]],-2)</f>
        <v>239100</v>
      </c>
      <c r="BM1036" s="30">
        <f>ROUND(Inventory[[#This Row],[25Det]]*Inventory[[#This Row],[Det/Nbhd Adj]],-2)</f>
        <v>0</v>
      </c>
      <c r="BN1036" s="30">
        <f>Inventory[[#This Row],[Adjusted Res]]+Inventory[[#This Row],[Adj Det ]]</f>
        <v>239100</v>
      </c>
      <c r="BO1036" s="30">
        <f>ROUND((Inventory[[#This Row],[Mdl Land Intercept]]+Inventory[[#This Row],[Mdl LnAcres]])*Inventory[[#This Row],[Det/Nbhd Adj]],-2)</f>
        <v>62500</v>
      </c>
      <c r="BP1036" s="30">
        <f>Inventory[[#This Row],[Adjusted Impr Total]]+Inventory[[#This Row],[Adjusted Land Total]]</f>
        <v>301600</v>
      </c>
      <c r="BQ1036" s="30">
        <f>IFERROR((Inventory[[#This Row],[Adjusted Impr Total]]-Inventory[[#This Row],[24Bldg]])/Inventory[[#This Row],[24Bldg]],0)</f>
        <v>4.4104803493449779E-2</v>
      </c>
      <c r="BR1036" s="43">
        <f>(Inventory[[#This Row],[Adjusted Land Total]]-Inventory[[#This Row],[24Lnd]])/Inventory[[#This Row],[24Lnd]]</f>
        <v>0</v>
      </c>
      <c r="BS1036" s="43">
        <f>(Inventory[[#This Row],[Adjusted Total]]-Inventory[[#This Row],[24Final]])/Inventory[[#This Row],[24Final]]</f>
        <v>3.4648370497427104E-2</v>
      </c>
    </row>
    <row r="1037" spans="1:71">
      <c r="A1037" s="30">
        <v>2025</v>
      </c>
      <c r="B1037" s="31" t="s">
        <v>1552</v>
      </c>
      <c r="C1037" s="31">
        <f>LN(Inventory[[#This Row],[Acres]])</f>
        <v>-1.6607312068216509</v>
      </c>
      <c r="D1037" s="30">
        <v>0.19</v>
      </c>
      <c r="E1037" s="30">
        <v>8216</v>
      </c>
      <c r="F1037" s="31" t="s">
        <v>505</v>
      </c>
      <c r="G1037" s="31" t="s">
        <v>155</v>
      </c>
      <c r="H1037" s="31" t="s">
        <v>5</v>
      </c>
      <c r="I1037" s="31" t="s">
        <v>506</v>
      </c>
      <c r="J1037" s="31" t="s">
        <v>507</v>
      </c>
      <c r="K1037" s="31" t="s">
        <v>330</v>
      </c>
      <c r="L1037" s="31" t="s">
        <v>21</v>
      </c>
      <c r="M1037" s="31" t="s">
        <v>22</v>
      </c>
      <c r="N1037" s="31">
        <v>20</v>
      </c>
      <c r="O1037" s="31">
        <f>2024-Inventory[[#This Row],[YrBlt]]</f>
        <v>24</v>
      </c>
      <c r="P1037" s="31">
        <f>2024-Inventory[[#This Row],[EffYr]]</f>
        <v>24</v>
      </c>
      <c r="Q1037" s="30">
        <v>2000</v>
      </c>
      <c r="R1037" s="30">
        <v>2000</v>
      </c>
      <c r="S1037" s="30">
        <v>1724</v>
      </c>
      <c r="T1037" s="37"/>
      <c r="U1037" s="32"/>
      <c r="V1037" s="32"/>
      <c r="W1037" s="32"/>
      <c r="X1037" s="32">
        <f>Inventory[[#This Row],[Bsmt Area]]-Inventory[[#This Row],[FnBsmt]]</f>
        <v>0</v>
      </c>
      <c r="Y1037" s="32">
        <f>Inventory[[#This Row],[MainFn]]+Inventory[[#This Row],[UpprFn]]+Inventory[[#This Row],[AddFn]]+Inventory[[#This Row],[FnBsmt]]</f>
        <v>1724</v>
      </c>
      <c r="Z1037" s="32">
        <v>2000</v>
      </c>
      <c r="AA1037" s="31" t="s">
        <v>55</v>
      </c>
      <c r="AB1037" s="30">
        <v>1</v>
      </c>
      <c r="AC1037" s="30">
        <v>576</v>
      </c>
      <c r="AD1037" s="32"/>
      <c r="AE1037" s="32"/>
      <c r="AF1037" s="32"/>
      <c r="AG1037" s="32"/>
      <c r="AH1037" s="32"/>
      <c r="AI1037" s="30">
        <v>397039</v>
      </c>
      <c r="AJ1037" s="30">
        <v>357335</v>
      </c>
      <c r="AK1037" s="30">
        <v>0</v>
      </c>
      <c r="AL1037" s="30">
        <v>0</v>
      </c>
      <c r="AM1037" s="30">
        <v>63200</v>
      </c>
      <c r="AN1037" s="30">
        <v>316900</v>
      </c>
      <c r="AO1037" s="30">
        <v>380100</v>
      </c>
      <c r="AP1037" s="30">
        <f>Lookups!$B$58*0.6</f>
        <v>132535.48800000001</v>
      </c>
      <c r="AQ1037" s="30">
        <f>Lookups!$B$58*0.4</f>
        <v>88356.992000000013</v>
      </c>
      <c r="AR1037" s="30">
        <f>Lookups!$B$59*Inventory[[#This Row],[LnAcres]]</f>
        <v>-21795.969453044734</v>
      </c>
      <c r="AS1037" s="30">
        <f>VLOOKUP(Inventory[[#This Row],[Qlty]],Lookups!$A$66:$E$79,2,FALSE)</f>
        <v>32917.849192000001</v>
      </c>
      <c r="AT1037" s="30">
        <f>VLOOKUP(Inventory[[#This Row],[Cnd]],Lookups!$A$80:$E$88,2,FALSE)</f>
        <v>50438.379078999998</v>
      </c>
      <c r="AU1037" s="30">
        <f>Inventory[[#This Row],[EffAge]]*Lookups!$B$65</f>
        <v>-2609.7864</v>
      </c>
      <c r="AV1037" s="30">
        <f>Inventory[[#This Row],[MainFn]]*Lookups!$B$90</f>
        <v>107595.49512000001</v>
      </c>
      <c r="AW1037" s="30">
        <f>Inventory[[#This Row],[UpprFn]]*Lookups!$B$91</f>
        <v>0</v>
      </c>
      <c r="AX1037" s="30">
        <f>Inventory[[#This Row],[Bsmt Area]]*Lookups!$B$95</f>
        <v>0</v>
      </c>
      <c r="AY1037" s="30">
        <f>Inventory[[#This Row],[AttGar]]*Lookups!$B$93</f>
        <v>20333.393856000002</v>
      </c>
      <c r="AZ1037" s="30">
        <f>ROUND(Inventory[[#This Row],[25Det]],-2)</f>
        <v>0</v>
      </c>
      <c r="BA1037" s="30">
        <f>ROUND(SUM(Inventory[[#This Row],[Mdl Qlty]:[Mdl Garage Area]])+Inventory[[#This Row],[Mdl Res Intercept]],-2)</f>
        <v>341200</v>
      </c>
      <c r="BB1037" s="30">
        <f>ROUND(Inventory[[#This Row],[Mdl Land Intercept]]+Inventory[[#This Row],[Mdl LnAcres]],-2)</f>
        <v>66600</v>
      </c>
      <c r="BC1037" s="30">
        <f>Inventory[[#This Row],[Unadj Res Value]]+Inventory[[#This Row],[Unadj Det Value]]+Inventory[[#This Row],[Unadj Land Value]]</f>
        <v>407800</v>
      </c>
      <c r="BD1037" s="30">
        <f>(Inventory[[#This Row],[Unadj Total Value]]-Inventory[[#This Row],[24Final]])/Inventory[[#This Row],[24Final]]</f>
        <v>7.2875559063404372E-2</v>
      </c>
      <c r="BE1037" s="30">
        <f>VLOOKUP(Inventory[[#This Row],[Nbhd]],Lookups!$M$3:$P$5,4,FALSE)</f>
        <v>0.99970000000000003</v>
      </c>
      <c r="BF1037" s="30">
        <f>VLOOKUP(Inventory[[#This Row],[Qlty]],Lookups!$M$8:$P$22,4,FALSE)</f>
        <v>1.0019</v>
      </c>
      <c r="BG1037" s="30">
        <f>VLOOKUP(Inventory[[#This Row],[Cnd]],Lookups!$R$8:$U$17,4,FALSE)</f>
        <v>1.0007999999999999</v>
      </c>
      <c r="BH1037" s="30">
        <f>VLOOKUP(Inventory[[#This Row],[LivArea Range]],Lookups!$R$25:$U$43,4,FALSE)</f>
        <v>1.0007999999999999</v>
      </c>
      <c r="BI1037" s="30">
        <f>VLOOKUP(Inventory[[#This Row],[Decade]],Lookups!$M$24:$P$40,4,FALSE)</f>
        <v>0.99560000000000004</v>
      </c>
      <c r="BJ1037" s="30">
        <f>Inventory[[#This Row],[Nbhd Adj]]*0.95</f>
        <v>0.94971499999999998</v>
      </c>
      <c r="BK1037" s="30">
        <f>AVERAGE(Inventory[[#This Row],[Nbhd Adj]],Inventory[[#This Row],[Quality Adj]],Inventory[[#This Row],[Condition Adj]],Inventory[[#This Row],[Living Area Adj]],Inventory[[#This Row],[Decade Adj]])*0.95</f>
        <v>0.94977199999999984</v>
      </c>
      <c r="BL1037" s="30">
        <f>ROUND((SUM(Inventory[[#This Row],[Mdl Qlty]:[Mdl Garage Area]])+Inventory[[#This Row],[Mdl Res Intercept]])*Inventory[[#This Row],[Res Adj ]],-2)</f>
        <v>324100</v>
      </c>
      <c r="BM1037" s="30">
        <f>ROUND(Inventory[[#This Row],[25Det]]*Inventory[[#This Row],[Det/Nbhd Adj]],-2)</f>
        <v>0</v>
      </c>
      <c r="BN1037" s="30">
        <f>Inventory[[#This Row],[Adjusted Res]]+Inventory[[#This Row],[Adj Det ]]</f>
        <v>324100</v>
      </c>
      <c r="BO1037" s="30">
        <f>ROUND((Inventory[[#This Row],[Mdl Land Intercept]]+Inventory[[#This Row],[Mdl LnAcres]])*Inventory[[#This Row],[Det/Nbhd Adj]],-2)</f>
        <v>63200</v>
      </c>
      <c r="BP1037" s="30">
        <f>Inventory[[#This Row],[Adjusted Impr Total]]+Inventory[[#This Row],[Adjusted Land Total]]</f>
        <v>387300</v>
      </c>
      <c r="BQ1037" s="30">
        <f>IFERROR((Inventory[[#This Row],[Adjusted Impr Total]]-Inventory[[#This Row],[24Bldg]])/Inventory[[#This Row],[24Bldg]],0)</f>
        <v>2.2720100978226569E-2</v>
      </c>
      <c r="BR1037" s="43">
        <f>(Inventory[[#This Row],[Adjusted Land Total]]-Inventory[[#This Row],[24Lnd]])/Inventory[[#This Row],[24Lnd]]</f>
        <v>0</v>
      </c>
      <c r="BS1037" s="43">
        <f>(Inventory[[#This Row],[Adjusted Total]]-Inventory[[#This Row],[24Final]])/Inventory[[#This Row],[24Final]]</f>
        <v>1.8942383583267563E-2</v>
      </c>
    </row>
    <row r="1038" spans="1:71">
      <c r="A1038" s="30">
        <v>2025</v>
      </c>
      <c r="B1038" s="31" t="s">
        <v>1553</v>
      </c>
      <c r="C1038" s="31">
        <f>LN(Inventory[[#This Row],[Acres]])</f>
        <v>0.35767444427181588</v>
      </c>
      <c r="D1038" s="30">
        <v>1.43</v>
      </c>
      <c r="E1038" s="37"/>
      <c r="F1038" s="31" t="s">
        <v>505</v>
      </c>
      <c r="G1038" s="31" t="s">
        <v>155</v>
      </c>
      <c r="H1038" s="31" t="s">
        <v>5</v>
      </c>
      <c r="I1038" s="31" t="s">
        <v>506</v>
      </c>
      <c r="J1038" s="31" t="s">
        <v>507</v>
      </c>
      <c r="K1038" s="31" t="s">
        <v>330</v>
      </c>
      <c r="L1038" s="31" t="s">
        <v>23</v>
      </c>
      <c r="M1038" s="31" t="s">
        <v>22</v>
      </c>
      <c r="N1038" s="31">
        <v>20</v>
      </c>
      <c r="O1038" s="31">
        <f>2024-Inventory[[#This Row],[YrBlt]]</f>
        <v>24</v>
      </c>
      <c r="P1038" s="31">
        <f>2024-Inventory[[#This Row],[EffYr]]</f>
        <v>24</v>
      </c>
      <c r="Q1038" s="30">
        <v>2000</v>
      </c>
      <c r="R1038" s="30">
        <v>2000</v>
      </c>
      <c r="S1038" s="30">
        <v>2650</v>
      </c>
      <c r="T1038" s="32"/>
      <c r="U1038" s="32"/>
      <c r="V1038" s="32"/>
      <c r="W1038" s="32"/>
      <c r="X1038" s="32">
        <f>Inventory[[#This Row],[Bsmt Area]]-Inventory[[#This Row],[FnBsmt]]</f>
        <v>0</v>
      </c>
      <c r="Y1038" s="32">
        <f>Inventory[[#This Row],[MainFn]]+Inventory[[#This Row],[UpprFn]]+Inventory[[#This Row],[AddFn]]+Inventory[[#This Row],[FnBsmt]]</f>
        <v>2650</v>
      </c>
      <c r="Z1038" s="32">
        <v>3000</v>
      </c>
      <c r="AA1038" s="31" t="s">
        <v>57</v>
      </c>
      <c r="AB1038" s="37"/>
      <c r="AC1038" s="30">
        <v>1156</v>
      </c>
      <c r="AD1038" s="32"/>
      <c r="AE1038" s="32"/>
      <c r="AF1038" s="32"/>
      <c r="AG1038" s="32"/>
      <c r="AH1038" s="32"/>
      <c r="AI1038" s="30">
        <v>614016</v>
      </c>
      <c r="AJ1038" s="30">
        <v>564895</v>
      </c>
      <c r="AK1038" s="30">
        <v>38356</v>
      </c>
      <c r="AL1038" s="30">
        <v>0</v>
      </c>
      <c r="AM1038" s="30">
        <v>91500</v>
      </c>
      <c r="AN1038" s="30">
        <v>449400</v>
      </c>
      <c r="AO1038" s="30">
        <v>540900</v>
      </c>
      <c r="AP1038" s="30">
        <f>Lookups!$B$58*0.6</f>
        <v>132535.48800000001</v>
      </c>
      <c r="AQ1038" s="30">
        <f>Lookups!$B$58*0.4</f>
        <v>88356.992000000013</v>
      </c>
      <c r="AR1038" s="30">
        <f>Lookups!$B$59*Inventory[[#This Row],[LnAcres]]</f>
        <v>4694.2342201199226</v>
      </c>
      <c r="AS1038" s="30">
        <f>VLOOKUP(Inventory[[#This Row],[Qlty]],Lookups!$A$66:$E$79,2,FALSE)</f>
        <v>39366.494398000003</v>
      </c>
      <c r="AT1038" s="30">
        <f>VLOOKUP(Inventory[[#This Row],[Cnd]],Lookups!$A$80:$E$88,2,FALSE)</f>
        <v>50438.379078999998</v>
      </c>
      <c r="AU1038" s="30">
        <f>Inventory[[#This Row],[EffAge]]*Lookups!$B$65</f>
        <v>-2609.7864</v>
      </c>
      <c r="AV1038" s="30">
        <f>Inventory[[#This Row],[MainFn]]*Lookups!$B$90</f>
        <v>165387.50700000001</v>
      </c>
      <c r="AW1038" s="30">
        <f>Inventory[[#This Row],[UpprFn]]*Lookups!$B$91</f>
        <v>0</v>
      </c>
      <c r="AX1038" s="30">
        <f>Inventory[[#This Row],[Bsmt Area]]*Lookups!$B$95</f>
        <v>0</v>
      </c>
      <c r="AY1038" s="30">
        <f>Inventory[[#This Row],[AttGar]]*Lookups!$B$93</f>
        <v>40807.991836000001</v>
      </c>
      <c r="AZ1038" s="30">
        <f>ROUND(Inventory[[#This Row],[25Det]],-2)</f>
        <v>38400</v>
      </c>
      <c r="BA1038" s="30">
        <f>ROUND(SUM(Inventory[[#This Row],[Mdl Qlty]:[Mdl Garage Area]])+Inventory[[#This Row],[Mdl Res Intercept]],-2)</f>
        <v>425900</v>
      </c>
      <c r="BB1038" s="30">
        <f>ROUND(Inventory[[#This Row],[Mdl Land Intercept]]+Inventory[[#This Row],[Mdl LnAcres]],-2)</f>
        <v>93100</v>
      </c>
      <c r="BC1038" s="30">
        <f>Inventory[[#This Row],[Unadj Res Value]]+Inventory[[#This Row],[Unadj Det Value]]+Inventory[[#This Row],[Unadj Land Value]]</f>
        <v>557400</v>
      </c>
      <c r="BD1038" s="30">
        <f>(Inventory[[#This Row],[Unadj Total Value]]-Inventory[[#This Row],[24Final]])/Inventory[[#This Row],[24Final]]</f>
        <v>3.0504714364947311E-2</v>
      </c>
      <c r="BE1038" s="30">
        <f>VLOOKUP(Inventory[[#This Row],[Nbhd]],Lookups!$M$3:$P$5,4,FALSE)</f>
        <v>0.99970000000000003</v>
      </c>
      <c r="BF1038" s="30">
        <f>VLOOKUP(Inventory[[#This Row],[Qlty]],Lookups!$M$8:$P$22,4,FALSE)</f>
        <v>0.99980000000000002</v>
      </c>
      <c r="BG1038" s="30">
        <f>VLOOKUP(Inventory[[#This Row],[Cnd]],Lookups!$R$8:$U$17,4,FALSE)</f>
        <v>1.0007999999999999</v>
      </c>
      <c r="BH1038" s="30">
        <f>VLOOKUP(Inventory[[#This Row],[LivArea Range]],Lookups!$R$25:$U$43,4,FALSE)</f>
        <v>1.0099</v>
      </c>
      <c r="BI1038" s="30">
        <f>VLOOKUP(Inventory[[#This Row],[Decade]],Lookups!$M$24:$P$40,4,FALSE)</f>
        <v>0.99560000000000004</v>
      </c>
      <c r="BJ1038" s="30">
        <f>Inventory[[#This Row],[Nbhd Adj]]*0.95</f>
        <v>0.94971499999999998</v>
      </c>
      <c r="BK1038" s="30">
        <f>AVERAGE(Inventory[[#This Row],[Nbhd Adj]],Inventory[[#This Row],[Quality Adj]],Inventory[[#This Row],[Condition Adj]],Inventory[[#This Row],[Living Area Adj]],Inventory[[#This Row],[Decade Adj]])*0.95</f>
        <v>0.951102</v>
      </c>
      <c r="BL1038" s="30">
        <f>ROUND((SUM(Inventory[[#This Row],[Mdl Qlty]:[Mdl Garage Area]])+Inventory[[#This Row],[Mdl Res Intercept]])*Inventory[[#This Row],[Res Adj ]],-2)</f>
        <v>405100</v>
      </c>
      <c r="BM1038" s="30">
        <f>ROUND(Inventory[[#This Row],[25Det]]*Inventory[[#This Row],[Det/Nbhd Adj]],-2)</f>
        <v>36400</v>
      </c>
      <c r="BN1038" s="30">
        <f>Inventory[[#This Row],[Adjusted Res]]+Inventory[[#This Row],[Adj Det ]]</f>
        <v>441500</v>
      </c>
      <c r="BO1038" s="30">
        <f>ROUND((Inventory[[#This Row],[Mdl Land Intercept]]+Inventory[[#This Row],[Mdl LnAcres]])*Inventory[[#This Row],[Det/Nbhd Adj]],-2)</f>
        <v>88400</v>
      </c>
      <c r="BP1038" s="30">
        <f>Inventory[[#This Row],[Adjusted Impr Total]]+Inventory[[#This Row],[Adjusted Land Total]]</f>
        <v>529900</v>
      </c>
      <c r="BQ1038" s="30">
        <f>IFERROR((Inventory[[#This Row],[Adjusted Impr Total]]-Inventory[[#This Row],[24Bldg]])/Inventory[[#This Row],[24Bldg]],0)</f>
        <v>-1.7578994214508235E-2</v>
      </c>
      <c r="BR1038" s="43">
        <f>(Inventory[[#This Row],[Adjusted Land Total]]-Inventory[[#This Row],[24Lnd]])/Inventory[[#This Row],[24Lnd]]</f>
        <v>-3.3879781420765025E-2</v>
      </c>
      <c r="BS1038" s="43">
        <f>(Inventory[[#This Row],[Adjusted Total]]-Inventory[[#This Row],[24Final]])/Inventory[[#This Row],[24Final]]</f>
        <v>-2.0336476243298207E-2</v>
      </c>
    </row>
    <row r="1039" spans="1:71">
      <c r="A1039" s="30">
        <v>2025</v>
      </c>
      <c r="B1039" s="31" t="s">
        <v>1554</v>
      </c>
      <c r="C1039" s="31">
        <f>LN(Inventory[[#This Row],[Acres]])</f>
        <v>-1.9661128563728327</v>
      </c>
      <c r="D1039" s="30">
        <v>0.14000000000000001</v>
      </c>
      <c r="E1039" s="30">
        <v>6000</v>
      </c>
      <c r="F1039" s="31" t="s">
        <v>505</v>
      </c>
      <c r="G1039" s="31" t="s">
        <v>155</v>
      </c>
      <c r="H1039" s="31" t="s">
        <v>5</v>
      </c>
      <c r="I1039" s="31" t="s">
        <v>506</v>
      </c>
      <c r="J1039" s="31" t="s">
        <v>507</v>
      </c>
      <c r="K1039" s="31" t="s">
        <v>330</v>
      </c>
      <c r="L1039" s="31" t="s">
        <v>17</v>
      </c>
      <c r="M1039" s="31" t="s">
        <v>20</v>
      </c>
      <c r="N1039" s="31">
        <v>20</v>
      </c>
      <c r="O1039" s="31">
        <f>2024-Inventory[[#This Row],[YrBlt]]</f>
        <v>25</v>
      </c>
      <c r="P1039" s="31">
        <f>2024-Inventory[[#This Row],[EffYr]]</f>
        <v>25</v>
      </c>
      <c r="Q1039" s="30">
        <v>1999</v>
      </c>
      <c r="R1039" s="30">
        <v>1999</v>
      </c>
      <c r="S1039" s="30">
        <v>1092</v>
      </c>
      <c r="T1039" s="32"/>
      <c r="U1039" s="32"/>
      <c r="V1039" s="32"/>
      <c r="W1039" s="32"/>
      <c r="X1039" s="32">
        <f>Inventory[[#This Row],[Bsmt Area]]-Inventory[[#This Row],[FnBsmt]]</f>
        <v>0</v>
      </c>
      <c r="Y1039" s="32">
        <f>Inventory[[#This Row],[MainFn]]+Inventory[[#This Row],[UpprFn]]+Inventory[[#This Row],[AddFn]]+Inventory[[#This Row],[FnBsmt]]</f>
        <v>1092</v>
      </c>
      <c r="Z1039" s="32">
        <v>1500</v>
      </c>
      <c r="AA1039" s="31" t="s">
        <v>56</v>
      </c>
      <c r="AB1039" s="32"/>
      <c r="AC1039" s="37"/>
      <c r="AD1039" s="32"/>
      <c r="AE1039" s="32"/>
      <c r="AF1039" s="32"/>
      <c r="AG1039" s="32"/>
      <c r="AH1039" s="32"/>
      <c r="AI1039" s="30">
        <v>186619</v>
      </c>
      <c r="AJ1039" s="30">
        <v>167957</v>
      </c>
      <c r="AK1039" s="30">
        <v>3483</v>
      </c>
      <c r="AL1039" s="30">
        <v>0</v>
      </c>
      <c r="AM1039" s="30">
        <v>59000</v>
      </c>
      <c r="AN1039" s="30">
        <v>234900</v>
      </c>
      <c r="AO1039" s="30">
        <v>293900</v>
      </c>
      <c r="AP1039" s="30">
        <f>Lookups!$B$58*0.6</f>
        <v>132535.48800000001</v>
      </c>
      <c r="AQ1039" s="30">
        <f>Lookups!$B$58*0.4</f>
        <v>88356.992000000013</v>
      </c>
      <c r="AR1039" s="30">
        <f>Lookups!$B$59*Inventory[[#This Row],[LnAcres]]</f>
        <v>-25803.896249263951</v>
      </c>
      <c r="AS1039" s="30">
        <f>VLOOKUP(Inventory[[#This Row],[Qlty]],Lookups!$A$66:$E$79,2,FALSE)</f>
        <v>24371.765965999999</v>
      </c>
      <c r="AT1039" s="30">
        <f>VLOOKUP(Inventory[[#This Row],[Cnd]],Lookups!$A$80:$E$88,2,FALSE)</f>
        <v>30300.329274</v>
      </c>
      <c r="AU1039" s="30">
        <f>Inventory[[#This Row],[EffAge]]*Lookups!$B$65</f>
        <v>-2718.5275000000001</v>
      </c>
      <c r="AV1039" s="30">
        <f>Inventory[[#This Row],[MainFn]]*Lookups!$B$90</f>
        <v>68152.13496000001</v>
      </c>
      <c r="AW1039" s="30">
        <f>Inventory[[#This Row],[UpprFn]]*Lookups!$B$91</f>
        <v>0</v>
      </c>
      <c r="AX1039" s="30">
        <f>Inventory[[#This Row],[Bsmt Area]]*Lookups!$B$95</f>
        <v>0</v>
      </c>
      <c r="AY1039" s="30">
        <f>Inventory[[#This Row],[AttGar]]*Lookups!$B$93</f>
        <v>0</v>
      </c>
      <c r="AZ1039" s="30">
        <f>ROUND(Inventory[[#This Row],[25Det]],-2)</f>
        <v>3500</v>
      </c>
      <c r="BA1039" s="30">
        <f>ROUND(SUM(Inventory[[#This Row],[Mdl Qlty]:[Mdl Garage Area]])+Inventory[[#This Row],[Mdl Res Intercept]],-2)</f>
        <v>252600</v>
      </c>
      <c r="BB1039" s="30">
        <f>ROUND(Inventory[[#This Row],[Mdl Land Intercept]]+Inventory[[#This Row],[Mdl LnAcres]],-2)</f>
        <v>62600</v>
      </c>
      <c r="BC1039" s="30">
        <f>Inventory[[#This Row],[Unadj Res Value]]+Inventory[[#This Row],[Unadj Det Value]]+Inventory[[#This Row],[Unadj Land Value]]</f>
        <v>318700</v>
      </c>
      <c r="BD1039" s="30">
        <f>(Inventory[[#This Row],[Unadj Total Value]]-Inventory[[#This Row],[24Final]])/Inventory[[#This Row],[24Final]]</f>
        <v>8.4382443007825797E-2</v>
      </c>
      <c r="BE1039" s="30">
        <f>VLOOKUP(Inventory[[#This Row],[Nbhd]],Lookups!$M$3:$P$5,4,FALSE)</f>
        <v>0.99970000000000003</v>
      </c>
      <c r="BF1039" s="30">
        <f>VLOOKUP(Inventory[[#This Row],[Qlty]],Lookups!$M$8:$P$22,4,FALSE)</f>
        <v>0.99199999999999999</v>
      </c>
      <c r="BG1039" s="30">
        <f>VLOOKUP(Inventory[[#This Row],[Cnd]],Lookups!$R$8:$U$17,4,FALSE)</f>
        <v>0.997</v>
      </c>
      <c r="BH1039" s="30">
        <f>VLOOKUP(Inventory[[#This Row],[LivArea Range]],Lookups!$R$25:$U$43,4,FALSE)</f>
        <v>0.99519999999999997</v>
      </c>
      <c r="BI1039" s="30">
        <f>VLOOKUP(Inventory[[#This Row],[Decade]],Lookups!$M$24:$P$40,4,FALSE)</f>
        <v>0.99560000000000004</v>
      </c>
      <c r="BJ1039" s="30">
        <f>Inventory[[#This Row],[Nbhd Adj]]*0.95</f>
        <v>0.94971499999999998</v>
      </c>
      <c r="BK1039" s="30">
        <f>AVERAGE(Inventory[[#This Row],[Nbhd Adj]],Inventory[[#This Row],[Quality Adj]],Inventory[[#This Row],[Condition Adj]],Inventory[[#This Row],[Living Area Adj]],Inventory[[#This Row],[Decade Adj]])*0.95</f>
        <v>0.94610499999999997</v>
      </c>
      <c r="BL1039" s="30">
        <f>ROUND((SUM(Inventory[[#This Row],[Mdl Qlty]:[Mdl Garage Area]])+Inventory[[#This Row],[Mdl Res Intercept]])*Inventory[[#This Row],[Res Adj ]],-2)</f>
        <v>239000</v>
      </c>
      <c r="BM1039" s="30">
        <f>ROUND(Inventory[[#This Row],[25Det]]*Inventory[[#This Row],[Det/Nbhd Adj]],-2)</f>
        <v>3300</v>
      </c>
      <c r="BN1039" s="30">
        <f>Inventory[[#This Row],[Adjusted Res]]+Inventory[[#This Row],[Adj Det ]]</f>
        <v>242300</v>
      </c>
      <c r="BO1039" s="30">
        <f>ROUND((Inventory[[#This Row],[Mdl Land Intercept]]+Inventory[[#This Row],[Mdl LnAcres]])*Inventory[[#This Row],[Det/Nbhd Adj]],-2)</f>
        <v>59400</v>
      </c>
      <c r="BP1039" s="30">
        <f>Inventory[[#This Row],[Adjusted Impr Total]]+Inventory[[#This Row],[Adjusted Land Total]]</f>
        <v>301700</v>
      </c>
      <c r="BQ1039" s="30">
        <f>IFERROR((Inventory[[#This Row],[Adjusted Impr Total]]-Inventory[[#This Row],[24Bldg]])/Inventory[[#This Row],[24Bldg]],0)</f>
        <v>3.1502767134951044E-2</v>
      </c>
      <c r="BR1039" s="43">
        <f>(Inventory[[#This Row],[Adjusted Land Total]]-Inventory[[#This Row],[24Lnd]])/Inventory[[#This Row],[24Lnd]]</f>
        <v>6.7796610169491523E-3</v>
      </c>
      <c r="BS1039" s="43">
        <f>(Inventory[[#This Row],[Adjusted Total]]-Inventory[[#This Row],[24Final]])/Inventory[[#This Row],[24Final]]</f>
        <v>2.6539639333106498E-2</v>
      </c>
    </row>
    <row r="1040" spans="1:71">
      <c r="A1040" s="30">
        <v>2025</v>
      </c>
      <c r="B1040" s="31" t="s">
        <v>1555</v>
      </c>
      <c r="C1040" s="31">
        <f>LN(Inventory[[#This Row],[Acres]])</f>
        <v>-1.8325814637483102</v>
      </c>
      <c r="D1040" s="30">
        <v>0.16</v>
      </c>
      <c r="E1040" s="30">
        <v>7123</v>
      </c>
      <c r="F1040" s="31" t="s">
        <v>505</v>
      </c>
      <c r="G1040" s="31" t="s">
        <v>155</v>
      </c>
      <c r="H1040" s="31" t="s">
        <v>5</v>
      </c>
      <c r="I1040" s="31" t="s">
        <v>506</v>
      </c>
      <c r="J1040" s="31" t="s">
        <v>507</v>
      </c>
      <c r="K1040" s="31" t="s">
        <v>475</v>
      </c>
      <c r="L1040" s="31" t="s">
        <v>15</v>
      </c>
      <c r="M1040" s="31" t="s">
        <v>16</v>
      </c>
      <c r="N1040" s="31">
        <v>20</v>
      </c>
      <c r="O1040" s="31">
        <f>2024-Inventory[[#This Row],[YrBlt]]</f>
        <v>25</v>
      </c>
      <c r="P1040" s="31">
        <f>2024-Inventory[[#This Row],[EffYr]]</f>
        <v>25</v>
      </c>
      <c r="Q1040" s="30">
        <v>1999</v>
      </c>
      <c r="R1040" s="30">
        <v>1999</v>
      </c>
      <c r="S1040" s="30">
        <v>1026</v>
      </c>
      <c r="T1040" s="37"/>
      <c r="U1040" s="32"/>
      <c r="V1040" s="32"/>
      <c r="W1040" s="32"/>
      <c r="X1040" s="32">
        <f>Inventory[[#This Row],[Bsmt Area]]-Inventory[[#This Row],[FnBsmt]]</f>
        <v>0</v>
      </c>
      <c r="Y1040" s="32">
        <f>Inventory[[#This Row],[MainFn]]+Inventory[[#This Row],[UpprFn]]+Inventory[[#This Row],[AddFn]]+Inventory[[#This Row],[FnBsmt]]</f>
        <v>1026</v>
      </c>
      <c r="Z1040" s="32">
        <v>1500</v>
      </c>
      <c r="AA1040" s="31" t="s">
        <v>56</v>
      </c>
      <c r="AB1040" s="32"/>
      <c r="AC1040" s="32"/>
      <c r="AD1040" s="37"/>
      <c r="AE1040" s="32"/>
      <c r="AF1040" s="32"/>
      <c r="AG1040" s="32"/>
      <c r="AH1040" s="32"/>
      <c r="AI1040" s="30">
        <v>152229</v>
      </c>
      <c r="AJ1040" s="30">
        <v>133962</v>
      </c>
      <c r="AK1040" s="30">
        <v>0</v>
      </c>
      <c r="AL1040" s="30">
        <v>0</v>
      </c>
      <c r="AM1040" s="30">
        <v>60800</v>
      </c>
      <c r="AN1040" s="30">
        <v>201700</v>
      </c>
      <c r="AO1040" s="30">
        <v>262500</v>
      </c>
      <c r="AP1040" s="30">
        <f>Lookups!$B$58*0.6</f>
        <v>132535.48800000001</v>
      </c>
      <c r="AQ1040" s="30">
        <f>Lookups!$B$58*0.4</f>
        <v>88356.992000000013</v>
      </c>
      <c r="AR1040" s="30">
        <f>Lookups!$B$59*Inventory[[#This Row],[LnAcres]]</f>
        <v>-24051.387388882686</v>
      </c>
      <c r="AS1040" s="30">
        <f>VLOOKUP(Inventory[[#This Row],[Qlty]],Lookups!$A$66:$E$79,2,FALSE)</f>
        <v>-1240.8083630000001</v>
      </c>
      <c r="AT1040" s="30">
        <f>VLOOKUP(Inventory[[#This Row],[Cnd]],Lookups!$A$80:$E$88,2,FALSE)</f>
        <v>0</v>
      </c>
      <c r="AU1040" s="30">
        <f>Inventory[[#This Row],[EffAge]]*Lookups!$B$65</f>
        <v>-2718.5275000000001</v>
      </c>
      <c r="AV1040" s="30">
        <f>Inventory[[#This Row],[MainFn]]*Lookups!$B$90</f>
        <v>64033.049880000006</v>
      </c>
      <c r="AW1040" s="30">
        <f>Inventory[[#This Row],[UpprFn]]*Lookups!$B$91</f>
        <v>0</v>
      </c>
      <c r="AX1040" s="30">
        <f>Inventory[[#This Row],[Bsmt Area]]*Lookups!$B$95</f>
        <v>0</v>
      </c>
      <c r="AY1040" s="30">
        <f>Inventory[[#This Row],[AttGar]]*Lookups!$B$93</f>
        <v>0</v>
      </c>
      <c r="AZ1040" s="30">
        <f>ROUND(Inventory[[#This Row],[25Det]],-2)</f>
        <v>0</v>
      </c>
      <c r="BA1040" s="30">
        <f>ROUND(SUM(Inventory[[#This Row],[Mdl Qlty]:[Mdl Garage Area]])+Inventory[[#This Row],[Mdl Res Intercept]],-2)</f>
        <v>192600</v>
      </c>
      <c r="BB1040" s="30">
        <f>ROUND(Inventory[[#This Row],[Mdl Land Intercept]]+Inventory[[#This Row],[Mdl LnAcres]],-2)</f>
        <v>64300</v>
      </c>
      <c r="BC1040" s="30">
        <f>Inventory[[#This Row],[Unadj Res Value]]+Inventory[[#This Row],[Unadj Det Value]]+Inventory[[#This Row],[Unadj Land Value]]</f>
        <v>256900</v>
      </c>
      <c r="BD1040" s="30">
        <f>(Inventory[[#This Row],[Unadj Total Value]]-Inventory[[#This Row],[24Final]])/Inventory[[#This Row],[24Final]]</f>
        <v>-2.1333333333333333E-2</v>
      </c>
      <c r="BE1040" s="30">
        <f>VLOOKUP(Inventory[[#This Row],[Nbhd]],Lookups!$M$3:$P$5,4,FALSE)</f>
        <v>0.99970000000000003</v>
      </c>
      <c r="BF1040" s="30">
        <f>VLOOKUP(Inventory[[#This Row],[Qlty]],Lookups!$M$8:$P$22,4,FALSE)</f>
        <v>1.0022</v>
      </c>
      <c r="BG1040" s="30">
        <f>VLOOKUP(Inventory[[#This Row],[Cnd]],Lookups!$R$8:$U$17,4,FALSE)</f>
        <v>1</v>
      </c>
      <c r="BH1040" s="30">
        <f>VLOOKUP(Inventory[[#This Row],[LivArea Range]],Lookups!$R$25:$U$43,4,FALSE)</f>
        <v>0.99519999999999997</v>
      </c>
      <c r="BI1040" s="30">
        <f>VLOOKUP(Inventory[[#This Row],[Decade]],Lookups!$M$24:$P$40,4,FALSE)</f>
        <v>0.99560000000000004</v>
      </c>
      <c r="BJ1040" s="30">
        <f>Inventory[[#This Row],[Nbhd Adj]]*0.95</f>
        <v>0.94971499999999998</v>
      </c>
      <c r="BK1040" s="30">
        <f>AVERAGE(Inventory[[#This Row],[Nbhd Adj]],Inventory[[#This Row],[Quality Adj]],Inventory[[#This Row],[Condition Adj]],Inventory[[#This Row],[Living Area Adj]],Inventory[[#This Row],[Decade Adj]])*0.95</f>
        <v>0.94861299999999993</v>
      </c>
      <c r="BL1040" s="30">
        <f>ROUND((SUM(Inventory[[#This Row],[Mdl Qlty]:[Mdl Garage Area]])+Inventory[[#This Row],[Mdl Res Intercept]])*Inventory[[#This Row],[Res Adj ]],-2)</f>
        <v>182700</v>
      </c>
      <c r="BM1040" s="30">
        <f>ROUND(Inventory[[#This Row],[25Det]]*Inventory[[#This Row],[Det/Nbhd Adj]],-2)</f>
        <v>0</v>
      </c>
      <c r="BN1040" s="30">
        <f>Inventory[[#This Row],[Adjusted Res]]+Inventory[[#This Row],[Adj Det ]]</f>
        <v>182700</v>
      </c>
      <c r="BO1040" s="30">
        <f>ROUND((Inventory[[#This Row],[Mdl Land Intercept]]+Inventory[[#This Row],[Mdl LnAcres]])*Inventory[[#This Row],[Det/Nbhd Adj]],-2)</f>
        <v>61100</v>
      </c>
      <c r="BP1040" s="30">
        <f>Inventory[[#This Row],[Adjusted Impr Total]]+Inventory[[#This Row],[Adjusted Land Total]]</f>
        <v>243800</v>
      </c>
      <c r="BQ1040" s="30">
        <f>IFERROR((Inventory[[#This Row],[Adjusted Impr Total]]-Inventory[[#This Row],[24Bldg]])/Inventory[[#This Row],[24Bldg]],0)</f>
        <v>-9.419930589985126E-2</v>
      </c>
      <c r="BR1040" s="43">
        <f>(Inventory[[#This Row],[Adjusted Land Total]]-Inventory[[#This Row],[24Lnd]])/Inventory[[#This Row],[24Lnd]]</f>
        <v>4.9342105263157892E-3</v>
      </c>
      <c r="BS1040" s="43">
        <f>(Inventory[[#This Row],[Adjusted Total]]-Inventory[[#This Row],[24Final]])/Inventory[[#This Row],[24Final]]</f>
        <v>-7.1238095238095239E-2</v>
      </c>
    </row>
    <row r="1041" spans="1:71">
      <c r="A1041" s="30">
        <v>2025</v>
      </c>
      <c r="B1041" s="31" t="s">
        <v>1556</v>
      </c>
      <c r="C1041" s="31">
        <f>LN(Inventory[[#This Row],[Acres]])</f>
        <v>-1.7719568419318752</v>
      </c>
      <c r="D1041" s="30">
        <v>0.17</v>
      </c>
      <c r="E1041" s="30">
        <v>7413</v>
      </c>
      <c r="F1041" s="31" t="s">
        <v>505</v>
      </c>
      <c r="G1041" s="31" t="s">
        <v>155</v>
      </c>
      <c r="H1041" s="31" t="s">
        <v>5</v>
      </c>
      <c r="I1041" s="31" t="s">
        <v>506</v>
      </c>
      <c r="J1041" s="31" t="s">
        <v>507</v>
      </c>
      <c r="K1041" s="31" t="s">
        <v>193</v>
      </c>
      <c r="L1041" s="31" t="s">
        <v>17</v>
      </c>
      <c r="M1041" s="31" t="s">
        <v>20</v>
      </c>
      <c r="N1041" s="31">
        <v>20</v>
      </c>
      <c r="O1041" s="31">
        <f>2024-Inventory[[#This Row],[YrBlt]]</f>
        <v>25</v>
      </c>
      <c r="P1041" s="31">
        <f>2024-Inventory[[#This Row],[EffYr]]</f>
        <v>25</v>
      </c>
      <c r="Q1041" s="30">
        <v>1999</v>
      </c>
      <c r="R1041" s="30">
        <v>1999</v>
      </c>
      <c r="S1041" s="30">
        <v>1092</v>
      </c>
      <c r="T1041" s="37"/>
      <c r="U1041" s="32"/>
      <c r="V1041" s="32"/>
      <c r="W1041" s="32"/>
      <c r="X1041" s="32">
        <f>Inventory[[#This Row],[Bsmt Area]]-Inventory[[#This Row],[FnBsmt]]</f>
        <v>0</v>
      </c>
      <c r="Y1041" s="32">
        <f>Inventory[[#This Row],[MainFn]]+Inventory[[#This Row],[UpprFn]]+Inventory[[#This Row],[AddFn]]+Inventory[[#This Row],[FnBsmt]]</f>
        <v>1092</v>
      </c>
      <c r="Z1041" s="32">
        <v>1500</v>
      </c>
      <c r="AA1041" s="31" t="s">
        <v>56</v>
      </c>
      <c r="AB1041" s="32"/>
      <c r="AC1041" s="37"/>
      <c r="AD1041" s="32"/>
      <c r="AE1041" s="32"/>
      <c r="AF1041" s="32"/>
      <c r="AG1041" s="32"/>
      <c r="AH1041" s="32"/>
      <c r="AI1041" s="30">
        <v>193337</v>
      </c>
      <c r="AJ1041" s="30">
        <v>174003</v>
      </c>
      <c r="AK1041" s="30">
        <v>34051</v>
      </c>
      <c r="AL1041" s="30">
        <v>0</v>
      </c>
      <c r="AM1041" s="30">
        <v>61700</v>
      </c>
      <c r="AN1041" s="30">
        <v>257400</v>
      </c>
      <c r="AO1041" s="30">
        <v>319100</v>
      </c>
      <c r="AP1041" s="30">
        <f>Lookups!$B$58*0.6</f>
        <v>132535.48800000001</v>
      </c>
      <c r="AQ1041" s="30">
        <f>Lookups!$B$58*0.4</f>
        <v>88356.992000000013</v>
      </c>
      <c r="AR1041" s="30">
        <f>Lookups!$B$59*Inventory[[#This Row],[LnAcres]]</f>
        <v>-23255.730391660189</v>
      </c>
      <c r="AS1041" s="30">
        <f>VLOOKUP(Inventory[[#This Row],[Qlty]],Lookups!$A$66:$E$79,2,FALSE)</f>
        <v>24371.765965999999</v>
      </c>
      <c r="AT1041" s="30">
        <f>VLOOKUP(Inventory[[#This Row],[Cnd]],Lookups!$A$80:$E$88,2,FALSE)</f>
        <v>30300.329274</v>
      </c>
      <c r="AU1041" s="30">
        <f>Inventory[[#This Row],[EffAge]]*Lookups!$B$65</f>
        <v>-2718.5275000000001</v>
      </c>
      <c r="AV1041" s="30">
        <f>Inventory[[#This Row],[MainFn]]*Lookups!$B$90</f>
        <v>68152.13496000001</v>
      </c>
      <c r="AW1041" s="30">
        <f>Inventory[[#This Row],[UpprFn]]*Lookups!$B$91</f>
        <v>0</v>
      </c>
      <c r="AX1041" s="30">
        <f>Inventory[[#This Row],[Bsmt Area]]*Lookups!$B$95</f>
        <v>0</v>
      </c>
      <c r="AY1041" s="30">
        <f>Inventory[[#This Row],[AttGar]]*Lookups!$B$93</f>
        <v>0</v>
      </c>
      <c r="AZ1041" s="30">
        <f>ROUND(Inventory[[#This Row],[25Det]],-2)</f>
        <v>34100</v>
      </c>
      <c r="BA1041" s="30">
        <f>ROUND(SUM(Inventory[[#This Row],[Mdl Qlty]:[Mdl Garage Area]])+Inventory[[#This Row],[Mdl Res Intercept]],-2)</f>
        <v>252600</v>
      </c>
      <c r="BB1041" s="30">
        <f>ROUND(Inventory[[#This Row],[Mdl Land Intercept]]+Inventory[[#This Row],[Mdl LnAcres]],-2)</f>
        <v>65100</v>
      </c>
      <c r="BC1041" s="30">
        <f>Inventory[[#This Row],[Unadj Res Value]]+Inventory[[#This Row],[Unadj Det Value]]+Inventory[[#This Row],[Unadj Land Value]]</f>
        <v>351800</v>
      </c>
      <c r="BD1041" s="30">
        <f>(Inventory[[#This Row],[Unadj Total Value]]-Inventory[[#This Row],[24Final]])/Inventory[[#This Row],[24Final]]</f>
        <v>0.1024757129426512</v>
      </c>
      <c r="BE1041" s="30">
        <f>VLOOKUP(Inventory[[#This Row],[Nbhd]],Lookups!$M$3:$P$5,4,FALSE)</f>
        <v>0.99970000000000003</v>
      </c>
      <c r="BF1041" s="30">
        <f>VLOOKUP(Inventory[[#This Row],[Qlty]],Lookups!$M$8:$P$22,4,FALSE)</f>
        <v>0.99199999999999999</v>
      </c>
      <c r="BG1041" s="30">
        <f>VLOOKUP(Inventory[[#This Row],[Cnd]],Lookups!$R$8:$U$17,4,FALSE)</f>
        <v>0.997</v>
      </c>
      <c r="BH1041" s="30">
        <f>VLOOKUP(Inventory[[#This Row],[LivArea Range]],Lookups!$R$25:$U$43,4,FALSE)</f>
        <v>0.99519999999999997</v>
      </c>
      <c r="BI1041" s="30">
        <f>VLOOKUP(Inventory[[#This Row],[Decade]],Lookups!$M$24:$P$40,4,FALSE)</f>
        <v>0.99560000000000004</v>
      </c>
      <c r="BJ1041" s="30">
        <f>Inventory[[#This Row],[Nbhd Adj]]*0.95</f>
        <v>0.94971499999999998</v>
      </c>
      <c r="BK1041" s="30">
        <f>AVERAGE(Inventory[[#This Row],[Nbhd Adj]],Inventory[[#This Row],[Quality Adj]],Inventory[[#This Row],[Condition Adj]],Inventory[[#This Row],[Living Area Adj]],Inventory[[#This Row],[Decade Adj]])*0.95</f>
        <v>0.94610499999999997</v>
      </c>
      <c r="BL1041" s="30">
        <f>ROUND((SUM(Inventory[[#This Row],[Mdl Qlty]:[Mdl Garage Area]])+Inventory[[#This Row],[Mdl Res Intercept]])*Inventory[[#This Row],[Res Adj ]],-2)</f>
        <v>239000</v>
      </c>
      <c r="BM1041" s="30">
        <f>ROUND(Inventory[[#This Row],[25Det]]*Inventory[[#This Row],[Det/Nbhd Adj]],-2)</f>
        <v>32300</v>
      </c>
      <c r="BN1041" s="30">
        <f>Inventory[[#This Row],[Adjusted Res]]+Inventory[[#This Row],[Adj Det ]]</f>
        <v>271300</v>
      </c>
      <c r="BO1041" s="30">
        <f>ROUND((Inventory[[#This Row],[Mdl Land Intercept]]+Inventory[[#This Row],[Mdl LnAcres]])*Inventory[[#This Row],[Det/Nbhd Adj]],-2)</f>
        <v>61800</v>
      </c>
      <c r="BP1041" s="30">
        <f>Inventory[[#This Row],[Adjusted Impr Total]]+Inventory[[#This Row],[Adjusted Land Total]]</f>
        <v>333100</v>
      </c>
      <c r="BQ1041" s="30">
        <f>IFERROR((Inventory[[#This Row],[Adjusted Impr Total]]-Inventory[[#This Row],[24Bldg]])/Inventory[[#This Row],[24Bldg]],0)</f>
        <v>5.4001554001554E-2</v>
      </c>
      <c r="BR1041" s="43">
        <f>(Inventory[[#This Row],[Adjusted Land Total]]-Inventory[[#This Row],[24Lnd]])/Inventory[[#This Row],[24Lnd]]</f>
        <v>1.6207455429497568E-3</v>
      </c>
      <c r="BS1041" s="43">
        <f>(Inventory[[#This Row],[Adjusted Total]]-Inventory[[#This Row],[24Final]])/Inventory[[#This Row],[24Final]]</f>
        <v>4.3873393920401127E-2</v>
      </c>
    </row>
    <row r="1042" spans="1:71">
      <c r="A1042" s="30">
        <v>2025</v>
      </c>
      <c r="B1042" s="31" t="s">
        <v>1557</v>
      </c>
      <c r="C1042" s="31">
        <f>LN(Inventory[[#This Row],[Acres]])</f>
        <v>-3.5065578973199818</v>
      </c>
      <c r="D1042" s="30">
        <v>0.03</v>
      </c>
      <c r="E1042" s="30">
        <v>1500</v>
      </c>
      <c r="F1042" s="31" t="s">
        <v>505</v>
      </c>
      <c r="G1042" s="31" t="s">
        <v>155</v>
      </c>
      <c r="H1042" s="31" t="s">
        <v>5</v>
      </c>
      <c r="I1042" s="31" t="s">
        <v>506</v>
      </c>
      <c r="J1042" s="31" t="s">
        <v>507</v>
      </c>
      <c r="K1042" s="31" t="s">
        <v>157</v>
      </c>
      <c r="L1042" s="31" t="s">
        <v>17</v>
      </c>
      <c r="M1042" s="31" t="s">
        <v>20</v>
      </c>
      <c r="N1042" s="31">
        <v>20</v>
      </c>
      <c r="O1042" s="31">
        <f>2024-Inventory[[#This Row],[YrBlt]]</f>
        <v>26</v>
      </c>
      <c r="P1042" s="31">
        <f>2024-Inventory[[#This Row],[EffYr]]</f>
        <v>26</v>
      </c>
      <c r="Q1042" s="30">
        <v>1998</v>
      </c>
      <c r="R1042" s="30">
        <v>1998</v>
      </c>
      <c r="S1042" s="30">
        <v>531</v>
      </c>
      <c r="T1042" s="30">
        <v>747</v>
      </c>
      <c r="U1042" s="32"/>
      <c r="V1042" s="32"/>
      <c r="W1042" s="32"/>
      <c r="X1042" s="32">
        <f>Inventory[[#This Row],[Bsmt Area]]-Inventory[[#This Row],[FnBsmt]]</f>
        <v>0</v>
      </c>
      <c r="Y1042" s="32">
        <f>Inventory[[#This Row],[MainFn]]+Inventory[[#This Row],[UpprFn]]+Inventory[[#This Row],[AddFn]]+Inventory[[#This Row],[FnBsmt]]</f>
        <v>1278</v>
      </c>
      <c r="Z1042" s="32">
        <v>1500</v>
      </c>
      <c r="AA1042" s="31" t="s">
        <v>56</v>
      </c>
      <c r="AB1042" s="37"/>
      <c r="AC1042" s="37"/>
      <c r="AD1042" s="38">
        <v>216</v>
      </c>
      <c r="AE1042" s="32"/>
      <c r="AF1042" s="32"/>
      <c r="AG1042" s="32"/>
      <c r="AH1042" s="32"/>
      <c r="AI1042" s="30">
        <v>206732</v>
      </c>
      <c r="AJ1042" s="30">
        <v>183991</v>
      </c>
      <c r="AK1042" s="30">
        <v>0</v>
      </c>
      <c r="AL1042" s="30">
        <v>0</v>
      </c>
      <c r="AM1042" s="30">
        <v>37400</v>
      </c>
      <c r="AN1042" s="30">
        <v>257000</v>
      </c>
      <c r="AO1042" s="30">
        <v>294400</v>
      </c>
      <c r="AP1042" s="30">
        <f>Lookups!$B$58*0.6</f>
        <v>132535.48800000001</v>
      </c>
      <c r="AQ1042" s="30">
        <f>Lookups!$B$58*0.4</f>
        <v>88356.992000000013</v>
      </c>
      <c r="AR1042" s="30">
        <f>Lookups!$B$59*Inventory[[#This Row],[LnAcres]]</f>
        <v>-46021.19144951248</v>
      </c>
      <c r="AS1042" s="30">
        <f>VLOOKUP(Inventory[[#This Row],[Qlty]],Lookups!$A$66:$E$79,2,FALSE)</f>
        <v>24371.765965999999</v>
      </c>
      <c r="AT1042" s="30">
        <f>VLOOKUP(Inventory[[#This Row],[Cnd]],Lookups!$A$80:$E$88,2,FALSE)</f>
        <v>30300.329274</v>
      </c>
      <c r="AU1042" s="30">
        <f>Inventory[[#This Row],[EffAge]]*Lookups!$B$65</f>
        <v>-2827.2685999999999</v>
      </c>
      <c r="AV1042" s="30">
        <f>Inventory[[#This Row],[MainFn]]*Lookups!$B$90</f>
        <v>33139.911780000002</v>
      </c>
      <c r="AW1042" s="30">
        <f>Inventory[[#This Row],[UpprFn]]*Lookups!$B$91</f>
        <v>44506.546101</v>
      </c>
      <c r="AX1042" s="30">
        <f>Inventory[[#This Row],[Bsmt Area]]*Lookups!$B$95</f>
        <v>0</v>
      </c>
      <c r="AY1042" s="30">
        <f>Inventory[[#This Row],[AttGar]]*Lookups!$B$93</f>
        <v>0</v>
      </c>
      <c r="AZ1042" s="30">
        <f>ROUND(Inventory[[#This Row],[25Det]],-2)</f>
        <v>0</v>
      </c>
      <c r="BA1042" s="30">
        <f>ROUND(SUM(Inventory[[#This Row],[Mdl Qlty]:[Mdl Garage Area]])+Inventory[[#This Row],[Mdl Res Intercept]],-2)</f>
        <v>262000</v>
      </c>
      <c r="BB1042" s="30">
        <f>ROUND(Inventory[[#This Row],[Mdl Land Intercept]]+Inventory[[#This Row],[Mdl LnAcres]],-2)</f>
        <v>42300</v>
      </c>
      <c r="BC1042" s="30">
        <f>Inventory[[#This Row],[Unadj Res Value]]+Inventory[[#This Row],[Unadj Det Value]]+Inventory[[#This Row],[Unadj Land Value]]</f>
        <v>304300</v>
      </c>
      <c r="BD1042" s="30">
        <f>(Inventory[[#This Row],[Unadj Total Value]]-Inventory[[#This Row],[24Final]])/Inventory[[#This Row],[24Final]]</f>
        <v>3.3627717391304345E-2</v>
      </c>
      <c r="BE1042" s="30">
        <f>VLOOKUP(Inventory[[#This Row],[Nbhd]],Lookups!$M$3:$P$5,4,FALSE)</f>
        <v>0.99970000000000003</v>
      </c>
      <c r="BF1042" s="30">
        <f>VLOOKUP(Inventory[[#This Row],[Qlty]],Lookups!$M$8:$P$22,4,FALSE)</f>
        <v>0.99199999999999999</v>
      </c>
      <c r="BG1042" s="30">
        <f>VLOOKUP(Inventory[[#This Row],[Cnd]],Lookups!$R$8:$U$17,4,FALSE)</f>
        <v>0.997</v>
      </c>
      <c r="BH1042" s="30">
        <f>VLOOKUP(Inventory[[#This Row],[LivArea Range]],Lookups!$R$25:$U$43,4,FALSE)</f>
        <v>0.99519999999999997</v>
      </c>
      <c r="BI1042" s="30">
        <f>VLOOKUP(Inventory[[#This Row],[Decade]],Lookups!$M$24:$P$40,4,FALSE)</f>
        <v>0.99560000000000004</v>
      </c>
      <c r="BJ1042" s="30">
        <f>Inventory[[#This Row],[Nbhd Adj]]*0.95</f>
        <v>0.94971499999999998</v>
      </c>
      <c r="BK1042" s="30">
        <f>AVERAGE(Inventory[[#This Row],[Nbhd Adj]],Inventory[[#This Row],[Quality Adj]],Inventory[[#This Row],[Condition Adj]],Inventory[[#This Row],[Living Area Adj]],Inventory[[#This Row],[Decade Adj]])*0.95</f>
        <v>0.94610499999999997</v>
      </c>
      <c r="BL1042" s="30">
        <f>ROUND((SUM(Inventory[[#This Row],[Mdl Qlty]:[Mdl Garage Area]])+Inventory[[#This Row],[Mdl Res Intercept]])*Inventory[[#This Row],[Res Adj ]],-2)</f>
        <v>247900</v>
      </c>
      <c r="BM1042" s="30">
        <f>ROUND(Inventory[[#This Row],[25Det]]*Inventory[[#This Row],[Det/Nbhd Adj]],-2)</f>
        <v>0</v>
      </c>
      <c r="BN1042" s="30">
        <f>Inventory[[#This Row],[Adjusted Res]]+Inventory[[#This Row],[Adj Det ]]</f>
        <v>247900</v>
      </c>
      <c r="BO1042" s="30">
        <f>ROUND((Inventory[[#This Row],[Mdl Land Intercept]]+Inventory[[#This Row],[Mdl LnAcres]])*Inventory[[#This Row],[Det/Nbhd Adj]],-2)</f>
        <v>40200</v>
      </c>
      <c r="BP1042" s="30">
        <f>Inventory[[#This Row],[Adjusted Impr Total]]+Inventory[[#This Row],[Adjusted Land Total]]</f>
        <v>288100</v>
      </c>
      <c r="BQ1042" s="30">
        <f>IFERROR((Inventory[[#This Row],[Adjusted Impr Total]]-Inventory[[#This Row],[24Bldg]])/Inventory[[#This Row],[24Bldg]],0)</f>
        <v>-3.5408560311284046E-2</v>
      </c>
      <c r="BR1042" s="43">
        <f>(Inventory[[#This Row],[Adjusted Land Total]]-Inventory[[#This Row],[24Lnd]])/Inventory[[#This Row],[24Lnd]]</f>
        <v>7.4866310160427801E-2</v>
      </c>
      <c r="BS1042" s="43">
        <f>(Inventory[[#This Row],[Adjusted Total]]-Inventory[[#This Row],[24Final]])/Inventory[[#This Row],[24Final]]</f>
        <v>-2.1399456521739132E-2</v>
      </c>
    </row>
    <row r="1043" spans="1:71">
      <c r="A1043" s="30">
        <v>2025</v>
      </c>
      <c r="B1043" s="31" t="s">
        <v>1558</v>
      </c>
      <c r="C1043" s="31">
        <f>LN(Inventory[[#This Row],[Acres]])</f>
        <v>-2.8134107167600364</v>
      </c>
      <c r="D1043" s="30">
        <v>0.06</v>
      </c>
      <c r="E1043" s="30">
        <v>2567</v>
      </c>
      <c r="F1043" s="31" t="s">
        <v>505</v>
      </c>
      <c r="G1043" s="31" t="s">
        <v>155</v>
      </c>
      <c r="H1043" s="31" t="s">
        <v>5</v>
      </c>
      <c r="I1043" s="31" t="s">
        <v>506</v>
      </c>
      <c r="J1043" s="31" t="s">
        <v>507</v>
      </c>
      <c r="K1043" s="31" t="s">
        <v>157</v>
      </c>
      <c r="L1043" s="31" t="s">
        <v>17</v>
      </c>
      <c r="M1043" s="31" t="s">
        <v>18</v>
      </c>
      <c r="N1043" s="31">
        <v>20</v>
      </c>
      <c r="O1043" s="31">
        <f>2024-Inventory[[#This Row],[YrBlt]]</f>
        <v>26</v>
      </c>
      <c r="P1043" s="31">
        <f>2024-Inventory[[#This Row],[EffYr]]</f>
        <v>26</v>
      </c>
      <c r="Q1043" s="30">
        <v>1998</v>
      </c>
      <c r="R1043" s="30">
        <v>1998</v>
      </c>
      <c r="S1043" s="30">
        <v>531</v>
      </c>
      <c r="T1043" s="38">
        <v>747</v>
      </c>
      <c r="U1043" s="32"/>
      <c r="V1043" s="32"/>
      <c r="W1043" s="32"/>
      <c r="X1043" s="32">
        <f>Inventory[[#This Row],[Bsmt Area]]-Inventory[[#This Row],[FnBsmt]]</f>
        <v>0</v>
      </c>
      <c r="Y1043" s="32">
        <f>Inventory[[#This Row],[MainFn]]+Inventory[[#This Row],[UpprFn]]+Inventory[[#This Row],[AddFn]]+Inventory[[#This Row],[FnBsmt]]</f>
        <v>1278</v>
      </c>
      <c r="Z1043" s="32">
        <v>1500</v>
      </c>
      <c r="AA1043" s="31" t="s">
        <v>56</v>
      </c>
      <c r="AB1043" s="32"/>
      <c r="AC1043" s="37"/>
      <c r="AD1043" s="38">
        <v>216</v>
      </c>
      <c r="AE1043" s="32"/>
      <c r="AF1043" s="32"/>
      <c r="AG1043" s="32"/>
      <c r="AH1043" s="32"/>
      <c r="AI1043" s="30">
        <v>205490</v>
      </c>
      <c r="AJ1043" s="30">
        <v>180831</v>
      </c>
      <c r="AK1043" s="30">
        <v>0</v>
      </c>
      <c r="AL1043" s="30">
        <v>0</v>
      </c>
      <c r="AM1043" s="30">
        <v>47100</v>
      </c>
      <c r="AN1043" s="30">
        <v>245500</v>
      </c>
      <c r="AO1043" s="30">
        <v>292600</v>
      </c>
      <c r="AP1043" s="30">
        <f>Lookups!$B$58*0.6</f>
        <v>132535.48800000001</v>
      </c>
      <c r="AQ1043" s="30">
        <f>Lookups!$B$58*0.4</f>
        <v>88356.992000000013</v>
      </c>
      <c r="AR1043" s="30">
        <f>Lookups!$B$59*Inventory[[#This Row],[LnAcres]]</f>
        <v>-36924.105351598795</v>
      </c>
      <c r="AS1043" s="30">
        <f>VLOOKUP(Inventory[[#This Row],[Qlty]],Lookups!$A$66:$E$79,2,FALSE)</f>
        <v>24371.765965999999</v>
      </c>
      <c r="AT1043" s="30">
        <f>VLOOKUP(Inventory[[#This Row],[Cnd]],Lookups!$A$80:$E$88,2,FALSE)</f>
        <v>17761.121909000001</v>
      </c>
      <c r="AU1043" s="30">
        <f>Inventory[[#This Row],[EffAge]]*Lookups!$B$65</f>
        <v>-2827.2685999999999</v>
      </c>
      <c r="AV1043" s="30">
        <f>Inventory[[#This Row],[MainFn]]*Lookups!$B$90</f>
        <v>33139.911780000002</v>
      </c>
      <c r="AW1043" s="30">
        <f>Inventory[[#This Row],[UpprFn]]*Lookups!$B$91</f>
        <v>44506.546101</v>
      </c>
      <c r="AX1043" s="30">
        <f>Inventory[[#This Row],[Bsmt Area]]*Lookups!$B$95</f>
        <v>0</v>
      </c>
      <c r="AY1043" s="30">
        <f>Inventory[[#This Row],[AttGar]]*Lookups!$B$93</f>
        <v>0</v>
      </c>
      <c r="AZ1043" s="30">
        <f>ROUND(Inventory[[#This Row],[25Det]],-2)</f>
        <v>0</v>
      </c>
      <c r="BA1043" s="30">
        <f>ROUND(SUM(Inventory[[#This Row],[Mdl Qlty]:[Mdl Garage Area]])+Inventory[[#This Row],[Mdl Res Intercept]],-2)</f>
        <v>249500</v>
      </c>
      <c r="BB1043" s="30">
        <f>ROUND(Inventory[[#This Row],[Mdl Land Intercept]]+Inventory[[#This Row],[Mdl LnAcres]],-2)</f>
        <v>51400</v>
      </c>
      <c r="BC1043" s="30">
        <f>Inventory[[#This Row],[Unadj Res Value]]+Inventory[[#This Row],[Unadj Det Value]]+Inventory[[#This Row],[Unadj Land Value]]</f>
        <v>300900</v>
      </c>
      <c r="BD1043" s="30">
        <f>(Inventory[[#This Row],[Unadj Total Value]]-Inventory[[#This Row],[24Final]])/Inventory[[#This Row],[24Final]]</f>
        <v>2.836637047163363E-2</v>
      </c>
      <c r="BE1043" s="30">
        <f>VLOOKUP(Inventory[[#This Row],[Nbhd]],Lookups!$M$3:$P$5,4,FALSE)</f>
        <v>0.99970000000000003</v>
      </c>
      <c r="BF1043" s="30">
        <f>VLOOKUP(Inventory[[#This Row],[Qlty]],Lookups!$M$8:$P$22,4,FALSE)</f>
        <v>0.99199999999999999</v>
      </c>
      <c r="BG1043" s="30">
        <f>VLOOKUP(Inventory[[#This Row],[Cnd]],Lookups!$R$8:$U$17,4,FALSE)</f>
        <v>0.99680000000000002</v>
      </c>
      <c r="BH1043" s="30">
        <f>VLOOKUP(Inventory[[#This Row],[LivArea Range]],Lookups!$R$25:$U$43,4,FALSE)</f>
        <v>0.99519999999999997</v>
      </c>
      <c r="BI1043" s="30">
        <f>VLOOKUP(Inventory[[#This Row],[Decade]],Lookups!$M$24:$P$40,4,FALSE)</f>
        <v>0.99560000000000004</v>
      </c>
      <c r="BJ1043" s="30">
        <f>Inventory[[#This Row],[Nbhd Adj]]*0.95</f>
        <v>0.94971499999999998</v>
      </c>
      <c r="BK1043" s="30">
        <f>AVERAGE(Inventory[[#This Row],[Nbhd Adj]],Inventory[[#This Row],[Quality Adj]],Inventory[[#This Row],[Condition Adj]],Inventory[[#This Row],[Living Area Adj]],Inventory[[#This Row],[Decade Adj]])*0.95</f>
        <v>0.94606699999999999</v>
      </c>
      <c r="BL1043" s="30">
        <f>ROUND((SUM(Inventory[[#This Row],[Mdl Qlty]:[Mdl Garage Area]])+Inventory[[#This Row],[Mdl Res Intercept]])*Inventory[[#This Row],[Res Adj ]],-2)</f>
        <v>236000</v>
      </c>
      <c r="BM1043" s="30">
        <f>ROUND(Inventory[[#This Row],[25Det]]*Inventory[[#This Row],[Det/Nbhd Adj]],-2)</f>
        <v>0</v>
      </c>
      <c r="BN1043" s="30">
        <f>Inventory[[#This Row],[Adjusted Res]]+Inventory[[#This Row],[Adj Det ]]</f>
        <v>236000</v>
      </c>
      <c r="BO1043" s="30">
        <f>ROUND((Inventory[[#This Row],[Mdl Land Intercept]]+Inventory[[#This Row],[Mdl LnAcres]])*Inventory[[#This Row],[Det/Nbhd Adj]],-2)</f>
        <v>48800</v>
      </c>
      <c r="BP1043" s="30">
        <f>Inventory[[#This Row],[Adjusted Impr Total]]+Inventory[[#This Row],[Adjusted Land Total]]</f>
        <v>284800</v>
      </c>
      <c r="BQ1043" s="30">
        <f>IFERROR((Inventory[[#This Row],[Adjusted Impr Total]]-Inventory[[#This Row],[24Bldg]])/Inventory[[#This Row],[24Bldg]],0)</f>
        <v>-3.8696537678207736E-2</v>
      </c>
      <c r="BR1043" s="43">
        <f>(Inventory[[#This Row],[Adjusted Land Total]]-Inventory[[#This Row],[24Lnd]])/Inventory[[#This Row],[24Lnd]]</f>
        <v>3.6093418259023353E-2</v>
      </c>
      <c r="BS1043" s="43">
        <f>(Inventory[[#This Row],[Adjusted Total]]-Inventory[[#This Row],[24Final]])/Inventory[[#This Row],[24Final]]</f>
        <v>-2.6657552973342446E-2</v>
      </c>
    </row>
    <row r="1044" spans="1:71">
      <c r="A1044" s="30">
        <v>2025</v>
      </c>
      <c r="B1044" s="31" t="s">
        <v>1559</v>
      </c>
      <c r="C1044" s="31">
        <f>LN(Inventory[[#This Row],[Acres]])</f>
        <v>-2.8134107167600364</v>
      </c>
      <c r="D1044" s="30">
        <v>0.06</v>
      </c>
      <c r="E1044" s="30">
        <v>2608</v>
      </c>
      <c r="F1044" s="31" t="s">
        <v>505</v>
      </c>
      <c r="G1044" s="31" t="s">
        <v>155</v>
      </c>
      <c r="H1044" s="31" t="s">
        <v>5</v>
      </c>
      <c r="I1044" s="31" t="s">
        <v>506</v>
      </c>
      <c r="J1044" s="31" t="s">
        <v>507</v>
      </c>
      <c r="K1044" s="31" t="s">
        <v>157</v>
      </c>
      <c r="L1044" s="31" t="s">
        <v>17</v>
      </c>
      <c r="M1044" s="31" t="s">
        <v>18</v>
      </c>
      <c r="N1044" s="31">
        <v>20</v>
      </c>
      <c r="O1044" s="31">
        <f>2024-Inventory[[#This Row],[YrBlt]]</f>
        <v>26</v>
      </c>
      <c r="P1044" s="31">
        <f>2024-Inventory[[#This Row],[EffYr]]</f>
        <v>26</v>
      </c>
      <c r="Q1044" s="30">
        <v>1998</v>
      </c>
      <c r="R1044" s="30">
        <v>1998</v>
      </c>
      <c r="S1044" s="30">
        <v>531</v>
      </c>
      <c r="T1044" s="38">
        <v>747</v>
      </c>
      <c r="U1044" s="32"/>
      <c r="V1044" s="32"/>
      <c r="W1044" s="32"/>
      <c r="X1044" s="32">
        <f>Inventory[[#This Row],[Bsmt Area]]-Inventory[[#This Row],[FnBsmt]]</f>
        <v>0</v>
      </c>
      <c r="Y1044" s="32">
        <f>Inventory[[#This Row],[MainFn]]+Inventory[[#This Row],[UpprFn]]+Inventory[[#This Row],[AddFn]]+Inventory[[#This Row],[FnBsmt]]</f>
        <v>1278</v>
      </c>
      <c r="Z1044" s="32">
        <v>1500</v>
      </c>
      <c r="AA1044" s="31" t="s">
        <v>56</v>
      </c>
      <c r="AB1044" s="32"/>
      <c r="AC1044" s="37"/>
      <c r="AD1044" s="38">
        <v>216</v>
      </c>
      <c r="AE1044" s="32"/>
      <c r="AF1044" s="32"/>
      <c r="AG1044" s="32"/>
      <c r="AH1044" s="32"/>
      <c r="AI1044" s="30">
        <v>204820</v>
      </c>
      <c r="AJ1044" s="30">
        <v>180242</v>
      </c>
      <c r="AK1044" s="30">
        <v>0</v>
      </c>
      <c r="AL1044" s="30">
        <v>0</v>
      </c>
      <c r="AM1044" s="30">
        <v>47100</v>
      </c>
      <c r="AN1044" s="30">
        <v>245500</v>
      </c>
      <c r="AO1044" s="30">
        <v>292600</v>
      </c>
      <c r="AP1044" s="30">
        <f>Lookups!$B$58*0.6</f>
        <v>132535.48800000001</v>
      </c>
      <c r="AQ1044" s="30">
        <f>Lookups!$B$58*0.4</f>
        <v>88356.992000000013</v>
      </c>
      <c r="AR1044" s="30">
        <f>Lookups!$B$59*Inventory[[#This Row],[LnAcres]]</f>
        <v>-36924.105351598795</v>
      </c>
      <c r="AS1044" s="30">
        <f>VLOOKUP(Inventory[[#This Row],[Qlty]],Lookups!$A$66:$E$79,2,FALSE)</f>
        <v>24371.765965999999</v>
      </c>
      <c r="AT1044" s="30">
        <f>VLOOKUP(Inventory[[#This Row],[Cnd]],Lookups!$A$80:$E$88,2,FALSE)</f>
        <v>17761.121909000001</v>
      </c>
      <c r="AU1044" s="30">
        <f>Inventory[[#This Row],[EffAge]]*Lookups!$B$65</f>
        <v>-2827.2685999999999</v>
      </c>
      <c r="AV1044" s="30">
        <f>Inventory[[#This Row],[MainFn]]*Lookups!$B$90</f>
        <v>33139.911780000002</v>
      </c>
      <c r="AW1044" s="30">
        <f>Inventory[[#This Row],[UpprFn]]*Lookups!$B$91</f>
        <v>44506.546101</v>
      </c>
      <c r="AX1044" s="30">
        <f>Inventory[[#This Row],[Bsmt Area]]*Lookups!$B$95</f>
        <v>0</v>
      </c>
      <c r="AY1044" s="30">
        <f>Inventory[[#This Row],[AttGar]]*Lookups!$B$93</f>
        <v>0</v>
      </c>
      <c r="AZ1044" s="30">
        <f>ROUND(Inventory[[#This Row],[25Det]],-2)</f>
        <v>0</v>
      </c>
      <c r="BA1044" s="30">
        <f>ROUND(SUM(Inventory[[#This Row],[Mdl Qlty]:[Mdl Garage Area]])+Inventory[[#This Row],[Mdl Res Intercept]],-2)</f>
        <v>249500</v>
      </c>
      <c r="BB1044" s="30">
        <f>ROUND(Inventory[[#This Row],[Mdl Land Intercept]]+Inventory[[#This Row],[Mdl LnAcres]],-2)</f>
        <v>51400</v>
      </c>
      <c r="BC1044" s="30">
        <f>Inventory[[#This Row],[Unadj Res Value]]+Inventory[[#This Row],[Unadj Det Value]]+Inventory[[#This Row],[Unadj Land Value]]</f>
        <v>300900</v>
      </c>
      <c r="BD1044" s="30">
        <f>(Inventory[[#This Row],[Unadj Total Value]]-Inventory[[#This Row],[24Final]])/Inventory[[#This Row],[24Final]]</f>
        <v>2.836637047163363E-2</v>
      </c>
      <c r="BE1044" s="30">
        <f>VLOOKUP(Inventory[[#This Row],[Nbhd]],Lookups!$M$3:$P$5,4,FALSE)</f>
        <v>0.99970000000000003</v>
      </c>
      <c r="BF1044" s="30">
        <f>VLOOKUP(Inventory[[#This Row],[Qlty]],Lookups!$M$8:$P$22,4,FALSE)</f>
        <v>0.99199999999999999</v>
      </c>
      <c r="BG1044" s="30">
        <f>VLOOKUP(Inventory[[#This Row],[Cnd]],Lookups!$R$8:$U$17,4,FALSE)</f>
        <v>0.99680000000000002</v>
      </c>
      <c r="BH1044" s="30">
        <f>VLOOKUP(Inventory[[#This Row],[LivArea Range]],Lookups!$R$25:$U$43,4,FALSE)</f>
        <v>0.99519999999999997</v>
      </c>
      <c r="BI1044" s="30">
        <f>VLOOKUP(Inventory[[#This Row],[Decade]],Lookups!$M$24:$P$40,4,FALSE)</f>
        <v>0.99560000000000004</v>
      </c>
      <c r="BJ1044" s="30">
        <f>Inventory[[#This Row],[Nbhd Adj]]*0.95</f>
        <v>0.94971499999999998</v>
      </c>
      <c r="BK1044" s="30">
        <f>AVERAGE(Inventory[[#This Row],[Nbhd Adj]],Inventory[[#This Row],[Quality Adj]],Inventory[[#This Row],[Condition Adj]],Inventory[[#This Row],[Living Area Adj]],Inventory[[#This Row],[Decade Adj]])*0.95</f>
        <v>0.94606699999999999</v>
      </c>
      <c r="BL1044" s="30">
        <f>ROUND((SUM(Inventory[[#This Row],[Mdl Qlty]:[Mdl Garage Area]])+Inventory[[#This Row],[Mdl Res Intercept]])*Inventory[[#This Row],[Res Adj ]],-2)</f>
        <v>236000</v>
      </c>
      <c r="BM1044" s="30">
        <f>ROUND(Inventory[[#This Row],[25Det]]*Inventory[[#This Row],[Det/Nbhd Adj]],-2)</f>
        <v>0</v>
      </c>
      <c r="BN1044" s="30">
        <f>Inventory[[#This Row],[Adjusted Res]]+Inventory[[#This Row],[Adj Det ]]</f>
        <v>236000</v>
      </c>
      <c r="BO1044" s="30">
        <f>ROUND((Inventory[[#This Row],[Mdl Land Intercept]]+Inventory[[#This Row],[Mdl LnAcres]])*Inventory[[#This Row],[Det/Nbhd Adj]],-2)</f>
        <v>48800</v>
      </c>
      <c r="BP1044" s="30">
        <f>Inventory[[#This Row],[Adjusted Impr Total]]+Inventory[[#This Row],[Adjusted Land Total]]</f>
        <v>284800</v>
      </c>
      <c r="BQ1044" s="30">
        <f>IFERROR((Inventory[[#This Row],[Adjusted Impr Total]]-Inventory[[#This Row],[24Bldg]])/Inventory[[#This Row],[24Bldg]],0)</f>
        <v>-3.8696537678207736E-2</v>
      </c>
      <c r="BR1044" s="43">
        <f>(Inventory[[#This Row],[Adjusted Land Total]]-Inventory[[#This Row],[24Lnd]])/Inventory[[#This Row],[24Lnd]]</f>
        <v>3.6093418259023353E-2</v>
      </c>
      <c r="BS1044" s="43">
        <f>(Inventory[[#This Row],[Adjusted Total]]-Inventory[[#This Row],[24Final]])/Inventory[[#This Row],[24Final]]</f>
        <v>-2.6657552973342446E-2</v>
      </c>
    </row>
    <row r="1045" spans="1:71">
      <c r="A1045" s="30">
        <v>2025</v>
      </c>
      <c r="B1045" s="31" t="s">
        <v>1560</v>
      </c>
      <c r="C1045" s="31">
        <f>LN(Inventory[[#This Row],[Acres]])</f>
        <v>-2.8134107167600364</v>
      </c>
      <c r="D1045" s="30">
        <v>0.06</v>
      </c>
      <c r="E1045" s="30">
        <v>2487</v>
      </c>
      <c r="F1045" s="31" t="s">
        <v>505</v>
      </c>
      <c r="G1045" s="31" t="s">
        <v>155</v>
      </c>
      <c r="H1045" s="31" t="s">
        <v>5</v>
      </c>
      <c r="I1045" s="31" t="s">
        <v>506</v>
      </c>
      <c r="J1045" s="31" t="s">
        <v>507</v>
      </c>
      <c r="K1045" s="31" t="s">
        <v>157</v>
      </c>
      <c r="L1045" s="31" t="s">
        <v>17</v>
      </c>
      <c r="M1045" s="31" t="s">
        <v>20</v>
      </c>
      <c r="N1045" s="31">
        <v>20</v>
      </c>
      <c r="O1045" s="31">
        <f>2024-Inventory[[#This Row],[YrBlt]]</f>
        <v>26</v>
      </c>
      <c r="P1045" s="31">
        <f>2024-Inventory[[#This Row],[EffYr]]</f>
        <v>26</v>
      </c>
      <c r="Q1045" s="30">
        <v>1998</v>
      </c>
      <c r="R1045" s="30">
        <v>1998</v>
      </c>
      <c r="S1045" s="30">
        <v>531</v>
      </c>
      <c r="T1045" s="38">
        <v>747</v>
      </c>
      <c r="U1045" s="32"/>
      <c r="V1045" s="32"/>
      <c r="W1045" s="32"/>
      <c r="X1045" s="32">
        <f>Inventory[[#This Row],[Bsmt Area]]-Inventory[[#This Row],[FnBsmt]]</f>
        <v>0</v>
      </c>
      <c r="Y1045" s="32">
        <f>Inventory[[#This Row],[MainFn]]+Inventory[[#This Row],[UpprFn]]+Inventory[[#This Row],[AddFn]]+Inventory[[#This Row],[FnBsmt]]</f>
        <v>1278</v>
      </c>
      <c r="Z1045" s="32">
        <v>1500</v>
      </c>
      <c r="AA1045" s="31" t="s">
        <v>56</v>
      </c>
      <c r="AB1045" s="32"/>
      <c r="AC1045" s="37"/>
      <c r="AD1045" s="38">
        <v>216</v>
      </c>
      <c r="AE1045" s="32"/>
      <c r="AF1045" s="32"/>
      <c r="AG1045" s="32"/>
      <c r="AH1045" s="32"/>
      <c r="AI1045" s="30">
        <v>205585</v>
      </c>
      <c r="AJ1045" s="30">
        <v>182971</v>
      </c>
      <c r="AK1045" s="30">
        <v>0</v>
      </c>
      <c r="AL1045" s="30">
        <v>0</v>
      </c>
      <c r="AM1045" s="30">
        <v>47100</v>
      </c>
      <c r="AN1045" s="30">
        <v>257000</v>
      </c>
      <c r="AO1045" s="30">
        <v>304100</v>
      </c>
      <c r="AP1045" s="30">
        <f>Lookups!$B$58*0.6</f>
        <v>132535.48800000001</v>
      </c>
      <c r="AQ1045" s="30">
        <f>Lookups!$B$58*0.4</f>
        <v>88356.992000000013</v>
      </c>
      <c r="AR1045" s="30">
        <f>Lookups!$B$59*Inventory[[#This Row],[LnAcres]]</f>
        <v>-36924.105351598795</v>
      </c>
      <c r="AS1045" s="30">
        <f>VLOOKUP(Inventory[[#This Row],[Qlty]],Lookups!$A$66:$E$79,2,FALSE)</f>
        <v>24371.765965999999</v>
      </c>
      <c r="AT1045" s="30">
        <f>VLOOKUP(Inventory[[#This Row],[Cnd]],Lookups!$A$80:$E$88,2,FALSE)</f>
        <v>30300.329274</v>
      </c>
      <c r="AU1045" s="30">
        <f>Inventory[[#This Row],[EffAge]]*Lookups!$B$65</f>
        <v>-2827.2685999999999</v>
      </c>
      <c r="AV1045" s="30">
        <f>Inventory[[#This Row],[MainFn]]*Lookups!$B$90</f>
        <v>33139.911780000002</v>
      </c>
      <c r="AW1045" s="30">
        <f>Inventory[[#This Row],[UpprFn]]*Lookups!$B$91</f>
        <v>44506.546101</v>
      </c>
      <c r="AX1045" s="30">
        <f>Inventory[[#This Row],[Bsmt Area]]*Lookups!$B$95</f>
        <v>0</v>
      </c>
      <c r="AY1045" s="30">
        <f>Inventory[[#This Row],[AttGar]]*Lookups!$B$93</f>
        <v>0</v>
      </c>
      <c r="AZ1045" s="30">
        <f>ROUND(Inventory[[#This Row],[25Det]],-2)</f>
        <v>0</v>
      </c>
      <c r="BA1045" s="30">
        <f>ROUND(SUM(Inventory[[#This Row],[Mdl Qlty]:[Mdl Garage Area]])+Inventory[[#This Row],[Mdl Res Intercept]],-2)</f>
        <v>262000</v>
      </c>
      <c r="BB1045" s="30">
        <f>ROUND(Inventory[[#This Row],[Mdl Land Intercept]]+Inventory[[#This Row],[Mdl LnAcres]],-2)</f>
        <v>51400</v>
      </c>
      <c r="BC1045" s="30">
        <f>Inventory[[#This Row],[Unadj Res Value]]+Inventory[[#This Row],[Unadj Det Value]]+Inventory[[#This Row],[Unadj Land Value]]</f>
        <v>313400</v>
      </c>
      <c r="BD1045" s="30">
        <f>(Inventory[[#This Row],[Unadj Total Value]]-Inventory[[#This Row],[24Final]])/Inventory[[#This Row],[24Final]]</f>
        <v>3.0582045379809273E-2</v>
      </c>
      <c r="BE1045" s="30">
        <f>VLOOKUP(Inventory[[#This Row],[Nbhd]],Lookups!$M$3:$P$5,4,FALSE)</f>
        <v>0.99970000000000003</v>
      </c>
      <c r="BF1045" s="30">
        <f>VLOOKUP(Inventory[[#This Row],[Qlty]],Lookups!$M$8:$P$22,4,FALSE)</f>
        <v>0.99199999999999999</v>
      </c>
      <c r="BG1045" s="30">
        <f>VLOOKUP(Inventory[[#This Row],[Cnd]],Lookups!$R$8:$U$17,4,FALSE)</f>
        <v>0.997</v>
      </c>
      <c r="BH1045" s="30">
        <f>VLOOKUP(Inventory[[#This Row],[LivArea Range]],Lookups!$R$25:$U$43,4,FALSE)</f>
        <v>0.99519999999999997</v>
      </c>
      <c r="BI1045" s="30">
        <f>VLOOKUP(Inventory[[#This Row],[Decade]],Lookups!$M$24:$P$40,4,FALSE)</f>
        <v>0.99560000000000004</v>
      </c>
      <c r="BJ1045" s="30">
        <f>Inventory[[#This Row],[Nbhd Adj]]*0.95</f>
        <v>0.94971499999999998</v>
      </c>
      <c r="BK1045" s="30">
        <f>AVERAGE(Inventory[[#This Row],[Nbhd Adj]],Inventory[[#This Row],[Quality Adj]],Inventory[[#This Row],[Condition Adj]],Inventory[[#This Row],[Living Area Adj]],Inventory[[#This Row],[Decade Adj]])*0.95</f>
        <v>0.94610499999999997</v>
      </c>
      <c r="BL1045" s="30">
        <f>ROUND((SUM(Inventory[[#This Row],[Mdl Qlty]:[Mdl Garage Area]])+Inventory[[#This Row],[Mdl Res Intercept]])*Inventory[[#This Row],[Res Adj ]],-2)</f>
        <v>247900</v>
      </c>
      <c r="BM1045" s="30">
        <f>ROUND(Inventory[[#This Row],[25Det]]*Inventory[[#This Row],[Det/Nbhd Adj]],-2)</f>
        <v>0</v>
      </c>
      <c r="BN1045" s="30">
        <f>Inventory[[#This Row],[Adjusted Res]]+Inventory[[#This Row],[Adj Det ]]</f>
        <v>247900</v>
      </c>
      <c r="BO1045" s="30">
        <f>ROUND((Inventory[[#This Row],[Mdl Land Intercept]]+Inventory[[#This Row],[Mdl LnAcres]])*Inventory[[#This Row],[Det/Nbhd Adj]],-2)</f>
        <v>48800</v>
      </c>
      <c r="BP1045" s="30">
        <f>Inventory[[#This Row],[Adjusted Impr Total]]+Inventory[[#This Row],[Adjusted Land Total]]</f>
        <v>296700</v>
      </c>
      <c r="BQ1045" s="30">
        <f>IFERROR((Inventory[[#This Row],[Adjusted Impr Total]]-Inventory[[#This Row],[24Bldg]])/Inventory[[#This Row],[24Bldg]],0)</f>
        <v>-3.5408560311284046E-2</v>
      </c>
      <c r="BR1045" s="43">
        <f>(Inventory[[#This Row],[Adjusted Land Total]]-Inventory[[#This Row],[24Lnd]])/Inventory[[#This Row],[24Lnd]]</f>
        <v>3.6093418259023353E-2</v>
      </c>
      <c r="BS1045" s="43">
        <f>(Inventory[[#This Row],[Adjusted Total]]-Inventory[[#This Row],[24Final]])/Inventory[[#This Row],[24Final]]</f>
        <v>-2.4334100624794474E-2</v>
      </c>
    </row>
    <row r="1046" spans="1:71">
      <c r="A1046" s="30">
        <v>2025</v>
      </c>
      <c r="B1046" s="31" t="s">
        <v>1561</v>
      </c>
      <c r="C1046" s="31">
        <f>LN(Inventory[[#This Row],[Acres]])</f>
        <v>-2.8134107167600364</v>
      </c>
      <c r="D1046" s="30">
        <v>0.06</v>
      </c>
      <c r="E1046" s="30">
        <v>2595</v>
      </c>
      <c r="F1046" s="31" t="s">
        <v>505</v>
      </c>
      <c r="G1046" s="31" t="s">
        <v>155</v>
      </c>
      <c r="H1046" s="31" t="s">
        <v>5</v>
      </c>
      <c r="I1046" s="31" t="s">
        <v>506</v>
      </c>
      <c r="J1046" s="31" t="s">
        <v>507</v>
      </c>
      <c r="K1046" s="31" t="s">
        <v>157</v>
      </c>
      <c r="L1046" s="31" t="s">
        <v>17</v>
      </c>
      <c r="M1046" s="31" t="s">
        <v>20</v>
      </c>
      <c r="N1046" s="31">
        <v>20</v>
      </c>
      <c r="O1046" s="31">
        <f>2024-Inventory[[#This Row],[YrBlt]]</f>
        <v>26</v>
      </c>
      <c r="P1046" s="31">
        <f>2024-Inventory[[#This Row],[EffYr]]</f>
        <v>26</v>
      </c>
      <c r="Q1046" s="30">
        <v>1998</v>
      </c>
      <c r="R1046" s="30">
        <v>1998</v>
      </c>
      <c r="S1046" s="30">
        <v>531</v>
      </c>
      <c r="T1046" s="38">
        <v>747</v>
      </c>
      <c r="U1046" s="32"/>
      <c r="V1046" s="32"/>
      <c r="W1046" s="32"/>
      <c r="X1046" s="32">
        <f>Inventory[[#This Row],[Bsmt Area]]-Inventory[[#This Row],[FnBsmt]]</f>
        <v>0</v>
      </c>
      <c r="Y1046" s="32">
        <f>Inventory[[#This Row],[MainFn]]+Inventory[[#This Row],[UpprFn]]+Inventory[[#This Row],[AddFn]]+Inventory[[#This Row],[FnBsmt]]</f>
        <v>1278</v>
      </c>
      <c r="Z1046" s="32">
        <v>1500</v>
      </c>
      <c r="AA1046" s="31" t="s">
        <v>56</v>
      </c>
      <c r="AB1046" s="30">
        <v>1</v>
      </c>
      <c r="AC1046" s="37"/>
      <c r="AD1046" s="38">
        <v>216</v>
      </c>
      <c r="AE1046" s="32"/>
      <c r="AF1046" s="32"/>
      <c r="AG1046" s="32"/>
      <c r="AH1046" s="32"/>
      <c r="AI1046" s="30">
        <v>208599</v>
      </c>
      <c r="AJ1046" s="30">
        <v>185653</v>
      </c>
      <c r="AK1046" s="30">
        <v>0</v>
      </c>
      <c r="AL1046" s="30">
        <v>0</v>
      </c>
      <c r="AM1046" s="30">
        <v>47100</v>
      </c>
      <c r="AN1046" s="30">
        <v>257000</v>
      </c>
      <c r="AO1046" s="30">
        <v>304100</v>
      </c>
      <c r="AP1046" s="30">
        <f>Lookups!$B$58*0.6</f>
        <v>132535.48800000001</v>
      </c>
      <c r="AQ1046" s="30">
        <f>Lookups!$B$58*0.4</f>
        <v>88356.992000000013</v>
      </c>
      <c r="AR1046" s="30">
        <f>Lookups!$B$59*Inventory[[#This Row],[LnAcres]]</f>
        <v>-36924.105351598795</v>
      </c>
      <c r="AS1046" s="30">
        <f>VLOOKUP(Inventory[[#This Row],[Qlty]],Lookups!$A$66:$E$79,2,FALSE)</f>
        <v>24371.765965999999</v>
      </c>
      <c r="AT1046" s="30">
        <f>VLOOKUP(Inventory[[#This Row],[Cnd]],Lookups!$A$80:$E$88,2,FALSE)</f>
        <v>30300.329274</v>
      </c>
      <c r="AU1046" s="30">
        <f>Inventory[[#This Row],[EffAge]]*Lookups!$B$65</f>
        <v>-2827.2685999999999</v>
      </c>
      <c r="AV1046" s="30">
        <f>Inventory[[#This Row],[MainFn]]*Lookups!$B$90</f>
        <v>33139.911780000002</v>
      </c>
      <c r="AW1046" s="30">
        <f>Inventory[[#This Row],[UpprFn]]*Lookups!$B$91</f>
        <v>44506.546101</v>
      </c>
      <c r="AX1046" s="30">
        <f>Inventory[[#This Row],[Bsmt Area]]*Lookups!$B$95</f>
        <v>0</v>
      </c>
      <c r="AY1046" s="30">
        <f>Inventory[[#This Row],[AttGar]]*Lookups!$B$93</f>
        <v>0</v>
      </c>
      <c r="AZ1046" s="30">
        <f>ROUND(Inventory[[#This Row],[25Det]],-2)</f>
        <v>0</v>
      </c>
      <c r="BA1046" s="30">
        <f>ROUND(SUM(Inventory[[#This Row],[Mdl Qlty]:[Mdl Garage Area]])+Inventory[[#This Row],[Mdl Res Intercept]],-2)</f>
        <v>262000</v>
      </c>
      <c r="BB1046" s="30">
        <f>ROUND(Inventory[[#This Row],[Mdl Land Intercept]]+Inventory[[#This Row],[Mdl LnAcres]],-2)</f>
        <v>51400</v>
      </c>
      <c r="BC1046" s="30">
        <f>Inventory[[#This Row],[Unadj Res Value]]+Inventory[[#This Row],[Unadj Det Value]]+Inventory[[#This Row],[Unadj Land Value]]</f>
        <v>313400</v>
      </c>
      <c r="BD1046" s="30">
        <f>(Inventory[[#This Row],[Unadj Total Value]]-Inventory[[#This Row],[24Final]])/Inventory[[#This Row],[24Final]]</f>
        <v>3.0582045379809273E-2</v>
      </c>
      <c r="BE1046" s="30">
        <f>VLOOKUP(Inventory[[#This Row],[Nbhd]],Lookups!$M$3:$P$5,4,FALSE)</f>
        <v>0.99970000000000003</v>
      </c>
      <c r="BF1046" s="30">
        <f>VLOOKUP(Inventory[[#This Row],[Qlty]],Lookups!$M$8:$P$22,4,FALSE)</f>
        <v>0.99199999999999999</v>
      </c>
      <c r="BG1046" s="30">
        <f>VLOOKUP(Inventory[[#This Row],[Cnd]],Lookups!$R$8:$U$17,4,FALSE)</f>
        <v>0.997</v>
      </c>
      <c r="BH1046" s="30">
        <f>VLOOKUP(Inventory[[#This Row],[LivArea Range]],Lookups!$R$25:$U$43,4,FALSE)</f>
        <v>0.99519999999999997</v>
      </c>
      <c r="BI1046" s="30">
        <f>VLOOKUP(Inventory[[#This Row],[Decade]],Lookups!$M$24:$P$40,4,FALSE)</f>
        <v>0.99560000000000004</v>
      </c>
      <c r="BJ1046" s="30">
        <f>Inventory[[#This Row],[Nbhd Adj]]*0.95</f>
        <v>0.94971499999999998</v>
      </c>
      <c r="BK1046" s="30">
        <f>AVERAGE(Inventory[[#This Row],[Nbhd Adj]],Inventory[[#This Row],[Quality Adj]],Inventory[[#This Row],[Condition Adj]],Inventory[[#This Row],[Living Area Adj]],Inventory[[#This Row],[Decade Adj]])*0.95</f>
        <v>0.94610499999999997</v>
      </c>
      <c r="BL1046" s="30">
        <f>ROUND((SUM(Inventory[[#This Row],[Mdl Qlty]:[Mdl Garage Area]])+Inventory[[#This Row],[Mdl Res Intercept]])*Inventory[[#This Row],[Res Adj ]],-2)</f>
        <v>247900</v>
      </c>
      <c r="BM1046" s="30">
        <f>ROUND(Inventory[[#This Row],[25Det]]*Inventory[[#This Row],[Det/Nbhd Adj]],-2)</f>
        <v>0</v>
      </c>
      <c r="BN1046" s="30">
        <f>Inventory[[#This Row],[Adjusted Res]]+Inventory[[#This Row],[Adj Det ]]</f>
        <v>247900</v>
      </c>
      <c r="BO1046" s="30">
        <f>ROUND((Inventory[[#This Row],[Mdl Land Intercept]]+Inventory[[#This Row],[Mdl LnAcres]])*Inventory[[#This Row],[Det/Nbhd Adj]],-2)</f>
        <v>48800</v>
      </c>
      <c r="BP1046" s="30">
        <f>Inventory[[#This Row],[Adjusted Impr Total]]+Inventory[[#This Row],[Adjusted Land Total]]</f>
        <v>296700</v>
      </c>
      <c r="BQ1046" s="30">
        <f>IFERROR((Inventory[[#This Row],[Adjusted Impr Total]]-Inventory[[#This Row],[24Bldg]])/Inventory[[#This Row],[24Bldg]],0)</f>
        <v>-3.5408560311284046E-2</v>
      </c>
      <c r="BR1046" s="43">
        <f>(Inventory[[#This Row],[Adjusted Land Total]]-Inventory[[#This Row],[24Lnd]])/Inventory[[#This Row],[24Lnd]]</f>
        <v>3.6093418259023353E-2</v>
      </c>
      <c r="BS1046" s="43">
        <f>(Inventory[[#This Row],[Adjusted Total]]-Inventory[[#This Row],[24Final]])/Inventory[[#This Row],[24Final]]</f>
        <v>-2.4334100624794474E-2</v>
      </c>
    </row>
    <row r="1047" spans="1:71">
      <c r="A1047" s="30">
        <v>2025</v>
      </c>
      <c r="B1047" s="31" t="s">
        <v>1562</v>
      </c>
      <c r="C1047" s="31">
        <f>LN(Inventory[[#This Row],[Acres]])</f>
        <v>-2.8134107167600364</v>
      </c>
      <c r="D1047" s="30">
        <v>0.06</v>
      </c>
      <c r="E1047" s="30">
        <v>2620</v>
      </c>
      <c r="F1047" s="31" t="s">
        <v>505</v>
      </c>
      <c r="G1047" s="31" t="s">
        <v>155</v>
      </c>
      <c r="H1047" s="31" t="s">
        <v>5</v>
      </c>
      <c r="I1047" s="31" t="s">
        <v>506</v>
      </c>
      <c r="J1047" s="31" t="s">
        <v>507</v>
      </c>
      <c r="K1047" s="31" t="s">
        <v>157</v>
      </c>
      <c r="L1047" s="31" t="s">
        <v>17</v>
      </c>
      <c r="M1047" s="31" t="s">
        <v>20</v>
      </c>
      <c r="N1047" s="31">
        <v>20</v>
      </c>
      <c r="O1047" s="31">
        <f>2024-Inventory[[#This Row],[YrBlt]]</f>
        <v>26</v>
      </c>
      <c r="P1047" s="31">
        <f>2024-Inventory[[#This Row],[EffYr]]</f>
        <v>26</v>
      </c>
      <c r="Q1047" s="30">
        <v>1998</v>
      </c>
      <c r="R1047" s="30">
        <v>1998</v>
      </c>
      <c r="S1047" s="30">
        <v>531</v>
      </c>
      <c r="T1047" s="30">
        <v>747</v>
      </c>
      <c r="U1047" s="32"/>
      <c r="V1047" s="32"/>
      <c r="W1047" s="32"/>
      <c r="X1047" s="32">
        <f>Inventory[[#This Row],[Bsmt Area]]-Inventory[[#This Row],[FnBsmt]]</f>
        <v>0</v>
      </c>
      <c r="Y1047" s="32">
        <f>Inventory[[#This Row],[MainFn]]+Inventory[[#This Row],[UpprFn]]+Inventory[[#This Row],[AddFn]]+Inventory[[#This Row],[FnBsmt]]</f>
        <v>1278</v>
      </c>
      <c r="Z1047" s="32">
        <v>1500</v>
      </c>
      <c r="AA1047" s="31" t="s">
        <v>56</v>
      </c>
      <c r="AB1047" s="32"/>
      <c r="AC1047" s="37"/>
      <c r="AD1047" s="30">
        <v>216</v>
      </c>
      <c r="AE1047" s="32"/>
      <c r="AF1047" s="32"/>
      <c r="AG1047" s="32"/>
      <c r="AH1047" s="32"/>
      <c r="AI1047" s="30">
        <v>204820</v>
      </c>
      <c r="AJ1047" s="30">
        <v>182290</v>
      </c>
      <c r="AK1047" s="30">
        <v>0</v>
      </c>
      <c r="AL1047" s="30">
        <v>0</v>
      </c>
      <c r="AM1047" s="30">
        <v>47100</v>
      </c>
      <c r="AN1047" s="30">
        <v>257000</v>
      </c>
      <c r="AO1047" s="30">
        <v>304100</v>
      </c>
      <c r="AP1047" s="30">
        <f>Lookups!$B$58*0.6</f>
        <v>132535.48800000001</v>
      </c>
      <c r="AQ1047" s="30">
        <f>Lookups!$B$58*0.4</f>
        <v>88356.992000000013</v>
      </c>
      <c r="AR1047" s="30">
        <f>Lookups!$B$59*Inventory[[#This Row],[LnAcres]]</f>
        <v>-36924.105351598795</v>
      </c>
      <c r="AS1047" s="30">
        <f>VLOOKUP(Inventory[[#This Row],[Qlty]],Lookups!$A$66:$E$79,2,FALSE)</f>
        <v>24371.765965999999</v>
      </c>
      <c r="AT1047" s="30">
        <f>VLOOKUP(Inventory[[#This Row],[Cnd]],Lookups!$A$80:$E$88,2,FALSE)</f>
        <v>30300.329274</v>
      </c>
      <c r="AU1047" s="30">
        <f>Inventory[[#This Row],[EffAge]]*Lookups!$B$65</f>
        <v>-2827.2685999999999</v>
      </c>
      <c r="AV1047" s="30">
        <f>Inventory[[#This Row],[MainFn]]*Lookups!$B$90</f>
        <v>33139.911780000002</v>
      </c>
      <c r="AW1047" s="30">
        <f>Inventory[[#This Row],[UpprFn]]*Lookups!$B$91</f>
        <v>44506.546101</v>
      </c>
      <c r="AX1047" s="30">
        <f>Inventory[[#This Row],[Bsmt Area]]*Lookups!$B$95</f>
        <v>0</v>
      </c>
      <c r="AY1047" s="30">
        <f>Inventory[[#This Row],[AttGar]]*Lookups!$B$93</f>
        <v>0</v>
      </c>
      <c r="AZ1047" s="30">
        <f>ROUND(Inventory[[#This Row],[25Det]],-2)</f>
        <v>0</v>
      </c>
      <c r="BA1047" s="30">
        <f>ROUND(SUM(Inventory[[#This Row],[Mdl Qlty]:[Mdl Garage Area]])+Inventory[[#This Row],[Mdl Res Intercept]],-2)</f>
        <v>262000</v>
      </c>
      <c r="BB1047" s="30">
        <f>ROUND(Inventory[[#This Row],[Mdl Land Intercept]]+Inventory[[#This Row],[Mdl LnAcres]],-2)</f>
        <v>51400</v>
      </c>
      <c r="BC1047" s="30">
        <f>Inventory[[#This Row],[Unadj Res Value]]+Inventory[[#This Row],[Unadj Det Value]]+Inventory[[#This Row],[Unadj Land Value]]</f>
        <v>313400</v>
      </c>
      <c r="BD1047" s="30">
        <f>(Inventory[[#This Row],[Unadj Total Value]]-Inventory[[#This Row],[24Final]])/Inventory[[#This Row],[24Final]]</f>
        <v>3.0582045379809273E-2</v>
      </c>
      <c r="BE1047" s="30">
        <f>VLOOKUP(Inventory[[#This Row],[Nbhd]],Lookups!$M$3:$P$5,4,FALSE)</f>
        <v>0.99970000000000003</v>
      </c>
      <c r="BF1047" s="30">
        <f>VLOOKUP(Inventory[[#This Row],[Qlty]],Lookups!$M$8:$P$22,4,FALSE)</f>
        <v>0.99199999999999999</v>
      </c>
      <c r="BG1047" s="30">
        <f>VLOOKUP(Inventory[[#This Row],[Cnd]],Lookups!$R$8:$U$17,4,FALSE)</f>
        <v>0.997</v>
      </c>
      <c r="BH1047" s="30">
        <f>VLOOKUP(Inventory[[#This Row],[LivArea Range]],Lookups!$R$25:$U$43,4,FALSE)</f>
        <v>0.99519999999999997</v>
      </c>
      <c r="BI1047" s="30">
        <f>VLOOKUP(Inventory[[#This Row],[Decade]],Lookups!$M$24:$P$40,4,FALSE)</f>
        <v>0.99560000000000004</v>
      </c>
      <c r="BJ1047" s="30">
        <f>Inventory[[#This Row],[Nbhd Adj]]*0.95</f>
        <v>0.94971499999999998</v>
      </c>
      <c r="BK1047" s="30">
        <f>AVERAGE(Inventory[[#This Row],[Nbhd Adj]],Inventory[[#This Row],[Quality Adj]],Inventory[[#This Row],[Condition Adj]],Inventory[[#This Row],[Living Area Adj]],Inventory[[#This Row],[Decade Adj]])*0.95</f>
        <v>0.94610499999999997</v>
      </c>
      <c r="BL1047" s="30">
        <f>ROUND((SUM(Inventory[[#This Row],[Mdl Qlty]:[Mdl Garage Area]])+Inventory[[#This Row],[Mdl Res Intercept]])*Inventory[[#This Row],[Res Adj ]],-2)</f>
        <v>247900</v>
      </c>
      <c r="BM1047" s="30">
        <f>ROUND(Inventory[[#This Row],[25Det]]*Inventory[[#This Row],[Det/Nbhd Adj]],-2)</f>
        <v>0</v>
      </c>
      <c r="BN1047" s="30">
        <f>Inventory[[#This Row],[Adjusted Res]]+Inventory[[#This Row],[Adj Det ]]</f>
        <v>247900</v>
      </c>
      <c r="BO1047" s="30">
        <f>ROUND((Inventory[[#This Row],[Mdl Land Intercept]]+Inventory[[#This Row],[Mdl LnAcres]])*Inventory[[#This Row],[Det/Nbhd Adj]],-2)</f>
        <v>48800</v>
      </c>
      <c r="BP1047" s="30">
        <f>Inventory[[#This Row],[Adjusted Impr Total]]+Inventory[[#This Row],[Adjusted Land Total]]</f>
        <v>296700</v>
      </c>
      <c r="BQ1047" s="30">
        <f>IFERROR((Inventory[[#This Row],[Adjusted Impr Total]]-Inventory[[#This Row],[24Bldg]])/Inventory[[#This Row],[24Bldg]],0)</f>
        <v>-3.5408560311284046E-2</v>
      </c>
      <c r="BR1047" s="43">
        <f>(Inventory[[#This Row],[Adjusted Land Total]]-Inventory[[#This Row],[24Lnd]])/Inventory[[#This Row],[24Lnd]]</f>
        <v>3.6093418259023353E-2</v>
      </c>
      <c r="BS1047" s="43">
        <f>(Inventory[[#This Row],[Adjusted Total]]-Inventory[[#This Row],[24Final]])/Inventory[[#This Row],[24Final]]</f>
        <v>-2.4334100624794474E-2</v>
      </c>
    </row>
    <row r="1048" spans="1:71">
      <c r="A1048" s="30">
        <v>2025</v>
      </c>
      <c r="B1048" s="31" t="s">
        <v>1563</v>
      </c>
      <c r="C1048" s="31">
        <f>LN(Inventory[[#This Row],[Acres]])</f>
        <v>-2.8134107167600364</v>
      </c>
      <c r="D1048" s="30">
        <v>0.06</v>
      </c>
      <c r="E1048" s="30">
        <v>2612</v>
      </c>
      <c r="F1048" s="31" t="s">
        <v>505</v>
      </c>
      <c r="G1048" s="31" t="s">
        <v>155</v>
      </c>
      <c r="H1048" s="31" t="s">
        <v>5</v>
      </c>
      <c r="I1048" s="31" t="s">
        <v>506</v>
      </c>
      <c r="J1048" s="31" t="s">
        <v>507</v>
      </c>
      <c r="K1048" s="31" t="s">
        <v>157</v>
      </c>
      <c r="L1048" s="31" t="s">
        <v>17</v>
      </c>
      <c r="M1048" s="31" t="s">
        <v>22</v>
      </c>
      <c r="N1048" s="31">
        <v>20</v>
      </c>
      <c r="O1048" s="31">
        <f>2024-Inventory[[#This Row],[YrBlt]]</f>
        <v>26</v>
      </c>
      <c r="P1048" s="31">
        <f>2024-Inventory[[#This Row],[EffYr]]</f>
        <v>26</v>
      </c>
      <c r="Q1048" s="30">
        <v>1998</v>
      </c>
      <c r="R1048" s="30">
        <v>1998</v>
      </c>
      <c r="S1048" s="30">
        <v>531</v>
      </c>
      <c r="T1048" s="38">
        <v>747</v>
      </c>
      <c r="U1048" s="32"/>
      <c r="V1048" s="32"/>
      <c r="W1048" s="32"/>
      <c r="X1048" s="32">
        <f>Inventory[[#This Row],[Bsmt Area]]-Inventory[[#This Row],[FnBsmt]]</f>
        <v>0</v>
      </c>
      <c r="Y1048" s="32">
        <f>Inventory[[#This Row],[MainFn]]+Inventory[[#This Row],[UpprFn]]+Inventory[[#This Row],[AddFn]]+Inventory[[#This Row],[FnBsmt]]</f>
        <v>1278</v>
      </c>
      <c r="Z1048" s="32">
        <v>1500</v>
      </c>
      <c r="AA1048" s="31" t="s">
        <v>56</v>
      </c>
      <c r="AB1048" s="37"/>
      <c r="AC1048" s="37"/>
      <c r="AD1048" s="38">
        <v>216</v>
      </c>
      <c r="AE1048" s="32"/>
      <c r="AF1048" s="32"/>
      <c r="AG1048" s="32"/>
      <c r="AH1048" s="32"/>
      <c r="AI1048" s="30">
        <v>204820</v>
      </c>
      <c r="AJ1048" s="30">
        <v>182290</v>
      </c>
      <c r="AK1048" s="30">
        <v>0</v>
      </c>
      <c r="AL1048" s="30">
        <v>0</v>
      </c>
      <c r="AM1048" s="30">
        <v>47100</v>
      </c>
      <c r="AN1048" s="30">
        <v>272700</v>
      </c>
      <c r="AO1048" s="30">
        <v>319800</v>
      </c>
      <c r="AP1048" s="30">
        <f>Lookups!$B$58*0.6</f>
        <v>132535.48800000001</v>
      </c>
      <c r="AQ1048" s="30">
        <f>Lookups!$B$58*0.4</f>
        <v>88356.992000000013</v>
      </c>
      <c r="AR1048" s="30">
        <f>Lookups!$B$59*Inventory[[#This Row],[LnAcres]]</f>
        <v>-36924.105351598795</v>
      </c>
      <c r="AS1048" s="30">
        <f>VLOOKUP(Inventory[[#This Row],[Qlty]],Lookups!$A$66:$E$79,2,FALSE)</f>
        <v>24371.765965999999</v>
      </c>
      <c r="AT1048" s="30">
        <f>VLOOKUP(Inventory[[#This Row],[Cnd]],Lookups!$A$80:$E$88,2,FALSE)</f>
        <v>50438.379078999998</v>
      </c>
      <c r="AU1048" s="30">
        <f>Inventory[[#This Row],[EffAge]]*Lookups!$B$65</f>
        <v>-2827.2685999999999</v>
      </c>
      <c r="AV1048" s="30">
        <f>Inventory[[#This Row],[MainFn]]*Lookups!$B$90</f>
        <v>33139.911780000002</v>
      </c>
      <c r="AW1048" s="30">
        <f>Inventory[[#This Row],[UpprFn]]*Lookups!$B$91</f>
        <v>44506.546101</v>
      </c>
      <c r="AX1048" s="30">
        <f>Inventory[[#This Row],[Bsmt Area]]*Lookups!$B$95</f>
        <v>0</v>
      </c>
      <c r="AY1048" s="30">
        <f>Inventory[[#This Row],[AttGar]]*Lookups!$B$93</f>
        <v>0</v>
      </c>
      <c r="AZ1048" s="30">
        <f>ROUND(Inventory[[#This Row],[25Det]],-2)</f>
        <v>0</v>
      </c>
      <c r="BA1048" s="30">
        <f>ROUND(SUM(Inventory[[#This Row],[Mdl Qlty]:[Mdl Garage Area]])+Inventory[[#This Row],[Mdl Res Intercept]],-2)</f>
        <v>282200</v>
      </c>
      <c r="BB1048" s="30">
        <f>ROUND(Inventory[[#This Row],[Mdl Land Intercept]]+Inventory[[#This Row],[Mdl LnAcres]],-2)</f>
        <v>51400</v>
      </c>
      <c r="BC1048" s="30">
        <f>Inventory[[#This Row],[Unadj Res Value]]+Inventory[[#This Row],[Unadj Det Value]]+Inventory[[#This Row],[Unadj Land Value]]</f>
        <v>333600</v>
      </c>
      <c r="BD1048" s="30">
        <f>(Inventory[[#This Row],[Unadj Total Value]]-Inventory[[#This Row],[24Final]])/Inventory[[#This Row],[24Final]]</f>
        <v>4.3151969981238276E-2</v>
      </c>
      <c r="BE1048" s="30">
        <f>VLOOKUP(Inventory[[#This Row],[Nbhd]],Lookups!$M$3:$P$5,4,FALSE)</f>
        <v>0.99970000000000003</v>
      </c>
      <c r="BF1048" s="30">
        <f>VLOOKUP(Inventory[[#This Row],[Qlty]],Lookups!$M$8:$P$22,4,FALSE)</f>
        <v>0.99199999999999999</v>
      </c>
      <c r="BG1048" s="30">
        <f>VLOOKUP(Inventory[[#This Row],[Cnd]],Lookups!$R$8:$U$17,4,FALSE)</f>
        <v>1.0007999999999999</v>
      </c>
      <c r="BH1048" s="30">
        <f>VLOOKUP(Inventory[[#This Row],[LivArea Range]],Lookups!$R$25:$U$43,4,FALSE)</f>
        <v>0.99519999999999997</v>
      </c>
      <c r="BI1048" s="30">
        <f>VLOOKUP(Inventory[[#This Row],[Decade]],Lookups!$M$24:$P$40,4,FALSE)</f>
        <v>0.99560000000000004</v>
      </c>
      <c r="BJ1048" s="30">
        <f>Inventory[[#This Row],[Nbhd Adj]]*0.95</f>
        <v>0.94971499999999998</v>
      </c>
      <c r="BK1048" s="30">
        <f>AVERAGE(Inventory[[#This Row],[Nbhd Adj]],Inventory[[#This Row],[Quality Adj]],Inventory[[#This Row],[Condition Adj]],Inventory[[#This Row],[Living Area Adj]],Inventory[[#This Row],[Decade Adj]])*0.95</f>
        <v>0.94682699999999997</v>
      </c>
      <c r="BL1048" s="30">
        <f>ROUND((SUM(Inventory[[#This Row],[Mdl Qlty]:[Mdl Garage Area]])+Inventory[[#This Row],[Mdl Res Intercept]])*Inventory[[#This Row],[Res Adj ]],-2)</f>
        <v>267200</v>
      </c>
      <c r="BM1048" s="30">
        <f>ROUND(Inventory[[#This Row],[25Det]]*Inventory[[#This Row],[Det/Nbhd Adj]],-2)</f>
        <v>0</v>
      </c>
      <c r="BN1048" s="30">
        <f>Inventory[[#This Row],[Adjusted Res]]+Inventory[[#This Row],[Adj Det ]]</f>
        <v>267200</v>
      </c>
      <c r="BO1048" s="30">
        <f>ROUND((Inventory[[#This Row],[Mdl Land Intercept]]+Inventory[[#This Row],[Mdl LnAcres]])*Inventory[[#This Row],[Det/Nbhd Adj]],-2)</f>
        <v>48800</v>
      </c>
      <c r="BP1048" s="30">
        <f>Inventory[[#This Row],[Adjusted Impr Total]]+Inventory[[#This Row],[Adjusted Land Total]]</f>
        <v>316000</v>
      </c>
      <c r="BQ1048" s="30">
        <f>IFERROR((Inventory[[#This Row],[Adjusted Impr Total]]-Inventory[[#This Row],[24Bldg]])/Inventory[[#This Row],[24Bldg]],0)</f>
        <v>-2.016868353502017E-2</v>
      </c>
      <c r="BR1048" s="43">
        <f>(Inventory[[#This Row],[Adjusted Land Total]]-Inventory[[#This Row],[24Lnd]])/Inventory[[#This Row],[24Lnd]]</f>
        <v>3.6093418259023353E-2</v>
      </c>
      <c r="BS1048" s="43">
        <f>(Inventory[[#This Row],[Adjusted Total]]-Inventory[[#This Row],[24Final]])/Inventory[[#This Row],[24Final]]</f>
        <v>-1.1882426516572859E-2</v>
      </c>
    </row>
    <row r="1049" spans="1:71">
      <c r="A1049" s="30">
        <v>2025</v>
      </c>
      <c r="B1049" s="31" t="s">
        <v>1564</v>
      </c>
      <c r="C1049" s="31">
        <f>LN(Inventory[[#This Row],[Acres]])</f>
        <v>-2.8134107167600364</v>
      </c>
      <c r="D1049" s="30">
        <v>0.06</v>
      </c>
      <c r="E1049" s="30">
        <v>2613</v>
      </c>
      <c r="F1049" s="31" t="s">
        <v>505</v>
      </c>
      <c r="G1049" s="31" t="s">
        <v>155</v>
      </c>
      <c r="H1049" s="31" t="s">
        <v>5</v>
      </c>
      <c r="I1049" s="31" t="s">
        <v>506</v>
      </c>
      <c r="J1049" s="31" t="s">
        <v>507</v>
      </c>
      <c r="K1049" s="31" t="s">
        <v>157</v>
      </c>
      <c r="L1049" s="31" t="s">
        <v>17</v>
      </c>
      <c r="M1049" s="31" t="s">
        <v>22</v>
      </c>
      <c r="N1049" s="31">
        <v>20</v>
      </c>
      <c r="O1049" s="31">
        <f>2024-Inventory[[#This Row],[YrBlt]]</f>
        <v>26</v>
      </c>
      <c r="P1049" s="31">
        <f>2024-Inventory[[#This Row],[EffYr]]</f>
        <v>26</v>
      </c>
      <c r="Q1049" s="30">
        <v>1998</v>
      </c>
      <c r="R1049" s="30">
        <v>1998</v>
      </c>
      <c r="S1049" s="30">
        <v>531</v>
      </c>
      <c r="T1049" s="38">
        <v>747</v>
      </c>
      <c r="U1049" s="32"/>
      <c r="V1049" s="32"/>
      <c r="W1049" s="32"/>
      <c r="X1049" s="32">
        <f>Inventory[[#This Row],[Bsmt Area]]-Inventory[[#This Row],[FnBsmt]]</f>
        <v>0</v>
      </c>
      <c r="Y1049" s="32">
        <f>Inventory[[#This Row],[MainFn]]+Inventory[[#This Row],[UpprFn]]+Inventory[[#This Row],[AddFn]]+Inventory[[#This Row],[FnBsmt]]</f>
        <v>1278</v>
      </c>
      <c r="Z1049" s="32">
        <v>1500</v>
      </c>
      <c r="AA1049" s="31" t="s">
        <v>56</v>
      </c>
      <c r="AB1049" s="32"/>
      <c r="AC1049" s="32"/>
      <c r="AD1049" s="38">
        <v>216</v>
      </c>
      <c r="AE1049" s="32"/>
      <c r="AF1049" s="32"/>
      <c r="AG1049" s="32"/>
      <c r="AH1049" s="32"/>
      <c r="AI1049" s="30">
        <v>204820</v>
      </c>
      <c r="AJ1049" s="30">
        <v>182290</v>
      </c>
      <c r="AK1049" s="30">
        <v>0</v>
      </c>
      <c r="AL1049" s="30">
        <v>0</v>
      </c>
      <c r="AM1049" s="30">
        <v>47100</v>
      </c>
      <c r="AN1049" s="30">
        <v>272700</v>
      </c>
      <c r="AO1049" s="30">
        <v>319800</v>
      </c>
      <c r="AP1049" s="30">
        <f>Lookups!$B$58*0.6</f>
        <v>132535.48800000001</v>
      </c>
      <c r="AQ1049" s="30">
        <f>Lookups!$B$58*0.4</f>
        <v>88356.992000000013</v>
      </c>
      <c r="AR1049" s="30">
        <f>Lookups!$B$59*Inventory[[#This Row],[LnAcres]]</f>
        <v>-36924.105351598795</v>
      </c>
      <c r="AS1049" s="30">
        <f>VLOOKUP(Inventory[[#This Row],[Qlty]],Lookups!$A$66:$E$79,2,FALSE)</f>
        <v>24371.765965999999</v>
      </c>
      <c r="AT1049" s="30">
        <f>VLOOKUP(Inventory[[#This Row],[Cnd]],Lookups!$A$80:$E$88,2,FALSE)</f>
        <v>50438.379078999998</v>
      </c>
      <c r="AU1049" s="30">
        <f>Inventory[[#This Row],[EffAge]]*Lookups!$B$65</f>
        <v>-2827.2685999999999</v>
      </c>
      <c r="AV1049" s="30">
        <f>Inventory[[#This Row],[MainFn]]*Lookups!$B$90</f>
        <v>33139.911780000002</v>
      </c>
      <c r="AW1049" s="30">
        <f>Inventory[[#This Row],[UpprFn]]*Lookups!$B$91</f>
        <v>44506.546101</v>
      </c>
      <c r="AX1049" s="30">
        <f>Inventory[[#This Row],[Bsmt Area]]*Lookups!$B$95</f>
        <v>0</v>
      </c>
      <c r="AY1049" s="30">
        <f>Inventory[[#This Row],[AttGar]]*Lookups!$B$93</f>
        <v>0</v>
      </c>
      <c r="AZ1049" s="30">
        <f>ROUND(Inventory[[#This Row],[25Det]],-2)</f>
        <v>0</v>
      </c>
      <c r="BA1049" s="30">
        <f>ROUND(SUM(Inventory[[#This Row],[Mdl Qlty]:[Mdl Garage Area]])+Inventory[[#This Row],[Mdl Res Intercept]],-2)</f>
        <v>282200</v>
      </c>
      <c r="BB1049" s="30">
        <f>ROUND(Inventory[[#This Row],[Mdl Land Intercept]]+Inventory[[#This Row],[Mdl LnAcres]],-2)</f>
        <v>51400</v>
      </c>
      <c r="BC1049" s="30">
        <f>Inventory[[#This Row],[Unadj Res Value]]+Inventory[[#This Row],[Unadj Det Value]]+Inventory[[#This Row],[Unadj Land Value]]</f>
        <v>333600</v>
      </c>
      <c r="BD1049" s="30">
        <f>(Inventory[[#This Row],[Unadj Total Value]]-Inventory[[#This Row],[24Final]])/Inventory[[#This Row],[24Final]]</f>
        <v>4.3151969981238276E-2</v>
      </c>
      <c r="BE1049" s="30">
        <f>VLOOKUP(Inventory[[#This Row],[Nbhd]],Lookups!$M$3:$P$5,4,FALSE)</f>
        <v>0.99970000000000003</v>
      </c>
      <c r="BF1049" s="30">
        <f>VLOOKUP(Inventory[[#This Row],[Qlty]],Lookups!$M$8:$P$22,4,FALSE)</f>
        <v>0.99199999999999999</v>
      </c>
      <c r="BG1049" s="30">
        <f>VLOOKUP(Inventory[[#This Row],[Cnd]],Lookups!$R$8:$U$17,4,FALSE)</f>
        <v>1.0007999999999999</v>
      </c>
      <c r="BH1049" s="30">
        <f>VLOOKUP(Inventory[[#This Row],[LivArea Range]],Lookups!$R$25:$U$43,4,FALSE)</f>
        <v>0.99519999999999997</v>
      </c>
      <c r="BI1049" s="30">
        <f>VLOOKUP(Inventory[[#This Row],[Decade]],Lookups!$M$24:$P$40,4,FALSE)</f>
        <v>0.99560000000000004</v>
      </c>
      <c r="BJ1049" s="30">
        <f>Inventory[[#This Row],[Nbhd Adj]]*0.95</f>
        <v>0.94971499999999998</v>
      </c>
      <c r="BK1049" s="30">
        <f>AVERAGE(Inventory[[#This Row],[Nbhd Adj]],Inventory[[#This Row],[Quality Adj]],Inventory[[#This Row],[Condition Adj]],Inventory[[#This Row],[Living Area Adj]],Inventory[[#This Row],[Decade Adj]])*0.95</f>
        <v>0.94682699999999997</v>
      </c>
      <c r="BL1049" s="30">
        <f>ROUND((SUM(Inventory[[#This Row],[Mdl Qlty]:[Mdl Garage Area]])+Inventory[[#This Row],[Mdl Res Intercept]])*Inventory[[#This Row],[Res Adj ]],-2)</f>
        <v>267200</v>
      </c>
      <c r="BM1049" s="30">
        <f>ROUND(Inventory[[#This Row],[25Det]]*Inventory[[#This Row],[Det/Nbhd Adj]],-2)</f>
        <v>0</v>
      </c>
      <c r="BN1049" s="30">
        <f>Inventory[[#This Row],[Adjusted Res]]+Inventory[[#This Row],[Adj Det ]]</f>
        <v>267200</v>
      </c>
      <c r="BO1049" s="30">
        <f>ROUND((Inventory[[#This Row],[Mdl Land Intercept]]+Inventory[[#This Row],[Mdl LnAcres]])*Inventory[[#This Row],[Det/Nbhd Adj]],-2)</f>
        <v>48800</v>
      </c>
      <c r="BP1049" s="30">
        <f>Inventory[[#This Row],[Adjusted Impr Total]]+Inventory[[#This Row],[Adjusted Land Total]]</f>
        <v>316000</v>
      </c>
      <c r="BQ1049" s="30">
        <f>IFERROR((Inventory[[#This Row],[Adjusted Impr Total]]-Inventory[[#This Row],[24Bldg]])/Inventory[[#This Row],[24Bldg]],0)</f>
        <v>-2.016868353502017E-2</v>
      </c>
      <c r="BR1049" s="43">
        <f>(Inventory[[#This Row],[Adjusted Land Total]]-Inventory[[#This Row],[24Lnd]])/Inventory[[#This Row],[24Lnd]]</f>
        <v>3.6093418259023353E-2</v>
      </c>
      <c r="BS1049" s="43">
        <f>(Inventory[[#This Row],[Adjusted Total]]-Inventory[[#This Row],[24Final]])/Inventory[[#This Row],[24Final]]</f>
        <v>-1.1882426516572859E-2</v>
      </c>
    </row>
    <row r="1050" spans="1:71">
      <c r="A1050" s="30">
        <v>2025</v>
      </c>
      <c r="B1050" s="31" t="s">
        <v>1565</v>
      </c>
      <c r="C1050" s="31">
        <f>LN(Inventory[[#This Row],[Acres]])</f>
        <v>-2.8134107167600364</v>
      </c>
      <c r="D1050" s="30">
        <v>0.06</v>
      </c>
      <c r="E1050" s="30">
        <v>2613</v>
      </c>
      <c r="F1050" s="31" t="s">
        <v>505</v>
      </c>
      <c r="G1050" s="31" t="s">
        <v>155</v>
      </c>
      <c r="H1050" s="31" t="s">
        <v>5</v>
      </c>
      <c r="I1050" s="31" t="s">
        <v>506</v>
      </c>
      <c r="J1050" s="31" t="s">
        <v>507</v>
      </c>
      <c r="K1050" s="31" t="s">
        <v>157</v>
      </c>
      <c r="L1050" s="31" t="s">
        <v>17</v>
      </c>
      <c r="M1050" s="31" t="s">
        <v>20</v>
      </c>
      <c r="N1050" s="31">
        <v>20</v>
      </c>
      <c r="O1050" s="31">
        <f>2024-Inventory[[#This Row],[YrBlt]]</f>
        <v>26</v>
      </c>
      <c r="P1050" s="31">
        <f>2024-Inventory[[#This Row],[EffYr]]</f>
        <v>26</v>
      </c>
      <c r="Q1050" s="30">
        <v>1998</v>
      </c>
      <c r="R1050" s="30">
        <v>1998</v>
      </c>
      <c r="S1050" s="30">
        <v>747</v>
      </c>
      <c r="T1050" s="38">
        <v>747</v>
      </c>
      <c r="U1050" s="32"/>
      <c r="V1050" s="32"/>
      <c r="W1050" s="32"/>
      <c r="X1050" s="32">
        <f>Inventory[[#This Row],[Bsmt Area]]-Inventory[[#This Row],[FnBsmt]]</f>
        <v>0</v>
      </c>
      <c r="Y1050" s="32">
        <f>Inventory[[#This Row],[MainFn]]+Inventory[[#This Row],[UpprFn]]+Inventory[[#This Row],[AddFn]]+Inventory[[#This Row],[FnBsmt]]</f>
        <v>1494</v>
      </c>
      <c r="Z1050" s="32">
        <v>1500</v>
      </c>
      <c r="AA1050" s="31" t="s">
        <v>56</v>
      </c>
      <c r="AB1050" s="32"/>
      <c r="AC1050" s="37"/>
      <c r="AD1050" s="32"/>
      <c r="AE1050" s="32"/>
      <c r="AF1050" s="32"/>
      <c r="AG1050" s="32"/>
      <c r="AH1050" s="32"/>
      <c r="AI1050" s="30">
        <v>218570</v>
      </c>
      <c r="AJ1050" s="30">
        <v>194527</v>
      </c>
      <c r="AK1050" s="30">
        <v>0</v>
      </c>
      <c r="AL1050" s="30">
        <v>0</v>
      </c>
      <c r="AM1050" s="30">
        <v>47100</v>
      </c>
      <c r="AN1050" s="30">
        <v>259100</v>
      </c>
      <c r="AO1050" s="30">
        <v>306200</v>
      </c>
      <c r="AP1050" s="30">
        <f>Lookups!$B$58*0.6</f>
        <v>132535.48800000001</v>
      </c>
      <c r="AQ1050" s="30">
        <f>Lookups!$B$58*0.4</f>
        <v>88356.992000000013</v>
      </c>
      <c r="AR1050" s="30">
        <f>Lookups!$B$59*Inventory[[#This Row],[LnAcres]]</f>
        <v>-36924.105351598795</v>
      </c>
      <c r="AS1050" s="30">
        <f>VLOOKUP(Inventory[[#This Row],[Qlty]],Lookups!$A$66:$E$79,2,FALSE)</f>
        <v>24371.765965999999</v>
      </c>
      <c r="AT1050" s="30">
        <f>VLOOKUP(Inventory[[#This Row],[Cnd]],Lookups!$A$80:$E$88,2,FALSE)</f>
        <v>30300.329274</v>
      </c>
      <c r="AU1050" s="30">
        <f>Inventory[[#This Row],[EffAge]]*Lookups!$B$65</f>
        <v>-2827.2685999999999</v>
      </c>
      <c r="AV1050" s="30">
        <f>Inventory[[#This Row],[MainFn]]*Lookups!$B$90</f>
        <v>46620.55386</v>
      </c>
      <c r="AW1050" s="30">
        <f>Inventory[[#This Row],[UpprFn]]*Lookups!$B$91</f>
        <v>44506.546101</v>
      </c>
      <c r="AX1050" s="30">
        <f>Inventory[[#This Row],[Bsmt Area]]*Lookups!$B$95</f>
        <v>0</v>
      </c>
      <c r="AY1050" s="30">
        <f>Inventory[[#This Row],[AttGar]]*Lookups!$B$93</f>
        <v>0</v>
      </c>
      <c r="AZ1050" s="30">
        <f>ROUND(Inventory[[#This Row],[25Det]],-2)</f>
        <v>0</v>
      </c>
      <c r="BA1050" s="30">
        <f>ROUND(SUM(Inventory[[#This Row],[Mdl Qlty]:[Mdl Garage Area]])+Inventory[[#This Row],[Mdl Res Intercept]],-2)</f>
        <v>275500</v>
      </c>
      <c r="BB1050" s="30">
        <f>ROUND(Inventory[[#This Row],[Mdl Land Intercept]]+Inventory[[#This Row],[Mdl LnAcres]],-2)</f>
        <v>51400</v>
      </c>
      <c r="BC1050" s="30">
        <f>Inventory[[#This Row],[Unadj Res Value]]+Inventory[[#This Row],[Unadj Det Value]]+Inventory[[#This Row],[Unadj Land Value]]</f>
        <v>326900</v>
      </c>
      <c r="BD1050" s="30">
        <f>(Inventory[[#This Row],[Unadj Total Value]]-Inventory[[#This Row],[24Final]])/Inventory[[#This Row],[24Final]]</f>
        <v>6.7602873938602218E-2</v>
      </c>
      <c r="BE1050" s="30">
        <f>VLOOKUP(Inventory[[#This Row],[Nbhd]],Lookups!$M$3:$P$5,4,FALSE)</f>
        <v>0.99970000000000003</v>
      </c>
      <c r="BF1050" s="30">
        <f>VLOOKUP(Inventory[[#This Row],[Qlty]],Lookups!$M$8:$P$22,4,FALSE)</f>
        <v>0.99199999999999999</v>
      </c>
      <c r="BG1050" s="30">
        <f>VLOOKUP(Inventory[[#This Row],[Cnd]],Lookups!$R$8:$U$17,4,FALSE)</f>
        <v>0.997</v>
      </c>
      <c r="BH1050" s="30">
        <f>VLOOKUP(Inventory[[#This Row],[LivArea Range]],Lookups!$R$25:$U$43,4,FALSE)</f>
        <v>0.99519999999999997</v>
      </c>
      <c r="BI1050" s="30">
        <f>VLOOKUP(Inventory[[#This Row],[Decade]],Lookups!$M$24:$P$40,4,FALSE)</f>
        <v>0.99560000000000004</v>
      </c>
      <c r="BJ1050" s="30">
        <f>Inventory[[#This Row],[Nbhd Adj]]*0.95</f>
        <v>0.94971499999999998</v>
      </c>
      <c r="BK1050" s="30">
        <f>AVERAGE(Inventory[[#This Row],[Nbhd Adj]],Inventory[[#This Row],[Quality Adj]],Inventory[[#This Row],[Condition Adj]],Inventory[[#This Row],[Living Area Adj]],Inventory[[#This Row],[Decade Adj]])*0.95</f>
        <v>0.94610499999999997</v>
      </c>
      <c r="BL1050" s="30">
        <f>ROUND((SUM(Inventory[[#This Row],[Mdl Qlty]:[Mdl Garage Area]])+Inventory[[#This Row],[Mdl Res Intercept]])*Inventory[[#This Row],[Res Adj ]],-2)</f>
        <v>260700</v>
      </c>
      <c r="BM1050" s="30">
        <f>ROUND(Inventory[[#This Row],[25Det]]*Inventory[[#This Row],[Det/Nbhd Adj]],-2)</f>
        <v>0</v>
      </c>
      <c r="BN1050" s="30">
        <f>Inventory[[#This Row],[Adjusted Res]]+Inventory[[#This Row],[Adj Det ]]</f>
        <v>260700</v>
      </c>
      <c r="BO1050" s="30">
        <f>ROUND((Inventory[[#This Row],[Mdl Land Intercept]]+Inventory[[#This Row],[Mdl LnAcres]])*Inventory[[#This Row],[Det/Nbhd Adj]],-2)</f>
        <v>48800</v>
      </c>
      <c r="BP1050" s="30">
        <f>Inventory[[#This Row],[Adjusted Impr Total]]+Inventory[[#This Row],[Adjusted Land Total]]</f>
        <v>309500</v>
      </c>
      <c r="BQ1050" s="30">
        <f>IFERROR((Inventory[[#This Row],[Adjusted Impr Total]]-Inventory[[#This Row],[24Bldg]])/Inventory[[#This Row],[24Bldg]],0)</f>
        <v>6.1752219220378235E-3</v>
      </c>
      <c r="BR1050" s="43">
        <f>(Inventory[[#This Row],[Adjusted Land Total]]-Inventory[[#This Row],[24Lnd]])/Inventory[[#This Row],[24Lnd]]</f>
        <v>3.6093418259023353E-2</v>
      </c>
      <c r="BS1050" s="43">
        <f>(Inventory[[#This Row],[Adjusted Total]]-Inventory[[#This Row],[24Final]])/Inventory[[#This Row],[24Final]]</f>
        <v>1.0777269758327891E-2</v>
      </c>
    </row>
    <row r="1051" spans="1:71">
      <c r="A1051" s="30">
        <v>2025</v>
      </c>
      <c r="B1051" s="31" t="s">
        <v>1566</v>
      </c>
      <c r="C1051" s="31">
        <f>LN(Inventory[[#This Row],[Acres]])</f>
        <v>-2.6592600369327779</v>
      </c>
      <c r="D1051" s="30">
        <v>7.0000000000000007E-2</v>
      </c>
      <c r="E1051" s="30">
        <v>3185</v>
      </c>
      <c r="F1051" s="31" t="s">
        <v>505</v>
      </c>
      <c r="G1051" s="31" t="s">
        <v>155</v>
      </c>
      <c r="H1051" s="31" t="s">
        <v>5</v>
      </c>
      <c r="I1051" s="31" t="s">
        <v>506</v>
      </c>
      <c r="J1051" s="31" t="s">
        <v>507</v>
      </c>
      <c r="K1051" s="31" t="s">
        <v>193</v>
      </c>
      <c r="L1051" s="31" t="s">
        <v>17</v>
      </c>
      <c r="M1051" s="31" t="s">
        <v>22</v>
      </c>
      <c r="N1051" s="31">
        <v>20</v>
      </c>
      <c r="O1051" s="31">
        <f>2024-Inventory[[#This Row],[YrBlt]]</f>
        <v>26</v>
      </c>
      <c r="P1051" s="31">
        <f>2024-Inventory[[#This Row],[EffYr]]</f>
        <v>26</v>
      </c>
      <c r="Q1051" s="30">
        <v>1998</v>
      </c>
      <c r="R1051" s="30">
        <v>1998</v>
      </c>
      <c r="S1051" s="30">
        <v>1300</v>
      </c>
      <c r="T1051" s="32"/>
      <c r="U1051" s="32"/>
      <c r="V1051" s="32"/>
      <c r="W1051" s="32"/>
      <c r="X1051" s="32">
        <f>Inventory[[#This Row],[Bsmt Area]]-Inventory[[#This Row],[FnBsmt]]</f>
        <v>0</v>
      </c>
      <c r="Y1051" s="32">
        <f>Inventory[[#This Row],[MainFn]]+Inventory[[#This Row],[UpprFn]]+Inventory[[#This Row],[AddFn]]+Inventory[[#This Row],[FnBsmt]]</f>
        <v>1300</v>
      </c>
      <c r="Z1051" s="32">
        <v>1500</v>
      </c>
      <c r="AA1051" s="31" t="s">
        <v>56</v>
      </c>
      <c r="AB1051" s="32"/>
      <c r="AC1051" s="37"/>
      <c r="AD1051" s="32"/>
      <c r="AE1051" s="32"/>
      <c r="AF1051" s="32"/>
      <c r="AG1051" s="32"/>
      <c r="AH1051" s="32"/>
      <c r="AI1051" s="30">
        <v>221063</v>
      </c>
      <c r="AJ1051" s="30">
        <v>196746</v>
      </c>
      <c r="AK1051" s="30">
        <v>0</v>
      </c>
      <c r="AL1051" s="30">
        <v>0</v>
      </c>
      <c r="AM1051" s="30">
        <v>49300</v>
      </c>
      <c r="AN1051" s="30">
        <v>259600</v>
      </c>
      <c r="AO1051" s="30">
        <v>308900</v>
      </c>
      <c r="AP1051" s="30">
        <f>Lookups!$B$58*0.6</f>
        <v>132535.48800000001</v>
      </c>
      <c r="AQ1051" s="30">
        <f>Lookups!$B$58*0.4</f>
        <v>88356.992000000013</v>
      </c>
      <c r="AR1051" s="30">
        <f>Lookups!$B$59*Inventory[[#This Row],[LnAcres]]</f>
        <v>-34900.982347177633</v>
      </c>
      <c r="AS1051" s="30">
        <f>VLOOKUP(Inventory[[#This Row],[Qlty]],Lookups!$A$66:$E$79,2,FALSE)</f>
        <v>24371.765965999999</v>
      </c>
      <c r="AT1051" s="30">
        <f>VLOOKUP(Inventory[[#This Row],[Cnd]],Lookups!$A$80:$E$88,2,FALSE)</f>
        <v>50438.379078999998</v>
      </c>
      <c r="AU1051" s="30">
        <f>Inventory[[#This Row],[EffAge]]*Lookups!$B$65</f>
        <v>-2827.2685999999999</v>
      </c>
      <c r="AV1051" s="30">
        <f>Inventory[[#This Row],[MainFn]]*Lookups!$B$90</f>
        <v>81133.494000000006</v>
      </c>
      <c r="AW1051" s="30">
        <f>Inventory[[#This Row],[UpprFn]]*Lookups!$B$91</f>
        <v>0</v>
      </c>
      <c r="AX1051" s="30">
        <f>Inventory[[#This Row],[Bsmt Area]]*Lookups!$B$95</f>
        <v>0</v>
      </c>
      <c r="AY1051" s="30">
        <f>Inventory[[#This Row],[AttGar]]*Lookups!$B$93</f>
        <v>0</v>
      </c>
      <c r="AZ1051" s="30">
        <f>ROUND(Inventory[[#This Row],[25Det]],-2)</f>
        <v>0</v>
      </c>
      <c r="BA1051" s="30">
        <f>ROUND(SUM(Inventory[[#This Row],[Mdl Qlty]:[Mdl Garage Area]])+Inventory[[#This Row],[Mdl Res Intercept]],-2)</f>
        <v>285700</v>
      </c>
      <c r="BB1051" s="30">
        <f>ROUND(Inventory[[#This Row],[Mdl Land Intercept]]+Inventory[[#This Row],[Mdl LnAcres]],-2)</f>
        <v>53500</v>
      </c>
      <c r="BC1051" s="30">
        <f>Inventory[[#This Row],[Unadj Res Value]]+Inventory[[#This Row],[Unadj Det Value]]+Inventory[[#This Row],[Unadj Land Value]]</f>
        <v>339200</v>
      </c>
      <c r="BD1051" s="30">
        <f>(Inventory[[#This Row],[Unadj Total Value]]-Inventory[[#This Row],[24Final]])/Inventory[[#This Row],[24Final]]</f>
        <v>9.8089996762706383E-2</v>
      </c>
      <c r="BE1051" s="30">
        <f>VLOOKUP(Inventory[[#This Row],[Nbhd]],Lookups!$M$3:$P$5,4,FALSE)</f>
        <v>0.99970000000000003</v>
      </c>
      <c r="BF1051" s="30">
        <f>VLOOKUP(Inventory[[#This Row],[Qlty]],Lookups!$M$8:$P$22,4,FALSE)</f>
        <v>0.99199999999999999</v>
      </c>
      <c r="BG1051" s="30">
        <f>VLOOKUP(Inventory[[#This Row],[Cnd]],Lookups!$R$8:$U$17,4,FALSE)</f>
        <v>1.0007999999999999</v>
      </c>
      <c r="BH1051" s="30">
        <f>VLOOKUP(Inventory[[#This Row],[LivArea Range]],Lookups!$R$25:$U$43,4,FALSE)</f>
        <v>0.99519999999999997</v>
      </c>
      <c r="BI1051" s="30">
        <f>VLOOKUP(Inventory[[#This Row],[Decade]],Lookups!$M$24:$P$40,4,FALSE)</f>
        <v>0.99560000000000004</v>
      </c>
      <c r="BJ1051" s="30">
        <f>Inventory[[#This Row],[Nbhd Adj]]*0.95</f>
        <v>0.94971499999999998</v>
      </c>
      <c r="BK1051" s="30">
        <f>AVERAGE(Inventory[[#This Row],[Nbhd Adj]],Inventory[[#This Row],[Quality Adj]],Inventory[[#This Row],[Condition Adj]],Inventory[[#This Row],[Living Area Adj]],Inventory[[#This Row],[Decade Adj]])*0.95</f>
        <v>0.94682699999999997</v>
      </c>
      <c r="BL1051" s="30">
        <f>ROUND((SUM(Inventory[[#This Row],[Mdl Qlty]:[Mdl Garage Area]])+Inventory[[#This Row],[Mdl Res Intercept]])*Inventory[[#This Row],[Res Adj ]],-2)</f>
        <v>270500</v>
      </c>
      <c r="BM1051" s="30">
        <f>ROUND(Inventory[[#This Row],[25Det]]*Inventory[[#This Row],[Det/Nbhd Adj]],-2)</f>
        <v>0</v>
      </c>
      <c r="BN1051" s="30">
        <f>Inventory[[#This Row],[Adjusted Res]]+Inventory[[#This Row],[Adj Det ]]</f>
        <v>270500</v>
      </c>
      <c r="BO1051" s="30">
        <f>ROUND((Inventory[[#This Row],[Mdl Land Intercept]]+Inventory[[#This Row],[Mdl LnAcres]])*Inventory[[#This Row],[Det/Nbhd Adj]],-2)</f>
        <v>50800</v>
      </c>
      <c r="BP1051" s="30">
        <f>Inventory[[#This Row],[Adjusted Impr Total]]+Inventory[[#This Row],[Adjusted Land Total]]</f>
        <v>321300</v>
      </c>
      <c r="BQ1051" s="30">
        <f>IFERROR((Inventory[[#This Row],[Adjusted Impr Total]]-Inventory[[#This Row],[24Bldg]])/Inventory[[#This Row],[24Bldg]],0)</f>
        <v>4.198767334360555E-2</v>
      </c>
      <c r="BR1051" s="43">
        <f>(Inventory[[#This Row],[Adjusted Land Total]]-Inventory[[#This Row],[24Lnd]])/Inventory[[#This Row],[24Lnd]]</f>
        <v>3.0425963488843813E-2</v>
      </c>
      <c r="BS1051" s="43">
        <f>(Inventory[[#This Row],[Adjusted Total]]-Inventory[[#This Row],[24Final]])/Inventory[[#This Row],[24Final]]</f>
        <v>4.0142440919391391E-2</v>
      </c>
    </row>
    <row r="1052" spans="1:71">
      <c r="A1052" s="30">
        <v>2025</v>
      </c>
      <c r="B1052" s="31" t="s">
        <v>1567</v>
      </c>
      <c r="C1052" s="31">
        <f>LN(Inventory[[#This Row],[Acres]])</f>
        <v>-2.4079456086518722</v>
      </c>
      <c r="D1052" s="30">
        <v>0.09</v>
      </c>
      <c r="E1052" s="30">
        <v>3856</v>
      </c>
      <c r="F1052" s="31" t="s">
        <v>505</v>
      </c>
      <c r="G1052" s="31" t="s">
        <v>155</v>
      </c>
      <c r="H1052" s="31" t="s">
        <v>5</v>
      </c>
      <c r="I1052" s="31" t="s">
        <v>506</v>
      </c>
      <c r="J1052" s="31" t="s">
        <v>507</v>
      </c>
      <c r="K1052" s="31" t="s">
        <v>157</v>
      </c>
      <c r="L1052" s="31" t="s">
        <v>17</v>
      </c>
      <c r="M1052" s="31" t="s">
        <v>20</v>
      </c>
      <c r="N1052" s="31">
        <v>20</v>
      </c>
      <c r="O1052" s="31">
        <f>2024-Inventory[[#This Row],[YrBlt]]</f>
        <v>26</v>
      </c>
      <c r="P1052" s="31">
        <f>2024-Inventory[[#This Row],[EffYr]]</f>
        <v>26</v>
      </c>
      <c r="Q1052" s="30">
        <v>1998</v>
      </c>
      <c r="R1052" s="30">
        <v>1998</v>
      </c>
      <c r="S1052" s="30">
        <v>531</v>
      </c>
      <c r="T1052" s="30">
        <v>747</v>
      </c>
      <c r="U1052" s="32"/>
      <c r="V1052" s="32"/>
      <c r="W1052" s="32"/>
      <c r="X1052" s="32">
        <f>Inventory[[#This Row],[Bsmt Area]]-Inventory[[#This Row],[FnBsmt]]</f>
        <v>0</v>
      </c>
      <c r="Y1052" s="32">
        <f>Inventory[[#This Row],[MainFn]]+Inventory[[#This Row],[UpprFn]]+Inventory[[#This Row],[AddFn]]+Inventory[[#This Row],[FnBsmt]]</f>
        <v>1278</v>
      </c>
      <c r="Z1052" s="32">
        <v>1500</v>
      </c>
      <c r="AA1052" s="31" t="s">
        <v>56</v>
      </c>
      <c r="AB1052" s="38">
        <v>1</v>
      </c>
      <c r="AC1052" s="32"/>
      <c r="AD1052" s="30">
        <v>216</v>
      </c>
      <c r="AE1052" s="32"/>
      <c r="AF1052" s="32"/>
      <c r="AG1052" s="32"/>
      <c r="AH1052" s="32"/>
      <c r="AI1052" s="30">
        <v>210132</v>
      </c>
      <c r="AJ1052" s="30">
        <v>187017</v>
      </c>
      <c r="AK1052" s="30">
        <v>0</v>
      </c>
      <c r="AL1052" s="30">
        <v>0</v>
      </c>
      <c r="AM1052" s="30">
        <v>52800</v>
      </c>
      <c r="AN1052" s="30">
        <v>257000</v>
      </c>
      <c r="AO1052" s="30">
        <v>309800</v>
      </c>
      <c r="AP1052" s="30">
        <f>Lookups!$B$58*0.6</f>
        <v>132535.48800000001</v>
      </c>
      <c r="AQ1052" s="30">
        <f>Lookups!$B$58*0.4</f>
        <v>88356.992000000013</v>
      </c>
      <c r="AR1052" s="30">
        <f>Lookups!$B$59*Inventory[[#This Row],[LnAcres]]</f>
        <v>-31602.651118487549</v>
      </c>
      <c r="AS1052" s="30">
        <f>VLOOKUP(Inventory[[#This Row],[Qlty]],Lookups!$A$66:$E$79,2,FALSE)</f>
        <v>24371.765965999999</v>
      </c>
      <c r="AT1052" s="30">
        <f>VLOOKUP(Inventory[[#This Row],[Cnd]],Lookups!$A$80:$E$88,2,FALSE)</f>
        <v>30300.329274</v>
      </c>
      <c r="AU1052" s="30">
        <f>Inventory[[#This Row],[EffAge]]*Lookups!$B$65</f>
        <v>-2827.2685999999999</v>
      </c>
      <c r="AV1052" s="30">
        <f>Inventory[[#This Row],[MainFn]]*Lookups!$B$90</f>
        <v>33139.911780000002</v>
      </c>
      <c r="AW1052" s="30">
        <f>Inventory[[#This Row],[UpprFn]]*Lookups!$B$91</f>
        <v>44506.546101</v>
      </c>
      <c r="AX1052" s="30">
        <f>Inventory[[#This Row],[Bsmt Area]]*Lookups!$B$95</f>
        <v>0</v>
      </c>
      <c r="AY1052" s="30">
        <f>Inventory[[#This Row],[AttGar]]*Lookups!$B$93</f>
        <v>0</v>
      </c>
      <c r="AZ1052" s="30">
        <f>ROUND(Inventory[[#This Row],[25Det]],-2)</f>
        <v>0</v>
      </c>
      <c r="BA1052" s="30">
        <f>ROUND(SUM(Inventory[[#This Row],[Mdl Qlty]:[Mdl Garage Area]])+Inventory[[#This Row],[Mdl Res Intercept]],-2)</f>
        <v>262000</v>
      </c>
      <c r="BB1052" s="30">
        <f>ROUND(Inventory[[#This Row],[Mdl Land Intercept]]+Inventory[[#This Row],[Mdl LnAcres]],-2)</f>
        <v>56800</v>
      </c>
      <c r="BC1052" s="30">
        <f>Inventory[[#This Row],[Unadj Res Value]]+Inventory[[#This Row],[Unadj Det Value]]+Inventory[[#This Row],[Unadj Land Value]]</f>
        <v>318800</v>
      </c>
      <c r="BD1052" s="30">
        <f>(Inventory[[#This Row],[Unadj Total Value]]-Inventory[[#This Row],[24Final]])/Inventory[[#This Row],[24Final]]</f>
        <v>2.9051000645577793E-2</v>
      </c>
      <c r="BE1052" s="30">
        <f>VLOOKUP(Inventory[[#This Row],[Nbhd]],Lookups!$M$3:$P$5,4,FALSE)</f>
        <v>0.99970000000000003</v>
      </c>
      <c r="BF1052" s="30">
        <f>VLOOKUP(Inventory[[#This Row],[Qlty]],Lookups!$M$8:$P$22,4,FALSE)</f>
        <v>0.99199999999999999</v>
      </c>
      <c r="BG1052" s="30">
        <f>VLOOKUP(Inventory[[#This Row],[Cnd]],Lookups!$R$8:$U$17,4,FALSE)</f>
        <v>0.997</v>
      </c>
      <c r="BH1052" s="30">
        <f>VLOOKUP(Inventory[[#This Row],[LivArea Range]],Lookups!$R$25:$U$43,4,FALSE)</f>
        <v>0.99519999999999997</v>
      </c>
      <c r="BI1052" s="30">
        <f>VLOOKUP(Inventory[[#This Row],[Decade]],Lookups!$M$24:$P$40,4,FALSE)</f>
        <v>0.99560000000000004</v>
      </c>
      <c r="BJ1052" s="30">
        <f>Inventory[[#This Row],[Nbhd Adj]]*0.95</f>
        <v>0.94971499999999998</v>
      </c>
      <c r="BK1052" s="30">
        <f>AVERAGE(Inventory[[#This Row],[Nbhd Adj]],Inventory[[#This Row],[Quality Adj]],Inventory[[#This Row],[Condition Adj]],Inventory[[#This Row],[Living Area Adj]],Inventory[[#This Row],[Decade Adj]])*0.95</f>
        <v>0.94610499999999997</v>
      </c>
      <c r="BL1052" s="30">
        <f>ROUND((SUM(Inventory[[#This Row],[Mdl Qlty]:[Mdl Garage Area]])+Inventory[[#This Row],[Mdl Res Intercept]])*Inventory[[#This Row],[Res Adj ]],-2)</f>
        <v>247900</v>
      </c>
      <c r="BM1052" s="30">
        <f>ROUND(Inventory[[#This Row],[25Det]]*Inventory[[#This Row],[Det/Nbhd Adj]],-2)</f>
        <v>0</v>
      </c>
      <c r="BN1052" s="30">
        <f>Inventory[[#This Row],[Adjusted Res]]+Inventory[[#This Row],[Adj Det ]]</f>
        <v>247900</v>
      </c>
      <c r="BO1052" s="30">
        <f>ROUND((Inventory[[#This Row],[Mdl Land Intercept]]+Inventory[[#This Row],[Mdl LnAcres]])*Inventory[[#This Row],[Det/Nbhd Adj]],-2)</f>
        <v>53900</v>
      </c>
      <c r="BP1052" s="30">
        <f>Inventory[[#This Row],[Adjusted Impr Total]]+Inventory[[#This Row],[Adjusted Land Total]]</f>
        <v>301800</v>
      </c>
      <c r="BQ1052" s="30">
        <f>IFERROR((Inventory[[#This Row],[Adjusted Impr Total]]-Inventory[[#This Row],[24Bldg]])/Inventory[[#This Row],[24Bldg]],0)</f>
        <v>-3.5408560311284046E-2</v>
      </c>
      <c r="BR1052" s="43">
        <f>(Inventory[[#This Row],[Adjusted Land Total]]-Inventory[[#This Row],[24Lnd]])/Inventory[[#This Row],[24Lnd]]</f>
        <v>2.0833333333333332E-2</v>
      </c>
      <c r="BS1052" s="43">
        <f>(Inventory[[#This Row],[Adjusted Total]]-Inventory[[#This Row],[24Final]])/Inventory[[#This Row],[24Final]]</f>
        <v>-2.5823111684958037E-2</v>
      </c>
    </row>
    <row r="1053" spans="1:71">
      <c r="A1053" s="30">
        <v>2025</v>
      </c>
      <c r="B1053" s="31" t="s">
        <v>1568</v>
      </c>
      <c r="C1053" s="31">
        <f>LN(Inventory[[#This Row],[Acres]])</f>
        <v>-1.7147984280919266</v>
      </c>
      <c r="D1053" s="30">
        <v>0.18</v>
      </c>
      <c r="E1053" s="30">
        <v>7800</v>
      </c>
      <c r="F1053" s="31" t="s">
        <v>505</v>
      </c>
      <c r="G1053" s="31" t="s">
        <v>155</v>
      </c>
      <c r="H1053" s="31" t="s">
        <v>5</v>
      </c>
      <c r="I1053" s="31" t="s">
        <v>506</v>
      </c>
      <c r="J1053" s="31" t="s">
        <v>507</v>
      </c>
      <c r="K1053" s="31" t="s">
        <v>330</v>
      </c>
      <c r="L1053" s="31" t="s">
        <v>21</v>
      </c>
      <c r="M1053" s="31" t="s">
        <v>18</v>
      </c>
      <c r="N1053" s="31">
        <v>20</v>
      </c>
      <c r="O1053" s="31">
        <f>2024-Inventory[[#This Row],[YrBlt]]</f>
        <v>26</v>
      </c>
      <c r="P1053" s="31">
        <f>2024-Inventory[[#This Row],[EffYr]]</f>
        <v>26</v>
      </c>
      <c r="Q1053" s="30">
        <v>1998</v>
      </c>
      <c r="R1053" s="30">
        <v>1998</v>
      </c>
      <c r="S1053" s="30">
        <v>1559</v>
      </c>
      <c r="T1053" s="32"/>
      <c r="U1053" s="32"/>
      <c r="V1053" s="32"/>
      <c r="W1053" s="32"/>
      <c r="X1053" s="32">
        <f>Inventory[[#This Row],[Bsmt Area]]-Inventory[[#This Row],[FnBsmt]]</f>
        <v>0</v>
      </c>
      <c r="Y1053" s="32">
        <f>Inventory[[#This Row],[MainFn]]+Inventory[[#This Row],[UpprFn]]+Inventory[[#This Row],[AddFn]]+Inventory[[#This Row],[FnBsmt]]</f>
        <v>1559</v>
      </c>
      <c r="Z1053" s="32">
        <v>2000</v>
      </c>
      <c r="AA1053" s="31" t="s">
        <v>56</v>
      </c>
      <c r="AB1053" s="32"/>
      <c r="AC1053" s="30">
        <v>560</v>
      </c>
      <c r="AD1053" s="32"/>
      <c r="AE1053" s="32"/>
      <c r="AF1053" s="32"/>
      <c r="AG1053" s="32"/>
      <c r="AH1053" s="32"/>
      <c r="AI1053" s="30">
        <v>343613</v>
      </c>
      <c r="AJ1053" s="30">
        <v>302379</v>
      </c>
      <c r="AK1053" s="30">
        <v>0</v>
      </c>
      <c r="AL1053" s="30">
        <v>0</v>
      </c>
      <c r="AM1053" s="30">
        <v>62500</v>
      </c>
      <c r="AN1053" s="30">
        <v>290200</v>
      </c>
      <c r="AO1053" s="30">
        <v>352700</v>
      </c>
      <c r="AP1053" s="30">
        <f>Lookups!$B$58*0.6</f>
        <v>132535.48800000001</v>
      </c>
      <c r="AQ1053" s="30">
        <f>Lookups!$B$58*0.4</f>
        <v>88356.992000000013</v>
      </c>
      <c r="AR1053" s="30">
        <f>Lookups!$B$59*Inventory[[#This Row],[LnAcres]]</f>
        <v>-22505.565020573864</v>
      </c>
      <c r="AS1053" s="30">
        <f>VLOOKUP(Inventory[[#This Row],[Qlty]],Lookups!$A$66:$E$79,2,FALSE)</f>
        <v>32917.849192000001</v>
      </c>
      <c r="AT1053" s="30">
        <f>VLOOKUP(Inventory[[#This Row],[Cnd]],Lookups!$A$80:$E$88,2,FALSE)</f>
        <v>17761.121909000001</v>
      </c>
      <c r="AU1053" s="30">
        <f>Inventory[[#This Row],[EffAge]]*Lookups!$B$65</f>
        <v>-2827.2685999999999</v>
      </c>
      <c r="AV1053" s="30">
        <f>Inventory[[#This Row],[MainFn]]*Lookups!$B$90</f>
        <v>97297.782420000003</v>
      </c>
      <c r="AW1053" s="30">
        <f>Inventory[[#This Row],[UpprFn]]*Lookups!$B$91</f>
        <v>0</v>
      </c>
      <c r="AX1053" s="30">
        <f>Inventory[[#This Row],[Bsmt Area]]*Lookups!$B$95</f>
        <v>0</v>
      </c>
      <c r="AY1053" s="30">
        <f>Inventory[[#This Row],[AttGar]]*Lookups!$B$93</f>
        <v>19768.577359999999</v>
      </c>
      <c r="AZ1053" s="30">
        <f>ROUND(Inventory[[#This Row],[25Det]],-2)</f>
        <v>0</v>
      </c>
      <c r="BA1053" s="30">
        <f>ROUND(SUM(Inventory[[#This Row],[Mdl Qlty]:[Mdl Garage Area]])+Inventory[[#This Row],[Mdl Res Intercept]],-2)</f>
        <v>297500</v>
      </c>
      <c r="BB1053" s="30">
        <f>ROUND(Inventory[[#This Row],[Mdl Land Intercept]]+Inventory[[#This Row],[Mdl LnAcres]],-2)</f>
        <v>65900</v>
      </c>
      <c r="BC1053" s="30">
        <f>Inventory[[#This Row],[Unadj Res Value]]+Inventory[[#This Row],[Unadj Det Value]]+Inventory[[#This Row],[Unadj Land Value]]</f>
        <v>363400</v>
      </c>
      <c r="BD1053" s="30">
        <f>(Inventory[[#This Row],[Unadj Total Value]]-Inventory[[#This Row],[24Final]])/Inventory[[#This Row],[24Final]]</f>
        <v>3.0337397221434647E-2</v>
      </c>
      <c r="BE1053" s="30">
        <f>VLOOKUP(Inventory[[#This Row],[Nbhd]],Lookups!$M$3:$P$5,4,FALSE)</f>
        <v>0.99970000000000003</v>
      </c>
      <c r="BF1053" s="30">
        <f>VLOOKUP(Inventory[[#This Row],[Qlty]],Lookups!$M$8:$P$22,4,FALSE)</f>
        <v>1.0019</v>
      </c>
      <c r="BG1053" s="30">
        <f>VLOOKUP(Inventory[[#This Row],[Cnd]],Lookups!$R$8:$U$17,4,FALSE)</f>
        <v>0.99680000000000002</v>
      </c>
      <c r="BH1053" s="30">
        <f>VLOOKUP(Inventory[[#This Row],[LivArea Range]],Lookups!$R$25:$U$43,4,FALSE)</f>
        <v>1.0007999999999999</v>
      </c>
      <c r="BI1053" s="30">
        <f>VLOOKUP(Inventory[[#This Row],[Decade]],Lookups!$M$24:$P$40,4,FALSE)</f>
        <v>0.99560000000000004</v>
      </c>
      <c r="BJ1053" s="30">
        <f>Inventory[[#This Row],[Nbhd Adj]]*0.95</f>
        <v>0.94971499999999998</v>
      </c>
      <c r="BK1053" s="30">
        <f>AVERAGE(Inventory[[#This Row],[Nbhd Adj]],Inventory[[#This Row],[Quality Adj]],Inventory[[#This Row],[Condition Adj]],Inventory[[#This Row],[Living Area Adj]],Inventory[[#This Row],[Decade Adj]])*0.95</f>
        <v>0.94901199999999997</v>
      </c>
      <c r="BL1053" s="30">
        <f>ROUND((SUM(Inventory[[#This Row],[Mdl Qlty]:[Mdl Garage Area]])+Inventory[[#This Row],[Mdl Res Intercept]])*Inventory[[#This Row],[Res Adj ]],-2)</f>
        <v>282300</v>
      </c>
      <c r="BM1053" s="30">
        <f>ROUND(Inventory[[#This Row],[25Det]]*Inventory[[#This Row],[Det/Nbhd Adj]],-2)</f>
        <v>0</v>
      </c>
      <c r="BN1053" s="30">
        <f>Inventory[[#This Row],[Adjusted Res]]+Inventory[[#This Row],[Adj Det ]]</f>
        <v>282300</v>
      </c>
      <c r="BO1053" s="30">
        <f>ROUND((Inventory[[#This Row],[Mdl Land Intercept]]+Inventory[[#This Row],[Mdl LnAcres]])*Inventory[[#This Row],[Det/Nbhd Adj]],-2)</f>
        <v>62500</v>
      </c>
      <c r="BP1053" s="30">
        <f>Inventory[[#This Row],[Adjusted Impr Total]]+Inventory[[#This Row],[Adjusted Land Total]]</f>
        <v>344800</v>
      </c>
      <c r="BQ1053" s="30">
        <f>IFERROR((Inventory[[#This Row],[Adjusted Impr Total]]-Inventory[[#This Row],[24Bldg]])/Inventory[[#This Row],[24Bldg]],0)</f>
        <v>-2.7222605099931081E-2</v>
      </c>
      <c r="BR1053" s="43">
        <f>(Inventory[[#This Row],[Adjusted Land Total]]-Inventory[[#This Row],[24Lnd]])/Inventory[[#This Row],[24Lnd]]</f>
        <v>0</v>
      </c>
      <c r="BS1053" s="43">
        <f>(Inventory[[#This Row],[Adjusted Total]]-Inventory[[#This Row],[24Final]])/Inventory[[#This Row],[24Final]]</f>
        <v>-2.2398639070031187E-2</v>
      </c>
    </row>
    <row r="1054" spans="1:71">
      <c r="A1054" s="30">
        <v>2025</v>
      </c>
      <c r="B1054" s="31" t="s">
        <v>1569</v>
      </c>
      <c r="C1054" s="31">
        <f>LN(Inventory[[#This Row],[Acres]])</f>
        <v>-1.6607312068216509</v>
      </c>
      <c r="D1054" s="30">
        <v>0.19</v>
      </c>
      <c r="E1054" s="30">
        <v>8324</v>
      </c>
      <c r="F1054" s="31" t="s">
        <v>505</v>
      </c>
      <c r="G1054" s="31" t="s">
        <v>155</v>
      </c>
      <c r="H1054" s="31" t="s">
        <v>5</v>
      </c>
      <c r="I1054" s="31" t="s">
        <v>506</v>
      </c>
      <c r="J1054" s="31" t="s">
        <v>507</v>
      </c>
      <c r="K1054" s="31" t="s">
        <v>193</v>
      </c>
      <c r="L1054" s="31" t="s">
        <v>17</v>
      </c>
      <c r="M1054" s="31" t="s">
        <v>18</v>
      </c>
      <c r="N1054" s="31">
        <v>20</v>
      </c>
      <c r="O1054" s="31">
        <f>2024-Inventory[[#This Row],[YrBlt]]</f>
        <v>26</v>
      </c>
      <c r="P1054" s="31">
        <f>2024-Inventory[[#This Row],[EffYr]]</f>
        <v>26</v>
      </c>
      <c r="Q1054" s="30">
        <v>1998</v>
      </c>
      <c r="R1054" s="30">
        <v>1998</v>
      </c>
      <c r="S1054" s="30">
        <v>1304</v>
      </c>
      <c r="T1054" s="32"/>
      <c r="U1054" s="32"/>
      <c r="V1054" s="32"/>
      <c r="W1054" s="32"/>
      <c r="X1054" s="32">
        <f>Inventory[[#This Row],[Bsmt Area]]-Inventory[[#This Row],[FnBsmt]]</f>
        <v>0</v>
      </c>
      <c r="Y1054" s="32">
        <f>Inventory[[#This Row],[MainFn]]+Inventory[[#This Row],[UpprFn]]+Inventory[[#This Row],[AddFn]]+Inventory[[#This Row],[FnBsmt]]</f>
        <v>1304</v>
      </c>
      <c r="Z1054" s="32">
        <v>1500</v>
      </c>
      <c r="AA1054" s="31" t="s">
        <v>56</v>
      </c>
      <c r="AB1054" s="32"/>
      <c r="AC1054" s="30">
        <v>322</v>
      </c>
      <c r="AD1054" s="32"/>
      <c r="AE1054" s="32"/>
      <c r="AF1054" s="32"/>
      <c r="AG1054" s="32"/>
      <c r="AH1054" s="32"/>
      <c r="AI1054" s="30">
        <v>238295</v>
      </c>
      <c r="AJ1054" s="30">
        <v>209700</v>
      </c>
      <c r="AK1054" s="30">
        <v>0</v>
      </c>
      <c r="AL1054" s="30">
        <v>0</v>
      </c>
      <c r="AM1054" s="30">
        <v>63200</v>
      </c>
      <c r="AN1054" s="30">
        <v>249300</v>
      </c>
      <c r="AO1054" s="30">
        <v>312500</v>
      </c>
      <c r="AP1054" s="30">
        <f>Lookups!$B$58*0.6</f>
        <v>132535.48800000001</v>
      </c>
      <c r="AQ1054" s="30">
        <f>Lookups!$B$58*0.4</f>
        <v>88356.992000000013</v>
      </c>
      <c r="AR1054" s="30">
        <f>Lookups!$B$59*Inventory[[#This Row],[LnAcres]]</f>
        <v>-21795.969453044734</v>
      </c>
      <c r="AS1054" s="30">
        <f>VLOOKUP(Inventory[[#This Row],[Qlty]],Lookups!$A$66:$E$79,2,FALSE)</f>
        <v>24371.765965999999</v>
      </c>
      <c r="AT1054" s="30">
        <f>VLOOKUP(Inventory[[#This Row],[Cnd]],Lookups!$A$80:$E$88,2,FALSE)</f>
        <v>17761.121909000001</v>
      </c>
      <c r="AU1054" s="30">
        <f>Inventory[[#This Row],[EffAge]]*Lookups!$B$65</f>
        <v>-2827.2685999999999</v>
      </c>
      <c r="AV1054" s="30">
        <f>Inventory[[#This Row],[MainFn]]*Lookups!$B$90</f>
        <v>81383.135520000011</v>
      </c>
      <c r="AW1054" s="30">
        <f>Inventory[[#This Row],[UpprFn]]*Lookups!$B$91</f>
        <v>0</v>
      </c>
      <c r="AX1054" s="30">
        <f>Inventory[[#This Row],[Bsmt Area]]*Lookups!$B$95</f>
        <v>0</v>
      </c>
      <c r="AY1054" s="30">
        <f>Inventory[[#This Row],[AttGar]]*Lookups!$B$93</f>
        <v>11366.931982</v>
      </c>
      <c r="AZ1054" s="30">
        <f>ROUND(Inventory[[#This Row],[25Det]],-2)</f>
        <v>0</v>
      </c>
      <c r="BA1054" s="30">
        <f>ROUND(SUM(Inventory[[#This Row],[Mdl Qlty]:[Mdl Garage Area]])+Inventory[[#This Row],[Mdl Res Intercept]],-2)</f>
        <v>264600</v>
      </c>
      <c r="BB1054" s="30">
        <f>ROUND(Inventory[[#This Row],[Mdl Land Intercept]]+Inventory[[#This Row],[Mdl LnAcres]],-2)</f>
        <v>66600</v>
      </c>
      <c r="BC1054" s="30">
        <f>Inventory[[#This Row],[Unadj Res Value]]+Inventory[[#This Row],[Unadj Det Value]]+Inventory[[#This Row],[Unadj Land Value]]</f>
        <v>331200</v>
      </c>
      <c r="BD1054" s="30">
        <f>(Inventory[[#This Row],[Unadj Total Value]]-Inventory[[#This Row],[24Final]])/Inventory[[#This Row],[24Final]]</f>
        <v>5.9839999999999997E-2</v>
      </c>
      <c r="BE1054" s="30">
        <f>VLOOKUP(Inventory[[#This Row],[Nbhd]],Lookups!$M$3:$P$5,4,FALSE)</f>
        <v>0.99970000000000003</v>
      </c>
      <c r="BF1054" s="30">
        <f>VLOOKUP(Inventory[[#This Row],[Qlty]],Lookups!$M$8:$P$22,4,FALSE)</f>
        <v>0.99199999999999999</v>
      </c>
      <c r="BG1054" s="30">
        <f>VLOOKUP(Inventory[[#This Row],[Cnd]],Lookups!$R$8:$U$17,4,FALSE)</f>
        <v>0.99680000000000002</v>
      </c>
      <c r="BH1054" s="30">
        <f>VLOOKUP(Inventory[[#This Row],[LivArea Range]],Lookups!$R$25:$U$43,4,FALSE)</f>
        <v>0.99519999999999997</v>
      </c>
      <c r="BI1054" s="30">
        <f>VLOOKUP(Inventory[[#This Row],[Decade]],Lookups!$M$24:$P$40,4,FALSE)</f>
        <v>0.99560000000000004</v>
      </c>
      <c r="BJ1054" s="30">
        <f>Inventory[[#This Row],[Nbhd Adj]]*0.95</f>
        <v>0.94971499999999998</v>
      </c>
      <c r="BK1054" s="30">
        <f>AVERAGE(Inventory[[#This Row],[Nbhd Adj]],Inventory[[#This Row],[Quality Adj]],Inventory[[#This Row],[Condition Adj]],Inventory[[#This Row],[Living Area Adj]],Inventory[[#This Row],[Decade Adj]])*0.95</f>
        <v>0.94606699999999999</v>
      </c>
      <c r="BL1054" s="30">
        <f>ROUND((SUM(Inventory[[#This Row],[Mdl Qlty]:[Mdl Garage Area]])+Inventory[[#This Row],[Mdl Res Intercept]])*Inventory[[#This Row],[Res Adj ]],-2)</f>
        <v>250300</v>
      </c>
      <c r="BM1054" s="30">
        <f>ROUND(Inventory[[#This Row],[25Det]]*Inventory[[#This Row],[Det/Nbhd Adj]],-2)</f>
        <v>0</v>
      </c>
      <c r="BN1054" s="30">
        <f>Inventory[[#This Row],[Adjusted Res]]+Inventory[[#This Row],[Adj Det ]]</f>
        <v>250300</v>
      </c>
      <c r="BO1054" s="30">
        <f>ROUND((Inventory[[#This Row],[Mdl Land Intercept]]+Inventory[[#This Row],[Mdl LnAcres]])*Inventory[[#This Row],[Det/Nbhd Adj]],-2)</f>
        <v>63200</v>
      </c>
      <c r="BP1054" s="30">
        <f>Inventory[[#This Row],[Adjusted Impr Total]]+Inventory[[#This Row],[Adjusted Land Total]]</f>
        <v>313500</v>
      </c>
      <c r="BQ1054" s="30">
        <f>IFERROR((Inventory[[#This Row],[Adjusted Impr Total]]-Inventory[[#This Row],[24Bldg]])/Inventory[[#This Row],[24Bldg]],0)</f>
        <v>4.0112314480545532E-3</v>
      </c>
      <c r="BR1054" s="43">
        <f>(Inventory[[#This Row],[Adjusted Land Total]]-Inventory[[#This Row],[24Lnd]])/Inventory[[#This Row],[24Lnd]]</f>
        <v>0</v>
      </c>
      <c r="BS1054" s="43">
        <f>(Inventory[[#This Row],[Adjusted Total]]-Inventory[[#This Row],[24Final]])/Inventory[[#This Row],[24Final]]</f>
        <v>3.2000000000000002E-3</v>
      </c>
    </row>
    <row r="1055" spans="1:71">
      <c r="A1055" s="30">
        <v>2025</v>
      </c>
      <c r="B1055" s="31" t="s">
        <v>1570</v>
      </c>
      <c r="C1055" s="31">
        <f>LN(Inventory[[#This Row],[Acres]])</f>
        <v>-1.5606477482646683</v>
      </c>
      <c r="D1055" s="30">
        <v>0.21</v>
      </c>
      <c r="E1055" s="30">
        <v>9121</v>
      </c>
      <c r="F1055" s="31" t="s">
        <v>505</v>
      </c>
      <c r="G1055" s="31" t="s">
        <v>155</v>
      </c>
      <c r="H1055" s="31" t="s">
        <v>5</v>
      </c>
      <c r="I1055" s="31" t="s">
        <v>506</v>
      </c>
      <c r="J1055" s="31" t="s">
        <v>507</v>
      </c>
      <c r="K1055" s="31" t="s">
        <v>330</v>
      </c>
      <c r="L1055" s="31" t="s">
        <v>19</v>
      </c>
      <c r="M1055" s="31" t="s">
        <v>20</v>
      </c>
      <c r="N1055" s="31">
        <v>20</v>
      </c>
      <c r="O1055" s="31">
        <f>2024-Inventory[[#This Row],[YrBlt]]</f>
        <v>26</v>
      </c>
      <c r="P1055" s="31">
        <f>2024-Inventory[[#This Row],[EffYr]]</f>
        <v>26</v>
      </c>
      <c r="Q1055" s="30">
        <v>1998</v>
      </c>
      <c r="R1055" s="30">
        <v>1998</v>
      </c>
      <c r="S1055" s="30">
        <v>1650</v>
      </c>
      <c r="T1055" s="37"/>
      <c r="U1055" s="32"/>
      <c r="V1055" s="32"/>
      <c r="W1055" s="32"/>
      <c r="X1055" s="32">
        <f>Inventory[[#This Row],[Bsmt Area]]-Inventory[[#This Row],[FnBsmt]]</f>
        <v>0</v>
      </c>
      <c r="Y1055" s="32">
        <f>Inventory[[#This Row],[MainFn]]+Inventory[[#This Row],[UpprFn]]+Inventory[[#This Row],[AddFn]]+Inventory[[#This Row],[FnBsmt]]</f>
        <v>1650</v>
      </c>
      <c r="Z1055" s="32">
        <v>2000</v>
      </c>
      <c r="AA1055" s="31" t="s">
        <v>55</v>
      </c>
      <c r="AB1055" s="37"/>
      <c r="AC1055" s="30">
        <v>528</v>
      </c>
      <c r="AD1055" s="37"/>
      <c r="AE1055" s="32"/>
      <c r="AF1055" s="32"/>
      <c r="AG1055" s="32"/>
      <c r="AH1055" s="32"/>
      <c r="AI1055" s="30">
        <v>322624</v>
      </c>
      <c r="AJ1055" s="30">
        <v>287135</v>
      </c>
      <c r="AK1055" s="30">
        <v>0</v>
      </c>
      <c r="AL1055" s="30">
        <v>0</v>
      </c>
      <c r="AM1055" s="30">
        <v>64600</v>
      </c>
      <c r="AN1055" s="30">
        <v>298800</v>
      </c>
      <c r="AO1055" s="30">
        <v>363400</v>
      </c>
      <c r="AP1055" s="30">
        <f>Lookups!$B$58*0.6</f>
        <v>132535.48800000001</v>
      </c>
      <c r="AQ1055" s="30">
        <f>Lookups!$B$58*0.4</f>
        <v>88356.992000000013</v>
      </c>
      <c r="AR1055" s="30">
        <f>Lookups!$B$59*Inventory[[#This Row],[LnAcres]]</f>
        <v>-20482.442016152701</v>
      </c>
      <c r="AS1055" s="30">
        <f>VLOOKUP(Inventory[[#This Row],[Qlty]],Lookups!$A$66:$E$79,2,FALSE)</f>
        <v>37154.252388000001</v>
      </c>
      <c r="AT1055" s="30">
        <f>VLOOKUP(Inventory[[#This Row],[Cnd]],Lookups!$A$80:$E$88,2,FALSE)</f>
        <v>30300.329274</v>
      </c>
      <c r="AU1055" s="30">
        <f>Inventory[[#This Row],[EffAge]]*Lookups!$B$65</f>
        <v>-2827.2685999999999</v>
      </c>
      <c r="AV1055" s="30">
        <f>Inventory[[#This Row],[MainFn]]*Lookups!$B$90</f>
        <v>102977.12700000001</v>
      </c>
      <c r="AW1055" s="30">
        <f>Inventory[[#This Row],[UpprFn]]*Lookups!$B$91</f>
        <v>0</v>
      </c>
      <c r="AX1055" s="30">
        <f>Inventory[[#This Row],[Bsmt Area]]*Lookups!$B$95</f>
        <v>0</v>
      </c>
      <c r="AY1055" s="30">
        <f>Inventory[[#This Row],[AttGar]]*Lookups!$B$93</f>
        <v>18638.944368</v>
      </c>
      <c r="AZ1055" s="30">
        <f>ROUND(Inventory[[#This Row],[25Det]],-2)</f>
        <v>0</v>
      </c>
      <c r="BA1055" s="30">
        <f>ROUND(SUM(Inventory[[#This Row],[Mdl Qlty]:[Mdl Garage Area]])+Inventory[[#This Row],[Mdl Res Intercept]],-2)</f>
        <v>318800</v>
      </c>
      <c r="BB1055" s="30">
        <f>ROUND(Inventory[[#This Row],[Mdl Land Intercept]]+Inventory[[#This Row],[Mdl LnAcres]],-2)</f>
        <v>67900</v>
      </c>
      <c r="BC1055" s="30">
        <f>Inventory[[#This Row],[Unadj Res Value]]+Inventory[[#This Row],[Unadj Det Value]]+Inventory[[#This Row],[Unadj Land Value]]</f>
        <v>386700</v>
      </c>
      <c r="BD1055" s="30">
        <f>(Inventory[[#This Row],[Unadj Total Value]]-Inventory[[#This Row],[24Final]])/Inventory[[#This Row],[24Final]]</f>
        <v>6.4116675839295548E-2</v>
      </c>
      <c r="BE1055" s="30">
        <f>VLOOKUP(Inventory[[#This Row],[Nbhd]],Lookups!$M$3:$P$5,4,FALSE)</f>
        <v>0.99970000000000003</v>
      </c>
      <c r="BF1055" s="30">
        <f>VLOOKUP(Inventory[[#This Row],[Qlty]],Lookups!$M$8:$P$22,4,FALSE)</f>
        <v>0.99819999999999998</v>
      </c>
      <c r="BG1055" s="30">
        <f>VLOOKUP(Inventory[[#This Row],[Cnd]],Lookups!$R$8:$U$17,4,FALSE)</f>
        <v>0.997</v>
      </c>
      <c r="BH1055" s="30">
        <f>VLOOKUP(Inventory[[#This Row],[LivArea Range]],Lookups!$R$25:$U$43,4,FALSE)</f>
        <v>1.0007999999999999</v>
      </c>
      <c r="BI1055" s="30">
        <f>VLOOKUP(Inventory[[#This Row],[Decade]],Lookups!$M$24:$P$40,4,FALSE)</f>
        <v>0.99560000000000004</v>
      </c>
      <c r="BJ1055" s="30">
        <f>Inventory[[#This Row],[Nbhd Adj]]*0.95</f>
        <v>0.94971499999999998</v>
      </c>
      <c r="BK1055" s="30">
        <f>AVERAGE(Inventory[[#This Row],[Nbhd Adj]],Inventory[[#This Row],[Quality Adj]],Inventory[[#This Row],[Condition Adj]],Inventory[[#This Row],[Living Area Adj]],Inventory[[#This Row],[Decade Adj]])*0.95</f>
        <v>0.94834699999999994</v>
      </c>
      <c r="BL1055" s="30">
        <f>ROUND((SUM(Inventory[[#This Row],[Mdl Qlty]:[Mdl Garage Area]])+Inventory[[#This Row],[Mdl Res Intercept]])*Inventory[[#This Row],[Res Adj ]],-2)</f>
        <v>302300</v>
      </c>
      <c r="BM1055" s="30">
        <f>ROUND(Inventory[[#This Row],[25Det]]*Inventory[[#This Row],[Det/Nbhd Adj]],-2)</f>
        <v>0</v>
      </c>
      <c r="BN1055" s="30">
        <f>Inventory[[#This Row],[Adjusted Res]]+Inventory[[#This Row],[Adj Det ]]</f>
        <v>302300</v>
      </c>
      <c r="BO1055" s="30">
        <f>ROUND((Inventory[[#This Row],[Mdl Land Intercept]]+Inventory[[#This Row],[Mdl LnAcres]])*Inventory[[#This Row],[Det/Nbhd Adj]],-2)</f>
        <v>64500</v>
      </c>
      <c r="BP1055" s="30">
        <f>Inventory[[#This Row],[Adjusted Impr Total]]+Inventory[[#This Row],[Adjusted Land Total]]</f>
        <v>366800</v>
      </c>
      <c r="BQ1055" s="30">
        <f>IFERROR((Inventory[[#This Row],[Adjusted Impr Total]]-Inventory[[#This Row],[24Bldg]])/Inventory[[#This Row],[24Bldg]],0)</f>
        <v>1.1713520749665328E-2</v>
      </c>
      <c r="BR1055" s="43">
        <f>(Inventory[[#This Row],[Adjusted Land Total]]-Inventory[[#This Row],[24Lnd]])/Inventory[[#This Row],[24Lnd]]</f>
        <v>-1.5479876160990713E-3</v>
      </c>
      <c r="BS1055" s="43">
        <f>(Inventory[[#This Row],[Adjusted Total]]-Inventory[[#This Row],[24Final]])/Inventory[[#This Row],[24Final]]</f>
        <v>9.3560814529444133E-3</v>
      </c>
    </row>
    <row r="1056" spans="1:71">
      <c r="A1056" s="30">
        <v>2025</v>
      </c>
      <c r="B1056" s="31" t="s">
        <v>1571</v>
      </c>
      <c r="C1056" s="31">
        <f>LN(Inventory[[#This Row],[Acres]])</f>
        <v>-1.5606477482646683</v>
      </c>
      <c r="D1056" s="30">
        <v>0.21</v>
      </c>
      <c r="E1056" s="30">
        <v>9120</v>
      </c>
      <c r="F1056" s="31" t="s">
        <v>505</v>
      </c>
      <c r="G1056" s="31" t="s">
        <v>155</v>
      </c>
      <c r="H1056" s="31" t="s">
        <v>5</v>
      </c>
      <c r="I1056" s="31" t="s">
        <v>506</v>
      </c>
      <c r="J1056" s="31" t="s">
        <v>507</v>
      </c>
      <c r="K1056" s="31" t="s">
        <v>330</v>
      </c>
      <c r="L1056" s="31" t="s">
        <v>19</v>
      </c>
      <c r="M1056" s="31" t="s">
        <v>20</v>
      </c>
      <c r="N1056" s="31">
        <v>20</v>
      </c>
      <c r="O1056" s="31">
        <f>2024-Inventory[[#This Row],[YrBlt]]</f>
        <v>26</v>
      </c>
      <c r="P1056" s="31">
        <f>2024-Inventory[[#This Row],[EffYr]]</f>
        <v>26</v>
      </c>
      <c r="Q1056" s="30">
        <v>1998</v>
      </c>
      <c r="R1056" s="30">
        <v>1998</v>
      </c>
      <c r="S1056" s="30">
        <v>1650</v>
      </c>
      <c r="T1056" s="32"/>
      <c r="U1056" s="32"/>
      <c r="V1056" s="32"/>
      <c r="W1056" s="32"/>
      <c r="X1056" s="32">
        <f>Inventory[[#This Row],[Bsmt Area]]-Inventory[[#This Row],[FnBsmt]]</f>
        <v>0</v>
      </c>
      <c r="Y1056" s="32">
        <f>Inventory[[#This Row],[MainFn]]+Inventory[[#This Row],[UpprFn]]+Inventory[[#This Row],[AddFn]]+Inventory[[#This Row],[FnBsmt]]</f>
        <v>1650</v>
      </c>
      <c r="Z1056" s="32">
        <v>2000</v>
      </c>
      <c r="AA1056" s="31" t="s">
        <v>55</v>
      </c>
      <c r="AB1056" s="32"/>
      <c r="AC1056" s="30">
        <v>528</v>
      </c>
      <c r="AD1056" s="32"/>
      <c r="AE1056" s="32"/>
      <c r="AF1056" s="32"/>
      <c r="AG1056" s="32"/>
      <c r="AH1056" s="32"/>
      <c r="AI1056" s="30">
        <v>324101</v>
      </c>
      <c r="AJ1056" s="30">
        <v>288450</v>
      </c>
      <c r="AK1056" s="30">
        <v>0</v>
      </c>
      <c r="AL1056" s="30">
        <v>0</v>
      </c>
      <c r="AM1056" s="30">
        <v>64600</v>
      </c>
      <c r="AN1056" s="30">
        <v>294500</v>
      </c>
      <c r="AO1056" s="30">
        <v>359100</v>
      </c>
      <c r="AP1056" s="30">
        <f>Lookups!$B$58*0.6</f>
        <v>132535.48800000001</v>
      </c>
      <c r="AQ1056" s="30">
        <f>Lookups!$B$58*0.4</f>
        <v>88356.992000000013</v>
      </c>
      <c r="AR1056" s="30">
        <f>Lookups!$B$59*Inventory[[#This Row],[LnAcres]]</f>
        <v>-20482.442016152701</v>
      </c>
      <c r="AS1056" s="30">
        <f>VLOOKUP(Inventory[[#This Row],[Qlty]],Lookups!$A$66:$E$79,2,FALSE)</f>
        <v>37154.252388000001</v>
      </c>
      <c r="AT1056" s="30">
        <f>VLOOKUP(Inventory[[#This Row],[Cnd]],Lookups!$A$80:$E$88,2,FALSE)</f>
        <v>30300.329274</v>
      </c>
      <c r="AU1056" s="30">
        <f>Inventory[[#This Row],[EffAge]]*Lookups!$B$65</f>
        <v>-2827.2685999999999</v>
      </c>
      <c r="AV1056" s="30">
        <f>Inventory[[#This Row],[MainFn]]*Lookups!$B$90</f>
        <v>102977.12700000001</v>
      </c>
      <c r="AW1056" s="30">
        <f>Inventory[[#This Row],[UpprFn]]*Lookups!$B$91</f>
        <v>0</v>
      </c>
      <c r="AX1056" s="30">
        <f>Inventory[[#This Row],[Bsmt Area]]*Lookups!$B$95</f>
        <v>0</v>
      </c>
      <c r="AY1056" s="30">
        <f>Inventory[[#This Row],[AttGar]]*Lookups!$B$93</f>
        <v>18638.944368</v>
      </c>
      <c r="AZ1056" s="30">
        <f>ROUND(Inventory[[#This Row],[25Det]],-2)</f>
        <v>0</v>
      </c>
      <c r="BA1056" s="30">
        <f>ROUND(SUM(Inventory[[#This Row],[Mdl Qlty]:[Mdl Garage Area]])+Inventory[[#This Row],[Mdl Res Intercept]],-2)</f>
        <v>318800</v>
      </c>
      <c r="BB1056" s="30">
        <f>ROUND(Inventory[[#This Row],[Mdl Land Intercept]]+Inventory[[#This Row],[Mdl LnAcres]],-2)</f>
        <v>67900</v>
      </c>
      <c r="BC1056" s="30">
        <f>Inventory[[#This Row],[Unadj Res Value]]+Inventory[[#This Row],[Unadj Det Value]]+Inventory[[#This Row],[Unadj Land Value]]</f>
        <v>386700</v>
      </c>
      <c r="BD1056" s="30">
        <f>(Inventory[[#This Row],[Unadj Total Value]]-Inventory[[#This Row],[24Final]])/Inventory[[#This Row],[24Final]]</f>
        <v>7.685881370091896E-2</v>
      </c>
      <c r="BE1056" s="30">
        <f>VLOOKUP(Inventory[[#This Row],[Nbhd]],Lookups!$M$3:$P$5,4,FALSE)</f>
        <v>0.99970000000000003</v>
      </c>
      <c r="BF1056" s="30">
        <f>VLOOKUP(Inventory[[#This Row],[Qlty]],Lookups!$M$8:$P$22,4,FALSE)</f>
        <v>0.99819999999999998</v>
      </c>
      <c r="BG1056" s="30">
        <f>VLOOKUP(Inventory[[#This Row],[Cnd]],Lookups!$R$8:$U$17,4,FALSE)</f>
        <v>0.997</v>
      </c>
      <c r="BH1056" s="30">
        <f>VLOOKUP(Inventory[[#This Row],[LivArea Range]],Lookups!$R$25:$U$43,4,FALSE)</f>
        <v>1.0007999999999999</v>
      </c>
      <c r="BI1056" s="30">
        <f>VLOOKUP(Inventory[[#This Row],[Decade]],Lookups!$M$24:$P$40,4,FALSE)</f>
        <v>0.99560000000000004</v>
      </c>
      <c r="BJ1056" s="30">
        <f>Inventory[[#This Row],[Nbhd Adj]]*0.95</f>
        <v>0.94971499999999998</v>
      </c>
      <c r="BK1056" s="30">
        <f>AVERAGE(Inventory[[#This Row],[Nbhd Adj]],Inventory[[#This Row],[Quality Adj]],Inventory[[#This Row],[Condition Adj]],Inventory[[#This Row],[Living Area Adj]],Inventory[[#This Row],[Decade Adj]])*0.95</f>
        <v>0.94834699999999994</v>
      </c>
      <c r="BL1056" s="30">
        <f>ROUND((SUM(Inventory[[#This Row],[Mdl Qlty]:[Mdl Garage Area]])+Inventory[[#This Row],[Mdl Res Intercept]])*Inventory[[#This Row],[Res Adj ]],-2)</f>
        <v>302300</v>
      </c>
      <c r="BM1056" s="30">
        <f>ROUND(Inventory[[#This Row],[25Det]]*Inventory[[#This Row],[Det/Nbhd Adj]],-2)</f>
        <v>0</v>
      </c>
      <c r="BN1056" s="30">
        <f>Inventory[[#This Row],[Adjusted Res]]+Inventory[[#This Row],[Adj Det ]]</f>
        <v>302300</v>
      </c>
      <c r="BO1056" s="30">
        <f>ROUND((Inventory[[#This Row],[Mdl Land Intercept]]+Inventory[[#This Row],[Mdl LnAcres]])*Inventory[[#This Row],[Det/Nbhd Adj]],-2)</f>
        <v>64500</v>
      </c>
      <c r="BP1056" s="30">
        <f>Inventory[[#This Row],[Adjusted Impr Total]]+Inventory[[#This Row],[Adjusted Land Total]]</f>
        <v>366800</v>
      </c>
      <c r="BQ1056" s="30">
        <f>IFERROR((Inventory[[#This Row],[Adjusted Impr Total]]-Inventory[[#This Row],[24Bldg]])/Inventory[[#This Row],[24Bldg]],0)</f>
        <v>2.6485568760611207E-2</v>
      </c>
      <c r="BR1056" s="43">
        <f>(Inventory[[#This Row],[Adjusted Land Total]]-Inventory[[#This Row],[24Lnd]])/Inventory[[#This Row],[24Lnd]]</f>
        <v>-1.5479876160990713E-3</v>
      </c>
      <c r="BS1056" s="43">
        <f>(Inventory[[#This Row],[Adjusted Total]]-Inventory[[#This Row],[24Final]])/Inventory[[#This Row],[24Final]]</f>
        <v>2.1442495126705652E-2</v>
      </c>
    </row>
    <row r="1057" spans="1:71">
      <c r="A1057" s="30">
        <v>2025</v>
      </c>
      <c r="B1057" s="31" t="s">
        <v>1572</v>
      </c>
      <c r="C1057" s="31">
        <f>LN(Inventory[[#This Row],[Acres]])</f>
        <v>-0.4780358009429998</v>
      </c>
      <c r="D1057" s="30">
        <v>0.62</v>
      </c>
      <c r="E1057" s="37"/>
      <c r="F1057" s="31" t="s">
        <v>505</v>
      </c>
      <c r="G1057" s="31" t="s">
        <v>155</v>
      </c>
      <c r="H1057" s="31" t="s">
        <v>5</v>
      </c>
      <c r="I1057" s="31" t="s">
        <v>506</v>
      </c>
      <c r="J1057" s="31" t="s">
        <v>507</v>
      </c>
      <c r="K1057" s="31" t="s">
        <v>330</v>
      </c>
      <c r="L1057" s="31" t="s">
        <v>21</v>
      </c>
      <c r="M1057" s="31" t="s">
        <v>20</v>
      </c>
      <c r="N1057" s="31">
        <v>20</v>
      </c>
      <c r="O1057" s="31">
        <f>2024-Inventory[[#This Row],[YrBlt]]</f>
        <v>26</v>
      </c>
      <c r="P1057" s="31">
        <f>2024-Inventory[[#This Row],[EffYr]]</f>
        <v>26</v>
      </c>
      <c r="Q1057" s="30">
        <v>1998</v>
      </c>
      <c r="R1057" s="30">
        <v>1998</v>
      </c>
      <c r="S1057" s="30">
        <v>2434</v>
      </c>
      <c r="T1057" s="32"/>
      <c r="U1057" s="32"/>
      <c r="V1057" s="32"/>
      <c r="W1057" s="32"/>
      <c r="X1057" s="32">
        <f>Inventory[[#This Row],[Bsmt Area]]-Inventory[[#This Row],[FnBsmt]]</f>
        <v>0</v>
      </c>
      <c r="Y1057" s="32">
        <f>Inventory[[#This Row],[MainFn]]+Inventory[[#This Row],[UpprFn]]+Inventory[[#This Row],[AddFn]]+Inventory[[#This Row],[FnBsmt]]</f>
        <v>2434</v>
      </c>
      <c r="Z1057" s="32">
        <v>2500</v>
      </c>
      <c r="AA1057" s="31" t="s">
        <v>56</v>
      </c>
      <c r="AB1057" s="37"/>
      <c r="AC1057" s="30">
        <v>784</v>
      </c>
      <c r="AD1057" s="32"/>
      <c r="AE1057" s="32"/>
      <c r="AF1057" s="32"/>
      <c r="AG1057" s="32"/>
      <c r="AH1057" s="32"/>
      <c r="AI1057" s="30">
        <v>508353</v>
      </c>
      <c r="AJ1057" s="30">
        <v>452434</v>
      </c>
      <c r="AK1057" s="30">
        <v>0</v>
      </c>
      <c r="AL1057" s="30">
        <v>0</v>
      </c>
      <c r="AM1057" s="30">
        <v>79800</v>
      </c>
      <c r="AN1057" s="30">
        <v>354400</v>
      </c>
      <c r="AO1057" s="30">
        <v>434200</v>
      </c>
      <c r="AP1057" s="30">
        <f>Lookups!$B$58*0.6</f>
        <v>132535.48800000001</v>
      </c>
      <c r="AQ1057" s="30">
        <f>Lookups!$B$58*0.4</f>
        <v>88356.992000000013</v>
      </c>
      <c r="AR1057" s="30">
        <f>Lookups!$B$59*Inventory[[#This Row],[LnAcres]]</f>
        <v>-6273.8953010680316</v>
      </c>
      <c r="AS1057" s="30">
        <f>VLOOKUP(Inventory[[#This Row],[Qlty]],Lookups!$A$66:$E$79,2,FALSE)</f>
        <v>32917.849192000001</v>
      </c>
      <c r="AT1057" s="30">
        <f>VLOOKUP(Inventory[[#This Row],[Cnd]],Lookups!$A$80:$E$88,2,FALSE)</f>
        <v>30300.329274</v>
      </c>
      <c r="AU1057" s="30">
        <f>Inventory[[#This Row],[EffAge]]*Lookups!$B$65</f>
        <v>-2827.2685999999999</v>
      </c>
      <c r="AV1057" s="30">
        <f>Inventory[[#This Row],[MainFn]]*Lookups!$B$90</f>
        <v>151906.86492000002</v>
      </c>
      <c r="AW1057" s="30">
        <f>Inventory[[#This Row],[UpprFn]]*Lookups!$B$91</f>
        <v>0</v>
      </c>
      <c r="AX1057" s="30">
        <f>Inventory[[#This Row],[Bsmt Area]]*Lookups!$B$95</f>
        <v>0</v>
      </c>
      <c r="AY1057" s="30">
        <f>Inventory[[#This Row],[AttGar]]*Lookups!$B$93</f>
        <v>27676.008304000003</v>
      </c>
      <c r="AZ1057" s="30">
        <f>ROUND(Inventory[[#This Row],[25Det]],-2)</f>
        <v>0</v>
      </c>
      <c r="BA1057" s="30">
        <f>ROUND(SUM(Inventory[[#This Row],[Mdl Qlty]:[Mdl Garage Area]])+Inventory[[#This Row],[Mdl Res Intercept]],-2)</f>
        <v>372500</v>
      </c>
      <c r="BB1057" s="30">
        <f>ROUND(Inventory[[#This Row],[Mdl Land Intercept]]+Inventory[[#This Row],[Mdl LnAcres]],-2)</f>
        <v>82100</v>
      </c>
      <c r="BC1057" s="30">
        <f>Inventory[[#This Row],[Unadj Res Value]]+Inventory[[#This Row],[Unadj Det Value]]+Inventory[[#This Row],[Unadj Land Value]]</f>
        <v>454600</v>
      </c>
      <c r="BD1057" s="30">
        <f>(Inventory[[#This Row],[Unadj Total Value]]-Inventory[[#This Row],[24Final]])/Inventory[[#This Row],[24Final]]</f>
        <v>4.6982957162597878E-2</v>
      </c>
      <c r="BE1057" s="30">
        <f>VLOOKUP(Inventory[[#This Row],[Nbhd]],Lookups!$M$3:$P$5,4,FALSE)</f>
        <v>0.99970000000000003</v>
      </c>
      <c r="BF1057" s="30">
        <f>VLOOKUP(Inventory[[#This Row],[Qlty]],Lookups!$M$8:$P$22,4,FALSE)</f>
        <v>1.0019</v>
      </c>
      <c r="BG1057" s="30">
        <f>VLOOKUP(Inventory[[#This Row],[Cnd]],Lookups!$R$8:$U$17,4,FALSE)</f>
        <v>0.997</v>
      </c>
      <c r="BH1057" s="30">
        <f>VLOOKUP(Inventory[[#This Row],[LivArea Range]],Lookups!$R$25:$U$43,4,FALSE)</f>
        <v>1.0008999999999999</v>
      </c>
      <c r="BI1057" s="30">
        <f>VLOOKUP(Inventory[[#This Row],[Decade]],Lookups!$M$24:$P$40,4,FALSE)</f>
        <v>0.99560000000000004</v>
      </c>
      <c r="BJ1057" s="30">
        <f>Inventory[[#This Row],[Nbhd Adj]]*0.95</f>
        <v>0.94971499999999998</v>
      </c>
      <c r="BK1057" s="30">
        <f>AVERAGE(Inventory[[#This Row],[Nbhd Adj]],Inventory[[#This Row],[Quality Adj]],Inventory[[#This Row],[Condition Adj]],Inventory[[#This Row],[Living Area Adj]],Inventory[[#This Row],[Decade Adj]])*0.95</f>
        <v>0.94906899999999972</v>
      </c>
      <c r="BL1057" s="30">
        <f>ROUND((SUM(Inventory[[#This Row],[Mdl Qlty]:[Mdl Garage Area]])+Inventory[[#This Row],[Mdl Res Intercept]])*Inventory[[#This Row],[Res Adj ]],-2)</f>
        <v>353500</v>
      </c>
      <c r="BM1057" s="30">
        <f>ROUND(Inventory[[#This Row],[25Det]]*Inventory[[#This Row],[Det/Nbhd Adj]],-2)</f>
        <v>0</v>
      </c>
      <c r="BN1057" s="30">
        <f>Inventory[[#This Row],[Adjusted Res]]+Inventory[[#This Row],[Adj Det ]]</f>
        <v>353500</v>
      </c>
      <c r="BO1057" s="30">
        <f>ROUND((Inventory[[#This Row],[Mdl Land Intercept]]+Inventory[[#This Row],[Mdl LnAcres]])*Inventory[[#This Row],[Det/Nbhd Adj]],-2)</f>
        <v>78000</v>
      </c>
      <c r="BP1057" s="30">
        <f>Inventory[[#This Row],[Adjusted Impr Total]]+Inventory[[#This Row],[Adjusted Land Total]]</f>
        <v>431500</v>
      </c>
      <c r="BQ1057" s="30">
        <f>IFERROR((Inventory[[#This Row],[Adjusted Impr Total]]-Inventory[[#This Row],[24Bldg]])/Inventory[[#This Row],[24Bldg]],0)</f>
        <v>-2.5395033860045146E-3</v>
      </c>
      <c r="BR1057" s="43">
        <f>(Inventory[[#This Row],[Adjusted Land Total]]-Inventory[[#This Row],[24Lnd]])/Inventory[[#This Row],[24Lnd]]</f>
        <v>-2.2556390977443608E-2</v>
      </c>
      <c r="BS1057" s="43">
        <f>(Inventory[[#This Row],[Adjusted Total]]-Inventory[[#This Row],[24Final]])/Inventory[[#This Row],[24Final]]</f>
        <v>-6.2183325656379549E-3</v>
      </c>
    </row>
    <row r="1058" spans="1:71">
      <c r="A1058" s="30">
        <v>2025</v>
      </c>
      <c r="B1058" s="31" t="s">
        <v>1573</v>
      </c>
      <c r="C1058" s="31">
        <f>LN(Inventory[[#This Row],[Acres]])</f>
        <v>9.950330853168092E-3</v>
      </c>
      <c r="D1058" s="30">
        <v>1.01</v>
      </c>
      <c r="E1058" s="30">
        <v>43940</v>
      </c>
      <c r="F1058" s="31" t="s">
        <v>505</v>
      </c>
      <c r="G1058" s="31" t="s">
        <v>155</v>
      </c>
      <c r="H1058" s="31" t="s">
        <v>5</v>
      </c>
      <c r="I1058" s="31" t="s">
        <v>506</v>
      </c>
      <c r="J1058" s="31" t="s">
        <v>507</v>
      </c>
      <c r="K1058" s="31" t="s">
        <v>193</v>
      </c>
      <c r="L1058" s="31" t="s">
        <v>21</v>
      </c>
      <c r="M1058" s="31" t="s">
        <v>20</v>
      </c>
      <c r="N1058" s="31">
        <v>20</v>
      </c>
      <c r="O1058" s="31">
        <f>2024-Inventory[[#This Row],[YrBlt]]</f>
        <v>26</v>
      </c>
      <c r="P1058" s="31">
        <f>2024-Inventory[[#This Row],[EffYr]]</f>
        <v>26</v>
      </c>
      <c r="Q1058" s="30">
        <v>1998</v>
      </c>
      <c r="R1058" s="30">
        <v>1998</v>
      </c>
      <c r="S1058" s="30">
        <v>1628</v>
      </c>
      <c r="T1058" s="37"/>
      <c r="U1058" s="32"/>
      <c r="V1058" s="32"/>
      <c r="W1058" s="32"/>
      <c r="X1058" s="32">
        <f>Inventory[[#This Row],[Bsmt Area]]-Inventory[[#This Row],[FnBsmt]]</f>
        <v>0</v>
      </c>
      <c r="Y1058" s="32">
        <f>Inventory[[#This Row],[MainFn]]+Inventory[[#This Row],[UpprFn]]+Inventory[[#This Row],[AddFn]]+Inventory[[#This Row],[FnBsmt]]</f>
        <v>1628</v>
      </c>
      <c r="Z1058" s="32">
        <v>2000</v>
      </c>
      <c r="AA1058" s="31" t="s">
        <v>55</v>
      </c>
      <c r="AB1058" s="37"/>
      <c r="AC1058" s="30">
        <v>668</v>
      </c>
      <c r="AD1058" s="37"/>
      <c r="AE1058" s="32"/>
      <c r="AF1058" s="32"/>
      <c r="AG1058" s="32"/>
      <c r="AH1058" s="32"/>
      <c r="AI1058" s="30">
        <v>368208</v>
      </c>
      <c r="AJ1058" s="30">
        <v>327705</v>
      </c>
      <c r="AK1058" s="30">
        <v>0</v>
      </c>
      <c r="AL1058" s="30">
        <v>0</v>
      </c>
      <c r="AM1058" s="30">
        <v>86600</v>
      </c>
      <c r="AN1058" s="30">
        <v>295100</v>
      </c>
      <c r="AO1058" s="30">
        <v>381700</v>
      </c>
      <c r="AP1058" s="30">
        <f>Lookups!$B$58*0.6</f>
        <v>132535.48800000001</v>
      </c>
      <c r="AQ1058" s="30">
        <f>Lookups!$B$58*0.4</f>
        <v>88356.992000000013</v>
      </c>
      <c r="AR1058" s="30">
        <f>Lookups!$B$59*Inventory[[#This Row],[LnAcres]]</f>
        <v>130.5913361731819</v>
      </c>
      <c r="AS1058" s="30">
        <f>VLOOKUP(Inventory[[#This Row],[Qlty]],Lookups!$A$66:$E$79,2,FALSE)</f>
        <v>32917.849192000001</v>
      </c>
      <c r="AT1058" s="30">
        <f>VLOOKUP(Inventory[[#This Row],[Cnd]],Lookups!$A$80:$E$88,2,FALSE)</f>
        <v>30300.329274</v>
      </c>
      <c r="AU1058" s="30">
        <f>Inventory[[#This Row],[EffAge]]*Lookups!$B$65</f>
        <v>-2827.2685999999999</v>
      </c>
      <c r="AV1058" s="30">
        <f>Inventory[[#This Row],[MainFn]]*Lookups!$B$90</f>
        <v>101604.09864000001</v>
      </c>
      <c r="AW1058" s="30">
        <f>Inventory[[#This Row],[UpprFn]]*Lookups!$B$91</f>
        <v>0</v>
      </c>
      <c r="AX1058" s="30">
        <f>Inventory[[#This Row],[Bsmt Area]]*Lookups!$B$95</f>
        <v>0</v>
      </c>
      <c r="AY1058" s="30">
        <f>Inventory[[#This Row],[AttGar]]*Lookups!$B$93</f>
        <v>23581.088708000003</v>
      </c>
      <c r="AZ1058" s="30">
        <f>ROUND(Inventory[[#This Row],[25Det]],-2)</f>
        <v>0</v>
      </c>
      <c r="BA1058" s="30">
        <f>ROUND(SUM(Inventory[[#This Row],[Mdl Qlty]:[Mdl Garage Area]])+Inventory[[#This Row],[Mdl Res Intercept]],-2)</f>
        <v>318100</v>
      </c>
      <c r="BB1058" s="30">
        <f>ROUND(Inventory[[#This Row],[Mdl Land Intercept]]+Inventory[[#This Row],[Mdl LnAcres]],-2)</f>
        <v>88500</v>
      </c>
      <c r="BC1058" s="30">
        <f>Inventory[[#This Row],[Unadj Res Value]]+Inventory[[#This Row],[Unadj Det Value]]+Inventory[[#This Row],[Unadj Land Value]]</f>
        <v>406600</v>
      </c>
      <c r="BD1058" s="30">
        <f>(Inventory[[#This Row],[Unadj Total Value]]-Inventory[[#This Row],[24Final]])/Inventory[[#This Row],[24Final]]</f>
        <v>6.523447733822374E-2</v>
      </c>
      <c r="BE1058" s="30">
        <f>VLOOKUP(Inventory[[#This Row],[Nbhd]],Lookups!$M$3:$P$5,4,FALSE)</f>
        <v>0.99970000000000003</v>
      </c>
      <c r="BF1058" s="30">
        <f>VLOOKUP(Inventory[[#This Row],[Qlty]],Lookups!$M$8:$P$22,4,FALSE)</f>
        <v>1.0019</v>
      </c>
      <c r="BG1058" s="30">
        <f>VLOOKUP(Inventory[[#This Row],[Cnd]],Lookups!$R$8:$U$17,4,FALSE)</f>
        <v>0.997</v>
      </c>
      <c r="BH1058" s="30">
        <f>VLOOKUP(Inventory[[#This Row],[LivArea Range]],Lookups!$R$25:$U$43,4,FALSE)</f>
        <v>1.0007999999999999</v>
      </c>
      <c r="BI1058" s="30">
        <f>VLOOKUP(Inventory[[#This Row],[Decade]],Lookups!$M$24:$P$40,4,FALSE)</f>
        <v>0.99560000000000004</v>
      </c>
      <c r="BJ1058" s="30">
        <f>Inventory[[#This Row],[Nbhd Adj]]*0.95</f>
        <v>0.94971499999999998</v>
      </c>
      <c r="BK1058" s="30">
        <f>AVERAGE(Inventory[[#This Row],[Nbhd Adj]],Inventory[[#This Row],[Quality Adj]],Inventory[[#This Row],[Condition Adj]],Inventory[[#This Row],[Living Area Adj]],Inventory[[#This Row],[Decade Adj]])*0.95</f>
        <v>0.94904999999999984</v>
      </c>
      <c r="BL1058" s="30">
        <f>ROUND((SUM(Inventory[[#This Row],[Mdl Qlty]:[Mdl Garage Area]])+Inventory[[#This Row],[Mdl Res Intercept]])*Inventory[[#This Row],[Res Adj ]],-2)</f>
        <v>301900</v>
      </c>
      <c r="BM1058" s="30">
        <f>ROUND(Inventory[[#This Row],[25Det]]*Inventory[[#This Row],[Det/Nbhd Adj]],-2)</f>
        <v>0</v>
      </c>
      <c r="BN1058" s="30">
        <f>Inventory[[#This Row],[Adjusted Res]]+Inventory[[#This Row],[Adj Det ]]</f>
        <v>301900</v>
      </c>
      <c r="BO1058" s="30">
        <f>ROUND((Inventory[[#This Row],[Mdl Land Intercept]]+Inventory[[#This Row],[Mdl LnAcres]])*Inventory[[#This Row],[Det/Nbhd Adj]],-2)</f>
        <v>84000</v>
      </c>
      <c r="BP1058" s="30">
        <f>Inventory[[#This Row],[Adjusted Impr Total]]+Inventory[[#This Row],[Adjusted Land Total]]</f>
        <v>385900</v>
      </c>
      <c r="BQ1058" s="30">
        <f>IFERROR((Inventory[[#This Row],[Adjusted Impr Total]]-Inventory[[#This Row],[24Bldg]])/Inventory[[#This Row],[24Bldg]],0)</f>
        <v>2.304303625889529E-2</v>
      </c>
      <c r="BR1058" s="43">
        <f>(Inventory[[#This Row],[Adjusted Land Total]]-Inventory[[#This Row],[24Lnd]])/Inventory[[#This Row],[24Lnd]]</f>
        <v>-3.0023094688221709E-2</v>
      </c>
      <c r="BS1058" s="43">
        <f>(Inventory[[#This Row],[Adjusted Total]]-Inventory[[#This Row],[24Final]])/Inventory[[#This Row],[24Final]]</f>
        <v>1.1003405816085931E-2</v>
      </c>
    </row>
    <row r="1059" spans="1:71">
      <c r="A1059" s="30">
        <v>2025</v>
      </c>
      <c r="B1059" s="31" t="s">
        <v>1574</v>
      </c>
      <c r="C1059" s="31">
        <f>LN(Inventory[[#This Row],[Acres]])</f>
        <v>0.19885085874516517</v>
      </c>
      <c r="D1059" s="30">
        <v>1.22</v>
      </c>
      <c r="E1059" s="30">
        <v>53293</v>
      </c>
      <c r="F1059" s="31" t="s">
        <v>505</v>
      </c>
      <c r="G1059" s="31" t="s">
        <v>155</v>
      </c>
      <c r="H1059" s="31" t="s">
        <v>5</v>
      </c>
      <c r="I1059" s="31" t="s">
        <v>506</v>
      </c>
      <c r="J1059" s="31" t="s">
        <v>773</v>
      </c>
      <c r="K1059" s="31" t="s">
        <v>330</v>
      </c>
      <c r="L1059" s="31" t="s">
        <v>21</v>
      </c>
      <c r="M1059" s="31" t="s">
        <v>20</v>
      </c>
      <c r="N1059" s="31">
        <v>20</v>
      </c>
      <c r="O1059" s="31">
        <f>2024-Inventory[[#This Row],[YrBlt]]</f>
        <v>26</v>
      </c>
      <c r="P1059" s="31">
        <f>2024-Inventory[[#This Row],[EffYr]]</f>
        <v>26</v>
      </c>
      <c r="Q1059" s="30">
        <v>1998</v>
      </c>
      <c r="R1059" s="30">
        <v>1998</v>
      </c>
      <c r="S1059" s="30">
        <v>2423</v>
      </c>
      <c r="T1059" s="37"/>
      <c r="U1059" s="32"/>
      <c r="V1059" s="32"/>
      <c r="W1059" s="32"/>
      <c r="X1059" s="32">
        <f>Inventory[[#This Row],[Bsmt Area]]-Inventory[[#This Row],[FnBsmt]]</f>
        <v>0</v>
      </c>
      <c r="Y1059" s="32">
        <f>Inventory[[#This Row],[MainFn]]+Inventory[[#This Row],[UpprFn]]+Inventory[[#This Row],[AddFn]]+Inventory[[#This Row],[FnBsmt]]</f>
        <v>2423</v>
      </c>
      <c r="Z1059" s="32">
        <v>2500</v>
      </c>
      <c r="AA1059" s="31" t="s">
        <v>56</v>
      </c>
      <c r="AB1059" s="38">
        <v>1</v>
      </c>
      <c r="AC1059" s="30">
        <v>702</v>
      </c>
      <c r="AD1059" s="37"/>
      <c r="AE1059" s="32"/>
      <c r="AF1059" s="32"/>
      <c r="AG1059" s="32"/>
      <c r="AH1059" s="32"/>
      <c r="AI1059" s="30">
        <v>516739</v>
      </c>
      <c r="AJ1059" s="30">
        <v>459898</v>
      </c>
      <c r="AK1059" s="30">
        <v>32367</v>
      </c>
      <c r="AL1059" s="30">
        <v>0</v>
      </c>
      <c r="AM1059" s="30">
        <v>89300</v>
      </c>
      <c r="AN1059" s="30">
        <v>368900</v>
      </c>
      <c r="AO1059" s="30">
        <v>458200</v>
      </c>
      <c r="AP1059" s="30">
        <f>Lookups!$B$58*0.6</f>
        <v>132535.48800000001</v>
      </c>
      <c r="AQ1059" s="30">
        <f>Lookups!$B$58*0.4</f>
        <v>88356.992000000013</v>
      </c>
      <c r="AR1059" s="30">
        <f>Lookups!$B$59*Inventory[[#This Row],[LnAcres]]</f>
        <v>2609.7825012972048</v>
      </c>
      <c r="AS1059" s="30">
        <f>VLOOKUP(Inventory[[#This Row],[Qlty]],Lookups!$A$66:$E$79,2,FALSE)</f>
        <v>32917.849192000001</v>
      </c>
      <c r="AT1059" s="30">
        <f>VLOOKUP(Inventory[[#This Row],[Cnd]],Lookups!$A$80:$E$88,2,FALSE)</f>
        <v>30300.329274</v>
      </c>
      <c r="AU1059" s="30">
        <f>Inventory[[#This Row],[EffAge]]*Lookups!$B$65</f>
        <v>-2827.2685999999999</v>
      </c>
      <c r="AV1059" s="30">
        <f>Inventory[[#This Row],[MainFn]]*Lookups!$B$90</f>
        <v>151220.35073999999</v>
      </c>
      <c r="AW1059" s="30">
        <f>Inventory[[#This Row],[UpprFn]]*Lookups!$B$91</f>
        <v>0</v>
      </c>
      <c r="AX1059" s="30">
        <f>Inventory[[#This Row],[Bsmt Area]]*Lookups!$B$95</f>
        <v>0</v>
      </c>
      <c r="AY1059" s="30">
        <f>Inventory[[#This Row],[AttGar]]*Lookups!$B$93</f>
        <v>24781.323762</v>
      </c>
      <c r="AZ1059" s="30">
        <f>ROUND(Inventory[[#This Row],[25Det]],-2)</f>
        <v>32400</v>
      </c>
      <c r="BA1059" s="30">
        <f>ROUND(SUM(Inventory[[#This Row],[Mdl Qlty]:[Mdl Garage Area]])+Inventory[[#This Row],[Mdl Res Intercept]],-2)</f>
        <v>368900</v>
      </c>
      <c r="BB1059" s="30">
        <f>ROUND(Inventory[[#This Row],[Mdl Land Intercept]]+Inventory[[#This Row],[Mdl LnAcres]],-2)</f>
        <v>91000</v>
      </c>
      <c r="BC1059" s="30">
        <f>Inventory[[#This Row],[Unadj Res Value]]+Inventory[[#This Row],[Unadj Det Value]]+Inventory[[#This Row],[Unadj Land Value]]</f>
        <v>492300</v>
      </c>
      <c r="BD1059" s="30">
        <f>(Inventory[[#This Row],[Unadj Total Value]]-Inventory[[#This Row],[24Final]])/Inventory[[#This Row],[24Final]]</f>
        <v>7.4421649934526407E-2</v>
      </c>
      <c r="BE1059" s="30">
        <f>VLOOKUP(Inventory[[#This Row],[Nbhd]],Lookups!$M$3:$P$5,4,FALSE)</f>
        <v>0.99970000000000003</v>
      </c>
      <c r="BF1059" s="30">
        <f>VLOOKUP(Inventory[[#This Row],[Qlty]],Lookups!$M$8:$P$22,4,FALSE)</f>
        <v>1.0019</v>
      </c>
      <c r="BG1059" s="30">
        <f>VLOOKUP(Inventory[[#This Row],[Cnd]],Lookups!$R$8:$U$17,4,FALSE)</f>
        <v>0.997</v>
      </c>
      <c r="BH1059" s="30">
        <f>VLOOKUP(Inventory[[#This Row],[LivArea Range]],Lookups!$R$25:$U$43,4,FALSE)</f>
        <v>1.0008999999999999</v>
      </c>
      <c r="BI1059" s="30">
        <f>VLOOKUP(Inventory[[#This Row],[Decade]],Lookups!$M$24:$P$40,4,FALSE)</f>
        <v>0.99560000000000004</v>
      </c>
      <c r="BJ1059" s="30">
        <f>Inventory[[#This Row],[Nbhd Adj]]*0.95</f>
        <v>0.94971499999999998</v>
      </c>
      <c r="BK1059" s="30">
        <f>AVERAGE(Inventory[[#This Row],[Nbhd Adj]],Inventory[[#This Row],[Quality Adj]],Inventory[[#This Row],[Condition Adj]],Inventory[[#This Row],[Living Area Adj]],Inventory[[#This Row],[Decade Adj]])*0.95</f>
        <v>0.94906899999999972</v>
      </c>
      <c r="BL1059" s="30">
        <f>ROUND((SUM(Inventory[[#This Row],[Mdl Qlty]:[Mdl Garage Area]])+Inventory[[#This Row],[Mdl Res Intercept]])*Inventory[[#This Row],[Res Adj ]],-2)</f>
        <v>350100</v>
      </c>
      <c r="BM1059" s="30">
        <f>ROUND(Inventory[[#This Row],[25Det]]*Inventory[[#This Row],[Det/Nbhd Adj]],-2)</f>
        <v>30700</v>
      </c>
      <c r="BN1059" s="30">
        <f>Inventory[[#This Row],[Adjusted Res]]+Inventory[[#This Row],[Adj Det ]]</f>
        <v>380800</v>
      </c>
      <c r="BO1059" s="30">
        <f>ROUND((Inventory[[#This Row],[Mdl Land Intercept]]+Inventory[[#This Row],[Mdl LnAcres]])*Inventory[[#This Row],[Det/Nbhd Adj]],-2)</f>
        <v>86400</v>
      </c>
      <c r="BP1059" s="30">
        <f>Inventory[[#This Row],[Adjusted Impr Total]]+Inventory[[#This Row],[Adjusted Land Total]]</f>
        <v>467200</v>
      </c>
      <c r="BQ1059" s="30">
        <f>IFERROR((Inventory[[#This Row],[Adjusted Impr Total]]-Inventory[[#This Row],[24Bldg]])/Inventory[[#This Row],[24Bldg]],0)</f>
        <v>3.2258064516129031E-2</v>
      </c>
      <c r="BR1059" s="43">
        <f>(Inventory[[#This Row],[Adjusted Land Total]]-Inventory[[#This Row],[24Lnd]])/Inventory[[#This Row],[24Lnd]]</f>
        <v>-3.2474804031354984E-2</v>
      </c>
      <c r="BS1059" s="43">
        <f>(Inventory[[#This Row],[Adjusted Total]]-Inventory[[#This Row],[24Final]])/Inventory[[#This Row],[24Final]]</f>
        <v>1.9642077695329552E-2</v>
      </c>
    </row>
    <row r="1060" spans="1:71">
      <c r="A1060" s="30">
        <v>2025</v>
      </c>
      <c r="B1060" s="31" t="s">
        <v>1575</v>
      </c>
      <c r="C1060" s="31">
        <f>LN(Inventory[[#This Row],[Acres]])</f>
        <v>0.67294447324242579</v>
      </c>
      <c r="D1060" s="30">
        <v>1.96</v>
      </c>
      <c r="E1060" s="30">
        <v>85174</v>
      </c>
      <c r="F1060" s="31" t="s">
        <v>505</v>
      </c>
      <c r="G1060" s="31" t="s">
        <v>155</v>
      </c>
      <c r="H1060" s="31" t="s">
        <v>5</v>
      </c>
      <c r="I1060" s="31" t="s">
        <v>506</v>
      </c>
      <c r="J1060" s="31" t="s">
        <v>507</v>
      </c>
      <c r="K1060" s="31" t="s">
        <v>330</v>
      </c>
      <c r="L1060" s="31" t="s">
        <v>21</v>
      </c>
      <c r="M1060" s="31" t="s">
        <v>20</v>
      </c>
      <c r="N1060" s="31">
        <v>20</v>
      </c>
      <c r="O1060" s="31">
        <f>2024-Inventory[[#This Row],[YrBlt]]</f>
        <v>26</v>
      </c>
      <c r="P1060" s="31">
        <f>2024-Inventory[[#This Row],[EffYr]]</f>
        <v>26</v>
      </c>
      <c r="Q1060" s="30">
        <v>1998</v>
      </c>
      <c r="R1060" s="30">
        <v>1998</v>
      </c>
      <c r="S1060" s="30">
        <v>1511</v>
      </c>
      <c r="T1060" s="32"/>
      <c r="U1060" s="38">
        <v>624</v>
      </c>
      <c r="V1060" s="32"/>
      <c r="W1060" s="38">
        <v>624</v>
      </c>
      <c r="X1060" s="38">
        <f>Inventory[[#This Row],[Bsmt Area]]-Inventory[[#This Row],[FnBsmt]]</f>
        <v>0</v>
      </c>
      <c r="Y1060" s="38">
        <f>Inventory[[#This Row],[MainFn]]+Inventory[[#This Row],[UpprFn]]+Inventory[[#This Row],[AddFn]]+Inventory[[#This Row],[FnBsmt]]</f>
        <v>2135</v>
      </c>
      <c r="Z1060" s="32">
        <v>2500</v>
      </c>
      <c r="AA1060" s="31" t="s">
        <v>56</v>
      </c>
      <c r="AB1060" s="37"/>
      <c r="AC1060" s="30">
        <v>806</v>
      </c>
      <c r="AD1060" s="32"/>
      <c r="AE1060" s="32"/>
      <c r="AF1060" s="32"/>
      <c r="AG1060" s="32"/>
      <c r="AH1060" s="32"/>
      <c r="AI1060" s="30">
        <v>453627</v>
      </c>
      <c r="AJ1060" s="30">
        <v>403728</v>
      </c>
      <c r="AK1060" s="30">
        <v>67757</v>
      </c>
      <c r="AL1060" s="30">
        <v>0</v>
      </c>
      <c r="AM1060" s="30">
        <v>95900</v>
      </c>
      <c r="AN1060" s="30">
        <v>379800</v>
      </c>
      <c r="AO1060" s="30">
        <v>475700</v>
      </c>
      <c r="AP1060" s="30">
        <f>Lookups!$B$58*0.6</f>
        <v>132535.48800000001</v>
      </c>
      <c r="AQ1060" s="30">
        <f>Lookups!$B$58*0.4</f>
        <v>88356.992000000013</v>
      </c>
      <c r="AR1060" s="30">
        <f>Lookups!$B$59*Inventory[[#This Row],[LnAcres]]</f>
        <v>8831.9392820095072</v>
      </c>
      <c r="AS1060" s="30">
        <f>VLOOKUP(Inventory[[#This Row],[Qlty]],Lookups!$A$66:$E$79,2,FALSE)</f>
        <v>32917.849192000001</v>
      </c>
      <c r="AT1060" s="30">
        <f>VLOOKUP(Inventory[[#This Row],[Cnd]],Lookups!$A$80:$E$88,2,FALSE)</f>
        <v>30300.329274</v>
      </c>
      <c r="AU1060" s="30">
        <f>Inventory[[#This Row],[EffAge]]*Lookups!$B$65</f>
        <v>-2827.2685999999999</v>
      </c>
      <c r="AV1060" s="30">
        <f>Inventory[[#This Row],[MainFn]]*Lookups!$B$90</f>
        <v>94302.084180000005</v>
      </c>
      <c r="AW1060" s="30">
        <f>Inventory[[#This Row],[UpprFn]]*Lookups!$B$91</f>
        <v>0</v>
      </c>
      <c r="AX1060" s="30">
        <f>Inventory[[#This Row],[Bsmt Area]]*Lookups!$B$95</f>
        <v>39053.973504000001</v>
      </c>
      <c r="AY1060" s="30">
        <f>Inventory[[#This Row],[AttGar]]*Lookups!$B$93</f>
        <v>28452.630986</v>
      </c>
      <c r="AZ1060" s="30">
        <f>ROUND(Inventory[[#This Row],[25Det]],-2)</f>
        <v>67800</v>
      </c>
      <c r="BA1060" s="30">
        <f>ROUND(SUM(Inventory[[#This Row],[Mdl Qlty]:[Mdl Garage Area]])+Inventory[[#This Row],[Mdl Res Intercept]],-2)</f>
        <v>354700</v>
      </c>
      <c r="BB1060" s="30">
        <f>ROUND(Inventory[[#This Row],[Mdl Land Intercept]]+Inventory[[#This Row],[Mdl LnAcres]],-2)</f>
        <v>97200</v>
      </c>
      <c r="BC1060" s="30">
        <f>Inventory[[#This Row],[Unadj Res Value]]+Inventory[[#This Row],[Unadj Det Value]]+Inventory[[#This Row],[Unadj Land Value]]</f>
        <v>519700</v>
      </c>
      <c r="BD1060" s="30">
        <f>(Inventory[[#This Row],[Unadj Total Value]]-Inventory[[#This Row],[24Final]])/Inventory[[#This Row],[24Final]]</f>
        <v>9.2495270128232082E-2</v>
      </c>
      <c r="BE1060" s="30">
        <f>VLOOKUP(Inventory[[#This Row],[Nbhd]],Lookups!$M$3:$P$5,4,FALSE)</f>
        <v>0.99970000000000003</v>
      </c>
      <c r="BF1060" s="30">
        <f>VLOOKUP(Inventory[[#This Row],[Qlty]],Lookups!$M$8:$P$22,4,FALSE)</f>
        <v>1.0019</v>
      </c>
      <c r="BG1060" s="30">
        <f>VLOOKUP(Inventory[[#This Row],[Cnd]],Lookups!$R$8:$U$17,4,FALSE)</f>
        <v>0.997</v>
      </c>
      <c r="BH1060" s="30">
        <f>VLOOKUP(Inventory[[#This Row],[LivArea Range]],Lookups!$R$25:$U$43,4,FALSE)</f>
        <v>1.0008999999999999</v>
      </c>
      <c r="BI1060" s="30">
        <f>VLOOKUP(Inventory[[#This Row],[Decade]],Lookups!$M$24:$P$40,4,FALSE)</f>
        <v>0.99560000000000004</v>
      </c>
      <c r="BJ1060" s="30">
        <f>Inventory[[#This Row],[Nbhd Adj]]*0.95</f>
        <v>0.94971499999999998</v>
      </c>
      <c r="BK1060" s="30">
        <f>AVERAGE(Inventory[[#This Row],[Nbhd Adj]],Inventory[[#This Row],[Quality Adj]],Inventory[[#This Row],[Condition Adj]],Inventory[[#This Row],[Living Area Adj]],Inventory[[#This Row],[Decade Adj]])*0.95</f>
        <v>0.94906899999999972</v>
      </c>
      <c r="BL1060" s="30">
        <f>ROUND((SUM(Inventory[[#This Row],[Mdl Qlty]:[Mdl Garage Area]])+Inventory[[#This Row],[Mdl Res Intercept]])*Inventory[[#This Row],[Res Adj ]],-2)</f>
        <v>336700</v>
      </c>
      <c r="BM1060" s="30">
        <f>ROUND(Inventory[[#This Row],[25Det]]*Inventory[[#This Row],[Det/Nbhd Adj]],-2)</f>
        <v>64300</v>
      </c>
      <c r="BN1060" s="30">
        <f>Inventory[[#This Row],[Adjusted Res]]+Inventory[[#This Row],[Adj Det ]]</f>
        <v>401000</v>
      </c>
      <c r="BO1060" s="30">
        <f>ROUND((Inventory[[#This Row],[Mdl Land Intercept]]+Inventory[[#This Row],[Mdl LnAcres]])*Inventory[[#This Row],[Det/Nbhd Adj]],-2)</f>
        <v>92300</v>
      </c>
      <c r="BP1060" s="30">
        <f>Inventory[[#This Row],[Adjusted Impr Total]]+Inventory[[#This Row],[Adjusted Land Total]]</f>
        <v>493300</v>
      </c>
      <c r="BQ1060" s="30">
        <f>IFERROR((Inventory[[#This Row],[Adjusted Impr Total]]-Inventory[[#This Row],[24Bldg]])/Inventory[[#This Row],[24Bldg]],0)</f>
        <v>5.5818852027382834E-2</v>
      </c>
      <c r="BR1060" s="43">
        <f>(Inventory[[#This Row],[Adjusted Land Total]]-Inventory[[#This Row],[24Lnd]])/Inventory[[#This Row],[24Lnd]]</f>
        <v>-3.7539103232533892E-2</v>
      </c>
      <c r="BS1060" s="43">
        <f>(Inventory[[#This Row],[Adjusted Total]]-Inventory[[#This Row],[24Final]])/Inventory[[#This Row],[24Final]]</f>
        <v>3.6998108051292833E-2</v>
      </c>
    </row>
    <row r="1061" spans="1:71">
      <c r="A1061" s="30">
        <v>2025</v>
      </c>
      <c r="B1061" s="31" t="s">
        <v>1576</v>
      </c>
      <c r="C1061" s="31">
        <f>LN(Inventory[[#This Row],[Acres]])</f>
        <v>-2.0402208285265546</v>
      </c>
      <c r="D1061" s="30">
        <v>0.13</v>
      </c>
      <c r="E1061" s="30">
        <v>5490</v>
      </c>
      <c r="F1061" s="31" t="s">
        <v>505</v>
      </c>
      <c r="G1061" s="31" t="s">
        <v>155</v>
      </c>
      <c r="H1061" s="31" t="s">
        <v>5</v>
      </c>
      <c r="I1061" s="31" t="s">
        <v>506</v>
      </c>
      <c r="J1061" s="31" t="s">
        <v>507</v>
      </c>
      <c r="K1061" s="31" t="s">
        <v>193</v>
      </c>
      <c r="L1061" s="31" t="s">
        <v>15</v>
      </c>
      <c r="M1061" s="31" t="s">
        <v>20</v>
      </c>
      <c r="N1061" s="31">
        <v>20</v>
      </c>
      <c r="O1061" s="31">
        <f>2024-Inventory[[#This Row],[YrBlt]]</f>
        <v>27</v>
      </c>
      <c r="P1061" s="31">
        <f>2024-Inventory[[#This Row],[EffYr]]</f>
        <v>27</v>
      </c>
      <c r="Q1061" s="30">
        <v>1997</v>
      </c>
      <c r="R1061" s="30">
        <v>1997</v>
      </c>
      <c r="S1061" s="30">
        <v>925</v>
      </c>
      <c r="T1061" s="32"/>
      <c r="U1061" s="32"/>
      <c r="V1061" s="32"/>
      <c r="W1061" s="32"/>
      <c r="X1061" s="32">
        <f>Inventory[[#This Row],[Bsmt Area]]-Inventory[[#This Row],[FnBsmt]]</f>
        <v>0</v>
      </c>
      <c r="Y1061" s="32">
        <f>Inventory[[#This Row],[MainFn]]+Inventory[[#This Row],[UpprFn]]+Inventory[[#This Row],[AddFn]]+Inventory[[#This Row],[FnBsmt]]</f>
        <v>925</v>
      </c>
      <c r="Z1061" s="32">
        <v>1000</v>
      </c>
      <c r="AA1061" s="31" t="s">
        <v>56</v>
      </c>
      <c r="AB1061" s="32"/>
      <c r="AC1061" s="37"/>
      <c r="AD1061" s="32"/>
      <c r="AE1061" s="32"/>
      <c r="AF1061" s="32"/>
      <c r="AG1061" s="32"/>
      <c r="AH1061" s="32"/>
      <c r="AI1061" s="30">
        <v>144271</v>
      </c>
      <c r="AJ1061" s="30">
        <v>126958</v>
      </c>
      <c r="AK1061" s="30">
        <v>6246</v>
      </c>
      <c r="AL1061" s="30">
        <v>0</v>
      </c>
      <c r="AM1061" s="30">
        <v>57900</v>
      </c>
      <c r="AN1061" s="30">
        <v>211400</v>
      </c>
      <c r="AO1061" s="30">
        <v>269300</v>
      </c>
      <c r="AP1061" s="30">
        <f>Lookups!$B$58*0.6</f>
        <v>132535.48800000001</v>
      </c>
      <c r="AQ1061" s="30">
        <f>Lookups!$B$58*0.4</f>
        <v>88356.992000000013</v>
      </c>
      <c r="AR1061" s="30">
        <f>Lookups!$B$59*Inventory[[#This Row],[LnAcres]]</f>
        <v>-26776.513064468461</v>
      </c>
      <c r="AS1061" s="30">
        <f>VLOOKUP(Inventory[[#This Row],[Qlty]],Lookups!$A$66:$E$79,2,FALSE)</f>
        <v>-1240.8083630000001</v>
      </c>
      <c r="AT1061" s="30">
        <f>VLOOKUP(Inventory[[#This Row],[Cnd]],Lookups!$A$80:$E$88,2,FALSE)</f>
        <v>30300.329274</v>
      </c>
      <c r="AU1061" s="30">
        <f>Inventory[[#This Row],[EffAge]]*Lookups!$B$65</f>
        <v>-2936.0097000000001</v>
      </c>
      <c r="AV1061" s="30">
        <f>Inventory[[#This Row],[MainFn]]*Lookups!$B$90</f>
        <v>57729.601500000004</v>
      </c>
      <c r="AW1061" s="30">
        <f>Inventory[[#This Row],[UpprFn]]*Lookups!$B$91</f>
        <v>0</v>
      </c>
      <c r="AX1061" s="30">
        <f>Inventory[[#This Row],[Bsmt Area]]*Lookups!$B$95</f>
        <v>0</v>
      </c>
      <c r="AY1061" s="30">
        <f>Inventory[[#This Row],[AttGar]]*Lookups!$B$93</f>
        <v>0</v>
      </c>
      <c r="AZ1061" s="30">
        <f>ROUND(Inventory[[#This Row],[25Det]],-2)</f>
        <v>6200</v>
      </c>
      <c r="BA1061" s="30">
        <f>ROUND(SUM(Inventory[[#This Row],[Mdl Qlty]:[Mdl Garage Area]])+Inventory[[#This Row],[Mdl Res Intercept]],-2)</f>
        <v>216400</v>
      </c>
      <c r="BB1061" s="30">
        <f>ROUND(Inventory[[#This Row],[Mdl Land Intercept]]+Inventory[[#This Row],[Mdl LnAcres]],-2)</f>
        <v>61600</v>
      </c>
      <c r="BC1061" s="30">
        <f>Inventory[[#This Row],[Unadj Res Value]]+Inventory[[#This Row],[Unadj Det Value]]+Inventory[[#This Row],[Unadj Land Value]]</f>
        <v>284200</v>
      </c>
      <c r="BD1061" s="30">
        <f>(Inventory[[#This Row],[Unadj Total Value]]-Inventory[[#This Row],[24Final]])/Inventory[[#This Row],[24Final]]</f>
        <v>5.5328629780913477E-2</v>
      </c>
      <c r="BE1061" s="30">
        <f>VLOOKUP(Inventory[[#This Row],[Nbhd]],Lookups!$M$3:$P$5,4,FALSE)</f>
        <v>0.99970000000000003</v>
      </c>
      <c r="BF1061" s="30">
        <f>VLOOKUP(Inventory[[#This Row],[Qlty]],Lookups!$M$8:$P$22,4,FALSE)</f>
        <v>1.0022</v>
      </c>
      <c r="BG1061" s="30">
        <f>VLOOKUP(Inventory[[#This Row],[Cnd]],Lookups!$R$8:$U$17,4,FALSE)</f>
        <v>0.997</v>
      </c>
      <c r="BH1061" s="30">
        <f>VLOOKUP(Inventory[[#This Row],[LivArea Range]],Lookups!$R$25:$U$43,4,FALSE)</f>
        <v>1</v>
      </c>
      <c r="BI1061" s="30">
        <f>VLOOKUP(Inventory[[#This Row],[Decade]],Lookups!$M$24:$P$40,4,FALSE)</f>
        <v>0.99560000000000004</v>
      </c>
      <c r="BJ1061" s="30">
        <f>Inventory[[#This Row],[Nbhd Adj]]*0.95</f>
        <v>0.94971499999999998</v>
      </c>
      <c r="BK1061" s="30">
        <f>AVERAGE(Inventory[[#This Row],[Nbhd Adj]],Inventory[[#This Row],[Quality Adj]],Inventory[[#This Row],[Condition Adj]],Inventory[[#This Row],[Living Area Adj]],Inventory[[#This Row],[Decade Adj]])*0.95</f>
        <v>0.9489550000000001</v>
      </c>
      <c r="BL1061" s="30">
        <f>ROUND((SUM(Inventory[[#This Row],[Mdl Qlty]:[Mdl Garage Area]])+Inventory[[#This Row],[Mdl Res Intercept]])*Inventory[[#This Row],[Res Adj ]],-2)</f>
        <v>205300</v>
      </c>
      <c r="BM1061" s="30">
        <f>ROUND(Inventory[[#This Row],[25Det]]*Inventory[[#This Row],[Det/Nbhd Adj]],-2)</f>
        <v>5900</v>
      </c>
      <c r="BN1061" s="30">
        <f>Inventory[[#This Row],[Adjusted Res]]+Inventory[[#This Row],[Adj Det ]]</f>
        <v>211200</v>
      </c>
      <c r="BO1061" s="30">
        <f>ROUND((Inventory[[#This Row],[Mdl Land Intercept]]+Inventory[[#This Row],[Mdl LnAcres]])*Inventory[[#This Row],[Det/Nbhd Adj]],-2)</f>
        <v>58500</v>
      </c>
      <c r="BP1061" s="30">
        <f>Inventory[[#This Row],[Adjusted Impr Total]]+Inventory[[#This Row],[Adjusted Land Total]]</f>
        <v>269700</v>
      </c>
      <c r="BQ1061" s="30">
        <f>IFERROR((Inventory[[#This Row],[Adjusted Impr Total]]-Inventory[[#This Row],[24Bldg]])/Inventory[[#This Row],[24Bldg]],0)</f>
        <v>-9.4607379375591296E-4</v>
      </c>
      <c r="BR1061" s="43">
        <f>(Inventory[[#This Row],[Adjusted Land Total]]-Inventory[[#This Row],[24Lnd]])/Inventory[[#This Row],[24Lnd]]</f>
        <v>1.0362694300518135E-2</v>
      </c>
      <c r="BS1061" s="43">
        <f>(Inventory[[#This Row],[Adjusted Total]]-Inventory[[#This Row],[24Final]])/Inventory[[#This Row],[24Final]]</f>
        <v>1.4853323431117712E-3</v>
      </c>
    </row>
    <row r="1062" spans="1:71">
      <c r="A1062" s="30">
        <v>2025</v>
      </c>
      <c r="B1062" s="31" t="s">
        <v>1577</v>
      </c>
      <c r="C1062" s="31">
        <f>LN(Inventory[[#This Row],[Acres]])</f>
        <v>-1.8325814637483102</v>
      </c>
      <c r="D1062" s="30">
        <v>0.16</v>
      </c>
      <c r="E1062" s="30">
        <v>7123</v>
      </c>
      <c r="F1062" s="31" t="s">
        <v>505</v>
      </c>
      <c r="G1062" s="31" t="s">
        <v>155</v>
      </c>
      <c r="H1062" s="31" t="s">
        <v>5</v>
      </c>
      <c r="I1062" s="31" t="s">
        <v>506</v>
      </c>
      <c r="J1062" s="31" t="s">
        <v>507</v>
      </c>
      <c r="K1062" s="31" t="s">
        <v>193</v>
      </c>
      <c r="L1062" s="31" t="s">
        <v>15</v>
      </c>
      <c r="M1062" s="31" t="s">
        <v>18</v>
      </c>
      <c r="N1062" s="31">
        <v>20</v>
      </c>
      <c r="O1062" s="31">
        <f>2024-Inventory[[#This Row],[YrBlt]]</f>
        <v>27</v>
      </c>
      <c r="P1062" s="31">
        <f>2024-Inventory[[#This Row],[EffYr]]</f>
        <v>27</v>
      </c>
      <c r="Q1062" s="30">
        <v>1997</v>
      </c>
      <c r="R1062" s="30">
        <v>1997</v>
      </c>
      <c r="S1062" s="30">
        <v>962</v>
      </c>
      <c r="T1062" s="32"/>
      <c r="U1062" s="32"/>
      <c r="V1062" s="32"/>
      <c r="W1062" s="32"/>
      <c r="X1062" s="32">
        <f>Inventory[[#This Row],[Bsmt Area]]-Inventory[[#This Row],[FnBsmt]]</f>
        <v>0</v>
      </c>
      <c r="Y1062" s="32">
        <f>Inventory[[#This Row],[MainFn]]+Inventory[[#This Row],[UpprFn]]+Inventory[[#This Row],[AddFn]]+Inventory[[#This Row],[FnBsmt]]</f>
        <v>962</v>
      </c>
      <c r="Z1062" s="32">
        <v>1000</v>
      </c>
      <c r="AA1062" s="31" t="s">
        <v>56</v>
      </c>
      <c r="AB1062" s="37"/>
      <c r="AC1062" s="37"/>
      <c r="AD1062" s="32"/>
      <c r="AE1062" s="32"/>
      <c r="AF1062" s="32"/>
      <c r="AG1062" s="32"/>
      <c r="AH1062" s="32"/>
      <c r="AI1062" s="30">
        <v>148705</v>
      </c>
      <c r="AJ1062" s="30">
        <v>129373</v>
      </c>
      <c r="AK1062" s="30">
        <v>0</v>
      </c>
      <c r="AL1062" s="30">
        <v>0</v>
      </c>
      <c r="AM1062" s="30">
        <v>60800</v>
      </c>
      <c r="AN1062" s="30">
        <v>196600</v>
      </c>
      <c r="AO1062" s="30">
        <v>257400</v>
      </c>
      <c r="AP1062" s="30">
        <f>Lookups!$B$58*0.6</f>
        <v>132535.48800000001</v>
      </c>
      <c r="AQ1062" s="30">
        <f>Lookups!$B$58*0.4</f>
        <v>88356.992000000013</v>
      </c>
      <c r="AR1062" s="30">
        <f>Lookups!$B$59*Inventory[[#This Row],[LnAcres]]</f>
        <v>-24051.387388882686</v>
      </c>
      <c r="AS1062" s="30">
        <f>VLOOKUP(Inventory[[#This Row],[Qlty]],Lookups!$A$66:$E$79,2,FALSE)</f>
        <v>-1240.8083630000001</v>
      </c>
      <c r="AT1062" s="30">
        <f>VLOOKUP(Inventory[[#This Row],[Cnd]],Lookups!$A$80:$E$88,2,FALSE)</f>
        <v>17761.121909000001</v>
      </c>
      <c r="AU1062" s="30">
        <f>Inventory[[#This Row],[EffAge]]*Lookups!$B$65</f>
        <v>-2936.0097000000001</v>
      </c>
      <c r="AV1062" s="30">
        <f>Inventory[[#This Row],[MainFn]]*Lookups!$B$90</f>
        <v>60038.785560000004</v>
      </c>
      <c r="AW1062" s="30">
        <f>Inventory[[#This Row],[UpprFn]]*Lookups!$B$91</f>
        <v>0</v>
      </c>
      <c r="AX1062" s="30">
        <f>Inventory[[#This Row],[Bsmt Area]]*Lookups!$B$95</f>
        <v>0</v>
      </c>
      <c r="AY1062" s="30">
        <f>Inventory[[#This Row],[AttGar]]*Lookups!$B$93</f>
        <v>0</v>
      </c>
      <c r="AZ1062" s="30">
        <f>ROUND(Inventory[[#This Row],[25Det]],-2)</f>
        <v>0</v>
      </c>
      <c r="BA1062" s="30">
        <f>ROUND(SUM(Inventory[[#This Row],[Mdl Qlty]:[Mdl Garage Area]])+Inventory[[#This Row],[Mdl Res Intercept]],-2)</f>
        <v>206200</v>
      </c>
      <c r="BB1062" s="30">
        <f>ROUND(Inventory[[#This Row],[Mdl Land Intercept]]+Inventory[[#This Row],[Mdl LnAcres]],-2)</f>
        <v>64300</v>
      </c>
      <c r="BC1062" s="30">
        <f>Inventory[[#This Row],[Unadj Res Value]]+Inventory[[#This Row],[Unadj Det Value]]+Inventory[[#This Row],[Unadj Land Value]]</f>
        <v>270500</v>
      </c>
      <c r="BD1062" s="30">
        <f>(Inventory[[#This Row],[Unadj Total Value]]-Inventory[[#This Row],[24Final]])/Inventory[[#This Row],[24Final]]</f>
        <v>5.0893550893550896E-2</v>
      </c>
      <c r="BE1062" s="30">
        <f>VLOOKUP(Inventory[[#This Row],[Nbhd]],Lookups!$M$3:$P$5,4,FALSE)</f>
        <v>0.99970000000000003</v>
      </c>
      <c r="BF1062" s="30">
        <f>VLOOKUP(Inventory[[#This Row],[Qlty]],Lookups!$M$8:$P$22,4,FALSE)</f>
        <v>1.0022</v>
      </c>
      <c r="BG1062" s="30">
        <f>VLOOKUP(Inventory[[#This Row],[Cnd]],Lookups!$R$8:$U$17,4,FALSE)</f>
        <v>0.99680000000000002</v>
      </c>
      <c r="BH1062" s="30">
        <f>VLOOKUP(Inventory[[#This Row],[LivArea Range]],Lookups!$R$25:$U$43,4,FALSE)</f>
        <v>1</v>
      </c>
      <c r="BI1062" s="30">
        <f>VLOOKUP(Inventory[[#This Row],[Decade]],Lookups!$M$24:$P$40,4,FALSE)</f>
        <v>0.99560000000000004</v>
      </c>
      <c r="BJ1062" s="30">
        <f>Inventory[[#This Row],[Nbhd Adj]]*0.95</f>
        <v>0.94971499999999998</v>
      </c>
      <c r="BK1062" s="30">
        <f>AVERAGE(Inventory[[#This Row],[Nbhd Adj]],Inventory[[#This Row],[Quality Adj]],Inventory[[#This Row],[Condition Adj]],Inventory[[#This Row],[Living Area Adj]],Inventory[[#This Row],[Decade Adj]])*0.95</f>
        <v>0.9489169999999999</v>
      </c>
      <c r="BL1062" s="30">
        <f>ROUND((SUM(Inventory[[#This Row],[Mdl Qlty]:[Mdl Garage Area]])+Inventory[[#This Row],[Mdl Res Intercept]])*Inventory[[#This Row],[Res Adj ]],-2)</f>
        <v>195600</v>
      </c>
      <c r="BM1062" s="30">
        <f>ROUND(Inventory[[#This Row],[25Det]]*Inventory[[#This Row],[Det/Nbhd Adj]],-2)</f>
        <v>0</v>
      </c>
      <c r="BN1062" s="30">
        <f>Inventory[[#This Row],[Adjusted Res]]+Inventory[[#This Row],[Adj Det ]]</f>
        <v>195600</v>
      </c>
      <c r="BO1062" s="30">
        <f>ROUND((Inventory[[#This Row],[Mdl Land Intercept]]+Inventory[[#This Row],[Mdl LnAcres]])*Inventory[[#This Row],[Det/Nbhd Adj]],-2)</f>
        <v>61100</v>
      </c>
      <c r="BP1062" s="30">
        <f>Inventory[[#This Row],[Adjusted Impr Total]]+Inventory[[#This Row],[Adjusted Land Total]]</f>
        <v>256700</v>
      </c>
      <c r="BQ1062" s="30">
        <f>IFERROR((Inventory[[#This Row],[Adjusted Impr Total]]-Inventory[[#This Row],[24Bldg]])/Inventory[[#This Row],[24Bldg]],0)</f>
        <v>-5.0864699898270603E-3</v>
      </c>
      <c r="BR1062" s="43">
        <f>(Inventory[[#This Row],[Adjusted Land Total]]-Inventory[[#This Row],[24Lnd]])/Inventory[[#This Row],[24Lnd]]</f>
        <v>4.9342105263157892E-3</v>
      </c>
      <c r="BS1062" s="43">
        <f>(Inventory[[#This Row],[Adjusted Total]]-Inventory[[#This Row],[24Final]])/Inventory[[#This Row],[24Final]]</f>
        <v>-2.7195027195027195E-3</v>
      </c>
    </row>
    <row r="1063" spans="1:71">
      <c r="A1063" s="30">
        <v>2025</v>
      </c>
      <c r="B1063" s="31" t="s">
        <v>1578</v>
      </c>
      <c r="C1063" s="31">
        <f>LN(Inventory[[#This Row],[Acres]])</f>
        <v>-1.8325814637483102</v>
      </c>
      <c r="D1063" s="30">
        <v>0.16</v>
      </c>
      <c r="E1063" s="30">
        <v>6798</v>
      </c>
      <c r="F1063" s="31" t="s">
        <v>505</v>
      </c>
      <c r="G1063" s="31" t="s">
        <v>155</v>
      </c>
      <c r="H1063" s="31" t="s">
        <v>5</v>
      </c>
      <c r="I1063" s="31" t="s">
        <v>506</v>
      </c>
      <c r="J1063" s="31" t="s">
        <v>507</v>
      </c>
      <c r="K1063" s="31" t="s">
        <v>193</v>
      </c>
      <c r="L1063" s="31" t="s">
        <v>15</v>
      </c>
      <c r="M1063" s="31" t="s">
        <v>22</v>
      </c>
      <c r="N1063" s="31">
        <v>20</v>
      </c>
      <c r="O1063" s="31">
        <f>2024-Inventory[[#This Row],[YrBlt]]</f>
        <v>27</v>
      </c>
      <c r="P1063" s="31">
        <f>2024-Inventory[[#This Row],[EffYr]]</f>
        <v>27</v>
      </c>
      <c r="Q1063" s="30">
        <v>1997</v>
      </c>
      <c r="R1063" s="30">
        <v>1997</v>
      </c>
      <c r="S1063" s="30">
        <v>1344</v>
      </c>
      <c r="T1063" s="32"/>
      <c r="U1063" s="32"/>
      <c r="V1063" s="32"/>
      <c r="W1063" s="32"/>
      <c r="X1063" s="32">
        <f>Inventory[[#This Row],[Bsmt Area]]-Inventory[[#This Row],[FnBsmt]]</f>
        <v>0</v>
      </c>
      <c r="Y1063" s="32">
        <f>Inventory[[#This Row],[MainFn]]+Inventory[[#This Row],[UpprFn]]+Inventory[[#This Row],[AddFn]]+Inventory[[#This Row],[FnBsmt]]</f>
        <v>1344</v>
      </c>
      <c r="Z1063" s="32">
        <v>1500</v>
      </c>
      <c r="AA1063" s="31" t="s">
        <v>56</v>
      </c>
      <c r="AB1063" s="32"/>
      <c r="AC1063" s="37"/>
      <c r="AD1063" s="32"/>
      <c r="AE1063" s="32"/>
      <c r="AF1063" s="32"/>
      <c r="AG1063" s="32"/>
      <c r="AH1063" s="32"/>
      <c r="AI1063" s="30">
        <v>202756</v>
      </c>
      <c r="AJ1063" s="30">
        <v>178425</v>
      </c>
      <c r="AK1063" s="30">
        <v>0</v>
      </c>
      <c r="AL1063" s="30">
        <v>0</v>
      </c>
      <c r="AM1063" s="30">
        <v>60800</v>
      </c>
      <c r="AN1063" s="30">
        <v>242500</v>
      </c>
      <c r="AO1063" s="30">
        <v>303300</v>
      </c>
      <c r="AP1063" s="30">
        <f>Lookups!$B$58*0.6</f>
        <v>132535.48800000001</v>
      </c>
      <c r="AQ1063" s="30">
        <f>Lookups!$B$58*0.4</f>
        <v>88356.992000000013</v>
      </c>
      <c r="AR1063" s="30">
        <f>Lookups!$B$59*Inventory[[#This Row],[LnAcres]]</f>
        <v>-24051.387388882686</v>
      </c>
      <c r="AS1063" s="30">
        <f>VLOOKUP(Inventory[[#This Row],[Qlty]],Lookups!$A$66:$E$79,2,FALSE)</f>
        <v>-1240.8083630000001</v>
      </c>
      <c r="AT1063" s="30">
        <f>VLOOKUP(Inventory[[#This Row],[Cnd]],Lookups!$A$80:$E$88,2,FALSE)</f>
        <v>50438.379078999998</v>
      </c>
      <c r="AU1063" s="30">
        <f>Inventory[[#This Row],[EffAge]]*Lookups!$B$65</f>
        <v>-2936.0097000000001</v>
      </c>
      <c r="AV1063" s="30">
        <f>Inventory[[#This Row],[MainFn]]*Lookups!$B$90</f>
        <v>83879.550719999999</v>
      </c>
      <c r="AW1063" s="30">
        <f>Inventory[[#This Row],[UpprFn]]*Lookups!$B$91</f>
        <v>0</v>
      </c>
      <c r="AX1063" s="30">
        <f>Inventory[[#This Row],[Bsmt Area]]*Lookups!$B$95</f>
        <v>0</v>
      </c>
      <c r="AY1063" s="30">
        <f>Inventory[[#This Row],[AttGar]]*Lookups!$B$93</f>
        <v>0</v>
      </c>
      <c r="AZ1063" s="30">
        <f>ROUND(Inventory[[#This Row],[25Det]],-2)</f>
        <v>0</v>
      </c>
      <c r="BA1063" s="30">
        <f>ROUND(SUM(Inventory[[#This Row],[Mdl Qlty]:[Mdl Garage Area]])+Inventory[[#This Row],[Mdl Res Intercept]],-2)</f>
        <v>262700</v>
      </c>
      <c r="BB1063" s="30">
        <f>ROUND(Inventory[[#This Row],[Mdl Land Intercept]]+Inventory[[#This Row],[Mdl LnAcres]],-2)</f>
        <v>64300</v>
      </c>
      <c r="BC1063" s="30">
        <f>Inventory[[#This Row],[Unadj Res Value]]+Inventory[[#This Row],[Unadj Det Value]]+Inventory[[#This Row],[Unadj Land Value]]</f>
        <v>327000</v>
      </c>
      <c r="BD1063" s="30">
        <f>(Inventory[[#This Row],[Unadj Total Value]]-Inventory[[#This Row],[24Final]])/Inventory[[#This Row],[24Final]]</f>
        <v>7.8140454995054398E-2</v>
      </c>
      <c r="BE1063" s="30">
        <f>VLOOKUP(Inventory[[#This Row],[Nbhd]],Lookups!$M$3:$P$5,4,FALSE)</f>
        <v>0.99970000000000003</v>
      </c>
      <c r="BF1063" s="30">
        <f>VLOOKUP(Inventory[[#This Row],[Qlty]],Lookups!$M$8:$P$22,4,FALSE)</f>
        <v>1.0022</v>
      </c>
      <c r="BG1063" s="30">
        <f>VLOOKUP(Inventory[[#This Row],[Cnd]],Lookups!$R$8:$U$17,4,FALSE)</f>
        <v>1.0007999999999999</v>
      </c>
      <c r="BH1063" s="30">
        <f>VLOOKUP(Inventory[[#This Row],[LivArea Range]],Lookups!$R$25:$U$43,4,FALSE)</f>
        <v>0.99519999999999997</v>
      </c>
      <c r="BI1063" s="30">
        <f>VLOOKUP(Inventory[[#This Row],[Decade]],Lookups!$M$24:$P$40,4,FALSE)</f>
        <v>0.99560000000000004</v>
      </c>
      <c r="BJ1063" s="30">
        <f>Inventory[[#This Row],[Nbhd Adj]]*0.95</f>
        <v>0.94971499999999998</v>
      </c>
      <c r="BK1063" s="30">
        <f>AVERAGE(Inventory[[#This Row],[Nbhd Adj]],Inventory[[#This Row],[Quality Adj]],Inventory[[#This Row],[Condition Adj]],Inventory[[#This Row],[Living Area Adj]],Inventory[[#This Row],[Decade Adj]])*0.95</f>
        <v>0.94876499999999997</v>
      </c>
      <c r="BL1063" s="30">
        <f>ROUND((SUM(Inventory[[#This Row],[Mdl Qlty]:[Mdl Garage Area]])+Inventory[[#This Row],[Mdl Res Intercept]])*Inventory[[#This Row],[Res Adj ]],-2)</f>
        <v>249200</v>
      </c>
      <c r="BM1063" s="30">
        <f>ROUND(Inventory[[#This Row],[25Det]]*Inventory[[#This Row],[Det/Nbhd Adj]],-2)</f>
        <v>0</v>
      </c>
      <c r="BN1063" s="30">
        <f>Inventory[[#This Row],[Adjusted Res]]+Inventory[[#This Row],[Adj Det ]]</f>
        <v>249200</v>
      </c>
      <c r="BO1063" s="30">
        <f>ROUND((Inventory[[#This Row],[Mdl Land Intercept]]+Inventory[[#This Row],[Mdl LnAcres]])*Inventory[[#This Row],[Det/Nbhd Adj]],-2)</f>
        <v>61100</v>
      </c>
      <c r="BP1063" s="30">
        <f>Inventory[[#This Row],[Adjusted Impr Total]]+Inventory[[#This Row],[Adjusted Land Total]]</f>
        <v>310300</v>
      </c>
      <c r="BQ1063" s="30">
        <f>IFERROR((Inventory[[#This Row],[Adjusted Impr Total]]-Inventory[[#This Row],[24Bldg]])/Inventory[[#This Row],[24Bldg]],0)</f>
        <v>2.7628865979381443E-2</v>
      </c>
      <c r="BR1063" s="43">
        <f>(Inventory[[#This Row],[Adjusted Land Total]]-Inventory[[#This Row],[24Lnd]])/Inventory[[#This Row],[24Lnd]]</f>
        <v>4.9342105263157892E-3</v>
      </c>
      <c r="BS1063" s="43">
        <f>(Inventory[[#This Row],[Adjusted Total]]-Inventory[[#This Row],[24Final]])/Inventory[[#This Row],[24Final]]</f>
        <v>2.3079459281239698E-2</v>
      </c>
    </row>
    <row r="1064" spans="1:71">
      <c r="A1064" s="30">
        <v>2025</v>
      </c>
      <c r="B1064" s="31" t="s">
        <v>1579</v>
      </c>
      <c r="C1064" s="31">
        <f>LN(Inventory[[#This Row],[Acres]])</f>
        <v>-1.7719568419318752</v>
      </c>
      <c r="D1064" s="30">
        <v>0.17</v>
      </c>
      <c r="E1064" s="30">
        <v>7507</v>
      </c>
      <c r="F1064" s="31" t="s">
        <v>505</v>
      </c>
      <c r="G1064" s="31" t="s">
        <v>155</v>
      </c>
      <c r="H1064" s="31" t="s">
        <v>5</v>
      </c>
      <c r="I1064" s="31" t="s">
        <v>506</v>
      </c>
      <c r="J1064" s="31" t="s">
        <v>507</v>
      </c>
      <c r="K1064" s="31" t="s">
        <v>193</v>
      </c>
      <c r="L1064" s="31" t="s">
        <v>15</v>
      </c>
      <c r="M1064" s="31" t="s">
        <v>20</v>
      </c>
      <c r="N1064" s="31">
        <v>20</v>
      </c>
      <c r="O1064" s="31">
        <f>2024-Inventory[[#This Row],[YrBlt]]</f>
        <v>27</v>
      </c>
      <c r="P1064" s="31">
        <f>2024-Inventory[[#This Row],[EffYr]]</f>
        <v>27</v>
      </c>
      <c r="Q1064" s="30">
        <v>1997</v>
      </c>
      <c r="R1064" s="30">
        <v>1997</v>
      </c>
      <c r="S1064" s="30">
        <v>1014</v>
      </c>
      <c r="T1064" s="32"/>
      <c r="U1064" s="32"/>
      <c r="V1064" s="32"/>
      <c r="W1064" s="32"/>
      <c r="X1064" s="32">
        <f>Inventory[[#This Row],[Bsmt Area]]-Inventory[[#This Row],[FnBsmt]]</f>
        <v>0</v>
      </c>
      <c r="Y1064" s="32">
        <f>Inventory[[#This Row],[MainFn]]+Inventory[[#This Row],[UpprFn]]+Inventory[[#This Row],[AddFn]]+Inventory[[#This Row],[FnBsmt]]</f>
        <v>1014</v>
      </c>
      <c r="Z1064" s="32">
        <v>1500</v>
      </c>
      <c r="AA1064" s="31" t="s">
        <v>56</v>
      </c>
      <c r="AB1064" s="32"/>
      <c r="AC1064" s="30">
        <v>336</v>
      </c>
      <c r="AD1064" s="32"/>
      <c r="AE1064" s="32"/>
      <c r="AF1064" s="32"/>
      <c r="AG1064" s="32"/>
      <c r="AH1064" s="32"/>
      <c r="AI1064" s="30">
        <v>161884</v>
      </c>
      <c r="AJ1064" s="30">
        <v>142458</v>
      </c>
      <c r="AK1064" s="30">
        <v>0</v>
      </c>
      <c r="AL1064" s="30">
        <v>0</v>
      </c>
      <c r="AM1064" s="30">
        <v>61700</v>
      </c>
      <c r="AN1064" s="30">
        <v>225000</v>
      </c>
      <c r="AO1064" s="30">
        <v>286700</v>
      </c>
      <c r="AP1064" s="30">
        <f>Lookups!$B$58*0.6</f>
        <v>132535.48800000001</v>
      </c>
      <c r="AQ1064" s="30">
        <f>Lookups!$B$58*0.4</f>
        <v>88356.992000000013</v>
      </c>
      <c r="AR1064" s="30">
        <f>Lookups!$B$59*Inventory[[#This Row],[LnAcres]]</f>
        <v>-23255.730391660189</v>
      </c>
      <c r="AS1064" s="30">
        <f>VLOOKUP(Inventory[[#This Row],[Qlty]],Lookups!$A$66:$E$79,2,FALSE)</f>
        <v>-1240.8083630000001</v>
      </c>
      <c r="AT1064" s="30">
        <f>VLOOKUP(Inventory[[#This Row],[Cnd]],Lookups!$A$80:$E$88,2,FALSE)</f>
        <v>30300.329274</v>
      </c>
      <c r="AU1064" s="30">
        <f>Inventory[[#This Row],[EffAge]]*Lookups!$B$65</f>
        <v>-2936.0097000000001</v>
      </c>
      <c r="AV1064" s="30">
        <f>Inventory[[#This Row],[MainFn]]*Lookups!$B$90</f>
        <v>63284.125320000006</v>
      </c>
      <c r="AW1064" s="30">
        <f>Inventory[[#This Row],[UpprFn]]*Lookups!$B$91</f>
        <v>0</v>
      </c>
      <c r="AX1064" s="30">
        <f>Inventory[[#This Row],[Bsmt Area]]*Lookups!$B$95</f>
        <v>0</v>
      </c>
      <c r="AY1064" s="30">
        <f>Inventory[[#This Row],[AttGar]]*Lookups!$B$93</f>
        <v>11861.146416000001</v>
      </c>
      <c r="AZ1064" s="30">
        <f>ROUND(Inventory[[#This Row],[25Det]],-2)</f>
        <v>0</v>
      </c>
      <c r="BA1064" s="30">
        <f>ROUND(SUM(Inventory[[#This Row],[Mdl Qlty]:[Mdl Garage Area]])+Inventory[[#This Row],[Mdl Res Intercept]],-2)</f>
        <v>233800</v>
      </c>
      <c r="BB1064" s="30">
        <f>ROUND(Inventory[[#This Row],[Mdl Land Intercept]]+Inventory[[#This Row],[Mdl LnAcres]],-2)</f>
        <v>65100</v>
      </c>
      <c r="BC1064" s="30">
        <f>Inventory[[#This Row],[Unadj Res Value]]+Inventory[[#This Row],[Unadj Det Value]]+Inventory[[#This Row],[Unadj Land Value]]</f>
        <v>298900</v>
      </c>
      <c r="BD1064" s="30">
        <f>(Inventory[[#This Row],[Unadj Total Value]]-Inventory[[#This Row],[24Final]])/Inventory[[#This Row],[24Final]]</f>
        <v>4.2553191489361701E-2</v>
      </c>
      <c r="BE1064" s="30">
        <f>VLOOKUP(Inventory[[#This Row],[Nbhd]],Lookups!$M$3:$P$5,4,FALSE)</f>
        <v>0.99970000000000003</v>
      </c>
      <c r="BF1064" s="30">
        <f>VLOOKUP(Inventory[[#This Row],[Qlty]],Lookups!$M$8:$P$22,4,FALSE)</f>
        <v>1.0022</v>
      </c>
      <c r="BG1064" s="30">
        <f>VLOOKUP(Inventory[[#This Row],[Cnd]],Lookups!$R$8:$U$17,4,FALSE)</f>
        <v>0.997</v>
      </c>
      <c r="BH1064" s="30">
        <f>VLOOKUP(Inventory[[#This Row],[LivArea Range]],Lookups!$R$25:$U$43,4,FALSE)</f>
        <v>0.99519999999999997</v>
      </c>
      <c r="BI1064" s="30">
        <f>VLOOKUP(Inventory[[#This Row],[Decade]],Lookups!$M$24:$P$40,4,FALSE)</f>
        <v>0.99560000000000004</v>
      </c>
      <c r="BJ1064" s="30">
        <f>Inventory[[#This Row],[Nbhd Adj]]*0.95</f>
        <v>0.94971499999999998</v>
      </c>
      <c r="BK1064" s="30">
        <f>AVERAGE(Inventory[[#This Row],[Nbhd Adj]],Inventory[[#This Row],[Quality Adj]],Inventory[[#This Row],[Condition Adj]],Inventory[[#This Row],[Living Area Adj]],Inventory[[#This Row],[Decade Adj]])*0.95</f>
        <v>0.94804299999999997</v>
      </c>
      <c r="BL1064" s="30">
        <f>ROUND((SUM(Inventory[[#This Row],[Mdl Qlty]:[Mdl Garage Area]])+Inventory[[#This Row],[Mdl Res Intercept]])*Inventory[[#This Row],[Res Adj ]],-2)</f>
        <v>221700</v>
      </c>
      <c r="BM1064" s="30">
        <f>ROUND(Inventory[[#This Row],[25Det]]*Inventory[[#This Row],[Det/Nbhd Adj]],-2)</f>
        <v>0</v>
      </c>
      <c r="BN1064" s="30">
        <f>Inventory[[#This Row],[Adjusted Res]]+Inventory[[#This Row],[Adj Det ]]</f>
        <v>221700</v>
      </c>
      <c r="BO1064" s="30">
        <f>ROUND((Inventory[[#This Row],[Mdl Land Intercept]]+Inventory[[#This Row],[Mdl LnAcres]])*Inventory[[#This Row],[Det/Nbhd Adj]],-2)</f>
        <v>61800</v>
      </c>
      <c r="BP1064" s="30">
        <f>Inventory[[#This Row],[Adjusted Impr Total]]+Inventory[[#This Row],[Adjusted Land Total]]</f>
        <v>283500</v>
      </c>
      <c r="BQ1064" s="30">
        <f>IFERROR((Inventory[[#This Row],[Adjusted Impr Total]]-Inventory[[#This Row],[24Bldg]])/Inventory[[#This Row],[24Bldg]],0)</f>
        <v>-1.4666666666666666E-2</v>
      </c>
      <c r="BR1064" s="43">
        <f>(Inventory[[#This Row],[Adjusted Land Total]]-Inventory[[#This Row],[24Lnd]])/Inventory[[#This Row],[24Lnd]]</f>
        <v>1.6207455429497568E-3</v>
      </c>
      <c r="BS1064" s="43">
        <f>(Inventory[[#This Row],[Adjusted Total]]-Inventory[[#This Row],[24Final]])/Inventory[[#This Row],[24Final]]</f>
        <v>-1.1161492849668643E-2</v>
      </c>
    </row>
    <row r="1065" spans="1:71">
      <c r="A1065" s="30">
        <v>2025</v>
      </c>
      <c r="B1065" s="31" t="s">
        <v>1580</v>
      </c>
      <c r="C1065" s="31">
        <f>LN(Inventory[[#This Row],[Acres]])</f>
        <v>-1.4696759700589417</v>
      </c>
      <c r="D1065" s="30">
        <v>0.23</v>
      </c>
      <c r="E1065" s="30">
        <v>9807</v>
      </c>
      <c r="F1065" s="31" t="s">
        <v>505</v>
      </c>
      <c r="G1065" s="31" t="s">
        <v>155</v>
      </c>
      <c r="H1065" s="31" t="s">
        <v>5</v>
      </c>
      <c r="I1065" s="31" t="s">
        <v>506</v>
      </c>
      <c r="J1065" s="31" t="s">
        <v>507</v>
      </c>
      <c r="K1065" s="31" t="s">
        <v>330</v>
      </c>
      <c r="L1065" s="31" t="s">
        <v>19</v>
      </c>
      <c r="M1065" s="31" t="s">
        <v>18</v>
      </c>
      <c r="N1065" s="31">
        <v>20</v>
      </c>
      <c r="O1065" s="31">
        <f>2024-Inventory[[#This Row],[YrBlt]]</f>
        <v>27</v>
      </c>
      <c r="P1065" s="31">
        <f>2024-Inventory[[#This Row],[EffYr]]</f>
        <v>27</v>
      </c>
      <c r="Q1065" s="30">
        <v>1997</v>
      </c>
      <c r="R1065" s="30">
        <v>1997</v>
      </c>
      <c r="S1065" s="30">
        <v>1776</v>
      </c>
      <c r="T1065" s="37"/>
      <c r="U1065" s="32"/>
      <c r="V1065" s="32"/>
      <c r="W1065" s="32"/>
      <c r="X1065" s="32">
        <f>Inventory[[#This Row],[Bsmt Area]]-Inventory[[#This Row],[FnBsmt]]</f>
        <v>0</v>
      </c>
      <c r="Y1065" s="32">
        <f>Inventory[[#This Row],[MainFn]]+Inventory[[#This Row],[UpprFn]]+Inventory[[#This Row],[AddFn]]+Inventory[[#This Row],[FnBsmt]]</f>
        <v>1776</v>
      </c>
      <c r="Z1065" s="32">
        <v>2000</v>
      </c>
      <c r="AA1065" s="31" t="s">
        <v>56</v>
      </c>
      <c r="AB1065" s="37"/>
      <c r="AC1065" s="30">
        <v>624</v>
      </c>
      <c r="AD1065" s="32"/>
      <c r="AE1065" s="32"/>
      <c r="AF1065" s="32"/>
      <c r="AG1065" s="32"/>
      <c r="AH1065" s="32"/>
      <c r="AI1065" s="30">
        <v>350789</v>
      </c>
      <c r="AJ1065" s="30">
        <v>308694</v>
      </c>
      <c r="AK1065" s="30">
        <v>2681</v>
      </c>
      <c r="AL1065" s="30">
        <v>0</v>
      </c>
      <c r="AM1065" s="30">
        <v>65900</v>
      </c>
      <c r="AN1065" s="30">
        <v>320100</v>
      </c>
      <c r="AO1065" s="30">
        <v>386000</v>
      </c>
      <c r="AP1065" s="30">
        <f>Lookups!$B$58*0.6</f>
        <v>132535.48800000001</v>
      </c>
      <c r="AQ1065" s="30">
        <f>Lookups!$B$58*0.4</f>
        <v>88356.992000000013</v>
      </c>
      <c r="AR1065" s="30">
        <f>Lookups!$B$59*Inventory[[#This Row],[LnAcres]]</f>
        <v>-19288.499197039939</v>
      </c>
      <c r="AS1065" s="30">
        <f>VLOOKUP(Inventory[[#This Row],[Qlty]],Lookups!$A$66:$E$79,2,FALSE)</f>
        <v>37154.252388000001</v>
      </c>
      <c r="AT1065" s="30">
        <f>VLOOKUP(Inventory[[#This Row],[Cnd]],Lookups!$A$80:$E$88,2,FALSE)</f>
        <v>17761.121909000001</v>
      </c>
      <c r="AU1065" s="30">
        <f>Inventory[[#This Row],[EffAge]]*Lookups!$B$65</f>
        <v>-2936.0097000000001</v>
      </c>
      <c r="AV1065" s="30">
        <f>Inventory[[#This Row],[MainFn]]*Lookups!$B$90</f>
        <v>110840.83488000001</v>
      </c>
      <c r="AW1065" s="30">
        <f>Inventory[[#This Row],[UpprFn]]*Lookups!$B$91</f>
        <v>0</v>
      </c>
      <c r="AX1065" s="30">
        <f>Inventory[[#This Row],[Bsmt Area]]*Lookups!$B$95</f>
        <v>0</v>
      </c>
      <c r="AY1065" s="30">
        <f>Inventory[[#This Row],[AttGar]]*Lookups!$B$93</f>
        <v>22027.843344000001</v>
      </c>
      <c r="AZ1065" s="30">
        <f>ROUND(Inventory[[#This Row],[25Det]],-2)</f>
        <v>2700</v>
      </c>
      <c r="BA1065" s="30">
        <f>ROUND(SUM(Inventory[[#This Row],[Mdl Qlty]:[Mdl Garage Area]])+Inventory[[#This Row],[Mdl Res Intercept]],-2)</f>
        <v>317400</v>
      </c>
      <c r="BB1065" s="30">
        <f>ROUND(Inventory[[#This Row],[Mdl Land Intercept]]+Inventory[[#This Row],[Mdl LnAcres]],-2)</f>
        <v>69100</v>
      </c>
      <c r="BC1065" s="30">
        <f>Inventory[[#This Row],[Unadj Res Value]]+Inventory[[#This Row],[Unadj Det Value]]+Inventory[[#This Row],[Unadj Land Value]]</f>
        <v>389200</v>
      </c>
      <c r="BD1065" s="30">
        <f>(Inventory[[#This Row],[Unadj Total Value]]-Inventory[[#This Row],[24Final]])/Inventory[[#This Row],[24Final]]</f>
        <v>8.2901554404145074E-3</v>
      </c>
      <c r="BE1065" s="30">
        <f>VLOOKUP(Inventory[[#This Row],[Nbhd]],Lookups!$M$3:$P$5,4,FALSE)</f>
        <v>0.99970000000000003</v>
      </c>
      <c r="BF1065" s="30">
        <f>VLOOKUP(Inventory[[#This Row],[Qlty]],Lookups!$M$8:$P$22,4,FALSE)</f>
        <v>0.99819999999999998</v>
      </c>
      <c r="BG1065" s="30">
        <f>VLOOKUP(Inventory[[#This Row],[Cnd]],Lookups!$R$8:$U$17,4,FALSE)</f>
        <v>0.99680000000000002</v>
      </c>
      <c r="BH1065" s="30">
        <f>VLOOKUP(Inventory[[#This Row],[LivArea Range]],Lookups!$R$25:$U$43,4,FALSE)</f>
        <v>1.0007999999999999</v>
      </c>
      <c r="BI1065" s="30">
        <f>VLOOKUP(Inventory[[#This Row],[Decade]],Lookups!$M$24:$P$40,4,FALSE)</f>
        <v>0.99560000000000004</v>
      </c>
      <c r="BJ1065" s="30">
        <f>Inventory[[#This Row],[Nbhd Adj]]*0.95</f>
        <v>0.94971499999999998</v>
      </c>
      <c r="BK1065" s="30">
        <f>AVERAGE(Inventory[[#This Row],[Nbhd Adj]],Inventory[[#This Row],[Quality Adj]],Inventory[[#This Row],[Condition Adj]],Inventory[[#This Row],[Living Area Adj]],Inventory[[#This Row],[Decade Adj]])*0.95</f>
        <v>0.94830899999999985</v>
      </c>
      <c r="BL1065" s="30">
        <f>ROUND((SUM(Inventory[[#This Row],[Mdl Qlty]:[Mdl Garage Area]])+Inventory[[#This Row],[Mdl Res Intercept]])*Inventory[[#This Row],[Res Adj ]],-2)</f>
        <v>301000</v>
      </c>
      <c r="BM1065" s="30">
        <f>ROUND(Inventory[[#This Row],[25Det]]*Inventory[[#This Row],[Det/Nbhd Adj]],-2)</f>
        <v>2500</v>
      </c>
      <c r="BN1065" s="30">
        <f>Inventory[[#This Row],[Adjusted Res]]+Inventory[[#This Row],[Adj Det ]]</f>
        <v>303500</v>
      </c>
      <c r="BO1065" s="30">
        <f>ROUND((Inventory[[#This Row],[Mdl Land Intercept]]+Inventory[[#This Row],[Mdl LnAcres]])*Inventory[[#This Row],[Det/Nbhd Adj]],-2)</f>
        <v>65600</v>
      </c>
      <c r="BP1065" s="30">
        <f>Inventory[[#This Row],[Adjusted Impr Total]]+Inventory[[#This Row],[Adjusted Land Total]]</f>
        <v>369100</v>
      </c>
      <c r="BQ1065" s="30">
        <f>IFERROR((Inventory[[#This Row],[Adjusted Impr Total]]-Inventory[[#This Row],[24Bldg]])/Inventory[[#This Row],[24Bldg]],0)</f>
        <v>-5.1858794126835361E-2</v>
      </c>
      <c r="BR1065" s="43">
        <f>(Inventory[[#This Row],[Adjusted Land Total]]-Inventory[[#This Row],[24Lnd]])/Inventory[[#This Row],[24Lnd]]</f>
        <v>-4.552352048558422E-3</v>
      </c>
      <c r="BS1065" s="43">
        <f>(Inventory[[#This Row],[Adjusted Total]]-Inventory[[#This Row],[24Final]])/Inventory[[#This Row],[24Final]]</f>
        <v>-4.3782383419689118E-2</v>
      </c>
    </row>
    <row r="1066" spans="1:71">
      <c r="A1066" s="30">
        <v>2025</v>
      </c>
      <c r="B1066" s="31" t="s">
        <v>1581</v>
      </c>
      <c r="C1066" s="31">
        <f>LN(Inventory[[#This Row],[Acres]])</f>
        <v>-1.2729656758128873</v>
      </c>
      <c r="D1066" s="30">
        <v>0.28000000000000003</v>
      </c>
      <c r="E1066" s="30">
        <v>12000</v>
      </c>
      <c r="F1066" s="31" t="s">
        <v>505</v>
      </c>
      <c r="G1066" s="31" t="s">
        <v>155</v>
      </c>
      <c r="H1066" s="31" t="s">
        <v>5</v>
      </c>
      <c r="I1066" s="31" t="s">
        <v>506</v>
      </c>
      <c r="J1066" s="31" t="s">
        <v>507</v>
      </c>
      <c r="K1066" s="31" t="s">
        <v>193</v>
      </c>
      <c r="L1066" s="31" t="s">
        <v>17</v>
      </c>
      <c r="M1066" s="31" t="s">
        <v>20</v>
      </c>
      <c r="N1066" s="31">
        <v>20</v>
      </c>
      <c r="O1066" s="31">
        <f>2024-Inventory[[#This Row],[YrBlt]]</f>
        <v>27</v>
      </c>
      <c r="P1066" s="31">
        <f>2024-Inventory[[#This Row],[EffYr]]</f>
        <v>27</v>
      </c>
      <c r="Q1066" s="30">
        <v>1997</v>
      </c>
      <c r="R1066" s="30">
        <v>1997</v>
      </c>
      <c r="S1066" s="30">
        <v>1408</v>
      </c>
      <c r="T1066" s="37"/>
      <c r="U1066" s="32"/>
      <c r="V1066" s="32"/>
      <c r="W1066" s="32"/>
      <c r="X1066" s="32">
        <f>Inventory[[#This Row],[Bsmt Area]]-Inventory[[#This Row],[FnBsmt]]</f>
        <v>0</v>
      </c>
      <c r="Y1066" s="32">
        <f>Inventory[[#This Row],[MainFn]]+Inventory[[#This Row],[UpprFn]]+Inventory[[#This Row],[AddFn]]+Inventory[[#This Row],[FnBsmt]]</f>
        <v>1408</v>
      </c>
      <c r="Z1066" s="32">
        <v>1500</v>
      </c>
      <c r="AA1066" s="31" t="s">
        <v>56</v>
      </c>
      <c r="AB1066" s="32"/>
      <c r="AC1066" s="37"/>
      <c r="AD1066" s="32"/>
      <c r="AE1066" s="32"/>
      <c r="AF1066" s="32"/>
      <c r="AG1066" s="32"/>
      <c r="AH1066" s="32"/>
      <c r="AI1066" s="30">
        <v>236694</v>
      </c>
      <c r="AJ1066" s="30">
        <v>208291</v>
      </c>
      <c r="AK1066" s="30">
        <v>3929</v>
      </c>
      <c r="AL1066" s="30">
        <v>0</v>
      </c>
      <c r="AM1066" s="30">
        <v>68700</v>
      </c>
      <c r="AN1066" s="30">
        <v>251900</v>
      </c>
      <c r="AO1066" s="30">
        <v>320600</v>
      </c>
      <c r="AP1066" s="30">
        <f>Lookups!$B$58*0.6</f>
        <v>132535.48800000001</v>
      </c>
      <c r="AQ1066" s="30">
        <f>Lookups!$B$58*0.4</f>
        <v>88356.992000000013</v>
      </c>
      <c r="AR1066" s="30">
        <f>Lookups!$B$59*Inventory[[#This Row],[LnAcres]]</f>
        <v>-16706.81015135027</v>
      </c>
      <c r="AS1066" s="30">
        <f>VLOOKUP(Inventory[[#This Row],[Qlty]],Lookups!$A$66:$E$79,2,FALSE)</f>
        <v>24371.765965999999</v>
      </c>
      <c r="AT1066" s="30">
        <f>VLOOKUP(Inventory[[#This Row],[Cnd]],Lookups!$A$80:$E$88,2,FALSE)</f>
        <v>30300.329274</v>
      </c>
      <c r="AU1066" s="30">
        <f>Inventory[[#This Row],[EffAge]]*Lookups!$B$65</f>
        <v>-2936.0097000000001</v>
      </c>
      <c r="AV1066" s="30">
        <f>Inventory[[#This Row],[MainFn]]*Lookups!$B$90</f>
        <v>87873.815040000001</v>
      </c>
      <c r="AW1066" s="30">
        <f>Inventory[[#This Row],[UpprFn]]*Lookups!$B$91</f>
        <v>0</v>
      </c>
      <c r="AX1066" s="30">
        <f>Inventory[[#This Row],[Bsmt Area]]*Lookups!$B$95</f>
        <v>0</v>
      </c>
      <c r="AY1066" s="30">
        <f>Inventory[[#This Row],[AttGar]]*Lookups!$B$93</f>
        <v>0</v>
      </c>
      <c r="AZ1066" s="30">
        <f>ROUND(Inventory[[#This Row],[25Det]],-2)</f>
        <v>3900</v>
      </c>
      <c r="BA1066" s="30">
        <f>ROUND(SUM(Inventory[[#This Row],[Mdl Qlty]:[Mdl Garage Area]])+Inventory[[#This Row],[Mdl Res Intercept]],-2)</f>
        <v>272100</v>
      </c>
      <c r="BB1066" s="30">
        <f>ROUND(Inventory[[#This Row],[Mdl Land Intercept]]+Inventory[[#This Row],[Mdl LnAcres]],-2)</f>
        <v>71700</v>
      </c>
      <c r="BC1066" s="30">
        <f>Inventory[[#This Row],[Unadj Res Value]]+Inventory[[#This Row],[Unadj Det Value]]+Inventory[[#This Row],[Unadj Land Value]]</f>
        <v>347700</v>
      </c>
      <c r="BD1066" s="30">
        <f>(Inventory[[#This Row],[Unadj Total Value]]-Inventory[[#This Row],[24Final]])/Inventory[[#This Row],[24Final]]</f>
        <v>8.4529008109794135E-2</v>
      </c>
      <c r="BE1066" s="30">
        <f>VLOOKUP(Inventory[[#This Row],[Nbhd]],Lookups!$M$3:$P$5,4,FALSE)</f>
        <v>0.99970000000000003</v>
      </c>
      <c r="BF1066" s="30">
        <f>VLOOKUP(Inventory[[#This Row],[Qlty]],Lookups!$M$8:$P$22,4,FALSE)</f>
        <v>0.99199999999999999</v>
      </c>
      <c r="BG1066" s="30">
        <f>VLOOKUP(Inventory[[#This Row],[Cnd]],Lookups!$R$8:$U$17,4,FALSE)</f>
        <v>0.997</v>
      </c>
      <c r="BH1066" s="30">
        <f>VLOOKUP(Inventory[[#This Row],[LivArea Range]],Lookups!$R$25:$U$43,4,FALSE)</f>
        <v>0.99519999999999997</v>
      </c>
      <c r="BI1066" s="30">
        <f>VLOOKUP(Inventory[[#This Row],[Decade]],Lookups!$M$24:$P$40,4,FALSE)</f>
        <v>0.99560000000000004</v>
      </c>
      <c r="BJ1066" s="30">
        <f>Inventory[[#This Row],[Nbhd Adj]]*0.95</f>
        <v>0.94971499999999998</v>
      </c>
      <c r="BK1066" s="30">
        <f>AVERAGE(Inventory[[#This Row],[Nbhd Adj]],Inventory[[#This Row],[Quality Adj]],Inventory[[#This Row],[Condition Adj]],Inventory[[#This Row],[Living Area Adj]],Inventory[[#This Row],[Decade Adj]])*0.95</f>
        <v>0.94610499999999997</v>
      </c>
      <c r="BL1066" s="30">
        <f>ROUND((SUM(Inventory[[#This Row],[Mdl Qlty]:[Mdl Garage Area]])+Inventory[[#This Row],[Mdl Res Intercept]])*Inventory[[#This Row],[Res Adj ]],-2)</f>
        <v>257500</v>
      </c>
      <c r="BM1066" s="30">
        <f>ROUND(Inventory[[#This Row],[25Det]]*Inventory[[#This Row],[Det/Nbhd Adj]],-2)</f>
        <v>3700</v>
      </c>
      <c r="BN1066" s="30">
        <f>Inventory[[#This Row],[Adjusted Res]]+Inventory[[#This Row],[Adj Det ]]</f>
        <v>261200</v>
      </c>
      <c r="BO1066" s="30">
        <f>ROUND((Inventory[[#This Row],[Mdl Land Intercept]]+Inventory[[#This Row],[Mdl LnAcres]])*Inventory[[#This Row],[Det/Nbhd Adj]],-2)</f>
        <v>68000</v>
      </c>
      <c r="BP1066" s="30">
        <f>Inventory[[#This Row],[Adjusted Impr Total]]+Inventory[[#This Row],[Adjusted Land Total]]</f>
        <v>329200</v>
      </c>
      <c r="BQ1066" s="30">
        <f>IFERROR((Inventory[[#This Row],[Adjusted Impr Total]]-Inventory[[#This Row],[24Bldg]])/Inventory[[#This Row],[24Bldg]],0)</f>
        <v>3.6919412465263993E-2</v>
      </c>
      <c r="BR1066" s="43">
        <f>(Inventory[[#This Row],[Adjusted Land Total]]-Inventory[[#This Row],[24Lnd]])/Inventory[[#This Row],[24Lnd]]</f>
        <v>-1.0189228529839884E-2</v>
      </c>
      <c r="BS1066" s="43">
        <f>(Inventory[[#This Row],[Adjusted Total]]-Inventory[[#This Row],[24Final]])/Inventory[[#This Row],[24Final]]</f>
        <v>2.6824703680598878E-2</v>
      </c>
    </row>
    <row r="1067" spans="1:71">
      <c r="A1067" s="30">
        <v>2025</v>
      </c>
      <c r="B1067" s="31" t="s">
        <v>1582</v>
      </c>
      <c r="C1067" s="31">
        <f>LN(Inventory[[#This Row],[Acres]])</f>
        <v>4.8790164169432049E-2</v>
      </c>
      <c r="D1067" s="30">
        <v>1.05</v>
      </c>
      <c r="E1067" s="37"/>
      <c r="F1067" s="31" t="s">
        <v>505</v>
      </c>
      <c r="G1067" s="31" t="s">
        <v>155</v>
      </c>
      <c r="H1067" s="31" t="s">
        <v>5</v>
      </c>
      <c r="I1067" s="31" t="s">
        <v>506</v>
      </c>
      <c r="J1067" s="31" t="s">
        <v>507</v>
      </c>
      <c r="K1067" s="31" t="s">
        <v>157</v>
      </c>
      <c r="L1067" s="31" t="s">
        <v>17</v>
      </c>
      <c r="M1067" s="31" t="s">
        <v>18</v>
      </c>
      <c r="N1067" s="31">
        <v>20</v>
      </c>
      <c r="O1067" s="31">
        <f>2024-Inventory[[#This Row],[YrBlt]]</f>
        <v>27</v>
      </c>
      <c r="P1067" s="31">
        <f>2024-Inventory[[#This Row],[EffYr]]</f>
        <v>27</v>
      </c>
      <c r="Q1067" s="30">
        <v>1997</v>
      </c>
      <c r="R1067" s="30">
        <v>1997</v>
      </c>
      <c r="S1067" s="30">
        <v>1176</v>
      </c>
      <c r="T1067" s="38">
        <v>1176</v>
      </c>
      <c r="U1067" s="32"/>
      <c r="V1067" s="32"/>
      <c r="W1067" s="32"/>
      <c r="X1067" s="32">
        <f>Inventory[[#This Row],[Bsmt Area]]-Inventory[[#This Row],[FnBsmt]]</f>
        <v>0</v>
      </c>
      <c r="Y1067" s="32">
        <f>Inventory[[#This Row],[MainFn]]+Inventory[[#This Row],[UpprFn]]+Inventory[[#This Row],[AddFn]]+Inventory[[#This Row],[FnBsmt]]</f>
        <v>2352</v>
      </c>
      <c r="Z1067" s="32">
        <v>2500</v>
      </c>
      <c r="AA1067" s="31" t="s">
        <v>56</v>
      </c>
      <c r="AB1067" s="37"/>
      <c r="AC1067" s="30">
        <v>850</v>
      </c>
      <c r="AD1067" s="32"/>
      <c r="AE1067" s="32"/>
      <c r="AF1067" s="32"/>
      <c r="AG1067" s="32"/>
      <c r="AH1067" s="32"/>
      <c r="AI1067" s="30">
        <v>355687</v>
      </c>
      <c r="AJ1067" s="30">
        <v>309448</v>
      </c>
      <c r="AK1067" s="30">
        <v>45450</v>
      </c>
      <c r="AL1067" s="30">
        <v>0</v>
      </c>
      <c r="AM1067" s="30">
        <v>87200</v>
      </c>
      <c r="AN1067" s="30">
        <v>358800</v>
      </c>
      <c r="AO1067" s="30">
        <v>446000</v>
      </c>
      <c r="AP1067" s="30">
        <f>Lookups!$B$58*0.6</f>
        <v>132535.48800000001</v>
      </c>
      <c r="AQ1067" s="30">
        <f>Lookups!$B$58*0.4</f>
        <v>88356.992000000013</v>
      </c>
      <c r="AR1067" s="30">
        <f>Lookups!$B$59*Inventory[[#This Row],[LnAcres]]</f>
        <v>640.33777620232456</v>
      </c>
      <c r="AS1067" s="30">
        <f>VLOOKUP(Inventory[[#This Row],[Qlty]],Lookups!$A$66:$E$79,2,FALSE)</f>
        <v>24371.765965999999</v>
      </c>
      <c r="AT1067" s="30">
        <f>VLOOKUP(Inventory[[#This Row],[Cnd]],Lookups!$A$80:$E$88,2,FALSE)</f>
        <v>17761.121909000001</v>
      </c>
      <c r="AU1067" s="30">
        <f>Inventory[[#This Row],[EffAge]]*Lookups!$B$65</f>
        <v>-2936.0097000000001</v>
      </c>
      <c r="AV1067" s="30">
        <f>Inventory[[#This Row],[MainFn]]*Lookups!$B$90</f>
        <v>73394.606880000007</v>
      </c>
      <c r="AW1067" s="30">
        <f>Inventory[[#This Row],[UpprFn]]*Lookups!$B$91</f>
        <v>70066.530407999991</v>
      </c>
      <c r="AX1067" s="30">
        <f>Inventory[[#This Row],[Bsmt Area]]*Lookups!$B$95</f>
        <v>0</v>
      </c>
      <c r="AY1067" s="30">
        <f>Inventory[[#This Row],[AttGar]]*Lookups!$B$93</f>
        <v>30005.876350000002</v>
      </c>
      <c r="AZ1067" s="30">
        <f>ROUND(Inventory[[#This Row],[25Det]],-2)</f>
        <v>45500</v>
      </c>
      <c r="BA1067" s="30">
        <f>ROUND(SUM(Inventory[[#This Row],[Mdl Qlty]:[Mdl Garage Area]])+Inventory[[#This Row],[Mdl Res Intercept]],-2)</f>
        <v>345200</v>
      </c>
      <c r="BB1067" s="30">
        <f>ROUND(Inventory[[#This Row],[Mdl Land Intercept]]+Inventory[[#This Row],[Mdl LnAcres]],-2)</f>
        <v>89000</v>
      </c>
      <c r="BC1067" s="30">
        <f>Inventory[[#This Row],[Unadj Res Value]]+Inventory[[#This Row],[Unadj Det Value]]+Inventory[[#This Row],[Unadj Land Value]]</f>
        <v>479700</v>
      </c>
      <c r="BD1067" s="30">
        <f>(Inventory[[#This Row],[Unadj Total Value]]-Inventory[[#This Row],[24Final]])/Inventory[[#This Row],[24Final]]</f>
        <v>7.5560538116591927E-2</v>
      </c>
      <c r="BE1067" s="30">
        <f>VLOOKUP(Inventory[[#This Row],[Nbhd]],Lookups!$M$3:$P$5,4,FALSE)</f>
        <v>0.99970000000000003</v>
      </c>
      <c r="BF1067" s="30">
        <f>VLOOKUP(Inventory[[#This Row],[Qlty]],Lookups!$M$8:$P$22,4,FALSE)</f>
        <v>0.99199999999999999</v>
      </c>
      <c r="BG1067" s="30">
        <f>VLOOKUP(Inventory[[#This Row],[Cnd]],Lookups!$R$8:$U$17,4,FALSE)</f>
        <v>0.99680000000000002</v>
      </c>
      <c r="BH1067" s="30">
        <f>VLOOKUP(Inventory[[#This Row],[LivArea Range]],Lookups!$R$25:$U$43,4,FALSE)</f>
        <v>1.0008999999999999</v>
      </c>
      <c r="BI1067" s="30">
        <f>VLOOKUP(Inventory[[#This Row],[Decade]],Lookups!$M$24:$P$40,4,FALSE)</f>
        <v>0.99560000000000004</v>
      </c>
      <c r="BJ1067" s="30">
        <f>Inventory[[#This Row],[Nbhd Adj]]*0.95</f>
        <v>0.94971499999999998</v>
      </c>
      <c r="BK1067" s="30">
        <f>AVERAGE(Inventory[[#This Row],[Nbhd Adj]],Inventory[[#This Row],[Quality Adj]],Inventory[[#This Row],[Condition Adj]],Inventory[[#This Row],[Living Area Adj]],Inventory[[#This Row],[Decade Adj]])*0.95</f>
        <v>0.94714999999999983</v>
      </c>
      <c r="BL1067" s="30">
        <f>ROUND((SUM(Inventory[[#This Row],[Mdl Qlty]:[Mdl Garage Area]])+Inventory[[#This Row],[Mdl Res Intercept]])*Inventory[[#This Row],[Res Adj ]],-2)</f>
        <v>327000</v>
      </c>
      <c r="BM1067" s="30">
        <f>ROUND(Inventory[[#This Row],[25Det]]*Inventory[[#This Row],[Det/Nbhd Adj]],-2)</f>
        <v>43200</v>
      </c>
      <c r="BN1067" s="30">
        <f>Inventory[[#This Row],[Adjusted Res]]+Inventory[[#This Row],[Adj Det ]]</f>
        <v>370200</v>
      </c>
      <c r="BO1067" s="30">
        <f>ROUND((Inventory[[#This Row],[Mdl Land Intercept]]+Inventory[[#This Row],[Mdl LnAcres]])*Inventory[[#This Row],[Det/Nbhd Adj]],-2)</f>
        <v>84500</v>
      </c>
      <c r="BP1067" s="30">
        <f>Inventory[[#This Row],[Adjusted Impr Total]]+Inventory[[#This Row],[Adjusted Land Total]]</f>
        <v>454700</v>
      </c>
      <c r="BQ1067" s="30">
        <f>IFERROR((Inventory[[#This Row],[Adjusted Impr Total]]-Inventory[[#This Row],[24Bldg]])/Inventory[[#This Row],[24Bldg]],0)</f>
        <v>3.177257525083612E-2</v>
      </c>
      <c r="BR1067" s="43">
        <f>(Inventory[[#This Row],[Adjusted Land Total]]-Inventory[[#This Row],[24Lnd]])/Inventory[[#This Row],[24Lnd]]</f>
        <v>-3.096330275229358E-2</v>
      </c>
      <c r="BS1067" s="43">
        <f>(Inventory[[#This Row],[Adjusted Total]]-Inventory[[#This Row],[24Final]])/Inventory[[#This Row],[24Final]]</f>
        <v>1.9506726457399103E-2</v>
      </c>
    </row>
    <row r="1068" spans="1:71">
      <c r="A1068" s="30">
        <v>2025</v>
      </c>
      <c r="B1068" s="31" t="s">
        <v>1583</v>
      </c>
      <c r="C1068" s="31">
        <f>LN(Inventory[[#This Row],[Acres]])</f>
        <v>0.69314718055994529</v>
      </c>
      <c r="D1068" s="30">
        <v>2</v>
      </c>
      <c r="E1068" s="37"/>
      <c r="F1068" s="31" t="s">
        <v>505</v>
      </c>
      <c r="G1068" s="31" t="s">
        <v>155</v>
      </c>
      <c r="H1068" s="31" t="s">
        <v>5</v>
      </c>
      <c r="I1068" s="31" t="s">
        <v>506</v>
      </c>
      <c r="J1068" s="31" t="s">
        <v>507</v>
      </c>
      <c r="K1068" s="31" t="s">
        <v>330</v>
      </c>
      <c r="L1068" s="31" t="s">
        <v>19</v>
      </c>
      <c r="M1068" s="31" t="s">
        <v>20</v>
      </c>
      <c r="N1068" s="31">
        <v>20</v>
      </c>
      <c r="O1068" s="31">
        <f>2024-Inventory[[#This Row],[YrBlt]]</f>
        <v>27</v>
      </c>
      <c r="P1068" s="31">
        <f>2024-Inventory[[#This Row],[EffYr]]</f>
        <v>27</v>
      </c>
      <c r="Q1068" s="30">
        <v>1997</v>
      </c>
      <c r="R1068" s="30">
        <v>1997</v>
      </c>
      <c r="S1068" s="30">
        <v>1861</v>
      </c>
      <c r="T1068" s="32"/>
      <c r="U1068" s="32"/>
      <c r="V1068" s="32"/>
      <c r="W1068" s="32"/>
      <c r="X1068" s="32">
        <f>Inventory[[#This Row],[Bsmt Area]]-Inventory[[#This Row],[FnBsmt]]</f>
        <v>0</v>
      </c>
      <c r="Y1068" s="32">
        <f>Inventory[[#This Row],[MainFn]]+Inventory[[#This Row],[UpprFn]]+Inventory[[#This Row],[AddFn]]+Inventory[[#This Row],[FnBsmt]]</f>
        <v>1861</v>
      </c>
      <c r="Z1068" s="32">
        <v>2000</v>
      </c>
      <c r="AA1068" s="31" t="s">
        <v>55</v>
      </c>
      <c r="AB1068" s="30">
        <v>1</v>
      </c>
      <c r="AC1068" s="37"/>
      <c r="AD1068" s="32"/>
      <c r="AE1068" s="32"/>
      <c r="AF1068" s="32"/>
      <c r="AG1068" s="32"/>
      <c r="AH1068" s="32"/>
      <c r="AI1068" s="30">
        <v>325573</v>
      </c>
      <c r="AJ1068" s="30">
        <v>286504</v>
      </c>
      <c r="AK1068" s="30">
        <v>57879</v>
      </c>
      <c r="AL1068" s="30">
        <v>0</v>
      </c>
      <c r="AM1068" s="30">
        <v>96200</v>
      </c>
      <c r="AN1068" s="30">
        <v>331900</v>
      </c>
      <c r="AO1068" s="30">
        <v>428100</v>
      </c>
      <c r="AP1068" s="30">
        <f>Lookups!$B$58*0.6</f>
        <v>132535.48800000001</v>
      </c>
      <c r="AQ1068" s="30">
        <f>Lookups!$B$58*0.4</f>
        <v>88356.992000000013</v>
      </c>
      <c r="AR1068" s="30">
        <f>Lookups!$B$59*Inventory[[#This Row],[LnAcres]]</f>
        <v>9097.0860979136814</v>
      </c>
      <c r="AS1068" s="30">
        <f>VLOOKUP(Inventory[[#This Row],[Qlty]],Lookups!$A$66:$E$79,2,FALSE)</f>
        <v>37154.252388000001</v>
      </c>
      <c r="AT1068" s="30">
        <f>VLOOKUP(Inventory[[#This Row],[Cnd]],Lookups!$A$80:$E$88,2,FALSE)</f>
        <v>30300.329274</v>
      </c>
      <c r="AU1068" s="30">
        <f>Inventory[[#This Row],[EffAge]]*Lookups!$B$65</f>
        <v>-2936.0097000000001</v>
      </c>
      <c r="AV1068" s="30">
        <f>Inventory[[#This Row],[MainFn]]*Lookups!$B$90</f>
        <v>116145.71718000001</v>
      </c>
      <c r="AW1068" s="30">
        <f>Inventory[[#This Row],[UpprFn]]*Lookups!$B$91</f>
        <v>0</v>
      </c>
      <c r="AX1068" s="30">
        <f>Inventory[[#This Row],[Bsmt Area]]*Lookups!$B$95</f>
        <v>0</v>
      </c>
      <c r="AY1068" s="30">
        <f>Inventory[[#This Row],[AttGar]]*Lookups!$B$93</f>
        <v>0</v>
      </c>
      <c r="AZ1068" s="30">
        <f>ROUND(Inventory[[#This Row],[25Det]],-2)</f>
        <v>57900</v>
      </c>
      <c r="BA1068" s="30">
        <f>ROUND(SUM(Inventory[[#This Row],[Mdl Qlty]:[Mdl Garage Area]])+Inventory[[#This Row],[Mdl Res Intercept]],-2)</f>
        <v>313200</v>
      </c>
      <c r="BB1068" s="30">
        <f>ROUND(Inventory[[#This Row],[Mdl Land Intercept]]+Inventory[[#This Row],[Mdl LnAcres]],-2)</f>
        <v>97500</v>
      </c>
      <c r="BC1068" s="30">
        <f>Inventory[[#This Row],[Unadj Res Value]]+Inventory[[#This Row],[Unadj Det Value]]+Inventory[[#This Row],[Unadj Land Value]]</f>
        <v>468600</v>
      </c>
      <c r="BD1068" s="30">
        <f>(Inventory[[#This Row],[Unadj Total Value]]-Inventory[[#This Row],[24Final]])/Inventory[[#This Row],[24Final]]</f>
        <v>9.4604064470918015E-2</v>
      </c>
      <c r="BE1068" s="30">
        <f>VLOOKUP(Inventory[[#This Row],[Nbhd]],Lookups!$M$3:$P$5,4,FALSE)</f>
        <v>0.99970000000000003</v>
      </c>
      <c r="BF1068" s="30">
        <f>VLOOKUP(Inventory[[#This Row],[Qlty]],Lookups!$M$8:$P$22,4,FALSE)</f>
        <v>0.99819999999999998</v>
      </c>
      <c r="BG1068" s="30">
        <f>VLOOKUP(Inventory[[#This Row],[Cnd]],Lookups!$R$8:$U$17,4,FALSE)</f>
        <v>0.997</v>
      </c>
      <c r="BH1068" s="30">
        <f>VLOOKUP(Inventory[[#This Row],[LivArea Range]],Lookups!$R$25:$U$43,4,FALSE)</f>
        <v>1.0007999999999999</v>
      </c>
      <c r="BI1068" s="30">
        <f>VLOOKUP(Inventory[[#This Row],[Decade]],Lookups!$M$24:$P$40,4,FALSE)</f>
        <v>0.99560000000000004</v>
      </c>
      <c r="BJ1068" s="30">
        <f>Inventory[[#This Row],[Nbhd Adj]]*0.95</f>
        <v>0.94971499999999998</v>
      </c>
      <c r="BK1068" s="30">
        <f>AVERAGE(Inventory[[#This Row],[Nbhd Adj]],Inventory[[#This Row],[Quality Adj]],Inventory[[#This Row],[Condition Adj]],Inventory[[#This Row],[Living Area Adj]],Inventory[[#This Row],[Decade Adj]])*0.95</f>
        <v>0.94834699999999994</v>
      </c>
      <c r="BL1068" s="30">
        <f>ROUND((SUM(Inventory[[#This Row],[Mdl Qlty]:[Mdl Garage Area]])+Inventory[[#This Row],[Mdl Res Intercept]])*Inventory[[#This Row],[Res Adj ]],-2)</f>
        <v>297000</v>
      </c>
      <c r="BM1068" s="30">
        <f>ROUND(Inventory[[#This Row],[25Det]]*Inventory[[#This Row],[Det/Nbhd Adj]],-2)</f>
        <v>55000</v>
      </c>
      <c r="BN1068" s="30">
        <f>Inventory[[#This Row],[Adjusted Res]]+Inventory[[#This Row],[Adj Det ]]</f>
        <v>352000</v>
      </c>
      <c r="BO1068" s="30">
        <f>ROUND((Inventory[[#This Row],[Mdl Land Intercept]]+Inventory[[#This Row],[Mdl LnAcres]])*Inventory[[#This Row],[Det/Nbhd Adj]],-2)</f>
        <v>92600</v>
      </c>
      <c r="BP1068" s="30">
        <f>Inventory[[#This Row],[Adjusted Impr Total]]+Inventory[[#This Row],[Adjusted Land Total]]</f>
        <v>444600</v>
      </c>
      <c r="BQ1068" s="30">
        <f>IFERROR((Inventory[[#This Row],[Adjusted Impr Total]]-Inventory[[#This Row],[24Bldg]])/Inventory[[#This Row],[24Bldg]],0)</f>
        <v>6.0560409761976498E-2</v>
      </c>
      <c r="BR1068" s="43">
        <f>(Inventory[[#This Row],[Adjusted Land Total]]-Inventory[[#This Row],[24Lnd]])/Inventory[[#This Row],[24Lnd]]</f>
        <v>-3.7422037422037424E-2</v>
      </c>
      <c r="BS1068" s="43">
        <f>(Inventory[[#This Row],[Adjusted Total]]-Inventory[[#This Row],[24Final]])/Inventory[[#This Row],[24Final]]</f>
        <v>3.8542396636299929E-2</v>
      </c>
    </row>
    <row r="1069" spans="1:71">
      <c r="A1069" s="30">
        <v>2025</v>
      </c>
      <c r="B1069" s="31" t="s">
        <v>1584</v>
      </c>
      <c r="C1069" s="31">
        <f>LN(Inventory[[#This Row],[Acres]])</f>
        <v>-1.7719568419318752</v>
      </c>
      <c r="D1069" s="30">
        <v>0.17</v>
      </c>
      <c r="E1069" s="30">
        <v>7412</v>
      </c>
      <c r="F1069" s="31" t="s">
        <v>505</v>
      </c>
      <c r="G1069" s="31" t="s">
        <v>155</v>
      </c>
      <c r="H1069" s="31" t="s">
        <v>5</v>
      </c>
      <c r="I1069" s="31" t="s">
        <v>506</v>
      </c>
      <c r="J1069" s="31" t="s">
        <v>507</v>
      </c>
      <c r="K1069" s="31" t="s">
        <v>193</v>
      </c>
      <c r="L1069" s="31" t="s">
        <v>17</v>
      </c>
      <c r="M1069" s="31" t="s">
        <v>22</v>
      </c>
      <c r="N1069" s="31">
        <v>20</v>
      </c>
      <c r="O1069" s="31">
        <f>2024-Inventory[[#This Row],[YrBlt]]</f>
        <v>29</v>
      </c>
      <c r="P1069" s="31">
        <f>2024-Inventory[[#This Row],[EffYr]]</f>
        <v>29</v>
      </c>
      <c r="Q1069" s="30">
        <v>1995</v>
      </c>
      <c r="R1069" s="30">
        <v>1995</v>
      </c>
      <c r="S1069" s="30">
        <v>1293</v>
      </c>
      <c r="T1069" s="32"/>
      <c r="U1069" s="32"/>
      <c r="V1069" s="32"/>
      <c r="W1069" s="32"/>
      <c r="X1069" s="32">
        <f>Inventory[[#This Row],[Bsmt Area]]-Inventory[[#This Row],[FnBsmt]]</f>
        <v>0</v>
      </c>
      <c r="Y1069" s="32">
        <f>Inventory[[#This Row],[MainFn]]+Inventory[[#This Row],[UpprFn]]+Inventory[[#This Row],[AddFn]]+Inventory[[#This Row],[FnBsmt]]</f>
        <v>1293</v>
      </c>
      <c r="Z1069" s="32">
        <v>1500</v>
      </c>
      <c r="AA1069" s="31" t="s">
        <v>56</v>
      </c>
      <c r="AB1069" s="32"/>
      <c r="AC1069" s="30">
        <v>529</v>
      </c>
      <c r="AD1069" s="32"/>
      <c r="AE1069" s="32"/>
      <c r="AF1069" s="32"/>
      <c r="AG1069" s="32"/>
      <c r="AH1069" s="32"/>
      <c r="AI1069" s="30">
        <v>233357</v>
      </c>
      <c r="AJ1069" s="30">
        <v>203021</v>
      </c>
      <c r="AK1069" s="30">
        <v>0</v>
      </c>
      <c r="AL1069" s="30">
        <v>0</v>
      </c>
      <c r="AM1069" s="30">
        <v>61700</v>
      </c>
      <c r="AN1069" s="30">
        <v>280300</v>
      </c>
      <c r="AO1069" s="30">
        <v>342000</v>
      </c>
      <c r="AP1069" s="30">
        <f>Lookups!$B$58*0.6</f>
        <v>132535.48800000001</v>
      </c>
      <c r="AQ1069" s="30">
        <f>Lookups!$B$58*0.4</f>
        <v>88356.992000000013</v>
      </c>
      <c r="AR1069" s="30">
        <f>Lookups!$B$59*Inventory[[#This Row],[LnAcres]]</f>
        <v>-23255.730391660189</v>
      </c>
      <c r="AS1069" s="30">
        <f>VLOOKUP(Inventory[[#This Row],[Qlty]],Lookups!$A$66:$E$79,2,FALSE)</f>
        <v>24371.765965999999</v>
      </c>
      <c r="AT1069" s="30">
        <f>VLOOKUP(Inventory[[#This Row],[Cnd]],Lookups!$A$80:$E$88,2,FALSE)</f>
        <v>50438.379078999998</v>
      </c>
      <c r="AU1069" s="30">
        <f>Inventory[[#This Row],[EffAge]]*Lookups!$B$65</f>
        <v>-3153.4919</v>
      </c>
      <c r="AV1069" s="30">
        <f>Inventory[[#This Row],[MainFn]]*Lookups!$B$90</f>
        <v>80696.621339999998</v>
      </c>
      <c r="AW1069" s="30">
        <f>Inventory[[#This Row],[UpprFn]]*Lookups!$B$91</f>
        <v>0</v>
      </c>
      <c r="AX1069" s="30">
        <f>Inventory[[#This Row],[Bsmt Area]]*Lookups!$B$95</f>
        <v>0</v>
      </c>
      <c r="AY1069" s="30">
        <f>Inventory[[#This Row],[AttGar]]*Lookups!$B$93</f>
        <v>18674.245398999999</v>
      </c>
      <c r="AZ1069" s="30">
        <f>ROUND(Inventory[[#This Row],[25Det]],-2)</f>
        <v>0</v>
      </c>
      <c r="BA1069" s="30">
        <f>ROUND(SUM(Inventory[[#This Row],[Mdl Qlty]:[Mdl Garage Area]])+Inventory[[#This Row],[Mdl Res Intercept]],-2)</f>
        <v>303600</v>
      </c>
      <c r="BB1069" s="30">
        <f>ROUND(Inventory[[#This Row],[Mdl Land Intercept]]+Inventory[[#This Row],[Mdl LnAcres]],-2)</f>
        <v>65100</v>
      </c>
      <c r="BC1069" s="30">
        <f>Inventory[[#This Row],[Unadj Res Value]]+Inventory[[#This Row],[Unadj Det Value]]+Inventory[[#This Row],[Unadj Land Value]]</f>
        <v>368700</v>
      </c>
      <c r="BD1069" s="30">
        <f>(Inventory[[#This Row],[Unadj Total Value]]-Inventory[[#This Row],[24Final]])/Inventory[[#This Row],[24Final]]</f>
        <v>7.8070175438596498E-2</v>
      </c>
      <c r="BE1069" s="30">
        <f>VLOOKUP(Inventory[[#This Row],[Nbhd]],Lookups!$M$3:$P$5,4,FALSE)</f>
        <v>0.99970000000000003</v>
      </c>
      <c r="BF1069" s="30">
        <f>VLOOKUP(Inventory[[#This Row],[Qlty]],Lookups!$M$8:$P$22,4,FALSE)</f>
        <v>0.99199999999999999</v>
      </c>
      <c r="BG1069" s="30">
        <f>VLOOKUP(Inventory[[#This Row],[Cnd]],Lookups!$R$8:$U$17,4,FALSE)</f>
        <v>1.0007999999999999</v>
      </c>
      <c r="BH1069" s="30">
        <f>VLOOKUP(Inventory[[#This Row],[LivArea Range]],Lookups!$R$25:$U$43,4,FALSE)</f>
        <v>0.99519999999999997</v>
      </c>
      <c r="BI1069" s="30">
        <f>VLOOKUP(Inventory[[#This Row],[Decade]],Lookups!$M$24:$P$40,4,FALSE)</f>
        <v>0.99560000000000004</v>
      </c>
      <c r="BJ1069" s="30">
        <f>Inventory[[#This Row],[Nbhd Adj]]*0.95</f>
        <v>0.94971499999999998</v>
      </c>
      <c r="BK1069" s="30">
        <f>AVERAGE(Inventory[[#This Row],[Nbhd Adj]],Inventory[[#This Row],[Quality Adj]],Inventory[[#This Row],[Condition Adj]],Inventory[[#This Row],[Living Area Adj]],Inventory[[#This Row],[Decade Adj]])*0.95</f>
        <v>0.94682699999999997</v>
      </c>
      <c r="BL1069" s="30">
        <f>ROUND((SUM(Inventory[[#This Row],[Mdl Qlty]:[Mdl Garage Area]])+Inventory[[#This Row],[Mdl Res Intercept]])*Inventory[[#This Row],[Res Adj ]],-2)</f>
        <v>287400</v>
      </c>
      <c r="BM1069" s="30">
        <f>ROUND(Inventory[[#This Row],[25Det]]*Inventory[[#This Row],[Det/Nbhd Adj]],-2)</f>
        <v>0</v>
      </c>
      <c r="BN1069" s="30">
        <f>Inventory[[#This Row],[Adjusted Res]]+Inventory[[#This Row],[Adj Det ]]</f>
        <v>287400</v>
      </c>
      <c r="BO1069" s="30">
        <f>ROUND((Inventory[[#This Row],[Mdl Land Intercept]]+Inventory[[#This Row],[Mdl LnAcres]])*Inventory[[#This Row],[Det/Nbhd Adj]],-2)</f>
        <v>61800</v>
      </c>
      <c r="BP1069" s="30">
        <f>Inventory[[#This Row],[Adjusted Impr Total]]+Inventory[[#This Row],[Adjusted Land Total]]</f>
        <v>349200</v>
      </c>
      <c r="BQ1069" s="30">
        <f>IFERROR((Inventory[[#This Row],[Adjusted Impr Total]]-Inventory[[#This Row],[24Bldg]])/Inventory[[#This Row],[24Bldg]],0)</f>
        <v>2.5330003567606136E-2</v>
      </c>
      <c r="BR1069" s="43">
        <f>(Inventory[[#This Row],[Adjusted Land Total]]-Inventory[[#This Row],[24Lnd]])/Inventory[[#This Row],[24Lnd]]</f>
        <v>1.6207455429497568E-3</v>
      </c>
      <c r="BS1069" s="43">
        <f>(Inventory[[#This Row],[Adjusted Total]]-Inventory[[#This Row],[24Final]])/Inventory[[#This Row],[24Final]]</f>
        <v>2.1052631578947368E-2</v>
      </c>
    </row>
    <row r="1070" spans="1:71">
      <c r="A1070" s="30">
        <v>2025</v>
      </c>
      <c r="B1070" s="31" t="s">
        <v>1585</v>
      </c>
      <c r="C1070" s="31">
        <f>LN(Inventory[[#This Row],[Acres]])</f>
        <v>-1.7147984280919266</v>
      </c>
      <c r="D1070" s="30">
        <v>0.18</v>
      </c>
      <c r="E1070" s="30">
        <v>7673</v>
      </c>
      <c r="F1070" s="31" t="s">
        <v>505</v>
      </c>
      <c r="G1070" s="31" t="s">
        <v>155</v>
      </c>
      <c r="H1070" s="31" t="s">
        <v>5</v>
      </c>
      <c r="I1070" s="31" t="s">
        <v>506</v>
      </c>
      <c r="J1070" s="31" t="s">
        <v>507</v>
      </c>
      <c r="K1070" s="31" t="s">
        <v>330</v>
      </c>
      <c r="L1070" s="31" t="s">
        <v>21</v>
      </c>
      <c r="M1070" s="31" t="s">
        <v>22</v>
      </c>
      <c r="N1070" s="31">
        <v>20</v>
      </c>
      <c r="O1070" s="31">
        <f>2024-Inventory[[#This Row],[YrBlt]]</f>
        <v>29</v>
      </c>
      <c r="P1070" s="31">
        <f>2024-Inventory[[#This Row],[EffYr]]</f>
        <v>29</v>
      </c>
      <c r="Q1070" s="30">
        <v>1995</v>
      </c>
      <c r="R1070" s="30">
        <v>1995</v>
      </c>
      <c r="S1070" s="30">
        <v>1983</v>
      </c>
      <c r="T1070" s="32"/>
      <c r="U1070" s="32"/>
      <c r="V1070" s="32"/>
      <c r="W1070" s="32"/>
      <c r="X1070" s="32">
        <f>Inventory[[#This Row],[Bsmt Area]]-Inventory[[#This Row],[FnBsmt]]</f>
        <v>0</v>
      </c>
      <c r="Y1070" s="32">
        <f>Inventory[[#This Row],[MainFn]]+Inventory[[#This Row],[UpprFn]]+Inventory[[#This Row],[AddFn]]+Inventory[[#This Row],[FnBsmt]]</f>
        <v>1983</v>
      </c>
      <c r="Z1070" s="32">
        <v>2000</v>
      </c>
      <c r="AA1070" s="31" t="s">
        <v>55</v>
      </c>
      <c r="AB1070" s="37"/>
      <c r="AC1070" s="30">
        <v>529</v>
      </c>
      <c r="AD1070" s="32"/>
      <c r="AE1070" s="32"/>
      <c r="AF1070" s="32"/>
      <c r="AG1070" s="32"/>
      <c r="AH1070" s="32"/>
      <c r="AI1070" s="30">
        <v>434622</v>
      </c>
      <c r="AJ1070" s="30">
        <v>378121</v>
      </c>
      <c r="AK1070" s="30">
        <v>0</v>
      </c>
      <c r="AL1070" s="30">
        <v>0</v>
      </c>
      <c r="AM1070" s="30">
        <v>62500</v>
      </c>
      <c r="AN1070" s="30">
        <v>328700</v>
      </c>
      <c r="AO1070" s="30">
        <v>391200</v>
      </c>
      <c r="AP1070" s="30">
        <f>Lookups!$B$58*0.6</f>
        <v>132535.48800000001</v>
      </c>
      <c r="AQ1070" s="30">
        <f>Lookups!$B$58*0.4</f>
        <v>88356.992000000013</v>
      </c>
      <c r="AR1070" s="30">
        <f>Lookups!$B$59*Inventory[[#This Row],[LnAcres]]</f>
        <v>-22505.565020573864</v>
      </c>
      <c r="AS1070" s="30">
        <f>VLOOKUP(Inventory[[#This Row],[Qlty]],Lookups!$A$66:$E$79,2,FALSE)</f>
        <v>32917.849192000001</v>
      </c>
      <c r="AT1070" s="30">
        <f>VLOOKUP(Inventory[[#This Row],[Cnd]],Lookups!$A$80:$E$88,2,FALSE)</f>
        <v>50438.379078999998</v>
      </c>
      <c r="AU1070" s="30">
        <f>Inventory[[#This Row],[EffAge]]*Lookups!$B$65</f>
        <v>-3153.4919</v>
      </c>
      <c r="AV1070" s="30">
        <f>Inventory[[#This Row],[MainFn]]*Lookups!$B$90</f>
        <v>123759.78354</v>
      </c>
      <c r="AW1070" s="30">
        <f>Inventory[[#This Row],[UpprFn]]*Lookups!$B$91</f>
        <v>0</v>
      </c>
      <c r="AX1070" s="30">
        <f>Inventory[[#This Row],[Bsmt Area]]*Lookups!$B$95</f>
        <v>0</v>
      </c>
      <c r="AY1070" s="30">
        <f>Inventory[[#This Row],[AttGar]]*Lookups!$B$93</f>
        <v>18674.245398999999</v>
      </c>
      <c r="AZ1070" s="30">
        <f>ROUND(Inventory[[#This Row],[25Det]],-2)</f>
        <v>0</v>
      </c>
      <c r="BA1070" s="30">
        <f>ROUND(SUM(Inventory[[#This Row],[Mdl Qlty]:[Mdl Garage Area]])+Inventory[[#This Row],[Mdl Res Intercept]],-2)</f>
        <v>355200</v>
      </c>
      <c r="BB1070" s="30">
        <f>ROUND(Inventory[[#This Row],[Mdl Land Intercept]]+Inventory[[#This Row],[Mdl LnAcres]],-2)</f>
        <v>65900</v>
      </c>
      <c r="BC1070" s="30">
        <f>Inventory[[#This Row],[Unadj Res Value]]+Inventory[[#This Row],[Unadj Det Value]]+Inventory[[#This Row],[Unadj Land Value]]</f>
        <v>421100</v>
      </c>
      <c r="BD1070" s="30">
        <f>(Inventory[[#This Row],[Unadj Total Value]]-Inventory[[#This Row],[24Final]])/Inventory[[#This Row],[24Final]]</f>
        <v>7.6431492842535781E-2</v>
      </c>
      <c r="BE1070" s="30">
        <f>VLOOKUP(Inventory[[#This Row],[Nbhd]],Lookups!$M$3:$P$5,4,FALSE)</f>
        <v>0.99970000000000003</v>
      </c>
      <c r="BF1070" s="30">
        <f>VLOOKUP(Inventory[[#This Row],[Qlty]],Lookups!$M$8:$P$22,4,FALSE)</f>
        <v>1.0019</v>
      </c>
      <c r="BG1070" s="30">
        <f>VLOOKUP(Inventory[[#This Row],[Cnd]],Lookups!$R$8:$U$17,4,FALSE)</f>
        <v>1.0007999999999999</v>
      </c>
      <c r="BH1070" s="30">
        <f>VLOOKUP(Inventory[[#This Row],[LivArea Range]],Lookups!$R$25:$U$43,4,FALSE)</f>
        <v>1.0007999999999999</v>
      </c>
      <c r="BI1070" s="30">
        <f>VLOOKUP(Inventory[[#This Row],[Decade]],Lookups!$M$24:$P$40,4,FALSE)</f>
        <v>0.99560000000000004</v>
      </c>
      <c r="BJ1070" s="30">
        <f>Inventory[[#This Row],[Nbhd Adj]]*0.95</f>
        <v>0.94971499999999998</v>
      </c>
      <c r="BK1070" s="30">
        <f>AVERAGE(Inventory[[#This Row],[Nbhd Adj]],Inventory[[#This Row],[Quality Adj]],Inventory[[#This Row],[Condition Adj]],Inventory[[#This Row],[Living Area Adj]],Inventory[[#This Row],[Decade Adj]])*0.95</f>
        <v>0.94977199999999984</v>
      </c>
      <c r="BL1070" s="30">
        <f>ROUND((SUM(Inventory[[#This Row],[Mdl Qlty]:[Mdl Garage Area]])+Inventory[[#This Row],[Mdl Res Intercept]])*Inventory[[#This Row],[Res Adj ]],-2)</f>
        <v>337300</v>
      </c>
      <c r="BM1070" s="30">
        <f>ROUND(Inventory[[#This Row],[25Det]]*Inventory[[#This Row],[Det/Nbhd Adj]],-2)</f>
        <v>0</v>
      </c>
      <c r="BN1070" s="30">
        <f>Inventory[[#This Row],[Adjusted Res]]+Inventory[[#This Row],[Adj Det ]]</f>
        <v>337300</v>
      </c>
      <c r="BO1070" s="30">
        <f>ROUND((Inventory[[#This Row],[Mdl Land Intercept]]+Inventory[[#This Row],[Mdl LnAcres]])*Inventory[[#This Row],[Det/Nbhd Adj]],-2)</f>
        <v>62500</v>
      </c>
      <c r="BP1070" s="30">
        <f>Inventory[[#This Row],[Adjusted Impr Total]]+Inventory[[#This Row],[Adjusted Land Total]]</f>
        <v>399800</v>
      </c>
      <c r="BQ1070" s="30">
        <f>IFERROR((Inventory[[#This Row],[Adjusted Impr Total]]-Inventory[[#This Row],[24Bldg]])/Inventory[[#This Row],[24Bldg]],0)</f>
        <v>2.6163675083662914E-2</v>
      </c>
      <c r="BR1070" s="43">
        <f>(Inventory[[#This Row],[Adjusted Land Total]]-Inventory[[#This Row],[24Lnd]])/Inventory[[#This Row],[24Lnd]]</f>
        <v>0</v>
      </c>
      <c r="BS1070" s="43">
        <f>(Inventory[[#This Row],[Adjusted Total]]-Inventory[[#This Row],[24Final]])/Inventory[[#This Row],[24Final]]</f>
        <v>2.198364008179959E-2</v>
      </c>
    </row>
    <row r="1071" spans="1:71">
      <c r="A1071" s="30">
        <v>2025</v>
      </c>
      <c r="B1071" s="31" t="s">
        <v>1586</v>
      </c>
      <c r="C1071" s="31">
        <f>LN(Inventory[[#This Row],[Acres]])</f>
        <v>-1.6607312068216509</v>
      </c>
      <c r="D1071" s="30">
        <v>0.19</v>
      </c>
      <c r="E1071" s="30">
        <v>8207</v>
      </c>
      <c r="F1071" s="31" t="s">
        <v>505</v>
      </c>
      <c r="G1071" s="31" t="s">
        <v>155</v>
      </c>
      <c r="H1071" s="31" t="s">
        <v>5</v>
      </c>
      <c r="I1071" s="31" t="s">
        <v>506</v>
      </c>
      <c r="J1071" s="31" t="s">
        <v>507</v>
      </c>
      <c r="K1071" s="31" t="s">
        <v>330</v>
      </c>
      <c r="L1071" s="31" t="s">
        <v>21</v>
      </c>
      <c r="M1071" s="31" t="s">
        <v>18</v>
      </c>
      <c r="N1071" s="31">
        <v>20</v>
      </c>
      <c r="O1071" s="31">
        <f>2024-Inventory[[#This Row],[YrBlt]]</f>
        <v>29</v>
      </c>
      <c r="P1071" s="31">
        <f>2024-Inventory[[#This Row],[EffYr]]</f>
        <v>29</v>
      </c>
      <c r="Q1071" s="30">
        <v>1995</v>
      </c>
      <c r="R1071" s="30">
        <v>1995</v>
      </c>
      <c r="S1071" s="30">
        <v>1619</v>
      </c>
      <c r="T1071" s="32"/>
      <c r="U1071" s="32"/>
      <c r="V1071" s="32"/>
      <c r="W1071" s="32"/>
      <c r="X1071" s="32">
        <f>Inventory[[#This Row],[Bsmt Area]]-Inventory[[#This Row],[FnBsmt]]</f>
        <v>0</v>
      </c>
      <c r="Y1071" s="32">
        <f>Inventory[[#This Row],[MainFn]]+Inventory[[#This Row],[UpprFn]]+Inventory[[#This Row],[AddFn]]+Inventory[[#This Row],[FnBsmt]]</f>
        <v>1619</v>
      </c>
      <c r="Z1071" s="32">
        <v>2000</v>
      </c>
      <c r="AA1071" s="31" t="s">
        <v>55</v>
      </c>
      <c r="AB1071" s="32"/>
      <c r="AC1071" s="30">
        <v>936</v>
      </c>
      <c r="AD1071" s="32"/>
      <c r="AE1071" s="32"/>
      <c r="AF1071" s="32"/>
      <c r="AG1071" s="32"/>
      <c r="AH1071" s="32"/>
      <c r="AI1071" s="30">
        <v>417848</v>
      </c>
      <c r="AJ1071" s="30">
        <v>359349</v>
      </c>
      <c r="AK1071" s="30">
        <v>0</v>
      </c>
      <c r="AL1071" s="30">
        <v>0</v>
      </c>
      <c r="AM1071" s="30">
        <v>63200</v>
      </c>
      <c r="AN1071" s="30">
        <v>292000</v>
      </c>
      <c r="AO1071" s="30">
        <v>355200</v>
      </c>
      <c r="AP1071" s="30">
        <f>Lookups!$B$58*0.6</f>
        <v>132535.48800000001</v>
      </c>
      <c r="AQ1071" s="30">
        <f>Lookups!$B$58*0.4</f>
        <v>88356.992000000013</v>
      </c>
      <c r="AR1071" s="30">
        <f>Lookups!$B$59*Inventory[[#This Row],[LnAcres]]</f>
        <v>-21795.969453044734</v>
      </c>
      <c r="AS1071" s="30">
        <f>VLOOKUP(Inventory[[#This Row],[Qlty]],Lookups!$A$66:$E$79,2,FALSE)</f>
        <v>32917.849192000001</v>
      </c>
      <c r="AT1071" s="30">
        <f>VLOOKUP(Inventory[[#This Row],[Cnd]],Lookups!$A$80:$E$88,2,FALSE)</f>
        <v>17761.121909000001</v>
      </c>
      <c r="AU1071" s="30">
        <f>Inventory[[#This Row],[EffAge]]*Lookups!$B$65</f>
        <v>-3153.4919</v>
      </c>
      <c r="AV1071" s="30">
        <f>Inventory[[#This Row],[MainFn]]*Lookups!$B$90</f>
        <v>101042.40522</v>
      </c>
      <c r="AW1071" s="30">
        <f>Inventory[[#This Row],[UpprFn]]*Lookups!$B$91</f>
        <v>0</v>
      </c>
      <c r="AX1071" s="30">
        <f>Inventory[[#This Row],[Bsmt Area]]*Lookups!$B$95</f>
        <v>0</v>
      </c>
      <c r="AY1071" s="30">
        <f>Inventory[[#This Row],[AttGar]]*Lookups!$B$93</f>
        <v>33041.765016000005</v>
      </c>
      <c r="AZ1071" s="30">
        <f>ROUND(Inventory[[#This Row],[25Det]],-2)</f>
        <v>0</v>
      </c>
      <c r="BA1071" s="30">
        <f>ROUND(SUM(Inventory[[#This Row],[Mdl Qlty]:[Mdl Garage Area]])+Inventory[[#This Row],[Mdl Res Intercept]],-2)</f>
        <v>314100</v>
      </c>
      <c r="BB1071" s="30">
        <f>ROUND(Inventory[[#This Row],[Mdl Land Intercept]]+Inventory[[#This Row],[Mdl LnAcres]],-2)</f>
        <v>66600</v>
      </c>
      <c r="BC1071" s="30">
        <f>Inventory[[#This Row],[Unadj Res Value]]+Inventory[[#This Row],[Unadj Det Value]]+Inventory[[#This Row],[Unadj Land Value]]</f>
        <v>380700</v>
      </c>
      <c r="BD1071" s="30">
        <f>(Inventory[[#This Row],[Unadj Total Value]]-Inventory[[#This Row],[24Final]])/Inventory[[#This Row],[24Final]]</f>
        <v>7.1790540540540543E-2</v>
      </c>
      <c r="BE1071" s="30">
        <f>VLOOKUP(Inventory[[#This Row],[Nbhd]],Lookups!$M$3:$P$5,4,FALSE)</f>
        <v>0.99970000000000003</v>
      </c>
      <c r="BF1071" s="30">
        <f>VLOOKUP(Inventory[[#This Row],[Qlty]],Lookups!$M$8:$P$22,4,FALSE)</f>
        <v>1.0019</v>
      </c>
      <c r="BG1071" s="30">
        <f>VLOOKUP(Inventory[[#This Row],[Cnd]],Lookups!$R$8:$U$17,4,FALSE)</f>
        <v>0.99680000000000002</v>
      </c>
      <c r="BH1071" s="30">
        <f>VLOOKUP(Inventory[[#This Row],[LivArea Range]],Lookups!$R$25:$U$43,4,FALSE)</f>
        <v>1.0007999999999999</v>
      </c>
      <c r="BI1071" s="30">
        <f>VLOOKUP(Inventory[[#This Row],[Decade]],Lookups!$M$24:$P$40,4,FALSE)</f>
        <v>0.99560000000000004</v>
      </c>
      <c r="BJ1071" s="30">
        <f>Inventory[[#This Row],[Nbhd Adj]]*0.95</f>
        <v>0.94971499999999998</v>
      </c>
      <c r="BK1071" s="30">
        <f>AVERAGE(Inventory[[#This Row],[Nbhd Adj]],Inventory[[#This Row],[Quality Adj]],Inventory[[#This Row],[Condition Adj]],Inventory[[#This Row],[Living Area Adj]],Inventory[[#This Row],[Decade Adj]])*0.95</f>
        <v>0.94901199999999997</v>
      </c>
      <c r="BL1071" s="30">
        <f>ROUND((SUM(Inventory[[#This Row],[Mdl Qlty]:[Mdl Garage Area]])+Inventory[[#This Row],[Mdl Res Intercept]])*Inventory[[#This Row],[Res Adj ]],-2)</f>
        <v>298100</v>
      </c>
      <c r="BM1071" s="30">
        <f>ROUND(Inventory[[#This Row],[25Det]]*Inventory[[#This Row],[Det/Nbhd Adj]],-2)</f>
        <v>0</v>
      </c>
      <c r="BN1071" s="30">
        <f>Inventory[[#This Row],[Adjusted Res]]+Inventory[[#This Row],[Adj Det ]]</f>
        <v>298100</v>
      </c>
      <c r="BO1071" s="30">
        <f>ROUND((Inventory[[#This Row],[Mdl Land Intercept]]+Inventory[[#This Row],[Mdl LnAcres]])*Inventory[[#This Row],[Det/Nbhd Adj]],-2)</f>
        <v>63200</v>
      </c>
      <c r="BP1071" s="30">
        <f>Inventory[[#This Row],[Adjusted Impr Total]]+Inventory[[#This Row],[Adjusted Land Total]]</f>
        <v>361300</v>
      </c>
      <c r="BQ1071" s="30">
        <f>IFERROR((Inventory[[#This Row],[Adjusted Impr Total]]-Inventory[[#This Row],[24Bldg]])/Inventory[[#This Row],[24Bldg]],0)</f>
        <v>2.0890410958904111E-2</v>
      </c>
      <c r="BR1071" s="43">
        <f>(Inventory[[#This Row],[Adjusted Land Total]]-Inventory[[#This Row],[24Lnd]])/Inventory[[#This Row],[24Lnd]]</f>
        <v>0</v>
      </c>
      <c r="BS1071" s="43">
        <f>(Inventory[[#This Row],[Adjusted Total]]-Inventory[[#This Row],[24Final]])/Inventory[[#This Row],[24Final]]</f>
        <v>1.7173423423423425E-2</v>
      </c>
    </row>
    <row r="1072" spans="1:71">
      <c r="A1072" s="30">
        <v>2025</v>
      </c>
      <c r="B1072" s="31" t="s">
        <v>1587</v>
      </c>
      <c r="C1072" s="31">
        <f>LN(Inventory[[#This Row],[Acres]])</f>
        <v>-1.6607312068216509</v>
      </c>
      <c r="D1072" s="30">
        <v>0.19</v>
      </c>
      <c r="E1072" s="30">
        <v>8218</v>
      </c>
      <c r="F1072" s="31" t="s">
        <v>505</v>
      </c>
      <c r="G1072" s="31" t="s">
        <v>155</v>
      </c>
      <c r="H1072" s="31" t="s">
        <v>5</v>
      </c>
      <c r="I1072" s="31" t="s">
        <v>506</v>
      </c>
      <c r="J1072" s="31" t="s">
        <v>507</v>
      </c>
      <c r="K1072" s="31" t="s">
        <v>193</v>
      </c>
      <c r="L1072" s="31" t="s">
        <v>15</v>
      </c>
      <c r="M1072" s="31" t="s">
        <v>20</v>
      </c>
      <c r="N1072" s="31">
        <v>20</v>
      </c>
      <c r="O1072" s="31">
        <f>2024-Inventory[[#This Row],[YrBlt]]</f>
        <v>29</v>
      </c>
      <c r="P1072" s="31">
        <f>2024-Inventory[[#This Row],[EffYr]]</f>
        <v>29</v>
      </c>
      <c r="Q1072" s="30">
        <v>1995</v>
      </c>
      <c r="R1072" s="30">
        <v>1995</v>
      </c>
      <c r="S1072" s="30">
        <v>1200</v>
      </c>
      <c r="T1072" s="32"/>
      <c r="U1072" s="32"/>
      <c r="V1072" s="32"/>
      <c r="W1072" s="32"/>
      <c r="X1072" s="32">
        <f>Inventory[[#This Row],[Bsmt Area]]-Inventory[[#This Row],[FnBsmt]]</f>
        <v>0</v>
      </c>
      <c r="Y1072" s="32">
        <f>Inventory[[#This Row],[MainFn]]+Inventory[[#This Row],[UpprFn]]+Inventory[[#This Row],[AddFn]]+Inventory[[#This Row],[FnBsmt]]</f>
        <v>1200</v>
      </c>
      <c r="Z1072" s="32">
        <v>1500</v>
      </c>
      <c r="AA1072" s="31" t="s">
        <v>56</v>
      </c>
      <c r="AB1072" s="37"/>
      <c r="AC1072" s="37"/>
      <c r="AD1072" s="32"/>
      <c r="AE1072" s="32"/>
      <c r="AF1072" s="32"/>
      <c r="AG1072" s="32"/>
      <c r="AH1072" s="32"/>
      <c r="AI1072" s="30">
        <v>169388</v>
      </c>
      <c r="AJ1072" s="30">
        <v>147368</v>
      </c>
      <c r="AK1072" s="30">
        <v>1590</v>
      </c>
      <c r="AL1072" s="30">
        <v>0</v>
      </c>
      <c r="AM1072" s="30">
        <v>63200</v>
      </c>
      <c r="AN1072" s="30">
        <v>219100</v>
      </c>
      <c r="AO1072" s="30">
        <v>282300</v>
      </c>
      <c r="AP1072" s="30">
        <f>Lookups!$B$58*0.6</f>
        <v>132535.48800000001</v>
      </c>
      <c r="AQ1072" s="30">
        <f>Lookups!$B$58*0.4</f>
        <v>88356.992000000013</v>
      </c>
      <c r="AR1072" s="30">
        <f>Lookups!$B$59*Inventory[[#This Row],[LnAcres]]</f>
        <v>-21795.969453044734</v>
      </c>
      <c r="AS1072" s="30">
        <f>VLOOKUP(Inventory[[#This Row],[Qlty]],Lookups!$A$66:$E$79,2,FALSE)</f>
        <v>-1240.8083630000001</v>
      </c>
      <c r="AT1072" s="30">
        <f>VLOOKUP(Inventory[[#This Row],[Cnd]],Lookups!$A$80:$E$88,2,FALSE)</f>
        <v>30300.329274</v>
      </c>
      <c r="AU1072" s="30">
        <f>Inventory[[#This Row],[EffAge]]*Lookups!$B$65</f>
        <v>-3153.4919</v>
      </c>
      <c r="AV1072" s="30">
        <f>Inventory[[#This Row],[MainFn]]*Lookups!$B$90</f>
        <v>74892.456000000006</v>
      </c>
      <c r="AW1072" s="30">
        <f>Inventory[[#This Row],[UpprFn]]*Lookups!$B$91</f>
        <v>0</v>
      </c>
      <c r="AX1072" s="30">
        <f>Inventory[[#This Row],[Bsmt Area]]*Lookups!$B$95</f>
        <v>0</v>
      </c>
      <c r="AY1072" s="30">
        <f>Inventory[[#This Row],[AttGar]]*Lookups!$B$93</f>
        <v>0</v>
      </c>
      <c r="AZ1072" s="30">
        <f>ROUND(Inventory[[#This Row],[25Det]],-2)</f>
        <v>1600</v>
      </c>
      <c r="BA1072" s="30">
        <f>ROUND(SUM(Inventory[[#This Row],[Mdl Qlty]:[Mdl Garage Area]])+Inventory[[#This Row],[Mdl Res Intercept]],-2)</f>
        <v>233300</v>
      </c>
      <c r="BB1072" s="30">
        <f>ROUND(Inventory[[#This Row],[Mdl Land Intercept]]+Inventory[[#This Row],[Mdl LnAcres]],-2)</f>
        <v>66600</v>
      </c>
      <c r="BC1072" s="30">
        <f>Inventory[[#This Row],[Unadj Res Value]]+Inventory[[#This Row],[Unadj Det Value]]+Inventory[[#This Row],[Unadj Land Value]]</f>
        <v>301500</v>
      </c>
      <c r="BD1072" s="30">
        <f>(Inventory[[#This Row],[Unadj Total Value]]-Inventory[[#This Row],[24Final]])/Inventory[[#This Row],[24Final]]</f>
        <v>6.8012752391073322E-2</v>
      </c>
      <c r="BE1072" s="30">
        <f>VLOOKUP(Inventory[[#This Row],[Nbhd]],Lookups!$M$3:$P$5,4,FALSE)</f>
        <v>0.99970000000000003</v>
      </c>
      <c r="BF1072" s="30">
        <f>VLOOKUP(Inventory[[#This Row],[Qlty]],Lookups!$M$8:$P$22,4,FALSE)</f>
        <v>1.0022</v>
      </c>
      <c r="BG1072" s="30">
        <f>VLOOKUP(Inventory[[#This Row],[Cnd]],Lookups!$R$8:$U$17,4,FALSE)</f>
        <v>0.997</v>
      </c>
      <c r="BH1072" s="30">
        <f>VLOOKUP(Inventory[[#This Row],[LivArea Range]],Lookups!$R$25:$U$43,4,FALSE)</f>
        <v>0.99519999999999997</v>
      </c>
      <c r="BI1072" s="30">
        <f>VLOOKUP(Inventory[[#This Row],[Decade]],Lookups!$M$24:$P$40,4,FALSE)</f>
        <v>0.99560000000000004</v>
      </c>
      <c r="BJ1072" s="30">
        <f>Inventory[[#This Row],[Nbhd Adj]]*0.95</f>
        <v>0.94971499999999998</v>
      </c>
      <c r="BK1072" s="30">
        <f>AVERAGE(Inventory[[#This Row],[Nbhd Adj]],Inventory[[#This Row],[Quality Adj]],Inventory[[#This Row],[Condition Adj]],Inventory[[#This Row],[Living Area Adj]],Inventory[[#This Row],[Decade Adj]])*0.95</f>
        <v>0.94804299999999997</v>
      </c>
      <c r="BL1072" s="30">
        <f>ROUND((SUM(Inventory[[#This Row],[Mdl Qlty]:[Mdl Garage Area]])+Inventory[[#This Row],[Mdl Res Intercept]])*Inventory[[#This Row],[Res Adj ]],-2)</f>
        <v>221200</v>
      </c>
      <c r="BM1072" s="30">
        <f>ROUND(Inventory[[#This Row],[25Det]]*Inventory[[#This Row],[Det/Nbhd Adj]],-2)</f>
        <v>1500</v>
      </c>
      <c r="BN1072" s="30">
        <f>Inventory[[#This Row],[Adjusted Res]]+Inventory[[#This Row],[Adj Det ]]</f>
        <v>222700</v>
      </c>
      <c r="BO1072" s="30">
        <f>ROUND((Inventory[[#This Row],[Mdl Land Intercept]]+Inventory[[#This Row],[Mdl LnAcres]])*Inventory[[#This Row],[Det/Nbhd Adj]],-2)</f>
        <v>63200</v>
      </c>
      <c r="BP1072" s="30">
        <f>Inventory[[#This Row],[Adjusted Impr Total]]+Inventory[[#This Row],[Adjusted Land Total]]</f>
        <v>285900</v>
      </c>
      <c r="BQ1072" s="30">
        <f>IFERROR((Inventory[[#This Row],[Adjusted Impr Total]]-Inventory[[#This Row],[24Bldg]])/Inventory[[#This Row],[24Bldg]],0)</f>
        <v>1.6430853491556367E-2</v>
      </c>
      <c r="BR1072" s="43">
        <f>(Inventory[[#This Row],[Adjusted Land Total]]-Inventory[[#This Row],[24Lnd]])/Inventory[[#This Row],[24Lnd]]</f>
        <v>0</v>
      </c>
      <c r="BS1072" s="43">
        <f>(Inventory[[#This Row],[Adjusted Total]]-Inventory[[#This Row],[24Final]])/Inventory[[#This Row],[24Final]]</f>
        <v>1.2752391073326248E-2</v>
      </c>
    </row>
    <row r="1073" spans="1:71">
      <c r="A1073" s="30">
        <v>2025</v>
      </c>
      <c r="B1073" s="31" t="s">
        <v>1588</v>
      </c>
      <c r="C1073" s="31">
        <f>LN(Inventory[[#This Row],[Acres]])</f>
        <v>-1.0216512475319814</v>
      </c>
      <c r="D1073" s="30">
        <v>0.36</v>
      </c>
      <c r="E1073" s="30">
        <v>15672</v>
      </c>
      <c r="F1073" s="31" t="s">
        <v>505</v>
      </c>
      <c r="G1073" s="31" t="s">
        <v>155</v>
      </c>
      <c r="H1073" s="31" t="s">
        <v>5</v>
      </c>
      <c r="I1073" s="31" t="s">
        <v>506</v>
      </c>
      <c r="J1073" s="31" t="s">
        <v>507</v>
      </c>
      <c r="K1073" s="31" t="s">
        <v>193</v>
      </c>
      <c r="L1073" s="31" t="s">
        <v>17</v>
      </c>
      <c r="M1073" s="31" t="s">
        <v>20</v>
      </c>
      <c r="N1073" s="31">
        <v>20</v>
      </c>
      <c r="O1073" s="31">
        <f>2024-Inventory[[#This Row],[YrBlt]]</f>
        <v>29</v>
      </c>
      <c r="P1073" s="31">
        <f>2024-Inventory[[#This Row],[EffYr]]</f>
        <v>29</v>
      </c>
      <c r="Q1073" s="30">
        <v>1995</v>
      </c>
      <c r="R1073" s="30">
        <v>1995</v>
      </c>
      <c r="S1073" s="30">
        <v>1088</v>
      </c>
      <c r="T1073" s="37"/>
      <c r="U1073" s="32"/>
      <c r="V1073" s="32"/>
      <c r="W1073" s="32"/>
      <c r="X1073" s="32">
        <f>Inventory[[#This Row],[Bsmt Area]]-Inventory[[#This Row],[FnBsmt]]</f>
        <v>0</v>
      </c>
      <c r="Y1073" s="32">
        <f>Inventory[[#This Row],[MainFn]]+Inventory[[#This Row],[UpprFn]]+Inventory[[#This Row],[AddFn]]+Inventory[[#This Row],[FnBsmt]]</f>
        <v>1088</v>
      </c>
      <c r="Z1073" s="32">
        <v>1500</v>
      </c>
      <c r="AA1073" s="31" t="s">
        <v>56</v>
      </c>
      <c r="AB1073" s="32"/>
      <c r="AC1073" s="38">
        <v>312</v>
      </c>
      <c r="AD1073" s="37"/>
      <c r="AE1073" s="32"/>
      <c r="AF1073" s="32"/>
      <c r="AG1073" s="32"/>
      <c r="AH1073" s="32"/>
      <c r="AI1073" s="30">
        <v>188734</v>
      </c>
      <c r="AJ1073" s="30">
        <v>164199</v>
      </c>
      <c r="AK1073" s="30">
        <v>0</v>
      </c>
      <c r="AL1073" s="30">
        <v>0</v>
      </c>
      <c r="AM1073" s="30">
        <v>72200</v>
      </c>
      <c r="AN1073" s="30">
        <v>239000</v>
      </c>
      <c r="AO1073" s="30">
        <v>311200</v>
      </c>
      <c r="AP1073" s="30">
        <f>Lookups!$B$58*0.6</f>
        <v>132535.48800000001</v>
      </c>
      <c r="AQ1073" s="30">
        <f>Lookups!$B$58*0.4</f>
        <v>88356.992000000013</v>
      </c>
      <c r="AR1073" s="30">
        <f>Lookups!$B$59*Inventory[[#This Row],[LnAcres]]</f>
        <v>-13408.478922660182</v>
      </c>
      <c r="AS1073" s="30">
        <f>VLOOKUP(Inventory[[#This Row],[Qlty]],Lookups!$A$66:$E$79,2,FALSE)</f>
        <v>24371.765965999999</v>
      </c>
      <c r="AT1073" s="30">
        <f>VLOOKUP(Inventory[[#This Row],[Cnd]],Lookups!$A$80:$E$88,2,FALSE)</f>
        <v>30300.329274</v>
      </c>
      <c r="AU1073" s="30">
        <f>Inventory[[#This Row],[EffAge]]*Lookups!$B$65</f>
        <v>-3153.4919</v>
      </c>
      <c r="AV1073" s="30">
        <f>Inventory[[#This Row],[MainFn]]*Lookups!$B$90</f>
        <v>67902.493440000006</v>
      </c>
      <c r="AW1073" s="30">
        <f>Inventory[[#This Row],[UpprFn]]*Lookups!$B$91</f>
        <v>0</v>
      </c>
      <c r="AX1073" s="30">
        <f>Inventory[[#This Row],[Bsmt Area]]*Lookups!$B$95</f>
        <v>0</v>
      </c>
      <c r="AY1073" s="30">
        <f>Inventory[[#This Row],[AttGar]]*Lookups!$B$93</f>
        <v>11013.921672</v>
      </c>
      <c r="AZ1073" s="30">
        <f>ROUND(Inventory[[#This Row],[25Det]],-2)</f>
        <v>0</v>
      </c>
      <c r="BA1073" s="30">
        <f>ROUND(SUM(Inventory[[#This Row],[Mdl Qlty]:[Mdl Garage Area]])+Inventory[[#This Row],[Mdl Res Intercept]],-2)</f>
        <v>263000</v>
      </c>
      <c r="BB1073" s="30">
        <f>ROUND(Inventory[[#This Row],[Mdl Land Intercept]]+Inventory[[#This Row],[Mdl LnAcres]],-2)</f>
        <v>74900</v>
      </c>
      <c r="BC1073" s="30">
        <f>Inventory[[#This Row],[Unadj Res Value]]+Inventory[[#This Row],[Unadj Det Value]]+Inventory[[#This Row],[Unadj Land Value]]</f>
        <v>337900</v>
      </c>
      <c r="BD1073" s="30">
        <f>(Inventory[[#This Row],[Unadj Total Value]]-Inventory[[#This Row],[24Final]])/Inventory[[#This Row],[24Final]]</f>
        <v>8.5796915167095117E-2</v>
      </c>
      <c r="BE1073" s="30">
        <f>VLOOKUP(Inventory[[#This Row],[Nbhd]],Lookups!$M$3:$P$5,4,FALSE)</f>
        <v>0.99970000000000003</v>
      </c>
      <c r="BF1073" s="30">
        <f>VLOOKUP(Inventory[[#This Row],[Qlty]],Lookups!$M$8:$P$22,4,FALSE)</f>
        <v>0.99199999999999999</v>
      </c>
      <c r="BG1073" s="30">
        <f>VLOOKUP(Inventory[[#This Row],[Cnd]],Lookups!$R$8:$U$17,4,FALSE)</f>
        <v>0.997</v>
      </c>
      <c r="BH1073" s="30">
        <f>VLOOKUP(Inventory[[#This Row],[LivArea Range]],Lookups!$R$25:$U$43,4,FALSE)</f>
        <v>0.99519999999999997</v>
      </c>
      <c r="BI1073" s="30">
        <f>VLOOKUP(Inventory[[#This Row],[Decade]],Lookups!$M$24:$P$40,4,FALSE)</f>
        <v>0.99560000000000004</v>
      </c>
      <c r="BJ1073" s="30">
        <f>Inventory[[#This Row],[Nbhd Adj]]*0.95</f>
        <v>0.94971499999999998</v>
      </c>
      <c r="BK1073" s="30">
        <f>AVERAGE(Inventory[[#This Row],[Nbhd Adj]],Inventory[[#This Row],[Quality Adj]],Inventory[[#This Row],[Condition Adj]],Inventory[[#This Row],[Living Area Adj]],Inventory[[#This Row],[Decade Adj]])*0.95</f>
        <v>0.94610499999999997</v>
      </c>
      <c r="BL1073" s="30">
        <f>ROUND((SUM(Inventory[[#This Row],[Mdl Qlty]:[Mdl Garage Area]])+Inventory[[#This Row],[Mdl Res Intercept]])*Inventory[[#This Row],[Res Adj ]],-2)</f>
        <v>248800</v>
      </c>
      <c r="BM1073" s="30">
        <f>ROUND(Inventory[[#This Row],[25Det]]*Inventory[[#This Row],[Det/Nbhd Adj]],-2)</f>
        <v>0</v>
      </c>
      <c r="BN1073" s="30">
        <f>Inventory[[#This Row],[Adjusted Res]]+Inventory[[#This Row],[Adj Det ]]</f>
        <v>248800</v>
      </c>
      <c r="BO1073" s="30">
        <f>ROUND((Inventory[[#This Row],[Mdl Land Intercept]]+Inventory[[#This Row],[Mdl LnAcres]])*Inventory[[#This Row],[Det/Nbhd Adj]],-2)</f>
        <v>71200</v>
      </c>
      <c r="BP1073" s="30">
        <f>Inventory[[#This Row],[Adjusted Impr Total]]+Inventory[[#This Row],[Adjusted Land Total]]</f>
        <v>320000</v>
      </c>
      <c r="BQ1073" s="30">
        <f>IFERROR((Inventory[[#This Row],[Adjusted Impr Total]]-Inventory[[#This Row],[24Bldg]])/Inventory[[#This Row],[24Bldg]],0)</f>
        <v>4.1004184100418409E-2</v>
      </c>
      <c r="BR1073" s="43">
        <f>(Inventory[[#This Row],[Adjusted Land Total]]-Inventory[[#This Row],[24Lnd]])/Inventory[[#This Row],[24Lnd]]</f>
        <v>-1.3850415512465374E-2</v>
      </c>
      <c r="BS1073" s="43">
        <f>(Inventory[[#This Row],[Adjusted Total]]-Inventory[[#This Row],[24Final]])/Inventory[[#This Row],[24Final]]</f>
        <v>2.8277634961439587E-2</v>
      </c>
    </row>
    <row r="1074" spans="1:71">
      <c r="A1074" s="30">
        <v>2025</v>
      </c>
      <c r="B1074" s="31" t="s">
        <v>1589</v>
      </c>
      <c r="C1074" s="31">
        <f>LN(Inventory[[#This Row],[Acres]])</f>
        <v>9.5310179804324935E-2</v>
      </c>
      <c r="D1074" s="30">
        <v>1.1000000000000001</v>
      </c>
      <c r="E1074" s="30">
        <v>48001</v>
      </c>
      <c r="F1074" s="31" t="s">
        <v>505</v>
      </c>
      <c r="G1074" s="31" t="s">
        <v>155</v>
      </c>
      <c r="H1074" s="31" t="s">
        <v>5</v>
      </c>
      <c r="I1074" s="31" t="s">
        <v>506</v>
      </c>
      <c r="J1074" s="31" t="s">
        <v>507</v>
      </c>
      <c r="K1074" s="31" t="s">
        <v>157</v>
      </c>
      <c r="L1074" s="31" t="s">
        <v>21</v>
      </c>
      <c r="M1074" s="31" t="s">
        <v>22</v>
      </c>
      <c r="N1074" s="31">
        <v>20</v>
      </c>
      <c r="O1074" s="31">
        <f>2024-Inventory[[#This Row],[YrBlt]]</f>
        <v>29</v>
      </c>
      <c r="P1074" s="31">
        <f>2024-Inventory[[#This Row],[EffYr]]</f>
        <v>29</v>
      </c>
      <c r="Q1074" s="30">
        <v>1995</v>
      </c>
      <c r="R1074" s="30">
        <v>1995</v>
      </c>
      <c r="S1074" s="30">
        <v>1240</v>
      </c>
      <c r="T1074" s="38">
        <v>1226</v>
      </c>
      <c r="U1074" s="32"/>
      <c r="V1074" s="32"/>
      <c r="W1074" s="32"/>
      <c r="X1074" s="32">
        <f>Inventory[[#This Row],[Bsmt Area]]-Inventory[[#This Row],[FnBsmt]]</f>
        <v>0</v>
      </c>
      <c r="Y1074" s="32">
        <f>Inventory[[#This Row],[MainFn]]+Inventory[[#This Row],[UpprFn]]+Inventory[[#This Row],[AddFn]]+Inventory[[#This Row],[FnBsmt]]</f>
        <v>2466</v>
      </c>
      <c r="Z1074" s="32">
        <v>2500</v>
      </c>
      <c r="AA1074" s="31" t="s">
        <v>56</v>
      </c>
      <c r="AB1074" s="32"/>
      <c r="AC1074" s="37"/>
      <c r="AD1074" s="38">
        <v>368</v>
      </c>
      <c r="AE1074" s="32"/>
      <c r="AF1074" s="32"/>
      <c r="AG1074" s="32"/>
      <c r="AH1074" s="32"/>
      <c r="AI1074" s="30">
        <v>488659</v>
      </c>
      <c r="AJ1074" s="30">
        <v>425133</v>
      </c>
      <c r="AK1074" s="30">
        <v>44382</v>
      </c>
      <c r="AL1074" s="30">
        <v>0</v>
      </c>
      <c r="AM1074" s="30">
        <v>87800</v>
      </c>
      <c r="AN1074" s="30">
        <v>397700</v>
      </c>
      <c r="AO1074" s="30">
        <v>485500</v>
      </c>
      <c r="AP1074" s="30">
        <f>Lookups!$B$58*0.6</f>
        <v>132535.48800000001</v>
      </c>
      <c r="AQ1074" s="30">
        <f>Lookups!$B$58*0.4</f>
        <v>88356.992000000013</v>
      </c>
      <c r="AR1074" s="30">
        <f>Lookups!$B$59*Inventory[[#This Row],[LnAcres]]</f>
        <v>1250.8813943196776</v>
      </c>
      <c r="AS1074" s="30">
        <f>VLOOKUP(Inventory[[#This Row],[Qlty]],Lookups!$A$66:$E$79,2,FALSE)</f>
        <v>32917.849192000001</v>
      </c>
      <c r="AT1074" s="30">
        <f>VLOOKUP(Inventory[[#This Row],[Cnd]],Lookups!$A$80:$E$88,2,FALSE)</f>
        <v>50438.379078999998</v>
      </c>
      <c r="AU1074" s="30">
        <f>Inventory[[#This Row],[EffAge]]*Lookups!$B$65</f>
        <v>-3153.4919</v>
      </c>
      <c r="AV1074" s="30">
        <f>Inventory[[#This Row],[MainFn]]*Lookups!$B$90</f>
        <v>77388.871200000009</v>
      </c>
      <c r="AW1074" s="30">
        <f>Inventory[[#This Row],[UpprFn]]*Lookups!$B$91</f>
        <v>73045.549557999999</v>
      </c>
      <c r="AX1074" s="30">
        <f>Inventory[[#This Row],[Bsmt Area]]*Lookups!$B$95</f>
        <v>0</v>
      </c>
      <c r="AY1074" s="30">
        <f>Inventory[[#This Row],[AttGar]]*Lookups!$B$93</f>
        <v>0</v>
      </c>
      <c r="AZ1074" s="30">
        <f>ROUND(Inventory[[#This Row],[25Det]],-2)</f>
        <v>44400</v>
      </c>
      <c r="BA1074" s="30">
        <f>ROUND(SUM(Inventory[[#This Row],[Mdl Qlty]:[Mdl Garage Area]])+Inventory[[#This Row],[Mdl Res Intercept]],-2)</f>
        <v>363200</v>
      </c>
      <c r="BB1074" s="30">
        <f>ROUND(Inventory[[#This Row],[Mdl Land Intercept]]+Inventory[[#This Row],[Mdl LnAcres]],-2)</f>
        <v>89600</v>
      </c>
      <c r="BC1074" s="30">
        <f>Inventory[[#This Row],[Unadj Res Value]]+Inventory[[#This Row],[Unadj Det Value]]+Inventory[[#This Row],[Unadj Land Value]]</f>
        <v>497200</v>
      </c>
      <c r="BD1074" s="30">
        <f>(Inventory[[#This Row],[Unadj Total Value]]-Inventory[[#This Row],[24Final]])/Inventory[[#This Row],[24Final]]</f>
        <v>2.4098867147270855E-2</v>
      </c>
      <c r="BE1074" s="30">
        <f>VLOOKUP(Inventory[[#This Row],[Nbhd]],Lookups!$M$3:$P$5,4,FALSE)</f>
        <v>0.99970000000000003</v>
      </c>
      <c r="BF1074" s="30">
        <f>VLOOKUP(Inventory[[#This Row],[Qlty]],Lookups!$M$8:$P$22,4,FALSE)</f>
        <v>1.0019</v>
      </c>
      <c r="BG1074" s="30">
        <f>VLOOKUP(Inventory[[#This Row],[Cnd]],Lookups!$R$8:$U$17,4,FALSE)</f>
        <v>1.0007999999999999</v>
      </c>
      <c r="BH1074" s="30">
        <f>VLOOKUP(Inventory[[#This Row],[LivArea Range]],Lookups!$R$25:$U$43,4,FALSE)</f>
        <v>1.0008999999999999</v>
      </c>
      <c r="BI1074" s="30">
        <f>VLOOKUP(Inventory[[#This Row],[Decade]],Lookups!$M$24:$P$40,4,FALSE)</f>
        <v>0.99560000000000004</v>
      </c>
      <c r="BJ1074" s="30">
        <f>Inventory[[#This Row],[Nbhd Adj]]*0.95</f>
        <v>0.94971499999999998</v>
      </c>
      <c r="BK1074" s="30">
        <f>AVERAGE(Inventory[[#This Row],[Nbhd Adj]],Inventory[[#This Row],[Quality Adj]],Inventory[[#This Row],[Condition Adj]],Inventory[[#This Row],[Living Area Adj]],Inventory[[#This Row],[Decade Adj]])*0.95</f>
        <v>0.94979099999999972</v>
      </c>
      <c r="BL1074" s="30">
        <f>ROUND((SUM(Inventory[[#This Row],[Mdl Qlty]:[Mdl Garage Area]])+Inventory[[#This Row],[Mdl Res Intercept]])*Inventory[[#This Row],[Res Adj ]],-2)</f>
        <v>344900</v>
      </c>
      <c r="BM1074" s="30">
        <f>ROUND(Inventory[[#This Row],[25Det]]*Inventory[[#This Row],[Det/Nbhd Adj]],-2)</f>
        <v>42200</v>
      </c>
      <c r="BN1074" s="30">
        <f>Inventory[[#This Row],[Adjusted Res]]+Inventory[[#This Row],[Adj Det ]]</f>
        <v>387100</v>
      </c>
      <c r="BO1074" s="30">
        <f>ROUND((Inventory[[#This Row],[Mdl Land Intercept]]+Inventory[[#This Row],[Mdl LnAcres]])*Inventory[[#This Row],[Det/Nbhd Adj]],-2)</f>
        <v>85100</v>
      </c>
      <c r="BP1074" s="30">
        <f>Inventory[[#This Row],[Adjusted Impr Total]]+Inventory[[#This Row],[Adjusted Land Total]]</f>
        <v>472200</v>
      </c>
      <c r="BQ1074" s="30">
        <f>IFERROR((Inventory[[#This Row],[Adjusted Impr Total]]-Inventory[[#This Row],[24Bldg]])/Inventory[[#This Row],[24Bldg]],0)</f>
        <v>-2.6653256223283881E-2</v>
      </c>
      <c r="BR1074" s="43">
        <f>(Inventory[[#This Row],[Adjusted Land Total]]-Inventory[[#This Row],[24Lnd]])/Inventory[[#This Row],[24Lnd]]</f>
        <v>-3.0751708428246014E-2</v>
      </c>
      <c r="BS1074" s="43">
        <f>(Inventory[[#This Row],[Adjusted Total]]-Inventory[[#This Row],[24Final]])/Inventory[[#This Row],[24Final]]</f>
        <v>-2.7394438722966014E-2</v>
      </c>
    </row>
    <row r="1075" spans="1:71">
      <c r="A1075" s="30">
        <v>2025</v>
      </c>
      <c r="B1075" s="31" t="s">
        <v>1590</v>
      </c>
      <c r="C1075" s="31">
        <f>LN(Inventory[[#This Row],[Acres]])</f>
        <v>0.53062825106217038</v>
      </c>
      <c r="D1075" s="30">
        <v>1.7</v>
      </c>
      <c r="E1075" s="37"/>
      <c r="F1075" s="31" t="s">
        <v>505</v>
      </c>
      <c r="G1075" s="31" t="s">
        <v>155</v>
      </c>
      <c r="H1075" s="31" t="s">
        <v>5</v>
      </c>
      <c r="I1075" s="31" t="s">
        <v>506</v>
      </c>
      <c r="J1075" s="31" t="s">
        <v>507</v>
      </c>
      <c r="K1075" s="31" t="s">
        <v>330</v>
      </c>
      <c r="L1075" s="31" t="s">
        <v>21</v>
      </c>
      <c r="M1075" s="31" t="s">
        <v>22</v>
      </c>
      <c r="N1075" s="31">
        <v>20</v>
      </c>
      <c r="O1075" s="31">
        <f>2024-Inventory[[#This Row],[YrBlt]]</f>
        <v>29</v>
      </c>
      <c r="P1075" s="31">
        <f>2024-Inventory[[#This Row],[EffYr]]</f>
        <v>29</v>
      </c>
      <c r="Q1075" s="30">
        <v>1995</v>
      </c>
      <c r="R1075" s="30">
        <v>1995</v>
      </c>
      <c r="S1075" s="30">
        <v>2883</v>
      </c>
      <c r="T1075" s="32"/>
      <c r="U1075" s="32"/>
      <c r="V1075" s="32"/>
      <c r="W1075" s="32"/>
      <c r="X1075" s="32">
        <f>Inventory[[#This Row],[Bsmt Area]]-Inventory[[#This Row],[FnBsmt]]</f>
        <v>0</v>
      </c>
      <c r="Y1075" s="32">
        <f>Inventory[[#This Row],[MainFn]]+Inventory[[#This Row],[UpprFn]]+Inventory[[#This Row],[AddFn]]+Inventory[[#This Row],[FnBsmt]]</f>
        <v>2883</v>
      </c>
      <c r="Z1075" s="32">
        <v>3000</v>
      </c>
      <c r="AA1075" s="31" t="s">
        <v>55</v>
      </c>
      <c r="AB1075" s="32"/>
      <c r="AC1075" s="37"/>
      <c r="AD1075" s="32"/>
      <c r="AE1075" s="32"/>
      <c r="AF1075" s="32"/>
      <c r="AG1075" s="32"/>
      <c r="AH1075" s="32"/>
      <c r="AI1075" s="30">
        <v>598782</v>
      </c>
      <c r="AJ1075" s="30">
        <v>520940</v>
      </c>
      <c r="AK1075" s="30">
        <v>48061</v>
      </c>
      <c r="AL1075" s="30">
        <v>0</v>
      </c>
      <c r="AM1075" s="30">
        <v>93900</v>
      </c>
      <c r="AN1075" s="30">
        <v>383600</v>
      </c>
      <c r="AO1075" s="30">
        <v>477500</v>
      </c>
      <c r="AP1075" s="30">
        <f>Lookups!$B$58*0.6</f>
        <v>132535.48800000001</v>
      </c>
      <c r="AQ1075" s="30">
        <f>Lookups!$B$58*0.4</f>
        <v>88356.992000000013</v>
      </c>
      <c r="AR1075" s="30">
        <f>Lookups!$B$59*Inventory[[#This Row],[LnAcres]]</f>
        <v>6964.1354986085153</v>
      </c>
      <c r="AS1075" s="30">
        <f>VLOOKUP(Inventory[[#This Row],[Qlty]],Lookups!$A$66:$E$79,2,FALSE)</f>
        <v>32917.849192000001</v>
      </c>
      <c r="AT1075" s="30">
        <f>VLOOKUP(Inventory[[#This Row],[Cnd]],Lookups!$A$80:$E$88,2,FALSE)</f>
        <v>50438.379078999998</v>
      </c>
      <c r="AU1075" s="30">
        <f>Inventory[[#This Row],[EffAge]]*Lookups!$B$65</f>
        <v>-3153.4919</v>
      </c>
      <c r="AV1075" s="30">
        <f>Inventory[[#This Row],[MainFn]]*Lookups!$B$90</f>
        <v>179929.12554000001</v>
      </c>
      <c r="AW1075" s="30">
        <f>Inventory[[#This Row],[UpprFn]]*Lookups!$B$91</f>
        <v>0</v>
      </c>
      <c r="AX1075" s="30">
        <f>Inventory[[#This Row],[Bsmt Area]]*Lookups!$B$95</f>
        <v>0</v>
      </c>
      <c r="AY1075" s="30">
        <f>Inventory[[#This Row],[AttGar]]*Lookups!$B$93</f>
        <v>0</v>
      </c>
      <c r="AZ1075" s="30">
        <f>ROUND(Inventory[[#This Row],[25Det]],-2)</f>
        <v>48100</v>
      </c>
      <c r="BA1075" s="30">
        <f>ROUND(SUM(Inventory[[#This Row],[Mdl Qlty]:[Mdl Garage Area]])+Inventory[[#This Row],[Mdl Res Intercept]],-2)</f>
        <v>392700</v>
      </c>
      <c r="BB1075" s="30">
        <f>ROUND(Inventory[[#This Row],[Mdl Land Intercept]]+Inventory[[#This Row],[Mdl LnAcres]],-2)</f>
        <v>95300</v>
      </c>
      <c r="BC1075" s="30">
        <f>Inventory[[#This Row],[Unadj Res Value]]+Inventory[[#This Row],[Unadj Det Value]]+Inventory[[#This Row],[Unadj Land Value]]</f>
        <v>536100</v>
      </c>
      <c r="BD1075" s="30">
        <f>(Inventory[[#This Row],[Unadj Total Value]]-Inventory[[#This Row],[24Final]])/Inventory[[#This Row],[24Final]]</f>
        <v>0.12272251308900524</v>
      </c>
      <c r="BE1075" s="30">
        <f>VLOOKUP(Inventory[[#This Row],[Nbhd]],Lookups!$M$3:$P$5,4,FALSE)</f>
        <v>0.99970000000000003</v>
      </c>
      <c r="BF1075" s="30">
        <f>VLOOKUP(Inventory[[#This Row],[Qlty]],Lookups!$M$8:$P$22,4,FALSE)</f>
        <v>1.0019</v>
      </c>
      <c r="BG1075" s="30">
        <f>VLOOKUP(Inventory[[#This Row],[Cnd]],Lookups!$R$8:$U$17,4,FALSE)</f>
        <v>1.0007999999999999</v>
      </c>
      <c r="BH1075" s="30">
        <f>VLOOKUP(Inventory[[#This Row],[LivArea Range]],Lookups!$R$25:$U$43,4,FALSE)</f>
        <v>1.0099</v>
      </c>
      <c r="BI1075" s="30">
        <f>VLOOKUP(Inventory[[#This Row],[Decade]],Lookups!$M$24:$P$40,4,FALSE)</f>
        <v>0.99560000000000004</v>
      </c>
      <c r="BJ1075" s="30">
        <f>Inventory[[#This Row],[Nbhd Adj]]*0.95</f>
        <v>0.94971499999999998</v>
      </c>
      <c r="BK1075" s="30">
        <f>AVERAGE(Inventory[[#This Row],[Nbhd Adj]],Inventory[[#This Row],[Quality Adj]],Inventory[[#This Row],[Condition Adj]],Inventory[[#This Row],[Living Area Adj]],Inventory[[#This Row],[Decade Adj]])*0.95</f>
        <v>0.95150099999999982</v>
      </c>
      <c r="BL1075" s="30">
        <f>ROUND((SUM(Inventory[[#This Row],[Mdl Qlty]:[Mdl Garage Area]])+Inventory[[#This Row],[Mdl Res Intercept]])*Inventory[[#This Row],[Res Adj ]],-2)</f>
        <v>373600</v>
      </c>
      <c r="BM1075" s="30">
        <f>ROUND(Inventory[[#This Row],[25Det]]*Inventory[[#This Row],[Det/Nbhd Adj]],-2)</f>
        <v>45600</v>
      </c>
      <c r="BN1075" s="30">
        <f>Inventory[[#This Row],[Adjusted Res]]+Inventory[[#This Row],[Adj Det ]]</f>
        <v>419200</v>
      </c>
      <c r="BO1075" s="30">
        <f>ROUND((Inventory[[#This Row],[Mdl Land Intercept]]+Inventory[[#This Row],[Mdl LnAcres]])*Inventory[[#This Row],[Det/Nbhd Adj]],-2)</f>
        <v>90500</v>
      </c>
      <c r="BP1075" s="30">
        <f>Inventory[[#This Row],[Adjusted Impr Total]]+Inventory[[#This Row],[Adjusted Land Total]]</f>
        <v>509700</v>
      </c>
      <c r="BQ1075" s="30">
        <f>IFERROR((Inventory[[#This Row],[Adjusted Impr Total]]-Inventory[[#This Row],[24Bldg]])/Inventory[[#This Row],[24Bldg]],0)</f>
        <v>9.2805005213764336E-2</v>
      </c>
      <c r="BR1075" s="43">
        <f>(Inventory[[#This Row],[Adjusted Land Total]]-Inventory[[#This Row],[24Lnd]])/Inventory[[#This Row],[24Lnd]]</f>
        <v>-3.6208732694355698E-2</v>
      </c>
      <c r="BS1075" s="43">
        <f>(Inventory[[#This Row],[Adjusted Total]]-Inventory[[#This Row],[24Final]])/Inventory[[#This Row],[24Final]]</f>
        <v>6.7434554973821989E-2</v>
      </c>
    </row>
    <row r="1076" spans="1:71">
      <c r="A1076" s="30">
        <v>2025</v>
      </c>
      <c r="B1076" s="31" t="s">
        <v>1591</v>
      </c>
      <c r="C1076" s="31">
        <f>LN(Inventory[[#This Row],[Acres]])</f>
        <v>-1.8325814637483102</v>
      </c>
      <c r="D1076" s="30">
        <v>0.16</v>
      </c>
      <c r="E1076" s="30">
        <v>7101</v>
      </c>
      <c r="F1076" s="31" t="s">
        <v>505</v>
      </c>
      <c r="G1076" s="31" t="s">
        <v>155</v>
      </c>
      <c r="H1076" s="31" t="s">
        <v>5</v>
      </c>
      <c r="I1076" s="31" t="s">
        <v>506</v>
      </c>
      <c r="J1076" s="31" t="s">
        <v>507</v>
      </c>
      <c r="K1076" s="31" t="s">
        <v>330</v>
      </c>
      <c r="L1076" s="31" t="s">
        <v>21</v>
      </c>
      <c r="M1076" s="31" t="s">
        <v>22</v>
      </c>
      <c r="N1076" s="31">
        <v>30</v>
      </c>
      <c r="O1076" s="31">
        <f>2024-Inventory[[#This Row],[YrBlt]]</f>
        <v>30</v>
      </c>
      <c r="P1076" s="31">
        <f>2024-Inventory[[#This Row],[EffYr]]</f>
        <v>30</v>
      </c>
      <c r="Q1076" s="30">
        <v>1994</v>
      </c>
      <c r="R1076" s="30">
        <v>1994</v>
      </c>
      <c r="S1076" s="30">
        <v>1937</v>
      </c>
      <c r="T1076" s="37"/>
      <c r="U1076" s="32"/>
      <c r="V1076" s="32"/>
      <c r="W1076" s="32"/>
      <c r="X1076" s="32">
        <f>Inventory[[#This Row],[Bsmt Area]]-Inventory[[#This Row],[FnBsmt]]</f>
        <v>0</v>
      </c>
      <c r="Y1076" s="32">
        <f>Inventory[[#This Row],[MainFn]]+Inventory[[#This Row],[UpprFn]]+Inventory[[#This Row],[AddFn]]+Inventory[[#This Row],[FnBsmt]]</f>
        <v>1937</v>
      </c>
      <c r="Z1076" s="32">
        <v>2000</v>
      </c>
      <c r="AA1076" s="31" t="s">
        <v>55</v>
      </c>
      <c r="AB1076" s="37"/>
      <c r="AC1076" s="38">
        <v>504</v>
      </c>
      <c r="AD1076" s="37"/>
      <c r="AE1076" s="32"/>
      <c r="AF1076" s="32"/>
      <c r="AG1076" s="32"/>
      <c r="AH1076" s="32"/>
      <c r="AI1076" s="30">
        <v>432619</v>
      </c>
      <c r="AJ1076" s="30">
        <v>376379</v>
      </c>
      <c r="AK1076" s="30">
        <v>0</v>
      </c>
      <c r="AL1076" s="30">
        <v>0</v>
      </c>
      <c r="AM1076" s="30">
        <v>60800</v>
      </c>
      <c r="AN1076" s="30">
        <v>325500</v>
      </c>
      <c r="AO1076" s="30">
        <v>386300</v>
      </c>
      <c r="AP1076" s="30">
        <f>Lookups!$B$58*0.6</f>
        <v>132535.48800000001</v>
      </c>
      <c r="AQ1076" s="30">
        <f>Lookups!$B$58*0.4</f>
        <v>88356.992000000013</v>
      </c>
      <c r="AR1076" s="30">
        <f>Lookups!$B$59*Inventory[[#This Row],[LnAcres]]</f>
        <v>-24051.387388882686</v>
      </c>
      <c r="AS1076" s="30">
        <f>VLOOKUP(Inventory[[#This Row],[Qlty]],Lookups!$A$66:$E$79,2,FALSE)</f>
        <v>32917.849192000001</v>
      </c>
      <c r="AT1076" s="30">
        <f>VLOOKUP(Inventory[[#This Row],[Cnd]],Lookups!$A$80:$E$88,2,FALSE)</f>
        <v>50438.379078999998</v>
      </c>
      <c r="AU1076" s="30">
        <f>Inventory[[#This Row],[EffAge]]*Lookups!$B$65</f>
        <v>-3262.2330000000002</v>
      </c>
      <c r="AV1076" s="30">
        <f>Inventory[[#This Row],[MainFn]]*Lookups!$B$90</f>
        <v>120888.90606000001</v>
      </c>
      <c r="AW1076" s="30">
        <f>Inventory[[#This Row],[UpprFn]]*Lookups!$B$91</f>
        <v>0</v>
      </c>
      <c r="AX1076" s="30">
        <f>Inventory[[#This Row],[Bsmt Area]]*Lookups!$B$95</f>
        <v>0</v>
      </c>
      <c r="AY1076" s="30">
        <f>Inventory[[#This Row],[AttGar]]*Lookups!$B$93</f>
        <v>17791.719624000001</v>
      </c>
      <c r="AZ1076" s="30">
        <f>ROUND(Inventory[[#This Row],[25Det]],-2)</f>
        <v>0</v>
      </c>
      <c r="BA1076" s="30">
        <f>ROUND(SUM(Inventory[[#This Row],[Mdl Qlty]:[Mdl Garage Area]])+Inventory[[#This Row],[Mdl Res Intercept]],-2)</f>
        <v>351300</v>
      </c>
      <c r="BB1076" s="30">
        <f>ROUND(Inventory[[#This Row],[Mdl Land Intercept]]+Inventory[[#This Row],[Mdl LnAcres]],-2)</f>
        <v>64300</v>
      </c>
      <c r="BC1076" s="30">
        <f>Inventory[[#This Row],[Unadj Res Value]]+Inventory[[#This Row],[Unadj Det Value]]+Inventory[[#This Row],[Unadj Land Value]]</f>
        <v>415600</v>
      </c>
      <c r="BD1076" s="30">
        <f>(Inventory[[#This Row],[Unadj Total Value]]-Inventory[[#This Row],[24Final]])/Inventory[[#This Row],[24Final]]</f>
        <v>7.5847786694279051E-2</v>
      </c>
      <c r="BE1076" s="30">
        <f>VLOOKUP(Inventory[[#This Row],[Nbhd]],Lookups!$M$3:$P$5,4,FALSE)</f>
        <v>0.99970000000000003</v>
      </c>
      <c r="BF1076" s="30">
        <f>VLOOKUP(Inventory[[#This Row],[Qlty]],Lookups!$M$8:$P$22,4,FALSE)</f>
        <v>1.0019</v>
      </c>
      <c r="BG1076" s="30">
        <f>VLOOKUP(Inventory[[#This Row],[Cnd]],Lookups!$R$8:$U$17,4,FALSE)</f>
        <v>1.0007999999999999</v>
      </c>
      <c r="BH1076" s="30">
        <f>VLOOKUP(Inventory[[#This Row],[LivArea Range]],Lookups!$R$25:$U$43,4,FALSE)</f>
        <v>1.0007999999999999</v>
      </c>
      <c r="BI1076" s="30">
        <f>VLOOKUP(Inventory[[#This Row],[Decade]],Lookups!$M$24:$P$40,4,FALSE)</f>
        <v>1.0198</v>
      </c>
      <c r="BJ1076" s="30">
        <f>Inventory[[#This Row],[Nbhd Adj]]*0.95</f>
        <v>0.94971499999999998</v>
      </c>
      <c r="BK1076" s="30">
        <f>AVERAGE(Inventory[[#This Row],[Nbhd Adj]],Inventory[[#This Row],[Quality Adj]],Inventory[[#This Row],[Condition Adj]],Inventory[[#This Row],[Living Area Adj]],Inventory[[#This Row],[Decade Adj]])*0.95</f>
        <v>0.95436999999999994</v>
      </c>
      <c r="BL1076" s="30">
        <f>ROUND((SUM(Inventory[[#This Row],[Mdl Qlty]:[Mdl Garage Area]])+Inventory[[#This Row],[Mdl Res Intercept]])*Inventory[[#This Row],[Res Adj ]],-2)</f>
        <v>335300</v>
      </c>
      <c r="BM1076" s="30">
        <f>ROUND(Inventory[[#This Row],[25Det]]*Inventory[[#This Row],[Det/Nbhd Adj]],-2)</f>
        <v>0</v>
      </c>
      <c r="BN1076" s="30">
        <f>Inventory[[#This Row],[Adjusted Res]]+Inventory[[#This Row],[Adj Det ]]</f>
        <v>335300</v>
      </c>
      <c r="BO1076" s="30">
        <f>ROUND((Inventory[[#This Row],[Mdl Land Intercept]]+Inventory[[#This Row],[Mdl LnAcres]])*Inventory[[#This Row],[Det/Nbhd Adj]],-2)</f>
        <v>61100</v>
      </c>
      <c r="BP1076" s="30">
        <f>Inventory[[#This Row],[Adjusted Impr Total]]+Inventory[[#This Row],[Adjusted Land Total]]</f>
        <v>396400</v>
      </c>
      <c r="BQ1076" s="30">
        <f>IFERROR((Inventory[[#This Row],[Adjusted Impr Total]]-Inventory[[#This Row],[24Bldg]])/Inventory[[#This Row],[24Bldg]],0)</f>
        <v>3.0107526881720432E-2</v>
      </c>
      <c r="BR1076" s="43">
        <f>(Inventory[[#This Row],[Adjusted Land Total]]-Inventory[[#This Row],[24Lnd]])/Inventory[[#This Row],[24Lnd]]</f>
        <v>4.9342105263157892E-3</v>
      </c>
      <c r="BS1076" s="43">
        <f>(Inventory[[#This Row],[Adjusted Total]]-Inventory[[#This Row],[24Final]])/Inventory[[#This Row],[24Final]]</f>
        <v>2.6145482785399948E-2</v>
      </c>
    </row>
    <row r="1077" spans="1:71">
      <c r="A1077" s="30">
        <v>2025</v>
      </c>
      <c r="B1077" s="31" t="s">
        <v>1592</v>
      </c>
      <c r="C1077" s="31">
        <f>LN(Inventory[[#This Row],[Acres]])</f>
        <v>-1.8325814637483102</v>
      </c>
      <c r="D1077" s="30">
        <v>0.16</v>
      </c>
      <c r="E1077" s="30">
        <v>7060</v>
      </c>
      <c r="F1077" s="31" t="s">
        <v>505</v>
      </c>
      <c r="G1077" s="31" t="s">
        <v>155</v>
      </c>
      <c r="H1077" s="31" t="s">
        <v>5</v>
      </c>
      <c r="I1077" s="31" t="s">
        <v>506</v>
      </c>
      <c r="J1077" s="31" t="s">
        <v>507</v>
      </c>
      <c r="K1077" s="31" t="s">
        <v>193</v>
      </c>
      <c r="L1077" s="31" t="s">
        <v>21</v>
      </c>
      <c r="M1077" s="31" t="s">
        <v>18</v>
      </c>
      <c r="N1077" s="31">
        <v>30</v>
      </c>
      <c r="O1077" s="31">
        <f>2024-Inventory[[#This Row],[YrBlt]]</f>
        <v>30</v>
      </c>
      <c r="P1077" s="31">
        <f>2024-Inventory[[#This Row],[EffYr]]</f>
        <v>30</v>
      </c>
      <c r="Q1077" s="30">
        <v>1994</v>
      </c>
      <c r="R1077" s="30">
        <v>1994</v>
      </c>
      <c r="S1077" s="30">
        <v>1380</v>
      </c>
      <c r="T1077" s="37"/>
      <c r="U1077" s="32"/>
      <c r="V1077" s="32"/>
      <c r="W1077" s="32"/>
      <c r="X1077" s="32">
        <f>Inventory[[#This Row],[Bsmt Area]]-Inventory[[#This Row],[FnBsmt]]</f>
        <v>0</v>
      </c>
      <c r="Y1077" s="32">
        <f>Inventory[[#This Row],[MainFn]]+Inventory[[#This Row],[UpprFn]]+Inventory[[#This Row],[AddFn]]+Inventory[[#This Row],[FnBsmt]]</f>
        <v>1380</v>
      </c>
      <c r="Z1077" s="32">
        <v>1500</v>
      </c>
      <c r="AA1077" s="31" t="s">
        <v>56</v>
      </c>
      <c r="AB1077" s="37"/>
      <c r="AC1077" s="30">
        <v>380</v>
      </c>
      <c r="AD1077" s="32"/>
      <c r="AE1077" s="32"/>
      <c r="AF1077" s="32"/>
      <c r="AG1077" s="32"/>
      <c r="AH1077" s="32"/>
      <c r="AI1077" s="30">
        <v>311052</v>
      </c>
      <c r="AJ1077" s="30">
        <v>264394</v>
      </c>
      <c r="AK1077" s="30">
        <v>0</v>
      </c>
      <c r="AL1077" s="30">
        <v>0</v>
      </c>
      <c r="AM1077" s="30">
        <v>60800</v>
      </c>
      <c r="AN1077" s="30">
        <v>260100</v>
      </c>
      <c r="AO1077" s="30">
        <v>320900</v>
      </c>
      <c r="AP1077" s="30">
        <f>Lookups!$B$58*0.6</f>
        <v>132535.48800000001</v>
      </c>
      <c r="AQ1077" s="30">
        <f>Lookups!$B$58*0.4</f>
        <v>88356.992000000013</v>
      </c>
      <c r="AR1077" s="30">
        <f>Lookups!$B$59*Inventory[[#This Row],[LnAcres]]</f>
        <v>-24051.387388882686</v>
      </c>
      <c r="AS1077" s="30">
        <f>VLOOKUP(Inventory[[#This Row],[Qlty]],Lookups!$A$66:$E$79,2,FALSE)</f>
        <v>32917.849192000001</v>
      </c>
      <c r="AT1077" s="30">
        <f>VLOOKUP(Inventory[[#This Row],[Cnd]],Lookups!$A$80:$E$88,2,FALSE)</f>
        <v>17761.121909000001</v>
      </c>
      <c r="AU1077" s="30">
        <f>Inventory[[#This Row],[EffAge]]*Lookups!$B$65</f>
        <v>-3262.2330000000002</v>
      </c>
      <c r="AV1077" s="30">
        <f>Inventory[[#This Row],[MainFn]]*Lookups!$B$90</f>
        <v>86126.324399999998</v>
      </c>
      <c r="AW1077" s="30">
        <f>Inventory[[#This Row],[UpprFn]]*Lookups!$B$91</f>
        <v>0</v>
      </c>
      <c r="AX1077" s="30">
        <f>Inventory[[#This Row],[Bsmt Area]]*Lookups!$B$95</f>
        <v>0</v>
      </c>
      <c r="AY1077" s="30">
        <f>Inventory[[#This Row],[AttGar]]*Lookups!$B$93</f>
        <v>13414.39178</v>
      </c>
      <c r="AZ1077" s="30">
        <f>ROUND(Inventory[[#This Row],[25Det]],-2)</f>
        <v>0</v>
      </c>
      <c r="BA1077" s="30">
        <f>ROUND(SUM(Inventory[[#This Row],[Mdl Qlty]:[Mdl Garage Area]])+Inventory[[#This Row],[Mdl Res Intercept]],-2)</f>
        <v>279500</v>
      </c>
      <c r="BB1077" s="30">
        <f>ROUND(Inventory[[#This Row],[Mdl Land Intercept]]+Inventory[[#This Row],[Mdl LnAcres]],-2)</f>
        <v>64300</v>
      </c>
      <c r="BC1077" s="30">
        <f>Inventory[[#This Row],[Unadj Res Value]]+Inventory[[#This Row],[Unadj Det Value]]+Inventory[[#This Row],[Unadj Land Value]]</f>
        <v>343800</v>
      </c>
      <c r="BD1077" s="30">
        <f>(Inventory[[#This Row],[Unadj Total Value]]-Inventory[[#This Row],[24Final]])/Inventory[[#This Row],[24Final]]</f>
        <v>7.1361794951698351E-2</v>
      </c>
      <c r="BE1077" s="30">
        <f>VLOOKUP(Inventory[[#This Row],[Nbhd]],Lookups!$M$3:$P$5,4,FALSE)</f>
        <v>0.99970000000000003</v>
      </c>
      <c r="BF1077" s="30">
        <f>VLOOKUP(Inventory[[#This Row],[Qlty]],Lookups!$M$8:$P$22,4,FALSE)</f>
        <v>1.0019</v>
      </c>
      <c r="BG1077" s="30">
        <f>VLOOKUP(Inventory[[#This Row],[Cnd]],Lookups!$R$8:$U$17,4,FALSE)</f>
        <v>0.99680000000000002</v>
      </c>
      <c r="BH1077" s="30">
        <f>VLOOKUP(Inventory[[#This Row],[LivArea Range]],Lookups!$R$25:$U$43,4,FALSE)</f>
        <v>0.99519999999999997</v>
      </c>
      <c r="BI1077" s="30">
        <f>VLOOKUP(Inventory[[#This Row],[Decade]],Lookups!$M$24:$P$40,4,FALSE)</f>
        <v>1.0198</v>
      </c>
      <c r="BJ1077" s="30">
        <f>Inventory[[#This Row],[Nbhd Adj]]*0.95</f>
        <v>0.94971499999999998</v>
      </c>
      <c r="BK1077" s="30">
        <f>AVERAGE(Inventory[[#This Row],[Nbhd Adj]],Inventory[[#This Row],[Quality Adj]],Inventory[[#This Row],[Condition Adj]],Inventory[[#This Row],[Living Area Adj]],Inventory[[#This Row],[Decade Adj]])*0.95</f>
        <v>0.952546</v>
      </c>
      <c r="BL1077" s="30">
        <f>ROUND((SUM(Inventory[[#This Row],[Mdl Qlty]:[Mdl Garage Area]])+Inventory[[#This Row],[Mdl Res Intercept]])*Inventory[[#This Row],[Res Adj ]],-2)</f>
        <v>266200</v>
      </c>
      <c r="BM1077" s="30">
        <f>ROUND(Inventory[[#This Row],[25Det]]*Inventory[[#This Row],[Det/Nbhd Adj]],-2)</f>
        <v>0</v>
      </c>
      <c r="BN1077" s="30">
        <f>Inventory[[#This Row],[Adjusted Res]]+Inventory[[#This Row],[Adj Det ]]</f>
        <v>266200</v>
      </c>
      <c r="BO1077" s="30">
        <f>ROUND((Inventory[[#This Row],[Mdl Land Intercept]]+Inventory[[#This Row],[Mdl LnAcres]])*Inventory[[#This Row],[Det/Nbhd Adj]],-2)</f>
        <v>61100</v>
      </c>
      <c r="BP1077" s="30">
        <f>Inventory[[#This Row],[Adjusted Impr Total]]+Inventory[[#This Row],[Adjusted Land Total]]</f>
        <v>327300</v>
      </c>
      <c r="BQ1077" s="30">
        <f>IFERROR((Inventory[[#This Row],[Adjusted Impr Total]]-Inventory[[#This Row],[24Bldg]])/Inventory[[#This Row],[24Bldg]],0)</f>
        <v>2.3452518262206845E-2</v>
      </c>
      <c r="BR1077" s="43">
        <f>(Inventory[[#This Row],[Adjusted Land Total]]-Inventory[[#This Row],[24Lnd]])/Inventory[[#This Row],[24Lnd]]</f>
        <v>4.9342105263157892E-3</v>
      </c>
      <c r="BS1077" s="43">
        <f>(Inventory[[#This Row],[Adjusted Total]]-Inventory[[#This Row],[24Final]])/Inventory[[#This Row],[24Final]]</f>
        <v>1.9943907759426612E-2</v>
      </c>
    </row>
    <row r="1078" spans="1:71">
      <c r="A1078" s="30">
        <v>2025</v>
      </c>
      <c r="B1078" s="31" t="s">
        <v>1593</v>
      </c>
      <c r="C1078" s="31">
        <f>LN(Inventory[[#This Row],[Acres]])</f>
        <v>-1.8325814637483102</v>
      </c>
      <c r="D1078" s="30">
        <v>0.16</v>
      </c>
      <c r="E1078" s="30">
        <v>7038</v>
      </c>
      <c r="F1078" s="31" t="s">
        <v>505</v>
      </c>
      <c r="G1078" s="31" t="s">
        <v>155</v>
      </c>
      <c r="H1078" s="31" t="s">
        <v>5</v>
      </c>
      <c r="I1078" s="31" t="s">
        <v>506</v>
      </c>
      <c r="J1078" s="31" t="s">
        <v>507</v>
      </c>
      <c r="K1078" s="31" t="s">
        <v>193</v>
      </c>
      <c r="L1078" s="31" t="s">
        <v>21</v>
      </c>
      <c r="M1078" s="31" t="s">
        <v>20</v>
      </c>
      <c r="N1078" s="31">
        <v>30</v>
      </c>
      <c r="O1078" s="31">
        <f>2024-Inventory[[#This Row],[YrBlt]]</f>
        <v>30</v>
      </c>
      <c r="P1078" s="31">
        <f>2024-Inventory[[#This Row],[EffYr]]</f>
        <v>30</v>
      </c>
      <c r="Q1078" s="30">
        <v>1994</v>
      </c>
      <c r="R1078" s="30">
        <v>1994</v>
      </c>
      <c r="S1078" s="30">
        <v>1380</v>
      </c>
      <c r="T1078" s="32"/>
      <c r="U1078" s="32"/>
      <c r="V1078" s="32"/>
      <c r="W1078" s="32"/>
      <c r="X1078" s="32">
        <f>Inventory[[#This Row],[Bsmt Area]]-Inventory[[#This Row],[FnBsmt]]</f>
        <v>0</v>
      </c>
      <c r="Y1078" s="32">
        <f>Inventory[[#This Row],[MainFn]]+Inventory[[#This Row],[UpprFn]]+Inventory[[#This Row],[AddFn]]+Inventory[[#This Row],[FnBsmt]]</f>
        <v>1380</v>
      </c>
      <c r="Z1078" s="32">
        <v>1500</v>
      </c>
      <c r="AA1078" s="31" t="s">
        <v>56</v>
      </c>
      <c r="AB1078" s="37"/>
      <c r="AC1078" s="30">
        <v>380</v>
      </c>
      <c r="AD1078" s="32"/>
      <c r="AE1078" s="32"/>
      <c r="AF1078" s="32"/>
      <c r="AG1078" s="32"/>
      <c r="AH1078" s="32"/>
      <c r="AI1078" s="30">
        <v>334162</v>
      </c>
      <c r="AJ1078" s="30">
        <v>287379</v>
      </c>
      <c r="AK1078" s="30">
        <v>0</v>
      </c>
      <c r="AL1078" s="30">
        <v>0</v>
      </c>
      <c r="AM1078" s="30">
        <v>60800</v>
      </c>
      <c r="AN1078" s="30">
        <v>271600</v>
      </c>
      <c r="AO1078" s="30">
        <v>332400</v>
      </c>
      <c r="AP1078" s="30">
        <f>Lookups!$B$58*0.6</f>
        <v>132535.48800000001</v>
      </c>
      <c r="AQ1078" s="30">
        <f>Lookups!$B$58*0.4</f>
        <v>88356.992000000013</v>
      </c>
      <c r="AR1078" s="30">
        <f>Lookups!$B$59*Inventory[[#This Row],[LnAcres]]</f>
        <v>-24051.387388882686</v>
      </c>
      <c r="AS1078" s="30">
        <f>VLOOKUP(Inventory[[#This Row],[Qlty]],Lookups!$A$66:$E$79,2,FALSE)</f>
        <v>32917.849192000001</v>
      </c>
      <c r="AT1078" s="30">
        <f>VLOOKUP(Inventory[[#This Row],[Cnd]],Lookups!$A$80:$E$88,2,FALSE)</f>
        <v>30300.329274</v>
      </c>
      <c r="AU1078" s="30">
        <f>Inventory[[#This Row],[EffAge]]*Lookups!$B$65</f>
        <v>-3262.2330000000002</v>
      </c>
      <c r="AV1078" s="30">
        <f>Inventory[[#This Row],[MainFn]]*Lookups!$B$90</f>
        <v>86126.324399999998</v>
      </c>
      <c r="AW1078" s="30">
        <f>Inventory[[#This Row],[UpprFn]]*Lookups!$B$91</f>
        <v>0</v>
      </c>
      <c r="AX1078" s="30">
        <f>Inventory[[#This Row],[Bsmt Area]]*Lookups!$B$95</f>
        <v>0</v>
      </c>
      <c r="AY1078" s="30">
        <f>Inventory[[#This Row],[AttGar]]*Lookups!$B$93</f>
        <v>13414.39178</v>
      </c>
      <c r="AZ1078" s="30">
        <f>ROUND(Inventory[[#This Row],[25Det]],-2)</f>
        <v>0</v>
      </c>
      <c r="BA1078" s="30">
        <f>ROUND(SUM(Inventory[[#This Row],[Mdl Qlty]:[Mdl Garage Area]])+Inventory[[#This Row],[Mdl Res Intercept]],-2)</f>
        <v>292000</v>
      </c>
      <c r="BB1078" s="30">
        <f>ROUND(Inventory[[#This Row],[Mdl Land Intercept]]+Inventory[[#This Row],[Mdl LnAcres]],-2)</f>
        <v>64300</v>
      </c>
      <c r="BC1078" s="30">
        <f>Inventory[[#This Row],[Unadj Res Value]]+Inventory[[#This Row],[Unadj Det Value]]+Inventory[[#This Row],[Unadj Land Value]]</f>
        <v>356300</v>
      </c>
      <c r="BD1078" s="30">
        <f>(Inventory[[#This Row],[Unadj Total Value]]-Inventory[[#This Row],[24Final]])/Inventory[[#This Row],[24Final]]</f>
        <v>7.1901323706377862E-2</v>
      </c>
      <c r="BE1078" s="30">
        <f>VLOOKUP(Inventory[[#This Row],[Nbhd]],Lookups!$M$3:$P$5,4,FALSE)</f>
        <v>0.99970000000000003</v>
      </c>
      <c r="BF1078" s="30">
        <f>VLOOKUP(Inventory[[#This Row],[Qlty]],Lookups!$M$8:$P$22,4,FALSE)</f>
        <v>1.0019</v>
      </c>
      <c r="BG1078" s="30">
        <f>VLOOKUP(Inventory[[#This Row],[Cnd]],Lookups!$R$8:$U$17,4,FALSE)</f>
        <v>0.997</v>
      </c>
      <c r="BH1078" s="30">
        <f>VLOOKUP(Inventory[[#This Row],[LivArea Range]],Lookups!$R$25:$U$43,4,FALSE)</f>
        <v>0.99519999999999997</v>
      </c>
      <c r="BI1078" s="30">
        <f>VLOOKUP(Inventory[[#This Row],[Decade]],Lookups!$M$24:$P$40,4,FALSE)</f>
        <v>1.0198</v>
      </c>
      <c r="BJ1078" s="30">
        <f>Inventory[[#This Row],[Nbhd Adj]]*0.95</f>
        <v>0.94971499999999998</v>
      </c>
      <c r="BK1078" s="30">
        <f>AVERAGE(Inventory[[#This Row],[Nbhd Adj]],Inventory[[#This Row],[Quality Adj]],Inventory[[#This Row],[Condition Adj]],Inventory[[#This Row],[Living Area Adj]],Inventory[[#This Row],[Decade Adj]])*0.95</f>
        <v>0.95258399999999999</v>
      </c>
      <c r="BL1078" s="30">
        <f>ROUND((SUM(Inventory[[#This Row],[Mdl Qlty]:[Mdl Garage Area]])+Inventory[[#This Row],[Mdl Res Intercept]])*Inventory[[#This Row],[Res Adj ]],-2)</f>
        <v>278200</v>
      </c>
      <c r="BM1078" s="30">
        <f>ROUND(Inventory[[#This Row],[25Det]]*Inventory[[#This Row],[Det/Nbhd Adj]],-2)</f>
        <v>0</v>
      </c>
      <c r="BN1078" s="30">
        <f>Inventory[[#This Row],[Adjusted Res]]+Inventory[[#This Row],[Adj Det ]]</f>
        <v>278200</v>
      </c>
      <c r="BO1078" s="30">
        <f>ROUND((Inventory[[#This Row],[Mdl Land Intercept]]+Inventory[[#This Row],[Mdl LnAcres]])*Inventory[[#This Row],[Det/Nbhd Adj]],-2)</f>
        <v>61100</v>
      </c>
      <c r="BP1078" s="30">
        <f>Inventory[[#This Row],[Adjusted Impr Total]]+Inventory[[#This Row],[Adjusted Land Total]]</f>
        <v>339300</v>
      </c>
      <c r="BQ1078" s="30">
        <f>IFERROR((Inventory[[#This Row],[Adjusted Impr Total]]-Inventory[[#This Row],[24Bldg]])/Inventory[[#This Row],[24Bldg]],0)</f>
        <v>2.4300441826215022E-2</v>
      </c>
      <c r="BR1078" s="43">
        <f>(Inventory[[#This Row],[Adjusted Land Total]]-Inventory[[#This Row],[24Lnd]])/Inventory[[#This Row],[24Lnd]]</f>
        <v>4.9342105263157892E-3</v>
      </c>
      <c r="BS1078" s="43">
        <f>(Inventory[[#This Row],[Adjusted Total]]-Inventory[[#This Row],[24Final]])/Inventory[[#This Row],[24Final]]</f>
        <v>2.0758122743682311E-2</v>
      </c>
    </row>
    <row r="1079" spans="1:71">
      <c r="A1079" s="30">
        <v>2025</v>
      </c>
      <c r="B1079" s="31" t="s">
        <v>1594</v>
      </c>
      <c r="C1079" s="31">
        <f>LN(Inventory[[#This Row],[Acres]])</f>
        <v>-1.7719568419318752</v>
      </c>
      <c r="D1079" s="30">
        <v>0.17</v>
      </c>
      <c r="E1079" s="30">
        <v>7507</v>
      </c>
      <c r="F1079" s="31" t="s">
        <v>505</v>
      </c>
      <c r="G1079" s="31" t="s">
        <v>155</v>
      </c>
      <c r="H1079" s="31" t="s">
        <v>5</v>
      </c>
      <c r="I1079" s="31" t="s">
        <v>506</v>
      </c>
      <c r="J1079" s="31" t="s">
        <v>507</v>
      </c>
      <c r="K1079" s="31" t="s">
        <v>330</v>
      </c>
      <c r="L1079" s="31" t="s">
        <v>17</v>
      </c>
      <c r="M1079" s="31" t="s">
        <v>22</v>
      </c>
      <c r="N1079" s="31">
        <v>30</v>
      </c>
      <c r="O1079" s="31">
        <f>2024-Inventory[[#This Row],[YrBlt]]</f>
        <v>30</v>
      </c>
      <c r="P1079" s="31">
        <f>2024-Inventory[[#This Row],[EffYr]]</f>
        <v>30</v>
      </c>
      <c r="Q1079" s="30">
        <v>1994</v>
      </c>
      <c r="R1079" s="30">
        <v>1994</v>
      </c>
      <c r="S1079" s="30">
        <v>1322</v>
      </c>
      <c r="T1079" s="32"/>
      <c r="U1079" s="32"/>
      <c r="V1079" s="32"/>
      <c r="W1079" s="32"/>
      <c r="X1079" s="32">
        <f>Inventory[[#This Row],[Bsmt Area]]-Inventory[[#This Row],[FnBsmt]]</f>
        <v>0</v>
      </c>
      <c r="Y1079" s="32">
        <f>Inventory[[#This Row],[MainFn]]+Inventory[[#This Row],[UpprFn]]+Inventory[[#This Row],[AddFn]]+Inventory[[#This Row],[FnBsmt]]</f>
        <v>1322</v>
      </c>
      <c r="Z1079" s="32">
        <v>1500</v>
      </c>
      <c r="AA1079" s="31" t="s">
        <v>56</v>
      </c>
      <c r="AB1079" s="37"/>
      <c r="AC1079" s="30">
        <v>506</v>
      </c>
      <c r="AD1079" s="32"/>
      <c r="AE1079" s="32"/>
      <c r="AF1079" s="32"/>
      <c r="AG1079" s="32"/>
      <c r="AH1079" s="32"/>
      <c r="AI1079" s="30">
        <v>240397</v>
      </c>
      <c r="AJ1079" s="30">
        <v>209145</v>
      </c>
      <c r="AK1079" s="30">
        <v>0</v>
      </c>
      <c r="AL1079" s="30">
        <v>0</v>
      </c>
      <c r="AM1079" s="30">
        <v>61700</v>
      </c>
      <c r="AN1079" s="30">
        <v>279900</v>
      </c>
      <c r="AO1079" s="30">
        <v>341600</v>
      </c>
      <c r="AP1079" s="30">
        <f>Lookups!$B$58*0.6</f>
        <v>132535.48800000001</v>
      </c>
      <c r="AQ1079" s="30">
        <f>Lookups!$B$58*0.4</f>
        <v>88356.992000000013</v>
      </c>
      <c r="AR1079" s="30">
        <f>Lookups!$B$59*Inventory[[#This Row],[LnAcres]]</f>
        <v>-23255.730391660189</v>
      </c>
      <c r="AS1079" s="30">
        <f>VLOOKUP(Inventory[[#This Row],[Qlty]],Lookups!$A$66:$E$79,2,FALSE)</f>
        <v>24371.765965999999</v>
      </c>
      <c r="AT1079" s="30">
        <f>VLOOKUP(Inventory[[#This Row],[Cnd]],Lookups!$A$80:$E$88,2,FALSE)</f>
        <v>50438.379078999998</v>
      </c>
      <c r="AU1079" s="30">
        <f>Inventory[[#This Row],[EffAge]]*Lookups!$B$65</f>
        <v>-3262.2330000000002</v>
      </c>
      <c r="AV1079" s="30">
        <f>Inventory[[#This Row],[MainFn]]*Lookups!$B$90</f>
        <v>82506.522360000003</v>
      </c>
      <c r="AW1079" s="30">
        <f>Inventory[[#This Row],[UpprFn]]*Lookups!$B$91</f>
        <v>0</v>
      </c>
      <c r="AX1079" s="30">
        <f>Inventory[[#This Row],[Bsmt Area]]*Lookups!$B$95</f>
        <v>0</v>
      </c>
      <c r="AY1079" s="30">
        <f>Inventory[[#This Row],[AttGar]]*Lookups!$B$93</f>
        <v>17862.321685999999</v>
      </c>
      <c r="AZ1079" s="30">
        <f>ROUND(Inventory[[#This Row],[25Det]],-2)</f>
        <v>0</v>
      </c>
      <c r="BA1079" s="30">
        <f>ROUND(SUM(Inventory[[#This Row],[Mdl Qlty]:[Mdl Garage Area]])+Inventory[[#This Row],[Mdl Res Intercept]],-2)</f>
        <v>304500</v>
      </c>
      <c r="BB1079" s="30">
        <f>ROUND(Inventory[[#This Row],[Mdl Land Intercept]]+Inventory[[#This Row],[Mdl LnAcres]],-2)</f>
        <v>65100</v>
      </c>
      <c r="BC1079" s="30">
        <f>Inventory[[#This Row],[Unadj Res Value]]+Inventory[[#This Row],[Unadj Det Value]]+Inventory[[#This Row],[Unadj Land Value]]</f>
        <v>369600</v>
      </c>
      <c r="BD1079" s="30">
        <f>(Inventory[[#This Row],[Unadj Total Value]]-Inventory[[#This Row],[24Final]])/Inventory[[#This Row],[24Final]]</f>
        <v>8.1967213114754092E-2</v>
      </c>
      <c r="BE1079" s="30">
        <f>VLOOKUP(Inventory[[#This Row],[Nbhd]],Lookups!$M$3:$P$5,4,FALSE)</f>
        <v>0.99970000000000003</v>
      </c>
      <c r="BF1079" s="30">
        <f>VLOOKUP(Inventory[[#This Row],[Qlty]],Lookups!$M$8:$P$22,4,FALSE)</f>
        <v>0.99199999999999999</v>
      </c>
      <c r="BG1079" s="30">
        <f>VLOOKUP(Inventory[[#This Row],[Cnd]],Lookups!$R$8:$U$17,4,FALSE)</f>
        <v>1.0007999999999999</v>
      </c>
      <c r="BH1079" s="30">
        <f>VLOOKUP(Inventory[[#This Row],[LivArea Range]],Lookups!$R$25:$U$43,4,FALSE)</f>
        <v>0.99519999999999997</v>
      </c>
      <c r="BI1079" s="30">
        <f>VLOOKUP(Inventory[[#This Row],[Decade]],Lookups!$M$24:$P$40,4,FALSE)</f>
        <v>1.0198</v>
      </c>
      <c r="BJ1079" s="30">
        <f>Inventory[[#This Row],[Nbhd Adj]]*0.95</f>
        <v>0.94971499999999998</v>
      </c>
      <c r="BK1079" s="30">
        <f>AVERAGE(Inventory[[#This Row],[Nbhd Adj]],Inventory[[#This Row],[Quality Adj]],Inventory[[#This Row],[Condition Adj]],Inventory[[#This Row],[Living Area Adj]],Inventory[[#This Row],[Decade Adj]])*0.95</f>
        <v>0.95142499999999997</v>
      </c>
      <c r="BL1079" s="30">
        <f>ROUND((SUM(Inventory[[#This Row],[Mdl Qlty]:[Mdl Garage Area]])+Inventory[[#This Row],[Mdl Res Intercept]])*Inventory[[#This Row],[Res Adj ]],-2)</f>
        <v>289700</v>
      </c>
      <c r="BM1079" s="30">
        <f>ROUND(Inventory[[#This Row],[25Det]]*Inventory[[#This Row],[Det/Nbhd Adj]],-2)</f>
        <v>0</v>
      </c>
      <c r="BN1079" s="30">
        <f>Inventory[[#This Row],[Adjusted Res]]+Inventory[[#This Row],[Adj Det ]]</f>
        <v>289700</v>
      </c>
      <c r="BO1079" s="30">
        <f>ROUND((Inventory[[#This Row],[Mdl Land Intercept]]+Inventory[[#This Row],[Mdl LnAcres]])*Inventory[[#This Row],[Det/Nbhd Adj]],-2)</f>
        <v>61800</v>
      </c>
      <c r="BP1079" s="30">
        <f>Inventory[[#This Row],[Adjusted Impr Total]]+Inventory[[#This Row],[Adjusted Land Total]]</f>
        <v>351500</v>
      </c>
      <c r="BQ1079" s="30">
        <f>IFERROR((Inventory[[#This Row],[Adjusted Impr Total]]-Inventory[[#This Row],[24Bldg]])/Inventory[[#This Row],[24Bldg]],0)</f>
        <v>3.5012504465880674E-2</v>
      </c>
      <c r="BR1079" s="43">
        <f>(Inventory[[#This Row],[Adjusted Land Total]]-Inventory[[#This Row],[24Lnd]])/Inventory[[#This Row],[24Lnd]]</f>
        <v>1.6207455429497568E-3</v>
      </c>
      <c r="BS1079" s="43">
        <f>(Inventory[[#This Row],[Adjusted Total]]-Inventory[[#This Row],[24Final]])/Inventory[[#This Row],[24Final]]</f>
        <v>2.8981264637002343E-2</v>
      </c>
    </row>
    <row r="1080" spans="1:71">
      <c r="A1080" s="30">
        <v>2025</v>
      </c>
      <c r="B1080" s="31" t="s">
        <v>1595</v>
      </c>
      <c r="C1080" s="31">
        <f>LN(Inventory[[#This Row],[Acres]])</f>
        <v>-1.5606477482646683</v>
      </c>
      <c r="D1080" s="30">
        <v>0.21</v>
      </c>
      <c r="E1080" s="30">
        <v>9211</v>
      </c>
      <c r="F1080" s="31" t="s">
        <v>505</v>
      </c>
      <c r="G1080" s="31" t="s">
        <v>155</v>
      </c>
      <c r="H1080" s="31" t="s">
        <v>5</v>
      </c>
      <c r="I1080" s="31" t="s">
        <v>506</v>
      </c>
      <c r="J1080" s="31" t="s">
        <v>507</v>
      </c>
      <c r="K1080" s="31" t="s">
        <v>157</v>
      </c>
      <c r="L1080" s="31" t="s">
        <v>21</v>
      </c>
      <c r="M1080" s="31" t="s">
        <v>20</v>
      </c>
      <c r="N1080" s="31">
        <v>30</v>
      </c>
      <c r="O1080" s="31">
        <f>2024-Inventory[[#This Row],[YrBlt]]</f>
        <v>30</v>
      </c>
      <c r="P1080" s="31">
        <f>2024-Inventory[[#This Row],[EffYr]]</f>
        <v>30</v>
      </c>
      <c r="Q1080" s="30">
        <v>1994</v>
      </c>
      <c r="R1080" s="30">
        <v>1994</v>
      </c>
      <c r="S1080" s="30">
        <v>2227</v>
      </c>
      <c r="T1080" s="32"/>
      <c r="U1080" s="32"/>
      <c r="V1080" s="32"/>
      <c r="W1080" s="32"/>
      <c r="X1080" s="32">
        <f>Inventory[[#This Row],[Bsmt Area]]-Inventory[[#This Row],[FnBsmt]]</f>
        <v>0</v>
      </c>
      <c r="Y1080" s="32">
        <f>Inventory[[#This Row],[MainFn]]+Inventory[[#This Row],[UpprFn]]+Inventory[[#This Row],[AddFn]]+Inventory[[#This Row],[FnBsmt]]</f>
        <v>2227</v>
      </c>
      <c r="Z1080" s="32">
        <v>2500</v>
      </c>
      <c r="AA1080" s="31" t="s">
        <v>55</v>
      </c>
      <c r="AB1080" s="32"/>
      <c r="AC1080" s="30">
        <v>938</v>
      </c>
      <c r="AD1080" s="32"/>
      <c r="AE1080" s="32"/>
      <c r="AF1080" s="32"/>
      <c r="AG1080" s="32"/>
      <c r="AH1080" s="32"/>
      <c r="AI1080" s="30">
        <v>485897</v>
      </c>
      <c r="AJ1080" s="30">
        <v>417871</v>
      </c>
      <c r="AK1080" s="30">
        <v>0</v>
      </c>
      <c r="AL1080" s="30">
        <v>0</v>
      </c>
      <c r="AM1080" s="30">
        <v>64600</v>
      </c>
      <c r="AN1080" s="30">
        <v>332500</v>
      </c>
      <c r="AO1080" s="30">
        <v>397100</v>
      </c>
      <c r="AP1080" s="30">
        <f>Lookups!$B$58*0.6</f>
        <v>132535.48800000001</v>
      </c>
      <c r="AQ1080" s="30">
        <f>Lookups!$B$58*0.4</f>
        <v>88356.992000000013</v>
      </c>
      <c r="AR1080" s="30">
        <f>Lookups!$B$59*Inventory[[#This Row],[LnAcres]]</f>
        <v>-20482.442016152701</v>
      </c>
      <c r="AS1080" s="30">
        <f>VLOOKUP(Inventory[[#This Row],[Qlty]],Lookups!$A$66:$E$79,2,FALSE)</f>
        <v>32917.849192000001</v>
      </c>
      <c r="AT1080" s="30">
        <f>VLOOKUP(Inventory[[#This Row],[Cnd]],Lookups!$A$80:$E$88,2,FALSE)</f>
        <v>30300.329274</v>
      </c>
      <c r="AU1080" s="30">
        <f>Inventory[[#This Row],[EffAge]]*Lookups!$B$65</f>
        <v>-3262.2330000000002</v>
      </c>
      <c r="AV1080" s="30">
        <f>Inventory[[#This Row],[MainFn]]*Lookups!$B$90</f>
        <v>138987.91626</v>
      </c>
      <c r="AW1080" s="30">
        <f>Inventory[[#This Row],[UpprFn]]*Lookups!$B$91</f>
        <v>0</v>
      </c>
      <c r="AX1080" s="30">
        <f>Inventory[[#This Row],[Bsmt Area]]*Lookups!$B$95</f>
        <v>0</v>
      </c>
      <c r="AY1080" s="30">
        <f>Inventory[[#This Row],[AttGar]]*Lookups!$B$93</f>
        <v>33112.367078000003</v>
      </c>
      <c r="AZ1080" s="30">
        <f>ROUND(Inventory[[#This Row],[25Det]],-2)</f>
        <v>0</v>
      </c>
      <c r="BA1080" s="30">
        <f>ROUND(SUM(Inventory[[#This Row],[Mdl Qlty]:[Mdl Garage Area]])+Inventory[[#This Row],[Mdl Res Intercept]],-2)</f>
        <v>364600</v>
      </c>
      <c r="BB1080" s="30">
        <f>ROUND(Inventory[[#This Row],[Mdl Land Intercept]]+Inventory[[#This Row],[Mdl LnAcres]],-2)</f>
        <v>67900</v>
      </c>
      <c r="BC1080" s="30">
        <f>Inventory[[#This Row],[Unadj Res Value]]+Inventory[[#This Row],[Unadj Det Value]]+Inventory[[#This Row],[Unadj Land Value]]</f>
        <v>432500</v>
      </c>
      <c r="BD1080" s="30">
        <f>(Inventory[[#This Row],[Unadj Total Value]]-Inventory[[#This Row],[24Final]])/Inventory[[#This Row],[24Final]]</f>
        <v>8.9146310752958952E-2</v>
      </c>
      <c r="BE1080" s="30">
        <f>VLOOKUP(Inventory[[#This Row],[Nbhd]],Lookups!$M$3:$P$5,4,FALSE)</f>
        <v>0.99970000000000003</v>
      </c>
      <c r="BF1080" s="30">
        <f>VLOOKUP(Inventory[[#This Row],[Qlty]],Lookups!$M$8:$P$22,4,FALSE)</f>
        <v>1.0019</v>
      </c>
      <c r="BG1080" s="30">
        <f>VLOOKUP(Inventory[[#This Row],[Cnd]],Lookups!$R$8:$U$17,4,FALSE)</f>
        <v>0.997</v>
      </c>
      <c r="BH1080" s="30">
        <f>VLOOKUP(Inventory[[#This Row],[LivArea Range]],Lookups!$R$25:$U$43,4,FALSE)</f>
        <v>1.0008999999999999</v>
      </c>
      <c r="BI1080" s="30">
        <f>VLOOKUP(Inventory[[#This Row],[Decade]],Lookups!$M$24:$P$40,4,FALSE)</f>
        <v>1.0198</v>
      </c>
      <c r="BJ1080" s="30">
        <f>Inventory[[#This Row],[Nbhd Adj]]*0.95</f>
        <v>0.94971499999999998</v>
      </c>
      <c r="BK1080" s="30">
        <f>AVERAGE(Inventory[[#This Row],[Nbhd Adj]],Inventory[[#This Row],[Quality Adj]],Inventory[[#This Row],[Condition Adj]],Inventory[[#This Row],[Living Area Adj]],Inventory[[#This Row],[Decade Adj]])*0.95</f>
        <v>0.95366699999999993</v>
      </c>
      <c r="BL1080" s="30">
        <f>ROUND((SUM(Inventory[[#This Row],[Mdl Qlty]:[Mdl Garage Area]])+Inventory[[#This Row],[Mdl Res Intercept]])*Inventory[[#This Row],[Res Adj ]],-2)</f>
        <v>347700</v>
      </c>
      <c r="BM1080" s="30">
        <f>ROUND(Inventory[[#This Row],[25Det]]*Inventory[[#This Row],[Det/Nbhd Adj]],-2)</f>
        <v>0</v>
      </c>
      <c r="BN1080" s="30">
        <f>Inventory[[#This Row],[Adjusted Res]]+Inventory[[#This Row],[Adj Det ]]</f>
        <v>347700</v>
      </c>
      <c r="BO1080" s="30">
        <f>ROUND((Inventory[[#This Row],[Mdl Land Intercept]]+Inventory[[#This Row],[Mdl LnAcres]])*Inventory[[#This Row],[Det/Nbhd Adj]],-2)</f>
        <v>64500</v>
      </c>
      <c r="BP1080" s="30">
        <f>Inventory[[#This Row],[Adjusted Impr Total]]+Inventory[[#This Row],[Adjusted Land Total]]</f>
        <v>412200</v>
      </c>
      <c r="BQ1080" s="30">
        <f>IFERROR((Inventory[[#This Row],[Adjusted Impr Total]]-Inventory[[#This Row],[24Bldg]])/Inventory[[#This Row],[24Bldg]],0)</f>
        <v>4.5714285714285714E-2</v>
      </c>
      <c r="BR1080" s="43">
        <f>(Inventory[[#This Row],[Adjusted Land Total]]-Inventory[[#This Row],[24Lnd]])/Inventory[[#This Row],[24Lnd]]</f>
        <v>-1.5479876160990713E-3</v>
      </c>
      <c r="BS1080" s="43">
        <f>(Inventory[[#This Row],[Adjusted Total]]-Inventory[[#This Row],[24Final]])/Inventory[[#This Row],[24Final]]</f>
        <v>3.8025686225132208E-2</v>
      </c>
    </row>
    <row r="1081" spans="1:71">
      <c r="A1081" s="30">
        <v>2025</v>
      </c>
      <c r="B1081" s="31" t="s">
        <v>1596</v>
      </c>
      <c r="C1081" s="31">
        <f>LN(Inventory[[#This Row],[Acres]])</f>
        <v>-1.5606477482646683</v>
      </c>
      <c r="D1081" s="30">
        <v>0.21</v>
      </c>
      <c r="E1081" s="30">
        <v>8993</v>
      </c>
      <c r="F1081" s="31" t="s">
        <v>505</v>
      </c>
      <c r="G1081" s="31" t="s">
        <v>155</v>
      </c>
      <c r="H1081" s="31" t="s">
        <v>5</v>
      </c>
      <c r="I1081" s="31" t="s">
        <v>506</v>
      </c>
      <c r="J1081" s="31" t="s">
        <v>507</v>
      </c>
      <c r="K1081" s="31" t="s">
        <v>193</v>
      </c>
      <c r="L1081" s="31" t="s">
        <v>17</v>
      </c>
      <c r="M1081" s="31" t="s">
        <v>18</v>
      </c>
      <c r="N1081" s="31">
        <v>30</v>
      </c>
      <c r="O1081" s="31">
        <f>2024-Inventory[[#This Row],[YrBlt]]</f>
        <v>30</v>
      </c>
      <c r="P1081" s="31">
        <f>2024-Inventory[[#This Row],[EffYr]]</f>
        <v>30</v>
      </c>
      <c r="Q1081" s="30">
        <v>1994</v>
      </c>
      <c r="R1081" s="30">
        <v>1994</v>
      </c>
      <c r="S1081" s="30">
        <v>1424</v>
      </c>
      <c r="T1081" s="32"/>
      <c r="U1081" s="32"/>
      <c r="V1081" s="32"/>
      <c r="W1081" s="32"/>
      <c r="X1081" s="32">
        <f>Inventory[[#This Row],[Bsmt Area]]-Inventory[[#This Row],[FnBsmt]]</f>
        <v>0</v>
      </c>
      <c r="Y1081" s="32">
        <f>Inventory[[#This Row],[MainFn]]+Inventory[[#This Row],[UpprFn]]+Inventory[[#This Row],[AddFn]]+Inventory[[#This Row],[FnBsmt]]</f>
        <v>1424</v>
      </c>
      <c r="Z1081" s="32">
        <v>1500</v>
      </c>
      <c r="AA1081" s="31" t="s">
        <v>56</v>
      </c>
      <c r="AB1081" s="37"/>
      <c r="AC1081" s="37"/>
      <c r="AD1081" s="32"/>
      <c r="AE1081" s="32"/>
      <c r="AF1081" s="32"/>
      <c r="AG1081" s="32"/>
      <c r="AH1081" s="32"/>
      <c r="AI1081" s="30">
        <v>224457</v>
      </c>
      <c r="AJ1081" s="30">
        <v>190788</v>
      </c>
      <c r="AK1081" s="30">
        <v>0</v>
      </c>
      <c r="AL1081" s="30">
        <v>0</v>
      </c>
      <c r="AM1081" s="30">
        <v>64600</v>
      </c>
      <c r="AN1081" s="30">
        <v>237100</v>
      </c>
      <c r="AO1081" s="30">
        <v>301700</v>
      </c>
      <c r="AP1081" s="30">
        <f>Lookups!$B$58*0.6</f>
        <v>132535.48800000001</v>
      </c>
      <c r="AQ1081" s="30">
        <f>Lookups!$B$58*0.4</f>
        <v>88356.992000000013</v>
      </c>
      <c r="AR1081" s="30">
        <f>Lookups!$B$59*Inventory[[#This Row],[LnAcres]]</f>
        <v>-20482.442016152701</v>
      </c>
      <c r="AS1081" s="30">
        <f>VLOOKUP(Inventory[[#This Row],[Qlty]],Lookups!$A$66:$E$79,2,FALSE)</f>
        <v>24371.765965999999</v>
      </c>
      <c r="AT1081" s="30">
        <f>VLOOKUP(Inventory[[#This Row],[Cnd]],Lookups!$A$80:$E$88,2,FALSE)</f>
        <v>17761.121909000001</v>
      </c>
      <c r="AU1081" s="30">
        <f>Inventory[[#This Row],[EffAge]]*Lookups!$B$65</f>
        <v>-3262.2330000000002</v>
      </c>
      <c r="AV1081" s="30">
        <f>Inventory[[#This Row],[MainFn]]*Lookups!$B$90</f>
        <v>88872.381120000005</v>
      </c>
      <c r="AW1081" s="30">
        <f>Inventory[[#This Row],[UpprFn]]*Lookups!$B$91</f>
        <v>0</v>
      </c>
      <c r="AX1081" s="30">
        <f>Inventory[[#This Row],[Bsmt Area]]*Lookups!$B$95</f>
        <v>0</v>
      </c>
      <c r="AY1081" s="30">
        <f>Inventory[[#This Row],[AttGar]]*Lookups!$B$93</f>
        <v>0</v>
      </c>
      <c r="AZ1081" s="30">
        <f>ROUND(Inventory[[#This Row],[25Det]],-2)</f>
        <v>0</v>
      </c>
      <c r="BA1081" s="30">
        <f>ROUND(SUM(Inventory[[#This Row],[Mdl Qlty]:[Mdl Garage Area]])+Inventory[[#This Row],[Mdl Res Intercept]],-2)</f>
        <v>260300</v>
      </c>
      <c r="BB1081" s="30">
        <f>ROUND(Inventory[[#This Row],[Mdl Land Intercept]]+Inventory[[#This Row],[Mdl LnAcres]],-2)</f>
        <v>67900</v>
      </c>
      <c r="BC1081" s="30">
        <f>Inventory[[#This Row],[Unadj Res Value]]+Inventory[[#This Row],[Unadj Det Value]]+Inventory[[#This Row],[Unadj Land Value]]</f>
        <v>328200</v>
      </c>
      <c r="BD1081" s="30">
        <f>(Inventory[[#This Row],[Unadj Total Value]]-Inventory[[#This Row],[24Final]])/Inventory[[#This Row],[24Final]]</f>
        <v>8.7835598276433544E-2</v>
      </c>
      <c r="BE1081" s="30">
        <f>VLOOKUP(Inventory[[#This Row],[Nbhd]],Lookups!$M$3:$P$5,4,FALSE)</f>
        <v>0.99970000000000003</v>
      </c>
      <c r="BF1081" s="30">
        <f>VLOOKUP(Inventory[[#This Row],[Qlty]],Lookups!$M$8:$P$22,4,FALSE)</f>
        <v>0.99199999999999999</v>
      </c>
      <c r="BG1081" s="30">
        <f>VLOOKUP(Inventory[[#This Row],[Cnd]],Lookups!$R$8:$U$17,4,FALSE)</f>
        <v>0.99680000000000002</v>
      </c>
      <c r="BH1081" s="30">
        <f>VLOOKUP(Inventory[[#This Row],[LivArea Range]],Lookups!$R$25:$U$43,4,FALSE)</f>
        <v>0.99519999999999997</v>
      </c>
      <c r="BI1081" s="30">
        <f>VLOOKUP(Inventory[[#This Row],[Decade]],Lookups!$M$24:$P$40,4,FALSE)</f>
        <v>1.0198</v>
      </c>
      <c r="BJ1081" s="30">
        <f>Inventory[[#This Row],[Nbhd Adj]]*0.95</f>
        <v>0.94971499999999998</v>
      </c>
      <c r="BK1081" s="30">
        <f>AVERAGE(Inventory[[#This Row],[Nbhd Adj]],Inventory[[#This Row],[Quality Adj]],Inventory[[#This Row],[Condition Adj]],Inventory[[#This Row],[Living Area Adj]],Inventory[[#This Row],[Decade Adj]])*0.95</f>
        <v>0.95066500000000009</v>
      </c>
      <c r="BL1081" s="30">
        <f>ROUND((SUM(Inventory[[#This Row],[Mdl Qlty]:[Mdl Garage Area]])+Inventory[[#This Row],[Mdl Res Intercept]])*Inventory[[#This Row],[Res Adj ]],-2)</f>
        <v>247400</v>
      </c>
      <c r="BM1081" s="30">
        <f>ROUND(Inventory[[#This Row],[25Det]]*Inventory[[#This Row],[Det/Nbhd Adj]],-2)</f>
        <v>0</v>
      </c>
      <c r="BN1081" s="30">
        <f>Inventory[[#This Row],[Adjusted Res]]+Inventory[[#This Row],[Adj Det ]]</f>
        <v>247400</v>
      </c>
      <c r="BO1081" s="30">
        <f>ROUND((Inventory[[#This Row],[Mdl Land Intercept]]+Inventory[[#This Row],[Mdl LnAcres]])*Inventory[[#This Row],[Det/Nbhd Adj]],-2)</f>
        <v>64500</v>
      </c>
      <c r="BP1081" s="30">
        <f>Inventory[[#This Row],[Adjusted Impr Total]]+Inventory[[#This Row],[Adjusted Land Total]]</f>
        <v>311900</v>
      </c>
      <c r="BQ1081" s="30">
        <f>IFERROR((Inventory[[#This Row],[Adjusted Impr Total]]-Inventory[[#This Row],[24Bldg]])/Inventory[[#This Row],[24Bldg]],0)</f>
        <v>4.3441585828764236E-2</v>
      </c>
      <c r="BR1081" s="43">
        <f>(Inventory[[#This Row],[Adjusted Land Total]]-Inventory[[#This Row],[24Lnd]])/Inventory[[#This Row],[24Lnd]]</f>
        <v>-1.5479876160990713E-3</v>
      </c>
      <c r="BS1081" s="43">
        <f>(Inventory[[#This Row],[Adjusted Total]]-Inventory[[#This Row],[24Final]])/Inventory[[#This Row],[24Final]]</f>
        <v>3.3808418959231021E-2</v>
      </c>
    </row>
    <row r="1082" spans="1:71">
      <c r="A1082" s="30">
        <v>2025</v>
      </c>
      <c r="B1082" s="31" t="s">
        <v>1597</v>
      </c>
      <c r="C1082" s="31">
        <f>LN(Inventory[[#This Row],[Acres]])</f>
        <v>0.23111172096338664</v>
      </c>
      <c r="D1082" s="30">
        <v>1.26</v>
      </c>
      <c r="E1082" s="37"/>
      <c r="F1082" s="31" t="s">
        <v>505</v>
      </c>
      <c r="G1082" s="31" t="s">
        <v>155</v>
      </c>
      <c r="H1082" s="31" t="s">
        <v>5</v>
      </c>
      <c r="I1082" s="31" t="s">
        <v>506</v>
      </c>
      <c r="J1082" s="31" t="s">
        <v>507</v>
      </c>
      <c r="K1082" s="31" t="s">
        <v>330</v>
      </c>
      <c r="L1082" s="31" t="s">
        <v>21</v>
      </c>
      <c r="M1082" s="31" t="s">
        <v>22</v>
      </c>
      <c r="N1082" s="31">
        <v>30</v>
      </c>
      <c r="O1082" s="31">
        <f>2024-Inventory[[#This Row],[YrBlt]]</f>
        <v>30</v>
      </c>
      <c r="P1082" s="31">
        <f>2024-Inventory[[#This Row],[EffYr]]</f>
        <v>30</v>
      </c>
      <c r="Q1082" s="30">
        <v>1994</v>
      </c>
      <c r="R1082" s="30">
        <v>1994</v>
      </c>
      <c r="S1082" s="30">
        <v>1984</v>
      </c>
      <c r="T1082" s="32"/>
      <c r="U1082" s="32"/>
      <c r="V1082" s="32"/>
      <c r="W1082" s="32"/>
      <c r="X1082" s="32">
        <f>Inventory[[#This Row],[Bsmt Area]]-Inventory[[#This Row],[FnBsmt]]</f>
        <v>0</v>
      </c>
      <c r="Y1082" s="32">
        <f>Inventory[[#This Row],[MainFn]]+Inventory[[#This Row],[UpprFn]]+Inventory[[#This Row],[AddFn]]+Inventory[[#This Row],[FnBsmt]]</f>
        <v>1984</v>
      </c>
      <c r="Z1082" s="32">
        <v>2000</v>
      </c>
      <c r="AA1082" s="31" t="s">
        <v>55</v>
      </c>
      <c r="AB1082" s="32"/>
      <c r="AC1082" s="30">
        <v>528</v>
      </c>
      <c r="AD1082" s="32"/>
      <c r="AE1082" s="32"/>
      <c r="AF1082" s="32"/>
      <c r="AG1082" s="32"/>
      <c r="AH1082" s="32"/>
      <c r="AI1082" s="30">
        <v>415355</v>
      </c>
      <c r="AJ1082" s="30">
        <v>361359</v>
      </c>
      <c r="AK1082" s="30">
        <v>5811</v>
      </c>
      <c r="AL1082" s="30">
        <v>0</v>
      </c>
      <c r="AM1082" s="30">
        <v>89700</v>
      </c>
      <c r="AN1082" s="30">
        <v>323600</v>
      </c>
      <c r="AO1082" s="30">
        <v>413300</v>
      </c>
      <c r="AP1082" s="30">
        <f>Lookups!$B$58*0.6</f>
        <v>132535.48800000001</v>
      </c>
      <c r="AQ1082" s="30">
        <f>Lookups!$B$58*0.4</f>
        <v>88356.992000000013</v>
      </c>
      <c r="AR1082" s="30">
        <f>Lookups!$B$59*Inventory[[#This Row],[LnAcres]]</f>
        <v>3033.1844127859154</v>
      </c>
      <c r="AS1082" s="30">
        <f>VLOOKUP(Inventory[[#This Row],[Qlty]],Lookups!$A$66:$E$79,2,FALSE)</f>
        <v>32917.849192000001</v>
      </c>
      <c r="AT1082" s="30">
        <f>VLOOKUP(Inventory[[#This Row],[Cnd]],Lookups!$A$80:$E$88,2,FALSE)</f>
        <v>50438.379078999998</v>
      </c>
      <c r="AU1082" s="30">
        <f>Inventory[[#This Row],[EffAge]]*Lookups!$B$65</f>
        <v>-3262.2330000000002</v>
      </c>
      <c r="AV1082" s="30">
        <f>Inventory[[#This Row],[MainFn]]*Lookups!$B$90</f>
        <v>123822.19392000001</v>
      </c>
      <c r="AW1082" s="30">
        <f>Inventory[[#This Row],[UpprFn]]*Lookups!$B$91</f>
        <v>0</v>
      </c>
      <c r="AX1082" s="30">
        <f>Inventory[[#This Row],[Bsmt Area]]*Lookups!$B$95</f>
        <v>0</v>
      </c>
      <c r="AY1082" s="30">
        <f>Inventory[[#This Row],[AttGar]]*Lookups!$B$93</f>
        <v>18638.944368</v>
      </c>
      <c r="AZ1082" s="30">
        <f>ROUND(Inventory[[#This Row],[25Det]],-2)</f>
        <v>5800</v>
      </c>
      <c r="BA1082" s="30">
        <f>ROUND(SUM(Inventory[[#This Row],[Mdl Qlty]:[Mdl Garage Area]])+Inventory[[#This Row],[Mdl Res Intercept]],-2)</f>
        <v>355100</v>
      </c>
      <c r="BB1082" s="30">
        <f>ROUND(Inventory[[#This Row],[Mdl Land Intercept]]+Inventory[[#This Row],[Mdl LnAcres]],-2)</f>
        <v>91400</v>
      </c>
      <c r="BC1082" s="30">
        <f>Inventory[[#This Row],[Unadj Res Value]]+Inventory[[#This Row],[Unadj Det Value]]+Inventory[[#This Row],[Unadj Land Value]]</f>
        <v>452300</v>
      </c>
      <c r="BD1082" s="30">
        <f>(Inventory[[#This Row],[Unadj Total Value]]-Inventory[[#This Row],[24Final]])/Inventory[[#This Row],[24Final]]</f>
        <v>9.4362448584563274E-2</v>
      </c>
      <c r="BE1082" s="30">
        <f>VLOOKUP(Inventory[[#This Row],[Nbhd]],Lookups!$M$3:$P$5,4,FALSE)</f>
        <v>0.99970000000000003</v>
      </c>
      <c r="BF1082" s="30">
        <f>VLOOKUP(Inventory[[#This Row],[Qlty]],Lookups!$M$8:$P$22,4,FALSE)</f>
        <v>1.0019</v>
      </c>
      <c r="BG1082" s="30">
        <f>VLOOKUP(Inventory[[#This Row],[Cnd]],Lookups!$R$8:$U$17,4,FALSE)</f>
        <v>1.0007999999999999</v>
      </c>
      <c r="BH1082" s="30">
        <f>VLOOKUP(Inventory[[#This Row],[LivArea Range]],Lookups!$R$25:$U$43,4,FALSE)</f>
        <v>1.0007999999999999</v>
      </c>
      <c r="BI1082" s="30">
        <f>VLOOKUP(Inventory[[#This Row],[Decade]],Lookups!$M$24:$P$40,4,FALSE)</f>
        <v>1.0198</v>
      </c>
      <c r="BJ1082" s="30">
        <f>Inventory[[#This Row],[Nbhd Adj]]*0.95</f>
        <v>0.94971499999999998</v>
      </c>
      <c r="BK1082" s="30">
        <f>AVERAGE(Inventory[[#This Row],[Nbhd Adj]],Inventory[[#This Row],[Quality Adj]],Inventory[[#This Row],[Condition Adj]],Inventory[[#This Row],[Living Area Adj]],Inventory[[#This Row],[Decade Adj]])*0.95</f>
        <v>0.95436999999999994</v>
      </c>
      <c r="BL1082" s="30">
        <f>ROUND((SUM(Inventory[[#This Row],[Mdl Qlty]:[Mdl Garage Area]])+Inventory[[#This Row],[Mdl Res Intercept]])*Inventory[[#This Row],[Res Adj ]],-2)</f>
        <v>338900</v>
      </c>
      <c r="BM1082" s="30">
        <f>ROUND(Inventory[[#This Row],[25Det]]*Inventory[[#This Row],[Det/Nbhd Adj]],-2)</f>
        <v>5500</v>
      </c>
      <c r="BN1082" s="30">
        <f>Inventory[[#This Row],[Adjusted Res]]+Inventory[[#This Row],[Adj Det ]]</f>
        <v>344400</v>
      </c>
      <c r="BO1082" s="30">
        <f>ROUND((Inventory[[#This Row],[Mdl Land Intercept]]+Inventory[[#This Row],[Mdl LnAcres]])*Inventory[[#This Row],[Det/Nbhd Adj]],-2)</f>
        <v>86800</v>
      </c>
      <c r="BP1082" s="30">
        <f>Inventory[[#This Row],[Adjusted Impr Total]]+Inventory[[#This Row],[Adjusted Land Total]]</f>
        <v>431200</v>
      </c>
      <c r="BQ1082" s="30">
        <f>IFERROR((Inventory[[#This Row],[Adjusted Impr Total]]-Inventory[[#This Row],[24Bldg]])/Inventory[[#This Row],[24Bldg]],0)</f>
        <v>6.4276885043263288E-2</v>
      </c>
      <c r="BR1082" s="43">
        <f>(Inventory[[#This Row],[Adjusted Land Total]]-Inventory[[#This Row],[24Lnd]])/Inventory[[#This Row],[24Lnd]]</f>
        <v>-3.2329988851727984E-2</v>
      </c>
      <c r="BS1082" s="43">
        <f>(Inventory[[#This Row],[Adjusted Total]]-Inventory[[#This Row],[24Final]])/Inventory[[#This Row],[24Final]]</f>
        <v>4.3309944350350835E-2</v>
      </c>
    </row>
    <row r="1083" spans="1:71">
      <c r="A1083" s="30">
        <v>2025</v>
      </c>
      <c r="B1083" s="31" t="s">
        <v>1598</v>
      </c>
      <c r="C1083" s="31">
        <f>LN(Inventory[[#This Row],[Acres]])</f>
        <v>-1.7719568419318752</v>
      </c>
      <c r="D1083" s="30">
        <v>0.17</v>
      </c>
      <c r="E1083" s="30">
        <v>7504</v>
      </c>
      <c r="F1083" s="31" t="s">
        <v>505</v>
      </c>
      <c r="G1083" s="31" t="s">
        <v>155</v>
      </c>
      <c r="H1083" s="31" t="s">
        <v>5</v>
      </c>
      <c r="I1083" s="31" t="s">
        <v>506</v>
      </c>
      <c r="J1083" s="31" t="s">
        <v>507</v>
      </c>
      <c r="K1083" s="31" t="s">
        <v>330</v>
      </c>
      <c r="L1083" s="31" t="s">
        <v>21</v>
      </c>
      <c r="M1083" s="31" t="s">
        <v>18</v>
      </c>
      <c r="N1083" s="31">
        <v>30</v>
      </c>
      <c r="O1083" s="31">
        <f>2024-Inventory[[#This Row],[YrBlt]]</f>
        <v>31</v>
      </c>
      <c r="P1083" s="31">
        <f>2024-Inventory[[#This Row],[EffYr]]</f>
        <v>31</v>
      </c>
      <c r="Q1083" s="30">
        <v>1993</v>
      </c>
      <c r="R1083" s="30">
        <v>1993</v>
      </c>
      <c r="S1083" s="30">
        <v>1914</v>
      </c>
      <c r="T1083" s="32"/>
      <c r="U1083" s="32"/>
      <c r="V1083" s="32"/>
      <c r="W1083" s="32"/>
      <c r="X1083" s="32">
        <f>Inventory[[#This Row],[Bsmt Area]]-Inventory[[#This Row],[FnBsmt]]</f>
        <v>0</v>
      </c>
      <c r="Y1083" s="32">
        <f>Inventory[[#This Row],[MainFn]]+Inventory[[#This Row],[UpprFn]]+Inventory[[#This Row],[AddFn]]+Inventory[[#This Row],[FnBsmt]]</f>
        <v>1914</v>
      </c>
      <c r="Z1083" s="32">
        <v>2000</v>
      </c>
      <c r="AA1083" s="31" t="s">
        <v>55</v>
      </c>
      <c r="AB1083" s="37"/>
      <c r="AC1083" s="30">
        <v>480</v>
      </c>
      <c r="AD1083" s="32"/>
      <c r="AE1083" s="32"/>
      <c r="AF1083" s="32"/>
      <c r="AG1083" s="32"/>
      <c r="AH1083" s="32"/>
      <c r="AI1083" s="30">
        <v>406340</v>
      </c>
      <c r="AJ1083" s="30">
        <v>345389</v>
      </c>
      <c r="AK1083" s="30">
        <v>0</v>
      </c>
      <c r="AL1083" s="30">
        <v>0</v>
      </c>
      <c r="AM1083" s="30">
        <v>61700</v>
      </c>
      <c r="AN1083" s="30">
        <v>285000</v>
      </c>
      <c r="AO1083" s="30">
        <v>346700</v>
      </c>
      <c r="AP1083" s="30">
        <f>Lookups!$B$58*0.6</f>
        <v>132535.48800000001</v>
      </c>
      <c r="AQ1083" s="30">
        <f>Lookups!$B$58*0.4</f>
        <v>88356.992000000013</v>
      </c>
      <c r="AR1083" s="30">
        <f>Lookups!$B$59*Inventory[[#This Row],[LnAcres]]</f>
        <v>-23255.730391660189</v>
      </c>
      <c r="AS1083" s="30">
        <f>VLOOKUP(Inventory[[#This Row],[Qlty]],Lookups!$A$66:$E$79,2,FALSE)</f>
        <v>32917.849192000001</v>
      </c>
      <c r="AT1083" s="30">
        <f>VLOOKUP(Inventory[[#This Row],[Cnd]],Lookups!$A$80:$E$88,2,FALSE)</f>
        <v>17761.121909000001</v>
      </c>
      <c r="AU1083" s="30">
        <f>Inventory[[#This Row],[EffAge]]*Lookups!$B$65</f>
        <v>-3370.9740999999999</v>
      </c>
      <c r="AV1083" s="30">
        <f>Inventory[[#This Row],[MainFn]]*Lookups!$B$90</f>
        <v>119453.46732000001</v>
      </c>
      <c r="AW1083" s="30">
        <f>Inventory[[#This Row],[UpprFn]]*Lookups!$B$91</f>
        <v>0</v>
      </c>
      <c r="AX1083" s="30">
        <f>Inventory[[#This Row],[Bsmt Area]]*Lookups!$B$95</f>
        <v>0</v>
      </c>
      <c r="AY1083" s="30">
        <f>Inventory[[#This Row],[AttGar]]*Lookups!$B$93</f>
        <v>16944.494880000002</v>
      </c>
      <c r="AZ1083" s="30">
        <f>ROUND(Inventory[[#This Row],[25Det]],-2)</f>
        <v>0</v>
      </c>
      <c r="BA1083" s="30">
        <f>ROUND(SUM(Inventory[[#This Row],[Mdl Qlty]:[Mdl Garage Area]])+Inventory[[#This Row],[Mdl Res Intercept]],-2)</f>
        <v>316200</v>
      </c>
      <c r="BB1083" s="30">
        <f>ROUND(Inventory[[#This Row],[Mdl Land Intercept]]+Inventory[[#This Row],[Mdl LnAcres]],-2)</f>
        <v>65100</v>
      </c>
      <c r="BC1083" s="30">
        <f>Inventory[[#This Row],[Unadj Res Value]]+Inventory[[#This Row],[Unadj Det Value]]+Inventory[[#This Row],[Unadj Land Value]]</f>
        <v>381300</v>
      </c>
      <c r="BD1083" s="30">
        <f>(Inventory[[#This Row],[Unadj Total Value]]-Inventory[[#This Row],[24Final]])/Inventory[[#This Row],[24Final]]</f>
        <v>9.9798096336890685E-2</v>
      </c>
      <c r="BE1083" s="30">
        <f>VLOOKUP(Inventory[[#This Row],[Nbhd]],Lookups!$M$3:$P$5,4,FALSE)</f>
        <v>0.99970000000000003</v>
      </c>
      <c r="BF1083" s="30">
        <f>VLOOKUP(Inventory[[#This Row],[Qlty]],Lookups!$M$8:$P$22,4,FALSE)</f>
        <v>1.0019</v>
      </c>
      <c r="BG1083" s="30">
        <f>VLOOKUP(Inventory[[#This Row],[Cnd]],Lookups!$R$8:$U$17,4,FALSE)</f>
        <v>0.99680000000000002</v>
      </c>
      <c r="BH1083" s="30">
        <f>VLOOKUP(Inventory[[#This Row],[LivArea Range]],Lookups!$R$25:$U$43,4,FALSE)</f>
        <v>1.0007999999999999</v>
      </c>
      <c r="BI1083" s="30">
        <f>VLOOKUP(Inventory[[#This Row],[Decade]],Lookups!$M$24:$P$40,4,FALSE)</f>
        <v>1.0198</v>
      </c>
      <c r="BJ1083" s="30">
        <f>Inventory[[#This Row],[Nbhd Adj]]*0.95</f>
        <v>0.94971499999999998</v>
      </c>
      <c r="BK1083" s="30">
        <f>AVERAGE(Inventory[[#This Row],[Nbhd Adj]],Inventory[[#This Row],[Quality Adj]],Inventory[[#This Row],[Condition Adj]],Inventory[[#This Row],[Living Area Adj]],Inventory[[#This Row],[Decade Adj]])*0.95</f>
        <v>0.95360999999999996</v>
      </c>
      <c r="BL1083" s="30">
        <f>ROUND((SUM(Inventory[[#This Row],[Mdl Qlty]:[Mdl Garage Area]])+Inventory[[#This Row],[Mdl Res Intercept]])*Inventory[[#This Row],[Res Adj ]],-2)</f>
        <v>301600</v>
      </c>
      <c r="BM1083" s="30">
        <f>ROUND(Inventory[[#This Row],[25Det]]*Inventory[[#This Row],[Det/Nbhd Adj]],-2)</f>
        <v>0</v>
      </c>
      <c r="BN1083" s="30">
        <f>Inventory[[#This Row],[Adjusted Res]]+Inventory[[#This Row],[Adj Det ]]</f>
        <v>301600</v>
      </c>
      <c r="BO1083" s="30">
        <f>ROUND((Inventory[[#This Row],[Mdl Land Intercept]]+Inventory[[#This Row],[Mdl LnAcres]])*Inventory[[#This Row],[Det/Nbhd Adj]],-2)</f>
        <v>61800</v>
      </c>
      <c r="BP1083" s="30">
        <f>Inventory[[#This Row],[Adjusted Impr Total]]+Inventory[[#This Row],[Adjusted Land Total]]</f>
        <v>363400</v>
      </c>
      <c r="BQ1083" s="30">
        <f>IFERROR((Inventory[[#This Row],[Adjusted Impr Total]]-Inventory[[#This Row],[24Bldg]])/Inventory[[#This Row],[24Bldg]],0)</f>
        <v>5.8245614035087719E-2</v>
      </c>
      <c r="BR1083" s="43">
        <f>(Inventory[[#This Row],[Adjusted Land Total]]-Inventory[[#This Row],[24Lnd]])/Inventory[[#This Row],[24Lnd]]</f>
        <v>1.6207455429497568E-3</v>
      </c>
      <c r="BS1083" s="43">
        <f>(Inventory[[#This Row],[Adjusted Total]]-Inventory[[#This Row],[24Final]])/Inventory[[#This Row],[24Final]]</f>
        <v>4.8168445341794056E-2</v>
      </c>
    </row>
    <row r="1084" spans="1:71">
      <c r="A1084" s="30">
        <v>2025</v>
      </c>
      <c r="B1084" s="31" t="s">
        <v>1599</v>
      </c>
      <c r="C1084" s="31">
        <f>LN(Inventory[[#This Row],[Acres]])</f>
        <v>-1.6094379124341003</v>
      </c>
      <c r="D1084" s="30">
        <v>0.2</v>
      </c>
      <c r="E1084" s="30">
        <v>8829</v>
      </c>
      <c r="F1084" s="31" t="s">
        <v>505</v>
      </c>
      <c r="G1084" s="31" t="s">
        <v>155</v>
      </c>
      <c r="H1084" s="31" t="s">
        <v>5</v>
      </c>
      <c r="I1084" s="31" t="s">
        <v>506</v>
      </c>
      <c r="J1084" s="31" t="s">
        <v>507</v>
      </c>
      <c r="K1084" s="31" t="s">
        <v>330</v>
      </c>
      <c r="L1084" s="31" t="s">
        <v>15</v>
      </c>
      <c r="M1084" s="31" t="s">
        <v>20</v>
      </c>
      <c r="N1084" s="31">
        <v>30</v>
      </c>
      <c r="O1084" s="31">
        <f>2024-Inventory[[#This Row],[YrBlt]]</f>
        <v>31</v>
      </c>
      <c r="P1084" s="31">
        <f>2024-Inventory[[#This Row],[EffYr]]</f>
        <v>31</v>
      </c>
      <c r="Q1084" s="30">
        <v>1993</v>
      </c>
      <c r="R1084" s="30">
        <v>1993</v>
      </c>
      <c r="S1084" s="30">
        <v>864</v>
      </c>
      <c r="T1084" s="32"/>
      <c r="U1084" s="32"/>
      <c r="V1084" s="32"/>
      <c r="W1084" s="32"/>
      <c r="X1084" s="32">
        <f>Inventory[[#This Row],[Bsmt Area]]-Inventory[[#This Row],[FnBsmt]]</f>
        <v>0</v>
      </c>
      <c r="Y1084" s="32">
        <f>Inventory[[#This Row],[MainFn]]+Inventory[[#This Row],[UpprFn]]+Inventory[[#This Row],[AddFn]]+Inventory[[#This Row],[FnBsmt]]</f>
        <v>864</v>
      </c>
      <c r="Z1084" s="32">
        <v>1000</v>
      </c>
      <c r="AA1084" s="31" t="s">
        <v>56</v>
      </c>
      <c r="AB1084" s="32"/>
      <c r="AC1084" s="30">
        <v>336</v>
      </c>
      <c r="AD1084" s="32"/>
      <c r="AE1084" s="32"/>
      <c r="AF1084" s="32"/>
      <c r="AG1084" s="32"/>
      <c r="AH1084" s="32"/>
      <c r="AI1084" s="30">
        <v>148257</v>
      </c>
      <c r="AJ1084" s="30">
        <v>127501</v>
      </c>
      <c r="AK1084" s="30">
        <v>0</v>
      </c>
      <c r="AL1084" s="30">
        <v>0</v>
      </c>
      <c r="AM1084" s="30">
        <v>64000</v>
      </c>
      <c r="AN1084" s="30">
        <v>214100</v>
      </c>
      <c r="AO1084" s="30">
        <v>278100</v>
      </c>
      <c r="AP1084" s="30">
        <f>Lookups!$B$58*0.6</f>
        <v>132535.48800000001</v>
      </c>
      <c r="AQ1084" s="30">
        <f>Lookups!$B$58*0.4</f>
        <v>88356.992000000013</v>
      </c>
      <c r="AR1084" s="30">
        <f>Lookups!$B$59*Inventory[[#This Row],[LnAcres]]</f>
        <v>-21122.779792355024</v>
      </c>
      <c r="AS1084" s="30">
        <f>VLOOKUP(Inventory[[#This Row],[Qlty]],Lookups!$A$66:$E$79,2,FALSE)</f>
        <v>-1240.8083630000001</v>
      </c>
      <c r="AT1084" s="30">
        <f>VLOOKUP(Inventory[[#This Row],[Cnd]],Lookups!$A$80:$E$88,2,FALSE)</f>
        <v>30300.329274</v>
      </c>
      <c r="AU1084" s="30">
        <f>Inventory[[#This Row],[EffAge]]*Lookups!$B$65</f>
        <v>-3370.9740999999999</v>
      </c>
      <c r="AV1084" s="30">
        <f>Inventory[[#This Row],[MainFn]]*Lookups!$B$90</f>
        <v>53922.568320000006</v>
      </c>
      <c r="AW1084" s="30">
        <f>Inventory[[#This Row],[UpprFn]]*Lookups!$B$91</f>
        <v>0</v>
      </c>
      <c r="AX1084" s="30">
        <f>Inventory[[#This Row],[Bsmt Area]]*Lookups!$B$95</f>
        <v>0</v>
      </c>
      <c r="AY1084" s="30">
        <f>Inventory[[#This Row],[AttGar]]*Lookups!$B$93</f>
        <v>11861.146416000001</v>
      </c>
      <c r="AZ1084" s="30">
        <f>ROUND(Inventory[[#This Row],[25Det]],-2)</f>
        <v>0</v>
      </c>
      <c r="BA1084" s="30">
        <f>ROUND(SUM(Inventory[[#This Row],[Mdl Qlty]:[Mdl Garage Area]])+Inventory[[#This Row],[Mdl Res Intercept]],-2)</f>
        <v>224000</v>
      </c>
      <c r="BB1084" s="30">
        <f>ROUND(Inventory[[#This Row],[Mdl Land Intercept]]+Inventory[[#This Row],[Mdl LnAcres]],-2)</f>
        <v>67200</v>
      </c>
      <c r="BC1084" s="30">
        <f>Inventory[[#This Row],[Unadj Res Value]]+Inventory[[#This Row],[Unadj Det Value]]+Inventory[[#This Row],[Unadj Land Value]]</f>
        <v>291200</v>
      </c>
      <c r="BD1084" s="30">
        <f>(Inventory[[#This Row],[Unadj Total Value]]-Inventory[[#This Row],[24Final]])/Inventory[[#This Row],[24Final]]</f>
        <v>4.7105357784969437E-2</v>
      </c>
      <c r="BE1084" s="30">
        <f>VLOOKUP(Inventory[[#This Row],[Nbhd]],Lookups!$M$3:$P$5,4,FALSE)</f>
        <v>0.99970000000000003</v>
      </c>
      <c r="BF1084" s="30">
        <f>VLOOKUP(Inventory[[#This Row],[Qlty]],Lookups!$M$8:$P$22,4,FALSE)</f>
        <v>1.0022</v>
      </c>
      <c r="BG1084" s="30">
        <f>VLOOKUP(Inventory[[#This Row],[Cnd]],Lookups!$R$8:$U$17,4,FALSE)</f>
        <v>0.997</v>
      </c>
      <c r="BH1084" s="30">
        <f>VLOOKUP(Inventory[[#This Row],[LivArea Range]],Lookups!$R$25:$U$43,4,FALSE)</f>
        <v>1</v>
      </c>
      <c r="BI1084" s="30">
        <f>VLOOKUP(Inventory[[#This Row],[Decade]],Lookups!$M$24:$P$40,4,FALSE)</f>
        <v>1.0198</v>
      </c>
      <c r="BJ1084" s="30">
        <f>Inventory[[#This Row],[Nbhd Adj]]*0.95</f>
        <v>0.94971499999999998</v>
      </c>
      <c r="BK1084" s="30">
        <f>AVERAGE(Inventory[[#This Row],[Nbhd Adj]],Inventory[[#This Row],[Quality Adj]],Inventory[[#This Row],[Condition Adj]],Inventory[[#This Row],[Living Area Adj]],Inventory[[#This Row],[Decade Adj]])*0.95</f>
        <v>0.95355299999999998</v>
      </c>
      <c r="BL1084" s="30">
        <f>ROUND((SUM(Inventory[[#This Row],[Mdl Qlty]:[Mdl Garage Area]])+Inventory[[#This Row],[Mdl Res Intercept]])*Inventory[[#This Row],[Res Adj ]],-2)</f>
        <v>213600</v>
      </c>
      <c r="BM1084" s="30">
        <f>ROUND(Inventory[[#This Row],[25Det]]*Inventory[[#This Row],[Det/Nbhd Adj]],-2)</f>
        <v>0</v>
      </c>
      <c r="BN1084" s="30">
        <f>Inventory[[#This Row],[Adjusted Res]]+Inventory[[#This Row],[Adj Det ]]</f>
        <v>213600</v>
      </c>
      <c r="BO1084" s="30">
        <f>ROUND((Inventory[[#This Row],[Mdl Land Intercept]]+Inventory[[#This Row],[Mdl LnAcres]])*Inventory[[#This Row],[Det/Nbhd Adj]],-2)</f>
        <v>63900</v>
      </c>
      <c r="BP1084" s="30">
        <f>Inventory[[#This Row],[Adjusted Impr Total]]+Inventory[[#This Row],[Adjusted Land Total]]</f>
        <v>277500</v>
      </c>
      <c r="BQ1084" s="30">
        <f>IFERROR((Inventory[[#This Row],[Adjusted Impr Total]]-Inventory[[#This Row],[24Bldg]])/Inventory[[#This Row],[24Bldg]],0)</f>
        <v>-2.3353573096683792E-3</v>
      </c>
      <c r="BR1084" s="43">
        <f>(Inventory[[#This Row],[Adjusted Land Total]]-Inventory[[#This Row],[24Lnd]])/Inventory[[#This Row],[24Lnd]]</f>
        <v>-1.5625000000000001E-3</v>
      </c>
      <c r="BS1084" s="43">
        <f>(Inventory[[#This Row],[Adjusted Total]]-Inventory[[#This Row],[24Final]])/Inventory[[#This Row],[24Final]]</f>
        <v>-2.1574973031283709E-3</v>
      </c>
    </row>
    <row r="1085" spans="1:71">
      <c r="A1085" s="30">
        <v>2025</v>
      </c>
      <c r="B1085" s="31" t="s">
        <v>1600</v>
      </c>
      <c r="C1085" s="31">
        <f>LN(Inventory[[#This Row],[Acres]])</f>
        <v>-1.5606477482646683</v>
      </c>
      <c r="D1085" s="30">
        <v>0.21</v>
      </c>
      <c r="E1085" s="38">
        <v>9067</v>
      </c>
      <c r="F1085" s="31" t="s">
        <v>505</v>
      </c>
      <c r="G1085" s="31" t="s">
        <v>155</v>
      </c>
      <c r="H1085" s="31" t="s">
        <v>5</v>
      </c>
      <c r="I1085" s="31" t="s">
        <v>506</v>
      </c>
      <c r="J1085" s="31" t="s">
        <v>507</v>
      </c>
      <c r="K1085" s="31" t="s">
        <v>193</v>
      </c>
      <c r="L1085" s="31" t="s">
        <v>21</v>
      </c>
      <c r="M1085" s="31" t="s">
        <v>20</v>
      </c>
      <c r="N1085" s="31">
        <v>30</v>
      </c>
      <c r="O1085" s="31">
        <f>2024-Inventory[[#This Row],[YrBlt]]</f>
        <v>31</v>
      </c>
      <c r="P1085" s="31">
        <f>2024-Inventory[[#This Row],[EffYr]]</f>
        <v>31</v>
      </c>
      <c r="Q1085" s="30">
        <v>1993</v>
      </c>
      <c r="R1085" s="30">
        <v>1993</v>
      </c>
      <c r="S1085" s="30">
        <v>1773</v>
      </c>
      <c r="T1085" s="32"/>
      <c r="U1085" s="32"/>
      <c r="V1085" s="32"/>
      <c r="W1085" s="32"/>
      <c r="X1085" s="32">
        <f>Inventory[[#This Row],[Bsmt Area]]-Inventory[[#This Row],[FnBsmt]]</f>
        <v>0</v>
      </c>
      <c r="Y1085" s="32">
        <f>Inventory[[#This Row],[MainFn]]+Inventory[[#This Row],[UpprFn]]+Inventory[[#This Row],[AddFn]]+Inventory[[#This Row],[FnBsmt]]</f>
        <v>1773</v>
      </c>
      <c r="Z1085" s="32">
        <v>2000</v>
      </c>
      <c r="AA1085" s="31" t="s">
        <v>55</v>
      </c>
      <c r="AB1085" s="32"/>
      <c r="AC1085" s="30">
        <v>585</v>
      </c>
      <c r="AD1085" s="32"/>
      <c r="AE1085" s="32"/>
      <c r="AF1085" s="32"/>
      <c r="AG1085" s="32"/>
      <c r="AH1085" s="32"/>
      <c r="AI1085" s="30">
        <v>380689</v>
      </c>
      <c r="AJ1085" s="30">
        <v>327393</v>
      </c>
      <c r="AK1085" s="30">
        <v>0</v>
      </c>
      <c r="AL1085" s="30">
        <v>0</v>
      </c>
      <c r="AM1085" s="30">
        <v>64600</v>
      </c>
      <c r="AN1085" s="30">
        <v>294200</v>
      </c>
      <c r="AO1085" s="30">
        <v>358800</v>
      </c>
      <c r="AP1085" s="30">
        <f>Lookups!$B$58*0.6</f>
        <v>132535.48800000001</v>
      </c>
      <c r="AQ1085" s="30">
        <f>Lookups!$B$58*0.4</f>
        <v>88356.992000000013</v>
      </c>
      <c r="AR1085" s="30">
        <f>Lookups!$B$59*Inventory[[#This Row],[LnAcres]]</f>
        <v>-20482.442016152701</v>
      </c>
      <c r="AS1085" s="30">
        <f>VLOOKUP(Inventory[[#This Row],[Qlty]],Lookups!$A$66:$E$79,2,FALSE)</f>
        <v>32917.849192000001</v>
      </c>
      <c r="AT1085" s="30">
        <f>VLOOKUP(Inventory[[#This Row],[Cnd]],Lookups!$A$80:$E$88,2,FALSE)</f>
        <v>30300.329274</v>
      </c>
      <c r="AU1085" s="30">
        <f>Inventory[[#This Row],[EffAge]]*Lookups!$B$65</f>
        <v>-3370.9740999999999</v>
      </c>
      <c r="AV1085" s="30">
        <f>Inventory[[#This Row],[MainFn]]*Lookups!$B$90</f>
        <v>110653.60374000001</v>
      </c>
      <c r="AW1085" s="30">
        <f>Inventory[[#This Row],[UpprFn]]*Lookups!$B$91</f>
        <v>0</v>
      </c>
      <c r="AX1085" s="30">
        <f>Inventory[[#This Row],[Bsmt Area]]*Lookups!$B$95</f>
        <v>0</v>
      </c>
      <c r="AY1085" s="30">
        <f>Inventory[[#This Row],[AttGar]]*Lookups!$B$93</f>
        <v>20651.103135000001</v>
      </c>
      <c r="AZ1085" s="30">
        <f>ROUND(Inventory[[#This Row],[25Det]],-2)</f>
        <v>0</v>
      </c>
      <c r="BA1085" s="30">
        <f>ROUND(SUM(Inventory[[#This Row],[Mdl Qlty]:[Mdl Garage Area]])+Inventory[[#This Row],[Mdl Res Intercept]],-2)</f>
        <v>323700</v>
      </c>
      <c r="BB1085" s="30">
        <f>ROUND(Inventory[[#This Row],[Mdl Land Intercept]]+Inventory[[#This Row],[Mdl LnAcres]],-2)</f>
        <v>67900</v>
      </c>
      <c r="BC1085" s="30">
        <f>Inventory[[#This Row],[Unadj Res Value]]+Inventory[[#This Row],[Unadj Det Value]]+Inventory[[#This Row],[Unadj Land Value]]</f>
        <v>391600</v>
      </c>
      <c r="BD1085" s="30">
        <f>(Inventory[[#This Row],[Unadj Total Value]]-Inventory[[#This Row],[24Final]])/Inventory[[#This Row],[24Final]]</f>
        <v>9.1415830546265328E-2</v>
      </c>
      <c r="BE1085" s="30">
        <f>VLOOKUP(Inventory[[#This Row],[Nbhd]],Lookups!$M$3:$P$5,4,FALSE)</f>
        <v>0.99970000000000003</v>
      </c>
      <c r="BF1085" s="30">
        <f>VLOOKUP(Inventory[[#This Row],[Qlty]],Lookups!$M$8:$P$22,4,FALSE)</f>
        <v>1.0019</v>
      </c>
      <c r="BG1085" s="30">
        <f>VLOOKUP(Inventory[[#This Row],[Cnd]],Lookups!$R$8:$U$17,4,FALSE)</f>
        <v>0.997</v>
      </c>
      <c r="BH1085" s="30">
        <f>VLOOKUP(Inventory[[#This Row],[LivArea Range]],Lookups!$R$25:$U$43,4,FALSE)</f>
        <v>1.0007999999999999</v>
      </c>
      <c r="BI1085" s="30">
        <f>VLOOKUP(Inventory[[#This Row],[Decade]],Lookups!$M$24:$P$40,4,FALSE)</f>
        <v>1.0198</v>
      </c>
      <c r="BJ1085" s="30">
        <f>Inventory[[#This Row],[Nbhd Adj]]*0.95</f>
        <v>0.94971499999999998</v>
      </c>
      <c r="BK1085" s="30">
        <f>AVERAGE(Inventory[[#This Row],[Nbhd Adj]],Inventory[[#This Row],[Quality Adj]],Inventory[[#This Row],[Condition Adj]],Inventory[[#This Row],[Living Area Adj]],Inventory[[#This Row],[Decade Adj]])*0.95</f>
        <v>0.95364799999999983</v>
      </c>
      <c r="BL1085" s="30">
        <f>ROUND((SUM(Inventory[[#This Row],[Mdl Qlty]:[Mdl Garage Area]])+Inventory[[#This Row],[Mdl Res Intercept]])*Inventory[[#This Row],[Res Adj ]],-2)</f>
        <v>308700</v>
      </c>
      <c r="BM1085" s="30">
        <f>ROUND(Inventory[[#This Row],[25Det]]*Inventory[[#This Row],[Det/Nbhd Adj]],-2)</f>
        <v>0</v>
      </c>
      <c r="BN1085" s="30">
        <f>Inventory[[#This Row],[Adjusted Res]]+Inventory[[#This Row],[Adj Det ]]</f>
        <v>308700</v>
      </c>
      <c r="BO1085" s="30">
        <f>ROUND((Inventory[[#This Row],[Mdl Land Intercept]]+Inventory[[#This Row],[Mdl LnAcres]])*Inventory[[#This Row],[Det/Nbhd Adj]],-2)</f>
        <v>64500</v>
      </c>
      <c r="BP1085" s="30">
        <f>Inventory[[#This Row],[Adjusted Impr Total]]+Inventory[[#This Row],[Adjusted Land Total]]</f>
        <v>373200</v>
      </c>
      <c r="BQ1085" s="30">
        <f>IFERROR((Inventory[[#This Row],[Adjusted Impr Total]]-Inventory[[#This Row],[24Bldg]])/Inventory[[#This Row],[24Bldg]],0)</f>
        <v>4.9286199864038066E-2</v>
      </c>
      <c r="BR1085" s="43">
        <f>(Inventory[[#This Row],[Adjusted Land Total]]-Inventory[[#This Row],[24Lnd]])/Inventory[[#This Row],[24Lnd]]</f>
        <v>-1.5479876160990713E-3</v>
      </c>
      <c r="BS1085" s="43">
        <f>(Inventory[[#This Row],[Adjusted Total]]-Inventory[[#This Row],[24Final]])/Inventory[[#This Row],[24Final]]</f>
        <v>4.0133779264214048E-2</v>
      </c>
    </row>
    <row r="1086" spans="1:71">
      <c r="A1086" s="30">
        <v>2025</v>
      </c>
      <c r="B1086" s="31" t="s">
        <v>1601</v>
      </c>
      <c r="C1086" s="31">
        <f>LN(Inventory[[#This Row],[Acres]])</f>
        <v>-1.4696759700589417</v>
      </c>
      <c r="D1086" s="30">
        <v>0.23</v>
      </c>
      <c r="E1086" s="30">
        <v>10210</v>
      </c>
      <c r="F1086" s="31" t="s">
        <v>505</v>
      </c>
      <c r="G1086" s="31" t="s">
        <v>155</v>
      </c>
      <c r="H1086" s="31" t="s">
        <v>5</v>
      </c>
      <c r="I1086" s="31" t="s">
        <v>506</v>
      </c>
      <c r="J1086" s="31" t="s">
        <v>507</v>
      </c>
      <c r="K1086" s="31" t="s">
        <v>330</v>
      </c>
      <c r="L1086" s="31" t="s">
        <v>21</v>
      </c>
      <c r="M1086" s="31" t="s">
        <v>22</v>
      </c>
      <c r="N1086" s="31">
        <v>30</v>
      </c>
      <c r="O1086" s="31">
        <f>2024-Inventory[[#This Row],[YrBlt]]</f>
        <v>31</v>
      </c>
      <c r="P1086" s="31">
        <f>2024-Inventory[[#This Row],[EffYr]]</f>
        <v>31</v>
      </c>
      <c r="Q1086" s="30">
        <v>1993</v>
      </c>
      <c r="R1086" s="30">
        <v>1993</v>
      </c>
      <c r="S1086" s="30">
        <v>1743</v>
      </c>
      <c r="T1086" s="37"/>
      <c r="U1086" s="32"/>
      <c r="V1086" s="32"/>
      <c r="W1086" s="32"/>
      <c r="X1086" s="32">
        <f>Inventory[[#This Row],[Bsmt Area]]-Inventory[[#This Row],[FnBsmt]]</f>
        <v>0</v>
      </c>
      <c r="Y1086" s="32">
        <f>Inventory[[#This Row],[MainFn]]+Inventory[[#This Row],[UpprFn]]+Inventory[[#This Row],[AddFn]]+Inventory[[#This Row],[FnBsmt]]</f>
        <v>1743</v>
      </c>
      <c r="Z1086" s="32">
        <v>2000</v>
      </c>
      <c r="AA1086" s="31" t="s">
        <v>55</v>
      </c>
      <c r="AB1086" s="30">
        <v>1</v>
      </c>
      <c r="AC1086" s="38">
        <v>918</v>
      </c>
      <c r="AD1086" s="37"/>
      <c r="AE1086" s="32"/>
      <c r="AF1086" s="32"/>
      <c r="AG1086" s="32"/>
      <c r="AH1086" s="32"/>
      <c r="AI1086" s="30">
        <v>442636</v>
      </c>
      <c r="AJ1086" s="30">
        <v>385093</v>
      </c>
      <c r="AK1086" s="30">
        <v>0</v>
      </c>
      <c r="AL1086" s="30">
        <v>0</v>
      </c>
      <c r="AM1086" s="30">
        <v>65900</v>
      </c>
      <c r="AN1086" s="30">
        <v>336900</v>
      </c>
      <c r="AO1086" s="30">
        <v>402800</v>
      </c>
      <c r="AP1086" s="30">
        <f>Lookups!$B$58*0.6</f>
        <v>132535.48800000001</v>
      </c>
      <c r="AQ1086" s="30">
        <f>Lookups!$B$58*0.4</f>
        <v>88356.992000000013</v>
      </c>
      <c r="AR1086" s="30">
        <f>Lookups!$B$59*Inventory[[#This Row],[LnAcres]]</f>
        <v>-19288.499197039939</v>
      </c>
      <c r="AS1086" s="30">
        <f>VLOOKUP(Inventory[[#This Row],[Qlty]],Lookups!$A$66:$E$79,2,FALSE)</f>
        <v>32917.849192000001</v>
      </c>
      <c r="AT1086" s="30">
        <f>VLOOKUP(Inventory[[#This Row],[Cnd]],Lookups!$A$80:$E$88,2,FALSE)</f>
        <v>50438.379078999998</v>
      </c>
      <c r="AU1086" s="30">
        <f>Inventory[[#This Row],[EffAge]]*Lookups!$B$65</f>
        <v>-3370.9740999999999</v>
      </c>
      <c r="AV1086" s="30">
        <f>Inventory[[#This Row],[MainFn]]*Lookups!$B$90</f>
        <v>108781.29234</v>
      </c>
      <c r="AW1086" s="30">
        <f>Inventory[[#This Row],[UpprFn]]*Lookups!$B$91</f>
        <v>0</v>
      </c>
      <c r="AX1086" s="30">
        <f>Inventory[[#This Row],[Bsmt Area]]*Lookups!$B$95</f>
        <v>0</v>
      </c>
      <c r="AY1086" s="30">
        <f>Inventory[[#This Row],[AttGar]]*Lookups!$B$93</f>
        <v>32406.346458</v>
      </c>
      <c r="AZ1086" s="30">
        <f>ROUND(Inventory[[#This Row],[25Det]],-2)</f>
        <v>0</v>
      </c>
      <c r="BA1086" s="30">
        <f>ROUND(SUM(Inventory[[#This Row],[Mdl Qlty]:[Mdl Garage Area]])+Inventory[[#This Row],[Mdl Res Intercept]],-2)</f>
        <v>353700</v>
      </c>
      <c r="BB1086" s="30">
        <f>ROUND(Inventory[[#This Row],[Mdl Land Intercept]]+Inventory[[#This Row],[Mdl LnAcres]],-2)</f>
        <v>69100</v>
      </c>
      <c r="BC1086" s="30">
        <f>Inventory[[#This Row],[Unadj Res Value]]+Inventory[[#This Row],[Unadj Det Value]]+Inventory[[#This Row],[Unadj Land Value]]</f>
        <v>422800</v>
      </c>
      <c r="BD1086" s="30">
        <f>(Inventory[[#This Row],[Unadj Total Value]]-Inventory[[#This Row],[24Final]])/Inventory[[#This Row],[24Final]]</f>
        <v>4.9652432969215489E-2</v>
      </c>
      <c r="BE1086" s="30">
        <f>VLOOKUP(Inventory[[#This Row],[Nbhd]],Lookups!$M$3:$P$5,4,FALSE)</f>
        <v>0.99970000000000003</v>
      </c>
      <c r="BF1086" s="30">
        <f>VLOOKUP(Inventory[[#This Row],[Qlty]],Lookups!$M$8:$P$22,4,FALSE)</f>
        <v>1.0019</v>
      </c>
      <c r="BG1086" s="30">
        <f>VLOOKUP(Inventory[[#This Row],[Cnd]],Lookups!$R$8:$U$17,4,FALSE)</f>
        <v>1.0007999999999999</v>
      </c>
      <c r="BH1086" s="30">
        <f>VLOOKUP(Inventory[[#This Row],[LivArea Range]],Lookups!$R$25:$U$43,4,FALSE)</f>
        <v>1.0007999999999999</v>
      </c>
      <c r="BI1086" s="30">
        <f>VLOOKUP(Inventory[[#This Row],[Decade]],Lookups!$M$24:$P$40,4,FALSE)</f>
        <v>1.0198</v>
      </c>
      <c r="BJ1086" s="30">
        <f>Inventory[[#This Row],[Nbhd Adj]]*0.95</f>
        <v>0.94971499999999998</v>
      </c>
      <c r="BK1086" s="30">
        <f>AVERAGE(Inventory[[#This Row],[Nbhd Adj]],Inventory[[#This Row],[Quality Adj]],Inventory[[#This Row],[Condition Adj]],Inventory[[#This Row],[Living Area Adj]],Inventory[[#This Row],[Decade Adj]])*0.95</f>
        <v>0.95436999999999994</v>
      </c>
      <c r="BL1086" s="30">
        <f>ROUND((SUM(Inventory[[#This Row],[Mdl Qlty]:[Mdl Garage Area]])+Inventory[[#This Row],[Mdl Res Intercept]])*Inventory[[#This Row],[Res Adj ]],-2)</f>
        <v>337600</v>
      </c>
      <c r="BM1086" s="30">
        <f>ROUND(Inventory[[#This Row],[25Det]]*Inventory[[#This Row],[Det/Nbhd Adj]],-2)</f>
        <v>0</v>
      </c>
      <c r="BN1086" s="30">
        <f>Inventory[[#This Row],[Adjusted Res]]+Inventory[[#This Row],[Adj Det ]]</f>
        <v>337600</v>
      </c>
      <c r="BO1086" s="30">
        <f>ROUND((Inventory[[#This Row],[Mdl Land Intercept]]+Inventory[[#This Row],[Mdl LnAcres]])*Inventory[[#This Row],[Det/Nbhd Adj]],-2)</f>
        <v>65600</v>
      </c>
      <c r="BP1086" s="30">
        <f>Inventory[[#This Row],[Adjusted Impr Total]]+Inventory[[#This Row],[Adjusted Land Total]]</f>
        <v>403200</v>
      </c>
      <c r="BQ1086" s="30">
        <f>IFERROR((Inventory[[#This Row],[Adjusted Impr Total]]-Inventory[[#This Row],[24Bldg]])/Inventory[[#This Row],[24Bldg]],0)</f>
        <v>2.0777678836449986E-3</v>
      </c>
      <c r="BR1086" s="43">
        <f>(Inventory[[#This Row],[Adjusted Land Total]]-Inventory[[#This Row],[24Lnd]])/Inventory[[#This Row],[24Lnd]]</f>
        <v>-4.552352048558422E-3</v>
      </c>
      <c r="BS1086" s="43">
        <f>(Inventory[[#This Row],[Adjusted Total]]-Inventory[[#This Row],[24Final]])/Inventory[[#This Row],[24Final]]</f>
        <v>9.930486593843098E-4</v>
      </c>
    </row>
    <row r="1087" spans="1:71">
      <c r="A1087" s="30">
        <v>2025</v>
      </c>
      <c r="B1087" s="31" t="s">
        <v>1602</v>
      </c>
      <c r="C1087" s="31">
        <f>LN(Inventory[[#This Row],[Acres]])</f>
        <v>-0.84397007029452897</v>
      </c>
      <c r="D1087" s="30">
        <v>0.43</v>
      </c>
      <c r="E1087" s="30">
        <v>18775</v>
      </c>
      <c r="F1087" s="31" t="s">
        <v>505</v>
      </c>
      <c r="G1087" s="31" t="s">
        <v>155</v>
      </c>
      <c r="H1087" s="31" t="s">
        <v>5</v>
      </c>
      <c r="I1087" s="31" t="s">
        <v>506</v>
      </c>
      <c r="J1087" s="31" t="s">
        <v>507</v>
      </c>
      <c r="K1087" s="31" t="s">
        <v>330</v>
      </c>
      <c r="L1087" s="31" t="s">
        <v>21</v>
      </c>
      <c r="M1087" s="31" t="s">
        <v>22</v>
      </c>
      <c r="N1087" s="31">
        <v>30</v>
      </c>
      <c r="O1087" s="31">
        <f>2024-Inventory[[#This Row],[YrBlt]]</f>
        <v>31</v>
      </c>
      <c r="P1087" s="31">
        <f>2024-Inventory[[#This Row],[EffYr]]</f>
        <v>31</v>
      </c>
      <c r="Q1087" s="30">
        <v>1993</v>
      </c>
      <c r="R1087" s="30">
        <v>1993</v>
      </c>
      <c r="S1087" s="30">
        <v>2079</v>
      </c>
      <c r="T1087" s="32"/>
      <c r="U1087" s="32"/>
      <c r="V1087" s="32"/>
      <c r="W1087" s="32"/>
      <c r="X1087" s="32">
        <f>Inventory[[#This Row],[Bsmt Area]]-Inventory[[#This Row],[FnBsmt]]</f>
        <v>0</v>
      </c>
      <c r="Y1087" s="32">
        <f>Inventory[[#This Row],[MainFn]]+Inventory[[#This Row],[UpprFn]]+Inventory[[#This Row],[AddFn]]+Inventory[[#This Row],[FnBsmt]]</f>
        <v>2079</v>
      </c>
      <c r="Z1087" s="32">
        <v>2500</v>
      </c>
      <c r="AA1087" s="31" t="s">
        <v>55</v>
      </c>
      <c r="AB1087" s="30">
        <v>1</v>
      </c>
      <c r="AC1087" s="30">
        <v>576</v>
      </c>
      <c r="AD1087" s="32"/>
      <c r="AE1087" s="32"/>
      <c r="AF1087" s="32"/>
      <c r="AG1087" s="32"/>
      <c r="AH1087" s="32"/>
      <c r="AI1087" s="30">
        <v>461919</v>
      </c>
      <c r="AJ1087" s="30">
        <v>401870</v>
      </c>
      <c r="AK1087" s="30">
        <v>0</v>
      </c>
      <c r="AL1087" s="30">
        <v>0</v>
      </c>
      <c r="AM1087" s="30">
        <v>74700</v>
      </c>
      <c r="AN1087" s="30">
        <v>324400</v>
      </c>
      <c r="AO1087" s="30">
        <v>399100</v>
      </c>
      <c r="AP1087" s="30">
        <f>Lookups!$B$58*0.6</f>
        <v>132535.48800000001</v>
      </c>
      <c r="AQ1087" s="30">
        <f>Lookups!$B$58*0.4</f>
        <v>88356.992000000013</v>
      </c>
      <c r="AR1087" s="30">
        <f>Lookups!$B$59*Inventory[[#This Row],[LnAcres]]</f>
        <v>-11076.534116937963</v>
      </c>
      <c r="AS1087" s="30">
        <f>VLOOKUP(Inventory[[#This Row],[Qlty]],Lookups!$A$66:$E$79,2,FALSE)</f>
        <v>32917.849192000001</v>
      </c>
      <c r="AT1087" s="30">
        <f>VLOOKUP(Inventory[[#This Row],[Cnd]],Lookups!$A$80:$E$88,2,FALSE)</f>
        <v>50438.379078999998</v>
      </c>
      <c r="AU1087" s="30">
        <f>Inventory[[#This Row],[EffAge]]*Lookups!$B$65</f>
        <v>-3370.9740999999999</v>
      </c>
      <c r="AV1087" s="30">
        <f>Inventory[[#This Row],[MainFn]]*Lookups!$B$90</f>
        <v>129751.18002000001</v>
      </c>
      <c r="AW1087" s="30">
        <f>Inventory[[#This Row],[UpprFn]]*Lookups!$B$91</f>
        <v>0</v>
      </c>
      <c r="AX1087" s="30">
        <f>Inventory[[#This Row],[Bsmt Area]]*Lookups!$B$95</f>
        <v>0</v>
      </c>
      <c r="AY1087" s="30">
        <f>Inventory[[#This Row],[AttGar]]*Lookups!$B$93</f>
        <v>20333.393856000002</v>
      </c>
      <c r="AZ1087" s="30">
        <f>ROUND(Inventory[[#This Row],[25Det]],-2)</f>
        <v>0</v>
      </c>
      <c r="BA1087" s="30">
        <f>ROUND(SUM(Inventory[[#This Row],[Mdl Qlty]:[Mdl Garage Area]])+Inventory[[#This Row],[Mdl Res Intercept]],-2)</f>
        <v>362600</v>
      </c>
      <c r="BB1087" s="30">
        <f>ROUND(Inventory[[#This Row],[Mdl Land Intercept]]+Inventory[[#This Row],[Mdl LnAcres]],-2)</f>
        <v>77300</v>
      </c>
      <c r="BC1087" s="30">
        <f>Inventory[[#This Row],[Unadj Res Value]]+Inventory[[#This Row],[Unadj Det Value]]+Inventory[[#This Row],[Unadj Land Value]]</f>
        <v>439900</v>
      </c>
      <c r="BD1087" s="30">
        <f>(Inventory[[#This Row],[Unadj Total Value]]-Inventory[[#This Row],[24Final]])/Inventory[[#This Row],[24Final]]</f>
        <v>0.1022300175394638</v>
      </c>
      <c r="BE1087" s="30">
        <f>VLOOKUP(Inventory[[#This Row],[Nbhd]],Lookups!$M$3:$P$5,4,FALSE)</f>
        <v>0.99970000000000003</v>
      </c>
      <c r="BF1087" s="30">
        <f>VLOOKUP(Inventory[[#This Row],[Qlty]],Lookups!$M$8:$P$22,4,FALSE)</f>
        <v>1.0019</v>
      </c>
      <c r="BG1087" s="30">
        <f>VLOOKUP(Inventory[[#This Row],[Cnd]],Lookups!$R$8:$U$17,4,FALSE)</f>
        <v>1.0007999999999999</v>
      </c>
      <c r="BH1087" s="30">
        <f>VLOOKUP(Inventory[[#This Row],[LivArea Range]],Lookups!$R$25:$U$43,4,FALSE)</f>
        <v>1.0008999999999999</v>
      </c>
      <c r="BI1087" s="30">
        <f>VLOOKUP(Inventory[[#This Row],[Decade]],Lookups!$M$24:$P$40,4,FALSE)</f>
        <v>1.0198</v>
      </c>
      <c r="BJ1087" s="30">
        <f>Inventory[[#This Row],[Nbhd Adj]]*0.95</f>
        <v>0.94971499999999998</v>
      </c>
      <c r="BK1087" s="30">
        <f>AVERAGE(Inventory[[#This Row],[Nbhd Adj]],Inventory[[#This Row],[Quality Adj]],Inventory[[#This Row],[Condition Adj]],Inventory[[#This Row],[Living Area Adj]],Inventory[[#This Row],[Decade Adj]])*0.95</f>
        <v>0.95438899999999982</v>
      </c>
      <c r="BL1087" s="30">
        <f>ROUND((SUM(Inventory[[#This Row],[Mdl Qlty]:[Mdl Garage Area]])+Inventory[[#This Row],[Mdl Res Intercept]])*Inventory[[#This Row],[Res Adj ]],-2)</f>
        <v>346100</v>
      </c>
      <c r="BM1087" s="30">
        <f>ROUND(Inventory[[#This Row],[25Det]]*Inventory[[#This Row],[Det/Nbhd Adj]],-2)</f>
        <v>0</v>
      </c>
      <c r="BN1087" s="30">
        <f>Inventory[[#This Row],[Adjusted Res]]+Inventory[[#This Row],[Adj Det ]]</f>
        <v>346100</v>
      </c>
      <c r="BO1087" s="30">
        <f>ROUND((Inventory[[#This Row],[Mdl Land Intercept]]+Inventory[[#This Row],[Mdl LnAcres]])*Inventory[[#This Row],[Det/Nbhd Adj]],-2)</f>
        <v>73400</v>
      </c>
      <c r="BP1087" s="30">
        <f>Inventory[[#This Row],[Adjusted Impr Total]]+Inventory[[#This Row],[Adjusted Land Total]]</f>
        <v>419500</v>
      </c>
      <c r="BQ1087" s="30">
        <f>IFERROR((Inventory[[#This Row],[Adjusted Impr Total]]-Inventory[[#This Row],[24Bldg]])/Inventory[[#This Row],[24Bldg]],0)</f>
        <v>6.6892725030826147E-2</v>
      </c>
      <c r="BR1087" s="43">
        <f>(Inventory[[#This Row],[Adjusted Land Total]]-Inventory[[#This Row],[24Lnd]])/Inventory[[#This Row],[24Lnd]]</f>
        <v>-1.7402945113788489E-2</v>
      </c>
      <c r="BS1087" s="43">
        <f>(Inventory[[#This Row],[Adjusted Total]]-Inventory[[#This Row],[24Final]])/Inventory[[#This Row],[24Final]]</f>
        <v>5.11150087697319E-2</v>
      </c>
    </row>
    <row r="1088" spans="1:71">
      <c r="A1088" s="30">
        <v>2025</v>
      </c>
      <c r="B1088" s="31" t="s">
        <v>1603</v>
      </c>
      <c r="C1088" s="31">
        <f>LN(Inventory[[#This Row],[Acres]])</f>
        <v>3.9220713153281329E-2</v>
      </c>
      <c r="D1088" s="30">
        <v>1.04</v>
      </c>
      <c r="E1088" s="30">
        <v>45382</v>
      </c>
      <c r="F1088" s="31" t="s">
        <v>505</v>
      </c>
      <c r="G1088" s="31" t="s">
        <v>155</v>
      </c>
      <c r="H1088" s="31" t="s">
        <v>5</v>
      </c>
      <c r="I1088" s="31" t="s">
        <v>506</v>
      </c>
      <c r="J1088" s="31" t="s">
        <v>507</v>
      </c>
      <c r="K1088" s="31" t="s">
        <v>330</v>
      </c>
      <c r="L1088" s="31" t="s">
        <v>21</v>
      </c>
      <c r="M1088" s="31" t="s">
        <v>22</v>
      </c>
      <c r="N1088" s="31">
        <v>30</v>
      </c>
      <c r="O1088" s="31">
        <f>2024-Inventory[[#This Row],[YrBlt]]</f>
        <v>31</v>
      </c>
      <c r="P1088" s="31">
        <f>2024-Inventory[[#This Row],[EffYr]]</f>
        <v>31</v>
      </c>
      <c r="Q1088" s="30">
        <v>1993</v>
      </c>
      <c r="R1088" s="30">
        <v>1993</v>
      </c>
      <c r="S1088" s="30">
        <v>1863</v>
      </c>
      <c r="T1088" s="32"/>
      <c r="U1088" s="32"/>
      <c r="V1088" s="32"/>
      <c r="W1088" s="32"/>
      <c r="X1088" s="32">
        <f>Inventory[[#This Row],[Bsmt Area]]-Inventory[[#This Row],[FnBsmt]]</f>
        <v>0</v>
      </c>
      <c r="Y1088" s="32">
        <f>Inventory[[#This Row],[MainFn]]+Inventory[[#This Row],[UpprFn]]+Inventory[[#This Row],[AddFn]]+Inventory[[#This Row],[FnBsmt]]</f>
        <v>1863</v>
      </c>
      <c r="Z1088" s="32">
        <v>2000</v>
      </c>
      <c r="AA1088" s="31" t="s">
        <v>55</v>
      </c>
      <c r="AB1088" s="32"/>
      <c r="AC1088" s="30">
        <v>576</v>
      </c>
      <c r="AD1088" s="32"/>
      <c r="AE1088" s="32"/>
      <c r="AF1088" s="32"/>
      <c r="AG1088" s="32"/>
      <c r="AH1088" s="32"/>
      <c r="AI1088" s="30">
        <v>415483</v>
      </c>
      <c r="AJ1088" s="30">
        <v>361470</v>
      </c>
      <c r="AK1088" s="30">
        <v>95193</v>
      </c>
      <c r="AL1088" s="30">
        <v>0</v>
      </c>
      <c r="AM1088" s="30">
        <v>87100</v>
      </c>
      <c r="AN1088" s="30">
        <v>424500</v>
      </c>
      <c r="AO1088" s="30">
        <v>511600</v>
      </c>
      <c r="AP1088" s="30">
        <f>Lookups!$B$58*0.6</f>
        <v>132535.48800000001</v>
      </c>
      <c r="AQ1088" s="30">
        <f>Lookups!$B$58*0.4</f>
        <v>88356.992000000013</v>
      </c>
      <c r="AR1088" s="30">
        <f>Lookups!$B$59*Inventory[[#This Row],[LnAcres]]</f>
        <v>514.74522927258636</v>
      </c>
      <c r="AS1088" s="30">
        <f>VLOOKUP(Inventory[[#This Row],[Qlty]],Lookups!$A$66:$E$79,2,FALSE)</f>
        <v>32917.849192000001</v>
      </c>
      <c r="AT1088" s="30">
        <f>VLOOKUP(Inventory[[#This Row],[Cnd]],Lookups!$A$80:$E$88,2,FALSE)</f>
        <v>50438.379078999998</v>
      </c>
      <c r="AU1088" s="30">
        <f>Inventory[[#This Row],[EffAge]]*Lookups!$B$65</f>
        <v>-3370.9740999999999</v>
      </c>
      <c r="AV1088" s="30">
        <f>Inventory[[#This Row],[MainFn]]*Lookups!$B$90</f>
        <v>116270.53794000001</v>
      </c>
      <c r="AW1088" s="30">
        <f>Inventory[[#This Row],[UpprFn]]*Lookups!$B$91</f>
        <v>0</v>
      </c>
      <c r="AX1088" s="30">
        <f>Inventory[[#This Row],[Bsmt Area]]*Lookups!$B$95</f>
        <v>0</v>
      </c>
      <c r="AY1088" s="30">
        <f>Inventory[[#This Row],[AttGar]]*Lookups!$B$93</f>
        <v>20333.393856000002</v>
      </c>
      <c r="AZ1088" s="30">
        <f>ROUND(Inventory[[#This Row],[25Det]],-2)</f>
        <v>95200</v>
      </c>
      <c r="BA1088" s="30">
        <f>ROUND(SUM(Inventory[[#This Row],[Mdl Qlty]:[Mdl Garage Area]])+Inventory[[#This Row],[Mdl Res Intercept]],-2)</f>
        <v>349100</v>
      </c>
      <c r="BB1088" s="30">
        <f>ROUND(Inventory[[#This Row],[Mdl Land Intercept]]+Inventory[[#This Row],[Mdl LnAcres]],-2)</f>
        <v>88900</v>
      </c>
      <c r="BC1088" s="30">
        <f>Inventory[[#This Row],[Unadj Res Value]]+Inventory[[#This Row],[Unadj Det Value]]+Inventory[[#This Row],[Unadj Land Value]]</f>
        <v>533200</v>
      </c>
      <c r="BD1088" s="30">
        <f>(Inventory[[#This Row],[Unadj Total Value]]-Inventory[[#This Row],[24Final]])/Inventory[[#This Row],[24Final]]</f>
        <v>4.2220484753713837E-2</v>
      </c>
      <c r="BE1088" s="30">
        <f>VLOOKUP(Inventory[[#This Row],[Nbhd]],Lookups!$M$3:$P$5,4,FALSE)</f>
        <v>0.99970000000000003</v>
      </c>
      <c r="BF1088" s="30">
        <f>VLOOKUP(Inventory[[#This Row],[Qlty]],Lookups!$M$8:$P$22,4,FALSE)</f>
        <v>1.0019</v>
      </c>
      <c r="BG1088" s="30">
        <f>VLOOKUP(Inventory[[#This Row],[Cnd]],Lookups!$R$8:$U$17,4,FALSE)</f>
        <v>1.0007999999999999</v>
      </c>
      <c r="BH1088" s="30">
        <f>VLOOKUP(Inventory[[#This Row],[LivArea Range]],Lookups!$R$25:$U$43,4,FALSE)</f>
        <v>1.0007999999999999</v>
      </c>
      <c r="BI1088" s="30">
        <f>VLOOKUP(Inventory[[#This Row],[Decade]],Lookups!$M$24:$P$40,4,FALSE)</f>
        <v>1.0198</v>
      </c>
      <c r="BJ1088" s="30">
        <f>Inventory[[#This Row],[Nbhd Adj]]*0.95</f>
        <v>0.94971499999999998</v>
      </c>
      <c r="BK1088" s="30">
        <f>AVERAGE(Inventory[[#This Row],[Nbhd Adj]],Inventory[[#This Row],[Quality Adj]],Inventory[[#This Row],[Condition Adj]],Inventory[[#This Row],[Living Area Adj]],Inventory[[#This Row],[Decade Adj]])*0.95</f>
        <v>0.95436999999999994</v>
      </c>
      <c r="BL1088" s="30">
        <f>ROUND((SUM(Inventory[[#This Row],[Mdl Qlty]:[Mdl Garage Area]])+Inventory[[#This Row],[Mdl Res Intercept]])*Inventory[[#This Row],[Res Adj ]],-2)</f>
        <v>333200</v>
      </c>
      <c r="BM1088" s="30">
        <f>ROUND(Inventory[[#This Row],[25Det]]*Inventory[[#This Row],[Det/Nbhd Adj]],-2)</f>
        <v>90400</v>
      </c>
      <c r="BN1088" s="30">
        <f>Inventory[[#This Row],[Adjusted Res]]+Inventory[[#This Row],[Adj Det ]]</f>
        <v>423600</v>
      </c>
      <c r="BO1088" s="30">
        <f>ROUND((Inventory[[#This Row],[Mdl Land Intercept]]+Inventory[[#This Row],[Mdl LnAcres]])*Inventory[[#This Row],[Det/Nbhd Adj]],-2)</f>
        <v>84400</v>
      </c>
      <c r="BP1088" s="30">
        <f>Inventory[[#This Row],[Adjusted Impr Total]]+Inventory[[#This Row],[Adjusted Land Total]]</f>
        <v>508000</v>
      </c>
      <c r="BQ1088" s="30">
        <f>IFERROR((Inventory[[#This Row],[Adjusted Impr Total]]-Inventory[[#This Row],[24Bldg]])/Inventory[[#This Row],[24Bldg]],0)</f>
        <v>-2.1201413427561835E-3</v>
      </c>
      <c r="BR1088" s="43">
        <f>(Inventory[[#This Row],[Adjusted Land Total]]-Inventory[[#This Row],[24Lnd]])/Inventory[[#This Row],[24Lnd]]</f>
        <v>-3.0998851894374284E-2</v>
      </c>
      <c r="BS1088" s="43">
        <f>(Inventory[[#This Row],[Adjusted Total]]-Inventory[[#This Row],[24Final]])/Inventory[[#This Row],[24Final]]</f>
        <v>-7.0367474589523062E-3</v>
      </c>
    </row>
    <row r="1089" spans="1:71">
      <c r="A1089" s="30">
        <v>2025</v>
      </c>
      <c r="B1089" s="31" t="s">
        <v>1604</v>
      </c>
      <c r="C1089" s="31">
        <f>LN(Inventory[[#This Row],[Acres]])</f>
        <v>9.5310179804324935E-2</v>
      </c>
      <c r="D1089" s="30">
        <v>1.1000000000000001</v>
      </c>
      <c r="E1089" s="30">
        <v>48001</v>
      </c>
      <c r="F1089" s="31" t="s">
        <v>505</v>
      </c>
      <c r="G1089" s="31" t="s">
        <v>155</v>
      </c>
      <c r="H1089" s="31" t="s">
        <v>5</v>
      </c>
      <c r="I1089" s="31" t="s">
        <v>506</v>
      </c>
      <c r="J1089" s="31" t="s">
        <v>507</v>
      </c>
      <c r="K1089" s="31" t="s">
        <v>157</v>
      </c>
      <c r="L1089" s="31" t="s">
        <v>21</v>
      </c>
      <c r="M1089" s="31" t="s">
        <v>22</v>
      </c>
      <c r="N1089" s="31">
        <v>30</v>
      </c>
      <c r="O1089" s="31">
        <f>2024-Inventory[[#This Row],[YrBlt]]</f>
        <v>31</v>
      </c>
      <c r="P1089" s="31">
        <f>2024-Inventory[[#This Row],[EffYr]]</f>
        <v>31</v>
      </c>
      <c r="Q1089" s="30">
        <v>1993</v>
      </c>
      <c r="R1089" s="30">
        <v>1993</v>
      </c>
      <c r="S1089" s="30">
        <v>1081</v>
      </c>
      <c r="T1089" s="30">
        <v>822</v>
      </c>
      <c r="U1089" s="32"/>
      <c r="V1089" s="32"/>
      <c r="W1089" s="32"/>
      <c r="X1089" s="32">
        <f>Inventory[[#This Row],[Bsmt Area]]-Inventory[[#This Row],[FnBsmt]]</f>
        <v>0</v>
      </c>
      <c r="Y1089" s="32">
        <f>Inventory[[#This Row],[MainFn]]+Inventory[[#This Row],[UpprFn]]+Inventory[[#This Row],[AddFn]]+Inventory[[#This Row],[FnBsmt]]</f>
        <v>1903</v>
      </c>
      <c r="Z1089" s="32">
        <v>2000</v>
      </c>
      <c r="AA1089" s="31" t="s">
        <v>55</v>
      </c>
      <c r="AB1089" s="37"/>
      <c r="AC1089" s="30">
        <v>910</v>
      </c>
      <c r="AD1089" s="37"/>
      <c r="AE1089" s="32"/>
      <c r="AF1089" s="32"/>
      <c r="AG1089" s="32"/>
      <c r="AH1089" s="32"/>
      <c r="AI1089" s="30">
        <v>442067</v>
      </c>
      <c r="AJ1089" s="30">
        <v>384598</v>
      </c>
      <c r="AK1089" s="30">
        <v>0</v>
      </c>
      <c r="AL1089" s="30">
        <v>0</v>
      </c>
      <c r="AM1089" s="30">
        <v>87800</v>
      </c>
      <c r="AN1089" s="30">
        <v>359800</v>
      </c>
      <c r="AO1089" s="30">
        <v>447600</v>
      </c>
      <c r="AP1089" s="30">
        <f>Lookups!$B$58*0.6</f>
        <v>132535.48800000001</v>
      </c>
      <c r="AQ1089" s="30">
        <f>Lookups!$B$58*0.4</f>
        <v>88356.992000000013</v>
      </c>
      <c r="AR1089" s="30">
        <f>Lookups!$B$59*Inventory[[#This Row],[LnAcres]]</f>
        <v>1250.8813943196776</v>
      </c>
      <c r="AS1089" s="30">
        <f>VLOOKUP(Inventory[[#This Row],[Qlty]],Lookups!$A$66:$E$79,2,FALSE)</f>
        <v>32917.849192000001</v>
      </c>
      <c r="AT1089" s="30">
        <f>VLOOKUP(Inventory[[#This Row],[Cnd]],Lookups!$A$80:$E$88,2,FALSE)</f>
        <v>50438.379078999998</v>
      </c>
      <c r="AU1089" s="30">
        <f>Inventory[[#This Row],[EffAge]]*Lookups!$B$65</f>
        <v>-3370.9740999999999</v>
      </c>
      <c r="AV1089" s="30">
        <f>Inventory[[#This Row],[MainFn]]*Lookups!$B$90</f>
        <v>67465.620779999997</v>
      </c>
      <c r="AW1089" s="30">
        <f>Inventory[[#This Row],[UpprFn]]*Lookups!$B$91</f>
        <v>48975.074825999996</v>
      </c>
      <c r="AX1089" s="30">
        <f>Inventory[[#This Row],[Bsmt Area]]*Lookups!$B$95</f>
        <v>0</v>
      </c>
      <c r="AY1089" s="30">
        <f>Inventory[[#This Row],[AttGar]]*Lookups!$B$93</f>
        <v>32123.93821</v>
      </c>
      <c r="AZ1089" s="30">
        <f>ROUND(Inventory[[#This Row],[25Det]],-2)</f>
        <v>0</v>
      </c>
      <c r="BA1089" s="30">
        <f>ROUND(SUM(Inventory[[#This Row],[Mdl Qlty]:[Mdl Garage Area]])+Inventory[[#This Row],[Mdl Res Intercept]],-2)</f>
        <v>361100</v>
      </c>
      <c r="BB1089" s="30">
        <f>ROUND(Inventory[[#This Row],[Mdl Land Intercept]]+Inventory[[#This Row],[Mdl LnAcres]],-2)</f>
        <v>89600</v>
      </c>
      <c r="BC1089" s="30">
        <f>Inventory[[#This Row],[Unadj Res Value]]+Inventory[[#This Row],[Unadj Det Value]]+Inventory[[#This Row],[Unadj Land Value]]</f>
        <v>450700</v>
      </c>
      <c r="BD1089" s="30">
        <f>(Inventory[[#This Row],[Unadj Total Value]]-Inventory[[#This Row],[24Final]])/Inventory[[#This Row],[24Final]]</f>
        <v>6.9258266309204647E-3</v>
      </c>
      <c r="BE1089" s="30">
        <f>VLOOKUP(Inventory[[#This Row],[Nbhd]],Lookups!$M$3:$P$5,4,FALSE)</f>
        <v>0.99970000000000003</v>
      </c>
      <c r="BF1089" s="30">
        <f>VLOOKUP(Inventory[[#This Row],[Qlty]],Lookups!$M$8:$P$22,4,FALSE)</f>
        <v>1.0019</v>
      </c>
      <c r="BG1089" s="30">
        <f>VLOOKUP(Inventory[[#This Row],[Cnd]],Lookups!$R$8:$U$17,4,FALSE)</f>
        <v>1.0007999999999999</v>
      </c>
      <c r="BH1089" s="30">
        <f>VLOOKUP(Inventory[[#This Row],[LivArea Range]],Lookups!$R$25:$U$43,4,FALSE)</f>
        <v>1.0007999999999999</v>
      </c>
      <c r="BI1089" s="30">
        <f>VLOOKUP(Inventory[[#This Row],[Decade]],Lookups!$M$24:$P$40,4,FALSE)</f>
        <v>1.0198</v>
      </c>
      <c r="BJ1089" s="30">
        <f>Inventory[[#This Row],[Nbhd Adj]]*0.95</f>
        <v>0.94971499999999998</v>
      </c>
      <c r="BK1089" s="30">
        <f>AVERAGE(Inventory[[#This Row],[Nbhd Adj]],Inventory[[#This Row],[Quality Adj]],Inventory[[#This Row],[Condition Adj]],Inventory[[#This Row],[Living Area Adj]],Inventory[[#This Row],[Decade Adj]])*0.95</f>
        <v>0.95436999999999994</v>
      </c>
      <c r="BL1089" s="30">
        <f>ROUND((SUM(Inventory[[#This Row],[Mdl Qlty]:[Mdl Garage Area]])+Inventory[[#This Row],[Mdl Res Intercept]])*Inventory[[#This Row],[Res Adj ]],-2)</f>
        <v>344600</v>
      </c>
      <c r="BM1089" s="30">
        <f>ROUND(Inventory[[#This Row],[25Det]]*Inventory[[#This Row],[Det/Nbhd Adj]],-2)</f>
        <v>0</v>
      </c>
      <c r="BN1089" s="30">
        <f>Inventory[[#This Row],[Adjusted Res]]+Inventory[[#This Row],[Adj Det ]]</f>
        <v>344600</v>
      </c>
      <c r="BO1089" s="30">
        <f>ROUND((Inventory[[#This Row],[Mdl Land Intercept]]+Inventory[[#This Row],[Mdl LnAcres]])*Inventory[[#This Row],[Det/Nbhd Adj]],-2)</f>
        <v>85100</v>
      </c>
      <c r="BP1089" s="30">
        <f>Inventory[[#This Row],[Adjusted Impr Total]]+Inventory[[#This Row],[Adjusted Land Total]]</f>
        <v>429700</v>
      </c>
      <c r="BQ1089" s="30">
        <f>IFERROR((Inventory[[#This Row],[Adjusted Impr Total]]-Inventory[[#This Row],[24Bldg]])/Inventory[[#This Row],[24Bldg]],0)</f>
        <v>-4.2245692051139525E-2</v>
      </c>
      <c r="BR1089" s="43">
        <f>(Inventory[[#This Row],[Adjusted Land Total]]-Inventory[[#This Row],[24Lnd]])/Inventory[[#This Row],[24Lnd]]</f>
        <v>-3.0751708428246014E-2</v>
      </c>
      <c r="BS1089" s="43">
        <f>(Inventory[[#This Row],[Adjusted Total]]-Inventory[[#This Row],[24Final]])/Inventory[[#This Row],[24Final]]</f>
        <v>-3.9991063449508486E-2</v>
      </c>
    </row>
    <row r="1090" spans="1:71">
      <c r="A1090" s="30">
        <v>2025</v>
      </c>
      <c r="B1090" s="31" t="s">
        <v>1605</v>
      </c>
      <c r="C1090" s="31">
        <f>LN(Inventory[[#This Row],[Acres]])</f>
        <v>0.10436001532424286</v>
      </c>
      <c r="D1090" s="30">
        <v>1.1100000000000001</v>
      </c>
      <c r="E1090" s="30">
        <v>48287</v>
      </c>
      <c r="F1090" s="31" t="s">
        <v>505</v>
      </c>
      <c r="G1090" s="31" t="s">
        <v>155</v>
      </c>
      <c r="H1090" s="31" t="s">
        <v>5</v>
      </c>
      <c r="I1090" s="31" t="s">
        <v>506</v>
      </c>
      <c r="J1090" s="31" t="s">
        <v>507</v>
      </c>
      <c r="K1090" s="31" t="s">
        <v>157</v>
      </c>
      <c r="L1090" s="31" t="s">
        <v>21</v>
      </c>
      <c r="M1090" s="31" t="s">
        <v>22</v>
      </c>
      <c r="N1090" s="31">
        <v>30</v>
      </c>
      <c r="O1090" s="31">
        <f>2024-Inventory[[#This Row],[YrBlt]]</f>
        <v>31</v>
      </c>
      <c r="P1090" s="31">
        <f>2024-Inventory[[#This Row],[EffYr]]</f>
        <v>31</v>
      </c>
      <c r="Q1090" s="30">
        <v>1993</v>
      </c>
      <c r="R1090" s="30">
        <v>1993</v>
      </c>
      <c r="S1090" s="30">
        <v>1108</v>
      </c>
      <c r="T1090" s="30">
        <v>1020</v>
      </c>
      <c r="U1090" s="32"/>
      <c r="V1090" s="32"/>
      <c r="W1090" s="32"/>
      <c r="X1090" s="32">
        <f>Inventory[[#This Row],[Bsmt Area]]-Inventory[[#This Row],[FnBsmt]]</f>
        <v>0</v>
      </c>
      <c r="Y1090" s="32">
        <f>Inventory[[#This Row],[MainFn]]+Inventory[[#This Row],[UpprFn]]+Inventory[[#This Row],[AddFn]]+Inventory[[#This Row],[FnBsmt]]</f>
        <v>2128</v>
      </c>
      <c r="Z1090" s="32">
        <v>2500</v>
      </c>
      <c r="AA1090" s="31" t="s">
        <v>56</v>
      </c>
      <c r="AB1090" s="37"/>
      <c r="AC1090" s="38">
        <v>896</v>
      </c>
      <c r="AD1090" s="37"/>
      <c r="AE1090" s="32"/>
      <c r="AF1090" s="32"/>
      <c r="AG1090" s="32"/>
      <c r="AH1090" s="32"/>
      <c r="AI1090" s="30">
        <v>460825</v>
      </c>
      <c r="AJ1090" s="30">
        <v>400918</v>
      </c>
      <c r="AK1090" s="30">
        <v>0</v>
      </c>
      <c r="AL1090" s="30">
        <v>0</v>
      </c>
      <c r="AM1090" s="30">
        <v>88000</v>
      </c>
      <c r="AN1090" s="30">
        <v>356400</v>
      </c>
      <c r="AO1090" s="30">
        <v>444400</v>
      </c>
      <c r="AP1090" s="30">
        <f>Lookups!$B$58*0.6</f>
        <v>132535.48800000001</v>
      </c>
      <c r="AQ1090" s="30">
        <f>Lookups!$B$58*0.4</f>
        <v>88356.992000000013</v>
      </c>
      <c r="AR1090" s="30">
        <f>Lookups!$B$59*Inventory[[#This Row],[LnAcres]]</f>
        <v>1369.6543406802823</v>
      </c>
      <c r="AS1090" s="30">
        <f>VLOOKUP(Inventory[[#This Row],[Qlty]],Lookups!$A$66:$E$79,2,FALSE)</f>
        <v>32917.849192000001</v>
      </c>
      <c r="AT1090" s="30">
        <f>VLOOKUP(Inventory[[#This Row],[Cnd]],Lookups!$A$80:$E$88,2,FALSE)</f>
        <v>50438.379078999998</v>
      </c>
      <c r="AU1090" s="30">
        <f>Inventory[[#This Row],[EffAge]]*Lookups!$B$65</f>
        <v>-3370.9740999999999</v>
      </c>
      <c r="AV1090" s="30">
        <f>Inventory[[#This Row],[MainFn]]*Lookups!$B$90</f>
        <v>69150.70104</v>
      </c>
      <c r="AW1090" s="30">
        <f>Inventory[[#This Row],[UpprFn]]*Lookups!$B$91</f>
        <v>60771.990659999996</v>
      </c>
      <c r="AX1090" s="30">
        <f>Inventory[[#This Row],[Bsmt Area]]*Lookups!$B$95</f>
        <v>0</v>
      </c>
      <c r="AY1090" s="30">
        <f>Inventory[[#This Row],[AttGar]]*Lookups!$B$93</f>
        <v>31629.723776000003</v>
      </c>
      <c r="AZ1090" s="30">
        <f>ROUND(Inventory[[#This Row],[25Det]],-2)</f>
        <v>0</v>
      </c>
      <c r="BA1090" s="30">
        <f>ROUND(SUM(Inventory[[#This Row],[Mdl Qlty]:[Mdl Garage Area]])+Inventory[[#This Row],[Mdl Res Intercept]],-2)</f>
        <v>374100</v>
      </c>
      <c r="BB1090" s="30">
        <f>ROUND(Inventory[[#This Row],[Mdl Land Intercept]]+Inventory[[#This Row],[Mdl LnAcres]],-2)</f>
        <v>89700</v>
      </c>
      <c r="BC1090" s="30">
        <f>Inventory[[#This Row],[Unadj Res Value]]+Inventory[[#This Row],[Unadj Det Value]]+Inventory[[#This Row],[Unadj Land Value]]</f>
        <v>463800</v>
      </c>
      <c r="BD1090" s="30">
        <f>(Inventory[[#This Row],[Unadj Total Value]]-Inventory[[#This Row],[24Final]])/Inventory[[#This Row],[24Final]]</f>
        <v>4.3654365436543656E-2</v>
      </c>
      <c r="BE1090" s="30">
        <f>VLOOKUP(Inventory[[#This Row],[Nbhd]],Lookups!$M$3:$P$5,4,FALSE)</f>
        <v>0.99970000000000003</v>
      </c>
      <c r="BF1090" s="30">
        <f>VLOOKUP(Inventory[[#This Row],[Qlty]],Lookups!$M$8:$P$22,4,FALSE)</f>
        <v>1.0019</v>
      </c>
      <c r="BG1090" s="30">
        <f>VLOOKUP(Inventory[[#This Row],[Cnd]],Lookups!$R$8:$U$17,4,FALSE)</f>
        <v>1.0007999999999999</v>
      </c>
      <c r="BH1090" s="30">
        <f>VLOOKUP(Inventory[[#This Row],[LivArea Range]],Lookups!$R$25:$U$43,4,FALSE)</f>
        <v>1.0008999999999999</v>
      </c>
      <c r="BI1090" s="30">
        <f>VLOOKUP(Inventory[[#This Row],[Decade]],Lookups!$M$24:$P$40,4,FALSE)</f>
        <v>1.0198</v>
      </c>
      <c r="BJ1090" s="30">
        <f>Inventory[[#This Row],[Nbhd Adj]]*0.95</f>
        <v>0.94971499999999998</v>
      </c>
      <c r="BK1090" s="30">
        <f>AVERAGE(Inventory[[#This Row],[Nbhd Adj]],Inventory[[#This Row],[Quality Adj]],Inventory[[#This Row],[Condition Adj]],Inventory[[#This Row],[Living Area Adj]],Inventory[[#This Row],[Decade Adj]])*0.95</f>
        <v>0.95438899999999982</v>
      </c>
      <c r="BL1090" s="30">
        <f>ROUND((SUM(Inventory[[#This Row],[Mdl Qlty]:[Mdl Garage Area]])+Inventory[[#This Row],[Mdl Res Intercept]])*Inventory[[#This Row],[Res Adj ]],-2)</f>
        <v>357000</v>
      </c>
      <c r="BM1090" s="30">
        <f>ROUND(Inventory[[#This Row],[25Det]]*Inventory[[#This Row],[Det/Nbhd Adj]],-2)</f>
        <v>0</v>
      </c>
      <c r="BN1090" s="30">
        <f>Inventory[[#This Row],[Adjusted Res]]+Inventory[[#This Row],[Adj Det ]]</f>
        <v>357000</v>
      </c>
      <c r="BO1090" s="30">
        <f>ROUND((Inventory[[#This Row],[Mdl Land Intercept]]+Inventory[[#This Row],[Mdl LnAcres]])*Inventory[[#This Row],[Det/Nbhd Adj]],-2)</f>
        <v>85200</v>
      </c>
      <c r="BP1090" s="30">
        <f>Inventory[[#This Row],[Adjusted Impr Total]]+Inventory[[#This Row],[Adjusted Land Total]]</f>
        <v>442200</v>
      </c>
      <c r="BQ1090" s="30">
        <f>IFERROR((Inventory[[#This Row],[Adjusted Impr Total]]-Inventory[[#This Row],[24Bldg]])/Inventory[[#This Row],[24Bldg]],0)</f>
        <v>1.6835016835016834E-3</v>
      </c>
      <c r="BR1090" s="43">
        <f>(Inventory[[#This Row],[Adjusted Land Total]]-Inventory[[#This Row],[24Lnd]])/Inventory[[#This Row],[24Lnd]]</f>
        <v>-3.1818181818181815E-2</v>
      </c>
      <c r="BS1090" s="43">
        <f>(Inventory[[#This Row],[Adjusted Total]]-Inventory[[#This Row],[24Final]])/Inventory[[#This Row],[24Final]]</f>
        <v>-4.9504950495049506E-3</v>
      </c>
    </row>
    <row r="1091" spans="1:71">
      <c r="A1091" s="30">
        <v>2025</v>
      </c>
      <c r="B1091" s="31" t="s">
        <v>1606</v>
      </c>
      <c r="C1091" s="31">
        <f>LN(Inventory[[#This Row],[Acres]])</f>
        <v>0.16551443847757333</v>
      </c>
      <c r="D1091" s="30">
        <v>1.18</v>
      </c>
      <c r="E1091" s="30">
        <v>51270</v>
      </c>
      <c r="F1091" s="31" t="s">
        <v>505</v>
      </c>
      <c r="G1091" s="31" t="s">
        <v>155</v>
      </c>
      <c r="H1091" s="31" t="s">
        <v>5</v>
      </c>
      <c r="I1091" s="31" t="s">
        <v>506</v>
      </c>
      <c r="J1091" s="31" t="s">
        <v>507</v>
      </c>
      <c r="K1091" s="31" t="s">
        <v>157</v>
      </c>
      <c r="L1091" s="31" t="s">
        <v>23</v>
      </c>
      <c r="M1091" s="31" t="s">
        <v>18</v>
      </c>
      <c r="N1091" s="31">
        <v>30</v>
      </c>
      <c r="O1091" s="31">
        <f>2024-Inventory[[#This Row],[YrBlt]]</f>
        <v>31</v>
      </c>
      <c r="P1091" s="31">
        <f>2024-Inventory[[#This Row],[EffYr]]</f>
        <v>27</v>
      </c>
      <c r="Q1091" s="30">
        <v>1993</v>
      </c>
      <c r="R1091" s="30">
        <v>1997</v>
      </c>
      <c r="S1091" s="30">
        <v>1147</v>
      </c>
      <c r="T1091" s="38">
        <v>1483</v>
      </c>
      <c r="U1091" s="32"/>
      <c r="V1091" s="32"/>
      <c r="W1091" s="32"/>
      <c r="X1091" s="32">
        <f>Inventory[[#This Row],[Bsmt Area]]-Inventory[[#This Row],[FnBsmt]]</f>
        <v>0</v>
      </c>
      <c r="Y1091" s="32">
        <f>Inventory[[#This Row],[MainFn]]+Inventory[[#This Row],[UpprFn]]+Inventory[[#This Row],[AddFn]]+Inventory[[#This Row],[FnBsmt]]</f>
        <v>2630</v>
      </c>
      <c r="Z1091" s="32">
        <v>3000</v>
      </c>
      <c r="AA1091" s="31" t="s">
        <v>55</v>
      </c>
      <c r="AB1091" s="37"/>
      <c r="AC1091" s="37"/>
      <c r="AD1091" s="38">
        <v>704</v>
      </c>
      <c r="AE1091" s="32"/>
      <c r="AF1091" s="32"/>
      <c r="AG1091" s="32"/>
      <c r="AH1091" s="32"/>
      <c r="AI1091" s="30">
        <v>587477</v>
      </c>
      <c r="AJ1091" s="30">
        <v>522855</v>
      </c>
      <c r="AK1091" s="30">
        <v>0</v>
      </c>
      <c r="AL1091" s="30">
        <v>0</v>
      </c>
      <c r="AM1091" s="30">
        <v>88800</v>
      </c>
      <c r="AN1091" s="30">
        <v>369500</v>
      </c>
      <c r="AO1091" s="30">
        <v>458300</v>
      </c>
      <c r="AP1091" s="30">
        <f>Lookups!$B$58*0.6</f>
        <v>132535.48800000001</v>
      </c>
      <c r="AQ1091" s="30">
        <f>Lookups!$B$58*0.4</f>
        <v>88356.992000000013</v>
      </c>
      <c r="AR1091" s="30">
        <f>Lookups!$B$59*Inventory[[#This Row],[LnAcres]]</f>
        <v>2172.2646207144235</v>
      </c>
      <c r="AS1091" s="30">
        <f>VLOOKUP(Inventory[[#This Row],[Qlty]],Lookups!$A$66:$E$79,2,FALSE)</f>
        <v>39366.494398000003</v>
      </c>
      <c r="AT1091" s="30">
        <f>VLOOKUP(Inventory[[#This Row],[Cnd]],Lookups!$A$80:$E$88,2,FALSE)</f>
        <v>17761.121909000001</v>
      </c>
      <c r="AU1091" s="30">
        <f>Inventory[[#This Row],[EffAge]]*Lookups!$B$65</f>
        <v>-2936.0097000000001</v>
      </c>
      <c r="AV1091" s="30">
        <f>Inventory[[#This Row],[MainFn]]*Lookups!$B$90</f>
        <v>71584.705860000002</v>
      </c>
      <c r="AW1091" s="30">
        <f>Inventory[[#This Row],[UpprFn]]*Lookups!$B$91</f>
        <v>88357.707989000002</v>
      </c>
      <c r="AX1091" s="30">
        <f>Inventory[[#This Row],[Bsmt Area]]*Lookups!$B$95</f>
        <v>0</v>
      </c>
      <c r="AY1091" s="30">
        <f>Inventory[[#This Row],[AttGar]]*Lookups!$B$93</f>
        <v>0</v>
      </c>
      <c r="AZ1091" s="30">
        <f>ROUND(Inventory[[#This Row],[25Det]],-2)</f>
        <v>0</v>
      </c>
      <c r="BA1091" s="30">
        <f>ROUND(SUM(Inventory[[#This Row],[Mdl Qlty]:[Mdl Garage Area]])+Inventory[[#This Row],[Mdl Res Intercept]],-2)</f>
        <v>346700</v>
      </c>
      <c r="BB1091" s="30">
        <f>ROUND(Inventory[[#This Row],[Mdl Land Intercept]]+Inventory[[#This Row],[Mdl LnAcres]],-2)</f>
        <v>90500</v>
      </c>
      <c r="BC1091" s="30">
        <f>Inventory[[#This Row],[Unadj Res Value]]+Inventory[[#This Row],[Unadj Det Value]]+Inventory[[#This Row],[Unadj Land Value]]</f>
        <v>437200</v>
      </c>
      <c r="BD1091" s="30">
        <f>(Inventory[[#This Row],[Unadj Total Value]]-Inventory[[#This Row],[24Final]])/Inventory[[#This Row],[24Final]]</f>
        <v>-4.6039711979053023E-2</v>
      </c>
      <c r="BE1091" s="30">
        <f>VLOOKUP(Inventory[[#This Row],[Nbhd]],Lookups!$M$3:$P$5,4,FALSE)</f>
        <v>0.99970000000000003</v>
      </c>
      <c r="BF1091" s="30">
        <f>VLOOKUP(Inventory[[#This Row],[Qlty]],Lookups!$M$8:$P$22,4,FALSE)</f>
        <v>0.99980000000000002</v>
      </c>
      <c r="BG1091" s="30">
        <f>VLOOKUP(Inventory[[#This Row],[Cnd]],Lookups!$R$8:$U$17,4,FALSE)</f>
        <v>0.99680000000000002</v>
      </c>
      <c r="BH1091" s="30">
        <f>VLOOKUP(Inventory[[#This Row],[LivArea Range]],Lookups!$R$25:$U$43,4,FALSE)</f>
        <v>1.0099</v>
      </c>
      <c r="BI1091" s="30">
        <f>VLOOKUP(Inventory[[#This Row],[Decade]],Lookups!$M$24:$P$40,4,FALSE)</f>
        <v>1.0198</v>
      </c>
      <c r="BJ1091" s="30">
        <f>Inventory[[#This Row],[Nbhd Adj]]*0.95</f>
        <v>0.94971499999999998</v>
      </c>
      <c r="BK1091" s="30">
        <f>AVERAGE(Inventory[[#This Row],[Nbhd Adj]],Inventory[[#This Row],[Quality Adj]],Inventory[[#This Row],[Condition Adj]],Inventory[[#This Row],[Living Area Adj]],Inventory[[#This Row],[Decade Adj]])*0.95</f>
        <v>0.95493999999999979</v>
      </c>
      <c r="BL1091" s="30">
        <f>ROUND((SUM(Inventory[[#This Row],[Mdl Qlty]:[Mdl Garage Area]])+Inventory[[#This Row],[Mdl Res Intercept]])*Inventory[[#This Row],[Res Adj ]],-2)</f>
        <v>331000</v>
      </c>
      <c r="BM1091" s="30">
        <f>ROUND(Inventory[[#This Row],[25Det]]*Inventory[[#This Row],[Det/Nbhd Adj]],-2)</f>
        <v>0</v>
      </c>
      <c r="BN1091" s="30">
        <f>Inventory[[#This Row],[Adjusted Res]]+Inventory[[#This Row],[Adj Det ]]</f>
        <v>331000</v>
      </c>
      <c r="BO1091" s="30">
        <f>ROUND((Inventory[[#This Row],[Mdl Land Intercept]]+Inventory[[#This Row],[Mdl LnAcres]])*Inventory[[#This Row],[Det/Nbhd Adj]],-2)</f>
        <v>86000</v>
      </c>
      <c r="BP1091" s="30">
        <f>Inventory[[#This Row],[Adjusted Impr Total]]+Inventory[[#This Row],[Adjusted Land Total]]</f>
        <v>417000</v>
      </c>
      <c r="BQ1091" s="30">
        <f>IFERROR((Inventory[[#This Row],[Adjusted Impr Total]]-Inventory[[#This Row],[24Bldg]])/Inventory[[#This Row],[24Bldg]],0)</f>
        <v>-0.10419485791610285</v>
      </c>
      <c r="BR1091" s="43">
        <f>(Inventory[[#This Row],[Adjusted Land Total]]-Inventory[[#This Row],[24Lnd]])/Inventory[[#This Row],[24Lnd]]</f>
        <v>-3.1531531531531529E-2</v>
      </c>
      <c r="BS1091" s="43">
        <f>(Inventory[[#This Row],[Adjusted Total]]-Inventory[[#This Row],[24Final]])/Inventory[[#This Row],[24Final]]</f>
        <v>-9.0115644774165393E-2</v>
      </c>
    </row>
    <row r="1092" spans="1:71">
      <c r="A1092" s="30">
        <v>2025</v>
      </c>
      <c r="B1092" s="31" t="s">
        <v>1607</v>
      </c>
      <c r="C1092" s="31">
        <f>LN(Inventory[[#This Row],[Acres]])</f>
        <v>-1.9661128563728327</v>
      </c>
      <c r="D1092" s="30">
        <v>0.14000000000000001</v>
      </c>
      <c r="E1092" s="30">
        <v>6020</v>
      </c>
      <c r="F1092" s="31" t="s">
        <v>505</v>
      </c>
      <c r="G1092" s="31" t="s">
        <v>155</v>
      </c>
      <c r="H1092" s="31" t="s">
        <v>5</v>
      </c>
      <c r="I1092" s="31" t="s">
        <v>506</v>
      </c>
      <c r="J1092" s="31" t="s">
        <v>507</v>
      </c>
      <c r="K1092" s="31" t="s">
        <v>193</v>
      </c>
      <c r="L1092" s="31" t="s">
        <v>15</v>
      </c>
      <c r="M1092" s="31" t="s">
        <v>18</v>
      </c>
      <c r="N1092" s="31">
        <v>30</v>
      </c>
      <c r="O1092" s="31">
        <f>2024-Inventory[[#This Row],[YrBlt]]</f>
        <v>32</v>
      </c>
      <c r="P1092" s="31">
        <f>2024-Inventory[[#This Row],[EffYr]]</f>
        <v>32</v>
      </c>
      <c r="Q1092" s="30">
        <v>1992</v>
      </c>
      <c r="R1092" s="30">
        <v>1992</v>
      </c>
      <c r="S1092" s="30">
        <v>1242</v>
      </c>
      <c r="T1092" s="37"/>
      <c r="U1092" s="32"/>
      <c r="V1092" s="32"/>
      <c r="W1092" s="32"/>
      <c r="X1092" s="32">
        <f>Inventory[[#This Row],[Bsmt Area]]-Inventory[[#This Row],[FnBsmt]]</f>
        <v>0</v>
      </c>
      <c r="Y1092" s="32">
        <f>Inventory[[#This Row],[MainFn]]+Inventory[[#This Row],[UpprFn]]+Inventory[[#This Row],[AddFn]]+Inventory[[#This Row],[FnBsmt]]</f>
        <v>1242</v>
      </c>
      <c r="Z1092" s="32">
        <v>1500</v>
      </c>
      <c r="AA1092" s="31" t="s">
        <v>56</v>
      </c>
      <c r="AB1092" s="32"/>
      <c r="AC1092" s="37"/>
      <c r="AD1092" s="32"/>
      <c r="AE1092" s="32"/>
      <c r="AF1092" s="32"/>
      <c r="AG1092" s="32"/>
      <c r="AH1092" s="32"/>
      <c r="AI1092" s="30">
        <v>177421</v>
      </c>
      <c r="AJ1092" s="30">
        <v>150808</v>
      </c>
      <c r="AK1092" s="30">
        <v>0</v>
      </c>
      <c r="AL1092" s="30">
        <v>0</v>
      </c>
      <c r="AM1092" s="30">
        <v>59000</v>
      </c>
      <c r="AN1092" s="30">
        <v>205800</v>
      </c>
      <c r="AO1092" s="30">
        <v>264800</v>
      </c>
      <c r="AP1092" s="30">
        <f>Lookups!$B$58*0.6</f>
        <v>132535.48800000001</v>
      </c>
      <c r="AQ1092" s="30">
        <f>Lookups!$B$58*0.4</f>
        <v>88356.992000000013</v>
      </c>
      <c r="AR1092" s="30">
        <f>Lookups!$B$59*Inventory[[#This Row],[LnAcres]]</f>
        <v>-25803.896249263951</v>
      </c>
      <c r="AS1092" s="30">
        <f>VLOOKUP(Inventory[[#This Row],[Qlty]],Lookups!$A$66:$E$79,2,FALSE)</f>
        <v>-1240.8083630000001</v>
      </c>
      <c r="AT1092" s="30">
        <f>VLOOKUP(Inventory[[#This Row],[Cnd]],Lookups!$A$80:$E$88,2,FALSE)</f>
        <v>17761.121909000001</v>
      </c>
      <c r="AU1092" s="30">
        <f>Inventory[[#This Row],[EffAge]]*Lookups!$B$65</f>
        <v>-3479.7152000000001</v>
      </c>
      <c r="AV1092" s="30">
        <f>Inventory[[#This Row],[MainFn]]*Lookups!$B$90</f>
        <v>77513.691960000011</v>
      </c>
      <c r="AW1092" s="30">
        <f>Inventory[[#This Row],[UpprFn]]*Lookups!$B$91</f>
        <v>0</v>
      </c>
      <c r="AX1092" s="30">
        <f>Inventory[[#This Row],[Bsmt Area]]*Lookups!$B$95</f>
        <v>0</v>
      </c>
      <c r="AY1092" s="30">
        <f>Inventory[[#This Row],[AttGar]]*Lookups!$B$93</f>
        <v>0</v>
      </c>
      <c r="AZ1092" s="30">
        <f>ROUND(Inventory[[#This Row],[25Det]],-2)</f>
        <v>0</v>
      </c>
      <c r="BA1092" s="30">
        <f>ROUND(SUM(Inventory[[#This Row],[Mdl Qlty]:[Mdl Garage Area]])+Inventory[[#This Row],[Mdl Res Intercept]],-2)</f>
        <v>223100</v>
      </c>
      <c r="BB1092" s="30">
        <f>ROUND(Inventory[[#This Row],[Mdl Land Intercept]]+Inventory[[#This Row],[Mdl LnAcres]],-2)</f>
        <v>62600</v>
      </c>
      <c r="BC1092" s="30">
        <f>Inventory[[#This Row],[Unadj Res Value]]+Inventory[[#This Row],[Unadj Det Value]]+Inventory[[#This Row],[Unadj Land Value]]</f>
        <v>285700</v>
      </c>
      <c r="BD1092" s="30">
        <f>(Inventory[[#This Row],[Unadj Total Value]]-Inventory[[#This Row],[24Final]])/Inventory[[#This Row],[24Final]]</f>
        <v>7.8927492447129904E-2</v>
      </c>
      <c r="BE1092" s="30">
        <f>VLOOKUP(Inventory[[#This Row],[Nbhd]],Lookups!$M$3:$P$5,4,FALSE)</f>
        <v>0.99970000000000003</v>
      </c>
      <c r="BF1092" s="30">
        <f>VLOOKUP(Inventory[[#This Row],[Qlty]],Lookups!$M$8:$P$22,4,FALSE)</f>
        <v>1.0022</v>
      </c>
      <c r="BG1092" s="30">
        <f>VLOOKUP(Inventory[[#This Row],[Cnd]],Lookups!$R$8:$U$17,4,FALSE)</f>
        <v>0.99680000000000002</v>
      </c>
      <c r="BH1092" s="30">
        <f>VLOOKUP(Inventory[[#This Row],[LivArea Range]],Lookups!$R$25:$U$43,4,FALSE)</f>
        <v>0.99519999999999997</v>
      </c>
      <c r="BI1092" s="30">
        <f>VLOOKUP(Inventory[[#This Row],[Decade]],Lookups!$M$24:$P$40,4,FALSE)</f>
        <v>1.0198</v>
      </c>
      <c r="BJ1092" s="30">
        <f>Inventory[[#This Row],[Nbhd Adj]]*0.95</f>
        <v>0.94971499999999998</v>
      </c>
      <c r="BK1092" s="30">
        <f>AVERAGE(Inventory[[#This Row],[Nbhd Adj]],Inventory[[#This Row],[Quality Adj]],Inventory[[#This Row],[Condition Adj]],Inventory[[#This Row],[Living Area Adj]],Inventory[[#This Row],[Decade Adj]])*0.95</f>
        <v>0.95260299999999987</v>
      </c>
      <c r="BL1092" s="30">
        <f>ROUND((SUM(Inventory[[#This Row],[Mdl Qlty]:[Mdl Garage Area]])+Inventory[[#This Row],[Mdl Res Intercept]])*Inventory[[#This Row],[Res Adj ]],-2)</f>
        <v>212500</v>
      </c>
      <c r="BM1092" s="30">
        <f>ROUND(Inventory[[#This Row],[25Det]]*Inventory[[#This Row],[Det/Nbhd Adj]],-2)</f>
        <v>0</v>
      </c>
      <c r="BN1092" s="30">
        <f>Inventory[[#This Row],[Adjusted Res]]+Inventory[[#This Row],[Adj Det ]]</f>
        <v>212500</v>
      </c>
      <c r="BO1092" s="30">
        <f>ROUND((Inventory[[#This Row],[Mdl Land Intercept]]+Inventory[[#This Row],[Mdl LnAcres]])*Inventory[[#This Row],[Det/Nbhd Adj]],-2)</f>
        <v>59400</v>
      </c>
      <c r="BP1092" s="30">
        <f>Inventory[[#This Row],[Adjusted Impr Total]]+Inventory[[#This Row],[Adjusted Land Total]]</f>
        <v>271900</v>
      </c>
      <c r="BQ1092" s="30">
        <f>IFERROR((Inventory[[#This Row],[Adjusted Impr Total]]-Inventory[[#This Row],[24Bldg]])/Inventory[[#This Row],[24Bldg]],0)</f>
        <v>3.2555879494655007E-2</v>
      </c>
      <c r="BR1092" s="43">
        <f>(Inventory[[#This Row],[Adjusted Land Total]]-Inventory[[#This Row],[24Lnd]])/Inventory[[#This Row],[24Lnd]]</f>
        <v>6.7796610169491523E-3</v>
      </c>
      <c r="BS1092" s="43">
        <f>(Inventory[[#This Row],[Adjusted Total]]-Inventory[[#This Row],[24Final]])/Inventory[[#This Row],[24Final]]</f>
        <v>2.6812688821752265E-2</v>
      </c>
    </row>
    <row r="1093" spans="1:71">
      <c r="A1093" s="30">
        <v>2025</v>
      </c>
      <c r="B1093" s="31" t="s">
        <v>1608</v>
      </c>
      <c r="C1093" s="31">
        <f>LN(Inventory[[#This Row],[Acres]])</f>
        <v>-1.7147984280919266</v>
      </c>
      <c r="D1093" s="30">
        <v>0.18</v>
      </c>
      <c r="E1093" s="30">
        <v>7703</v>
      </c>
      <c r="F1093" s="31" t="s">
        <v>505</v>
      </c>
      <c r="G1093" s="31" t="s">
        <v>155</v>
      </c>
      <c r="H1093" s="31" t="s">
        <v>5</v>
      </c>
      <c r="I1093" s="31" t="s">
        <v>506</v>
      </c>
      <c r="J1093" s="31" t="s">
        <v>507</v>
      </c>
      <c r="K1093" s="31" t="s">
        <v>193</v>
      </c>
      <c r="L1093" s="31" t="s">
        <v>21</v>
      </c>
      <c r="M1093" s="31" t="s">
        <v>20</v>
      </c>
      <c r="N1093" s="31">
        <v>30</v>
      </c>
      <c r="O1093" s="31">
        <f>2024-Inventory[[#This Row],[YrBlt]]</f>
        <v>32</v>
      </c>
      <c r="P1093" s="31">
        <f>2024-Inventory[[#This Row],[EffYr]]</f>
        <v>32</v>
      </c>
      <c r="Q1093" s="30">
        <v>1992</v>
      </c>
      <c r="R1093" s="30">
        <v>1992</v>
      </c>
      <c r="S1093" s="30">
        <v>1893</v>
      </c>
      <c r="T1093" s="37"/>
      <c r="U1093" s="32"/>
      <c r="V1093" s="32"/>
      <c r="W1093" s="32"/>
      <c r="X1093" s="32">
        <f>Inventory[[#This Row],[Bsmt Area]]-Inventory[[#This Row],[FnBsmt]]</f>
        <v>0</v>
      </c>
      <c r="Y1093" s="32">
        <f>Inventory[[#This Row],[MainFn]]+Inventory[[#This Row],[UpprFn]]+Inventory[[#This Row],[AddFn]]+Inventory[[#This Row],[FnBsmt]]</f>
        <v>1893</v>
      </c>
      <c r="Z1093" s="32">
        <v>2000</v>
      </c>
      <c r="AA1093" s="31" t="s">
        <v>55</v>
      </c>
      <c r="AB1093" s="37"/>
      <c r="AC1093" s="38">
        <v>576</v>
      </c>
      <c r="AD1093" s="37"/>
      <c r="AE1093" s="32"/>
      <c r="AF1093" s="32"/>
      <c r="AG1093" s="32"/>
      <c r="AH1093" s="32"/>
      <c r="AI1093" s="30">
        <v>405948</v>
      </c>
      <c r="AJ1093" s="30">
        <v>349115</v>
      </c>
      <c r="AK1093" s="30">
        <v>0</v>
      </c>
      <c r="AL1093" s="30">
        <v>0</v>
      </c>
      <c r="AM1093" s="30">
        <v>62500</v>
      </c>
      <c r="AN1093" s="30">
        <v>301500</v>
      </c>
      <c r="AO1093" s="30">
        <v>364000</v>
      </c>
      <c r="AP1093" s="30">
        <f>Lookups!$B$58*0.6</f>
        <v>132535.48800000001</v>
      </c>
      <c r="AQ1093" s="30">
        <f>Lookups!$B$58*0.4</f>
        <v>88356.992000000013</v>
      </c>
      <c r="AR1093" s="30">
        <f>Lookups!$B$59*Inventory[[#This Row],[LnAcres]]</f>
        <v>-22505.565020573864</v>
      </c>
      <c r="AS1093" s="30">
        <f>VLOOKUP(Inventory[[#This Row],[Qlty]],Lookups!$A$66:$E$79,2,FALSE)</f>
        <v>32917.849192000001</v>
      </c>
      <c r="AT1093" s="30">
        <f>VLOOKUP(Inventory[[#This Row],[Cnd]],Lookups!$A$80:$E$88,2,FALSE)</f>
        <v>30300.329274</v>
      </c>
      <c r="AU1093" s="30">
        <f>Inventory[[#This Row],[EffAge]]*Lookups!$B$65</f>
        <v>-3479.7152000000001</v>
      </c>
      <c r="AV1093" s="30">
        <f>Inventory[[#This Row],[MainFn]]*Lookups!$B$90</f>
        <v>118142.84934</v>
      </c>
      <c r="AW1093" s="30">
        <f>Inventory[[#This Row],[UpprFn]]*Lookups!$B$91</f>
        <v>0</v>
      </c>
      <c r="AX1093" s="30">
        <f>Inventory[[#This Row],[Bsmt Area]]*Lookups!$B$95</f>
        <v>0</v>
      </c>
      <c r="AY1093" s="30">
        <f>Inventory[[#This Row],[AttGar]]*Lookups!$B$93</f>
        <v>20333.393856000002</v>
      </c>
      <c r="AZ1093" s="30">
        <f>ROUND(Inventory[[#This Row],[25Det]],-2)</f>
        <v>0</v>
      </c>
      <c r="BA1093" s="30">
        <f>ROUND(SUM(Inventory[[#This Row],[Mdl Qlty]:[Mdl Garage Area]])+Inventory[[#This Row],[Mdl Res Intercept]],-2)</f>
        <v>330800</v>
      </c>
      <c r="BB1093" s="30">
        <f>ROUND(Inventory[[#This Row],[Mdl Land Intercept]]+Inventory[[#This Row],[Mdl LnAcres]],-2)</f>
        <v>65900</v>
      </c>
      <c r="BC1093" s="30">
        <f>Inventory[[#This Row],[Unadj Res Value]]+Inventory[[#This Row],[Unadj Det Value]]+Inventory[[#This Row],[Unadj Land Value]]</f>
        <v>396700</v>
      </c>
      <c r="BD1093" s="30">
        <f>(Inventory[[#This Row],[Unadj Total Value]]-Inventory[[#This Row],[24Final]])/Inventory[[#This Row],[24Final]]</f>
        <v>8.9835164835164835E-2</v>
      </c>
      <c r="BE1093" s="30">
        <f>VLOOKUP(Inventory[[#This Row],[Nbhd]],Lookups!$M$3:$P$5,4,FALSE)</f>
        <v>0.99970000000000003</v>
      </c>
      <c r="BF1093" s="30">
        <f>VLOOKUP(Inventory[[#This Row],[Qlty]],Lookups!$M$8:$P$22,4,FALSE)</f>
        <v>1.0019</v>
      </c>
      <c r="BG1093" s="30">
        <f>VLOOKUP(Inventory[[#This Row],[Cnd]],Lookups!$R$8:$U$17,4,FALSE)</f>
        <v>0.997</v>
      </c>
      <c r="BH1093" s="30">
        <f>VLOOKUP(Inventory[[#This Row],[LivArea Range]],Lookups!$R$25:$U$43,4,FALSE)</f>
        <v>1.0007999999999999</v>
      </c>
      <c r="BI1093" s="30">
        <f>VLOOKUP(Inventory[[#This Row],[Decade]],Lookups!$M$24:$P$40,4,FALSE)</f>
        <v>1.0198</v>
      </c>
      <c r="BJ1093" s="30">
        <f>Inventory[[#This Row],[Nbhd Adj]]*0.95</f>
        <v>0.94971499999999998</v>
      </c>
      <c r="BK1093" s="30">
        <f>AVERAGE(Inventory[[#This Row],[Nbhd Adj]],Inventory[[#This Row],[Quality Adj]],Inventory[[#This Row],[Condition Adj]],Inventory[[#This Row],[Living Area Adj]],Inventory[[#This Row],[Decade Adj]])*0.95</f>
        <v>0.95364799999999983</v>
      </c>
      <c r="BL1093" s="30">
        <f>ROUND((SUM(Inventory[[#This Row],[Mdl Qlty]:[Mdl Garage Area]])+Inventory[[#This Row],[Mdl Res Intercept]])*Inventory[[#This Row],[Res Adj ]],-2)</f>
        <v>315400</v>
      </c>
      <c r="BM1093" s="30">
        <f>ROUND(Inventory[[#This Row],[25Det]]*Inventory[[#This Row],[Det/Nbhd Adj]],-2)</f>
        <v>0</v>
      </c>
      <c r="BN1093" s="30">
        <f>Inventory[[#This Row],[Adjusted Res]]+Inventory[[#This Row],[Adj Det ]]</f>
        <v>315400</v>
      </c>
      <c r="BO1093" s="30">
        <f>ROUND((Inventory[[#This Row],[Mdl Land Intercept]]+Inventory[[#This Row],[Mdl LnAcres]])*Inventory[[#This Row],[Det/Nbhd Adj]],-2)</f>
        <v>62500</v>
      </c>
      <c r="BP1093" s="30">
        <f>Inventory[[#This Row],[Adjusted Impr Total]]+Inventory[[#This Row],[Adjusted Land Total]]</f>
        <v>377900</v>
      </c>
      <c r="BQ1093" s="30">
        <f>IFERROR((Inventory[[#This Row],[Adjusted Impr Total]]-Inventory[[#This Row],[24Bldg]])/Inventory[[#This Row],[24Bldg]],0)</f>
        <v>4.6102819237147596E-2</v>
      </c>
      <c r="BR1093" s="43">
        <f>(Inventory[[#This Row],[Adjusted Land Total]]-Inventory[[#This Row],[24Lnd]])/Inventory[[#This Row],[24Lnd]]</f>
        <v>0</v>
      </c>
      <c r="BS1093" s="43">
        <f>(Inventory[[#This Row],[Adjusted Total]]-Inventory[[#This Row],[24Final]])/Inventory[[#This Row],[24Final]]</f>
        <v>3.818681318681319E-2</v>
      </c>
    </row>
    <row r="1094" spans="1:71">
      <c r="A1094" s="30">
        <v>2025</v>
      </c>
      <c r="B1094" s="31" t="s">
        <v>1609</v>
      </c>
      <c r="C1094" s="31">
        <f>LN(Inventory[[#This Row],[Acres]])</f>
        <v>-1.6094379124341003</v>
      </c>
      <c r="D1094" s="30">
        <v>0.2</v>
      </c>
      <c r="E1094" s="30">
        <v>8805</v>
      </c>
      <c r="F1094" s="31" t="s">
        <v>505</v>
      </c>
      <c r="G1094" s="31" t="s">
        <v>155</v>
      </c>
      <c r="H1094" s="31" t="s">
        <v>5</v>
      </c>
      <c r="I1094" s="31" t="s">
        <v>506</v>
      </c>
      <c r="J1094" s="31" t="s">
        <v>507</v>
      </c>
      <c r="K1094" s="31" t="s">
        <v>330</v>
      </c>
      <c r="L1094" s="31" t="s">
        <v>21</v>
      </c>
      <c r="M1094" s="31" t="s">
        <v>22</v>
      </c>
      <c r="N1094" s="31">
        <v>30</v>
      </c>
      <c r="O1094" s="31">
        <f>2024-Inventory[[#This Row],[YrBlt]]</f>
        <v>32</v>
      </c>
      <c r="P1094" s="31">
        <f>2024-Inventory[[#This Row],[EffYr]]</f>
        <v>32</v>
      </c>
      <c r="Q1094" s="30">
        <v>1992</v>
      </c>
      <c r="R1094" s="30">
        <v>1992</v>
      </c>
      <c r="S1094" s="30">
        <v>1847</v>
      </c>
      <c r="T1094" s="37"/>
      <c r="U1094" s="32"/>
      <c r="V1094" s="32"/>
      <c r="W1094" s="32"/>
      <c r="X1094" s="32">
        <f>Inventory[[#This Row],[Bsmt Area]]-Inventory[[#This Row],[FnBsmt]]</f>
        <v>0</v>
      </c>
      <c r="Y1094" s="32">
        <f>Inventory[[#This Row],[MainFn]]+Inventory[[#This Row],[UpprFn]]+Inventory[[#This Row],[AddFn]]+Inventory[[#This Row],[FnBsmt]]</f>
        <v>1847</v>
      </c>
      <c r="Z1094" s="32">
        <v>2000</v>
      </c>
      <c r="AA1094" s="31" t="s">
        <v>55</v>
      </c>
      <c r="AB1094" s="32"/>
      <c r="AC1094" s="30">
        <v>816</v>
      </c>
      <c r="AD1094" s="32"/>
      <c r="AE1094" s="32"/>
      <c r="AF1094" s="32"/>
      <c r="AG1094" s="32"/>
      <c r="AH1094" s="32"/>
      <c r="AI1094" s="30">
        <v>401557</v>
      </c>
      <c r="AJ1094" s="30">
        <v>349355</v>
      </c>
      <c r="AK1094" s="30">
        <v>0</v>
      </c>
      <c r="AL1094" s="30">
        <v>0</v>
      </c>
      <c r="AM1094" s="30">
        <v>64000</v>
      </c>
      <c r="AN1094" s="30">
        <v>322500</v>
      </c>
      <c r="AO1094" s="30">
        <v>386500</v>
      </c>
      <c r="AP1094" s="30">
        <f>Lookups!$B$58*0.6</f>
        <v>132535.48800000001</v>
      </c>
      <c r="AQ1094" s="30">
        <f>Lookups!$B$58*0.4</f>
        <v>88356.992000000013</v>
      </c>
      <c r="AR1094" s="30">
        <f>Lookups!$B$59*Inventory[[#This Row],[LnAcres]]</f>
        <v>-21122.779792355024</v>
      </c>
      <c r="AS1094" s="30">
        <f>VLOOKUP(Inventory[[#This Row],[Qlty]],Lookups!$A$66:$E$79,2,FALSE)</f>
        <v>32917.849192000001</v>
      </c>
      <c r="AT1094" s="30">
        <f>VLOOKUP(Inventory[[#This Row],[Cnd]],Lookups!$A$80:$E$88,2,FALSE)</f>
        <v>50438.379078999998</v>
      </c>
      <c r="AU1094" s="30">
        <f>Inventory[[#This Row],[EffAge]]*Lookups!$B$65</f>
        <v>-3479.7152000000001</v>
      </c>
      <c r="AV1094" s="30">
        <f>Inventory[[#This Row],[MainFn]]*Lookups!$B$90</f>
        <v>115271.97186000001</v>
      </c>
      <c r="AW1094" s="30">
        <f>Inventory[[#This Row],[UpprFn]]*Lookups!$B$91</f>
        <v>0</v>
      </c>
      <c r="AX1094" s="30">
        <f>Inventory[[#This Row],[Bsmt Area]]*Lookups!$B$95</f>
        <v>0</v>
      </c>
      <c r="AY1094" s="30">
        <f>Inventory[[#This Row],[AttGar]]*Lookups!$B$93</f>
        <v>28805.641296000002</v>
      </c>
      <c r="AZ1094" s="30">
        <f>ROUND(Inventory[[#This Row],[25Det]],-2)</f>
        <v>0</v>
      </c>
      <c r="BA1094" s="30">
        <f>ROUND(SUM(Inventory[[#This Row],[Mdl Qlty]:[Mdl Garage Area]])+Inventory[[#This Row],[Mdl Res Intercept]],-2)</f>
        <v>356500</v>
      </c>
      <c r="BB1094" s="30">
        <f>ROUND(Inventory[[#This Row],[Mdl Land Intercept]]+Inventory[[#This Row],[Mdl LnAcres]],-2)</f>
        <v>67200</v>
      </c>
      <c r="BC1094" s="30">
        <f>Inventory[[#This Row],[Unadj Res Value]]+Inventory[[#This Row],[Unadj Det Value]]+Inventory[[#This Row],[Unadj Land Value]]</f>
        <v>423700</v>
      </c>
      <c r="BD1094" s="30">
        <f>(Inventory[[#This Row],[Unadj Total Value]]-Inventory[[#This Row],[24Final]])/Inventory[[#This Row],[24Final]]</f>
        <v>9.6248382923673992E-2</v>
      </c>
      <c r="BE1094" s="30">
        <f>VLOOKUP(Inventory[[#This Row],[Nbhd]],Lookups!$M$3:$P$5,4,FALSE)</f>
        <v>0.99970000000000003</v>
      </c>
      <c r="BF1094" s="30">
        <f>VLOOKUP(Inventory[[#This Row],[Qlty]],Lookups!$M$8:$P$22,4,FALSE)</f>
        <v>1.0019</v>
      </c>
      <c r="BG1094" s="30">
        <f>VLOOKUP(Inventory[[#This Row],[Cnd]],Lookups!$R$8:$U$17,4,FALSE)</f>
        <v>1.0007999999999999</v>
      </c>
      <c r="BH1094" s="30">
        <f>VLOOKUP(Inventory[[#This Row],[LivArea Range]],Lookups!$R$25:$U$43,4,FALSE)</f>
        <v>1.0007999999999999</v>
      </c>
      <c r="BI1094" s="30">
        <f>VLOOKUP(Inventory[[#This Row],[Decade]],Lookups!$M$24:$P$40,4,FALSE)</f>
        <v>1.0198</v>
      </c>
      <c r="BJ1094" s="30">
        <f>Inventory[[#This Row],[Nbhd Adj]]*0.95</f>
        <v>0.94971499999999998</v>
      </c>
      <c r="BK1094" s="30">
        <f>AVERAGE(Inventory[[#This Row],[Nbhd Adj]],Inventory[[#This Row],[Quality Adj]],Inventory[[#This Row],[Condition Adj]],Inventory[[#This Row],[Living Area Adj]],Inventory[[#This Row],[Decade Adj]])*0.95</f>
        <v>0.95436999999999994</v>
      </c>
      <c r="BL1094" s="30">
        <f>ROUND((SUM(Inventory[[#This Row],[Mdl Qlty]:[Mdl Garage Area]])+Inventory[[#This Row],[Mdl Res Intercept]])*Inventory[[#This Row],[Res Adj ]],-2)</f>
        <v>340200</v>
      </c>
      <c r="BM1094" s="30">
        <f>ROUND(Inventory[[#This Row],[25Det]]*Inventory[[#This Row],[Det/Nbhd Adj]],-2)</f>
        <v>0</v>
      </c>
      <c r="BN1094" s="30">
        <f>Inventory[[#This Row],[Adjusted Res]]+Inventory[[#This Row],[Adj Det ]]</f>
        <v>340200</v>
      </c>
      <c r="BO1094" s="30">
        <f>ROUND((Inventory[[#This Row],[Mdl Land Intercept]]+Inventory[[#This Row],[Mdl LnAcres]])*Inventory[[#This Row],[Det/Nbhd Adj]],-2)</f>
        <v>63900</v>
      </c>
      <c r="BP1094" s="30">
        <f>Inventory[[#This Row],[Adjusted Impr Total]]+Inventory[[#This Row],[Adjusted Land Total]]</f>
        <v>404100</v>
      </c>
      <c r="BQ1094" s="30">
        <f>IFERROR((Inventory[[#This Row],[Adjusted Impr Total]]-Inventory[[#This Row],[24Bldg]])/Inventory[[#This Row],[24Bldg]],0)</f>
        <v>5.4883720930232562E-2</v>
      </c>
      <c r="BR1094" s="43">
        <f>(Inventory[[#This Row],[Adjusted Land Total]]-Inventory[[#This Row],[24Lnd]])/Inventory[[#This Row],[24Lnd]]</f>
        <v>-1.5625000000000001E-3</v>
      </c>
      <c r="BS1094" s="43">
        <f>(Inventory[[#This Row],[Adjusted Total]]-Inventory[[#This Row],[24Final]])/Inventory[[#This Row],[24Final]]</f>
        <v>4.5536869340232856E-2</v>
      </c>
    </row>
    <row r="1095" spans="1:71">
      <c r="A1095" s="30">
        <v>2025</v>
      </c>
      <c r="B1095" s="31" t="s">
        <v>1610</v>
      </c>
      <c r="C1095" s="31">
        <f>LN(Inventory[[#This Row],[Acres]])</f>
        <v>-1.5606477482646683</v>
      </c>
      <c r="D1095" s="30">
        <v>0.21</v>
      </c>
      <c r="E1095" s="30">
        <v>8951</v>
      </c>
      <c r="F1095" s="31" t="s">
        <v>505</v>
      </c>
      <c r="G1095" s="31" t="s">
        <v>155</v>
      </c>
      <c r="H1095" s="31" t="s">
        <v>5</v>
      </c>
      <c r="I1095" s="31" t="s">
        <v>506</v>
      </c>
      <c r="J1095" s="31" t="s">
        <v>507</v>
      </c>
      <c r="K1095" s="31" t="s">
        <v>330</v>
      </c>
      <c r="L1095" s="31" t="s">
        <v>21</v>
      </c>
      <c r="M1095" s="31" t="s">
        <v>20</v>
      </c>
      <c r="N1095" s="31">
        <v>30</v>
      </c>
      <c r="O1095" s="31">
        <f>2024-Inventory[[#This Row],[YrBlt]]</f>
        <v>32</v>
      </c>
      <c r="P1095" s="31">
        <f>2024-Inventory[[#This Row],[EffYr]]</f>
        <v>32</v>
      </c>
      <c r="Q1095" s="30">
        <v>1992</v>
      </c>
      <c r="R1095" s="30">
        <v>1992</v>
      </c>
      <c r="S1095" s="30">
        <v>1861</v>
      </c>
      <c r="T1095" s="32"/>
      <c r="U1095" s="32"/>
      <c r="V1095" s="32"/>
      <c r="W1095" s="32"/>
      <c r="X1095" s="32">
        <f>Inventory[[#This Row],[Bsmt Area]]-Inventory[[#This Row],[FnBsmt]]</f>
        <v>0</v>
      </c>
      <c r="Y1095" s="32">
        <f>Inventory[[#This Row],[MainFn]]+Inventory[[#This Row],[UpprFn]]+Inventory[[#This Row],[AddFn]]+Inventory[[#This Row],[FnBsmt]]</f>
        <v>1861</v>
      </c>
      <c r="Z1095" s="32">
        <v>2000</v>
      </c>
      <c r="AA1095" s="31" t="s">
        <v>55</v>
      </c>
      <c r="AB1095" s="37"/>
      <c r="AC1095" s="30">
        <v>816</v>
      </c>
      <c r="AD1095" s="32"/>
      <c r="AE1095" s="32"/>
      <c r="AF1095" s="32"/>
      <c r="AG1095" s="32"/>
      <c r="AH1095" s="32"/>
      <c r="AI1095" s="30">
        <v>416324</v>
      </c>
      <c r="AJ1095" s="30">
        <v>358039</v>
      </c>
      <c r="AK1095" s="30">
        <v>0</v>
      </c>
      <c r="AL1095" s="30">
        <v>0</v>
      </c>
      <c r="AM1095" s="30">
        <v>64600</v>
      </c>
      <c r="AN1095" s="30">
        <v>309300</v>
      </c>
      <c r="AO1095" s="30">
        <v>373900</v>
      </c>
      <c r="AP1095" s="30">
        <f>Lookups!$B$58*0.6</f>
        <v>132535.48800000001</v>
      </c>
      <c r="AQ1095" s="30">
        <f>Lookups!$B$58*0.4</f>
        <v>88356.992000000013</v>
      </c>
      <c r="AR1095" s="30">
        <f>Lookups!$B$59*Inventory[[#This Row],[LnAcres]]</f>
        <v>-20482.442016152701</v>
      </c>
      <c r="AS1095" s="30">
        <f>VLOOKUP(Inventory[[#This Row],[Qlty]],Lookups!$A$66:$E$79,2,FALSE)</f>
        <v>32917.849192000001</v>
      </c>
      <c r="AT1095" s="30">
        <f>VLOOKUP(Inventory[[#This Row],[Cnd]],Lookups!$A$80:$E$88,2,FALSE)</f>
        <v>30300.329274</v>
      </c>
      <c r="AU1095" s="30">
        <f>Inventory[[#This Row],[EffAge]]*Lookups!$B$65</f>
        <v>-3479.7152000000001</v>
      </c>
      <c r="AV1095" s="30">
        <f>Inventory[[#This Row],[MainFn]]*Lookups!$B$90</f>
        <v>116145.71718000001</v>
      </c>
      <c r="AW1095" s="30">
        <f>Inventory[[#This Row],[UpprFn]]*Lookups!$B$91</f>
        <v>0</v>
      </c>
      <c r="AX1095" s="30">
        <f>Inventory[[#This Row],[Bsmt Area]]*Lookups!$B$95</f>
        <v>0</v>
      </c>
      <c r="AY1095" s="30">
        <f>Inventory[[#This Row],[AttGar]]*Lookups!$B$93</f>
        <v>28805.641296000002</v>
      </c>
      <c r="AZ1095" s="30">
        <f>ROUND(Inventory[[#This Row],[25Det]],-2)</f>
        <v>0</v>
      </c>
      <c r="BA1095" s="30">
        <f>ROUND(SUM(Inventory[[#This Row],[Mdl Qlty]:[Mdl Garage Area]])+Inventory[[#This Row],[Mdl Res Intercept]],-2)</f>
        <v>337200</v>
      </c>
      <c r="BB1095" s="30">
        <f>ROUND(Inventory[[#This Row],[Mdl Land Intercept]]+Inventory[[#This Row],[Mdl LnAcres]],-2)</f>
        <v>67900</v>
      </c>
      <c r="BC1095" s="30">
        <f>Inventory[[#This Row],[Unadj Res Value]]+Inventory[[#This Row],[Unadj Det Value]]+Inventory[[#This Row],[Unadj Land Value]]</f>
        <v>405100</v>
      </c>
      <c r="BD1095" s="30">
        <f>(Inventory[[#This Row],[Unadj Total Value]]-Inventory[[#This Row],[24Final]])/Inventory[[#This Row],[24Final]]</f>
        <v>8.344477132923242E-2</v>
      </c>
      <c r="BE1095" s="30">
        <f>VLOOKUP(Inventory[[#This Row],[Nbhd]],Lookups!$M$3:$P$5,4,FALSE)</f>
        <v>0.99970000000000003</v>
      </c>
      <c r="BF1095" s="30">
        <f>VLOOKUP(Inventory[[#This Row],[Qlty]],Lookups!$M$8:$P$22,4,FALSE)</f>
        <v>1.0019</v>
      </c>
      <c r="BG1095" s="30">
        <f>VLOOKUP(Inventory[[#This Row],[Cnd]],Lookups!$R$8:$U$17,4,FALSE)</f>
        <v>0.997</v>
      </c>
      <c r="BH1095" s="30">
        <f>VLOOKUP(Inventory[[#This Row],[LivArea Range]],Lookups!$R$25:$U$43,4,FALSE)</f>
        <v>1.0007999999999999</v>
      </c>
      <c r="BI1095" s="30">
        <f>VLOOKUP(Inventory[[#This Row],[Decade]],Lookups!$M$24:$P$40,4,FALSE)</f>
        <v>1.0198</v>
      </c>
      <c r="BJ1095" s="30">
        <f>Inventory[[#This Row],[Nbhd Adj]]*0.95</f>
        <v>0.94971499999999998</v>
      </c>
      <c r="BK1095" s="30">
        <f>AVERAGE(Inventory[[#This Row],[Nbhd Adj]],Inventory[[#This Row],[Quality Adj]],Inventory[[#This Row],[Condition Adj]],Inventory[[#This Row],[Living Area Adj]],Inventory[[#This Row],[Decade Adj]])*0.95</f>
        <v>0.95364799999999983</v>
      </c>
      <c r="BL1095" s="30">
        <f>ROUND((SUM(Inventory[[#This Row],[Mdl Qlty]:[Mdl Garage Area]])+Inventory[[#This Row],[Mdl Res Intercept]])*Inventory[[#This Row],[Res Adj ]],-2)</f>
        <v>321600</v>
      </c>
      <c r="BM1095" s="30">
        <f>ROUND(Inventory[[#This Row],[25Det]]*Inventory[[#This Row],[Det/Nbhd Adj]],-2)</f>
        <v>0</v>
      </c>
      <c r="BN1095" s="30">
        <f>Inventory[[#This Row],[Adjusted Res]]+Inventory[[#This Row],[Adj Det ]]</f>
        <v>321600</v>
      </c>
      <c r="BO1095" s="30">
        <f>ROUND((Inventory[[#This Row],[Mdl Land Intercept]]+Inventory[[#This Row],[Mdl LnAcres]])*Inventory[[#This Row],[Det/Nbhd Adj]],-2)</f>
        <v>64500</v>
      </c>
      <c r="BP1095" s="30">
        <f>Inventory[[#This Row],[Adjusted Impr Total]]+Inventory[[#This Row],[Adjusted Land Total]]</f>
        <v>386100</v>
      </c>
      <c r="BQ1095" s="30">
        <f>IFERROR((Inventory[[#This Row],[Adjusted Impr Total]]-Inventory[[#This Row],[24Bldg]])/Inventory[[#This Row],[24Bldg]],0)</f>
        <v>3.976721629485936E-2</v>
      </c>
      <c r="BR1095" s="43">
        <f>(Inventory[[#This Row],[Adjusted Land Total]]-Inventory[[#This Row],[24Lnd]])/Inventory[[#This Row],[24Lnd]]</f>
        <v>-1.5479876160990713E-3</v>
      </c>
      <c r="BS1095" s="43">
        <f>(Inventory[[#This Row],[Adjusted Total]]-Inventory[[#This Row],[24Final]])/Inventory[[#This Row],[24Final]]</f>
        <v>3.2629045199251139E-2</v>
      </c>
    </row>
    <row r="1096" spans="1:71">
      <c r="A1096" s="30">
        <v>2025</v>
      </c>
      <c r="B1096" s="31" t="s">
        <v>1611</v>
      </c>
      <c r="C1096" s="31">
        <f>LN(Inventory[[#This Row],[Acres]])</f>
        <v>-0.19845093872383832</v>
      </c>
      <c r="D1096" s="30">
        <v>0.82</v>
      </c>
      <c r="E1096" s="30">
        <v>35600</v>
      </c>
      <c r="F1096" s="31" t="s">
        <v>505</v>
      </c>
      <c r="G1096" s="31" t="s">
        <v>155</v>
      </c>
      <c r="H1096" s="31" t="s">
        <v>5</v>
      </c>
      <c r="I1096" s="31" t="s">
        <v>506</v>
      </c>
      <c r="J1096" s="31" t="s">
        <v>773</v>
      </c>
      <c r="K1096" s="31" t="s">
        <v>330</v>
      </c>
      <c r="L1096" s="31" t="s">
        <v>21</v>
      </c>
      <c r="M1096" s="31" t="s">
        <v>22</v>
      </c>
      <c r="N1096" s="31">
        <v>30</v>
      </c>
      <c r="O1096" s="31">
        <f>2024-Inventory[[#This Row],[YrBlt]]</f>
        <v>32</v>
      </c>
      <c r="P1096" s="31">
        <f>2024-Inventory[[#This Row],[EffYr]]</f>
        <v>32</v>
      </c>
      <c r="Q1096" s="30">
        <v>1992</v>
      </c>
      <c r="R1096" s="30">
        <v>1992</v>
      </c>
      <c r="S1096" s="30">
        <v>2357</v>
      </c>
      <c r="T1096" s="32"/>
      <c r="U1096" s="32"/>
      <c r="V1096" s="32"/>
      <c r="W1096" s="32"/>
      <c r="X1096" s="32">
        <f>Inventory[[#This Row],[Bsmt Area]]-Inventory[[#This Row],[FnBsmt]]</f>
        <v>0</v>
      </c>
      <c r="Y1096" s="32">
        <f>Inventory[[#This Row],[MainFn]]+Inventory[[#This Row],[UpprFn]]+Inventory[[#This Row],[AddFn]]+Inventory[[#This Row],[FnBsmt]]</f>
        <v>2357</v>
      </c>
      <c r="Z1096" s="32">
        <v>2500</v>
      </c>
      <c r="AA1096" s="31" t="s">
        <v>56</v>
      </c>
      <c r="AB1096" s="32"/>
      <c r="AC1096" s="30">
        <v>588</v>
      </c>
      <c r="AD1096" s="32"/>
      <c r="AE1096" s="32"/>
      <c r="AF1096" s="32"/>
      <c r="AG1096" s="32"/>
      <c r="AH1096" s="32"/>
      <c r="AI1096" s="30">
        <v>482414</v>
      </c>
      <c r="AJ1096" s="30">
        <v>419700</v>
      </c>
      <c r="AK1096" s="30">
        <v>0</v>
      </c>
      <c r="AL1096" s="30">
        <v>0</v>
      </c>
      <c r="AM1096" s="30">
        <v>83700</v>
      </c>
      <c r="AN1096" s="30">
        <v>337600</v>
      </c>
      <c r="AO1096" s="30">
        <v>421300</v>
      </c>
      <c r="AP1096" s="30">
        <f>Lookups!$B$58*0.6</f>
        <v>132535.48800000001</v>
      </c>
      <c r="AQ1096" s="30">
        <f>Lookups!$B$58*0.4</f>
        <v>88356.992000000013</v>
      </c>
      <c r="AR1096" s="30">
        <f>Lookups!$B$59*Inventory[[#This Row],[LnAcres]]</f>
        <v>-2604.5338225629844</v>
      </c>
      <c r="AS1096" s="30">
        <f>VLOOKUP(Inventory[[#This Row],[Qlty]],Lookups!$A$66:$E$79,2,FALSE)</f>
        <v>32917.849192000001</v>
      </c>
      <c r="AT1096" s="30">
        <f>VLOOKUP(Inventory[[#This Row],[Cnd]],Lookups!$A$80:$E$88,2,FALSE)</f>
        <v>50438.379078999998</v>
      </c>
      <c r="AU1096" s="30">
        <f>Inventory[[#This Row],[EffAge]]*Lookups!$B$65</f>
        <v>-3479.7152000000001</v>
      </c>
      <c r="AV1096" s="30">
        <f>Inventory[[#This Row],[MainFn]]*Lookups!$B$90</f>
        <v>147101.26566</v>
      </c>
      <c r="AW1096" s="30">
        <f>Inventory[[#This Row],[UpprFn]]*Lookups!$B$91</f>
        <v>0</v>
      </c>
      <c r="AX1096" s="30">
        <f>Inventory[[#This Row],[Bsmt Area]]*Lookups!$B$95</f>
        <v>0</v>
      </c>
      <c r="AY1096" s="30">
        <f>Inventory[[#This Row],[AttGar]]*Lookups!$B$93</f>
        <v>20757.006228000002</v>
      </c>
      <c r="AZ1096" s="30">
        <f>ROUND(Inventory[[#This Row],[25Det]],-2)</f>
        <v>0</v>
      </c>
      <c r="BA1096" s="30">
        <f>ROUND(SUM(Inventory[[#This Row],[Mdl Qlty]:[Mdl Garage Area]])+Inventory[[#This Row],[Mdl Res Intercept]],-2)</f>
        <v>380300</v>
      </c>
      <c r="BB1096" s="30">
        <f>ROUND(Inventory[[#This Row],[Mdl Land Intercept]]+Inventory[[#This Row],[Mdl LnAcres]],-2)</f>
        <v>85800</v>
      </c>
      <c r="BC1096" s="30">
        <f>Inventory[[#This Row],[Unadj Res Value]]+Inventory[[#This Row],[Unadj Det Value]]+Inventory[[#This Row],[Unadj Land Value]]</f>
        <v>466100</v>
      </c>
      <c r="BD1096" s="30">
        <f>(Inventory[[#This Row],[Unadj Total Value]]-Inventory[[#This Row],[24Final]])/Inventory[[#This Row],[24Final]]</f>
        <v>0.10633752670306196</v>
      </c>
      <c r="BE1096" s="30">
        <f>VLOOKUP(Inventory[[#This Row],[Nbhd]],Lookups!$M$3:$P$5,4,FALSE)</f>
        <v>0.99970000000000003</v>
      </c>
      <c r="BF1096" s="30">
        <f>VLOOKUP(Inventory[[#This Row],[Qlty]],Lookups!$M$8:$P$22,4,FALSE)</f>
        <v>1.0019</v>
      </c>
      <c r="BG1096" s="30">
        <f>VLOOKUP(Inventory[[#This Row],[Cnd]],Lookups!$R$8:$U$17,4,FALSE)</f>
        <v>1.0007999999999999</v>
      </c>
      <c r="BH1096" s="30">
        <f>VLOOKUP(Inventory[[#This Row],[LivArea Range]],Lookups!$R$25:$U$43,4,FALSE)</f>
        <v>1.0008999999999999</v>
      </c>
      <c r="BI1096" s="30">
        <f>VLOOKUP(Inventory[[#This Row],[Decade]],Lookups!$M$24:$P$40,4,FALSE)</f>
        <v>1.0198</v>
      </c>
      <c r="BJ1096" s="30">
        <f>Inventory[[#This Row],[Nbhd Adj]]*0.95</f>
        <v>0.94971499999999998</v>
      </c>
      <c r="BK1096" s="30">
        <f>AVERAGE(Inventory[[#This Row],[Nbhd Adj]],Inventory[[#This Row],[Quality Adj]],Inventory[[#This Row],[Condition Adj]],Inventory[[#This Row],[Living Area Adj]],Inventory[[#This Row],[Decade Adj]])*0.95</f>
        <v>0.95438899999999982</v>
      </c>
      <c r="BL1096" s="30">
        <f>ROUND((SUM(Inventory[[#This Row],[Mdl Qlty]:[Mdl Garage Area]])+Inventory[[#This Row],[Mdl Res Intercept]])*Inventory[[#This Row],[Res Adj ]],-2)</f>
        <v>362900</v>
      </c>
      <c r="BM1096" s="30">
        <f>ROUND(Inventory[[#This Row],[25Det]]*Inventory[[#This Row],[Det/Nbhd Adj]],-2)</f>
        <v>0</v>
      </c>
      <c r="BN1096" s="30">
        <f>Inventory[[#This Row],[Adjusted Res]]+Inventory[[#This Row],[Adj Det ]]</f>
        <v>362900</v>
      </c>
      <c r="BO1096" s="30">
        <f>ROUND((Inventory[[#This Row],[Mdl Land Intercept]]+Inventory[[#This Row],[Mdl LnAcres]])*Inventory[[#This Row],[Det/Nbhd Adj]],-2)</f>
        <v>81400</v>
      </c>
      <c r="BP1096" s="30">
        <f>Inventory[[#This Row],[Adjusted Impr Total]]+Inventory[[#This Row],[Adjusted Land Total]]</f>
        <v>444300</v>
      </c>
      <c r="BQ1096" s="30">
        <f>IFERROR((Inventory[[#This Row],[Adjusted Impr Total]]-Inventory[[#This Row],[24Bldg]])/Inventory[[#This Row],[24Bldg]],0)</f>
        <v>7.4940758293838866E-2</v>
      </c>
      <c r="BR1096" s="43">
        <f>(Inventory[[#This Row],[Adjusted Land Total]]-Inventory[[#This Row],[24Lnd]])/Inventory[[#This Row],[24Lnd]]</f>
        <v>-2.7479091995221028E-2</v>
      </c>
      <c r="BS1096" s="43">
        <f>(Inventory[[#This Row],[Adjusted Total]]-Inventory[[#This Row],[24Final]])/Inventory[[#This Row],[24Final]]</f>
        <v>5.4592926655589839E-2</v>
      </c>
    </row>
    <row r="1097" spans="1:71">
      <c r="A1097" s="30">
        <v>2025</v>
      </c>
      <c r="B1097" s="31" t="s">
        <v>1612</v>
      </c>
      <c r="C1097" s="31">
        <f>LN(Inventory[[#This Row],[Acres]])</f>
        <v>-1.4696759700589417</v>
      </c>
      <c r="D1097" s="30">
        <v>0.23</v>
      </c>
      <c r="E1097" s="30">
        <v>10076</v>
      </c>
      <c r="F1097" s="31" t="s">
        <v>505</v>
      </c>
      <c r="G1097" s="31" t="s">
        <v>155</v>
      </c>
      <c r="H1097" s="31" t="s">
        <v>5</v>
      </c>
      <c r="I1097" s="31" t="s">
        <v>506</v>
      </c>
      <c r="J1097" s="31" t="s">
        <v>507</v>
      </c>
      <c r="K1097" s="31" t="s">
        <v>330</v>
      </c>
      <c r="L1097" s="31" t="s">
        <v>21</v>
      </c>
      <c r="M1097" s="31" t="s">
        <v>20</v>
      </c>
      <c r="N1097" s="31">
        <v>30</v>
      </c>
      <c r="O1097" s="31">
        <f>2024-Inventory[[#This Row],[YrBlt]]</f>
        <v>33</v>
      </c>
      <c r="P1097" s="31">
        <f>2024-Inventory[[#This Row],[EffYr]]</f>
        <v>33</v>
      </c>
      <c r="Q1097" s="30">
        <v>1991</v>
      </c>
      <c r="R1097" s="30">
        <v>1991</v>
      </c>
      <c r="S1097" s="30">
        <v>2041</v>
      </c>
      <c r="T1097" s="32"/>
      <c r="U1097" s="32"/>
      <c r="V1097" s="32"/>
      <c r="W1097" s="32"/>
      <c r="X1097" s="32">
        <f>Inventory[[#This Row],[Bsmt Area]]-Inventory[[#This Row],[FnBsmt]]</f>
        <v>0</v>
      </c>
      <c r="Y1097" s="32">
        <f>Inventory[[#This Row],[MainFn]]+Inventory[[#This Row],[UpprFn]]+Inventory[[#This Row],[AddFn]]+Inventory[[#This Row],[FnBsmt]]</f>
        <v>2041</v>
      </c>
      <c r="Z1097" s="32">
        <v>2500</v>
      </c>
      <c r="AA1097" s="31" t="s">
        <v>55</v>
      </c>
      <c r="AB1097" s="32"/>
      <c r="AC1097" s="30">
        <v>576</v>
      </c>
      <c r="AD1097" s="32"/>
      <c r="AE1097" s="32"/>
      <c r="AF1097" s="32"/>
      <c r="AG1097" s="32"/>
      <c r="AH1097" s="32"/>
      <c r="AI1097" s="30">
        <v>461349</v>
      </c>
      <c r="AJ1097" s="30">
        <v>392147</v>
      </c>
      <c r="AK1097" s="30">
        <v>0</v>
      </c>
      <c r="AL1097" s="30">
        <v>0</v>
      </c>
      <c r="AM1097" s="30">
        <v>65900</v>
      </c>
      <c r="AN1097" s="30">
        <v>305100</v>
      </c>
      <c r="AO1097" s="30">
        <v>371000</v>
      </c>
      <c r="AP1097" s="30">
        <f>Lookups!$B$58*0.6</f>
        <v>132535.48800000001</v>
      </c>
      <c r="AQ1097" s="30">
        <f>Lookups!$B$58*0.4</f>
        <v>88356.992000000013</v>
      </c>
      <c r="AR1097" s="30">
        <f>Lookups!$B$59*Inventory[[#This Row],[LnAcres]]</f>
        <v>-19288.499197039939</v>
      </c>
      <c r="AS1097" s="30">
        <f>VLOOKUP(Inventory[[#This Row],[Qlty]],Lookups!$A$66:$E$79,2,FALSE)</f>
        <v>32917.849192000001</v>
      </c>
      <c r="AT1097" s="30">
        <f>VLOOKUP(Inventory[[#This Row],[Cnd]],Lookups!$A$80:$E$88,2,FALSE)</f>
        <v>30300.329274</v>
      </c>
      <c r="AU1097" s="30">
        <f>Inventory[[#This Row],[EffAge]]*Lookups!$B$65</f>
        <v>-3588.4563000000003</v>
      </c>
      <c r="AV1097" s="30">
        <f>Inventory[[#This Row],[MainFn]]*Lookups!$B$90</f>
        <v>127379.58558000001</v>
      </c>
      <c r="AW1097" s="30">
        <f>Inventory[[#This Row],[UpprFn]]*Lookups!$B$91</f>
        <v>0</v>
      </c>
      <c r="AX1097" s="30">
        <f>Inventory[[#This Row],[Bsmt Area]]*Lookups!$B$95</f>
        <v>0</v>
      </c>
      <c r="AY1097" s="30">
        <f>Inventory[[#This Row],[AttGar]]*Lookups!$B$93</f>
        <v>20333.393856000002</v>
      </c>
      <c r="AZ1097" s="30">
        <f>ROUND(Inventory[[#This Row],[25Det]],-2)</f>
        <v>0</v>
      </c>
      <c r="BA1097" s="30">
        <f>ROUND(SUM(Inventory[[#This Row],[Mdl Qlty]:[Mdl Garage Area]])+Inventory[[#This Row],[Mdl Res Intercept]],-2)</f>
        <v>339900</v>
      </c>
      <c r="BB1097" s="30">
        <f>ROUND(Inventory[[#This Row],[Mdl Land Intercept]]+Inventory[[#This Row],[Mdl LnAcres]],-2)</f>
        <v>69100</v>
      </c>
      <c r="BC1097" s="30">
        <f>Inventory[[#This Row],[Unadj Res Value]]+Inventory[[#This Row],[Unadj Det Value]]+Inventory[[#This Row],[Unadj Land Value]]</f>
        <v>409000</v>
      </c>
      <c r="BD1097" s="30">
        <f>(Inventory[[#This Row],[Unadj Total Value]]-Inventory[[#This Row],[24Final]])/Inventory[[#This Row],[24Final]]</f>
        <v>0.10242587601078167</v>
      </c>
      <c r="BE1097" s="30">
        <f>VLOOKUP(Inventory[[#This Row],[Nbhd]],Lookups!$M$3:$P$5,4,FALSE)</f>
        <v>0.99970000000000003</v>
      </c>
      <c r="BF1097" s="30">
        <f>VLOOKUP(Inventory[[#This Row],[Qlty]],Lookups!$M$8:$P$22,4,FALSE)</f>
        <v>1.0019</v>
      </c>
      <c r="BG1097" s="30">
        <f>VLOOKUP(Inventory[[#This Row],[Cnd]],Lookups!$R$8:$U$17,4,FALSE)</f>
        <v>0.997</v>
      </c>
      <c r="BH1097" s="30">
        <f>VLOOKUP(Inventory[[#This Row],[LivArea Range]],Lookups!$R$25:$U$43,4,FALSE)</f>
        <v>1.0008999999999999</v>
      </c>
      <c r="BI1097" s="30">
        <f>VLOOKUP(Inventory[[#This Row],[Decade]],Lookups!$M$24:$P$40,4,FALSE)</f>
        <v>1.0198</v>
      </c>
      <c r="BJ1097" s="30">
        <f>Inventory[[#This Row],[Nbhd Adj]]*0.95</f>
        <v>0.94971499999999998</v>
      </c>
      <c r="BK1097" s="30">
        <f>AVERAGE(Inventory[[#This Row],[Nbhd Adj]],Inventory[[#This Row],[Quality Adj]],Inventory[[#This Row],[Condition Adj]],Inventory[[#This Row],[Living Area Adj]],Inventory[[#This Row],[Decade Adj]])*0.95</f>
        <v>0.95366699999999993</v>
      </c>
      <c r="BL1097" s="30">
        <f>ROUND((SUM(Inventory[[#This Row],[Mdl Qlty]:[Mdl Garage Area]])+Inventory[[#This Row],[Mdl Res Intercept]])*Inventory[[#This Row],[Res Adj ]],-2)</f>
        <v>324100</v>
      </c>
      <c r="BM1097" s="30">
        <f>ROUND(Inventory[[#This Row],[25Det]]*Inventory[[#This Row],[Det/Nbhd Adj]],-2)</f>
        <v>0</v>
      </c>
      <c r="BN1097" s="30">
        <f>Inventory[[#This Row],[Adjusted Res]]+Inventory[[#This Row],[Adj Det ]]</f>
        <v>324100</v>
      </c>
      <c r="BO1097" s="30">
        <f>ROUND((Inventory[[#This Row],[Mdl Land Intercept]]+Inventory[[#This Row],[Mdl LnAcres]])*Inventory[[#This Row],[Det/Nbhd Adj]],-2)</f>
        <v>65600</v>
      </c>
      <c r="BP1097" s="30">
        <f>Inventory[[#This Row],[Adjusted Impr Total]]+Inventory[[#This Row],[Adjusted Land Total]]</f>
        <v>389700</v>
      </c>
      <c r="BQ1097" s="30">
        <f>IFERROR((Inventory[[#This Row],[Adjusted Impr Total]]-Inventory[[#This Row],[24Bldg]])/Inventory[[#This Row],[24Bldg]],0)</f>
        <v>6.2274664044575552E-2</v>
      </c>
      <c r="BR1097" s="43">
        <f>(Inventory[[#This Row],[Adjusted Land Total]]-Inventory[[#This Row],[24Lnd]])/Inventory[[#This Row],[24Lnd]]</f>
        <v>-4.552352048558422E-3</v>
      </c>
      <c r="BS1097" s="43">
        <f>(Inventory[[#This Row],[Adjusted Total]]-Inventory[[#This Row],[24Final]])/Inventory[[#This Row],[24Final]]</f>
        <v>5.0404312668463611E-2</v>
      </c>
    </row>
    <row r="1098" spans="1:71">
      <c r="A1098" s="30">
        <v>2025</v>
      </c>
      <c r="B1098" s="31" t="s">
        <v>1613</v>
      </c>
      <c r="C1098" s="31">
        <f>LN(Inventory[[#This Row],[Acres]])</f>
        <v>-1.6094379124341003</v>
      </c>
      <c r="D1098" s="30">
        <v>0.2</v>
      </c>
      <c r="E1098" s="30">
        <v>8667</v>
      </c>
      <c r="F1098" s="31" t="s">
        <v>505</v>
      </c>
      <c r="G1098" s="31" t="s">
        <v>155</v>
      </c>
      <c r="H1098" s="31" t="s">
        <v>5</v>
      </c>
      <c r="I1098" s="31" t="s">
        <v>506</v>
      </c>
      <c r="J1098" s="31" t="s">
        <v>507</v>
      </c>
      <c r="K1098" s="31" t="s">
        <v>193</v>
      </c>
      <c r="L1098" s="31" t="s">
        <v>21</v>
      </c>
      <c r="M1098" s="31" t="s">
        <v>18</v>
      </c>
      <c r="N1098" s="31">
        <v>30</v>
      </c>
      <c r="O1098" s="31">
        <f>2024-Inventory[[#This Row],[YrBlt]]</f>
        <v>34</v>
      </c>
      <c r="P1098" s="31">
        <f>2024-Inventory[[#This Row],[EffYr]]</f>
        <v>34</v>
      </c>
      <c r="Q1098" s="30">
        <v>1990</v>
      </c>
      <c r="R1098" s="30">
        <v>1990</v>
      </c>
      <c r="S1098" s="30">
        <v>1803</v>
      </c>
      <c r="T1098" s="32"/>
      <c r="U1098" s="32"/>
      <c r="V1098" s="32"/>
      <c r="W1098" s="32"/>
      <c r="X1098" s="32">
        <f>Inventory[[#This Row],[Bsmt Area]]-Inventory[[#This Row],[FnBsmt]]</f>
        <v>0</v>
      </c>
      <c r="Y1098" s="32">
        <f>Inventory[[#This Row],[MainFn]]+Inventory[[#This Row],[UpprFn]]+Inventory[[#This Row],[AddFn]]+Inventory[[#This Row],[FnBsmt]]</f>
        <v>1803</v>
      </c>
      <c r="Z1098" s="32">
        <v>2000</v>
      </c>
      <c r="AA1098" s="31" t="s">
        <v>55</v>
      </c>
      <c r="AB1098" s="32"/>
      <c r="AC1098" s="30">
        <v>750</v>
      </c>
      <c r="AD1098" s="32"/>
      <c r="AE1098" s="32"/>
      <c r="AF1098" s="32"/>
      <c r="AG1098" s="32"/>
      <c r="AH1098" s="32"/>
      <c r="AI1098" s="30">
        <v>433080</v>
      </c>
      <c r="AJ1098" s="30">
        <v>363787</v>
      </c>
      <c r="AK1098" s="30">
        <v>0</v>
      </c>
      <c r="AL1098" s="30">
        <v>0</v>
      </c>
      <c r="AM1098" s="30">
        <v>64000</v>
      </c>
      <c r="AN1098" s="30">
        <v>288500</v>
      </c>
      <c r="AO1098" s="30">
        <v>352500</v>
      </c>
      <c r="AP1098" s="30">
        <f>Lookups!$B$58*0.6</f>
        <v>132535.48800000001</v>
      </c>
      <c r="AQ1098" s="30">
        <f>Lookups!$B$58*0.4</f>
        <v>88356.992000000013</v>
      </c>
      <c r="AR1098" s="30">
        <f>Lookups!$B$59*Inventory[[#This Row],[LnAcres]]</f>
        <v>-21122.779792355024</v>
      </c>
      <c r="AS1098" s="30">
        <f>VLOOKUP(Inventory[[#This Row],[Qlty]],Lookups!$A$66:$E$79,2,FALSE)</f>
        <v>32917.849192000001</v>
      </c>
      <c r="AT1098" s="30">
        <f>VLOOKUP(Inventory[[#This Row],[Cnd]],Lookups!$A$80:$E$88,2,FALSE)</f>
        <v>17761.121909000001</v>
      </c>
      <c r="AU1098" s="30">
        <f>Inventory[[#This Row],[EffAge]]*Lookups!$B$65</f>
        <v>-3697.1974</v>
      </c>
      <c r="AV1098" s="30">
        <f>Inventory[[#This Row],[MainFn]]*Lookups!$B$90</f>
        <v>112525.91514000001</v>
      </c>
      <c r="AW1098" s="30">
        <f>Inventory[[#This Row],[UpprFn]]*Lookups!$B$91</f>
        <v>0</v>
      </c>
      <c r="AX1098" s="30">
        <f>Inventory[[#This Row],[Bsmt Area]]*Lookups!$B$95</f>
        <v>0</v>
      </c>
      <c r="AY1098" s="30">
        <f>Inventory[[#This Row],[AttGar]]*Lookups!$B$93</f>
        <v>26475.773250000002</v>
      </c>
      <c r="AZ1098" s="30">
        <f>ROUND(Inventory[[#This Row],[25Det]],-2)</f>
        <v>0</v>
      </c>
      <c r="BA1098" s="30">
        <f>ROUND(SUM(Inventory[[#This Row],[Mdl Qlty]:[Mdl Garage Area]])+Inventory[[#This Row],[Mdl Res Intercept]],-2)</f>
        <v>318500</v>
      </c>
      <c r="BB1098" s="30">
        <f>ROUND(Inventory[[#This Row],[Mdl Land Intercept]]+Inventory[[#This Row],[Mdl LnAcres]],-2)</f>
        <v>67200</v>
      </c>
      <c r="BC1098" s="30">
        <f>Inventory[[#This Row],[Unadj Res Value]]+Inventory[[#This Row],[Unadj Det Value]]+Inventory[[#This Row],[Unadj Land Value]]</f>
        <v>385700</v>
      </c>
      <c r="BD1098" s="30">
        <f>(Inventory[[#This Row],[Unadj Total Value]]-Inventory[[#This Row],[24Final]])/Inventory[[#This Row],[24Final]]</f>
        <v>9.4184397163120562E-2</v>
      </c>
      <c r="BE1098" s="30">
        <f>VLOOKUP(Inventory[[#This Row],[Nbhd]],Lookups!$M$3:$P$5,4,FALSE)</f>
        <v>0.99970000000000003</v>
      </c>
      <c r="BF1098" s="30">
        <f>VLOOKUP(Inventory[[#This Row],[Qlty]],Lookups!$M$8:$P$22,4,FALSE)</f>
        <v>1.0019</v>
      </c>
      <c r="BG1098" s="30">
        <f>VLOOKUP(Inventory[[#This Row],[Cnd]],Lookups!$R$8:$U$17,4,FALSE)</f>
        <v>0.99680000000000002</v>
      </c>
      <c r="BH1098" s="30">
        <f>VLOOKUP(Inventory[[#This Row],[LivArea Range]],Lookups!$R$25:$U$43,4,FALSE)</f>
        <v>1.0007999999999999</v>
      </c>
      <c r="BI1098" s="30">
        <f>VLOOKUP(Inventory[[#This Row],[Decade]],Lookups!$M$24:$P$40,4,FALSE)</f>
        <v>1.0198</v>
      </c>
      <c r="BJ1098" s="30">
        <f>Inventory[[#This Row],[Nbhd Adj]]*0.95</f>
        <v>0.94971499999999998</v>
      </c>
      <c r="BK1098" s="30">
        <f>AVERAGE(Inventory[[#This Row],[Nbhd Adj]],Inventory[[#This Row],[Quality Adj]],Inventory[[#This Row],[Condition Adj]],Inventory[[#This Row],[Living Area Adj]],Inventory[[#This Row],[Decade Adj]])*0.95</f>
        <v>0.95360999999999996</v>
      </c>
      <c r="BL1098" s="30">
        <f>ROUND((SUM(Inventory[[#This Row],[Mdl Qlty]:[Mdl Garage Area]])+Inventory[[#This Row],[Mdl Res Intercept]])*Inventory[[#This Row],[Res Adj ]],-2)</f>
        <v>303700</v>
      </c>
      <c r="BM1098" s="30">
        <f>ROUND(Inventory[[#This Row],[25Det]]*Inventory[[#This Row],[Det/Nbhd Adj]],-2)</f>
        <v>0</v>
      </c>
      <c r="BN1098" s="30">
        <f>Inventory[[#This Row],[Adjusted Res]]+Inventory[[#This Row],[Adj Det ]]</f>
        <v>303700</v>
      </c>
      <c r="BO1098" s="30">
        <f>ROUND((Inventory[[#This Row],[Mdl Land Intercept]]+Inventory[[#This Row],[Mdl LnAcres]])*Inventory[[#This Row],[Det/Nbhd Adj]],-2)</f>
        <v>63900</v>
      </c>
      <c r="BP1098" s="30">
        <f>Inventory[[#This Row],[Adjusted Impr Total]]+Inventory[[#This Row],[Adjusted Land Total]]</f>
        <v>367600</v>
      </c>
      <c r="BQ1098" s="30">
        <f>IFERROR((Inventory[[#This Row],[Adjusted Impr Total]]-Inventory[[#This Row],[24Bldg]])/Inventory[[#This Row],[24Bldg]],0)</f>
        <v>5.2686308492201038E-2</v>
      </c>
      <c r="BR1098" s="43">
        <f>(Inventory[[#This Row],[Adjusted Land Total]]-Inventory[[#This Row],[24Lnd]])/Inventory[[#This Row],[24Lnd]]</f>
        <v>-1.5625000000000001E-3</v>
      </c>
      <c r="BS1098" s="43">
        <f>(Inventory[[#This Row],[Adjusted Total]]-Inventory[[#This Row],[24Final]])/Inventory[[#This Row],[24Final]]</f>
        <v>4.2836879432624111E-2</v>
      </c>
    </row>
    <row r="1099" spans="1:71">
      <c r="A1099" s="30">
        <v>2025</v>
      </c>
      <c r="B1099" s="31" t="s">
        <v>1614</v>
      </c>
      <c r="C1099" s="31">
        <f>LN(Inventory[[#This Row],[Acres]])</f>
        <v>-1.5141277326297755</v>
      </c>
      <c r="D1099" s="30">
        <v>0.22</v>
      </c>
      <c r="E1099" s="30">
        <v>9576</v>
      </c>
      <c r="F1099" s="31" t="s">
        <v>505</v>
      </c>
      <c r="G1099" s="31" t="s">
        <v>155</v>
      </c>
      <c r="H1099" s="31" t="s">
        <v>5</v>
      </c>
      <c r="I1099" s="31" t="s">
        <v>506</v>
      </c>
      <c r="J1099" s="31" t="s">
        <v>507</v>
      </c>
      <c r="K1099" s="31" t="s">
        <v>193</v>
      </c>
      <c r="L1099" s="31" t="s">
        <v>21</v>
      </c>
      <c r="M1099" s="31" t="s">
        <v>20</v>
      </c>
      <c r="N1099" s="31">
        <v>30</v>
      </c>
      <c r="O1099" s="31">
        <f>2024-Inventory[[#This Row],[YrBlt]]</f>
        <v>34</v>
      </c>
      <c r="P1099" s="31">
        <f>2024-Inventory[[#This Row],[EffYr]]</f>
        <v>34</v>
      </c>
      <c r="Q1099" s="30">
        <v>1990</v>
      </c>
      <c r="R1099" s="30">
        <v>1990</v>
      </c>
      <c r="S1099" s="30">
        <v>1575</v>
      </c>
      <c r="T1099" s="37"/>
      <c r="U1099" s="32"/>
      <c r="V1099" s="32"/>
      <c r="W1099" s="32"/>
      <c r="X1099" s="32">
        <f>Inventory[[#This Row],[Bsmt Area]]-Inventory[[#This Row],[FnBsmt]]</f>
        <v>0</v>
      </c>
      <c r="Y1099" s="32">
        <f>Inventory[[#This Row],[MainFn]]+Inventory[[#This Row],[UpprFn]]+Inventory[[#This Row],[AddFn]]+Inventory[[#This Row],[FnBsmt]]</f>
        <v>1575</v>
      </c>
      <c r="Z1099" s="32">
        <v>2000</v>
      </c>
      <c r="AA1099" s="31" t="s">
        <v>55</v>
      </c>
      <c r="AB1099" s="37"/>
      <c r="AC1099" s="38">
        <v>600</v>
      </c>
      <c r="AD1099" s="37"/>
      <c r="AE1099" s="32"/>
      <c r="AF1099" s="32"/>
      <c r="AG1099" s="32"/>
      <c r="AH1099" s="32"/>
      <c r="AI1099" s="30">
        <v>371359</v>
      </c>
      <c r="AJ1099" s="30">
        <v>315655</v>
      </c>
      <c r="AK1099" s="30">
        <v>0</v>
      </c>
      <c r="AL1099" s="30">
        <v>0</v>
      </c>
      <c r="AM1099" s="30">
        <v>65300</v>
      </c>
      <c r="AN1099" s="30">
        <v>282400</v>
      </c>
      <c r="AO1099" s="30">
        <v>347700</v>
      </c>
      <c r="AP1099" s="30">
        <f>Lookups!$B$58*0.6</f>
        <v>132535.48800000001</v>
      </c>
      <c r="AQ1099" s="30">
        <f>Lookups!$B$58*0.4</f>
        <v>88356.992000000013</v>
      </c>
      <c r="AR1099" s="30">
        <f>Lookups!$B$59*Inventory[[#This Row],[LnAcres]]</f>
        <v>-19871.898398035348</v>
      </c>
      <c r="AS1099" s="30">
        <f>VLOOKUP(Inventory[[#This Row],[Qlty]],Lookups!$A$66:$E$79,2,FALSE)</f>
        <v>32917.849192000001</v>
      </c>
      <c r="AT1099" s="30">
        <f>VLOOKUP(Inventory[[#This Row],[Cnd]],Lookups!$A$80:$E$88,2,FALSE)</f>
        <v>30300.329274</v>
      </c>
      <c r="AU1099" s="30">
        <f>Inventory[[#This Row],[EffAge]]*Lookups!$B$65</f>
        <v>-3697.1974</v>
      </c>
      <c r="AV1099" s="30">
        <f>Inventory[[#This Row],[MainFn]]*Lookups!$B$90</f>
        <v>98296.348500000007</v>
      </c>
      <c r="AW1099" s="30">
        <f>Inventory[[#This Row],[UpprFn]]*Lookups!$B$91</f>
        <v>0</v>
      </c>
      <c r="AX1099" s="30">
        <f>Inventory[[#This Row],[Bsmt Area]]*Lookups!$B$95</f>
        <v>0</v>
      </c>
      <c r="AY1099" s="30">
        <f>Inventory[[#This Row],[AttGar]]*Lookups!$B$93</f>
        <v>21180.618600000002</v>
      </c>
      <c r="AZ1099" s="30">
        <f>ROUND(Inventory[[#This Row],[25Det]],-2)</f>
        <v>0</v>
      </c>
      <c r="BA1099" s="30">
        <f>ROUND(SUM(Inventory[[#This Row],[Mdl Qlty]:[Mdl Garage Area]])+Inventory[[#This Row],[Mdl Res Intercept]],-2)</f>
        <v>311500</v>
      </c>
      <c r="BB1099" s="30">
        <f>ROUND(Inventory[[#This Row],[Mdl Land Intercept]]+Inventory[[#This Row],[Mdl LnAcres]],-2)</f>
        <v>68500</v>
      </c>
      <c r="BC1099" s="30">
        <f>Inventory[[#This Row],[Unadj Res Value]]+Inventory[[#This Row],[Unadj Det Value]]+Inventory[[#This Row],[Unadj Land Value]]</f>
        <v>380000</v>
      </c>
      <c r="BD1099" s="30">
        <f>(Inventory[[#This Row],[Unadj Total Value]]-Inventory[[#This Row],[24Final]])/Inventory[[#This Row],[24Final]]</f>
        <v>9.2896174863387984E-2</v>
      </c>
      <c r="BE1099" s="30">
        <f>VLOOKUP(Inventory[[#This Row],[Nbhd]],Lookups!$M$3:$P$5,4,FALSE)</f>
        <v>0.99970000000000003</v>
      </c>
      <c r="BF1099" s="30">
        <f>VLOOKUP(Inventory[[#This Row],[Qlty]],Lookups!$M$8:$P$22,4,FALSE)</f>
        <v>1.0019</v>
      </c>
      <c r="BG1099" s="30">
        <f>VLOOKUP(Inventory[[#This Row],[Cnd]],Lookups!$R$8:$U$17,4,FALSE)</f>
        <v>0.997</v>
      </c>
      <c r="BH1099" s="30">
        <f>VLOOKUP(Inventory[[#This Row],[LivArea Range]],Lookups!$R$25:$U$43,4,FALSE)</f>
        <v>1.0007999999999999</v>
      </c>
      <c r="BI1099" s="30">
        <f>VLOOKUP(Inventory[[#This Row],[Decade]],Lookups!$M$24:$P$40,4,FALSE)</f>
        <v>1.0198</v>
      </c>
      <c r="BJ1099" s="30">
        <f>Inventory[[#This Row],[Nbhd Adj]]*0.95</f>
        <v>0.94971499999999998</v>
      </c>
      <c r="BK1099" s="30">
        <f>AVERAGE(Inventory[[#This Row],[Nbhd Adj]],Inventory[[#This Row],[Quality Adj]],Inventory[[#This Row],[Condition Adj]],Inventory[[#This Row],[Living Area Adj]],Inventory[[#This Row],[Decade Adj]])*0.95</f>
        <v>0.95364799999999983</v>
      </c>
      <c r="BL1099" s="30">
        <f>ROUND((SUM(Inventory[[#This Row],[Mdl Qlty]:[Mdl Garage Area]])+Inventory[[#This Row],[Mdl Res Intercept]])*Inventory[[#This Row],[Res Adj ]],-2)</f>
        <v>297100</v>
      </c>
      <c r="BM1099" s="30">
        <f>ROUND(Inventory[[#This Row],[25Det]]*Inventory[[#This Row],[Det/Nbhd Adj]],-2)</f>
        <v>0</v>
      </c>
      <c r="BN1099" s="30">
        <f>Inventory[[#This Row],[Adjusted Res]]+Inventory[[#This Row],[Adj Det ]]</f>
        <v>297100</v>
      </c>
      <c r="BO1099" s="30">
        <f>ROUND((Inventory[[#This Row],[Mdl Land Intercept]]+Inventory[[#This Row],[Mdl LnAcres]])*Inventory[[#This Row],[Det/Nbhd Adj]],-2)</f>
        <v>65000</v>
      </c>
      <c r="BP1099" s="30">
        <f>Inventory[[#This Row],[Adjusted Impr Total]]+Inventory[[#This Row],[Adjusted Land Total]]</f>
        <v>362100</v>
      </c>
      <c r="BQ1099" s="30">
        <f>IFERROR((Inventory[[#This Row],[Adjusted Impr Total]]-Inventory[[#This Row],[24Bldg]])/Inventory[[#This Row],[24Bldg]],0)</f>
        <v>5.2053824362606235E-2</v>
      </c>
      <c r="BR1099" s="43">
        <f>(Inventory[[#This Row],[Adjusted Land Total]]-Inventory[[#This Row],[24Lnd]])/Inventory[[#This Row],[24Lnd]]</f>
        <v>-4.5941807044410417E-3</v>
      </c>
      <c r="BS1099" s="43">
        <f>(Inventory[[#This Row],[Adjusted Total]]-Inventory[[#This Row],[24Final]])/Inventory[[#This Row],[24Final]]</f>
        <v>4.1415012942191541E-2</v>
      </c>
    </row>
    <row r="1100" spans="1:71">
      <c r="A1100" s="30">
        <v>2025</v>
      </c>
      <c r="B1100" s="31" t="s">
        <v>1615</v>
      </c>
      <c r="C1100" s="31">
        <f>LN(Inventory[[#This Row],[Acres]])</f>
        <v>-1.5141277326297755</v>
      </c>
      <c r="D1100" s="30">
        <v>0.22</v>
      </c>
      <c r="E1100" s="30">
        <v>9612</v>
      </c>
      <c r="F1100" s="31" t="s">
        <v>505</v>
      </c>
      <c r="G1100" s="31" t="s">
        <v>155</v>
      </c>
      <c r="H1100" s="31" t="s">
        <v>5</v>
      </c>
      <c r="I1100" s="31" t="s">
        <v>506</v>
      </c>
      <c r="J1100" s="31" t="s">
        <v>507</v>
      </c>
      <c r="K1100" s="31" t="s">
        <v>193</v>
      </c>
      <c r="L1100" s="31" t="s">
        <v>21</v>
      </c>
      <c r="M1100" s="31" t="s">
        <v>20</v>
      </c>
      <c r="N1100" s="31">
        <v>30</v>
      </c>
      <c r="O1100" s="31">
        <f>2024-Inventory[[#This Row],[YrBlt]]</f>
        <v>34</v>
      </c>
      <c r="P1100" s="31">
        <f>2024-Inventory[[#This Row],[EffYr]]</f>
        <v>34</v>
      </c>
      <c r="Q1100" s="30">
        <v>1990</v>
      </c>
      <c r="R1100" s="30">
        <v>1990</v>
      </c>
      <c r="S1100" s="30">
        <v>1814</v>
      </c>
      <c r="T1100" s="32"/>
      <c r="U1100" s="32"/>
      <c r="V1100" s="32"/>
      <c r="W1100" s="32"/>
      <c r="X1100" s="32">
        <f>Inventory[[#This Row],[Bsmt Area]]-Inventory[[#This Row],[FnBsmt]]</f>
        <v>0</v>
      </c>
      <c r="Y1100" s="32">
        <f>Inventory[[#This Row],[MainFn]]+Inventory[[#This Row],[UpprFn]]+Inventory[[#This Row],[AddFn]]+Inventory[[#This Row],[FnBsmt]]</f>
        <v>1814</v>
      </c>
      <c r="Z1100" s="32">
        <v>2000</v>
      </c>
      <c r="AA1100" s="31" t="s">
        <v>55</v>
      </c>
      <c r="AB1100" s="32"/>
      <c r="AC1100" s="30">
        <v>576</v>
      </c>
      <c r="AD1100" s="32"/>
      <c r="AE1100" s="32"/>
      <c r="AF1100" s="32"/>
      <c r="AG1100" s="32"/>
      <c r="AH1100" s="32"/>
      <c r="AI1100" s="30">
        <v>406262</v>
      </c>
      <c r="AJ1100" s="30">
        <v>345323</v>
      </c>
      <c r="AK1100" s="30">
        <v>0</v>
      </c>
      <c r="AL1100" s="30">
        <v>0</v>
      </c>
      <c r="AM1100" s="30">
        <v>65300</v>
      </c>
      <c r="AN1100" s="30">
        <v>293100</v>
      </c>
      <c r="AO1100" s="30">
        <v>358400</v>
      </c>
      <c r="AP1100" s="30">
        <f>Lookups!$B$58*0.6</f>
        <v>132535.48800000001</v>
      </c>
      <c r="AQ1100" s="30">
        <f>Lookups!$B$58*0.4</f>
        <v>88356.992000000013</v>
      </c>
      <c r="AR1100" s="30">
        <f>Lookups!$B$59*Inventory[[#This Row],[LnAcres]]</f>
        <v>-19871.898398035348</v>
      </c>
      <c r="AS1100" s="30">
        <f>VLOOKUP(Inventory[[#This Row],[Qlty]],Lookups!$A$66:$E$79,2,FALSE)</f>
        <v>32917.849192000001</v>
      </c>
      <c r="AT1100" s="30">
        <f>VLOOKUP(Inventory[[#This Row],[Cnd]],Lookups!$A$80:$E$88,2,FALSE)</f>
        <v>30300.329274</v>
      </c>
      <c r="AU1100" s="30">
        <f>Inventory[[#This Row],[EffAge]]*Lookups!$B$65</f>
        <v>-3697.1974</v>
      </c>
      <c r="AV1100" s="30">
        <f>Inventory[[#This Row],[MainFn]]*Lookups!$B$90</f>
        <v>113212.42932000001</v>
      </c>
      <c r="AW1100" s="30">
        <f>Inventory[[#This Row],[UpprFn]]*Lookups!$B$91</f>
        <v>0</v>
      </c>
      <c r="AX1100" s="30">
        <f>Inventory[[#This Row],[Bsmt Area]]*Lookups!$B$95</f>
        <v>0</v>
      </c>
      <c r="AY1100" s="30">
        <f>Inventory[[#This Row],[AttGar]]*Lookups!$B$93</f>
        <v>20333.393856000002</v>
      </c>
      <c r="AZ1100" s="30">
        <f>ROUND(Inventory[[#This Row],[25Det]],-2)</f>
        <v>0</v>
      </c>
      <c r="BA1100" s="30">
        <f>ROUND(SUM(Inventory[[#This Row],[Mdl Qlty]:[Mdl Garage Area]])+Inventory[[#This Row],[Mdl Res Intercept]],-2)</f>
        <v>325600</v>
      </c>
      <c r="BB1100" s="30">
        <f>ROUND(Inventory[[#This Row],[Mdl Land Intercept]]+Inventory[[#This Row],[Mdl LnAcres]],-2)</f>
        <v>68500</v>
      </c>
      <c r="BC1100" s="30">
        <f>Inventory[[#This Row],[Unadj Res Value]]+Inventory[[#This Row],[Unadj Det Value]]+Inventory[[#This Row],[Unadj Land Value]]</f>
        <v>394100</v>
      </c>
      <c r="BD1100" s="30">
        <f>(Inventory[[#This Row],[Unadj Total Value]]-Inventory[[#This Row],[24Final]])/Inventory[[#This Row],[24Final]]</f>
        <v>9.9609375E-2</v>
      </c>
      <c r="BE1100" s="30">
        <f>VLOOKUP(Inventory[[#This Row],[Nbhd]],Lookups!$M$3:$P$5,4,FALSE)</f>
        <v>0.99970000000000003</v>
      </c>
      <c r="BF1100" s="30">
        <f>VLOOKUP(Inventory[[#This Row],[Qlty]],Lookups!$M$8:$P$22,4,FALSE)</f>
        <v>1.0019</v>
      </c>
      <c r="BG1100" s="30">
        <f>VLOOKUP(Inventory[[#This Row],[Cnd]],Lookups!$R$8:$U$17,4,FALSE)</f>
        <v>0.997</v>
      </c>
      <c r="BH1100" s="30">
        <f>VLOOKUP(Inventory[[#This Row],[LivArea Range]],Lookups!$R$25:$U$43,4,FALSE)</f>
        <v>1.0007999999999999</v>
      </c>
      <c r="BI1100" s="30">
        <f>VLOOKUP(Inventory[[#This Row],[Decade]],Lookups!$M$24:$P$40,4,FALSE)</f>
        <v>1.0198</v>
      </c>
      <c r="BJ1100" s="30">
        <f>Inventory[[#This Row],[Nbhd Adj]]*0.95</f>
        <v>0.94971499999999998</v>
      </c>
      <c r="BK1100" s="30">
        <f>AVERAGE(Inventory[[#This Row],[Nbhd Adj]],Inventory[[#This Row],[Quality Adj]],Inventory[[#This Row],[Condition Adj]],Inventory[[#This Row],[Living Area Adj]],Inventory[[#This Row],[Decade Adj]])*0.95</f>
        <v>0.95364799999999983</v>
      </c>
      <c r="BL1100" s="30">
        <f>ROUND((SUM(Inventory[[#This Row],[Mdl Qlty]:[Mdl Garage Area]])+Inventory[[#This Row],[Mdl Res Intercept]])*Inventory[[#This Row],[Res Adj ]],-2)</f>
        <v>310500</v>
      </c>
      <c r="BM1100" s="30">
        <f>ROUND(Inventory[[#This Row],[25Det]]*Inventory[[#This Row],[Det/Nbhd Adj]],-2)</f>
        <v>0</v>
      </c>
      <c r="BN1100" s="30">
        <f>Inventory[[#This Row],[Adjusted Res]]+Inventory[[#This Row],[Adj Det ]]</f>
        <v>310500</v>
      </c>
      <c r="BO1100" s="30">
        <f>ROUND((Inventory[[#This Row],[Mdl Land Intercept]]+Inventory[[#This Row],[Mdl LnAcres]])*Inventory[[#This Row],[Det/Nbhd Adj]],-2)</f>
        <v>65000</v>
      </c>
      <c r="BP1100" s="30">
        <f>Inventory[[#This Row],[Adjusted Impr Total]]+Inventory[[#This Row],[Adjusted Land Total]]</f>
        <v>375500</v>
      </c>
      <c r="BQ1100" s="30">
        <f>IFERROR((Inventory[[#This Row],[Adjusted Impr Total]]-Inventory[[#This Row],[24Bldg]])/Inventory[[#This Row],[24Bldg]],0)</f>
        <v>5.9365404298874103E-2</v>
      </c>
      <c r="BR1100" s="43">
        <f>(Inventory[[#This Row],[Adjusted Land Total]]-Inventory[[#This Row],[24Lnd]])/Inventory[[#This Row],[24Lnd]]</f>
        <v>-4.5941807044410417E-3</v>
      </c>
      <c r="BS1100" s="43">
        <f>(Inventory[[#This Row],[Adjusted Total]]-Inventory[[#This Row],[24Final]])/Inventory[[#This Row],[24Final]]</f>
        <v>4.7712053571428568E-2</v>
      </c>
    </row>
    <row r="1101" spans="1:71">
      <c r="A1101" s="30">
        <v>2025</v>
      </c>
      <c r="B1101" s="31" t="s">
        <v>1616</v>
      </c>
      <c r="C1101" s="31">
        <f>LN(Inventory[[#This Row],[Acres]])</f>
        <v>0.73716406597671957</v>
      </c>
      <c r="D1101" s="30">
        <v>2.09</v>
      </c>
      <c r="E1101" s="30">
        <v>91008</v>
      </c>
      <c r="F1101" s="31" t="s">
        <v>505</v>
      </c>
      <c r="G1101" s="31" t="s">
        <v>155</v>
      </c>
      <c r="H1101" s="31" t="s">
        <v>5</v>
      </c>
      <c r="I1101" s="31" t="s">
        <v>506</v>
      </c>
      <c r="J1101" s="31" t="s">
        <v>507</v>
      </c>
      <c r="K1101" s="31" t="s">
        <v>330</v>
      </c>
      <c r="L1101" s="31" t="s">
        <v>21</v>
      </c>
      <c r="M1101" s="31" t="s">
        <v>20</v>
      </c>
      <c r="N1101" s="31">
        <v>30</v>
      </c>
      <c r="O1101" s="31">
        <f>2024-Inventory[[#This Row],[YrBlt]]</f>
        <v>34</v>
      </c>
      <c r="P1101" s="31">
        <f>2024-Inventory[[#This Row],[EffYr]]</f>
        <v>34</v>
      </c>
      <c r="Q1101" s="30">
        <v>1990</v>
      </c>
      <c r="R1101" s="30">
        <v>1990</v>
      </c>
      <c r="S1101" s="30">
        <v>1769</v>
      </c>
      <c r="T1101" s="32"/>
      <c r="U1101" s="32"/>
      <c r="V1101" s="32"/>
      <c r="W1101" s="32"/>
      <c r="X1101" s="32">
        <f>Inventory[[#This Row],[Bsmt Area]]-Inventory[[#This Row],[FnBsmt]]</f>
        <v>0</v>
      </c>
      <c r="Y1101" s="32">
        <f>Inventory[[#This Row],[MainFn]]+Inventory[[#This Row],[UpprFn]]+Inventory[[#This Row],[AddFn]]+Inventory[[#This Row],[FnBsmt]]</f>
        <v>1769</v>
      </c>
      <c r="Z1101" s="32">
        <v>2000</v>
      </c>
      <c r="AA1101" s="31" t="s">
        <v>56</v>
      </c>
      <c r="AB1101" s="32"/>
      <c r="AC1101" s="30">
        <v>986</v>
      </c>
      <c r="AD1101" s="32"/>
      <c r="AE1101" s="32"/>
      <c r="AF1101" s="32"/>
      <c r="AG1101" s="32"/>
      <c r="AH1101" s="32"/>
      <c r="AI1101" s="30">
        <v>416398</v>
      </c>
      <c r="AJ1101" s="30">
        <v>353938</v>
      </c>
      <c r="AK1101" s="30">
        <v>0</v>
      </c>
      <c r="AL1101" s="30">
        <v>0</v>
      </c>
      <c r="AM1101" s="30">
        <v>96800</v>
      </c>
      <c r="AN1101" s="30">
        <v>322200</v>
      </c>
      <c r="AO1101" s="30">
        <v>419000</v>
      </c>
      <c r="AP1101" s="30">
        <f>Lookups!$B$58*0.6</f>
        <v>132535.48800000001</v>
      </c>
      <c r="AQ1101" s="30">
        <f>Lookups!$B$58*0.4</f>
        <v>88356.992000000013</v>
      </c>
      <c r="AR1101" s="30">
        <f>Lookups!$B$59*Inventory[[#This Row],[LnAcres]]</f>
        <v>9674.7778315436462</v>
      </c>
      <c r="AS1101" s="30">
        <f>VLOOKUP(Inventory[[#This Row],[Qlty]],Lookups!$A$66:$E$79,2,FALSE)</f>
        <v>32917.849192000001</v>
      </c>
      <c r="AT1101" s="30">
        <f>VLOOKUP(Inventory[[#This Row],[Cnd]],Lookups!$A$80:$E$88,2,FALSE)</f>
        <v>30300.329274</v>
      </c>
      <c r="AU1101" s="30">
        <f>Inventory[[#This Row],[EffAge]]*Lookups!$B$65</f>
        <v>-3697.1974</v>
      </c>
      <c r="AV1101" s="30">
        <f>Inventory[[#This Row],[MainFn]]*Lookups!$B$90</f>
        <v>110403.96222</v>
      </c>
      <c r="AW1101" s="30">
        <f>Inventory[[#This Row],[UpprFn]]*Lookups!$B$91</f>
        <v>0</v>
      </c>
      <c r="AX1101" s="30">
        <f>Inventory[[#This Row],[Bsmt Area]]*Lookups!$B$95</f>
        <v>0</v>
      </c>
      <c r="AY1101" s="30">
        <f>Inventory[[#This Row],[AttGar]]*Lookups!$B$93</f>
        <v>34806.816566000001</v>
      </c>
      <c r="AZ1101" s="30">
        <f>ROUND(Inventory[[#This Row],[25Det]],-2)</f>
        <v>0</v>
      </c>
      <c r="BA1101" s="30">
        <f>ROUND(SUM(Inventory[[#This Row],[Mdl Qlty]:[Mdl Garage Area]])+Inventory[[#This Row],[Mdl Res Intercept]],-2)</f>
        <v>337300</v>
      </c>
      <c r="BB1101" s="30">
        <f>ROUND(Inventory[[#This Row],[Mdl Land Intercept]]+Inventory[[#This Row],[Mdl LnAcres]],-2)</f>
        <v>98000</v>
      </c>
      <c r="BC1101" s="30">
        <f>Inventory[[#This Row],[Unadj Res Value]]+Inventory[[#This Row],[Unadj Det Value]]+Inventory[[#This Row],[Unadj Land Value]]</f>
        <v>435300</v>
      </c>
      <c r="BD1101" s="30">
        <f>(Inventory[[#This Row],[Unadj Total Value]]-Inventory[[#This Row],[24Final]])/Inventory[[#This Row],[24Final]]</f>
        <v>3.8902147971360379E-2</v>
      </c>
      <c r="BE1101" s="30">
        <f>VLOOKUP(Inventory[[#This Row],[Nbhd]],Lookups!$M$3:$P$5,4,FALSE)</f>
        <v>0.99970000000000003</v>
      </c>
      <c r="BF1101" s="30">
        <f>VLOOKUP(Inventory[[#This Row],[Qlty]],Lookups!$M$8:$P$22,4,FALSE)</f>
        <v>1.0019</v>
      </c>
      <c r="BG1101" s="30">
        <f>VLOOKUP(Inventory[[#This Row],[Cnd]],Lookups!$R$8:$U$17,4,FALSE)</f>
        <v>0.997</v>
      </c>
      <c r="BH1101" s="30">
        <f>VLOOKUP(Inventory[[#This Row],[LivArea Range]],Lookups!$R$25:$U$43,4,FALSE)</f>
        <v>1.0007999999999999</v>
      </c>
      <c r="BI1101" s="30">
        <f>VLOOKUP(Inventory[[#This Row],[Decade]],Lookups!$M$24:$P$40,4,FALSE)</f>
        <v>1.0198</v>
      </c>
      <c r="BJ1101" s="30">
        <f>Inventory[[#This Row],[Nbhd Adj]]*0.95</f>
        <v>0.94971499999999998</v>
      </c>
      <c r="BK1101" s="30">
        <f>AVERAGE(Inventory[[#This Row],[Nbhd Adj]],Inventory[[#This Row],[Quality Adj]],Inventory[[#This Row],[Condition Adj]],Inventory[[#This Row],[Living Area Adj]],Inventory[[#This Row],[Decade Adj]])*0.95</f>
        <v>0.95364799999999983</v>
      </c>
      <c r="BL1101" s="30">
        <f>ROUND((SUM(Inventory[[#This Row],[Mdl Qlty]:[Mdl Garage Area]])+Inventory[[#This Row],[Mdl Res Intercept]])*Inventory[[#This Row],[Res Adj ]],-2)</f>
        <v>321600</v>
      </c>
      <c r="BM1101" s="30">
        <f>ROUND(Inventory[[#This Row],[25Det]]*Inventory[[#This Row],[Det/Nbhd Adj]],-2)</f>
        <v>0</v>
      </c>
      <c r="BN1101" s="30">
        <f>Inventory[[#This Row],[Adjusted Res]]+Inventory[[#This Row],[Adj Det ]]</f>
        <v>321600</v>
      </c>
      <c r="BO1101" s="30">
        <f>ROUND((Inventory[[#This Row],[Mdl Land Intercept]]+Inventory[[#This Row],[Mdl LnAcres]])*Inventory[[#This Row],[Det/Nbhd Adj]],-2)</f>
        <v>93100</v>
      </c>
      <c r="BP1101" s="30">
        <f>Inventory[[#This Row],[Adjusted Impr Total]]+Inventory[[#This Row],[Adjusted Land Total]]</f>
        <v>414700</v>
      </c>
      <c r="BQ1101" s="30">
        <f>IFERROR((Inventory[[#This Row],[Adjusted Impr Total]]-Inventory[[#This Row],[24Bldg]])/Inventory[[#This Row],[24Bldg]],0)</f>
        <v>-1.8621973929236499E-3</v>
      </c>
      <c r="BR1101" s="43">
        <f>(Inventory[[#This Row],[Adjusted Land Total]]-Inventory[[#This Row],[24Lnd]])/Inventory[[#This Row],[24Lnd]]</f>
        <v>-3.8223140495867766E-2</v>
      </c>
      <c r="BS1101" s="43">
        <f>(Inventory[[#This Row],[Adjusted Total]]-Inventory[[#This Row],[24Final]])/Inventory[[#This Row],[24Final]]</f>
        <v>-1.026252983293556E-2</v>
      </c>
    </row>
    <row r="1102" spans="1:71">
      <c r="A1102" s="30">
        <v>2025</v>
      </c>
      <c r="B1102" s="31" t="s">
        <v>1617</v>
      </c>
      <c r="C1102" s="31">
        <f>LN(Inventory[[#This Row],[Acres]])</f>
        <v>-1.6094379124341003</v>
      </c>
      <c r="D1102" s="30">
        <v>0.2</v>
      </c>
      <c r="E1102" s="30">
        <v>8530</v>
      </c>
      <c r="F1102" s="31" t="s">
        <v>505</v>
      </c>
      <c r="G1102" s="31" t="s">
        <v>155</v>
      </c>
      <c r="H1102" s="31" t="s">
        <v>5</v>
      </c>
      <c r="I1102" s="31" t="s">
        <v>506</v>
      </c>
      <c r="J1102" s="31" t="s">
        <v>507</v>
      </c>
      <c r="K1102" s="31" t="s">
        <v>193</v>
      </c>
      <c r="L1102" s="31" t="s">
        <v>15</v>
      </c>
      <c r="M1102" s="31" t="s">
        <v>20</v>
      </c>
      <c r="N1102" s="31">
        <v>30</v>
      </c>
      <c r="O1102" s="31">
        <f>2024-Inventory[[#This Row],[YrBlt]]</f>
        <v>35</v>
      </c>
      <c r="P1102" s="31">
        <f>2024-Inventory[[#This Row],[EffYr]]</f>
        <v>35</v>
      </c>
      <c r="Q1102" s="30">
        <v>1989</v>
      </c>
      <c r="R1102" s="30">
        <v>1989</v>
      </c>
      <c r="S1102" s="30">
        <v>1025</v>
      </c>
      <c r="T1102" s="32"/>
      <c r="U1102" s="32"/>
      <c r="V1102" s="32"/>
      <c r="W1102" s="32"/>
      <c r="X1102" s="32">
        <f>Inventory[[#This Row],[Bsmt Area]]-Inventory[[#This Row],[FnBsmt]]</f>
        <v>0</v>
      </c>
      <c r="Y1102" s="32">
        <f>Inventory[[#This Row],[MainFn]]+Inventory[[#This Row],[UpprFn]]+Inventory[[#This Row],[AddFn]]+Inventory[[#This Row],[FnBsmt]]</f>
        <v>1025</v>
      </c>
      <c r="Z1102" s="32">
        <v>1500</v>
      </c>
      <c r="AA1102" s="31" t="s">
        <v>56</v>
      </c>
      <c r="AB1102" s="32"/>
      <c r="AC1102" s="30">
        <v>325</v>
      </c>
      <c r="AD1102" s="32"/>
      <c r="AE1102" s="32"/>
      <c r="AF1102" s="32"/>
      <c r="AG1102" s="32"/>
      <c r="AH1102" s="32"/>
      <c r="AI1102" s="30">
        <v>168889</v>
      </c>
      <c r="AJ1102" s="30">
        <v>143556</v>
      </c>
      <c r="AK1102" s="30">
        <v>0</v>
      </c>
      <c r="AL1102" s="30">
        <v>0</v>
      </c>
      <c r="AM1102" s="30">
        <v>64000</v>
      </c>
      <c r="AN1102" s="30">
        <v>223400</v>
      </c>
      <c r="AO1102" s="30">
        <v>287400</v>
      </c>
      <c r="AP1102" s="30">
        <f>Lookups!$B$58*0.6</f>
        <v>132535.48800000001</v>
      </c>
      <c r="AQ1102" s="30">
        <f>Lookups!$B$58*0.4</f>
        <v>88356.992000000013</v>
      </c>
      <c r="AR1102" s="30">
        <f>Lookups!$B$59*Inventory[[#This Row],[LnAcres]]</f>
        <v>-21122.779792355024</v>
      </c>
      <c r="AS1102" s="30">
        <f>VLOOKUP(Inventory[[#This Row],[Qlty]],Lookups!$A$66:$E$79,2,FALSE)</f>
        <v>-1240.8083630000001</v>
      </c>
      <c r="AT1102" s="30">
        <f>VLOOKUP(Inventory[[#This Row],[Cnd]],Lookups!$A$80:$E$88,2,FALSE)</f>
        <v>30300.329274</v>
      </c>
      <c r="AU1102" s="30">
        <f>Inventory[[#This Row],[EffAge]]*Lookups!$B$65</f>
        <v>-3805.9385000000002</v>
      </c>
      <c r="AV1102" s="30">
        <f>Inventory[[#This Row],[MainFn]]*Lookups!$B$90</f>
        <v>63970.639500000005</v>
      </c>
      <c r="AW1102" s="30">
        <f>Inventory[[#This Row],[UpprFn]]*Lookups!$B$91</f>
        <v>0</v>
      </c>
      <c r="AX1102" s="30">
        <f>Inventory[[#This Row],[Bsmt Area]]*Lookups!$B$95</f>
        <v>0</v>
      </c>
      <c r="AY1102" s="30">
        <f>Inventory[[#This Row],[AttGar]]*Lookups!$B$93</f>
        <v>11472.835075000001</v>
      </c>
      <c r="AZ1102" s="30">
        <f>ROUND(Inventory[[#This Row],[25Det]],-2)</f>
        <v>0</v>
      </c>
      <c r="BA1102" s="30">
        <f>ROUND(SUM(Inventory[[#This Row],[Mdl Qlty]:[Mdl Garage Area]])+Inventory[[#This Row],[Mdl Res Intercept]],-2)</f>
        <v>233200</v>
      </c>
      <c r="BB1102" s="30">
        <f>ROUND(Inventory[[#This Row],[Mdl Land Intercept]]+Inventory[[#This Row],[Mdl LnAcres]],-2)</f>
        <v>67200</v>
      </c>
      <c r="BC1102" s="30">
        <f>Inventory[[#This Row],[Unadj Res Value]]+Inventory[[#This Row],[Unadj Det Value]]+Inventory[[#This Row],[Unadj Land Value]]</f>
        <v>300400</v>
      </c>
      <c r="BD1102" s="30">
        <f>(Inventory[[#This Row],[Unadj Total Value]]-Inventory[[#This Row],[24Final]])/Inventory[[#This Row],[24Final]]</f>
        <v>4.5233124565066112E-2</v>
      </c>
      <c r="BE1102" s="30">
        <f>VLOOKUP(Inventory[[#This Row],[Nbhd]],Lookups!$M$3:$P$5,4,FALSE)</f>
        <v>0.99970000000000003</v>
      </c>
      <c r="BF1102" s="30">
        <f>VLOOKUP(Inventory[[#This Row],[Qlty]],Lookups!$M$8:$P$22,4,FALSE)</f>
        <v>1.0022</v>
      </c>
      <c r="BG1102" s="30">
        <f>VLOOKUP(Inventory[[#This Row],[Cnd]],Lookups!$R$8:$U$17,4,FALSE)</f>
        <v>0.997</v>
      </c>
      <c r="BH1102" s="30">
        <f>VLOOKUP(Inventory[[#This Row],[LivArea Range]],Lookups!$R$25:$U$43,4,FALSE)</f>
        <v>0.99519999999999997</v>
      </c>
      <c r="BI1102" s="30">
        <f>VLOOKUP(Inventory[[#This Row],[Decade]],Lookups!$M$24:$P$40,4,FALSE)</f>
        <v>1.0198</v>
      </c>
      <c r="BJ1102" s="30">
        <f>Inventory[[#This Row],[Nbhd Adj]]*0.95</f>
        <v>0.94971499999999998</v>
      </c>
      <c r="BK1102" s="30">
        <f>AVERAGE(Inventory[[#This Row],[Nbhd Adj]],Inventory[[#This Row],[Quality Adj]],Inventory[[#This Row],[Condition Adj]],Inventory[[#This Row],[Living Area Adj]],Inventory[[#This Row],[Decade Adj]])*0.95</f>
        <v>0.95264099999999996</v>
      </c>
      <c r="BL1102" s="30">
        <f>ROUND((SUM(Inventory[[#This Row],[Mdl Qlty]:[Mdl Garage Area]])+Inventory[[#This Row],[Mdl Res Intercept]])*Inventory[[#This Row],[Res Adj ]],-2)</f>
        <v>222200</v>
      </c>
      <c r="BM1102" s="30">
        <f>ROUND(Inventory[[#This Row],[25Det]]*Inventory[[#This Row],[Det/Nbhd Adj]],-2)</f>
        <v>0</v>
      </c>
      <c r="BN1102" s="30">
        <f>Inventory[[#This Row],[Adjusted Res]]+Inventory[[#This Row],[Adj Det ]]</f>
        <v>222200</v>
      </c>
      <c r="BO1102" s="30">
        <f>ROUND((Inventory[[#This Row],[Mdl Land Intercept]]+Inventory[[#This Row],[Mdl LnAcres]])*Inventory[[#This Row],[Det/Nbhd Adj]],-2)</f>
        <v>63900</v>
      </c>
      <c r="BP1102" s="30">
        <f>Inventory[[#This Row],[Adjusted Impr Total]]+Inventory[[#This Row],[Adjusted Land Total]]</f>
        <v>286100</v>
      </c>
      <c r="BQ1102" s="30">
        <f>IFERROR((Inventory[[#This Row],[Adjusted Impr Total]]-Inventory[[#This Row],[24Bldg]])/Inventory[[#This Row],[24Bldg]],0)</f>
        <v>-5.3715308863025966E-3</v>
      </c>
      <c r="BR1102" s="43">
        <f>(Inventory[[#This Row],[Adjusted Land Total]]-Inventory[[#This Row],[24Lnd]])/Inventory[[#This Row],[24Lnd]]</f>
        <v>-1.5625000000000001E-3</v>
      </c>
      <c r="BS1102" s="43">
        <f>(Inventory[[#This Row],[Adjusted Total]]-Inventory[[#This Row],[24Final]])/Inventory[[#This Row],[24Final]]</f>
        <v>-4.523312456506611E-3</v>
      </c>
    </row>
    <row r="1103" spans="1:71">
      <c r="A1103" s="30">
        <v>2025</v>
      </c>
      <c r="B1103" s="31" t="s">
        <v>1618</v>
      </c>
      <c r="C1103" s="31">
        <f>LN(Inventory[[#This Row],[Acres]])</f>
        <v>-1.7147984280919266</v>
      </c>
      <c r="D1103" s="30">
        <v>0.18</v>
      </c>
      <c r="E1103" s="30">
        <v>7996</v>
      </c>
      <c r="F1103" s="31" t="s">
        <v>505</v>
      </c>
      <c r="G1103" s="31" t="s">
        <v>155</v>
      </c>
      <c r="H1103" s="31" t="s">
        <v>5</v>
      </c>
      <c r="I1103" s="31" t="s">
        <v>506</v>
      </c>
      <c r="J1103" s="31" t="s">
        <v>507</v>
      </c>
      <c r="K1103" s="31" t="s">
        <v>193</v>
      </c>
      <c r="L1103" s="31" t="s">
        <v>17</v>
      </c>
      <c r="M1103" s="31" t="s">
        <v>20</v>
      </c>
      <c r="N1103" s="31">
        <v>30</v>
      </c>
      <c r="O1103" s="31">
        <f>2024-Inventory[[#This Row],[YrBlt]]</f>
        <v>37</v>
      </c>
      <c r="P1103" s="31">
        <f>2024-Inventory[[#This Row],[EffYr]]</f>
        <v>37</v>
      </c>
      <c r="Q1103" s="30">
        <v>1987</v>
      </c>
      <c r="R1103" s="30">
        <v>1987</v>
      </c>
      <c r="S1103" s="30">
        <v>1288</v>
      </c>
      <c r="T1103" s="32"/>
      <c r="U1103" s="32"/>
      <c r="V1103" s="32"/>
      <c r="W1103" s="32"/>
      <c r="X1103" s="32">
        <f>Inventory[[#This Row],[Bsmt Area]]-Inventory[[#This Row],[FnBsmt]]</f>
        <v>0</v>
      </c>
      <c r="Y1103" s="32">
        <f>Inventory[[#This Row],[MainFn]]+Inventory[[#This Row],[UpprFn]]+Inventory[[#This Row],[AddFn]]+Inventory[[#This Row],[FnBsmt]]</f>
        <v>1288</v>
      </c>
      <c r="Z1103" s="32">
        <v>1500</v>
      </c>
      <c r="AA1103" s="31" t="s">
        <v>56</v>
      </c>
      <c r="AB1103" s="32"/>
      <c r="AC1103" s="37"/>
      <c r="AD1103" s="32"/>
      <c r="AE1103" s="32"/>
      <c r="AF1103" s="32"/>
      <c r="AG1103" s="32"/>
      <c r="AH1103" s="32"/>
      <c r="AI1103" s="30">
        <v>214876</v>
      </c>
      <c r="AJ1103" s="30">
        <v>182645</v>
      </c>
      <c r="AK1103" s="30">
        <v>0</v>
      </c>
      <c r="AL1103" s="30">
        <v>0</v>
      </c>
      <c r="AM1103" s="30">
        <v>62500</v>
      </c>
      <c r="AN1103" s="30">
        <v>226900</v>
      </c>
      <c r="AO1103" s="30">
        <v>289400</v>
      </c>
      <c r="AP1103" s="30">
        <f>Lookups!$B$58*0.6</f>
        <v>132535.48800000001</v>
      </c>
      <c r="AQ1103" s="30">
        <f>Lookups!$B$58*0.4</f>
        <v>88356.992000000013</v>
      </c>
      <c r="AR1103" s="30">
        <f>Lookups!$B$59*Inventory[[#This Row],[LnAcres]]</f>
        <v>-22505.565020573864</v>
      </c>
      <c r="AS1103" s="30">
        <f>VLOOKUP(Inventory[[#This Row],[Qlty]],Lookups!$A$66:$E$79,2,FALSE)</f>
        <v>24371.765965999999</v>
      </c>
      <c r="AT1103" s="30">
        <f>VLOOKUP(Inventory[[#This Row],[Cnd]],Lookups!$A$80:$E$88,2,FALSE)</f>
        <v>30300.329274</v>
      </c>
      <c r="AU1103" s="30">
        <f>Inventory[[#This Row],[EffAge]]*Lookups!$B$65</f>
        <v>-4023.4207000000001</v>
      </c>
      <c r="AV1103" s="30">
        <f>Inventory[[#This Row],[MainFn]]*Lookups!$B$90</f>
        <v>80384.569440000007</v>
      </c>
      <c r="AW1103" s="30">
        <f>Inventory[[#This Row],[UpprFn]]*Lookups!$B$91</f>
        <v>0</v>
      </c>
      <c r="AX1103" s="30">
        <f>Inventory[[#This Row],[Bsmt Area]]*Lookups!$B$95</f>
        <v>0</v>
      </c>
      <c r="AY1103" s="30">
        <f>Inventory[[#This Row],[AttGar]]*Lookups!$B$93</f>
        <v>0</v>
      </c>
      <c r="AZ1103" s="30">
        <f>ROUND(Inventory[[#This Row],[25Det]],-2)</f>
        <v>0</v>
      </c>
      <c r="BA1103" s="30">
        <f>ROUND(SUM(Inventory[[#This Row],[Mdl Qlty]:[Mdl Garage Area]])+Inventory[[#This Row],[Mdl Res Intercept]],-2)</f>
        <v>263600</v>
      </c>
      <c r="BB1103" s="30">
        <f>ROUND(Inventory[[#This Row],[Mdl Land Intercept]]+Inventory[[#This Row],[Mdl LnAcres]],-2)</f>
        <v>65900</v>
      </c>
      <c r="BC1103" s="30">
        <f>Inventory[[#This Row],[Unadj Res Value]]+Inventory[[#This Row],[Unadj Det Value]]+Inventory[[#This Row],[Unadj Land Value]]</f>
        <v>329500</v>
      </c>
      <c r="BD1103" s="30">
        <f>(Inventory[[#This Row],[Unadj Total Value]]-Inventory[[#This Row],[24Final]])/Inventory[[#This Row],[24Final]]</f>
        <v>0.13856254319281272</v>
      </c>
      <c r="BE1103" s="30">
        <f>VLOOKUP(Inventory[[#This Row],[Nbhd]],Lookups!$M$3:$P$5,4,FALSE)</f>
        <v>0.99970000000000003</v>
      </c>
      <c r="BF1103" s="30">
        <f>VLOOKUP(Inventory[[#This Row],[Qlty]],Lookups!$M$8:$P$22,4,FALSE)</f>
        <v>0.99199999999999999</v>
      </c>
      <c r="BG1103" s="30">
        <f>VLOOKUP(Inventory[[#This Row],[Cnd]],Lookups!$R$8:$U$17,4,FALSE)</f>
        <v>0.997</v>
      </c>
      <c r="BH1103" s="30">
        <f>VLOOKUP(Inventory[[#This Row],[LivArea Range]],Lookups!$R$25:$U$43,4,FALSE)</f>
        <v>0.99519999999999997</v>
      </c>
      <c r="BI1103" s="30">
        <f>VLOOKUP(Inventory[[#This Row],[Decade]],Lookups!$M$24:$P$40,4,FALSE)</f>
        <v>1.0198</v>
      </c>
      <c r="BJ1103" s="30">
        <f>Inventory[[#This Row],[Nbhd Adj]]*0.95</f>
        <v>0.94971499999999998</v>
      </c>
      <c r="BK1103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103" s="30">
        <f>ROUND((SUM(Inventory[[#This Row],[Mdl Qlty]:[Mdl Garage Area]])+Inventory[[#This Row],[Mdl Res Intercept]])*Inventory[[#This Row],[Res Adj ]],-2)</f>
        <v>250600</v>
      </c>
      <c r="BM1103" s="30">
        <f>ROUND(Inventory[[#This Row],[25Det]]*Inventory[[#This Row],[Det/Nbhd Adj]],-2)</f>
        <v>0</v>
      </c>
      <c r="BN1103" s="30">
        <f>Inventory[[#This Row],[Adjusted Res]]+Inventory[[#This Row],[Adj Det ]]</f>
        <v>250600</v>
      </c>
      <c r="BO1103" s="30">
        <f>ROUND((Inventory[[#This Row],[Mdl Land Intercept]]+Inventory[[#This Row],[Mdl LnAcres]])*Inventory[[#This Row],[Det/Nbhd Adj]],-2)</f>
        <v>62500</v>
      </c>
      <c r="BP1103" s="30">
        <f>Inventory[[#This Row],[Adjusted Impr Total]]+Inventory[[#This Row],[Adjusted Land Total]]</f>
        <v>313100</v>
      </c>
      <c r="BQ1103" s="30">
        <f>IFERROR((Inventory[[#This Row],[Adjusted Impr Total]]-Inventory[[#This Row],[24Bldg]])/Inventory[[#This Row],[24Bldg]],0)</f>
        <v>0.10445130013221683</v>
      </c>
      <c r="BR1103" s="43">
        <f>(Inventory[[#This Row],[Adjusted Land Total]]-Inventory[[#This Row],[24Lnd]])/Inventory[[#This Row],[24Lnd]]</f>
        <v>0</v>
      </c>
      <c r="BS1103" s="43">
        <f>(Inventory[[#This Row],[Adjusted Total]]-Inventory[[#This Row],[24Final]])/Inventory[[#This Row],[24Final]]</f>
        <v>8.189357290946786E-2</v>
      </c>
    </row>
    <row r="1104" spans="1:71">
      <c r="A1104" s="30">
        <v>2025</v>
      </c>
      <c r="B1104" s="31" t="s">
        <v>1619</v>
      </c>
      <c r="C1104" s="31">
        <f>LN(Inventory[[#This Row],[Acres]])</f>
        <v>-2.0402208285265546</v>
      </c>
      <c r="D1104" s="30">
        <v>0.13</v>
      </c>
      <c r="E1104" s="30">
        <v>5827</v>
      </c>
      <c r="F1104" s="31" t="s">
        <v>505</v>
      </c>
      <c r="G1104" s="31" t="s">
        <v>155</v>
      </c>
      <c r="H1104" s="31" t="s">
        <v>5</v>
      </c>
      <c r="I1104" s="31" t="s">
        <v>506</v>
      </c>
      <c r="J1104" s="31" t="s">
        <v>507</v>
      </c>
      <c r="K1104" s="31" t="s">
        <v>193</v>
      </c>
      <c r="L1104" s="31" t="s">
        <v>17</v>
      </c>
      <c r="M1104" s="31" t="s">
        <v>20</v>
      </c>
      <c r="N1104" s="31">
        <v>30</v>
      </c>
      <c r="O1104" s="31">
        <f>2024-Inventory[[#This Row],[YrBlt]]</f>
        <v>38</v>
      </c>
      <c r="P1104" s="31">
        <f>2024-Inventory[[#This Row],[EffYr]]</f>
        <v>38</v>
      </c>
      <c r="Q1104" s="30">
        <v>1986</v>
      </c>
      <c r="R1104" s="30">
        <v>1986</v>
      </c>
      <c r="S1104" s="30">
        <v>1394</v>
      </c>
      <c r="T1104" s="37"/>
      <c r="U1104" s="32"/>
      <c r="V1104" s="32"/>
      <c r="W1104" s="32"/>
      <c r="X1104" s="32">
        <f>Inventory[[#This Row],[Bsmt Area]]-Inventory[[#This Row],[FnBsmt]]</f>
        <v>0</v>
      </c>
      <c r="Y1104" s="32">
        <f>Inventory[[#This Row],[MainFn]]+Inventory[[#This Row],[UpprFn]]+Inventory[[#This Row],[AddFn]]+Inventory[[#This Row],[FnBsmt]]</f>
        <v>1394</v>
      </c>
      <c r="Z1104" s="32">
        <v>1500</v>
      </c>
      <c r="AA1104" s="31" t="s">
        <v>56</v>
      </c>
      <c r="AB1104" s="32"/>
      <c r="AC1104" s="37"/>
      <c r="AD1104" s="32"/>
      <c r="AE1104" s="32"/>
      <c r="AF1104" s="32"/>
      <c r="AG1104" s="32"/>
      <c r="AH1104" s="32"/>
      <c r="AI1104" s="30">
        <v>225661</v>
      </c>
      <c r="AJ1104" s="30">
        <v>189555</v>
      </c>
      <c r="AK1104" s="30">
        <v>0</v>
      </c>
      <c r="AL1104" s="30">
        <v>0</v>
      </c>
      <c r="AM1104" s="30">
        <v>57900</v>
      </c>
      <c r="AN1104" s="30">
        <v>231200</v>
      </c>
      <c r="AO1104" s="30">
        <v>289100</v>
      </c>
      <c r="AP1104" s="30">
        <f>Lookups!$B$58*0.6</f>
        <v>132535.48800000001</v>
      </c>
      <c r="AQ1104" s="30">
        <f>Lookups!$B$58*0.4</f>
        <v>88356.992000000013</v>
      </c>
      <c r="AR1104" s="30">
        <f>Lookups!$B$59*Inventory[[#This Row],[LnAcres]]</f>
        <v>-26776.513064468461</v>
      </c>
      <c r="AS1104" s="30">
        <f>VLOOKUP(Inventory[[#This Row],[Qlty]],Lookups!$A$66:$E$79,2,FALSE)</f>
        <v>24371.765965999999</v>
      </c>
      <c r="AT1104" s="30">
        <f>VLOOKUP(Inventory[[#This Row],[Cnd]],Lookups!$A$80:$E$88,2,FALSE)</f>
        <v>30300.329274</v>
      </c>
      <c r="AU1104" s="30">
        <f>Inventory[[#This Row],[EffAge]]*Lookups!$B$65</f>
        <v>-4132.1617999999999</v>
      </c>
      <c r="AV1104" s="30">
        <f>Inventory[[#This Row],[MainFn]]*Lookups!$B$90</f>
        <v>87000.06972</v>
      </c>
      <c r="AW1104" s="30">
        <f>Inventory[[#This Row],[UpprFn]]*Lookups!$B$91</f>
        <v>0</v>
      </c>
      <c r="AX1104" s="30">
        <f>Inventory[[#This Row],[Bsmt Area]]*Lookups!$B$95</f>
        <v>0</v>
      </c>
      <c r="AY1104" s="30">
        <f>Inventory[[#This Row],[AttGar]]*Lookups!$B$93</f>
        <v>0</v>
      </c>
      <c r="AZ1104" s="30">
        <f>ROUND(Inventory[[#This Row],[25Det]],-2)</f>
        <v>0</v>
      </c>
      <c r="BA1104" s="30">
        <f>ROUND(SUM(Inventory[[#This Row],[Mdl Qlty]:[Mdl Garage Area]])+Inventory[[#This Row],[Mdl Res Intercept]],-2)</f>
        <v>270100</v>
      </c>
      <c r="BB1104" s="30">
        <f>ROUND(Inventory[[#This Row],[Mdl Land Intercept]]+Inventory[[#This Row],[Mdl LnAcres]],-2)</f>
        <v>61600</v>
      </c>
      <c r="BC1104" s="30">
        <f>Inventory[[#This Row],[Unadj Res Value]]+Inventory[[#This Row],[Unadj Det Value]]+Inventory[[#This Row],[Unadj Land Value]]</f>
        <v>331700</v>
      </c>
      <c r="BD1104" s="30">
        <f>(Inventory[[#This Row],[Unadj Total Value]]-Inventory[[#This Row],[24Final]])/Inventory[[#This Row],[24Final]]</f>
        <v>0.14735385679695606</v>
      </c>
      <c r="BE1104" s="30">
        <f>VLOOKUP(Inventory[[#This Row],[Nbhd]],Lookups!$M$3:$P$5,4,FALSE)</f>
        <v>0.99970000000000003</v>
      </c>
      <c r="BF1104" s="30">
        <f>VLOOKUP(Inventory[[#This Row],[Qlty]],Lookups!$M$8:$P$22,4,FALSE)</f>
        <v>0.99199999999999999</v>
      </c>
      <c r="BG1104" s="30">
        <f>VLOOKUP(Inventory[[#This Row],[Cnd]],Lookups!$R$8:$U$17,4,FALSE)</f>
        <v>0.997</v>
      </c>
      <c r="BH1104" s="30">
        <f>VLOOKUP(Inventory[[#This Row],[LivArea Range]],Lookups!$R$25:$U$43,4,FALSE)</f>
        <v>0.99519999999999997</v>
      </c>
      <c r="BI1104" s="30">
        <f>VLOOKUP(Inventory[[#This Row],[Decade]],Lookups!$M$24:$P$40,4,FALSE)</f>
        <v>1.0198</v>
      </c>
      <c r="BJ1104" s="30">
        <f>Inventory[[#This Row],[Nbhd Adj]]*0.95</f>
        <v>0.94971499999999998</v>
      </c>
      <c r="BK1104" s="30">
        <f>AVERAGE(Inventory[[#This Row],[Nbhd Adj]],Inventory[[#This Row],[Quality Adj]],Inventory[[#This Row],[Condition Adj]],Inventory[[#This Row],[Living Area Adj]],Inventory[[#This Row],[Decade Adj]])*0.95</f>
        <v>0.95070299999999996</v>
      </c>
      <c r="BL1104" s="30">
        <f>ROUND((SUM(Inventory[[#This Row],[Mdl Qlty]:[Mdl Garage Area]])+Inventory[[#This Row],[Mdl Res Intercept]])*Inventory[[#This Row],[Res Adj ]],-2)</f>
        <v>256800</v>
      </c>
      <c r="BM1104" s="30">
        <f>ROUND(Inventory[[#This Row],[25Det]]*Inventory[[#This Row],[Det/Nbhd Adj]],-2)</f>
        <v>0</v>
      </c>
      <c r="BN1104" s="30">
        <f>Inventory[[#This Row],[Adjusted Res]]+Inventory[[#This Row],[Adj Det ]]</f>
        <v>256800</v>
      </c>
      <c r="BO1104" s="30">
        <f>ROUND((Inventory[[#This Row],[Mdl Land Intercept]]+Inventory[[#This Row],[Mdl LnAcres]])*Inventory[[#This Row],[Det/Nbhd Adj]],-2)</f>
        <v>58500</v>
      </c>
      <c r="BP1104" s="30">
        <f>Inventory[[#This Row],[Adjusted Impr Total]]+Inventory[[#This Row],[Adjusted Land Total]]</f>
        <v>315300</v>
      </c>
      <c r="BQ1104" s="30">
        <f>IFERROR((Inventory[[#This Row],[Adjusted Impr Total]]-Inventory[[#This Row],[24Bldg]])/Inventory[[#This Row],[24Bldg]],0)</f>
        <v>0.11072664359861592</v>
      </c>
      <c r="BR1104" s="43">
        <f>(Inventory[[#This Row],[Adjusted Land Total]]-Inventory[[#This Row],[24Lnd]])/Inventory[[#This Row],[24Lnd]]</f>
        <v>1.0362694300518135E-2</v>
      </c>
      <c r="BS1104" s="43">
        <f>(Inventory[[#This Row],[Adjusted Total]]-Inventory[[#This Row],[24Final]])/Inventory[[#This Row],[24Final]]</f>
        <v>9.0626080940850923E-2</v>
      </c>
    </row>
    <row r="1105" spans="1:71">
      <c r="A1105" s="30">
        <v>2025</v>
      </c>
      <c r="B1105" s="31" t="s">
        <v>1620</v>
      </c>
      <c r="C1105" s="31">
        <f>LN(Inventory[[#This Row],[Acres]])</f>
        <v>-0.30110509278392161</v>
      </c>
      <c r="D1105" s="30">
        <v>0.74</v>
      </c>
      <c r="E1105" s="37"/>
      <c r="F1105" s="31" t="s">
        <v>505</v>
      </c>
      <c r="G1105" s="31" t="s">
        <v>155</v>
      </c>
      <c r="H1105" s="31" t="s">
        <v>5</v>
      </c>
      <c r="I1105" s="31" t="s">
        <v>506</v>
      </c>
      <c r="J1105" s="31" t="s">
        <v>507</v>
      </c>
      <c r="K1105" s="31" t="s">
        <v>193</v>
      </c>
      <c r="L1105" s="31" t="s">
        <v>19</v>
      </c>
      <c r="M1105" s="31" t="s">
        <v>16</v>
      </c>
      <c r="N1105" s="31">
        <v>30</v>
      </c>
      <c r="O1105" s="31">
        <f>2024-Inventory[[#This Row],[YrBlt]]</f>
        <v>39</v>
      </c>
      <c r="P1105" s="31">
        <f>2024-Inventory[[#This Row],[EffYr]]</f>
        <v>39</v>
      </c>
      <c r="Q1105" s="30">
        <v>1985</v>
      </c>
      <c r="R1105" s="30">
        <v>1985</v>
      </c>
      <c r="S1105" s="30">
        <v>1638</v>
      </c>
      <c r="T1105" s="32"/>
      <c r="U1105" s="32"/>
      <c r="V1105" s="32"/>
      <c r="W1105" s="32"/>
      <c r="X1105" s="32">
        <f>Inventory[[#This Row],[Bsmt Area]]-Inventory[[#This Row],[FnBsmt]]</f>
        <v>0</v>
      </c>
      <c r="Y1105" s="32">
        <f>Inventory[[#This Row],[MainFn]]+Inventory[[#This Row],[UpprFn]]+Inventory[[#This Row],[AddFn]]+Inventory[[#This Row],[FnBsmt]]</f>
        <v>1638</v>
      </c>
      <c r="Z1105" s="32">
        <v>2000</v>
      </c>
      <c r="AA1105" s="31" t="s">
        <v>56</v>
      </c>
      <c r="AB1105" s="32"/>
      <c r="AC1105" s="37"/>
      <c r="AD1105" s="32"/>
      <c r="AE1105" s="32"/>
      <c r="AF1105" s="32"/>
      <c r="AG1105" s="32"/>
      <c r="AH1105" s="32"/>
      <c r="AI1105" s="30">
        <v>311275</v>
      </c>
      <c r="AJ1105" s="30">
        <v>245907</v>
      </c>
      <c r="AK1105" s="30">
        <v>0</v>
      </c>
      <c r="AL1105" s="30">
        <v>0</v>
      </c>
      <c r="AM1105" s="30">
        <v>82300</v>
      </c>
      <c r="AN1105" s="30">
        <v>248200</v>
      </c>
      <c r="AO1105" s="30">
        <v>330500</v>
      </c>
      <c r="AP1105" s="30">
        <f>Lookups!$B$58*0.6</f>
        <v>132535.48800000001</v>
      </c>
      <c r="AQ1105" s="30">
        <f>Lookups!$B$58*0.4</f>
        <v>88356.992000000013</v>
      </c>
      <c r="AR1105" s="30">
        <f>Lookups!$B$59*Inventory[[#This Row],[LnAcres]]</f>
        <v>-3951.7998924309709</v>
      </c>
      <c r="AS1105" s="30">
        <f>VLOOKUP(Inventory[[#This Row],[Qlty]],Lookups!$A$66:$E$79,2,FALSE)</f>
        <v>37154.252388000001</v>
      </c>
      <c r="AT1105" s="30">
        <f>VLOOKUP(Inventory[[#This Row],[Cnd]],Lookups!$A$80:$E$88,2,FALSE)</f>
        <v>0</v>
      </c>
      <c r="AU1105" s="30">
        <f>Inventory[[#This Row],[EffAge]]*Lookups!$B$65</f>
        <v>-4240.9029</v>
      </c>
      <c r="AV1105" s="30">
        <f>Inventory[[#This Row],[MainFn]]*Lookups!$B$90</f>
        <v>102228.20244000001</v>
      </c>
      <c r="AW1105" s="30">
        <f>Inventory[[#This Row],[UpprFn]]*Lookups!$B$91</f>
        <v>0</v>
      </c>
      <c r="AX1105" s="30">
        <f>Inventory[[#This Row],[Bsmt Area]]*Lookups!$B$95</f>
        <v>0</v>
      </c>
      <c r="AY1105" s="30">
        <f>Inventory[[#This Row],[AttGar]]*Lookups!$B$93</f>
        <v>0</v>
      </c>
      <c r="AZ1105" s="30">
        <f>ROUND(Inventory[[#This Row],[25Det]],-2)</f>
        <v>0</v>
      </c>
      <c r="BA1105" s="30">
        <f>ROUND(SUM(Inventory[[#This Row],[Mdl Qlty]:[Mdl Garage Area]])+Inventory[[#This Row],[Mdl Res Intercept]],-2)</f>
        <v>267700</v>
      </c>
      <c r="BB1105" s="30">
        <f>ROUND(Inventory[[#This Row],[Mdl Land Intercept]]+Inventory[[#This Row],[Mdl LnAcres]],-2)</f>
        <v>84400</v>
      </c>
      <c r="BC1105" s="30">
        <f>Inventory[[#This Row],[Unadj Res Value]]+Inventory[[#This Row],[Unadj Det Value]]+Inventory[[#This Row],[Unadj Land Value]]</f>
        <v>352100</v>
      </c>
      <c r="BD1105" s="30">
        <f>(Inventory[[#This Row],[Unadj Total Value]]-Inventory[[#This Row],[24Final]])/Inventory[[#This Row],[24Final]]</f>
        <v>6.5355521936459909E-2</v>
      </c>
      <c r="BE1105" s="30">
        <f>VLOOKUP(Inventory[[#This Row],[Nbhd]],Lookups!$M$3:$P$5,4,FALSE)</f>
        <v>0.99970000000000003</v>
      </c>
      <c r="BF1105" s="30">
        <f>VLOOKUP(Inventory[[#This Row],[Qlty]],Lookups!$M$8:$P$22,4,FALSE)</f>
        <v>0.99819999999999998</v>
      </c>
      <c r="BG1105" s="30">
        <f>VLOOKUP(Inventory[[#This Row],[Cnd]],Lookups!$R$8:$U$17,4,FALSE)</f>
        <v>1</v>
      </c>
      <c r="BH1105" s="30">
        <f>VLOOKUP(Inventory[[#This Row],[LivArea Range]],Lookups!$R$25:$U$43,4,FALSE)</f>
        <v>1.0007999999999999</v>
      </c>
      <c r="BI1105" s="30">
        <f>VLOOKUP(Inventory[[#This Row],[Decade]],Lookups!$M$24:$P$40,4,FALSE)</f>
        <v>1.0198</v>
      </c>
      <c r="BJ1105" s="30">
        <f>Inventory[[#This Row],[Nbhd Adj]]*0.95</f>
        <v>0.94971499999999998</v>
      </c>
      <c r="BK1105" s="30">
        <f>AVERAGE(Inventory[[#This Row],[Nbhd Adj]],Inventory[[#This Row],[Quality Adj]],Inventory[[#This Row],[Condition Adj]],Inventory[[#This Row],[Living Area Adj]],Inventory[[#This Row],[Decade Adj]])*0.95</f>
        <v>0.95351499999999978</v>
      </c>
      <c r="BL1105" s="30">
        <f>ROUND((SUM(Inventory[[#This Row],[Mdl Qlty]:[Mdl Garage Area]])+Inventory[[#This Row],[Mdl Res Intercept]])*Inventory[[#This Row],[Res Adj ]],-2)</f>
        <v>255200</v>
      </c>
      <c r="BM1105" s="30">
        <f>ROUND(Inventory[[#This Row],[25Det]]*Inventory[[#This Row],[Det/Nbhd Adj]],-2)</f>
        <v>0</v>
      </c>
      <c r="BN1105" s="30">
        <f>Inventory[[#This Row],[Adjusted Res]]+Inventory[[#This Row],[Adj Det ]]</f>
        <v>255200</v>
      </c>
      <c r="BO1105" s="30">
        <f>ROUND((Inventory[[#This Row],[Mdl Land Intercept]]+Inventory[[#This Row],[Mdl LnAcres]])*Inventory[[#This Row],[Det/Nbhd Adj]],-2)</f>
        <v>80200</v>
      </c>
      <c r="BP1105" s="30">
        <f>Inventory[[#This Row],[Adjusted Impr Total]]+Inventory[[#This Row],[Adjusted Land Total]]</f>
        <v>335400</v>
      </c>
      <c r="BQ1105" s="30">
        <f>IFERROR((Inventory[[#This Row],[Adjusted Impr Total]]-Inventory[[#This Row],[24Bldg]])/Inventory[[#This Row],[24Bldg]],0)</f>
        <v>2.8203062046736505E-2</v>
      </c>
      <c r="BR1105" s="43">
        <f>(Inventory[[#This Row],[Adjusted Land Total]]-Inventory[[#This Row],[24Lnd]])/Inventory[[#This Row],[24Lnd]]</f>
        <v>-2.551640340218712E-2</v>
      </c>
      <c r="BS1105" s="43">
        <f>(Inventory[[#This Row],[Adjusted Total]]-Inventory[[#This Row],[24Final]])/Inventory[[#This Row],[24Final]]</f>
        <v>1.4826021180030256E-2</v>
      </c>
    </row>
    <row r="1106" spans="1:71">
      <c r="A1106" s="30">
        <v>2025</v>
      </c>
      <c r="B1106" s="31" t="s">
        <v>1621</v>
      </c>
      <c r="C1106" s="31">
        <f>LN(Inventory[[#This Row],[Acres]])</f>
        <v>-1.7147984280919266</v>
      </c>
      <c r="D1106" s="30">
        <v>0.18</v>
      </c>
      <c r="E1106" s="30">
        <v>7788</v>
      </c>
      <c r="F1106" s="31" t="s">
        <v>505</v>
      </c>
      <c r="G1106" s="31" t="s">
        <v>155</v>
      </c>
      <c r="H1106" s="31" t="s">
        <v>5</v>
      </c>
      <c r="I1106" s="31" t="s">
        <v>506</v>
      </c>
      <c r="J1106" s="31" t="s">
        <v>507</v>
      </c>
      <c r="K1106" s="31" t="s">
        <v>193</v>
      </c>
      <c r="L1106" s="31" t="s">
        <v>17</v>
      </c>
      <c r="M1106" s="31" t="s">
        <v>20</v>
      </c>
      <c r="N1106" s="31">
        <v>40</v>
      </c>
      <c r="O1106" s="31">
        <f>2024-Inventory[[#This Row],[YrBlt]]</f>
        <v>40</v>
      </c>
      <c r="P1106" s="31">
        <f>2024-Inventory[[#This Row],[EffYr]]</f>
        <v>40</v>
      </c>
      <c r="Q1106" s="30">
        <v>1984</v>
      </c>
      <c r="R1106" s="30">
        <v>1984</v>
      </c>
      <c r="S1106" s="30">
        <v>1300</v>
      </c>
      <c r="T1106" s="32"/>
      <c r="U1106" s="32"/>
      <c r="V1106" s="32"/>
      <c r="W1106" s="32"/>
      <c r="X1106" s="32">
        <f>Inventory[[#This Row],[Bsmt Area]]-Inventory[[#This Row],[FnBsmt]]</f>
        <v>0</v>
      </c>
      <c r="Y1106" s="32">
        <f>Inventory[[#This Row],[MainFn]]+Inventory[[#This Row],[UpprFn]]+Inventory[[#This Row],[AddFn]]+Inventory[[#This Row],[FnBsmt]]</f>
        <v>1300</v>
      </c>
      <c r="Z1106" s="32">
        <v>1500</v>
      </c>
      <c r="AA1106" s="31" t="s">
        <v>56</v>
      </c>
      <c r="AB1106" s="32"/>
      <c r="AC1106" s="37"/>
      <c r="AD1106" s="32"/>
      <c r="AE1106" s="32"/>
      <c r="AF1106" s="32"/>
      <c r="AG1106" s="32"/>
      <c r="AH1106" s="32"/>
      <c r="AI1106" s="30">
        <v>217554</v>
      </c>
      <c r="AJ1106" s="30">
        <v>176219</v>
      </c>
      <c r="AK1106" s="30">
        <v>2438</v>
      </c>
      <c r="AL1106" s="30">
        <v>0</v>
      </c>
      <c r="AM1106" s="30">
        <v>62500</v>
      </c>
      <c r="AN1106" s="30">
        <v>226900</v>
      </c>
      <c r="AO1106" s="30">
        <v>289400</v>
      </c>
      <c r="AP1106" s="30">
        <f>Lookups!$B$58*0.6</f>
        <v>132535.48800000001</v>
      </c>
      <c r="AQ1106" s="30">
        <f>Lookups!$B$58*0.4</f>
        <v>88356.992000000013</v>
      </c>
      <c r="AR1106" s="30">
        <f>Lookups!$B$59*Inventory[[#This Row],[LnAcres]]</f>
        <v>-22505.565020573864</v>
      </c>
      <c r="AS1106" s="30">
        <f>VLOOKUP(Inventory[[#This Row],[Qlty]],Lookups!$A$66:$E$79,2,FALSE)</f>
        <v>24371.765965999999</v>
      </c>
      <c r="AT1106" s="30">
        <f>VLOOKUP(Inventory[[#This Row],[Cnd]],Lookups!$A$80:$E$88,2,FALSE)</f>
        <v>30300.329274</v>
      </c>
      <c r="AU1106" s="30">
        <f>Inventory[[#This Row],[EffAge]]*Lookups!$B$65</f>
        <v>-4349.6440000000002</v>
      </c>
      <c r="AV1106" s="30">
        <f>Inventory[[#This Row],[MainFn]]*Lookups!$B$90</f>
        <v>81133.494000000006</v>
      </c>
      <c r="AW1106" s="30">
        <f>Inventory[[#This Row],[UpprFn]]*Lookups!$B$91</f>
        <v>0</v>
      </c>
      <c r="AX1106" s="30">
        <f>Inventory[[#This Row],[Bsmt Area]]*Lookups!$B$95</f>
        <v>0</v>
      </c>
      <c r="AY1106" s="30">
        <f>Inventory[[#This Row],[AttGar]]*Lookups!$B$93</f>
        <v>0</v>
      </c>
      <c r="AZ1106" s="30">
        <f>ROUND(Inventory[[#This Row],[25Det]],-2)</f>
        <v>2400</v>
      </c>
      <c r="BA1106" s="30">
        <f>ROUND(SUM(Inventory[[#This Row],[Mdl Qlty]:[Mdl Garage Area]])+Inventory[[#This Row],[Mdl Res Intercept]],-2)</f>
        <v>264000</v>
      </c>
      <c r="BB1106" s="30">
        <f>ROUND(Inventory[[#This Row],[Mdl Land Intercept]]+Inventory[[#This Row],[Mdl LnAcres]],-2)</f>
        <v>65900</v>
      </c>
      <c r="BC1106" s="30">
        <f>Inventory[[#This Row],[Unadj Res Value]]+Inventory[[#This Row],[Unadj Det Value]]+Inventory[[#This Row],[Unadj Land Value]]</f>
        <v>332300</v>
      </c>
      <c r="BD1106" s="30">
        <f>(Inventory[[#This Row],[Unadj Total Value]]-Inventory[[#This Row],[24Final]])/Inventory[[#This Row],[24Final]]</f>
        <v>0.14823773324118866</v>
      </c>
      <c r="BE1106" s="30">
        <f>VLOOKUP(Inventory[[#This Row],[Nbhd]],Lookups!$M$3:$P$5,4,FALSE)</f>
        <v>0.99970000000000003</v>
      </c>
      <c r="BF1106" s="30">
        <f>VLOOKUP(Inventory[[#This Row],[Qlty]],Lookups!$M$8:$P$22,4,FALSE)</f>
        <v>0.99199999999999999</v>
      </c>
      <c r="BG1106" s="30">
        <f>VLOOKUP(Inventory[[#This Row],[Cnd]],Lookups!$R$8:$U$17,4,FALSE)</f>
        <v>0.997</v>
      </c>
      <c r="BH1106" s="30">
        <f>VLOOKUP(Inventory[[#This Row],[LivArea Range]],Lookups!$R$25:$U$43,4,FALSE)</f>
        <v>0.99519999999999997</v>
      </c>
      <c r="BI1106" s="30">
        <f>VLOOKUP(Inventory[[#This Row],[Decade]],Lookups!$M$24:$P$40,4,FALSE)</f>
        <v>0.95920000000000005</v>
      </c>
      <c r="BJ1106" s="30">
        <f>Inventory[[#This Row],[Nbhd Adj]]*0.95</f>
        <v>0.94971499999999998</v>
      </c>
      <c r="BK1106" s="30">
        <f>AVERAGE(Inventory[[#This Row],[Nbhd Adj]],Inventory[[#This Row],[Quality Adj]],Inventory[[#This Row],[Condition Adj]],Inventory[[#This Row],[Living Area Adj]],Inventory[[#This Row],[Decade Adj]])*0.95</f>
        <v>0.93918900000000005</v>
      </c>
      <c r="BL1106" s="30">
        <f>ROUND((SUM(Inventory[[#This Row],[Mdl Qlty]:[Mdl Garage Area]])+Inventory[[#This Row],[Mdl Res Intercept]])*Inventory[[#This Row],[Res Adj ]],-2)</f>
        <v>247900</v>
      </c>
      <c r="BM1106" s="30">
        <f>ROUND(Inventory[[#This Row],[25Det]]*Inventory[[#This Row],[Det/Nbhd Adj]],-2)</f>
        <v>2300</v>
      </c>
      <c r="BN1106" s="30">
        <f>Inventory[[#This Row],[Adjusted Res]]+Inventory[[#This Row],[Adj Det ]]</f>
        <v>250200</v>
      </c>
      <c r="BO1106" s="30">
        <f>ROUND((Inventory[[#This Row],[Mdl Land Intercept]]+Inventory[[#This Row],[Mdl LnAcres]])*Inventory[[#This Row],[Det/Nbhd Adj]],-2)</f>
        <v>62500</v>
      </c>
      <c r="BP1106" s="30">
        <f>Inventory[[#This Row],[Adjusted Impr Total]]+Inventory[[#This Row],[Adjusted Land Total]]</f>
        <v>312700</v>
      </c>
      <c r="BQ1106" s="30">
        <f>IFERROR((Inventory[[#This Row],[Adjusted Impr Total]]-Inventory[[#This Row],[24Bldg]])/Inventory[[#This Row],[24Bldg]],0)</f>
        <v>0.10268840899074483</v>
      </c>
      <c r="BR1106" s="43">
        <f>(Inventory[[#This Row],[Adjusted Land Total]]-Inventory[[#This Row],[24Lnd]])/Inventory[[#This Row],[24Lnd]]</f>
        <v>0</v>
      </c>
      <c r="BS1106" s="43">
        <f>(Inventory[[#This Row],[Adjusted Total]]-Inventory[[#This Row],[24Final]])/Inventory[[#This Row],[24Final]]</f>
        <v>8.0511402902557011E-2</v>
      </c>
    </row>
    <row r="1107" spans="1:71">
      <c r="A1107" s="30">
        <v>2025</v>
      </c>
      <c r="B1107" s="31" t="s">
        <v>1622</v>
      </c>
      <c r="C1107" s="31">
        <f>LN(Inventory[[#This Row],[Acres]])</f>
        <v>-2.0202707317519466E-2</v>
      </c>
      <c r="D1107" s="30">
        <v>0.98</v>
      </c>
      <c r="E1107" s="30">
        <v>42499</v>
      </c>
      <c r="F1107" s="31" t="s">
        <v>505</v>
      </c>
      <c r="G1107" s="31" t="s">
        <v>155</v>
      </c>
      <c r="H1107" s="31" t="s">
        <v>5</v>
      </c>
      <c r="I1107" s="31" t="s">
        <v>506</v>
      </c>
      <c r="J1107" s="31" t="s">
        <v>507</v>
      </c>
      <c r="K1107" s="31" t="s">
        <v>193</v>
      </c>
      <c r="L1107" s="31" t="s">
        <v>19</v>
      </c>
      <c r="M1107" s="31" t="s">
        <v>20</v>
      </c>
      <c r="N1107" s="31">
        <v>40</v>
      </c>
      <c r="O1107" s="31">
        <f>2024-Inventory[[#This Row],[YrBlt]]</f>
        <v>41</v>
      </c>
      <c r="P1107" s="31">
        <f>2024-Inventory[[#This Row],[EffYr]]</f>
        <v>34</v>
      </c>
      <c r="Q1107" s="30">
        <v>1983</v>
      </c>
      <c r="R1107" s="30">
        <v>1990</v>
      </c>
      <c r="S1107" s="30">
        <v>2274</v>
      </c>
      <c r="T1107" s="32"/>
      <c r="U1107" s="32"/>
      <c r="V1107" s="32"/>
      <c r="W1107" s="32"/>
      <c r="X1107" s="32">
        <f>Inventory[[#This Row],[Bsmt Area]]-Inventory[[#This Row],[FnBsmt]]</f>
        <v>0</v>
      </c>
      <c r="Y1107" s="32">
        <f>Inventory[[#This Row],[MainFn]]+Inventory[[#This Row],[UpprFn]]+Inventory[[#This Row],[AddFn]]+Inventory[[#This Row],[FnBsmt]]</f>
        <v>2274</v>
      </c>
      <c r="Z1107" s="32">
        <v>2500</v>
      </c>
      <c r="AA1107" s="31" t="s">
        <v>56</v>
      </c>
      <c r="AB1107" s="32"/>
      <c r="AC1107" s="37"/>
      <c r="AD1107" s="32"/>
      <c r="AE1107" s="32"/>
      <c r="AF1107" s="32"/>
      <c r="AG1107" s="32"/>
      <c r="AH1107" s="32"/>
      <c r="AI1107" s="30">
        <v>437842</v>
      </c>
      <c r="AJ1107" s="30">
        <v>372166</v>
      </c>
      <c r="AK1107" s="30">
        <v>18362</v>
      </c>
      <c r="AL1107" s="30">
        <v>0</v>
      </c>
      <c r="AM1107" s="30">
        <v>86200</v>
      </c>
      <c r="AN1107" s="30">
        <v>327100</v>
      </c>
      <c r="AO1107" s="30">
        <v>413300</v>
      </c>
      <c r="AP1107" s="30">
        <f>Lookups!$B$58*0.6</f>
        <v>132535.48800000001</v>
      </c>
      <c r="AQ1107" s="30">
        <f>Lookups!$B$58*0.4</f>
        <v>88356.992000000013</v>
      </c>
      <c r="AR1107" s="30">
        <f>Lookups!$B$59*Inventory[[#This Row],[LnAcres]]</f>
        <v>-265.14681590417439</v>
      </c>
      <c r="AS1107" s="30">
        <f>VLOOKUP(Inventory[[#This Row],[Qlty]],Lookups!$A$66:$E$79,2,FALSE)</f>
        <v>37154.252388000001</v>
      </c>
      <c r="AT1107" s="30">
        <f>VLOOKUP(Inventory[[#This Row],[Cnd]],Lookups!$A$80:$E$88,2,FALSE)</f>
        <v>30300.329274</v>
      </c>
      <c r="AU1107" s="30">
        <f>Inventory[[#This Row],[EffAge]]*Lookups!$B$65</f>
        <v>-3697.1974</v>
      </c>
      <c r="AV1107" s="30">
        <f>Inventory[[#This Row],[MainFn]]*Lookups!$B$90</f>
        <v>141921.20412000001</v>
      </c>
      <c r="AW1107" s="30">
        <f>Inventory[[#This Row],[UpprFn]]*Lookups!$B$91</f>
        <v>0</v>
      </c>
      <c r="AX1107" s="30">
        <f>Inventory[[#This Row],[Bsmt Area]]*Lookups!$B$95</f>
        <v>0</v>
      </c>
      <c r="AY1107" s="30">
        <f>Inventory[[#This Row],[AttGar]]*Lookups!$B$93</f>
        <v>0</v>
      </c>
      <c r="AZ1107" s="30">
        <f>ROUND(Inventory[[#This Row],[25Det]],-2)</f>
        <v>18400</v>
      </c>
      <c r="BA1107" s="30">
        <f>ROUND(SUM(Inventory[[#This Row],[Mdl Qlty]:[Mdl Garage Area]])+Inventory[[#This Row],[Mdl Res Intercept]],-2)</f>
        <v>338200</v>
      </c>
      <c r="BB1107" s="30">
        <f>ROUND(Inventory[[#This Row],[Mdl Land Intercept]]+Inventory[[#This Row],[Mdl LnAcres]],-2)</f>
        <v>88100</v>
      </c>
      <c r="BC1107" s="30">
        <f>Inventory[[#This Row],[Unadj Res Value]]+Inventory[[#This Row],[Unadj Det Value]]+Inventory[[#This Row],[Unadj Land Value]]</f>
        <v>444700</v>
      </c>
      <c r="BD1107" s="30">
        <f>(Inventory[[#This Row],[Unadj Total Value]]-Inventory[[#This Row],[24Final]])/Inventory[[#This Row],[24Final]]</f>
        <v>7.5973868860391966E-2</v>
      </c>
      <c r="BE1107" s="30">
        <f>VLOOKUP(Inventory[[#This Row],[Nbhd]],Lookups!$M$3:$P$5,4,FALSE)</f>
        <v>0.99970000000000003</v>
      </c>
      <c r="BF1107" s="30">
        <f>VLOOKUP(Inventory[[#This Row],[Qlty]],Lookups!$M$8:$P$22,4,FALSE)</f>
        <v>0.99819999999999998</v>
      </c>
      <c r="BG1107" s="30">
        <f>VLOOKUP(Inventory[[#This Row],[Cnd]],Lookups!$R$8:$U$17,4,FALSE)</f>
        <v>0.997</v>
      </c>
      <c r="BH1107" s="30">
        <f>VLOOKUP(Inventory[[#This Row],[LivArea Range]],Lookups!$R$25:$U$43,4,FALSE)</f>
        <v>1.0008999999999999</v>
      </c>
      <c r="BI1107" s="30">
        <f>VLOOKUP(Inventory[[#This Row],[Decade]],Lookups!$M$24:$P$40,4,FALSE)</f>
        <v>0.95920000000000005</v>
      </c>
      <c r="BJ1107" s="30">
        <f>Inventory[[#This Row],[Nbhd Adj]]*0.95</f>
        <v>0.94971499999999998</v>
      </c>
      <c r="BK1107" s="30">
        <f>AVERAGE(Inventory[[#This Row],[Nbhd Adj]],Inventory[[#This Row],[Quality Adj]],Inventory[[#This Row],[Condition Adj]],Inventory[[#This Row],[Living Area Adj]],Inventory[[#This Row],[Decade Adj]])*0.95</f>
        <v>0.9414499999999999</v>
      </c>
      <c r="BL1107" s="30">
        <f>ROUND((SUM(Inventory[[#This Row],[Mdl Qlty]:[Mdl Garage Area]])+Inventory[[#This Row],[Mdl Res Intercept]])*Inventory[[#This Row],[Res Adj ]],-2)</f>
        <v>318400</v>
      </c>
      <c r="BM1107" s="30">
        <f>ROUND(Inventory[[#This Row],[25Det]]*Inventory[[#This Row],[Det/Nbhd Adj]],-2)</f>
        <v>17400</v>
      </c>
      <c r="BN1107" s="30">
        <f>Inventory[[#This Row],[Adjusted Res]]+Inventory[[#This Row],[Adj Det ]]</f>
        <v>335800</v>
      </c>
      <c r="BO1107" s="30">
        <f>ROUND((Inventory[[#This Row],[Mdl Land Intercept]]+Inventory[[#This Row],[Mdl LnAcres]])*Inventory[[#This Row],[Det/Nbhd Adj]],-2)</f>
        <v>83700</v>
      </c>
      <c r="BP1107" s="30">
        <f>Inventory[[#This Row],[Adjusted Impr Total]]+Inventory[[#This Row],[Adjusted Land Total]]</f>
        <v>419500</v>
      </c>
      <c r="BQ1107" s="30">
        <f>IFERROR((Inventory[[#This Row],[Adjusted Impr Total]]-Inventory[[#This Row],[24Bldg]])/Inventory[[#This Row],[24Bldg]],0)</f>
        <v>2.6597370834607153E-2</v>
      </c>
      <c r="BR1107" s="43">
        <f>(Inventory[[#This Row],[Adjusted Land Total]]-Inventory[[#This Row],[24Lnd]])/Inventory[[#This Row],[24Lnd]]</f>
        <v>-2.9002320185614848E-2</v>
      </c>
      <c r="BS1107" s="43">
        <f>(Inventory[[#This Row],[Adjusted Total]]-Inventory[[#This Row],[24Final]])/Inventory[[#This Row],[24Final]]</f>
        <v>1.5001209774981853E-2</v>
      </c>
    </row>
    <row r="1108" spans="1:71">
      <c r="A1108" s="30">
        <v>2025</v>
      </c>
      <c r="B1108" s="31" t="s">
        <v>1623</v>
      </c>
      <c r="C1108" s="31">
        <f>LN(Inventory[[#This Row],[Acres]])</f>
        <v>-1.6094379124341003</v>
      </c>
      <c r="D1108" s="30">
        <v>0.2</v>
      </c>
      <c r="E1108" s="37"/>
      <c r="F1108" s="31" t="s">
        <v>505</v>
      </c>
      <c r="G1108" s="31" t="s">
        <v>155</v>
      </c>
      <c r="H1108" s="31" t="s">
        <v>5</v>
      </c>
      <c r="I1108" s="31" t="s">
        <v>506</v>
      </c>
      <c r="J1108" s="31" t="s">
        <v>507</v>
      </c>
      <c r="K1108" s="31" t="s">
        <v>157</v>
      </c>
      <c r="L1108" s="31" t="s">
        <v>15</v>
      </c>
      <c r="M1108" s="31" t="s">
        <v>20</v>
      </c>
      <c r="N1108" s="31">
        <v>40</v>
      </c>
      <c r="O1108" s="31">
        <f>2024-Inventory[[#This Row],[YrBlt]]</f>
        <v>42</v>
      </c>
      <c r="P1108" s="31">
        <f>2024-Inventory[[#This Row],[EffYr]]</f>
        <v>42</v>
      </c>
      <c r="Q1108" s="30">
        <v>1982</v>
      </c>
      <c r="R1108" s="30">
        <v>1982</v>
      </c>
      <c r="S1108" s="30">
        <v>1024</v>
      </c>
      <c r="T1108" s="30">
        <v>384</v>
      </c>
      <c r="U1108" s="32"/>
      <c r="V1108" s="32"/>
      <c r="W1108" s="32"/>
      <c r="X1108" s="32">
        <f>Inventory[[#This Row],[Bsmt Area]]-Inventory[[#This Row],[FnBsmt]]</f>
        <v>0</v>
      </c>
      <c r="Y1108" s="32">
        <f>Inventory[[#This Row],[MainFn]]+Inventory[[#This Row],[UpprFn]]+Inventory[[#This Row],[AddFn]]+Inventory[[#This Row],[FnBsmt]]</f>
        <v>1408</v>
      </c>
      <c r="Z1108" s="32">
        <v>1500</v>
      </c>
      <c r="AA1108" s="31" t="s">
        <v>56</v>
      </c>
      <c r="AB1108" s="37"/>
      <c r="AC1108" s="32"/>
      <c r="AD1108" s="37"/>
      <c r="AE1108" s="32"/>
      <c r="AF1108" s="32"/>
      <c r="AG1108" s="32"/>
      <c r="AH1108" s="32"/>
      <c r="AI1108" s="30">
        <v>190073</v>
      </c>
      <c r="AJ1108" s="30">
        <v>152058</v>
      </c>
      <c r="AK1108" s="30">
        <v>0</v>
      </c>
      <c r="AL1108" s="30">
        <v>0</v>
      </c>
      <c r="AM1108" s="30">
        <v>64000</v>
      </c>
      <c r="AN1108" s="30">
        <v>218500</v>
      </c>
      <c r="AO1108" s="30">
        <v>282500</v>
      </c>
      <c r="AP1108" s="30">
        <f>Lookups!$B$58*0.6</f>
        <v>132535.48800000001</v>
      </c>
      <c r="AQ1108" s="30">
        <f>Lookups!$B$58*0.4</f>
        <v>88356.992000000013</v>
      </c>
      <c r="AR1108" s="30">
        <f>Lookups!$B$59*Inventory[[#This Row],[LnAcres]]</f>
        <v>-21122.779792355024</v>
      </c>
      <c r="AS1108" s="30">
        <f>VLOOKUP(Inventory[[#This Row],[Qlty]],Lookups!$A$66:$E$79,2,FALSE)</f>
        <v>-1240.8083630000001</v>
      </c>
      <c r="AT1108" s="30">
        <f>VLOOKUP(Inventory[[#This Row],[Cnd]],Lookups!$A$80:$E$88,2,FALSE)</f>
        <v>30300.329274</v>
      </c>
      <c r="AU1108" s="30">
        <f>Inventory[[#This Row],[EffAge]]*Lookups!$B$65</f>
        <v>-4567.1261999999997</v>
      </c>
      <c r="AV1108" s="30">
        <f>Inventory[[#This Row],[MainFn]]*Lookups!$B$90</f>
        <v>63908.229120000004</v>
      </c>
      <c r="AW1108" s="30">
        <f>Inventory[[#This Row],[UpprFn]]*Lookups!$B$91</f>
        <v>22878.867072000001</v>
      </c>
      <c r="AX1108" s="30">
        <f>Inventory[[#This Row],[Bsmt Area]]*Lookups!$B$95</f>
        <v>0</v>
      </c>
      <c r="AY1108" s="30">
        <f>Inventory[[#This Row],[AttGar]]*Lookups!$B$93</f>
        <v>0</v>
      </c>
      <c r="AZ1108" s="30">
        <f>ROUND(Inventory[[#This Row],[25Det]],-2)</f>
        <v>0</v>
      </c>
      <c r="BA1108" s="30">
        <f>ROUND(SUM(Inventory[[#This Row],[Mdl Qlty]:[Mdl Garage Area]])+Inventory[[#This Row],[Mdl Res Intercept]],-2)</f>
        <v>243800</v>
      </c>
      <c r="BB1108" s="30">
        <f>ROUND(Inventory[[#This Row],[Mdl Land Intercept]]+Inventory[[#This Row],[Mdl LnAcres]],-2)</f>
        <v>67200</v>
      </c>
      <c r="BC1108" s="30">
        <f>Inventory[[#This Row],[Unadj Res Value]]+Inventory[[#This Row],[Unadj Det Value]]+Inventory[[#This Row],[Unadj Land Value]]</f>
        <v>311000</v>
      </c>
      <c r="BD1108" s="30">
        <f>(Inventory[[#This Row],[Unadj Total Value]]-Inventory[[#This Row],[24Final]])/Inventory[[#This Row],[24Final]]</f>
        <v>0.10088495575221239</v>
      </c>
      <c r="BE1108" s="30">
        <f>VLOOKUP(Inventory[[#This Row],[Nbhd]],Lookups!$M$3:$P$5,4,FALSE)</f>
        <v>0.99970000000000003</v>
      </c>
      <c r="BF1108" s="30">
        <f>VLOOKUP(Inventory[[#This Row],[Qlty]],Lookups!$M$8:$P$22,4,FALSE)</f>
        <v>1.0022</v>
      </c>
      <c r="BG1108" s="30">
        <f>VLOOKUP(Inventory[[#This Row],[Cnd]],Lookups!$R$8:$U$17,4,FALSE)</f>
        <v>0.997</v>
      </c>
      <c r="BH1108" s="30">
        <f>VLOOKUP(Inventory[[#This Row],[LivArea Range]],Lookups!$R$25:$U$43,4,FALSE)</f>
        <v>0.99519999999999997</v>
      </c>
      <c r="BI1108" s="30">
        <f>VLOOKUP(Inventory[[#This Row],[Decade]],Lookups!$M$24:$P$40,4,FALSE)</f>
        <v>0.95920000000000005</v>
      </c>
      <c r="BJ1108" s="30">
        <f>Inventory[[#This Row],[Nbhd Adj]]*0.95</f>
        <v>0.94971499999999998</v>
      </c>
      <c r="BK1108" s="30">
        <f>AVERAGE(Inventory[[#This Row],[Nbhd Adj]],Inventory[[#This Row],[Quality Adj]],Inventory[[#This Row],[Condition Adj]],Inventory[[#This Row],[Living Area Adj]],Inventory[[#This Row],[Decade Adj]])*0.95</f>
        <v>0.94112700000000005</v>
      </c>
      <c r="BL1108" s="30">
        <f>ROUND((SUM(Inventory[[#This Row],[Mdl Qlty]:[Mdl Garage Area]])+Inventory[[#This Row],[Mdl Res Intercept]])*Inventory[[#This Row],[Res Adj ]],-2)</f>
        <v>229500</v>
      </c>
      <c r="BM1108" s="30">
        <f>ROUND(Inventory[[#This Row],[25Det]]*Inventory[[#This Row],[Det/Nbhd Adj]],-2)</f>
        <v>0</v>
      </c>
      <c r="BN1108" s="30">
        <f>Inventory[[#This Row],[Adjusted Res]]+Inventory[[#This Row],[Adj Det ]]</f>
        <v>229500</v>
      </c>
      <c r="BO1108" s="30">
        <f>ROUND((Inventory[[#This Row],[Mdl Land Intercept]]+Inventory[[#This Row],[Mdl LnAcres]])*Inventory[[#This Row],[Det/Nbhd Adj]],-2)</f>
        <v>63900</v>
      </c>
      <c r="BP1108" s="30">
        <f>Inventory[[#This Row],[Adjusted Impr Total]]+Inventory[[#This Row],[Adjusted Land Total]]</f>
        <v>293400</v>
      </c>
      <c r="BQ1108" s="30">
        <f>IFERROR((Inventory[[#This Row],[Adjusted Impr Total]]-Inventory[[#This Row],[24Bldg]])/Inventory[[#This Row],[24Bldg]],0)</f>
        <v>5.0343249427917618E-2</v>
      </c>
      <c r="BR1108" s="43">
        <f>(Inventory[[#This Row],[Adjusted Land Total]]-Inventory[[#This Row],[24Lnd]])/Inventory[[#This Row],[24Lnd]]</f>
        <v>-1.5625000000000001E-3</v>
      </c>
      <c r="BS1108" s="43">
        <f>(Inventory[[#This Row],[Adjusted Total]]-Inventory[[#This Row],[24Final]])/Inventory[[#This Row],[24Final]]</f>
        <v>3.8584070796460174E-2</v>
      </c>
    </row>
    <row r="1109" spans="1:71">
      <c r="A1109" s="30">
        <v>2025</v>
      </c>
      <c r="B1109" s="31" t="s">
        <v>1624</v>
      </c>
      <c r="C1109" s="31">
        <f>LN(Inventory[[#This Row],[Acres]])</f>
        <v>-1.3862943611198906</v>
      </c>
      <c r="D1109" s="30">
        <v>0.25</v>
      </c>
      <c r="E1109" s="30">
        <v>11034</v>
      </c>
      <c r="F1109" s="31" t="s">
        <v>505</v>
      </c>
      <c r="G1109" s="31" t="s">
        <v>155</v>
      </c>
      <c r="H1109" s="31" t="s">
        <v>5</v>
      </c>
      <c r="I1109" s="31" t="s">
        <v>506</v>
      </c>
      <c r="J1109" s="31" t="s">
        <v>507</v>
      </c>
      <c r="K1109" s="31" t="s">
        <v>330</v>
      </c>
      <c r="L1109" s="31" t="s">
        <v>23</v>
      </c>
      <c r="M1109" s="31" t="s">
        <v>20</v>
      </c>
      <c r="N1109" s="31">
        <v>40</v>
      </c>
      <c r="O1109" s="31">
        <f>2024-Inventory[[#This Row],[YrBlt]]</f>
        <v>43</v>
      </c>
      <c r="P1109" s="31">
        <f>2024-Inventory[[#This Row],[EffYr]]</f>
        <v>43</v>
      </c>
      <c r="Q1109" s="30">
        <v>1981</v>
      </c>
      <c r="R1109" s="30">
        <v>1981</v>
      </c>
      <c r="S1109" s="30">
        <v>2754</v>
      </c>
      <c r="T1109" s="37"/>
      <c r="U1109" s="32"/>
      <c r="V1109" s="32"/>
      <c r="W1109" s="32"/>
      <c r="X1109" s="32">
        <f>Inventory[[#This Row],[Bsmt Area]]-Inventory[[#This Row],[FnBsmt]]</f>
        <v>0</v>
      </c>
      <c r="Y1109" s="32">
        <f>Inventory[[#This Row],[MainFn]]+Inventory[[#This Row],[UpprFn]]+Inventory[[#This Row],[AddFn]]+Inventory[[#This Row],[FnBsmt]]</f>
        <v>2754</v>
      </c>
      <c r="Z1109" s="32">
        <v>3000</v>
      </c>
      <c r="AA1109" s="31" t="s">
        <v>55</v>
      </c>
      <c r="AB1109" s="32"/>
      <c r="AC1109" s="30">
        <v>552</v>
      </c>
      <c r="AD1109" s="32"/>
      <c r="AE1109" s="32"/>
      <c r="AF1109" s="32"/>
      <c r="AG1109" s="32"/>
      <c r="AH1109" s="32"/>
      <c r="AI1109" s="30">
        <v>625807</v>
      </c>
      <c r="AJ1109" s="30">
        <v>506904</v>
      </c>
      <c r="AK1109" s="30">
        <v>0</v>
      </c>
      <c r="AL1109" s="30">
        <v>0</v>
      </c>
      <c r="AM1109" s="30">
        <v>67100</v>
      </c>
      <c r="AN1109" s="30">
        <v>358700</v>
      </c>
      <c r="AO1109" s="30">
        <v>425800</v>
      </c>
      <c r="AP1109" s="30">
        <f>Lookups!$B$58*0.6</f>
        <v>132535.48800000001</v>
      </c>
      <c r="AQ1109" s="30">
        <f>Lookups!$B$58*0.4</f>
        <v>88356.992000000013</v>
      </c>
      <c r="AR1109" s="30">
        <f>Lookups!$B$59*Inventory[[#This Row],[LnAcres]]</f>
        <v>-18194.172195827363</v>
      </c>
      <c r="AS1109" s="30">
        <f>VLOOKUP(Inventory[[#This Row],[Qlty]],Lookups!$A$66:$E$79,2,FALSE)</f>
        <v>39366.494398000003</v>
      </c>
      <c r="AT1109" s="30">
        <f>VLOOKUP(Inventory[[#This Row],[Cnd]],Lookups!$A$80:$E$88,2,FALSE)</f>
        <v>30300.329274</v>
      </c>
      <c r="AU1109" s="30">
        <f>Inventory[[#This Row],[EffAge]]*Lookups!$B$65</f>
        <v>-4675.8672999999999</v>
      </c>
      <c r="AV1109" s="30">
        <f>Inventory[[#This Row],[MainFn]]*Lookups!$B$90</f>
        <v>171878.18652000002</v>
      </c>
      <c r="AW1109" s="30">
        <f>Inventory[[#This Row],[UpprFn]]*Lookups!$B$91</f>
        <v>0</v>
      </c>
      <c r="AX1109" s="30">
        <f>Inventory[[#This Row],[Bsmt Area]]*Lookups!$B$95</f>
        <v>0</v>
      </c>
      <c r="AY1109" s="30">
        <f>Inventory[[#This Row],[AttGar]]*Lookups!$B$93</f>
        <v>19486.169112</v>
      </c>
      <c r="AZ1109" s="30">
        <f>ROUND(Inventory[[#This Row],[25Det]],-2)</f>
        <v>0</v>
      </c>
      <c r="BA1109" s="30">
        <f>ROUND(SUM(Inventory[[#This Row],[Mdl Qlty]:[Mdl Garage Area]])+Inventory[[#This Row],[Mdl Res Intercept]],-2)</f>
        <v>388900</v>
      </c>
      <c r="BB1109" s="30">
        <f>ROUND(Inventory[[#This Row],[Mdl Land Intercept]]+Inventory[[#This Row],[Mdl LnAcres]],-2)</f>
        <v>70200</v>
      </c>
      <c r="BC1109" s="30">
        <f>Inventory[[#This Row],[Unadj Res Value]]+Inventory[[#This Row],[Unadj Det Value]]+Inventory[[#This Row],[Unadj Land Value]]</f>
        <v>459100</v>
      </c>
      <c r="BD1109" s="30">
        <f>(Inventory[[#This Row],[Unadj Total Value]]-Inventory[[#This Row],[24Final]])/Inventory[[#This Row],[24Final]]</f>
        <v>7.8205730389854386E-2</v>
      </c>
      <c r="BE1109" s="30">
        <f>VLOOKUP(Inventory[[#This Row],[Nbhd]],Lookups!$M$3:$P$5,4,FALSE)</f>
        <v>0.99970000000000003</v>
      </c>
      <c r="BF1109" s="30">
        <f>VLOOKUP(Inventory[[#This Row],[Qlty]],Lookups!$M$8:$P$22,4,FALSE)</f>
        <v>0.99980000000000002</v>
      </c>
      <c r="BG1109" s="30">
        <f>VLOOKUP(Inventory[[#This Row],[Cnd]],Lookups!$R$8:$U$17,4,FALSE)</f>
        <v>0.997</v>
      </c>
      <c r="BH1109" s="30">
        <f>VLOOKUP(Inventory[[#This Row],[LivArea Range]],Lookups!$R$25:$U$43,4,FALSE)</f>
        <v>1.0099</v>
      </c>
      <c r="BI1109" s="30">
        <f>VLOOKUP(Inventory[[#This Row],[Decade]],Lookups!$M$24:$P$40,4,FALSE)</f>
        <v>0.95920000000000005</v>
      </c>
      <c r="BJ1109" s="30">
        <f>Inventory[[#This Row],[Nbhd Adj]]*0.95</f>
        <v>0.94971499999999998</v>
      </c>
      <c r="BK1109" s="30">
        <f>AVERAGE(Inventory[[#This Row],[Nbhd Adj]],Inventory[[#This Row],[Quality Adj]],Inventory[[#This Row],[Condition Adj]],Inventory[[#This Row],[Living Area Adj]],Inventory[[#This Row],[Decade Adj]])*0.95</f>
        <v>0.94346399999999997</v>
      </c>
      <c r="BL1109" s="30">
        <f>ROUND((SUM(Inventory[[#This Row],[Mdl Qlty]:[Mdl Garage Area]])+Inventory[[#This Row],[Mdl Res Intercept]])*Inventory[[#This Row],[Res Adj ]],-2)</f>
        <v>366900</v>
      </c>
      <c r="BM1109" s="30">
        <f>ROUND(Inventory[[#This Row],[25Det]]*Inventory[[#This Row],[Det/Nbhd Adj]],-2)</f>
        <v>0</v>
      </c>
      <c r="BN1109" s="30">
        <f>Inventory[[#This Row],[Adjusted Res]]+Inventory[[#This Row],[Adj Det ]]</f>
        <v>366900</v>
      </c>
      <c r="BO1109" s="30">
        <f>ROUND((Inventory[[#This Row],[Mdl Land Intercept]]+Inventory[[#This Row],[Mdl LnAcres]])*Inventory[[#This Row],[Det/Nbhd Adj]],-2)</f>
        <v>66600</v>
      </c>
      <c r="BP1109" s="30">
        <f>Inventory[[#This Row],[Adjusted Impr Total]]+Inventory[[#This Row],[Adjusted Land Total]]</f>
        <v>433500</v>
      </c>
      <c r="BQ1109" s="30">
        <f>IFERROR((Inventory[[#This Row],[Adjusted Impr Total]]-Inventory[[#This Row],[24Bldg]])/Inventory[[#This Row],[24Bldg]],0)</f>
        <v>2.2860328965709508E-2</v>
      </c>
      <c r="BR1109" s="43">
        <f>(Inventory[[#This Row],[Adjusted Land Total]]-Inventory[[#This Row],[24Lnd]])/Inventory[[#This Row],[24Lnd]]</f>
        <v>-7.4515648286140089E-3</v>
      </c>
      <c r="BS1109" s="43">
        <f>(Inventory[[#This Row],[Adjusted Total]]-Inventory[[#This Row],[24Final]])/Inventory[[#This Row],[24Final]]</f>
        <v>1.8083607327383747E-2</v>
      </c>
    </row>
    <row r="1110" spans="1:71">
      <c r="A1110" s="30">
        <v>2025</v>
      </c>
      <c r="B1110" s="31" t="s">
        <v>1625</v>
      </c>
      <c r="C1110" s="31">
        <f>LN(Inventory[[#This Row],[Acres]])</f>
        <v>-1.3862943611198906</v>
      </c>
      <c r="D1110" s="30">
        <v>0.25</v>
      </c>
      <c r="E1110" s="30">
        <v>10945</v>
      </c>
      <c r="F1110" s="31" t="s">
        <v>505</v>
      </c>
      <c r="G1110" s="31" t="s">
        <v>155</v>
      </c>
      <c r="H1110" s="31" t="s">
        <v>5</v>
      </c>
      <c r="I1110" s="31" t="s">
        <v>506</v>
      </c>
      <c r="J1110" s="31" t="s">
        <v>507</v>
      </c>
      <c r="K1110" s="31" t="s">
        <v>193</v>
      </c>
      <c r="L1110" s="31" t="s">
        <v>17</v>
      </c>
      <c r="M1110" s="31" t="s">
        <v>20</v>
      </c>
      <c r="N1110" s="31">
        <v>40</v>
      </c>
      <c r="O1110" s="31">
        <f>2024-Inventory[[#This Row],[YrBlt]]</f>
        <v>43</v>
      </c>
      <c r="P1110" s="31">
        <f>2024-Inventory[[#This Row],[EffYr]]</f>
        <v>43</v>
      </c>
      <c r="Q1110" s="30">
        <v>1981</v>
      </c>
      <c r="R1110" s="30">
        <v>1981</v>
      </c>
      <c r="S1110" s="30">
        <v>1000</v>
      </c>
      <c r="T1110" s="37"/>
      <c r="U1110" s="32"/>
      <c r="V1110" s="32"/>
      <c r="W1110" s="32"/>
      <c r="X1110" s="32">
        <f>Inventory[[#This Row],[Bsmt Area]]-Inventory[[#This Row],[FnBsmt]]</f>
        <v>0</v>
      </c>
      <c r="Y1110" s="32">
        <f>Inventory[[#This Row],[MainFn]]+Inventory[[#This Row],[UpprFn]]+Inventory[[#This Row],[AddFn]]+Inventory[[#This Row],[FnBsmt]]</f>
        <v>1000</v>
      </c>
      <c r="Z1110" s="32">
        <v>1500</v>
      </c>
      <c r="AA1110" s="31" t="s">
        <v>56</v>
      </c>
      <c r="AB1110" s="32"/>
      <c r="AC1110" s="37"/>
      <c r="AD1110" s="32"/>
      <c r="AE1110" s="32"/>
      <c r="AF1110" s="32"/>
      <c r="AG1110" s="32"/>
      <c r="AH1110" s="32"/>
      <c r="AI1110" s="30">
        <v>185388</v>
      </c>
      <c r="AJ1110" s="30">
        <v>146457</v>
      </c>
      <c r="AK1110" s="30">
        <v>31806</v>
      </c>
      <c r="AL1110" s="30">
        <v>0</v>
      </c>
      <c r="AM1110" s="30">
        <v>67100</v>
      </c>
      <c r="AN1110" s="30">
        <v>247100</v>
      </c>
      <c r="AO1110" s="30">
        <v>314200</v>
      </c>
      <c r="AP1110" s="30">
        <f>Lookups!$B$58*0.6</f>
        <v>132535.48800000001</v>
      </c>
      <c r="AQ1110" s="30">
        <f>Lookups!$B$58*0.4</f>
        <v>88356.992000000013</v>
      </c>
      <c r="AR1110" s="30">
        <f>Lookups!$B$59*Inventory[[#This Row],[LnAcres]]</f>
        <v>-18194.172195827363</v>
      </c>
      <c r="AS1110" s="30">
        <f>VLOOKUP(Inventory[[#This Row],[Qlty]],Lookups!$A$66:$E$79,2,FALSE)</f>
        <v>24371.765965999999</v>
      </c>
      <c r="AT1110" s="30">
        <f>VLOOKUP(Inventory[[#This Row],[Cnd]],Lookups!$A$80:$E$88,2,FALSE)</f>
        <v>30300.329274</v>
      </c>
      <c r="AU1110" s="30">
        <f>Inventory[[#This Row],[EffAge]]*Lookups!$B$65</f>
        <v>-4675.8672999999999</v>
      </c>
      <c r="AV1110" s="30">
        <f>Inventory[[#This Row],[MainFn]]*Lookups!$B$90</f>
        <v>62410.380000000005</v>
      </c>
      <c r="AW1110" s="30">
        <f>Inventory[[#This Row],[UpprFn]]*Lookups!$B$91</f>
        <v>0</v>
      </c>
      <c r="AX1110" s="30">
        <f>Inventory[[#This Row],[Bsmt Area]]*Lookups!$B$95</f>
        <v>0</v>
      </c>
      <c r="AY1110" s="30">
        <f>Inventory[[#This Row],[AttGar]]*Lookups!$B$93</f>
        <v>0</v>
      </c>
      <c r="AZ1110" s="30">
        <f>ROUND(Inventory[[#This Row],[25Det]],-2)</f>
        <v>31800</v>
      </c>
      <c r="BA1110" s="30">
        <f>ROUND(SUM(Inventory[[#This Row],[Mdl Qlty]:[Mdl Garage Area]])+Inventory[[#This Row],[Mdl Res Intercept]],-2)</f>
        <v>244900</v>
      </c>
      <c r="BB1110" s="30">
        <f>ROUND(Inventory[[#This Row],[Mdl Land Intercept]]+Inventory[[#This Row],[Mdl LnAcres]],-2)</f>
        <v>70200</v>
      </c>
      <c r="BC1110" s="30">
        <f>Inventory[[#This Row],[Unadj Res Value]]+Inventory[[#This Row],[Unadj Det Value]]+Inventory[[#This Row],[Unadj Land Value]]</f>
        <v>346900</v>
      </c>
      <c r="BD1110" s="30">
        <f>(Inventory[[#This Row],[Unadj Total Value]]-Inventory[[#This Row],[24Final]])/Inventory[[#This Row],[24Final]]</f>
        <v>0.10407383831954169</v>
      </c>
      <c r="BE1110" s="30">
        <f>VLOOKUP(Inventory[[#This Row],[Nbhd]],Lookups!$M$3:$P$5,4,FALSE)</f>
        <v>0.99970000000000003</v>
      </c>
      <c r="BF1110" s="30">
        <f>VLOOKUP(Inventory[[#This Row],[Qlty]],Lookups!$M$8:$P$22,4,FALSE)</f>
        <v>0.99199999999999999</v>
      </c>
      <c r="BG1110" s="30">
        <f>VLOOKUP(Inventory[[#This Row],[Cnd]],Lookups!$R$8:$U$17,4,FALSE)</f>
        <v>0.997</v>
      </c>
      <c r="BH1110" s="30">
        <f>VLOOKUP(Inventory[[#This Row],[LivArea Range]],Lookups!$R$25:$U$43,4,FALSE)</f>
        <v>0.99519999999999997</v>
      </c>
      <c r="BI1110" s="30">
        <f>VLOOKUP(Inventory[[#This Row],[Decade]],Lookups!$M$24:$P$40,4,FALSE)</f>
        <v>0.95920000000000005</v>
      </c>
      <c r="BJ1110" s="30">
        <f>Inventory[[#This Row],[Nbhd Adj]]*0.95</f>
        <v>0.94971499999999998</v>
      </c>
      <c r="BK1110" s="30">
        <f>AVERAGE(Inventory[[#This Row],[Nbhd Adj]],Inventory[[#This Row],[Quality Adj]],Inventory[[#This Row],[Condition Adj]],Inventory[[#This Row],[Living Area Adj]],Inventory[[#This Row],[Decade Adj]])*0.95</f>
        <v>0.93918900000000005</v>
      </c>
      <c r="BL1110" s="30">
        <f>ROUND((SUM(Inventory[[#This Row],[Mdl Qlty]:[Mdl Garage Area]])+Inventory[[#This Row],[Mdl Res Intercept]])*Inventory[[#This Row],[Res Adj ]],-2)</f>
        <v>230000</v>
      </c>
      <c r="BM1110" s="30">
        <f>ROUND(Inventory[[#This Row],[25Det]]*Inventory[[#This Row],[Det/Nbhd Adj]],-2)</f>
        <v>30200</v>
      </c>
      <c r="BN1110" s="30">
        <f>Inventory[[#This Row],[Adjusted Res]]+Inventory[[#This Row],[Adj Det ]]</f>
        <v>260200</v>
      </c>
      <c r="BO1110" s="30">
        <f>ROUND((Inventory[[#This Row],[Mdl Land Intercept]]+Inventory[[#This Row],[Mdl LnAcres]])*Inventory[[#This Row],[Det/Nbhd Adj]],-2)</f>
        <v>66600</v>
      </c>
      <c r="BP1110" s="30">
        <f>Inventory[[#This Row],[Adjusted Impr Total]]+Inventory[[#This Row],[Adjusted Land Total]]</f>
        <v>326800</v>
      </c>
      <c r="BQ1110" s="30">
        <f>IFERROR((Inventory[[#This Row],[Adjusted Impr Total]]-Inventory[[#This Row],[24Bldg]])/Inventory[[#This Row],[24Bldg]],0)</f>
        <v>5.3014973694860378E-2</v>
      </c>
      <c r="BR1110" s="43">
        <f>(Inventory[[#This Row],[Adjusted Land Total]]-Inventory[[#This Row],[24Lnd]])/Inventory[[#This Row],[24Lnd]]</f>
        <v>-7.4515648286140089E-3</v>
      </c>
      <c r="BS1110" s="43">
        <f>(Inventory[[#This Row],[Adjusted Total]]-Inventory[[#This Row],[24Final]])/Inventory[[#This Row],[24Final]]</f>
        <v>4.010184595798854E-2</v>
      </c>
    </row>
    <row r="1111" spans="1:71">
      <c r="A1111" s="30">
        <v>2025</v>
      </c>
      <c r="B1111" s="31" t="s">
        <v>1626</v>
      </c>
      <c r="C1111" s="31">
        <f>LN(Inventory[[#This Row],[Acres]])</f>
        <v>-0.35667494393873245</v>
      </c>
      <c r="D1111" s="30">
        <v>0.7</v>
      </c>
      <c r="E1111" s="30">
        <v>30468</v>
      </c>
      <c r="F1111" s="31" t="s">
        <v>505</v>
      </c>
      <c r="G1111" s="31" t="s">
        <v>155</v>
      </c>
      <c r="H1111" s="31" t="s">
        <v>5</v>
      </c>
      <c r="I1111" s="31" t="s">
        <v>506</v>
      </c>
      <c r="J1111" s="31" t="s">
        <v>507</v>
      </c>
      <c r="K1111" s="31" t="s">
        <v>193</v>
      </c>
      <c r="L1111" s="31" t="s">
        <v>21</v>
      </c>
      <c r="M1111" s="31" t="s">
        <v>20</v>
      </c>
      <c r="N1111" s="31">
        <v>40</v>
      </c>
      <c r="O1111" s="31">
        <f>2024-Inventory[[#This Row],[YrBlt]]</f>
        <v>43</v>
      </c>
      <c r="P1111" s="31">
        <f>2024-Inventory[[#This Row],[EffYr]]</f>
        <v>43</v>
      </c>
      <c r="Q1111" s="30">
        <v>1981</v>
      </c>
      <c r="R1111" s="30">
        <v>1981</v>
      </c>
      <c r="S1111" s="30">
        <v>1672</v>
      </c>
      <c r="T1111" s="32"/>
      <c r="U1111" s="32"/>
      <c r="V1111" s="32"/>
      <c r="W1111" s="32"/>
      <c r="X1111" s="32">
        <f>Inventory[[#This Row],[Bsmt Area]]-Inventory[[#This Row],[FnBsmt]]</f>
        <v>0</v>
      </c>
      <c r="Y1111" s="32">
        <f>Inventory[[#This Row],[MainFn]]+Inventory[[#This Row],[UpprFn]]+Inventory[[#This Row],[AddFn]]+Inventory[[#This Row],[FnBsmt]]</f>
        <v>1672</v>
      </c>
      <c r="Z1111" s="32">
        <v>2000</v>
      </c>
      <c r="AA1111" s="31" t="s">
        <v>57</v>
      </c>
      <c r="AB1111" s="32"/>
      <c r="AC1111" s="30">
        <v>524</v>
      </c>
      <c r="AD1111" s="32"/>
      <c r="AE1111" s="32"/>
      <c r="AF1111" s="32"/>
      <c r="AG1111" s="32"/>
      <c r="AH1111" s="32"/>
      <c r="AI1111" s="30">
        <v>369513</v>
      </c>
      <c r="AJ1111" s="30">
        <v>291915</v>
      </c>
      <c r="AK1111" s="30">
        <v>19168</v>
      </c>
      <c r="AL1111" s="30">
        <v>0</v>
      </c>
      <c r="AM1111" s="30">
        <v>81500</v>
      </c>
      <c r="AN1111" s="30">
        <v>292500</v>
      </c>
      <c r="AO1111" s="30">
        <v>374000</v>
      </c>
      <c r="AP1111" s="30">
        <f>Lookups!$B$58*0.6</f>
        <v>132535.48800000001</v>
      </c>
      <c r="AQ1111" s="30">
        <f>Lookups!$B$58*0.4</f>
        <v>88356.992000000013</v>
      </c>
      <c r="AR1111" s="30">
        <f>Lookups!$B$59*Inventory[[#This Row],[LnAcres]]</f>
        <v>-4681.1164569089287</v>
      </c>
      <c r="AS1111" s="30">
        <f>VLOOKUP(Inventory[[#This Row],[Qlty]],Lookups!$A$66:$E$79,2,FALSE)</f>
        <v>32917.849192000001</v>
      </c>
      <c r="AT1111" s="30">
        <f>VLOOKUP(Inventory[[#This Row],[Cnd]],Lookups!$A$80:$E$88,2,FALSE)</f>
        <v>30300.329274</v>
      </c>
      <c r="AU1111" s="30">
        <f>Inventory[[#This Row],[EffAge]]*Lookups!$B$65</f>
        <v>-4675.8672999999999</v>
      </c>
      <c r="AV1111" s="30">
        <f>Inventory[[#This Row],[MainFn]]*Lookups!$B$90</f>
        <v>104350.15536</v>
      </c>
      <c r="AW1111" s="30">
        <f>Inventory[[#This Row],[UpprFn]]*Lookups!$B$91</f>
        <v>0</v>
      </c>
      <c r="AX1111" s="30">
        <f>Inventory[[#This Row],[Bsmt Area]]*Lookups!$B$95</f>
        <v>0</v>
      </c>
      <c r="AY1111" s="30">
        <f>Inventory[[#This Row],[AttGar]]*Lookups!$B$93</f>
        <v>18497.740244000001</v>
      </c>
      <c r="AZ1111" s="30">
        <f>ROUND(Inventory[[#This Row],[25Det]],-2)</f>
        <v>19200</v>
      </c>
      <c r="BA1111" s="30">
        <f>ROUND(SUM(Inventory[[#This Row],[Mdl Qlty]:[Mdl Garage Area]])+Inventory[[#This Row],[Mdl Res Intercept]],-2)</f>
        <v>313900</v>
      </c>
      <c r="BB1111" s="30">
        <f>ROUND(Inventory[[#This Row],[Mdl Land Intercept]]+Inventory[[#This Row],[Mdl LnAcres]],-2)</f>
        <v>83700</v>
      </c>
      <c r="BC1111" s="30">
        <f>Inventory[[#This Row],[Unadj Res Value]]+Inventory[[#This Row],[Unadj Det Value]]+Inventory[[#This Row],[Unadj Land Value]]</f>
        <v>416800</v>
      </c>
      <c r="BD1111" s="30">
        <f>(Inventory[[#This Row],[Unadj Total Value]]-Inventory[[#This Row],[24Final]])/Inventory[[#This Row],[24Final]]</f>
        <v>0.11443850267379679</v>
      </c>
      <c r="BE1111" s="30">
        <f>VLOOKUP(Inventory[[#This Row],[Nbhd]],Lookups!$M$3:$P$5,4,FALSE)</f>
        <v>0.99970000000000003</v>
      </c>
      <c r="BF1111" s="30">
        <f>VLOOKUP(Inventory[[#This Row],[Qlty]],Lookups!$M$8:$P$22,4,FALSE)</f>
        <v>1.0019</v>
      </c>
      <c r="BG1111" s="30">
        <f>VLOOKUP(Inventory[[#This Row],[Cnd]],Lookups!$R$8:$U$17,4,FALSE)</f>
        <v>0.997</v>
      </c>
      <c r="BH1111" s="30">
        <f>VLOOKUP(Inventory[[#This Row],[LivArea Range]],Lookups!$R$25:$U$43,4,FALSE)</f>
        <v>1.0007999999999999</v>
      </c>
      <c r="BI1111" s="30">
        <f>VLOOKUP(Inventory[[#This Row],[Decade]],Lookups!$M$24:$P$40,4,FALSE)</f>
        <v>0.95920000000000005</v>
      </c>
      <c r="BJ1111" s="30">
        <f>Inventory[[#This Row],[Nbhd Adj]]*0.95</f>
        <v>0.94971499999999998</v>
      </c>
      <c r="BK1111" s="30">
        <f>AVERAGE(Inventory[[#This Row],[Nbhd Adj]],Inventory[[#This Row],[Quality Adj]],Inventory[[#This Row],[Condition Adj]],Inventory[[#This Row],[Living Area Adj]],Inventory[[#This Row],[Decade Adj]])*0.95</f>
        <v>0.94213399999999992</v>
      </c>
      <c r="BL1111" s="30">
        <f>ROUND((SUM(Inventory[[#This Row],[Mdl Qlty]:[Mdl Garage Area]])+Inventory[[#This Row],[Mdl Res Intercept]])*Inventory[[#This Row],[Res Adj ]],-2)</f>
        <v>295800</v>
      </c>
      <c r="BM1111" s="30">
        <f>ROUND(Inventory[[#This Row],[25Det]]*Inventory[[#This Row],[Det/Nbhd Adj]],-2)</f>
        <v>18200</v>
      </c>
      <c r="BN1111" s="30">
        <f>Inventory[[#This Row],[Adjusted Res]]+Inventory[[#This Row],[Adj Det ]]</f>
        <v>314000</v>
      </c>
      <c r="BO1111" s="30">
        <f>ROUND((Inventory[[#This Row],[Mdl Land Intercept]]+Inventory[[#This Row],[Mdl LnAcres]])*Inventory[[#This Row],[Det/Nbhd Adj]],-2)</f>
        <v>79500</v>
      </c>
      <c r="BP1111" s="30">
        <f>Inventory[[#This Row],[Adjusted Impr Total]]+Inventory[[#This Row],[Adjusted Land Total]]</f>
        <v>393500</v>
      </c>
      <c r="BQ1111" s="30">
        <f>IFERROR((Inventory[[#This Row],[Adjusted Impr Total]]-Inventory[[#This Row],[24Bldg]])/Inventory[[#This Row],[24Bldg]],0)</f>
        <v>7.3504273504273507E-2</v>
      </c>
      <c r="BR1111" s="43">
        <f>(Inventory[[#This Row],[Adjusted Land Total]]-Inventory[[#This Row],[24Lnd]])/Inventory[[#This Row],[24Lnd]]</f>
        <v>-2.4539877300613498E-2</v>
      </c>
      <c r="BS1111" s="43">
        <f>(Inventory[[#This Row],[Adjusted Total]]-Inventory[[#This Row],[24Final]])/Inventory[[#This Row],[24Final]]</f>
        <v>5.213903743315508E-2</v>
      </c>
    </row>
    <row r="1112" spans="1:71">
      <c r="A1112" s="30">
        <v>2025</v>
      </c>
      <c r="B1112" s="31" t="s">
        <v>1627</v>
      </c>
      <c r="C1112" s="31">
        <f>LN(Inventory[[#This Row],[Acres]])</f>
        <v>-1.9661128563728327</v>
      </c>
      <c r="D1112" s="30">
        <v>0.14000000000000001</v>
      </c>
      <c r="E1112" s="30">
        <v>6032</v>
      </c>
      <c r="F1112" s="31" t="s">
        <v>505</v>
      </c>
      <c r="G1112" s="31" t="s">
        <v>155</v>
      </c>
      <c r="H1112" s="31" t="s">
        <v>5</v>
      </c>
      <c r="I1112" s="31" t="s">
        <v>506</v>
      </c>
      <c r="J1112" s="31" t="s">
        <v>507</v>
      </c>
      <c r="K1112" s="31" t="s">
        <v>193</v>
      </c>
      <c r="L1112" s="31" t="s">
        <v>15</v>
      </c>
      <c r="M1112" s="31" t="s">
        <v>18</v>
      </c>
      <c r="N1112" s="31">
        <v>40</v>
      </c>
      <c r="O1112" s="31">
        <f>2024-Inventory[[#This Row],[YrBlt]]</f>
        <v>44</v>
      </c>
      <c r="P1112" s="31">
        <f>2024-Inventory[[#This Row],[EffYr]]</f>
        <v>44</v>
      </c>
      <c r="Q1112" s="30">
        <v>1980</v>
      </c>
      <c r="R1112" s="30">
        <v>1980</v>
      </c>
      <c r="S1112" s="30">
        <v>1000</v>
      </c>
      <c r="T1112" s="37"/>
      <c r="U1112" s="32"/>
      <c r="V1112" s="32"/>
      <c r="W1112" s="32"/>
      <c r="X1112" s="32">
        <f>Inventory[[#This Row],[Bsmt Area]]-Inventory[[#This Row],[FnBsmt]]</f>
        <v>0</v>
      </c>
      <c r="Y1112" s="32">
        <f>Inventory[[#This Row],[MainFn]]+Inventory[[#This Row],[UpprFn]]+Inventory[[#This Row],[AddFn]]+Inventory[[#This Row],[FnBsmt]]</f>
        <v>1000</v>
      </c>
      <c r="Z1112" s="32">
        <v>1500</v>
      </c>
      <c r="AA1112" s="31" t="s">
        <v>56</v>
      </c>
      <c r="AB1112" s="37"/>
      <c r="AC1112" s="30">
        <v>264</v>
      </c>
      <c r="AD1112" s="32"/>
      <c r="AE1112" s="32"/>
      <c r="AF1112" s="32"/>
      <c r="AG1112" s="32"/>
      <c r="AH1112" s="32"/>
      <c r="AI1112" s="30">
        <v>158484</v>
      </c>
      <c r="AJ1112" s="30">
        <v>123618</v>
      </c>
      <c r="AK1112" s="30">
        <v>0</v>
      </c>
      <c r="AL1112" s="30">
        <v>0</v>
      </c>
      <c r="AM1112" s="30">
        <v>59000</v>
      </c>
      <c r="AN1112" s="30">
        <v>194600</v>
      </c>
      <c r="AO1112" s="30">
        <v>253600</v>
      </c>
      <c r="AP1112" s="30">
        <f>Lookups!$B$58*0.6</f>
        <v>132535.48800000001</v>
      </c>
      <c r="AQ1112" s="30">
        <f>Lookups!$B$58*0.4</f>
        <v>88356.992000000013</v>
      </c>
      <c r="AR1112" s="30">
        <f>Lookups!$B$59*Inventory[[#This Row],[LnAcres]]</f>
        <v>-25803.896249263951</v>
      </c>
      <c r="AS1112" s="30">
        <f>VLOOKUP(Inventory[[#This Row],[Qlty]],Lookups!$A$66:$E$79,2,FALSE)</f>
        <v>-1240.8083630000001</v>
      </c>
      <c r="AT1112" s="30">
        <f>VLOOKUP(Inventory[[#This Row],[Cnd]],Lookups!$A$80:$E$88,2,FALSE)</f>
        <v>17761.121909000001</v>
      </c>
      <c r="AU1112" s="30">
        <f>Inventory[[#This Row],[EffAge]]*Lookups!$B$65</f>
        <v>-4784.6084000000001</v>
      </c>
      <c r="AV1112" s="30">
        <f>Inventory[[#This Row],[MainFn]]*Lookups!$B$90</f>
        <v>62410.380000000005</v>
      </c>
      <c r="AW1112" s="30">
        <f>Inventory[[#This Row],[UpprFn]]*Lookups!$B$91</f>
        <v>0</v>
      </c>
      <c r="AX1112" s="30">
        <f>Inventory[[#This Row],[Bsmt Area]]*Lookups!$B$95</f>
        <v>0</v>
      </c>
      <c r="AY1112" s="30">
        <f>Inventory[[#This Row],[AttGar]]*Lookups!$B$93</f>
        <v>9319.4721840000002</v>
      </c>
      <c r="AZ1112" s="30">
        <f>ROUND(Inventory[[#This Row],[25Det]],-2)</f>
        <v>0</v>
      </c>
      <c r="BA1112" s="30">
        <f>ROUND(SUM(Inventory[[#This Row],[Mdl Qlty]:[Mdl Garage Area]])+Inventory[[#This Row],[Mdl Res Intercept]],-2)</f>
        <v>216000</v>
      </c>
      <c r="BB1112" s="30">
        <f>ROUND(Inventory[[#This Row],[Mdl Land Intercept]]+Inventory[[#This Row],[Mdl LnAcres]],-2)</f>
        <v>62600</v>
      </c>
      <c r="BC1112" s="30">
        <f>Inventory[[#This Row],[Unadj Res Value]]+Inventory[[#This Row],[Unadj Det Value]]+Inventory[[#This Row],[Unadj Land Value]]</f>
        <v>278600</v>
      </c>
      <c r="BD1112" s="30">
        <f>(Inventory[[#This Row],[Unadj Total Value]]-Inventory[[#This Row],[24Final]])/Inventory[[#This Row],[24Final]]</f>
        <v>9.8580441640378547E-2</v>
      </c>
      <c r="BE1112" s="30">
        <f>VLOOKUP(Inventory[[#This Row],[Nbhd]],Lookups!$M$3:$P$5,4,FALSE)</f>
        <v>0.99970000000000003</v>
      </c>
      <c r="BF1112" s="30">
        <f>VLOOKUP(Inventory[[#This Row],[Qlty]],Lookups!$M$8:$P$22,4,FALSE)</f>
        <v>1.0022</v>
      </c>
      <c r="BG1112" s="30">
        <f>VLOOKUP(Inventory[[#This Row],[Cnd]],Lookups!$R$8:$U$17,4,FALSE)</f>
        <v>0.99680000000000002</v>
      </c>
      <c r="BH1112" s="30">
        <f>VLOOKUP(Inventory[[#This Row],[LivArea Range]],Lookups!$R$25:$U$43,4,FALSE)</f>
        <v>0.99519999999999997</v>
      </c>
      <c r="BI1112" s="30">
        <f>VLOOKUP(Inventory[[#This Row],[Decade]],Lookups!$M$24:$P$40,4,FALSE)</f>
        <v>0.95920000000000005</v>
      </c>
      <c r="BJ1112" s="30">
        <f>Inventory[[#This Row],[Nbhd Adj]]*0.95</f>
        <v>0.94971499999999998</v>
      </c>
      <c r="BK1112" s="30">
        <f>AVERAGE(Inventory[[#This Row],[Nbhd Adj]],Inventory[[#This Row],[Quality Adj]],Inventory[[#This Row],[Condition Adj]],Inventory[[#This Row],[Living Area Adj]],Inventory[[#This Row],[Decade Adj]])*0.95</f>
        <v>0.94108900000000006</v>
      </c>
      <c r="BL1112" s="30">
        <f>ROUND((SUM(Inventory[[#This Row],[Mdl Qlty]:[Mdl Garage Area]])+Inventory[[#This Row],[Mdl Res Intercept]])*Inventory[[#This Row],[Res Adj ]],-2)</f>
        <v>203300</v>
      </c>
      <c r="BM1112" s="30">
        <f>ROUND(Inventory[[#This Row],[25Det]]*Inventory[[#This Row],[Det/Nbhd Adj]],-2)</f>
        <v>0</v>
      </c>
      <c r="BN1112" s="30">
        <f>Inventory[[#This Row],[Adjusted Res]]+Inventory[[#This Row],[Adj Det ]]</f>
        <v>203300</v>
      </c>
      <c r="BO1112" s="30">
        <f>ROUND((Inventory[[#This Row],[Mdl Land Intercept]]+Inventory[[#This Row],[Mdl LnAcres]])*Inventory[[#This Row],[Det/Nbhd Adj]],-2)</f>
        <v>59400</v>
      </c>
      <c r="BP1112" s="30">
        <f>Inventory[[#This Row],[Adjusted Impr Total]]+Inventory[[#This Row],[Adjusted Land Total]]</f>
        <v>262700</v>
      </c>
      <c r="BQ1112" s="30">
        <f>IFERROR((Inventory[[#This Row],[Adjusted Impr Total]]-Inventory[[#This Row],[24Bldg]])/Inventory[[#This Row],[24Bldg]],0)</f>
        <v>4.4707091469681395E-2</v>
      </c>
      <c r="BR1112" s="43">
        <f>(Inventory[[#This Row],[Adjusted Land Total]]-Inventory[[#This Row],[24Lnd]])/Inventory[[#This Row],[24Lnd]]</f>
        <v>6.7796610169491523E-3</v>
      </c>
      <c r="BS1112" s="43">
        <f>(Inventory[[#This Row],[Adjusted Total]]-Inventory[[#This Row],[24Final]])/Inventory[[#This Row],[24Final]]</f>
        <v>3.5883280757097791E-2</v>
      </c>
    </row>
    <row r="1113" spans="1:71">
      <c r="A1113" s="30">
        <v>2025</v>
      </c>
      <c r="B1113" s="31" t="s">
        <v>1628</v>
      </c>
      <c r="C1113" s="31">
        <f>LN(Inventory[[#This Row],[Acres]])</f>
        <v>-1.8325814637483102</v>
      </c>
      <c r="D1113" s="30">
        <v>0.16</v>
      </c>
      <c r="E1113" s="30">
        <v>6891</v>
      </c>
      <c r="F1113" s="31" t="s">
        <v>505</v>
      </c>
      <c r="G1113" s="31" t="s">
        <v>155</v>
      </c>
      <c r="H1113" s="31" t="s">
        <v>5</v>
      </c>
      <c r="I1113" s="31" t="s">
        <v>506</v>
      </c>
      <c r="J1113" s="31" t="s">
        <v>507</v>
      </c>
      <c r="K1113" s="31" t="s">
        <v>193</v>
      </c>
      <c r="L1113" s="31" t="s">
        <v>15</v>
      </c>
      <c r="M1113" s="31" t="s">
        <v>18</v>
      </c>
      <c r="N1113" s="31">
        <v>40</v>
      </c>
      <c r="O1113" s="31">
        <f>2024-Inventory[[#This Row],[YrBlt]]</f>
        <v>44</v>
      </c>
      <c r="P1113" s="31">
        <f>2024-Inventory[[#This Row],[EffYr]]</f>
        <v>44</v>
      </c>
      <c r="Q1113" s="30">
        <v>1980</v>
      </c>
      <c r="R1113" s="30">
        <v>1980</v>
      </c>
      <c r="S1113" s="30">
        <v>980</v>
      </c>
      <c r="T1113" s="37"/>
      <c r="U1113" s="32"/>
      <c r="V1113" s="32"/>
      <c r="W1113" s="32"/>
      <c r="X1113" s="32">
        <f>Inventory[[#This Row],[Bsmt Area]]-Inventory[[#This Row],[FnBsmt]]</f>
        <v>0</v>
      </c>
      <c r="Y1113" s="32">
        <f>Inventory[[#This Row],[MainFn]]+Inventory[[#This Row],[UpprFn]]+Inventory[[#This Row],[AddFn]]+Inventory[[#This Row],[FnBsmt]]</f>
        <v>980</v>
      </c>
      <c r="Z1113" s="32">
        <v>1000</v>
      </c>
      <c r="AA1113" s="31" t="s">
        <v>56</v>
      </c>
      <c r="AB1113" s="32"/>
      <c r="AC1113" s="30">
        <v>260</v>
      </c>
      <c r="AD1113" s="32"/>
      <c r="AE1113" s="32"/>
      <c r="AF1113" s="32"/>
      <c r="AG1113" s="32"/>
      <c r="AH1113" s="32"/>
      <c r="AI1113" s="30">
        <v>158262</v>
      </c>
      <c r="AJ1113" s="30">
        <v>123444</v>
      </c>
      <c r="AK1113" s="30">
        <v>0</v>
      </c>
      <c r="AL1113" s="30">
        <v>0</v>
      </c>
      <c r="AM1113" s="30">
        <v>60800</v>
      </c>
      <c r="AN1113" s="30">
        <v>197500</v>
      </c>
      <c r="AO1113" s="30">
        <v>258300</v>
      </c>
      <c r="AP1113" s="30">
        <f>Lookups!$B$58*0.6</f>
        <v>132535.48800000001</v>
      </c>
      <c r="AQ1113" s="30">
        <f>Lookups!$B$58*0.4</f>
        <v>88356.992000000013</v>
      </c>
      <c r="AR1113" s="30">
        <f>Lookups!$B$59*Inventory[[#This Row],[LnAcres]]</f>
        <v>-24051.387388882686</v>
      </c>
      <c r="AS1113" s="30">
        <f>VLOOKUP(Inventory[[#This Row],[Qlty]],Lookups!$A$66:$E$79,2,FALSE)</f>
        <v>-1240.8083630000001</v>
      </c>
      <c r="AT1113" s="30">
        <f>VLOOKUP(Inventory[[#This Row],[Cnd]],Lookups!$A$80:$E$88,2,FALSE)</f>
        <v>17761.121909000001</v>
      </c>
      <c r="AU1113" s="30">
        <f>Inventory[[#This Row],[EffAge]]*Lookups!$B$65</f>
        <v>-4784.6084000000001</v>
      </c>
      <c r="AV1113" s="30">
        <f>Inventory[[#This Row],[MainFn]]*Lookups!$B$90</f>
        <v>61162.172400000003</v>
      </c>
      <c r="AW1113" s="30">
        <f>Inventory[[#This Row],[UpprFn]]*Lookups!$B$91</f>
        <v>0</v>
      </c>
      <c r="AX1113" s="30">
        <f>Inventory[[#This Row],[Bsmt Area]]*Lookups!$B$95</f>
        <v>0</v>
      </c>
      <c r="AY1113" s="30">
        <f>Inventory[[#This Row],[AttGar]]*Lookups!$B$93</f>
        <v>9178.2680600000003</v>
      </c>
      <c r="AZ1113" s="30">
        <f>ROUND(Inventory[[#This Row],[25Det]],-2)</f>
        <v>0</v>
      </c>
      <c r="BA1113" s="30">
        <f>ROUND(SUM(Inventory[[#This Row],[Mdl Qlty]:[Mdl Garage Area]])+Inventory[[#This Row],[Mdl Res Intercept]],-2)</f>
        <v>214600</v>
      </c>
      <c r="BB1113" s="30">
        <f>ROUND(Inventory[[#This Row],[Mdl Land Intercept]]+Inventory[[#This Row],[Mdl LnAcres]],-2)</f>
        <v>64300</v>
      </c>
      <c r="BC1113" s="30">
        <f>Inventory[[#This Row],[Unadj Res Value]]+Inventory[[#This Row],[Unadj Det Value]]+Inventory[[#This Row],[Unadj Land Value]]</f>
        <v>278900</v>
      </c>
      <c r="BD1113" s="30">
        <f>(Inventory[[#This Row],[Unadj Total Value]]-Inventory[[#This Row],[24Final]])/Inventory[[#This Row],[24Final]]</f>
        <v>7.975222609368951E-2</v>
      </c>
      <c r="BE1113" s="30">
        <f>VLOOKUP(Inventory[[#This Row],[Nbhd]],Lookups!$M$3:$P$5,4,FALSE)</f>
        <v>0.99970000000000003</v>
      </c>
      <c r="BF1113" s="30">
        <f>VLOOKUP(Inventory[[#This Row],[Qlty]],Lookups!$M$8:$P$22,4,FALSE)</f>
        <v>1.0022</v>
      </c>
      <c r="BG1113" s="30">
        <f>VLOOKUP(Inventory[[#This Row],[Cnd]],Lookups!$R$8:$U$17,4,FALSE)</f>
        <v>0.99680000000000002</v>
      </c>
      <c r="BH1113" s="30">
        <f>VLOOKUP(Inventory[[#This Row],[LivArea Range]],Lookups!$R$25:$U$43,4,FALSE)</f>
        <v>1</v>
      </c>
      <c r="BI1113" s="30">
        <f>VLOOKUP(Inventory[[#This Row],[Decade]],Lookups!$M$24:$P$40,4,FALSE)</f>
        <v>0.95920000000000005</v>
      </c>
      <c r="BJ1113" s="30">
        <f>Inventory[[#This Row],[Nbhd Adj]]*0.95</f>
        <v>0.94971499999999998</v>
      </c>
      <c r="BK1113" s="30">
        <f>AVERAGE(Inventory[[#This Row],[Nbhd Adj]],Inventory[[#This Row],[Quality Adj]],Inventory[[#This Row],[Condition Adj]],Inventory[[#This Row],[Living Area Adj]],Inventory[[#This Row],[Decade Adj]])*0.95</f>
        <v>0.94200100000000009</v>
      </c>
      <c r="BL1113" s="30">
        <f>ROUND((SUM(Inventory[[#This Row],[Mdl Qlty]:[Mdl Garage Area]])+Inventory[[#This Row],[Mdl Res Intercept]])*Inventory[[#This Row],[Res Adj ]],-2)</f>
        <v>202200</v>
      </c>
      <c r="BM1113" s="30">
        <f>ROUND(Inventory[[#This Row],[25Det]]*Inventory[[#This Row],[Det/Nbhd Adj]],-2)</f>
        <v>0</v>
      </c>
      <c r="BN1113" s="30">
        <f>Inventory[[#This Row],[Adjusted Res]]+Inventory[[#This Row],[Adj Det ]]</f>
        <v>202200</v>
      </c>
      <c r="BO1113" s="30">
        <f>ROUND((Inventory[[#This Row],[Mdl Land Intercept]]+Inventory[[#This Row],[Mdl LnAcres]])*Inventory[[#This Row],[Det/Nbhd Adj]],-2)</f>
        <v>61100</v>
      </c>
      <c r="BP1113" s="30">
        <f>Inventory[[#This Row],[Adjusted Impr Total]]+Inventory[[#This Row],[Adjusted Land Total]]</f>
        <v>263300</v>
      </c>
      <c r="BQ1113" s="30">
        <f>IFERROR((Inventory[[#This Row],[Adjusted Impr Total]]-Inventory[[#This Row],[24Bldg]])/Inventory[[#This Row],[24Bldg]],0)</f>
        <v>2.379746835443038E-2</v>
      </c>
      <c r="BR1113" s="43">
        <f>(Inventory[[#This Row],[Adjusted Land Total]]-Inventory[[#This Row],[24Lnd]])/Inventory[[#This Row],[24Lnd]]</f>
        <v>4.9342105263157892E-3</v>
      </c>
      <c r="BS1113" s="43">
        <f>(Inventory[[#This Row],[Adjusted Total]]-Inventory[[#This Row],[24Final]])/Inventory[[#This Row],[24Final]]</f>
        <v>1.9357336430507164E-2</v>
      </c>
    </row>
    <row r="1114" spans="1:71">
      <c r="A1114" s="30">
        <v>2025</v>
      </c>
      <c r="B1114" s="31" t="s">
        <v>1629</v>
      </c>
      <c r="C1114" s="31">
        <f>LN(Inventory[[#This Row],[Acres]])</f>
        <v>-1.7147984280919266</v>
      </c>
      <c r="D1114" s="30">
        <v>0.18</v>
      </c>
      <c r="E1114" s="30">
        <v>7861</v>
      </c>
      <c r="F1114" s="31" t="s">
        <v>505</v>
      </c>
      <c r="G1114" s="31" t="s">
        <v>155</v>
      </c>
      <c r="H1114" s="31" t="s">
        <v>5</v>
      </c>
      <c r="I1114" s="31" t="s">
        <v>506</v>
      </c>
      <c r="J1114" s="31" t="s">
        <v>507</v>
      </c>
      <c r="K1114" s="31" t="s">
        <v>473</v>
      </c>
      <c r="L1114" s="31" t="s">
        <v>15</v>
      </c>
      <c r="M1114" s="31" t="s">
        <v>18</v>
      </c>
      <c r="N1114" s="31">
        <v>40</v>
      </c>
      <c r="O1114" s="31">
        <f>2024-Inventory[[#This Row],[YrBlt]]</f>
        <v>44</v>
      </c>
      <c r="P1114" s="31">
        <f>2024-Inventory[[#This Row],[EffYr]]</f>
        <v>44</v>
      </c>
      <c r="Q1114" s="30">
        <v>1980</v>
      </c>
      <c r="R1114" s="30">
        <v>1980</v>
      </c>
      <c r="S1114" s="30">
        <v>1066</v>
      </c>
      <c r="T1114" s="32"/>
      <c r="U1114" s="32"/>
      <c r="V1114" s="32"/>
      <c r="W1114" s="32"/>
      <c r="X1114" s="32">
        <f>Inventory[[#This Row],[Bsmt Area]]-Inventory[[#This Row],[FnBsmt]]</f>
        <v>0</v>
      </c>
      <c r="Y1114" s="32">
        <f>Inventory[[#This Row],[MainFn]]+Inventory[[#This Row],[UpprFn]]+Inventory[[#This Row],[AddFn]]+Inventory[[#This Row],[FnBsmt]]</f>
        <v>1066</v>
      </c>
      <c r="Z1114" s="32">
        <v>1500</v>
      </c>
      <c r="AA1114" s="31" t="s">
        <v>56</v>
      </c>
      <c r="AB1114" s="37"/>
      <c r="AC1114" s="37"/>
      <c r="AD1114" s="32"/>
      <c r="AE1114" s="32"/>
      <c r="AF1114" s="32"/>
      <c r="AG1114" s="32"/>
      <c r="AH1114" s="32"/>
      <c r="AI1114" s="30">
        <v>166819</v>
      </c>
      <c r="AJ1114" s="30">
        <v>130119</v>
      </c>
      <c r="AK1114" s="30">
        <v>22111</v>
      </c>
      <c r="AL1114" s="30">
        <v>0</v>
      </c>
      <c r="AM1114" s="30">
        <v>62500</v>
      </c>
      <c r="AN1114" s="30">
        <v>205500</v>
      </c>
      <c r="AO1114" s="30">
        <v>268000</v>
      </c>
      <c r="AP1114" s="30">
        <f>Lookups!$B$58*0.6</f>
        <v>132535.48800000001</v>
      </c>
      <c r="AQ1114" s="30">
        <f>Lookups!$B$58*0.4</f>
        <v>88356.992000000013</v>
      </c>
      <c r="AR1114" s="30">
        <f>Lookups!$B$59*Inventory[[#This Row],[LnAcres]]</f>
        <v>-22505.565020573864</v>
      </c>
      <c r="AS1114" s="30">
        <f>VLOOKUP(Inventory[[#This Row],[Qlty]],Lookups!$A$66:$E$79,2,FALSE)</f>
        <v>-1240.8083630000001</v>
      </c>
      <c r="AT1114" s="30">
        <f>VLOOKUP(Inventory[[#This Row],[Cnd]],Lookups!$A$80:$E$88,2,FALSE)</f>
        <v>17761.121909000001</v>
      </c>
      <c r="AU1114" s="30">
        <f>Inventory[[#This Row],[EffAge]]*Lookups!$B$65</f>
        <v>-4784.6084000000001</v>
      </c>
      <c r="AV1114" s="30">
        <f>Inventory[[#This Row],[MainFn]]*Lookups!$B$90</f>
        <v>66529.465080000009</v>
      </c>
      <c r="AW1114" s="30">
        <f>Inventory[[#This Row],[UpprFn]]*Lookups!$B$91</f>
        <v>0</v>
      </c>
      <c r="AX1114" s="30">
        <f>Inventory[[#This Row],[Bsmt Area]]*Lookups!$B$95</f>
        <v>0</v>
      </c>
      <c r="AY1114" s="30">
        <f>Inventory[[#This Row],[AttGar]]*Lookups!$B$93</f>
        <v>0</v>
      </c>
      <c r="AZ1114" s="30">
        <f>ROUND(Inventory[[#This Row],[25Det]],-2)</f>
        <v>22100</v>
      </c>
      <c r="BA1114" s="30">
        <f>ROUND(SUM(Inventory[[#This Row],[Mdl Qlty]:[Mdl Garage Area]])+Inventory[[#This Row],[Mdl Res Intercept]],-2)</f>
        <v>210800</v>
      </c>
      <c r="BB1114" s="30">
        <f>ROUND(Inventory[[#This Row],[Mdl Land Intercept]]+Inventory[[#This Row],[Mdl LnAcres]],-2)</f>
        <v>65900</v>
      </c>
      <c r="BC1114" s="30">
        <f>Inventory[[#This Row],[Unadj Res Value]]+Inventory[[#This Row],[Unadj Det Value]]+Inventory[[#This Row],[Unadj Land Value]]</f>
        <v>298800</v>
      </c>
      <c r="BD1114" s="30">
        <f>(Inventory[[#This Row],[Unadj Total Value]]-Inventory[[#This Row],[24Final]])/Inventory[[#This Row],[24Final]]</f>
        <v>0.11492537313432835</v>
      </c>
      <c r="BE1114" s="30">
        <f>VLOOKUP(Inventory[[#This Row],[Nbhd]],Lookups!$M$3:$P$5,4,FALSE)</f>
        <v>0.99970000000000003</v>
      </c>
      <c r="BF1114" s="30">
        <f>VLOOKUP(Inventory[[#This Row],[Qlty]],Lookups!$M$8:$P$22,4,FALSE)</f>
        <v>1.0022</v>
      </c>
      <c r="BG1114" s="30">
        <f>VLOOKUP(Inventory[[#This Row],[Cnd]],Lookups!$R$8:$U$17,4,FALSE)</f>
        <v>0.99680000000000002</v>
      </c>
      <c r="BH1114" s="30">
        <f>VLOOKUP(Inventory[[#This Row],[LivArea Range]],Lookups!$R$25:$U$43,4,FALSE)</f>
        <v>0.99519999999999997</v>
      </c>
      <c r="BI1114" s="30">
        <f>VLOOKUP(Inventory[[#This Row],[Decade]],Lookups!$M$24:$P$40,4,FALSE)</f>
        <v>0.95920000000000005</v>
      </c>
      <c r="BJ1114" s="30">
        <f>Inventory[[#This Row],[Nbhd Adj]]*0.95</f>
        <v>0.94971499999999998</v>
      </c>
      <c r="BK1114" s="30">
        <f>AVERAGE(Inventory[[#This Row],[Nbhd Adj]],Inventory[[#This Row],[Quality Adj]],Inventory[[#This Row],[Condition Adj]],Inventory[[#This Row],[Living Area Adj]],Inventory[[#This Row],[Decade Adj]])*0.95</f>
        <v>0.94108900000000006</v>
      </c>
      <c r="BL1114" s="30">
        <f>ROUND((SUM(Inventory[[#This Row],[Mdl Qlty]:[Mdl Garage Area]])+Inventory[[#This Row],[Mdl Res Intercept]])*Inventory[[#This Row],[Res Adj ]],-2)</f>
        <v>198400</v>
      </c>
      <c r="BM1114" s="30">
        <f>ROUND(Inventory[[#This Row],[25Det]]*Inventory[[#This Row],[Det/Nbhd Adj]],-2)</f>
        <v>21000</v>
      </c>
      <c r="BN1114" s="30">
        <f>Inventory[[#This Row],[Adjusted Res]]+Inventory[[#This Row],[Adj Det ]]</f>
        <v>219400</v>
      </c>
      <c r="BO1114" s="30">
        <f>ROUND((Inventory[[#This Row],[Mdl Land Intercept]]+Inventory[[#This Row],[Mdl LnAcres]])*Inventory[[#This Row],[Det/Nbhd Adj]],-2)</f>
        <v>62500</v>
      </c>
      <c r="BP1114" s="30">
        <f>Inventory[[#This Row],[Adjusted Impr Total]]+Inventory[[#This Row],[Adjusted Land Total]]</f>
        <v>281900</v>
      </c>
      <c r="BQ1114" s="30">
        <f>IFERROR((Inventory[[#This Row],[Adjusted Impr Total]]-Inventory[[#This Row],[24Bldg]])/Inventory[[#This Row],[24Bldg]],0)</f>
        <v>6.7639902676399022E-2</v>
      </c>
      <c r="BR1114" s="43">
        <f>(Inventory[[#This Row],[Adjusted Land Total]]-Inventory[[#This Row],[24Lnd]])/Inventory[[#This Row],[24Lnd]]</f>
        <v>0</v>
      </c>
      <c r="BS1114" s="43">
        <f>(Inventory[[#This Row],[Adjusted Total]]-Inventory[[#This Row],[24Final]])/Inventory[[#This Row],[24Final]]</f>
        <v>5.1865671641791046E-2</v>
      </c>
    </row>
    <row r="1115" spans="1:71">
      <c r="A1115" s="30">
        <v>2025</v>
      </c>
      <c r="B1115" s="31" t="s">
        <v>1630</v>
      </c>
      <c r="C1115" s="31">
        <f>LN(Inventory[[#This Row],[Acres]])</f>
        <v>-1.7147984280919266</v>
      </c>
      <c r="D1115" s="30">
        <v>0.18</v>
      </c>
      <c r="E1115" s="30">
        <v>7800</v>
      </c>
      <c r="F1115" s="31" t="s">
        <v>505</v>
      </c>
      <c r="G1115" s="31" t="s">
        <v>155</v>
      </c>
      <c r="H1115" s="31" t="s">
        <v>5</v>
      </c>
      <c r="I1115" s="31" t="s">
        <v>506</v>
      </c>
      <c r="J1115" s="31" t="s">
        <v>507</v>
      </c>
      <c r="K1115" s="31" t="s">
        <v>193</v>
      </c>
      <c r="L1115" s="31" t="s">
        <v>15</v>
      </c>
      <c r="M1115" s="31" t="s">
        <v>18</v>
      </c>
      <c r="N1115" s="31">
        <v>40</v>
      </c>
      <c r="O1115" s="31">
        <f>2024-Inventory[[#This Row],[YrBlt]]</f>
        <v>44</v>
      </c>
      <c r="P1115" s="31">
        <f>2024-Inventory[[#This Row],[EffYr]]</f>
        <v>44</v>
      </c>
      <c r="Q1115" s="30">
        <v>1980</v>
      </c>
      <c r="R1115" s="30">
        <v>1980</v>
      </c>
      <c r="S1115" s="30">
        <v>1372</v>
      </c>
      <c r="T1115" s="32"/>
      <c r="U1115" s="32"/>
      <c r="V1115" s="32"/>
      <c r="W1115" s="32"/>
      <c r="X1115" s="32">
        <f>Inventory[[#This Row],[Bsmt Area]]-Inventory[[#This Row],[FnBsmt]]</f>
        <v>0</v>
      </c>
      <c r="Y1115" s="32">
        <f>Inventory[[#This Row],[MainFn]]+Inventory[[#This Row],[UpprFn]]+Inventory[[#This Row],[AddFn]]+Inventory[[#This Row],[FnBsmt]]</f>
        <v>1372</v>
      </c>
      <c r="Z1115" s="32">
        <v>1500</v>
      </c>
      <c r="AA1115" s="31" t="s">
        <v>56</v>
      </c>
      <c r="AB1115" s="37"/>
      <c r="AC1115" s="37"/>
      <c r="AD1115" s="32"/>
      <c r="AE1115" s="32"/>
      <c r="AF1115" s="32"/>
      <c r="AG1115" s="32"/>
      <c r="AH1115" s="32"/>
      <c r="AI1115" s="30">
        <v>212487</v>
      </c>
      <c r="AJ1115" s="30">
        <v>165740</v>
      </c>
      <c r="AK1115" s="30">
        <v>0</v>
      </c>
      <c r="AL1115" s="30">
        <v>0</v>
      </c>
      <c r="AM1115" s="30">
        <v>62500</v>
      </c>
      <c r="AN1115" s="30">
        <v>201500</v>
      </c>
      <c r="AO1115" s="30">
        <v>264000</v>
      </c>
      <c r="AP1115" s="30">
        <f>Lookups!$B$58*0.6</f>
        <v>132535.48800000001</v>
      </c>
      <c r="AQ1115" s="30">
        <f>Lookups!$B$58*0.4</f>
        <v>88356.992000000013</v>
      </c>
      <c r="AR1115" s="30">
        <f>Lookups!$B$59*Inventory[[#This Row],[LnAcres]]</f>
        <v>-22505.565020573864</v>
      </c>
      <c r="AS1115" s="30">
        <f>VLOOKUP(Inventory[[#This Row],[Qlty]],Lookups!$A$66:$E$79,2,FALSE)</f>
        <v>-1240.8083630000001</v>
      </c>
      <c r="AT1115" s="30">
        <f>VLOOKUP(Inventory[[#This Row],[Cnd]],Lookups!$A$80:$E$88,2,FALSE)</f>
        <v>17761.121909000001</v>
      </c>
      <c r="AU1115" s="30">
        <f>Inventory[[#This Row],[EffAge]]*Lookups!$B$65</f>
        <v>-4784.6084000000001</v>
      </c>
      <c r="AV1115" s="30">
        <f>Inventory[[#This Row],[MainFn]]*Lookups!$B$90</f>
        <v>85627.041360000003</v>
      </c>
      <c r="AW1115" s="30">
        <f>Inventory[[#This Row],[UpprFn]]*Lookups!$B$91</f>
        <v>0</v>
      </c>
      <c r="AX1115" s="30">
        <f>Inventory[[#This Row],[Bsmt Area]]*Lookups!$B$95</f>
        <v>0</v>
      </c>
      <c r="AY1115" s="30">
        <f>Inventory[[#This Row],[AttGar]]*Lookups!$B$93</f>
        <v>0</v>
      </c>
      <c r="AZ1115" s="30">
        <f>ROUND(Inventory[[#This Row],[25Det]],-2)</f>
        <v>0</v>
      </c>
      <c r="BA1115" s="30">
        <f>ROUND(SUM(Inventory[[#This Row],[Mdl Qlty]:[Mdl Garage Area]])+Inventory[[#This Row],[Mdl Res Intercept]],-2)</f>
        <v>229900</v>
      </c>
      <c r="BB1115" s="30">
        <f>ROUND(Inventory[[#This Row],[Mdl Land Intercept]]+Inventory[[#This Row],[Mdl LnAcres]],-2)</f>
        <v>65900</v>
      </c>
      <c r="BC1115" s="30">
        <f>Inventory[[#This Row],[Unadj Res Value]]+Inventory[[#This Row],[Unadj Det Value]]+Inventory[[#This Row],[Unadj Land Value]]</f>
        <v>295800</v>
      </c>
      <c r="BD1115" s="30">
        <f>(Inventory[[#This Row],[Unadj Total Value]]-Inventory[[#This Row],[24Final]])/Inventory[[#This Row],[24Final]]</f>
        <v>0.12045454545454545</v>
      </c>
      <c r="BE1115" s="30">
        <f>VLOOKUP(Inventory[[#This Row],[Nbhd]],Lookups!$M$3:$P$5,4,FALSE)</f>
        <v>0.99970000000000003</v>
      </c>
      <c r="BF1115" s="30">
        <f>VLOOKUP(Inventory[[#This Row],[Qlty]],Lookups!$M$8:$P$22,4,FALSE)</f>
        <v>1.0022</v>
      </c>
      <c r="BG1115" s="30">
        <f>VLOOKUP(Inventory[[#This Row],[Cnd]],Lookups!$R$8:$U$17,4,FALSE)</f>
        <v>0.99680000000000002</v>
      </c>
      <c r="BH1115" s="30">
        <f>VLOOKUP(Inventory[[#This Row],[LivArea Range]],Lookups!$R$25:$U$43,4,FALSE)</f>
        <v>0.99519999999999997</v>
      </c>
      <c r="BI1115" s="30">
        <f>VLOOKUP(Inventory[[#This Row],[Decade]],Lookups!$M$24:$P$40,4,FALSE)</f>
        <v>0.95920000000000005</v>
      </c>
      <c r="BJ1115" s="30">
        <f>Inventory[[#This Row],[Nbhd Adj]]*0.95</f>
        <v>0.94971499999999998</v>
      </c>
      <c r="BK1115" s="30">
        <f>AVERAGE(Inventory[[#This Row],[Nbhd Adj]],Inventory[[#This Row],[Quality Adj]],Inventory[[#This Row],[Condition Adj]],Inventory[[#This Row],[Living Area Adj]],Inventory[[#This Row],[Decade Adj]])*0.95</f>
        <v>0.94108900000000006</v>
      </c>
      <c r="BL1115" s="30">
        <f>ROUND((SUM(Inventory[[#This Row],[Mdl Qlty]:[Mdl Garage Area]])+Inventory[[#This Row],[Mdl Res Intercept]])*Inventory[[#This Row],[Res Adj ]],-2)</f>
        <v>216400</v>
      </c>
      <c r="BM1115" s="30">
        <f>ROUND(Inventory[[#This Row],[25Det]]*Inventory[[#This Row],[Det/Nbhd Adj]],-2)</f>
        <v>0</v>
      </c>
      <c r="BN1115" s="30">
        <f>Inventory[[#This Row],[Adjusted Res]]+Inventory[[#This Row],[Adj Det ]]</f>
        <v>216400</v>
      </c>
      <c r="BO1115" s="30">
        <f>ROUND((Inventory[[#This Row],[Mdl Land Intercept]]+Inventory[[#This Row],[Mdl LnAcres]])*Inventory[[#This Row],[Det/Nbhd Adj]],-2)</f>
        <v>62500</v>
      </c>
      <c r="BP1115" s="30">
        <f>Inventory[[#This Row],[Adjusted Impr Total]]+Inventory[[#This Row],[Adjusted Land Total]]</f>
        <v>278900</v>
      </c>
      <c r="BQ1115" s="30">
        <f>IFERROR((Inventory[[#This Row],[Adjusted Impr Total]]-Inventory[[#This Row],[24Bldg]])/Inventory[[#This Row],[24Bldg]],0)</f>
        <v>7.3945409429280393E-2</v>
      </c>
      <c r="BR1115" s="43">
        <f>(Inventory[[#This Row],[Adjusted Land Total]]-Inventory[[#This Row],[24Lnd]])/Inventory[[#This Row],[24Lnd]]</f>
        <v>0</v>
      </c>
      <c r="BS1115" s="43">
        <f>(Inventory[[#This Row],[Adjusted Total]]-Inventory[[#This Row],[24Final]])/Inventory[[#This Row],[24Final]]</f>
        <v>5.6439393939393942E-2</v>
      </c>
    </row>
    <row r="1116" spans="1:71">
      <c r="A1116" s="30">
        <v>2025</v>
      </c>
      <c r="B1116" s="31" t="s">
        <v>1631</v>
      </c>
      <c r="C1116" s="31">
        <f>LN(Inventory[[#This Row],[Acres]])</f>
        <v>-0.9942522733438669</v>
      </c>
      <c r="D1116" s="30">
        <v>0.37</v>
      </c>
      <c r="E1116" s="30">
        <v>15936</v>
      </c>
      <c r="F1116" s="31" t="s">
        <v>505</v>
      </c>
      <c r="G1116" s="31" t="s">
        <v>155</v>
      </c>
      <c r="H1116" s="31" t="s">
        <v>5</v>
      </c>
      <c r="I1116" s="31" t="s">
        <v>506</v>
      </c>
      <c r="J1116" s="31" t="s">
        <v>507</v>
      </c>
      <c r="K1116" s="31" t="s">
        <v>193</v>
      </c>
      <c r="L1116" s="31" t="s">
        <v>19</v>
      </c>
      <c r="M1116" s="31" t="s">
        <v>20</v>
      </c>
      <c r="N1116" s="31">
        <v>40</v>
      </c>
      <c r="O1116" s="31">
        <f>2024-Inventory[[#This Row],[YrBlt]]</f>
        <v>44</v>
      </c>
      <c r="P1116" s="31">
        <f>2024-Inventory[[#This Row],[EffYr]]</f>
        <v>44</v>
      </c>
      <c r="Q1116" s="30">
        <v>1980</v>
      </c>
      <c r="R1116" s="30">
        <v>1980</v>
      </c>
      <c r="S1116" s="30">
        <v>1898</v>
      </c>
      <c r="T1116" s="32"/>
      <c r="U1116" s="32"/>
      <c r="V1116" s="32"/>
      <c r="W1116" s="32"/>
      <c r="X1116" s="32">
        <f>Inventory[[#This Row],[Bsmt Area]]-Inventory[[#This Row],[FnBsmt]]</f>
        <v>0</v>
      </c>
      <c r="Y1116" s="32">
        <f>Inventory[[#This Row],[MainFn]]+Inventory[[#This Row],[UpprFn]]+Inventory[[#This Row],[AddFn]]+Inventory[[#This Row],[FnBsmt]]</f>
        <v>1898</v>
      </c>
      <c r="Z1116" s="32">
        <v>2000</v>
      </c>
      <c r="AA1116" s="31" t="s">
        <v>55</v>
      </c>
      <c r="AB1116" s="32"/>
      <c r="AC1116" s="37"/>
      <c r="AD1116" s="32"/>
      <c r="AE1116" s="32"/>
      <c r="AF1116" s="32"/>
      <c r="AG1116" s="32"/>
      <c r="AH1116" s="32"/>
      <c r="AI1116" s="30">
        <v>342966</v>
      </c>
      <c r="AJ1116" s="30">
        <v>270943</v>
      </c>
      <c r="AK1116" s="30">
        <v>82558</v>
      </c>
      <c r="AL1116" s="30">
        <v>0</v>
      </c>
      <c r="AM1116" s="30">
        <v>72600</v>
      </c>
      <c r="AN1116" s="30">
        <v>341100</v>
      </c>
      <c r="AO1116" s="30">
        <v>413700</v>
      </c>
      <c r="AP1116" s="30">
        <f>Lookups!$B$58*0.6</f>
        <v>132535.48800000001</v>
      </c>
      <c r="AQ1116" s="30">
        <f>Lookups!$B$58*0.4</f>
        <v>88356.992000000013</v>
      </c>
      <c r="AR1116" s="30">
        <f>Lookups!$B$59*Inventory[[#This Row],[LnAcres]]</f>
        <v>-13048.885990344652</v>
      </c>
      <c r="AS1116" s="30">
        <f>VLOOKUP(Inventory[[#This Row],[Qlty]],Lookups!$A$66:$E$79,2,FALSE)</f>
        <v>37154.252388000001</v>
      </c>
      <c r="AT1116" s="30">
        <f>VLOOKUP(Inventory[[#This Row],[Cnd]],Lookups!$A$80:$E$88,2,FALSE)</f>
        <v>30300.329274</v>
      </c>
      <c r="AU1116" s="30">
        <f>Inventory[[#This Row],[EffAge]]*Lookups!$B$65</f>
        <v>-4784.6084000000001</v>
      </c>
      <c r="AV1116" s="30">
        <f>Inventory[[#This Row],[MainFn]]*Lookups!$B$90</f>
        <v>118454.90124000001</v>
      </c>
      <c r="AW1116" s="30">
        <f>Inventory[[#This Row],[UpprFn]]*Lookups!$B$91</f>
        <v>0</v>
      </c>
      <c r="AX1116" s="30">
        <f>Inventory[[#This Row],[Bsmt Area]]*Lookups!$B$95</f>
        <v>0</v>
      </c>
      <c r="AY1116" s="30">
        <f>Inventory[[#This Row],[AttGar]]*Lookups!$B$93</f>
        <v>0</v>
      </c>
      <c r="AZ1116" s="30">
        <f>ROUND(Inventory[[#This Row],[25Det]],-2)</f>
        <v>82600</v>
      </c>
      <c r="BA1116" s="30">
        <f>ROUND(SUM(Inventory[[#This Row],[Mdl Qlty]:[Mdl Garage Area]])+Inventory[[#This Row],[Mdl Res Intercept]],-2)</f>
        <v>313700</v>
      </c>
      <c r="BB1116" s="30">
        <f>ROUND(Inventory[[#This Row],[Mdl Land Intercept]]+Inventory[[#This Row],[Mdl LnAcres]],-2)</f>
        <v>75300</v>
      </c>
      <c r="BC1116" s="30">
        <f>Inventory[[#This Row],[Unadj Res Value]]+Inventory[[#This Row],[Unadj Det Value]]+Inventory[[#This Row],[Unadj Land Value]]</f>
        <v>471600</v>
      </c>
      <c r="BD1116" s="30">
        <f>(Inventory[[#This Row],[Unadj Total Value]]-Inventory[[#This Row],[24Final]])/Inventory[[#This Row],[24Final]]</f>
        <v>0.13995649021029732</v>
      </c>
      <c r="BE1116" s="30">
        <f>VLOOKUP(Inventory[[#This Row],[Nbhd]],Lookups!$M$3:$P$5,4,FALSE)</f>
        <v>0.99970000000000003</v>
      </c>
      <c r="BF1116" s="30">
        <f>VLOOKUP(Inventory[[#This Row],[Qlty]],Lookups!$M$8:$P$22,4,FALSE)</f>
        <v>0.99819999999999998</v>
      </c>
      <c r="BG1116" s="30">
        <f>VLOOKUP(Inventory[[#This Row],[Cnd]],Lookups!$R$8:$U$17,4,FALSE)</f>
        <v>0.997</v>
      </c>
      <c r="BH1116" s="30">
        <f>VLOOKUP(Inventory[[#This Row],[LivArea Range]],Lookups!$R$25:$U$43,4,FALSE)</f>
        <v>1.0007999999999999</v>
      </c>
      <c r="BI1116" s="30">
        <f>VLOOKUP(Inventory[[#This Row],[Decade]],Lookups!$M$24:$P$40,4,FALSE)</f>
        <v>0.95920000000000005</v>
      </c>
      <c r="BJ1116" s="30">
        <f>Inventory[[#This Row],[Nbhd Adj]]*0.95</f>
        <v>0.94971499999999998</v>
      </c>
      <c r="BK1116" s="30">
        <f>AVERAGE(Inventory[[#This Row],[Nbhd Adj]],Inventory[[#This Row],[Quality Adj]],Inventory[[#This Row],[Condition Adj]],Inventory[[#This Row],[Living Area Adj]],Inventory[[#This Row],[Decade Adj]])*0.95</f>
        <v>0.94143100000000002</v>
      </c>
      <c r="BL1116" s="30">
        <f>ROUND((SUM(Inventory[[#This Row],[Mdl Qlty]:[Mdl Garage Area]])+Inventory[[#This Row],[Mdl Res Intercept]])*Inventory[[#This Row],[Res Adj ]],-2)</f>
        <v>295300</v>
      </c>
      <c r="BM1116" s="30">
        <f>ROUND(Inventory[[#This Row],[25Det]]*Inventory[[#This Row],[Det/Nbhd Adj]],-2)</f>
        <v>78400</v>
      </c>
      <c r="BN1116" s="30">
        <f>Inventory[[#This Row],[Adjusted Res]]+Inventory[[#This Row],[Adj Det ]]</f>
        <v>373700</v>
      </c>
      <c r="BO1116" s="30">
        <f>ROUND((Inventory[[#This Row],[Mdl Land Intercept]]+Inventory[[#This Row],[Mdl LnAcres]])*Inventory[[#This Row],[Det/Nbhd Adj]],-2)</f>
        <v>71500</v>
      </c>
      <c r="BP1116" s="30">
        <f>Inventory[[#This Row],[Adjusted Impr Total]]+Inventory[[#This Row],[Adjusted Land Total]]</f>
        <v>445200</v>
      </c>
      <c r="BQ1116" s="30">
        <f>IFERROR((Inventory[[#This Row],[Adjusted Impr Total]]-Inventory[[#This Row],[24Bldg]])/Inventory[[#This Row],[24Bldg]],0)</f>
        <v>9.5573145705071832E-2</v>
      </c>
      <c r="BR1116" s="43">
        <f>(Inventory[[#This Row],[Adjusted Land Total]]-Inventory[[#This Row],[24Lnd]])/Inventory[[#This Row],[24Lnd]]</f>
        <v>-1.5151515151515152E-2</v>
      </c>
      <c r="BS1116" s="43">
        <f>(Inventory[[#This Row],[Adjusted Total]]-Inventory[[#This Row],[24Final]])/Inventory[[#This Row],[24Final]]</f>
        <v>7.6142131979695438E-2</v>
      </c>
    </row>
    <row r="1117" spans="1:71">
      <c r="A1117" s="30">
        <v>2025</v>
      </c>
      <c r="B1117" s="31" t="s">
        <v>1632</v>
      </c>
      <c r="C1117" s="31">
        <f>LN(Inventory[[#This Row],[Acres]])</f>
        <v>1.2119409739751128</v>
      </c>
      <c r="D1117" s="30">
        <v>3.36</v>
      </c>
      <c r="E1117" s="30">
        <v>146332</v>
      </c>
      <c r="F1117" s="31" t="s">
        <v>505</v>
      </c>
      <c r="G1117" s="31" t="s">
        <v>155</v>
      </c>
      <c r="H1117" s="31" t="s">
        <v>5</v>
      </c>
      <c r="I1117" s="31" t="s">
        <v>506</v>
      </c>
      <c r="J1117" s="31" t="s">
        <v>1633</v>
      </c>
      <c r="K1117" s="31" t="s">
        <v>193</v>
      </c>
      <c r="L1117" s="31" t="s">
        <v>17</v>
      </c>
      <c r="M1117" s="31" t="s">
        <v>20</v>
      </c>
      <c r="N1117" s="31">
        <v>40</v>
      </c>
      <c r="O1117" s="31">
        <f>2024-Inventory[[#This Row],[YrBlt]]</f>
        <v>44</v>
      </c>
      <c r="P1117" s="31">
        <f>2024-Inventory[[#This Row],[EffYr]]</f>
        <v>44</v>
      </c>
      <c r="Q1117" s="30">
        <v>1980</v>
      </c>
      <c r="R1117" s="30">
        <v>1980</v>
      </c>
      <c r="S1117" s="30">
        <v>1276</v>
      </c>
      <c r="T1117" s="37"/>
      <c r="U1117" s="32"/>
      <c r="V1117" s="32"/>
      <c r="W1117" s="32"/>
      <c r="X1117" s="32">
        <f>Inventory[[#This Row],[Bsmt Area]]-Inventory[[#This Row],[FnBsmt]]</f>
        <v>0</v>
      </c>
      <c r="Y1117" s="32">
        <f>Inventory[[#This Row],[MainFn]]+Inventory[[#This Row],[UpprFn]]+Inventory[[#This Row],[AddFn]]+Inventory[[#This Row],[FnBsmt]]</f>
        <v>1276</v>
      </c>
      <c r="Z1117" s="32">
        <v>1500</v>
      </c>
      <c r="AA1117" s="31" t="s">
        <v>56</v>
      </c>
      <c r="AB1117" s="37"/>
      <c r="AC1117" s="37"/>
      <c r="AD1117" s="32"/>
      <c r="AE1117" s="32"/>
      <c r="AF1117" s="32"/>
      <c r="AG1117" s="32"/>
      <c r="AH1117" s="32"/>
      <c r="AI1117" s="30">
        <v>216754</v>
      </c>
      <c r="AJ1117" s="30">
        <v>171236</v>
      </c>
      <c r="AK1117" s="30">
        <v>32522</v>
      </c>
      <c r="AL1117" s="30">
        <v>0</v>
      </c>
      <c r="AM1117" s="30">
        <v>103500</v>
      </c>
      <c r="AN1117" s="30">
        <v>255300</v>
      </c>
      <c r="AO1117" s="30">
        <v>358800</v>
      </c>
      <c r="AP1117" s="30">
        <f>Lookups!$B$58*0.6</f>
        <v>132535.48800000001</v>
      </c>
      <c r="AQ1117" s="30">
        <f>Lookups!$B$58*0.4</f>
        <v>88356.992000000013</v>
      </c>
      <c r="AR1117" s="30">
        <f>Lookups!$B$59*Inventory[[#This Row],[LnAcres]]</f>
        <v>15905.902375502026</v>
      </c>
      <c r="AS1117" s="30">
        <f>VLOOKUP(Inventory[[#This Row],[Qlty]],Lookups!$A$66:$E$79,2,FALSE)</f>
        <v>24371.765965999999</v>
      </c>
      <c r="AT1117" s="30">
        <f>VLOOKUP(Inventory[[#This Row],[Cnd]],Lookups!$A$80:$E$88,2,FALSE)</f>
        <v>30300.329274</v>
      </c>
      <c r="AU1117" s="30">
        <f>Inventory[[#This Row],[EffAge]]*Lookups!$B$65</f>
        <v>-4784.6084000000001</v>
      </c>
      <c r="AV1117" s="30">
        <f>Inventory[[#This Row],[MainFn]]*Lookups!$B$90</f>
        <v>79635.644880000007</v>
      </c>
      <c r="AW1117" s="30">
        <f>Inventory[[#This Row],[UpprFn]]*Lookups!$B$91</f>
        <v>0</v>
      </c>
      <c r="AX1117" s="30">
        <f>Inventory[[#This Row],[Bsmt Area]]*Lookups!$B$95</f>
        <v>0</v>
      </c>
      <c r="AY1117" s="30">
        <f>Inventory[[#This Row],[AttGar]]*Lookups!$B$93</f>
        <v>0</v>
      </c>
      <c r="AZ1117" s="30">
        <f>ROUND(Inventory[[#This Row],[25Det]],-2)</f>
        <v>32500</v>
      </c>
      <c r="BA1117" s="30">
        <f>ROUND(SUM(Inventory[[#This Row],[Mdl Qlty]:[Mdl Garage Area]])+Inventory[[#This Row],[Mdl Res Intercept]],-2)</f>
        <v>262100</v>
      </c>
      <c r="BB1117" s="30">
        <f>ROUND(Inventory[[#This Row],[Mdl Land Intercept]]+Inventory[[#This Row],[Mdl LnAcres]],-2)</f>
        <v>104300</v>
      </c>
      <c r="BC1117" s="30">
        <f>Inventory[[#This Row],[Unadj Res Value]]+Inventory[[#This Row],[Unadj Det Value]]+Inventory[[#This Row],[Unadj Land Value]]</f>
        <v>398900</v>
      </c>
      <c r="BD1117" s="30">
        <f>(Inventory[[#This Row],[Unadj Total Value]]-Inventory[[#This Row],[24Final]])/Inventory[[#This Row],[24Final]]</f>
        <v>0.11176142697881829</v>
      </c>
      <c r="BE1117" s="30">
        <f>VLOOKUP(Inventory[[#This Row],[Nbhd]],Lookups!$M$3:$P$5,4,FALSE)</f>
        <v>0.99970000000000003</v>
      </c>
      <c r="BF1117" s="30">
        <f>VLOOKUP(Inventory[[#This Row],[Qlty]],Lookups!$M$8:$P$22,4,FALSE)</f>
        <v>0.99199999999999999</v>
      </c>
      <c r="BG1117" s="30">
        <f>VLOOKUP(Inventory[[#This Row],[Cnd]],Lookups!$R$8:$U$17,4,FALSE)</f>
        <v>0.997</v>
      </c>
      <c r="BH1117" s="30">
        <f>VLOOKUP(Inventory[[#This Row],[LivArea Range]],Lookups!$R$25:$U$43,4,FALSE)</f>
        <v>0.99519999999999997</v>
      </c>
      <c r="BI1117" s="30">
        <f>VLOOKUP(Inventory[[#This Row],[Decade]],Lookups!$M$24:$P$40,4,FALSE)</f>
        <v>0.95920000000000005</v>
      </c>
      <c r="BJ1117" s="30">
        <f>Inventory[[#This Row],[Nbhd Adj]]*0.95</f>
        <v>0.94971499999999998</v>
      </c>
      <c r="BK1117" s="30">
        <f>AVERAGE(Inventory[[#This Row],[Nbhd Adj]],Inventory[[#This Row],[Quality Adj]],Inventory[[#This Row],[Condition Adj]],Inventory[[#This Row],[Living Area Adj]],Inventory[[#This Row],[Decade Adj]])*0.95</f>
        <v>0.93918900000000005</v>
      </c>
      <c r="BL1117" s="30">
        <f>ROUND((SUM(Inventory[[#This Row],[Mdl Qlty]:[Mdl Garage Area]])+Inventory[[#This Row],[Mdl Res Intercept]])*Inventory[[#This Row],[Res Adj ]],-2)</f>
        <v>246100</v>
      </c>
      <c r="BM1117" s="30">
        <f>ROUND(Inventory[[#This Row],[25Det]]*Inventory[[#This Row],[Det/Nbhd Adj]],-2)</f>
        <v>30900</v>
      </c>
      <c r="BN1117" s="30">
        <f>Inventory[[#This Row],[Adjusted Res]]+Inventory[[#This Row],[Adj Det ]]</f>
        <v>277000</v>
      </c>
      <c r="BO1117" s="30">
        <f>ROUND((Inventory[[#This Row],[Mdl Land Intercept]]+Inventory[[#This Row],[Mdl LnAcres]])*Inventory[[#This Row],[Det/Nbhd Adj]],-2)</f>
        <v>99000</v>
      </c>
      <c r="BP1117" s="30">
        <f>Inventory[[#This Row],[Adjusted Impr Total]]+Inventory[[#This Row],[Adjusted Land Total]]</f>
        <v>376000</v>
      </c>
      <c r="BQ1117" s="30">
        <f>IFERROR((Inventory[[#This Row],[Adjusted Impr Total]]-Inventory[[#This Row],[24Bldg]])/Inventory[[#This Row],[24Bldg]],0)</f>
        <v>8.4998041519780645E-2</v>
      </c>
      <c r="BR1117" s="43">
        <f>(Inventory[[#This Row],[Adjusted Land Total]]-Inventory[[#This Row],[24Lnd]])/Inventory[[#This Row],[24Lnd]]</f>
        <v>-4.3478260869565216E-2</v>
      </c>
      <c r="BS1117" s="43">
        <f>(Inventory[[#This Row],[Adjusted Total]]-Inventory[[#This Row],[24Final]])/Inventory[[#This Row],[24Final]]</f>
        <v>4.7937569676700112E-2</v>
      </c>
    </row>
    <row r="1118" spans="1:71">
      <c r="A1118" s="30">
        <v>2025</v>
      </c>
      <c r="B1118" s="31" t="s">
        <v>1634</v>
      </c>
      <c r="C1118" s="31">
        <f>LN(Inventory[[#This Row],[Acres]])</f>
        <v>-1.7147984280919266</v>
      </c>
      <c r="D1118" s="30">
        <v>0.18</v>
      </c>
      <c r="E1118" s="30">
        <v>7971</v>
      </c>
      <c r="F1118" s="31" t="s">
        <v>505</v>
      </c>
      <c r="G1118" s="31" t="s">
        <v>155</v>
      </c>
      <c r="H1118" s="31" t="s">
        <v>5</v>
      </c>
      <c r="I1118" s="31" t="s">
        <v>506</v>
      </c>
      <c r="J1118" s="31" t="s">
        <v>507</v>
      </c>
      <c r="K1118" s="31" t="s">
        <v>193</v>
      </c>
      <c r="L1118" s="31" t="s">
        <v>19</v>
      </c>
      <c r="M1118" s="31" t="s">
        <v>18</v>
      </c>
      <c r="N1118" s="31">
        <v>40</v>
      </c>
      <c r="O1118" s="31">
        <f>2024-Inventory[[#This Row],[YrBlt]]</f>
        <v>45</v>
      </c>
      <c r="P1118" s="31">
        <f>2024-Inventory[[#This Row],[EffYr]]</f>
        <v>44</v>
      </c>
      <c r="Q1118" s="30">
        <v>1979</v>
      </c>
      <c r="R1118" s="30">
        <v>1980</v>
      </c>
      <c r="S1118" s="30">
        <v>1490</v>
      </c>
      <c r="T1118" s="32"/>
      <c r="U1118" s="32"/>
      <c r="V1118" s="32"/>
      <c r="W1118" s="32"/>
      <c r="X1118" s="32">
        <f>Inventory[[#This Row],[Bsmt Area]]-Inventory[[#This Row],[FnBsmt]]</f>
        <v>0</v>
      </c>
      <c r="Y1118" s="32">
        <f>Inventory[[#This Row],[MainFn]]+Inventory[[#This Row],[UpprFn]]+Inventory[[#This Row],[AddFn]]+Inventory[[#This Row],[FnBsmt]]</f>
        <v>1490</v>
      </c>
      <c r="Z1118" s="32">
        <v>1500</v>
      </c>
      <c r="AA1118" s="31" t="s">
        <v>55</v>
      </c>
      <c r="AB1118" s="32"/>
      <c r="AC1118" s="30">
        <v>528</v>
      </c>
      <c r="AD1118" s="32"/>
      <c r="AE1118" s="32"/>
      <c r="AF1118" s="32"/>
      <c r="AG1118" s="32"/>
      <c r="AH1118" s="32"/>
      <c r="AI1118" s="30">
        <v>308162</v>
      </c>
      <c r="AJ1118" s="30">
        <v>240366</v>
      </c>
      <c r="AK1118" s="30">
        <v>0</v>
      </c>
      <c r="AL1118" s="30">
        <v>0</v>
      </c>
      <c r="AM1118" s="30">
        <v>62500</v>
      </c>
      <c r="AN1118" s="30">
        <v>259100</v>
      </c>
      <c r="AO1118" s="30">
        <v>321600</v>
      </c>
      <c r="AP1118" s="30">
        <f>Lookups!$B$58*0.6</f>
        <v>132535.48800000001</v>
      </c>
      <c r="AQ1118" s="30">
        <f>Lookups!$B$58*0.4</f>
        <v>88356.992000000013</v>
      </c>
      <c r="AR1118" s="30">
        <f>Lookups!$B$59*Inventory[[#This Row],[LnAcres]]</f>
        <v>-22505.565020573864</v>
      </c>
      <c r="AS1118" s="30">
        <f>VLOOKUP(Inventory[[#This Row],[Qlty]],Lookups!$A$66:$E$79,2,FALSE)</f>
        <v>37154.252388000001</v>
      </c>
      <c r="AT1118" s="30">
        <f>VLOOKUP(Inventory[[#This Row],[Cnd]],Lookups!$A$80:$E$88,2,FALSE)</f>
        <v>17761.121909000001</v>
      </c>
      <c r="AU1118" s="30">
        <f>Inventory[[#This Row],[EffAge]]*Lookups!$B$65</f>
        <v>-4784.6084000000001</v>
      </c>
      <c r="AV1118" s="30">
        <f>Inventory[[#This Row],[MainFn]]*Lookups!$B$90</f>
        <v>92991.46620000001</v>
      </c>
      <c r="AW1118" s="30">
        <f>Inventory[[#This Row],[UpprFn]]*Lookups!$B$91</f>
        <v>0</v>
      </c>
      <c r="AX1118" s="30">
        <f>Inventory[[#This Row],[Bsmt Area]]*Lookups!$B$95</f>
        <v>0</v>
      </c>
      <c r="AY1118" s="30">
        <f>Inventory[[#This Row],[AttGar]]*Lookups!$B$93</f>
        <v>18638.944368</v>
      </c>
      <c r="AZ1118" s="30">
        <f>ROUND(Inventory[[#This Row],[25Det]],-2)</f>
        <v>0</v>
      </c>
      <c r="BA1118" s="30">
        <f>ROUND(SUM(Inventory[[#This Row],[Mdl Qlty]:[Mdl Garage Area]])+Inventory[[#This Row],[Mdl Res Intercept]],-2)</f>
        <v>294300</v>
      </c>
      <c r="BB1118" s="30">
        <f>ROUND(Inventory[[#This Row],[Mdl Land Intercept]]+Inventory[[#This Row],[Mdl LnAcres]],-2)</f>
        <v>65900</v>
      </c>
      <c r="BC1118" s="30">
        <f>Inventory[[#This Row],[Unadj Res Value]]+Inventory[[#This Row],[Unadj Det Value]]+Inventory[[#This Row],[Unadj Land Value]]</f>
        <v>360200</v>
      </c>
      <c r="BD1118" s="30">
        <f>(Inventory[[#This Row],[Unadj Total Value]]-Inventory[[#This Row],[24Final]])/Inventory[[#This Row],[24Final]]</f>
        <v>0.12002487562189054</v>
      </c>
      <c r="BE1118" s="30">
        <f>VLOOKUP(Inventory[[#This Row],[Nbhd]],Lookups!$M$3:$P$5,4,FALSE)</f>
        <v>0.99970000000000003</v>
      </c>
      <c r="BF1118" s="30">
        <f>VLOOKUP(Inventory[[#This Row],[Qlty]],Lookups!$M$8:$P$22,4,FALSE)</f>
        <v>0.99819999999999998</v>
      </c>
      <c r="BG1118" s="30">
        <f>VLOOKUP(Inventory[[#This Row],[Cnd]],Lookups!$R$8:$U$17,4,FALSE)</f>
        <v>0.99680000000000002</v>
      </c>
      <c r="BH1118" s="30">
        <f>VLOOKUP(Inventory[[#This Row],[LivArea Range]],Lookups!$R$25:$U$43,4,FALSE)</f>
        <v>0.99519999999999997</v>
      </c>
      <c r="BI1118" s="30">
        <f>VLOOKUP(Inventory[[#This Row],[Decade]],Lookups!$M$24:$P$40,4,FALSE)</f>
        <v>0.95920000000000005</v>
      </c>
      <c r="BJ1118" s="30">
        <f>Inventory[[#This Row],[Nbhd Adj]]*0.95</f>
        <v>0.94971499999999998</v>
      </c>
      <c r="BK1118" s="30">
        <f>AVERAGE(Inventory[[#This Row],[Nbhd Adj]],Inventory[[#This Row],[Quality Adj]],Inventory[[#This Row],[Condition Adj]],Inventory[[#This Row],[Living Area Adj]],Inventory[[#This Row],[Decade Adj]])*0.95</f>
        <v>0.94032899999999986</v>
      </c>
      <c r="BL1118" s="30">
        <f>ROUND((SUM(Inventory[[#This Row],[Mdl Qlty]:[Mdl Garage Area]])+Inventory[[#This Row],[Mdl Res Intercept]])*Inventory[[#This Row],[Res Adj ]],-2)</f>
        <v>276700</v>
      </c>
      <c r="BM1118" s="30">
        <f>ROUND(Inventory[[#This Row],[25Det]]*Inventory[[#This Row],[Det/Nbhd Adj]],-2)</f>
        <v>0</v>
      </c>
      <c r="BN1118" s="30">
        <f>Inventory[[#This Row],[Adjusted Res]]+Inventory[[#This Row],[Adj Det ]]</f>
        <v>276700</v>
      </c>
      <c r="BO1118" s="30">
        <f>ROUND((Inventory[[#This Row],[Mdl Land Intercept]]+Inventory[[#This Row],[Mdl LnAcres]])*Inventory[[#This Row],[Det/Nbhd Adj]],-2)</f>
        <v>62500</v>
      </c>
      <c r="BP1118" s="30">
        <f>Inventory[[#This Row],[Adjusted Impr Total]]+Inventory[[#This Row],[Adjusted Land Total]]</f>
        <v>339200</v>
      </c>
      <c r="BQ1118" s="30">
        <f>IFERROR((Inventory[[#This Row],[Adjusted Impr Total]]-Inventory[[#This Row],[24Bldg]])/Inventory[[#This Row],[24Bldg]],0)</f>
        <v>6.7927441142416056E-2</v>
      </c>
      <c r="BR1118" s="43">
        <f>(Inventory[[#This Row],[Adjusted Land Total]]-Inventory[[#This Row],[24Lnd]])/Inventory[[#This Row],[24Lnd]]</f>
        <v>0</v>
      </c>
      <c r="BS1118" s="43">
        <f>(Inventory[[#This Row],[Adjusted Total]]-Inventory[[#This Row],[24Final]])/Inventory[[#This Row],[24Final]]</f>
        <v>5.4726368159203981E-2</v>
      </c>
    </row>
    <row r="1119" spans="1:71">
      <c r="A1119" s="30">
        <v>2025</v>
      </c>
      <c r="B1119" s="31" t="s">
        <v>1635</v>
      </c>
      <c r="C1119" s="31">
        <f>LN(Inventory[[#This Row],[Acres]])</f>
        <v>-1.5141277326297755</v>
      </c>
      <c r="D1119" s="30">
        <v>0.22</v>
      </c>
      <c r="E1119" s="30">
        <v>9781</v>
      </c>
      <c r="F1119" s="31" t="s">
        <v>505</v>
      </c>
      <c r="G1119" s="31" t="s">
        <v>155</v>
      </c>
      <c r="H1119" s="31" t="s">
        <v>5</v>
      </c>
      <c r="I1119" s="31" t="s">
        <v>506</v>
      </c>
      <c r="J1119" s="31" t="s">
        <v>507</v>
      </c>
      <c r="K1119" s="31" t="s">
        <v>193</v>
      </c>
      <c r="L1119" s="31" t="s">
        <v>19</v>
      </c>
      <c r="M1119" s="31" t="s">
        <v>20</v>
      </c>
      <c r="N1119" s="31">
        <v>40</v>
      </c>
      <c r="O1119" s="31">
        <f>2024-Inventory[[#This Row],[YrBlt]]</f>
        <v>45</v>
      </c>
      <c r="P1119" s="31">
        <f>2024-Inventory[[#This Row],[EffYr]]</f>
        <v>44</v>
      </c>
      <c r="Q1119" s="30">
        <v>1979</v>
      </c>
      <c r="R1119" s="30">
        <v>1980</v>
      </c>
      <c r="S1119" s="30">
        <v>1432</v>
      </c>
      <c r="T1119" s="32"/>
      <c r="U1119" s="32"/>
      <c r="V1119" s="32"/>
      <c r="W1119" s="32"/>
      <c r="X1119" s="32">
        <f>Inventory[[#This Row],[Bsmt Area]]-Inventory[[#This Row],[FnBsmt]]</f>
        <v>0</v>
      </c>
      <c r="Y1119" s="32">
        <f>Inventory[[#This Row],[MainFn]]+Inventory[[#This Row],[UpprFn]]+Inventory[[#This Row],[AddFn]]+Inventory[[#This Row],[FnBsmt]]</f>
        <v>1432</v>
      </c>
      <c r="Z1119" s="32">
        <v>1500</v>
      </c>
      <c r="AA1119" s="31" t="s">
        <v>55</v>
      </c>
      <c r="AB1119" s="32"/>
      <c r="AC1119" s="30">
        <v>528</v>
      </c>
      <c r="AD1119" s="32"/>
      <c r="AE1119" s="32"/>
      <c r="AF1119" s="32"/>
      <c r="AG1119" s="32"/>
      <c r="AH1119" s="32"/>
      <c r="AI1119" s="30">
        <v>296502</v>
      </c>
      <c r="AJ1119" s="30">
        <v>234237</v>
      </c>
      <c r="AK1119" s="30">
        <v>0</v>
      </c>
      <c r="AL1119" s="30">
        <v>0</v>
      </c>
      <c r="AM1119" s="30">
        <v>65300</v>
      </c>
      <c r="AN1119" s="30">
        <v>267700</v>
      </c>
      <c r="AO1119" s="30">
        <v>333000</v>
      </c>
      <c r="AP1119" s="30">
        <f>Lookups!$B$58*0.6</f>
        <v>132535.48800000001</v>
      </c>
      <c r="AQ1119" s="30">
        <f>Lookups!$B$58*0.4</f>
        <v>88356.992000000013</v>
      </c>
      <c r="AR1119" s="30">
        <f>Lookups!$B$59*Inventory[[#This Row],[LnAcres]]</f>
        <v>-19871.898398035348</v>
      </c>
      <c r="AS1119" s="30">
        <f>VLOOKUP(Inventory[[#This Row],[Qlty]],Lookups!$A$66:$E$79,2,FALSE)</f>
        <v>37154.252388000001</v>
      </c>
      <c r="AT1119" s="30">
        <f>VLOOKUP(Inventory[[#This Row],[Cnd]],Lookups!$A$80:$E$88,2,FALSE)</f>
        <v>30300.329274</v>
      </c>
      <c r="AU1119" s="30">
        <f>Inventory[[#This Row],[EffAge]]*Lookups!$B$65</f>
        <v>-4784.6084000000001</v>
      </c>
      <c r="AV1119" s="30">
        <f>Inventory[[#This Row],[MainFn]]*Lookups!$B$90</f>
        <v>89371.66416</v>
      </c>
      <c r="AW1119" s="30">
        <f>Inventory[[#This Row],[UpprFn]]*Lookups!$B$91</f>
        <v>0</v>
      </c>
      <c r="AX1119" s="30">
        <f>Inventory[[#This Row],[Bsmt Area]]*Lookups!$B$95</f>
        <v>0</v>
      </c>
      <c r="AY1119" s="30">
        <f>Inventory[[#This Row],[AttGar]]*Lookups!$B$93</f>
        <v>18638.944368</v>
      </c>
      <c r="AZ1119" s="30">
        <f>ROUND(Inventory[[#This Row],[25Det]],-2)</f>
        <v>0</v>
      </c>
      <c r="BA1119" s="30">
        <f>ROUND(SUM(Inventory[[#This Row],[Mdl Qlty]:[Mdl Garage Area]])+Inventory[[#This Row],[Mdl Res Intercept]],-2)</f>
        <v>303200</v>
      </c>
      <c r="BB1119" s="30">
        <f>ROUND(Inventory[[#This Row],[Mdl Land Intercept]]+Inventory[[#This Row],[Mdl LnAcres]],-2)</f>
        <v>68500</v>
      </c>
      <c r="BC1119" s="30">
        <f>Inventory[[#This Row],[Unadj Res Value]]+Inventory[[#This Row],[Unadj Det Value]]+Inventory[[#This Row],[Unadj Land Value]]</f>
        <v>371700</v>
      </c>
      <c r="BD1119" s="30">
        <f>(Inventory[[#This Row],[Unadj Total Value]]-Inventory[[#This Row],[24Final]])/Inventory[[#This Row],[24Final]]</f>
        <v>0.11621621621621622</v>
      </c>
      <c r="BE1119" s="30">
        <f>VLOOKUP(Inventory[[#This Row],[Nbhd]],Lookups!$M$3:$P$5,4,FALSE)</f>
        <v>0.99970000000000003</v>
      </c>
      <c r="BF1119" s="30">
        <f>VLOOKUP(Inventory[[#This Row],[Qlty]],Lookups!$M$8:$P$22,4,FALSE)</f>
        <v>0.99819999999999998</v>
      </c>
      <c r="BG1119" s="30">
        <f>VLOOKUP(Inventory[[#This Row],[Cnd]],Lookups!$R$8:$U$17,4,FALSE)</f>
        <v>0.997</v>
      </c>
      <c r="BH1119" s="30">
        <f>VLOOKUP(Inventory[[#This Row],[LivArea Range]],Lookups!$R$25:$U$43,4,FALSE)</f>
        <v>0.99519999999999997</v>
      </c>
      <c r="BI1119" s="30">
        <f>VLOOKUP(Inventory[[#This Row],[Decade]],Lookups!$M$24:$P$40,4,FALSE)</f>
        <v>0.95920000000000005</v>
      </c>
      <c r="BJ1119" s="30">
        <f>Inventory[[#This Row],[Nbhd Adj]]*0.95</f>
        <v>0.94971499999999998</v>
      </c>
      <c r="BK1119" s="30">
        <f>AVERAGE(Inventory[[#This Row],[Nbhd Adj]],Inventory[[#This Row],[Quality Adj]],Inventory[[#This Row],[Condition Adj]],Inventory[[#This Row],[Living Area Adj]],Inventory[[#This Row],[Decade Adj]])*0.95</f>
        <v>0.94036699999999995</v>
      </c>
      <c r="BL1119" s="30">
        <f>ROUND((SUM(Inventory[[#This Row],[Mdl Qlty]:[Mdl Garage Area]])+Inventory[[#This Row],[Mdl Res Intercept]])*Inventory[[#This Row],[Res Adj ]],-2)</f>
        <v>285100</v>
      </c>
      <c r="BM1119" s="30">
        <f>ROUND(Inventory[[#This Row],[25Det]]*Inventory[[#This Row],[Det/Nbhd Adj]],-2)</f>
        <v>0</v>
      </c>
      <c r="BN1119" s="30">
        <f>Inventory[[#This Row],[Adjusted Res]]+Inventory[[#This Row],[Adj Det ]]</f>
        <v>285100</v>
      </c>
      <c r="BO1119" s="30">
        <f>ROUND((Inventory[[#This Row],[Mdl Land Intercept]]+Inventory[[#This Row],[Mdl LnAcres]])*Inventory[[#This Row],[Det/Nbhd Adj]],-2)</f>
        <v>65000</v>
      </c>
      <c r="BP1119" s="30">
        <f>Inventory[[#This Row],[Adjusted Impr Total]]+Inventory[[#This Row],[Adjusted Land Total]]</f>
        <v>350100</v>
      </c>
      <c r="BQ1119" s="30">
        <f>IFERROR((Inventory[[#This Row],[Adjusted Impr Total]]-Inventory[[#This Row],[24Bldg]])/Inventory[[#This Row],[24Bldg]],0)</f>
        <v>6.4998132237579373E-2</v>
      </c>
      <c r="BR1119" s="43">
        <f>(Inventory[[#This Row],[Adjusted Land Total]]-Inventory[[#This Row],[24Lnd]])/Inventory[[#This Row],[24Lnd]]</f>
        <v>-4.5941807044410417E-3</v>
      </c>
      <c r="BS1119" s="43">
        <f>(Inventory[[#This Row],[Adjusted Total]]-Inventory[[#This Row],[24Final]])/Inventory[[#This Row],[24Final]]</f>
        <v>5.1351351351351354E-2</v>
      </c>
    </row>
    <row r="1120" spans="1:71">
      <c r="A1120" s="30">
        <v>2025</v>
      </c>
      <c r="B1120" s="31" t="s">
        <v>1636</v>
      </c>
      <c r="C1120" s="31">
        <f>LN(Inventory[[#This Row],[Acres]])</f>
        <v>-1.1711829815029451</v>
      </c>
      <c r="D1120" s="30">
        <v>0.31</v>
      </c>
      <c r="E1120" s="30">
        <v>13412</v>
      </c>
      <c r="F1120" s="31" t="s">
        <v>505</v>
      </c>
      <c r="G1120" s="31" t="s">
        <v>155</v>
      </c>
      <c r="H1120" s="31" t="s">
        <v>5</v>
      </c>
      <c r="I1120" s="31" t="s">
        <v>506</v>
      </c>
      <c r="J1120" s="31" t="s">
        <v>507</v>
      </c>
      <c r="K1120" s="31" t="s">
        <v>193</v>
      </c>
      <c r="L1120" s="31" t="s">
        <v>17</v>
      </c>
      <c r="M1120" s="31" t="s">
        <v>20</v>
      </c>
      <c r="N1120" s="31">
        <v>40</v>
      </c>
      <c r="O1120" s="31">
        <f>2024-Inventory[[#This Row],[YrBlt]]</f>
        <v>45</v>
      </c>
      <c r="P1120" s="31">
        <f>2024-Inventory[[#This Row],[EffYr]]</f>
        <v>44</v>
      </c>
      <c r="Q1120" s="30">
        <v>1979</v>
      </c>
      <c r="R1120" s="30">
        <v>1980</v>
      </c>
      <c r="S1120" s="30">
        <v>1693</v>
      </c>
      <c r="T1120" s="32"/>
      <c r="U1120" s="32"/>
      <c r="V1120" s="32"/>
      <c r="W1120" s="32"/>
      <c r="X1120" s="32">
        <f>Inventory[[#This Row],[Bsmt Area]]-Inventory[[#This Row],[FnBsmt]]</f>
        <v>0</v>
      </c>
      <c r="Y1120" s="32">
        <f>Inventory[[#This Row],[MainFn]]+Inventory[[#This Row],[UpprFn]]+Inventory[[#This Row],[AddFn]]+Inventory[[#This Row],[FnBsmt]]</f>
        <v>1693</v>
      </c>
      <c r="Z1120" s="32">
        <v>2000</v>
      </c>
      <c r="AA1120" s="31" t="s">
        <v>56</v>
      </c>
      <c r="AB1120" s="32"/>
      <c r="AC1120" s="30">
        <v>308</v>
      </c>
      <c r="AD1120" s="32"/>
      <c r="AE1120" s="32"/>
      <c r="AF1120" s="32"/>
      <c r="AG1120" s="32"/>
      <c r="AH1120" s="32"/>
      <c r="AI1120" s="30">
        <v>289519</v>
      </c>
      <c r="AJ1120" s="30">
        <v>228720</v>
      </c>
      <c r="AK1120" s="30">
        <v>18491</v>
      </c>
      <c r="AL1120" s="30">
        <v>0</v>
      </c>
      <c r="AM1120" s="30">
        <v>70100</v>
      </c>
      <c r="AN1120" s="30">
        <v>273500</v>
      </c>
      <c r="AO1120" s="30">
        <v>343600</v>
      </c>
      <c r="AP1120" s="30">
        <f>Lookups!$B$58*0.6</f>
        <v>132535.48800000001</v>
      </c>
      <c r="AQ1120" s="30">
        <f>Lookups!$B$58*0.4</f>
        <v>88356.992000000013</v>
      </c>
      <c r="AR1120" s="30">
        <f>Lookups!$B$59*Inventory[[#This Row],[LnAcres]]</f>
        <v>-15370.981398981714</v>
      </c>
      <c r="AS1120" s="30">
        <f>VLOOKUP(Inventory[[#This Row],[Qlty]],Lookups!$A$66:$E$79,2,FALSE)</f>
        <v>24371.765965999999</v>
      </c>
      <c r="AT1120" s="30">
        <f>VLOOKUP(Inventory[[#This Row],[Cnd]],Lookups!$A$80:$E$88,2,FALSE)</f>
        <v>30300.329274</v>
      </c>
      <c r="AU1120" s="30">
        <f>Inventory[[#This Row],[EffAge]]*Lookups!$B$65</f>
        <v>-4784.6084000000001</v>
      </c>
      <c r="AV1120" s="30">
        <f>Inventory[[#This Row],[MainFn]]*Lookups!$B$90</f>
        <v>105660.77334</v>
      </c>
      <c r="AW1120" s="30">
        <f>Inventory[[#This Row],[UpprFn]]*Lookups!$B$91</f>
        <v>0</v>
      </c>
      <c r="AX1120" s="30">
        <f>Inventory[[#This Row],[Bsmt Area]]*Lookups!$B$95</f>
        <v>0</v>
      </c>
      <c r="AY1120" s="30">
        <f>Inventory[[#This Row],[AttGar]]*Lookups!$B$93</f>
        <v>10872.717548000001</v>
      </c>
      <c r="AZ1120" s="30">
        <f>ROUND(Inventory[[#This Row],[25Det]],-2)</f>
        <v>18500</v>
      </c>
      <c r="BA1120" s="30">
        <f>ROUND(SUM(Inventory[[#This Row],[Mdl Qlty]:[Mdl Garage Area]])+Inventory[[#This Row],[Mdl Res Intercept]],-2)</f>
        <v>299000</v>
      </c>
      <c r="BB1120" s="30">
        <f>ROUND(Inventory[[#This Row],[Mdl Land Intercept]]+Inventory[[#This Row],[Mdl LnAcres]],-2)</f>
        <v>73000</v>
      </c>
      <c r="BC1120" s="30">
        <f>Inventory[[#This Row],[Unadj Res Value]]+Inventory[[#This Row],[Unadj Det Value]]+Inventory[[#This Row],[Unadj Land Value]]</f>
        <v>390500</v>
      </c>
      <c r="BD1120" s="30">
        <f>(Inventory[[#This Row],[Unadj Total Value]]-Inventory[[#This Row],[24Final]])/Inventory[[#This Row],[24Final]]</f>
        <v>0.13649592549476136</v>
      </c>
      <c r="BE1120" s="30">
        <f>VLOOKUP(Inventory[[#This Row],[Nbhd]],Lookups!$M$3:$P$5,4,FALSE)</f>
        <v>0.99970000000000003</v>
      </c>
      <c r="BF1120" s="30">
        <f>VLOOKUP(Inventory[[#This Row],[Qlty]],Lookups!$M$8:$P$22,4,FALSE)</f>
        <v>0.99199999999999999</v>
      </c>
      <c r="BG1120" s="30">
        <f>VLOOKUP(Inventory[[#This Row],[Cnd]],Lookups!$R$8:$U$17,4,FALSE)</f>
        <v>0.997</v>
      </c>
      <c r="BH1120" s="30">
        <f>VLOOKUP(Inventory[[#This Row],[LivArea Range]],Lookups!$R$25:$U$43,4,FALSE)</f>
        <v>1.0007999999999999</v>
      </c>
      <c r="BI1120" s="30">
        <f>VLOOKUP(Inventory[[#This Row],[Decade]],Lookups!$M$24:$P$40,4,FALSE)</f>
        <v>0.95920000000000005</v>
      </c>
      <c r="BJ1120" s="30">
        <f>Inventory[[#This Row],[Nbhd Adj]]*0.95</f>
        <v>0.94971499999999998</v>
      </c>
      <c r="BK1120" s="30">
        <f>AVERAGE(Inventory[[#This Row],[Nbhd Adj]],Inventory[[#This Row],[Quality Adj]],Inventory[[#This Row],[Condition Adj]],Inventory[[#This Row],[Living Area Adj]],Inventory[[#This Row],[Decade Adj]])*0.95</f>
        <v>0.94025300000000001</v>
      </c>
      <c r="BL1120" s="30">
        <f>ROUND((SUM(Inventory[[#This Row],[Mdl Qlty]:[Mdl Garage Area]])+Inventory[[#This Row],[Mdl Res Intercept]])*Inventory[[#This Row],[Res Adj ]],-2)</f>
        <v>281100</v>
      </c>
      <c r="BM1120" s="30">
        <f>ROUND(Inventory[[#This Row],[25Det]]*Inventory[[#This Row],[Det/Nbhd Adj]],-2)</f>
        <v>17600</v>
      </c>
      <c r="BN1120" s="30">
        <f>Inventory[[#This Row],[Adjusted Res]]+Inventory[[#This Row],[Adj Det ]]</f>
        <v>298700</v>
      </c>
      <c r="BO1120" s="30">
        <f>ROUND((Inventory[[#This Row],[Mdl Land Intercept]]+Inventory[[#This Row],[Mdl LnAcres]])*Inventory[[#This Row],[Det/Nbhd Adj]],-2)</f>
        <v>69300</v>
      </c>
      <c r="BP1120" s="30">
        <f>Inventory[[#This Row],[Adjusted Impr Total]]+Inventory[[#This Row],[Adjusted Land Total]]</f>
        <v>368000</v>
      </c>
      <c r="BQ1120" s="30">
        <f>IFERROR((Inventory[[#This Row],[Adjusted Impr Total]]-Inventory[[#This Row],[24Bldg]])/Inventory[[#This Row],[24Bldg]],0)</f>
        <v>9.2138939670932354E-2</v>
      </c>
      <c r="BR1120" s="43">
        <f>(Inventory[[#This Row],[Adjusted Land Total]]-Inventory[[#This Row],[24Lnd]])/Inventory[[#This Row],[24Lnd]]</f>
        <v>-1.1412268188302425E-2</v>
      </c>
      <c r="BS1120" s="43">
        <f>(Inventory[[#This Row],[Adjusted Total]]-Inventory[[#This Row],[24Final]])/Inventory[[#This Row],[24Final]]</f>
        <v>7.1012805587892899E-2</v>
      </c>
    </row>
    <row r="1121" spans="1:71">
      <c r="A1121" s="30">
        <v>2025</v>
      </c>
      <c r="B1121" s="31" t="s">
        <v>1637</v>
      </c>
      <c r="C1121" s="31">
        <f>LN(Inventory[[#This Row],[Acres]])</f>
        <v>1.3190856114264407</v>
      </c>
      <c r="D1121" s="30">
        <v>3.74</v>
      </c>
      <c r="E1121" s="30">
        <v>162969</v>
      </c>
      <c r="F1121" s="31" t="s">
        <v>505</v>
      </c>
      <c r="G1121" s="31" t="s">
        <v>155</v>
      </c>
      <c r="H1121" s="31" t="s">
        <v>5</v>
      </c>
      <c r="I1121" s="31" t="s">
        <v>506</v>
      </c>
      <c r="J1121" s="31" t="s">
        <v>507</v>
      </c>
      <c r="K1121" s="31" t="s">
        <v>193</v>
      </c>
      <c r="L1121" s="31" t="s">
        <v>15</v>
      </c>
      <c r="M1121" s="31" t="s">
        <v>18</v>
      </c>
      <c r="N1121" s="31">
        <v>40</v>
      </c>
      <c r="O1121" s="31">
        <f>2024-Inventory[[#This Row],[YrBlt]]</f>
        <v>45</v>
      </c>
      <c r="P1121" s="31">
        <f>2024-Inventory[[#This Row],[EffYr]]</f>
        <v>44</v>
      </c>
      <c r="Q1121" s="30">
        <v>1979</v>
      </c>
      <c r="R1121" s="30">
        <v>1980</v>
      </c>
      <c r="S1121" s="30">
        <v>2106</v>
      </c>
      <c r="T1121" s="32"/>
      <c r="U1121" s="32"/>
      <c r="V1121" s="32"/>
      <c r="W1121" s="32"/>
      <c r="X1121" s="32">
        <f>Inventory[[#This Row],[Bsmt Area]]-Inventory[[#This Row],[FnBsmt]]</f>
        <v>0</v>
      </c>
      <c r="Y1121" s="32">
        <f>Inventory[[#This Row],[MainFn]]+Inventory[[#This Row],[UpprFn]]+Inventory[[#This Row],[AddFn]]+Inventory[[#This Row],[FnBsmt]]</f>
        <v>2106</v>
      </c>
      <c r="Z1121" s="32">
        <v>2500</v>
      </c>
      <c r="AA1121" s="31" t="s">
        <v>56</v>
      </c>
      <c r="AB1121" s="37"/>
      <c r="AC1121" s="37"/>
      <c r="AD1121" s="32"/>
      <c r="AE1121" s="32"/>
      <c r="AF1121" s="32"/>
      <c r="AG1121" s="32"/>
      <c r="AH1121" s="32"/>
      <c r="AI1121" s="30">
        <v>266249</v>
      </c>
      <c r="AJ1121" s="30">
        <v>207674</v>
      </c>
      <c r="AK1121" s="30">
        <v>3710</v>
      </c>
      <c r="AL1121" s="30">
        <v>0</v>
      </c>
      <c r="AM1121" s="30">
        <v>105000</v>
      </c>
      <c r="AN1121" s="30">
        <v>240500</v>
      </c>
      <c r="AO1121" s="30">
        <v>345500</v>
      </c>
      <c r="AP1121" s="30">
        <f>Lookups!$B$58*0.6</f>
        <v>132535.48800000001</v>
      </c>
      <c r="AQ1121" s="30">
        <f>Lookups!$B$58*0.4</f>
        <v>88356.992000000013</v>
      </c>
      <c r="AR1121" s="30">
        <f>Lookups!$B$59*Inventory[[#This Row],[LnAcres]]</f>
        <v>17312.102990841875</v>
      </c>
      <c r="AS1121" s="30">
        <f>VLOOKUP(Inventory[[#This Row],[Qlty]],Lookups!$A$66:$E$79,2,FALSE)</f>
        <v>-1240.8083630000001</v>
      </c>
      <c r="AT1121" s="30">
        <f>VLOOKUP(Inventory[[#This Row],[Cnd]],Lookups!$A$80:$E$88,2,FALSE)</f>
        <v>17761.121909000001</v>
      </c>
      <c r="AU1121" s="30">
        <f>Inventory[[#This Row],[EffAge]]*Lookups!$B$65</f>
        <v>-4784.6084000000001</v>
      </c>
      <c r="AV1121" s="30">
        <f>Inventory[[#This Row],[MainFn]]*Lookups!$B$90</f>
        <v>131436.26028000002</v>
      </c>
      <c r="AW1121" s="30">
        <f>Inventory[[#This Row],[UpprFn]]*Lookups!$B$91</f>
        <v>0</v>
      </c>
      <c r="AX1121" s="30">
        <f>Inventory[[#This Row],[Bsmt Area]]*Lookups!$B$95</f>
        <v>0</v>
      </c>
      <c r="AY1121" s="30">
        <f>Inventory[[#This Row],[AttGar]]*Lookups!$B$93</f>
        <v>0</v>
      </c>
      <c r="AZ1121" s="30">
        <f>ROUND(Inventory[[#This Row],[25Det]],-2)</f>
        <v>3700</v>
      </c>
      <c r="BA1121" s="30">
        <f>ROUND(SUM(Inventory[[#This Row],[Mdl Qlty]:[Mdl Garage Area]])+Inventory[[#This Row],[Mdl Res Intercept]],-2)</f>
        <v>275700</v>
      </c>
      <c r="BB1121" s="30">
        <f>ROUND(Inventory[[#This Row],[Mdl Land Intercept]]+Inventory[[#This Row],[Mdl LnAcres]],-2)</f>
        <v>105700</v>
      </c>
      <c r="BC1121" s="30">
        <f>Inventory[[#This Row],[Unadj Res Value]]+Inventory[[#This Row],[Unadj Det Value]]+Inventory[[#This Row],[Unadj Land Value]]</f>
        <v>385100</v>
      </c>
      <c r="BD1121" s="30">
        <f>(Inventory[[#This Row],[Unadj Total Value]]-Inventory[[#This Row],[24Final]])/Inventory[[#This Row],[24Final]]</f>
        <v>0.114616497829233</v>
      </c>
      <c r="BE1121" s="30">
        <f>VLOOKUP(Inventory[[#This Row],[Nbhd]],Lookups!$M$3:$P$5,4,FALSE)</f>
        <v>0.99970000000000003</v>
      </c>
      <c r="BF1121" s="30">
        <f>VLOOKUP(Inventory[[#This Row],[Qlty]],Lookups!$M$8:$P$22,4,FALSE)</f>
        <v>1.0022</v>
      </c>
      <c r="BG1121" s="30">
        <f>VLOOKUP(Inventory[[#This Row],[Cnd]],Lookups!$R$8:$U$17,4,FALSE)</f>
        <v>0.99680000000000002</v>
      </c>
      <c r="BH1121" s="30">
        <f>VLOOKUP(Inventory[[#This Row],[LivArea Range]],Lookups!$R$25:$U$43,4,FALSE)</f>
        <v>1.0008999999999999</v>
      </c>
      <c r="BI1121" s="30">
        <f>VLOOKUP(Inventory[[#This Row],[Decade]],Lookups!$M$24:$P$40,4,FALSE)</f>
        <v>0.95920000000000005</v>
      </c>
      <c r="BJ1121" s="30">
        <f>Inventory[[#This Row],[Nbhd Adj]]*0.95</f>
        <v>0.94971499999999998</v>
      </c>
      <c r="BK1121" s="30">
        <f>AVERAGE(Inventory[[#This Row],[Nbhd Adj]],Inventory[[#This Row],[Quality Adj]],Inventory[[#This Row],[Condition Adj]],Inventory[[#This Row],[Living Area Adj]],Inventory[[#This Row],[Decade Adj]])*0.95</f>
        <v>0.9421719999999999</v>
      </c>
      <c r="BL1121" s="30">
        <f>ROUND((SUM(Inventory[[#This Row],[Mdl Qlty]:[Mdl Garage Area]])+Inventory[[#This Row],[Mdl Res Intercept]])*Inventory[[#This Row],[Res Adj ]],-2)</f>
        <v>259800</v>
      </c>
      <c r="BM1121" s="30">
        <f>ROUND(Inventory[[#This Row],[25Det]]*Inventory[[#This Row],[Det/Nbhd Adj]],-2)</f>
        <v>3500</v>
      </c>
      <c r="BN1121" s="30">
        <f>Inventory[[#This Row],[Adjusted Res]]+Inventory[[#This Row],[Adj Det ]]</f>
        <v>263300</v>
      </c>
      <c r="BO1121" s="30">
        <f>ROUND((Inventory[[#This Row],[Mdl Land Intercept]]+Inventory[[#This Row],[Mdl LnAcres]])*Inventory[[#This Row],[Det/Nbhd Adj]],-2)</f>
        <v>100400</v>
      </c>
      <c r="BP1121" s="30">
        <f>Inventory[[#This Row],[Adjusted Impr Total]]+Inventory[[#This Row],[Adjusted Land Total]]</f>
        <v>363700</v>
      </c>
      <c r="BQ1121" s="30">
        <f>IFERROR((Inventory[[#This Row],[Adjusted Impr Total]]-Inventory[[#This Row],[24Bldg]])/Inventory[[#This Row],[24Bldg]],0)</f>
        <v>9.4802494802494808E-2</v>
      </c>
      <c r="BR1121" s="43">
        <f>(Inventory[[#This Row],[Adjusted Land Total]]-Inventory[[#This Row],[24Lnd]])/Inventory[[#This Row],[24Lnd]]</f>
        <v>-4.3809523809523812E-2</v>
      </c>
      <c r="BS1121" s="43">
        <f>(Inventory[[#This Row],[Adjusted Total]]-Inventory[[#This Row],[24Final]])/Inventory[[#This Row],[24Final]]</f>
        <v>5.2677279305354562E-2</v>
      </c>
    </row>
    <row r="1122" spans="1:71">
      <c r="A1122" s="30">
        <v>2025</v>
      </c>
      <c r="B1122" s="31" t="s">
        <v>1638</v>
      </c>
      <c r="C1122" s="31">
        <f>LN(Inventory[[#This Row],[Acres]])</f>
        <v>1.5665304114228238</v>
      </c>
      <c r="D1122" s="30">
        <v>4.79</v>
      </c>
      <c r="E1122" s="30">
        <v>208724</v>
      </c>
      <c r="F1122" s="31" t="s">
        <v>505</v>
      </c>
      <c r="G1122" s="31" t="s">
        <v>155</v>
      </c>
      <c r="H1122" s="31" t="s">
        <v>5</v>
      </c>
      <c r="I1122" s="31" t="s">
        <v>506</v>
      </c>
      <c r="J1122" s="31" t="s">
        <v>507</v>
      </c>
      <c r="K1122" s="31" t="s">
        <v>193</v>
      </c>
      <c r="L1122" s="31" t="s">
        <v>17</v>
      </c>
      <c r="M1122" s="31" t="s">
        <v>18</v>
      </c>
      <c r="N1122" s="31">
        <v>40</v>
      </c>
      <c r="O1122" s="31">
        <f>2024-Inventory[[#This Row],[YrBlt]]</f>
        <v>45</v>
      </c>
      <c r="P1122" s="31">
        <f>2024-Inventory[[#This Row],[EffYr]]</f>
        <v>44</v>
      </c>
      <c r="Q1122" s="30">
        <v>1979</v>
      </c>
      <c r="R1122" s="30">
        <v>1980</v>
      </c>
      <c r="S1122" s="30">
        <v>2004</v>
      </c>
      <c r="T1122" s="32"/>
      <c r="U1122" s="32"/>
      <c r="V1122" s="32"/>
      <c r="W1122" s="32"/>
      <c r="X1122" s="32">
        <f>Inventory[[#This Row],[Bsmt Area]]-Inventory[[#This Row],[FnBsmt]]</f>
        <v>0</v>
      </c>
      <c r="Y1122" s="32">
        <f>Inventory[[#This Row],[MainFn]]+Inventory[[#This Row],[UpprFn]]+Inventory[[#This Row],[AddFn]]+Inventory[[#This Row],[FnBsmt]]</f>
        <v>2004</v>
      </c>
      <c r="Z1122" s="32">
        <v>2500</v>
      </c>
      <c r="AA1122" s="31" t="s">
        <v>55</v>
      </c>
      <c r="AB1122" s="32"/>
      <c r="AC1122" s="37"/>
      <c r="AD1122" s="32"/>
      <c r="AE1122" s="32"/>
      <c r="AF1122" s="32"/>
      <c r="AG1122" s="32"/>
      <c r="AH1122" s="32"/>
      <c r="AI1122" s="30">
        <v>330363</v>
      </c>
      <c r="AJ1122" s="30">
        <v>257683</v>
      </c>
      <c r="AK1122" s="30">
        <v>39125</v>
      </c>
      <c r="AL1122" s="30">
        <v>0</v>
      </c>
      <c r="AM1122" s="30">
        <v>108500</v>
      </c>
      <c r="AN1122" s="30">
        <v>277800</v>
      </c>
      <c r="AO1122" s="30">
        <v>386300</v>
      </c>
      <c r="AP1122" s="30">
        <f>Lookups!$B$58*0.6</f>
        <v>132535.48800000001</v>
      </c>
      <c r="AQ1122" s="30">
        <f>Lookups!$B$58*0.4</f>
        <v>88356.992000000013</v>
      </c>
      <c r="AR1122" s="30">
        <f>Lookups!$B$59*Inventory[[#This Row],[LnAcres]]</f>
        <v>20559.647975775206</v>
      </c>
      <c r="AS1122" s="30">
        <f>VLOOKUP(Inventory[[#This Row],[Qlty]],Lookups!$A$66:$E$79,2,FALSE)</f>
        <v>24371.765965999999</v>
      </c>
      <c r="AT1122" s="30">
        <f>VLOOKUP(Inventory[[#This Row],[Cnd]],Lookups!$A$80:$E$88,2,FALSE)</f>
        <v>17761.121909000001</v>
      </c>
      <c r="AU1122" s="30">
        <f>Inventory[[#This Row],[EffAge]]*Lookups!$B$65</f>
        <v>-4784.6084000000001</v>
      </c>
      <c r="AV1122" s="30">
        <f>Inventory[[#This Row],[MainFn]]*Lookups!$B$90</f>
        <v>125070.40152000001</v>
      </c>
      <c r="AW1122" s="30">
        <f>Inventory[[#This Row],[UpprFn]]*Lookups!$B$91</f>
        <v>0</v>
      </c>
      <c r="AX1122" s="30">
        <f>Inventory[[#This Row],[Bsmt Area]]*Lookups!$B$95</f>
        <v>0</v>
      </c>
      <c r="AY1122" s="30">
        <f>Inventory[[#This Row],[AttGar]]*Lookups!$B$93</f>
        <v>0</v>
      </c>
      <c r="AZ1122" s="30">
        <f>ROUND(Inventory[[#This Row],[25Det]],-2)</f>
        <v>39100</v>
      </c>
      <c r="BA1122" s="30">
        <f>ROUND(SUM(Inventory[[#This Row],[Mdl Qlty]:[Mdl Garage Area]])+Inventory[[#This Row],[Mdl Res Intercept]],-2)</f>
        <v>295000</v>
      </c>
      <c r="BB1122" s="30">
        <f>ROUND(Inventory[[#This Row],[Mdl Land Intercept]]+Inventory[[#This Row],[Mdl LnAcres]],-2)</f>
        <v>108900</v>
      </c>
      <c r="BC1122" s="30">
        <f>Inventory[[#This Row],[Unadj Res Value]]+Inventory[[#This Row],[Unadj Det Value]]+Inventory[[#This Row],[Unadj Land Value]]</f>
        <v>443000</v>
      </c>
      <c r="BD1122" s="30">
        <f>(Inventory[[#This Row],[Unadj Total Value]]-Inventory[[#This Row],[24Final]])/Inventory[[#This Row],[24Final]]</f>
        <v>0.14677711623090861</v>
      </c>
      <c r="BE1122" s="30">
        <f>VLOOKUP(Inventory[[#This Row],[Nbhd]],Lookups!$M$3:$P$5,4,FALSE)</f>
        <v>0.99970000000000003</v>
      </c>
      <c r="BF1122" s="30">
        <f>VLOOKUP(Inventory[[#This Row],[Qlty]],Lookups!$M$8:$P$22,4,FALSE)</f>
        <v>0.99199999999999999</v>
      </c>
      <c r="BG1122" s="30">
        <f>VLOOKUP(Inventory[[#This Row],[Cnd]],Lookups!$R$8:$U$17,4,FALSE)</f>
        <v>0.99680000000000002</v>
      </c>
      <c r="BH1122" s="30">
        <f>VLOOKUP(Inventory[[#This Row],[LivArea Range]],Lookups!$R$25:$U$43,4,FALSE)</f>
        <v>1.0008999999999999</v>
      </c>
      <c r="BI1122" s="30">
        <f>VLOOKUP(Inventory[[#This Row],[Decade]],Lookups!$M$24:$P$40,4,FALSE)</f>
        <v>0.95920000000000005</v>
      </c>
      <c r="BJ1122" s="30">
        <f>Inventory[[#This Row],[Nbhd Adj]]*0.95</f>
        <v>0.94971499999999998</v>
      </c>
      <c r="BK1122" s="30">
        <f>AVERAGE(Inventory[[#This Row],[Nbhd Adj]],Inventory[[#This Row],[Quality Adj]],Inventory[[#This Row],[Condition Adj]],Inventory[[#This Row],[Living Area Adj]],Inventory[[#This Row],[Decade Adj]])*0.95</f>
        <v>0.9402339999999999</v>
      </c>
      <c r="BL1122" s="30">
        <f>ROUND((SUM(Inventory[[#This Row],[Mdl Qlty]:[Mdl Garage Area]])+Inventory[[#This Row],[Mdl Res Intercept]])*Inventory[[#This Row],[Res Adj ]],-2)</f>
        <v>277300</v>
      </c>
      <c r="BM1122" s="30">
        <f>ROUND(Inventory[[#This Row],[25Det]]*Inventory[[#This Row],[Det/Nbhd Adj]],-2)</f>
        <v>37200</v>
      </c>
      <c r="BN1122" s="30">
        <f>Inventory[[#This Row],[Adjusted Res]]+Inventory[[#This Row],[Adj Det ]]</f>
        <v>314500</v>
      </c>
      <c r="BO1122" s="30">
        <f>ROUND((Inventory[[#This Row],[Mdl Land Intercept]]+Inventory[[#This Row],[Mdl LnAcres]])*Inventory[[#This Row],[Det/Nbhd Adj]],-2)</f>
        <v>103400</v>
      </c>
      <c r="BP1122" s="30">
        <f>Inventory[[#This Row],[Adjusted Impr Total]]+Inventory[[#This Row],[Adjusted Land Total]]</f>
        <v>417900</v>
      </c>
      <c r="BQ1122" s="30">
        <f>IFERROR((Inventory[[#This Row],[Adjusted Impr Total]]-Inventory[[#This Row],[24Bldg]])/Inventory[[#This Row],[24Bldg]],0)</f>
        <v>0.13210943124550037</v>
      </c>
      <c r="BR1122" s="43">
        <f>(Inventory[[#This Row],[Adjusted Land Total]]-Inventory[[#This Row],[24Lnd]])/Inventory[[#This Row],[24Lnd]]</f>
        <v>-4.7004608294930875E-2</v>
      </c>
      <c r="BS1122" s="43">
        <f>(Inventory[[#This Row],[Adjusted Total]]-Inventory[[#This Row],[24Final]])/Inventory[[#This Row],[24Final]]</f>
        <v>8.1801708516696867E-2</v>
      </c>
    </row>
    <row r="1123" spans="1:71">
      <c r="A1123" s="30">
        <v>2025</v>
      </c>
      <c r="B1123" s="31" t="s">
        <v>1639</v>
      </c>
      <c r="C1123" s="31">
        <f>LN(Inventory[[#This Row],[Acres]])</f>
        <v>-1.3862943611198906</v>
      </c>
      <c r="D1123" s="30">
        <v>0.25</v>
      </c>
      <c r="E1123" s="30">
        <v>11064</v>
      </c>
      <c r="F1123" s="31" t="s">
        <v>505</v>
      </c>
      <c r="G1123" s="31" t="s">
        <v>155</v>
      </c>
      <c r="H1123" s="31" t="s">
        <v>5</v>
      </c>
      <c r="I1123" s="31" t="s">
        <v>506</v>
      </c>
      <c r="J1123" s="31" t="s">
        <v>507</v>
      </c>
      <c r="K1123" s="31" t="s">
        <v>193</v>
      </c>
      <c r="L1123" s="31" t="s">
        <v>15</v>
      </c>
      <c r="M1123" s="31" t="s">
        <v>16</v>
      </c>
      <c r="N1123" s="31">
        <v>40</v>
      </c>
      <c r="O1123" s="31">
        <f>2024-Inventory[[#This Row],[YrBlt]]</f>
        <v>46</v>
      </c>
      <c r="P1123" s="31">
        <f>2024-Inventory[[#This Row],[EffYr]]</f>
        <v>44</v>
      </c>
      <c r="Q1123" s="30">
        <v>1978</v>
      </c>
      <c r="R1123" s="30">
        <v>1980</v>
      </c>
      <c r="S1123" s="30">
        <v>1242</v>
      </c>
      <c r="T1123" s="32"/>
      <c r="U1123" s="32"/>
      <c r="V1123" s="32"/>
      <c r="W1123" s="32"/>
      <c r="X1123" s="32">
        <f>Inventory[[#This Row],[Bsmt Area]]-Inventory[[#This Row],[FnBsmt]]</f>
        <v>0</v>
      </c>
      <c r="Y1123" s="32">
        <f>Inventory[[#This Row],[MainFn]]+Inventory[[#This Row],[UpprFn]]+Inventory[[#This Row],[AddFn]]+Inventory[[#This Row],[FnBsmt]]</f>
        <v>1242</v>
      </c>
      <c r="Z1123" s="32">
        <v>1500</v>
      </c>
      <c r="AA1123" s="31" t="s">
        <v>56</v>
      </c>
      <c r="AB1123" s="38">
        <v>1</v>
      </c>
      <c r="AC1123" s="37"/>
      <c r="AD1123" s="32"/>
      <c r="AE1123" s="32"/>
      <c r="AF1123" s="32"/>
      <c r="AG1123" s="32"/>
      <c r="AH1123" s="32"/>
      <c r="AI1123" s="30">
        <v>203504</v>
      </c>
      <c r="AJ1123" s="30">
        <v>156698</v>
      </c>
      <c r="AK1123" s="30">
        <v>0</v>
      </c>
      <c r="AL1123" s="30">
        <v>0</v>
      </c>
      <c r="AM1123" s="30">
        <v>67100</v>
      </c>
      <c r="AN1123" s="30">
        <v>195200</v>
      </c>
      <c r="AO1123" s="30">
        <v>262300</v>
      </c>
      <c r="AP1123" s="30">
        <f>Lookups!$B$58*0.6</f>
        <v>132535.48800000001</v>
      </c>
      <c r="AQ1123" s="30">
        <f>Lookups!$B$58*0.4</f>
        <v>88356.992000000013</v>
      </c>
      <c r="AR1123" s="30">
        <f>Lookups!$B$59*Inventory[[#This Row],[LnAcres]]</f>
        <v>-18194.172195827363</v>
      </c>
      <c r="AS1123" s="30">
        <f>VLOOKUP(Inventory[[#This Row],[Qlty]],Lookups!$A$66:$E$79,2,FALSE)</f>
        <v>-1240.8083630000001</v>
      </c>
      <c r="AT1123" s="30">
        <f>VLOOKUP(Inventory[[#This Row],[Cnd]],Lookups!$A$80:$E$88,2,FALSE)</f>
        <v>0</v>
      </c>
      <c r="AU1123" s="30">
        <f>Inventory[[#This Row],[EffAge]]*Lookups!$B$65</f>
        <v>-4784.6084000000001</v>
      </c>
      <c r="AV1123" s="30">
        <f>Inventory[[#This Row],[MainFn]]*Lookups!$B$90</f>
        <v>77513.691960000011</v>
      </c>
      <c r="AW1123" s="30">
        <f>Inventory[[#This Row],[UpprFn]]*Lookups!$B$91</f>
        <v>0</v>
      </c>
      <c r="AX1123" s="30">
        <f>Inventory[[#This Row],[Bsmt Area]]*Lookups!$B$95</f>
        <v>0</v>
      </c>
      <c r="AY1123" s="30">
        <f>Inventory[[#This Row],[AttGar]]*Lookups!$B$93</f>
        <v>0</v>
      </c>
      <c r="AZ1123" s="30">
        <f>ROUND(Inventory[[#This Row],[25Det]],-2)</f>
        <v>0</v>
      </c>
      <c r="BA1123" s="30">
        <f>ROUND(SUM(Inventory[[#This Row],[Mdl Qlty]:[Mdl Garage Area]])+Inventory[[#This Row],[Mdl Res Intercept]],-2)</f>
        <v>204000</v>
      </c>
      <c r="BB1123" s="30">
        <f>ROUND(Inventory[[#This Row],[Mdl Land Intercept]]+Inventory[[#This Row],[Mdl LnAcres]],-2)</f>
        <v>70200</v>
      </c>
      <c r="BC1123" s="30">
        <f>Inventory[[#This Row],[Unadj Res Value]]+Inventory[[#This Row],[Unadj Det Value]]+Inventory[[#This Row],[Unadj Land Value]]</f>
        <v>274200</v>
      </c>
      <c r="BD1123" s="30">
        <f>(Inventory[[#This Row],[Unadj Total Value]]-Inventory[[#This Row],[24Final]])/Inventory[[#This Row],[24Final]]</f>
        <v>4.5367899351887155E-2</v>
      </c>
      <c r="BE1123" s="30">
        <f>VLOOKUP(Inventory[[#This Row],[Nbhd]],Lookups!$M$3:$P$5,4,FALSE)</f>
        <v>0.99970000000000003</v>
      </c>
      <c r="BF1123" s="30">
        <f>VLOOKUP(Inventory[[#This Row],[Qlty]],Lookups!$M$8:$P$22,4,FALSE)</f>
        <v>1.0022</v>
      </c>
      <c r="BG1123" s="30">
        <f>VLOOKUP(Inventory[[#This Row],[Cnd]],Lookups!$R$8:$U$17,4,FALSE)</f>
        <v>1</v>
      </c>
      <c r="BH1123" s="30">
        <f>VLOOKUP(Inventory[[#This Row],[LivArea Range]],Lookups!$R$25:$U$43,4,FALSE)</f>
        <v>0.99519999999999997</v>
      </c>
      <c r="BI1123" s="30">
        <f>VLOOKUP(Inventory[[#This Row],[Decade]],Lookups!$M$24:$P$40,4,FALSE)</f>
        <v>0.95920000000000005</v>
      </c>
      <c r="BJ1123" s="30">
        <f>Inventory[[#This Row],[Nbhd Adj]]*0.95</f>
        <v>0.94971499999999998</v>
      </c>
      <c r="BK1123" s="30">
        <f>AVERAGE(Inventory[[#This Row],[Nbhd Adj]],Inventory[[#This Row],[Quality Adj]],Inventory[[#This Row],[Condition Adj]],Inventory[[#This Row],[Living Area Adj]],Inventory[[#This Row],[Decade Adj]])*0.95</f>
        <v>0.94169700000000012</v>
      </c>
      <c r="BL1123" s="30">
        <f>ROUND((SUM(Inventory[[#This Row],[Mdl Qlty]:[Mdl Garage Area]])+Inventory[[#This Row],[Mdl Res Intercept]])*Inventory[[#This Row],[Res Adj ]],-2)</f>
        <v>192100</v>
      </c>
      <c r="BM1123" s="30">
        <f>ROUND(Inventory[[#This Row],[25Det]]*Inventory[[#This Row],[Det/Nbhd Adj]],-2)</f>
        <v>0</v>
      </c>
      <c r="BN1123" s="30">
        <f>Inventory[[#This Row],[Adjusted Res]]+Inventory[[#This Row],[Adj Det ]]</f>
        <v>192100</v>
      </c>
      <c r="BO1123" s="30">
        <f>ROUND((Inventory[[#This Row],[Mdl Land Intercept]]+Inventory[[#This Row],[Mdl LnAcres]])*Inventory[[#This Row],[Det/Nbhd Adj]],-2)</f>
        <v>66600</v>
      </c>
      <c r="BP1123" s="30">
        <f>Inventory[[#This Row],[Adjusted Impr Total]]+Inventory[[#This Row],[Adjusted Land Total]]</f>
        <v>258700</v>
      </c>
      <c r="BQ1123" s="30">
        <f>IFERROR((Inventory[[#This Row],[Adjusted Impr Total]]-Inventory[[#This Row],[24Bldg]])/Inventory[[#This Row],[24Bldg]],0)</f>
        <v>-1.5881147540983607E-2</v>
      </c>
      <c r="BR1123" s="43">
        <f>(Inventory[[#This Row],[Adjusted Land Total]]-Inventory[[#This Row],[24Lnd]])/Inventory[[#This Row],[24Lnd]]</f>
        <v>-7.4515648286140089E-3</v>
      </c>
      <c r="BS1123" s="43">
        <f>(Inventory[[#This Row],[Adjusted Total]]-Inventory[[#This Row],[24Final]])/Inventory[[#This Row],[24Final]]</f>
        <v>-1.3724742661075104E-2</v>
      </c>
    </row>
    <row r="1124" spans="1:71">
      <c r="A1124" s="30">
        <v>2025</v>
      </c>
      <c r="B1124" s="31" t="s">
        <v>1640</v>
      </c>
      <c r="C1124" s="31">
        <f>LN(Inventory[[#This Row],[Acres]])</f>
        <v>-1.3862943611198906</v>
      </c>
      <c r="D1124" s="30">
        <v>0.25</v>
      </c>
      <c r="E1124" s="30">
        <v>10681</v>
      </c>
      <c r="F1124" s="31" t="s">
        <v>505</v>
      </c>
      <c r="G1124" s="31" t="s">
        <v>155</v>
      </c>
      <c r="H1124" s="31" t="s">
        <v>5</v>
      </c>
      <c r="I1124" s="31" t="s">
        <v>506</v>
      </c>
      <c r="J1124" s="31" t="s">
        <v>507</v>
      </c>
      <c r="K1124" s="31" t="s">
        <v>193</v>
      </c>
      <c r="L1124" s="31" t="s">
        <v>15</v>
      </c>
      <c r="M1124" s="31" t="s">
        <v>18</v>
      </c>
      <c r="N1124" s="31">
        <v>40</v>
      </c>
      <c r="O1124" s="31">
        <f>2024-Inventory[[#This Row],[YrBlt]]</f>
        <v>46</v>
      </c>
      <c r="P1124" s="31">
        <f>2024-Inventory[[#This Row],[EffYr]]</f>
        <v>44</v>
      </c>
      <c r="Q1124" s="30">
        <v>1978</v>
      </c>
      <c r="R1124" s="30">
        <v>1980</v>
      </c>
      <c r="S1124" s="30">
        <v>1300</v>
      </c>
      <c r="T1124" s="37"/>
      <c r="U1124" s="32"/>
      <c r="V1124" s="32"/>
      <c r="W1124" s="32"/>
      <c r="X1124" s="32">
        <f>Inventory[[#This Row],[Bsmt Area]]-Inventory[[#This Row],[FnBsmt]]</f>
        <v>0</v>
      </c>
      <c r="Y1124" s="32">
        <f>Inventory[[#This Row],[MainFn]]+Inventory[[#This Row],[UpprFn]]+Inventory[[#This Row],[AddFn]]+Inventory[[#This Row],[FnBsmt]]</f>
        <v>1300</v>
      </c>
      <c r="Z1124" s="32">
        <v>1500</v>
      </c>
      <c r="AA1124" s="31" t="s">
        <v>56</v>
      </c>
      <c r="AB1124" s="32"/>
      <c r="AC1124" s="30">
        <v>325</v>
      </c>
      <c r="AD1124" s="32"/>
      <c r="AE1124" s="32"/>
      <c r="AF1124" s="32"/>
      <c r="AG1124" s="32"/>
      <c r="AH1124" s="32"/>
      <c r="AI1124" s="30">
        <v>211398</v>
      </c>
      <c r="AJ1124" s="30">
        <v>164890</v>
      </c>
      <c r="AK1124" s="30">
        <v>2145</v>
      </c>
      <c r="AL1124" s="30">
        <v>0</v>
      </c>
      <c r="AM1124" s="30">
        <v>67100</v>
      </c>
      <c r="AN1124" s="30">
        <v>213700</v>
      </c>
      <c r="AO1124" s="30">
        <v>280800</v>
      </c>
      <c r="AP1124" s="30">
        <f>Lookups!$B$58*0.6</f>
        <v>132535.48800000001</v>
      </c>
      <c r="AQ1124" s="30">
        <f>Lookups!$B$58*0.4</f>
        <v>88356.992000000013</v>
      </c>
      <c r="AR1124" s="30">
        <f>Lookups!$B$59*Inventory[[#This Row],[LnAcres]]</f>
        <v>-18194.172195827363</v>
      </c>
      <c r="AS1124" s="30">
        <f>VLOOKUP(Inventory[[#This Row],[Qlty]],Lookups!$A$66:$E$79,2,FALSE)</f>
        <v>-1240.8083630000001</v>
      </c>
      <c r="AT1124" s="30">
        <f>VLOOKUP(Inventory[[#This Row],[Cnd]],Lookups!$A$80:$E$88,2,FALSE)</f>
        <v>17761.121909000001</v>
      </c>
      <c r="AU1124" s="30">
        <f>Inventory[[#This Row],[EffAge]]*Lookups!$B$65</f>
        <v>-4784.6084000000001</v>
      </c>
      <c r="AV1124" s="30">
        <f>Inventory[[#This Row],[MainFn]]*Lookups!$B$90</f>
        <v>81133.494000000006</v>
      </c>
      <c r="AW1124" s="30">
        <f>Inventory[[#This Row],[UpprFn]]*Lookups!$B$91</f>
        <v>0</v>
      </c>
      <c r="AX1124" s="30">
        <f>Inventory[[#This Row],[Bsmt Area]]*Lookups!$B$95</f>
        <v>0</v>
      </c>
      <c r="AY1124" s="30">
        <f>Inventory[[#This Row],[AttGar]]*Lookups!$B$93</f>
        <v>11472.835075000001</v>
      </c>
      <c r="AZ1124" s="30">
        <f>ROUND(Inventory[[#This Row],[25Det]],-2)</f>
        <v>2100</v>
      </c>
      <c r="BA1124" s="30">
        <f>ROUND(SUM(Inventory[[#This Row],[Mdl Qlty]:[Mdl Garage Area]])+Inventory[[#This Row],[Mdl Res Intercept]],-2)</f>
        <v>236900</v>
      </c>
      <c r="BB1124" s="30">
        <f>ROUND(Inventory[[#This Row],[Mdl Land Intercept]]+Inventory[[#This Row],[Mdl LnAcres]],-2)</f>
        <v>70200</v>
      </c>
      <c r="BC1124" s="30">
        <f>Inventory[[#This Row],[Unadj Res Value]]+Inventory[[#This Row],[Unadj Det Value]]+Inventory[[#This Row],[Unadj Land Value]]</f>
        <v>309200</v>
      </c>
      <c r="BD1124" s="30">
        <f>(Inventory[[#This Row],[Unadj Total Value]]-Inventory[[#This Row],[24Final]])/Inventory[[#This Row],[24Final]]</f>
        <v>0.10113960113960115</v>
      </c>
      <c r="BE1124" s="30">
        <f>VLOOKUP(Inventory[[#This Row],[Nbhd]],Lookups!$M$3:$P$5,4,FALSE)</f>
        <v>0.99970000000000003</v>
      </c>
      <c r="BF1124" s="30">
        <f>VLOOKUP(Inventory[[#This Row],[Qlty]],Lookups!$M$8:$P$22,4,FALSE)</f>
        <v>1.0022</v>
      </c>
      <c r="BG1124" s="30">
        <f>VLOOKUP(Inventory[[#This Row],[Cnd]],Lookups!$R$8:$U$17,4,FALSE)</f>
        <v>0.99680000000000002</v>
      </c>
      <c r="BH1124" s="30">
        <f>VLOOKUP(Inventory[[#This Row],[LivArea Range]],Lookups!$R$25:$U$43,4,FALSE)</f>
        <v>0.99519999999999997</v>
      </c>
      <c r="BI1124" s="30">
        <f>VLOOKUP(Inventory[[#This Row],[Decade]],Lookups!$M$24:$P$40,4,FALSE)</f>
        <v>0.95920000000000005</v>
      </c>
      <c r="BJ1124" s="30">
        <f>Inventory[[#This Row],[Nbhd Adj]]*0.95</f>
        <v>0.94971499999999998</v>
      </c>
      <c r="BK1124" s="30">
        <f>AVERAGE(Inventory[[#This Row],[Nbhd Adj]],Inventory[[#This Row],[Quality Adj]],Inventory[[#This Row],[Condition Adj]],Inventory[[#This Row],[Living Area Adj]],Inventory[[#This Row],[Decade Adj]])*0.95</f>
        <v>0.94108900000000006</v>
      </c>
      <c r="BL1124" s="30">
        <f>ROUND((SUM(Inventory[[#This Row],[Mdl Qlty]:[Mdl Garage Area]])+Inventory[[#This Row],[Mdl Res Intercept]])*Inventory[[#This Row],[Res Adj ]],-2)</f>
        <v>222900</v>
      </c>
      <c r="BM1124" s="30">
        <f>ROUND(Inventory[[#This Row],[25Det]]*Inventory[[#This Row],[Det/Nbhd Adj]],-2)</f>
        <v>2000</v>
      </c>
      <c r="BN1124" s="30">
        <f>Inventory[[#This Row],[Adjusted Res]]+Inventory[[#This Row],[Adj Det ]]</f>
        <v>224900</v>
      </c>
      <c r="BO1124" s="30">
        <f>ROUND((Inventory[[#This Row],[Mdl Land Intercept]]+Inventory[[#This Row],[Mdl LnAcres]])*Inventory[[#This Row],[Det/Nbhd Adj]],-2)</f>
        <v>66600</v>
      </c>
      <c r="BP1124" s="30">
        <f>Inventory[[#This Row],[Adjusted Impr Total]]+Inventory[[#This Row],[Adjusted Land Total]]</f>
        <v>291500</v>
      </c>
      <c r="BQ1124" s="30">
        <f>IFERROR((Inventory[[#This Row],[Adjusted Impr Total]]-Inventory[[#This Row],[24Bldg]])/Inventory[[#This Row],[24Bldg]],0)</f>
        <v>5.240992044922789E-2</v>
      </c>
      <c r="BR1124" s="43">
        <f>(Inventory[[#This Row],[Adjusted Land Total]]-Inventory[[#This Row],[24Lnd]])/Inventory[[#This Row],[24Lnd]]</f>
        <v>-7.4515648286140089E-3</v>
      </c>
      <c r="BS1124" s="43">
        <f>(Inventory[[#This Row],[Adjusted Total]]-Inventory[[#This Row],[24Final]])/Inventory[[#This Row],[24Final]]</f>
        <v>3.8105413105413107E-2</v>
      </c>
    </row>
    <row r="1125" spans="1:71">
      <c r="A1125" s="30">
        <v>2025</v>
      </c>
      <c r="B1125" s="31" t="s">
        <v>1641</v>
      </c>
      <c r="C1125" s="31">
        <f>LN(Inventory[[#This Row],[Acres]])</f>
        <v>-0.67334455326376563</v>
      </c>
      <c r="D1125" s="30">
        <v>0.51</v>
      </c>
      <c r="E1125" s="30">
        <v>22170</v>
      </c>
      <c r="F1125" s="31" t="s">
        <v>505</v>
      </c>
      <c r="G1125" s="31" t="s">
        <v>155</v>
      </c>
      <c r="H1125" s="31" t="s">
        <v>5</v>
      </c>
      <c r="I1125" s="31" t="s">
        <v>506</v>
      </c>
      <c r="J1125" s="31" t="s">
        <v>507</v>
      </c>
      <c r="K1125" s="31" t="s">
        <v>193</v>
      </c>
      <c r="L1125" s="31" t="s">
        <v>19</v>
      </c>
      <c r="M1125" s="31" t="s">
        <v>20</v>
      </c>
      <c r="N1125" s="31">
        <v>40</v>
      </c>
      <c r="O1125" s="31">
        <f>2024-Inventory[[#This Row],[YrBlt]]</f>
        <v>46</v>
      </c>
      <c r="P1125" s="31">
        <f>2024-Inventory[[#This Row],[EffYr]]</f>
        <v>44</v>
      </c>
      <c r="Q1125" s="30">
        <v>1978</v>
      </c>
      <c r="R1125" s="30">
        <v>1980</v>
      </c>
      <c r="S1125" s="30">
        <v>1573</v>
      </c>
      <c r="T1125" s="32"/>
      <c r="U1125" s="32"/>
      <c r="V1125" s="32"/>
      <c r="W1125" s="32"/>
      <c r="X1125" s="32">
        <f>Inventory[[#This Row],[Bsmt Area]]-Inventory[[#This Row],[FnBsmt]]</f>
        <v>0</v>
      </c>
      <c r="Y1125" s="32">
        <f>Inventory[[#This Row],[MainFn]]+Inventory[[#This Row],[UpprFn]]+Inventory[[#This Row],[AddFn]]+Inventory[[#This Row],[FnBsmt]]</f>
        <v>1573</v>
      </c>
      <c r="Z1125" s="32">
        <v>2000</v>
      </c>
      <c r="AA1125" s="31" t="s">
        <v>57</v>
      </c>
      <c r="AB1125" s="32"/>
      <c r="AC1125" s="30">
        <v>464</v>
      </c>
      <c r="AD1125" s="32"/>
      <c r="AE1125" s="32"/>
      <c r="AF1125" s="32"/>
      <c r="AG1125" s="32"/>
      <c r="AH1125" s="32"/>
      <c r="AI1125" s="30">
        <v>339926</v>
      </c>
      <c r="AJ1125" s="30">
        <v>268542</v>
      </c>
      <c r="AK1125" s="30">
        <v>22533</v>
      </c>
      <c r="AL1125" s="30">
        <v>0</v>
      </c>
      <c r="AM1125" s="30">
        <v>77100</v>
      </c>
      <c r="AN1125" s="30">
        <v>302800</v>
      </c>
      <c r="AO1125" s="30">
        <v>379900</v>
      </c>
      <c r="AP1125" s="30">
        <f>Lookups!$B$58*0.6</f>
        <v>132535.48800000001</v>
      </c>
      <c r="AQ1125" s="30">
        <f>Lookups!$B$58*0.4</f>
        <v>88356.992000000013</v>
      </c>
      <c r="AR1125" s="30">
        <f>Lookups!$B$59*Inventory[[#This Row],[LnAcres]]</f>
        <v>-8837.1900606352574</v>
      </c>
      <c r="AS1125" s="30">
        <f>VLOOKUP(Inventory[[#This Row],[Qlty]],Lookups!$A$66:$E$79,2,FALSE)</f>
        <v>37154.252388000001</v>
      </c>
      <c r="AT1125" s="30">
        <f>VLOOKUP(Inventory[[#This Row],[Cnd]],Lookups!$A$80:$E$88,2,FALSE)</f>
        <v>30300.329274</v>
      </c>
      <c r="AU1125" s="30">
        <f>Inventory[[#This Row],[EffAge]]*Lookups!$B$65</f>
        <v>-4784.6084000000001</v>
      </c>
      <c r="AV1125" s="30">
        <f>Inventory[[#This Row],[MainFn]]*Lookups!$B$90</f>
        <v>98171.527740000005</v>
      </c>
      <c r="AW1125" s="30">
        <f>Inventory[[#This Row],[UpprFn]]*Lookups!$B$91</f>
        <v>0</v>
      </c>
      <c r="AX1125" s="30">
        <f>Inventory[[#This Row],[Bsmt Area]]*Lookups!$B$95</f>
        <v>0</v>
      </c>
      <c r="AY1125" s="30">
        <f>Inventory[[#This Row],[AttGar]]*Lookups!$B$93</f>
        <v>16379.678384000001</v>
      </c>
      <c r="AZ1125" s="30">
        <f>ROUND(Inventory[[#This Row],[25Det]],-2)</f>
        <v>22500</v>
      </c>
      <c r="BA1125" s="30">
        <f>ROUND(SUM(Inventory[[#This Row],[Mdl Qlty]:[Mdl Garage Area]])+Inventory[[#This Row],[Mdl Res Intercept]],-2)</f>
        <v>309800</v>
      </c>
      <c r="BB1125" s="30">
        <f>ROUND(Inventory[[#This Row],[Mdl Land Intercept]]+Inventory[[#This Row],[Mdl LnAcres]],-2)</f>
        <v>79500</v>
      </c>
      <c r="BC1125" s="30">
        <f>Inventory[[#This Row],[Unadj Res Value]]+Inventory[[#This Row],[Unadj Det Value]]+Inventory[[#This Row],[Unadj Land Value]]</f>
        <v>411800</v>
      </c>
      <c r="BD1125" s="30">
        <f>(Inventory[[#This Row],[Unadj Total Value]]-Inventory[[#This Row],[24Final]])/Inventory[[#This Row],[24Final]]</f>
        <v>8.3969465648854963E-2</v>
      </c>
      <c r="BE1125" s="30">
        <f>VLOOKUP(Inventory[[#This Row],[Nbhd]],Lookups!$M$3:$P$5,4,FALSE)</f>
        <v>0.99970000000000003</v>
      </c>
      <c r="BF1125" s="30">
        <f>VLOOKUP(Inventory[[#This Row],[Qlty]],Lookups!$M$8:$P$22,4,FALSE)</f>
        <v>0.99819999999999998</v>
      </c>
      <c r="BG1125" s="30">
        <f>VLOOKUP(Inventory[[#This Row],[Cnd]],Lookups!$R$8:$U$17,4,FALSE)</f>
        <v>0.997</v>
      </c>
      <c r="BH1125" s="30">
        <f>VLOOKUP(Inventory[[#This Row],[LivArea Range]],Lookups!$R$25:$U$43,4,FALSE)</f>
        <v>1.0007999999999999</v>
      </c>
      <c r="BI1125" s="30">
        <f>VLOOKUP(Inventory[[#This Row],[Decade]],Lookups!$M$24:$P$40,4,FALSE)</f>
        <v>0.95920000000000005</v>
      </c>
      <c r="BJ1125" s="30">
        <f>Inventory[[#This Row],[Nbhd Adj]]*0.95</f>
        <v>0.94971499999999998</v>
      </c>
      <c r="BK1125" s="30">
        <f>AVERAGE(Inventory[[#This Row],[Nbhd Adj]],Inventory[[#This Row],[Quality Adj]],Inventory[[#This Row],[Condition Adj]],Inventory[[#This Row],[Living Area Adj]],Inventory[[#This Row],[Decade Adj]])*0.95</f>
        <v>0.94143100000000002</v>
      </c>
      <c r="BL1125" s="30">
        <f>ROUND((SUM(Inventory[[#This Row],[Mdl Qlty]:[Mdl Garage Area]])+Inventory[[#This Row],[Mdl Res Intercept]])*Inventory[[#This Row],[Res Adj ]],-2)</f>
        <v>291600</v>
      </c>
      <c r="BM1125" s="30">
        <f>ROUND(Inventory[[#This Row],[25Det]]*Inventory[[#This Row],[Det/Nbhd Adj]],-2)</f>
        <v>21400</v>
      </c>
      <c r="BN1125" s="30">
        <f>Inventory[[#This Row],[Adjusted Res]]+Inventory[[#This Row],[Adj Det ]]</f>
        <v>313000</v>
      </c>
      <c r="BO1125" s="30">
        <f>ROUND((Inventory[[#This Row],[Mdl Land Intercept]]+Inventory[[#This Row],[Mdl LnAcres]])*Inventory[[#This Row],[Det/Nbhd Adj]],-2)</f>
        <v>75500</v>
      </c>
      <c r="BP1125" s="30">
        <f>Inventory[[#This Row],[Adjusted Impr Total]]+Inventory[[#This Row],[Adjusted Land Total]]</f>
        <v>388500</v>
      </c>
      <c r="BQ1125" s="30">
        <f>IFERROR((Inventory[[#This Row],[Adjusted Impr Total]]-Inventory[[#This Row],[24Bldg]])/Inventory[[#This Row],[24Bldg]],0)</f>
        <v>3.3685601056803169E-2</v>
      </c>
      <c r="BR1125" s="43">
        <f>(Inventory[[#This Row],[Adjusted Land Total]]-Inventory[[#This Row],[24Lnd]])/Inventory[[#This Row],[24Lnd]]</f>
        <v>-2.0752269779507133E-2</v>
      </c>
      <c r="BS1125" s="43">
        <f>(Inventory[[#This Row],[Adjusted Total]]-Inventory[[#This Row],[24Final]])/Inventory[[#This Row],[24Final]]</f>
        <v>2.2637536193735194E-2</v>
      </c>
    </row>
    <row r="1126" spans="1:71">
      <c r="A1126" s="30">
        <v>2025</v>
      </c>
      <c r="B1126" s="31" t="s">
        <v>1642</v>
      </c>
      <c r="C1126" s="31">
        <f>LN(Inventory[[#This Row],[Acres]])</f>
        <v>0.70803579305369591</v>
      </c>
      <c r="D1126" s="30">
        <v>2.0299999999999998</v>
      </c>
      <c r="E1126" s="37"/>
      <c r="F1126" s="31" t="s">
        <v>505</v>
      </c>
      <c r="G1126" s="31" t="s">
        <v>155</v>
      </c>
      <c r="H1126" s="31" t="s">
        <v>5</v>
      </c>
      <c r="I1126" s="31" t="s">
        <v>506</v>
      </c>
      <c r="J1126" s="31" t="s">
        <v>507</v>
      </c>
      <c r="K1126" s="31" t="s">
        <v>193</v>
      </c>
      <c r="L1126" s="31" t="s">
        <v>19</v>
      </c>
      <c r="M1126" s="31" t="s">
        <v>18</v>
      </c>
      <c r="N1126" s="31">
        <v>40</v>
      </c>
      <c r="O1126" s="31">
        <f>2024-Inventory[[#This Row],[YrBlt]]</f>
        <v>46</v>
      </c>
      <c r="P1126" s="31">
        <f>2024-Inventory[[#This Row],[EffYr]]</f>
        <v>44</v>
      </c>
      <c r="Q1126" s="30">
        <v>1978</v>
      </c>
      <c r="R1126" s="30">
        <v>1980</v>
      </c>
      <c r="S1126" s="30">
        <v>1848</v>
      </c>
      <c r="T1126" s="37"/>
      <c r="U1126" s="32"/>
      <c r="V1126" s="32"/>
      <c r="W1126" s="32"/>
      <c r="X1126" s="32">
        <f>Inventory[[#This Row],[Bsmt Area]]-Inventory[[#This Row],[FnBsmt]]</f>
        <v>0</v>
      </c>
      <c r="Y1126" s="32">
        <f>Inventory[[#This Row],[MainFn]]+Inventory[[#This Row],[UpprFn]]+Inventory[[#This Row],[AddFn]]+Inventory[[#This Row],[FnBsmt]]</f>
        <v>1848</v>
      </c>
      <c r="Z1126" s="32">
        <v>2000</v>
      </c>
      <c r="AA1126" s="31" t="s">
        <v>56</v>
      </c>
      <c r="AB1126" s="32"/>
      <c r="AC1126" s="30">
        <v>984</v>
      </c>
      <c r="AD1126" s="32"/>
      <c r="AE1126" s="32"/>
      <c r="AF1126" s="32"/>
      <c r="AG1126" s="32"/>
      <c r="AH1126" s="32"/>
      <c r="AI1126" s="30">
        <v>370869</v>
      </c>
      <c r="AJ1126" s="30">
        <v>289278</v>
      </c>
      <c r="AK1126" s="30">
        <v>7615</v>
      </c>
      <c r="AL1126" s="30">
        <v>0</v>
      </c>
      <c r="AM1126" s="30">
        <v>96400</v>
      </c>
      <c r="AN1126" s="30">
        <v>302700</v>
      </c>
      <c r="AO1126" s="30">
        <v>399100</v>
      </c>
      <c r="AP1126" s="30">
        <f>Lookups!$B$58*0.6</f>
        <v>132535.48800000001</v>
      </c>
      <c r="AQ1126" s="30">
        <f>Lookups!$B$58*0.4</f>
        <v>88356.992000000013</v>
      </c>
      <c r="AR1126" s="30">
        <f>Lookups!$B$59*Inventory[[#This Row],[LnAcres]]</f>
        <v>9292.4890275262751</v>
      </c>
      <c r="AS1126" s="30">
        <f>VLOOKUP(Inventory[[#This Row],[Qlty]],Lookups!$A$66:$E$79,2,FALSE)</f>
        <v>37154.252388000001</v>
      </c>
      <c r="AT1126" s="30">
        <f>VLOOKUP(Inventory[[#This Row],[Cnd]],Lookups!$A$80:$E$88,2,FALSE)</f>
        <v>17761.121909000001</v>
      </c>
      <c r="AU1126" s="30">
        <f>Inventory[[#This Row],[EffAge]]*Lookups!$B$65</f>
        <v>-4784.6084000000001</v>
      </c>
      <c r="AV1126" s="30">
        <f>Inventory[[#This Row],[MainFn]]*Lookups!$B$90</f>
        <v>115334.38224000001</v>
      </c>
      <c r="AW1126" s="30">
        <f>Inventory[[#This Row],[UpprFn]]*Lookups!$B$91</f>
        <v>0</v>
      </c>
      <c r="AX1126" s="30">
        <f>Inventory[[#This Row],[Bsmt Area]]*Lookups!$B$95</f>
        <v>0</v>
      </c>
      <c r="AY1126" s="30">
        <f>Inventory[[#This Row],[AttGar]]*Lookups!$B$93</f>
        <v>34736.214504000003</v>
      </c>
      <c r="AZ1126" s="30">
        <f>ROUND(Inventory[[#This Row],[25Det]],-2)</f>
        <v>7600</v>
      </c>
      <c r="BA1126" s="30">
        <f>ROUND(SUM(Inventory[[#This Row],[Mdl Qlty]:[Mdl Garage Area]])+Inventory[[#This Row],[Mdl Res Intercept]],-2)</f>
        <v>332700</v>
      </c>
      <c r="BB1126" s="30">
        <f>ROUND(Inventory[[#This Row],[Mdl Land Intercept]]+Inventory[[#This Row],[Mdl LnAcres]],-2)</f>
        <v>97600</v>
      </c>
      <c r="BC1126" s="30">
        <f>Inventory[[#This Row],[Unadj Res Value]]+Inventory[[#This Row],[Unadj Det Value]]+Inventory[[#This Row],[Unadj Land Value]]</f>
        <v>437900</v>
      </c>
      <c r="BD1126" s="30">
        <f>(Inventory[[#This Row],[Unadj Total Value]]-Inventory[[#This Row],[24Final]])/Inventory[[#This Row],[24Final]]</f>
        <v>9.721874216988223E-2</v>
      </c>
      <c r="BE1126" s="30">
        <f>VLOOKUP(Inventory[[#This Row],[Nbhd]],Lookups!$M$3:$P$5,4,FALSE)</f>
        <v>0.99970000000000003</v>
      </c>
      <c r="BF1126" s="30">
        <f>VLOOKUP(Inventory[[#This Row],[Qlty]],Lookups!$M$8:$P$22,4,FALSE)</f>
        <v>0.99819999999999998</v>
      </c>
      <c r="BG1126" s="30">
        <f>VLOOKUP(Inventory[[#This Row],[Cnd]],Lookups!$R$8:$U$17,4,FALSE)</f>
        <v>0.99680000000000002</v>
      </c>
      <c r="BH1126" s="30">
        <f>VLOOKUP(Inventory[[#This Row],[LivArea Range]],Lookups!$R$25:$U$43,4,FALSE)</f>
        <v>1.0007999999999999</v>
      </c>
      <c r="BI1126" s="30">
        <f>VLOOKUP(Inventory[[#This Row],[Decade]],Lookups!$M$24:$P$40,4,FALSE)</f>
        <v>0.95920000000000005</v>
      </c>
      <c r="BJ1126" s="30">
        <f>Inventory[[#This Row],[Nbhd Adj]]*0.95</f>
        <v>0.94971499999999998</v>
      </c>
      <c r="BK1126" s="30">
        <f>AVERAGE(Inventory[[#This Row],[Nbhd Adj]],Inventory[[#This Row],[Quality Adj]],Inventory[[#This Row],[Condition Adj]],Inventory[[#This Row],[Living Area Adj]],Inventory[[#This Row],[Decade Adj]])*0.95</f>
        <v>0.94139299999999992</v>
      </c>
      <c r="BL1126" s="30">
        <f>ROUND((SUM(Inventory[[#This Row],[Mdl Qlty]:[Mdl Garage Area]])+Inventory[[#This Row],[Mdl Res Intercept]])*Inventory[[#This Row],[Res Adj ]],-2)</f>
        <v>313200</v>
      </c>
      <c r="BM1126" s="30">
        <f>ROUND(Inventory[[#This Row],[25Det]]*Inventory[[#This Row],[Det/Nbhd Adj]],-2)</f>
        <v>7200</v>
      </c>
      <c r="BN1126" s="30">
        <f>Inventory[[#This Row],[Adjusted Res]]+Inventory[[#This Row],[Adj Det ]]</f>
        <v>320400</v>
      </c>
      <c r="BO1126" s="30">
        <f>ROUND((Inventory[[#This Row],[Mdl Land Intercept]]+Inventory[[#This Row],[Mdl LnAcres]])*Inventory[[#This Row],[Det/Nbhd Adj]],-2)</f>
        <v>92700</v>
      </c>
      <c r="BP1126" s="30">
        <f>Inventory[[#This Row],[Adjusted Impr Total]]+Inventory[[#This Row],[Adjusted Land Total]]</f>
        <v>413100</v>
      </c>
      <c r="BQ1126" s="30">
        <f>IFERROR((Inventory[[#This Row],[Adjusted Impr Total]]-Inventory[[#This Row],[24Bldg]])/Inventory[[#This Row],[24Bldg]],0)</f>
        <v>5.8473736372646183E-2</v>
      </c>
      <c r="BR1126" s="43">
        <f>(Inventory[[#This Row],[Adjusted Land Total]]-Inventory[[#This Row],[24Lnd]])/Inventory[[#This Row],[24Lnd]]</f>
        <v>-3.8381742738589214E-2</v>
      </c>
      <c r="BS1126" s="43">
        <f>(Inventory[[#This Row],[Adjusted Total]]-Inventory[[#This Row],[24Final]])/Inventory[[#This Row],[24Final]]</f>
        <v>3.5078927587070909E-2</v>
      </c>
    </row>
    <row r="1127" spans="1:71">
      <c r="A1127" s="30">
        <v>2025</v>
      </c>
      <c r="B1127" s="31" t="s">
        <v>1643</v>
      </c>
      <c r="C1127" s="31">
        <f>LN(Inventory[[#This Row],[Acres]])</f>
        <v>1.2864740258376797</v>
      </c>
      <c r="D1127" s="30">
        <v>3.62</v>
      </c>
      <c r="E1127" s="30">
        <v>157680</v>
      </c>
      <c r="F1127" s="31" t="s">
        <v>505</v>
      </c>
      <c r="G1127" s="31" t="s">
        <v>155</v>
      </c>
      <c r="H1127" s="31" t="s">
        <v>5</v>
      </c>
      <c r="I1127" s="31" t="s">
        <v>506</v>
      </c>
      <c r="J1127" s="31" t="s">
        <v>507</v>
      </c>
      <c r="K1127" s="31" t="s">
        <v>157</v>
      </c>
      <c r="L1127" s="31" t="s">
        <v>21</v>
      </c>
      <c r="M1127" s="31" t="s">
        <v>20</v>
      </c>
      <c r="N1127" s="31">
        <v>40</v>
      </c>
      <c r="O1127" s="31">
        <f>2024-Inventory[[#This Row],[YrBlt]]</f>
        <v>46</v>
      </c>
      <c r="P1127" s="31">
        <f>2024-Inventory[[#This Row],[EffYr]]</f>
        <v>44</v>
      </c>
      <c r="Q1127" s="30">
        <v>1978</v>
      </c>
      <c r="R1127" s="30">
        <v>1980</v>
      </c>
      <c r="S1127" s="30">
        <v>2424</v>
      </c>
      <c r="T1127" s="38">
        <v>1470</v>
      </c>
      <c r="U1127" s="32"/>
      <c r="V1127" s="32"/>
      <c r="W1127" s="32"/>
      <c r="X1127" s="32">
        <f>Inventory[[#This Row],[Bsmt Area]]-Inventory[[#This Row],[FnBsmt]]</f>
        <v>0</v>
      </c>
      <c r="Y1127" s="32">
        <f>Inventory[[#This Row],[MainFn]]+Inventory[[#This Row],[UpprFn]]+Inventory[[#This Row],[AddFn]]+Inventory[[#This Row],[FnBsmt]]</f>
        <v>3894</v>
      </c>
      <c r="Z1127" s="38">
        <v>4000</v>
      </c>
      <c r="AA1127" s="31" t="s">
        <v>56</v>
      </c>
      <c r="AB1127" s="38">
        <v>1</v>
      </c>
      <c r="AC1127" s="37"/>
      <c r="AD1127" s="32"/>
      <c r="AE1127" s="32"/>
      <c r="AF1127" s="32"/>
      <c r="AG1127" s="32"/>
      <c r="AH1127" s="32"/>
      <c r="AI1127" s="30">
        <v>675282</v>
      </c>
      <c r="AJ1127" s="30">
        <v>533473</v>
      </c>
      <c r="AK1127" s="30">
        <v>50808</v>
      </c>
      <c r="AL1127" s="30">
        <v>0</v>
      </c>
      <c r="AM1127" s="30">
        <v>104500</v>
      </c>
      <c r="AN1127" s="30">
        <v>411100</v>
      </c>
      <c r="AO1127" s="30">
        <v>515600</v>
      </c>
      <c r="AP1127" s="30">
        <f>Lookups!$B$58*0.6</f>
        <v>132535.48800000001</v>
      </c>
      <c r="AQ1127" s="30">
        <f>Lookups!$B$58*0.4</f>
        <v>88356.992000000013</v>
      </c>
      <c r="AR1127" s="30">
        <f>Lookups!$B$59*Inventory[[#This Row],[LnAcres]]</f>
        <v>16884.098073256002</v>
      </c>
      <c r="AS1127" s="30">
        <f>VLOOKUP(Inventory[[#This Row],[Qlty]],Lookups!$A$66:$E$79,2,FALSE)</f>
        <v>32917.849192000001</v>
      </c>
      <c r="AT1127" s="30">
        <f>VLOOKUP(Inventory[[#This Row],[Cnd]],Lookups!$A$80:$E$88,2,FALSE)</f>
        <v>30300.329274</v>
      </c>
      <c r="AU1127" s="30">
        <f>Inventory[[#This Row],[EffAge]]*Lookups!$B$65</f>
        <v>-4784.6084000000001</v>
      </c>
      <c r="AV1127" s="30">
        <f>Inventory[[#This Row],[MainFn]]*Lookups!$B$90</f>
        <v>151282.76112000001</v>
      </c>
      <c r="AW1127" s="30">
        <f>Inventory[[#This Row],[UpprFn]]*Lookups!$B$91</f>
        <v>87583.163009999989</v>
      </c>
      <c r="AX1127" s="30">
        <f>Inventory[[#This Row],[Bsmt Area]]*Lookups!$B$95</f>
        <v>0</v>
      </c>
      <c r="AY1127" s="30">
        <f>Inventory[[#This Row],[AttGar]]*Lookups!$B$93</f>
        <v>0</v>
      </c>
      <c r="AZ1127" s="30">
        <f>ROUND(Inventory[[#This Row],[25Det]],-2)</f>
        <v>50800</v>
      </c>
      <c r="BA1127" s="30">
        <f>ROUND(SUM(Inventory[[#This Row],[Mdl Qlty]:[Mdl Garage Area]])+Inventory[[#This Row],[Mdl Res Intercept]],-2)</f>
        <v>429800</v>
      </c>
      <c r="BB1127" s="30">
        <f>ROUND(Inventory[[#This Row],[Mdl Land Intercept]]+Inventory[[#This Row],[Mdl LnAcres]],-2)</f>
        <v>105200</v>
      </c>
      <c r="BC1127" s="30">
        <f>Inventory[[#This Row],[Unadj Res Value]]+Inventory[[#This Row],[Unadj Det Value]]+Inventory[[#This Row],[Unadj Land Value]]</f>
        <v>585800</v>
      </c>
      <c r="BD1127" s="30">
        <f>(Inventory[[#This Row],[Unadj Total Value]]-Inventory[[#This Row],[24Final]])/Inventory[[#This Row],[24Final]]</f>
        <v>0.13615205585725368</v>
      </c>
      <c r="BE1127" s="30">
        <f>VLOOKUP(Inventory[[#This Row],[Nbhd]],Lookups!$M$3:$P$5,4,FALSE)</f>
        <v>0.99970000000000003</v>
      </c>
      <c r="BF1127" s="30">
        <f>VLOOKUP(Inventory[[#This Row],[Qlty]],Lookups!$M$8:$P$22,4,FALSE)</f>
        <v>1.0019</v>
      </c>
      <c r="BG1127" s="30">
        <f>VLOOKUP(Inventory[[#This Row],[Cnd]],Lookups!$R$8:$U$17,4,FALSE)</f>
        <v>0.997</v>
      </c>
      <c r="BH1127" s="30">
        <f>VLOOKUP(Inventory[[#This Row],[LivArea Range]],Lookups!$R$25:$U$43,4,FALSE)</f>
        <v>1</v>
      </c>
      <c r="BI1127" s="30">
        <f>VLOOKUP(Inventory[[#This Row],[Decade]],Lookups!$M$24:$P$40,4,FALSE)</f>
        <v>0.95920000000000005</v>
      </c>
      <c r="BJ1127" s="30">
        <f>Inventory[[#This Row],[Nbhd Adj]]*0.95</f>
        <v>0.94971499999999998</v>
      </c>
      <c r="BK1127" s="30">
        <f>AVERAGE(Inventory[[#This Row],[Nbhd Adj]],Inventory[[#This Row],[Quality Adj]],Inventory[[#This Row],[Condition Adj]],Inventory[[#This Row],[Living Area Adj]],Inventory[[#This Row],[Decade Adj]])*0.95</f>
        <v>0.94198199999999999</v>
      </c>
      <c r="BL1127" s="30">
        <f>ROUND((SUM(Inventory[[#This Row],[Mdl Qlty]:[Mdl Garage Area]])+Inventory[[#This Row],[Mdl Res Intercept]])*Inventory[[#This Row],[Res Adj ]],-2)</f>
        <v>404900</v>
      </c>
      <c r="BM1127" s="30">
        <f>ROUND(Inventory[[#This Row],[25Det]]*Inventory[[#This Row],[Det/Nbhd Adj]],-2)</f>
        <v>48300</v>
      </c>
      <c r="BN1127" s="30">
        <f>Inventory[[#This Row],[Adjusted Res]]+Inventory[[#This Row],[Adj Det ]]</f>
        <v>453200</v>
      </c>
      <c r="BO1127" s="30">
        <f>ROUND((Inventory[[#This Row],[Mdl Land Intercept]]+Inventory[[#This Row],[Mdl LnAcres]])*Inventory[[#This Row],[Det/Nbhd Adj]],-2)</f>
        <v>99900</v>
      </c>
      <c r="BP1127" s="30">
        <f>Inventory[[#This Row],[Adjusted Impr Total]]+Inventory[[#This Row],[Adjusted Land Total]]</f>
        <v>553100</v>
      </c>
      <c r="BQ1127" s="30">
        <f>IFERROR((Inventory[[#This Row],[Adjusted Impr Total]]-Inventory[[#This Row],[24Bldg]])/Inventory[[#This Row],[24Bldg]],0)</f>
        <v>0.10240817319387011</v>
      </c>
      <c r="BR1127" s="43">
        <f>(Inventory[[#This Row],[Adjusted Land Total]]-Inventory[[#This Row],[24Lnd]])/Inventory[[#This Row],[24Lnd]]</f>
        <v>-4.4019138755980861E-2</v>
      </c>
      <c r="BS1127" s="43">
        <f>(Inventory[[#This Row],[Adjusted Total]]-Inventory[[#This Row],[24Final]])/Inventory[[#This Row],[24Final]]</f>
        <v>7.2730799069045768E-2</v>
      </c>
    </row>
    <row r="1128" spans="1:71">
      <c r="A1128" s="30">
        <v>2025</v>
      </c>
      <c r="B1128" s="31" t="s">
        <v>1644</v>
      </c>
      <c r="C1128" s="31">
        <f>LN(Inventory[[#This Row],[Acres]])</f>
        <v>-2.120263536200091</v>
      </c>
      <c r="D1128" s="30">
        <v>0.12</v>
      </c>
      <c r="E1128" s="30">
        <v>5200</v>
      </c>
      <c r="F1128" s="31" t="s">
        <v>505</v>
      </c>
      <c r="G1128" s="31" t="s">
        <v>155</v>
      </c>
      <c r="H1128" s="31" t="s">
        <v>5</v>
      </c>
      <c r="I1128" s="31" t="s">
        <v>506</v>
      </c>
      <c r="J1128" s="31" t="s">
        <v>507</v>
      </c>
      <c r="K1128" s="31" t="s">
        <v>193</v>
      </c>
      <c r="L1128" s="31" t="s">
        <v>17</v>
      </c>
      <c r="M1128" s="31" t="s">
        <v>18</v>
      </c>
      <c r="N1128" s="31">
        <v>40</v>
      </c>
      <c r="O1128" s="31">
        <f>2024-Inventory[[#This Row],[YrBlt]]</f>
        <v>47</v>
      </c>
      <c r="P1128" s="31">
        <f>2024-Inventory[[#This Row],[EffYr]]</f>
        <v>45</v>
      </c>
      <c r="Q1128" s="30">
        <v>1977</v>
      </c>
      <c r="R1128" s="30">
        <v>1979</v>
      </c>
      <c r="S1128" s="30">
        <v>1078</v>
      </c>
      <c r="T1128" s="32"/>
      <c r="U1128" s="32"/>
      <c r="V1128" s="32"/>
      <c r="W1128" s="32"/>
      <c r="X1128" s="32">
        <f>Inventory[[#This Row],[Bsmt Area]]-Inventory[[#This Row],[FnBsmt]]</f>
        <v>0</v>
      </c>
      <c r="Y1128" s="32">
        <f>Inventory[[#This Row],[MainFn]]+Inventory[[#This Row],[UpprFn]]+Inventory[[#This Row],[AddFn]]+Inventory[[#This Row],[FnBsmt]]</f>
        <v>1078</v>
      </c>
      <c r="Z1128" s="32">
        <v>1500</v>
      </c>
      <c r="AA1128" s="31" t="s">
        <v>55</v>
      </c>
      <c r="AB1128" s="32"/>
      <c r="AC1128" s="30">
        <v>300</v>
      </c>
      <c r="AD1128" s="32"/>
      <c r="AE1128" s="32"/>
      <c r="AF1128" s="32"/>
      <c r="AG1128" s="32"/>
      <c r="AH1128" s="32"/>
      <c r="AI1128" s="30">
        <v>191301</v>
      </c>
      <c r="AJ1128" s="30">
        <v>147302</v>
      </c>
      <c r="AK1128" s="30">
        <v>0</v>
      </c>
      <c r="AL1128" s="30">
        <v>0</v>
      </c>
      <c r="AM1128" s="30">
        <v>56800</v>
      </c>
      <c r="AN1128" s="30">
        <v>216600</v>
      </c>
      <c r="AO1128" s="30">
        <v>273400</v>
      </c>
      <c r="AP1128" s="30">
        <f>Lookups!$B$58*0.6</f>
        <v>132535.48800000001</v>
      </c>
      <c r="AQ1128" s="30">
        <f>Lookups!$B$58*0.4</f>
        <v>88356.992000000013</v>
      </c>
      <c r="AR1128" s="30">
        <f>Lookups!$B$59*Inventory[[#This Row],[LnAcres]]</f>
        <v>-27827.019253685114</v>
      </c>
      <c r="AS1128" s="30">
        <f>VLOOKUP(Inventory[[#This Row],[Qlty]],Lookups!$A$66:$E$79,2,FALSE)</f>
        <v>24371.765965999999</v>
      </c>
      <c r="AT1128" s="30">
        <f>VLOOKUP(Inventory[[#This Row],[Cnd]],Lookups!$A$80:$E$88,2,FALSE)</f>
        <v>17761.121909000001</v>
      </c>
      <c r="AU1128" s="30">
        <f>Inventory[[#This Row],[EffAge]]*Lookups!$B$65</f>
        <v>-4893.3495000000003</v>
      </c>
      <c r="AV1128" s="30">
        <f>Inventory[[#This Row],[MainFn]]*Lookups!$B$90</f>
        <v>67278.389640000009</v>
      </c>
      <c r="AW1128" s="30">
        <f>Inventory[[#This Row],[UpprFn]]*Lookups!$B$91</f>
        <v>0</v>
      </c>
      <c r="AX1128" s="30">
        <f>Inventory[[#This Row],[Bsmt Area]]*Lookups!$B$95</f>
        <v>0</v>
      </c>
      <c r="AY1128" s="30">
        <f>Inventory[[#This Row],[AttGar]]*Lookups!$B$93</f>
        <v>10590.309300000001</v>
      </c>
      <c r="AZ1128" s="30">
        <f>ROUND(Inventory[[#This Row],[25Det]],-2)</f>
        <v>0</v>
      </c>
      <c r="BA1128" s="30">
        <f>ROUND(SUM(Inventory[[#This Row],[Mdl Qlty]:[Mdl Garage Area]])+Inventory[[#This Row],[Mdl Res Intercept]],-2)</f>
        <v>247600</v>
      </c>
      <c r="BB1128" s="30">
        <f>ROUND(Inventory[[#This Row],[Mdl Land Intercept]]+Inventory[[#This Row],[Mdl LnAcres]],-2)</f>
        <v>60500</v>
      </c>
      <c r="BC1128" s="30">
        <f>Inventory[[#This Row],[Unadj Res Value]]+Inventory[[#This Row],[Unadj Det Value]]+Inventory[[#This Row],[Unadj Land Value]]</f>
        <v>308100</v>
      </c>
      <c r="BD1128" s="30">
        <f>(Inventory[[#This Row],[Unadj Total Value]]-Inventory[[#This Row],[24Final]])/Inventory[[#This Row],[24Final]]</f>
        <v>0.12692026335040235</v>
      </c>
      <c r="BE1128" s="30">
        <f>VLOOKUP(Inventory[[#This Row],[Nbhd]],Lookups!$M$3:$P$5,4,FALSE)</f>
        <v>0.99970000000000003</v>
      </c>
      <c r="BF1128" s="30">
        <f>VLOOKUP(Inventory[[#This Row],[Qlty]],Lookups!$M$8:$P$22,4,FALSE)</f>
        <v>0.99199999999999999</v>
      </c>
      <c r="BG1128" s="30">
        <f>VLOOKUP(Inventory[[#This Row],[Cnd]],Lookups!$R$8:$U$17,4,FALSE)</f>
        <v>0.99680000000000002</v>
      </c>
      <c r="BH1128" s="30">
        <f>VLOOKUP(Inventory[[#This Row],[LivArea Range]],Lookups!$R$25:$U$43,4,FALSE)</f>
        <v>0.99519999999999997</v>
      </c>
      <c r="BI1128" s="30">
        <f>VLOOKUP(Inventory[[#This Row],[Decade]],Lookups!$M$24:$P$40,4,FALSE)</f>
        <v>0.95920000000000005</v>
      </c>
      <c r="BJ1128" s="30">
        <f>Inventory[[#This Row],[Nbhd Adj]]*0.95</f>
        <v>0.94971499999999998</v>
      </c>
      <c r="BK1128" s="30">
        <f>AVERAGE(Inventory[[#This Row],[Nbhd Adj]],Inventory[[#This Row],[Quality Adj]],Inventory[[#This Row],[Condition Adj]],Inventory[[#This Row],[Living Area Adj]],Inventory[[#This Row],[Decade Adj]])*0.95</f>
        <v>0.93915099999999996</v>
      </c>
      <c r="BL1128" s="30">
        <f>ROUND((SUM(Inventory[[#This Row],[Mdl Qlty]:[Mdl Garage Area]])+Inventory[[#This Row],[Mdl Res Intercept]])*Inventory[[#This Row],[Res Adj ]],-2)</f>
        <v>232600</v>
      </c>
      <c r="BM1128" s="30">
        <f>ROUND(Inventory[[#This Row],[25Det]]*Inventory[[#This Row],[Det/Nbhd Adj]],-2)</f>
        <v>0</v>
      </c>
      <c r="BN1128" s="30">
        <f>Inventory[[#This Row],[Adjusted Res]]+Inventory[[#This Row],[Adj Det ]]</f>
        <v>232600</v>
      </c>
      <c r="BO1128" s="30">
        <f>ROUND((Inventory[[#This Row],[Mdl Land Intercept]]+Inventory[[#This Row],[Mdl LnAcres]])*Inventory[[#This Row],[Det/Nbhd Adj]],-2)</f>
        <v>57500</v>
      </c>
      <c r="BP1128" s="30">
        <f>Inventory[[#This Row],[Adjusted Impr Total]]+Inventory[[#This Row],[Adjusted Land Total]]</f>
        <v>290100</v>
      </c>
      <c r="BQ1128" s="30">
        <f>IFERROR((Inventory[[#This Row],[Adjusted Impr Total]]-Inventory[[#This Row],[24Bldg]])/Inventory[[#This Row],[24Bldg]],0)</f>
        <v>7.3868882733148664E-2</v>
      </c>
      <c r="BR1128" s="43">
        <f>(Inventory[[#This Row],[Adjusted Land Total]]-Inventory[[#This Row],[24Lnd]])/Inventory[[#This Row],[24Lnd]]</f>
        <v>1.232394366197183E-2</v>
      </c>
      <c r="BS1128" s="43">
        <f>(Inventory[[#This Row],[Adjusted Total]]-Inventory[[#This Row],[24Final]])/Inventory[[#This Row],[24Final]]</f>
        <v>6.1082662765179221E-2</v>
      </c>
    </row>
    <row r="1129" spans="1:71">
      <c r="A1129" s="30">
        <v>2025</v>
      </c>
      <c r="B1129" s="31" t="s">
        <v>1645</v>
      </c>
      <c r="C1129" s="31">
        <f>LN(Inventory[[#This Row],[Acres]])</f>
        <v>-1.3862943611198906</v>
      </c>
      <c r="D1129" s="30">
        <v>0.25</v>
      </c>
      <c r="E1129" s="30">
        <v>10846</v>
      </c>
      <c r="F1129" s="31" t="s">
        <v>505</v>
      </c>
      <c r="G1129" s="31" t="s">
        <v>155</v>
      </c>
      <c r="H1129" s="31" t="s">
        <v>5</v>
      </c>
      <c r="I1129" s="31" t="s">
        <v>506</v>
      </c>
      <c r="J1129" s="31" t="s">
        <v>507</v>
      </c>
      <c r="K1129" s="31" t="s">
        <v>193</v>
      </c>
      <c r="L1129" s="31" t="s">
        <v>15</v>
      </c>
      <c r="M1129" s="31" t="s">
        <v>20</v>
      </c>
      <c r="N1129" s="31">
        <v>40</v>
      </c>
      <c r="O1129" s="31">
        <f>2024-Inventory[[#This Row],[YrBlt]]</f>
        <v>47</v>
      </c>
      <c r="P1129" s="31">
        <f>2024-Inventory[[#This Row],[EffYr]]</f>
        <v>45</v>
      </c>
      <c r="Q1129" s="30">
        <v>1977</v>
      </c>
      <c r="R1129" s="30">
        <v>1979</v>
      </c>
      <c r="S1129" s="30">
        <v>1040</v>
      </c>
      <c r="T1129" s="32"/>
      <c r="U1129" s="32"/>
      <c r="V1129" s="32"/>
      <c r="W1129" s="32"/>
      <c r="X1129" s="32">
        <f>Inventory[[#This Row],[Bsmt Area]]-Inventory[[#This Row],[FnBsmt]]</f>
        <v>0</v>
      </c>
      <c r="Y1129" s="32">
        <f>Inventory[[#This Row],[MainFn]]+Inventory[[#This Row],[UpprFn]]+Inventory[[#This Row],[AddFn]]+Inventory[[#This Row],[FnBsmt]]</f>
        <v>1040</v>
      </c>
      <c r="Z1129" s="32">
        <v>1500</v>
      </c>
      <c r="AA1129" s="31" t="s">
        <v>56</v>
      </c>
      <c r="AB1129" s="37"/>
      <c r="AC1129" s="37"/>
      <c r="AD1129" s="32"/>
      <c r="AE1129" s="32"/>
      <c r="AF1129" s="32"/>
      <c r="AG1129" s="32"/>
      <c r="AH1129" s="32"/>
      <c r="AI1129" s="30">
        <v>162977</v>
      </c>
      <c r="AJ1129" s="30">
        <v>127122</v>
      </c>
      <c r="AK1129" s="30">
        <v>20915</v>
      </c>
      <c r="AL1129" s="30">
        <v>0</v>
      </c>
      <c r="AM1129" s="30">
        <v>67100</v>
      </c>
      <c r="AN1129" s="30">
        <v>219600</v>
      </c>
      <c r="AO1129" s="30">
        <v>286700</v>
      </c>
      <c r="AP1129" s="30">
        <f>Lookups!$B$58*0.6</f>
        <v>132535.48800000001</v>
      </c>
      <c r="AQ1129" s="30">
        <f>Lookups!$B$58*0.4</f>
        <v>88356.992000000013</v>
      </c>
      <c r="AR1129" s="30">
        <f>Lookups!$B$59*Inventory[[#This Row],[LnAcres]]</f>
        <v>-18194.172195827363</v>
      </c>
      <c r="AS1129" s="30">
        <f>VLOOKUP(Inventory[[#This Row],[Qlty]],Lookups!$A$66:$E$79,2,FALSE)</f>
        <v>-1240.8083630000001</v>
      </c>
      <c r="AT1129" s="30">
        <f>VLOOKUP(Inventory[[#This Row],[Cnd]],Lookups!$A$80:$E$88,2,FALSE)</f>
        <v>30300.329274</v>
      </c>
      <c r="AU1129" s="30">
        <f>Inventory[[#This Row],[EffAge]]*Lookups!$B$65</f>
        <v>-4893.3495000000003</v>
      </c>
      <c r="AV1129" s="30">
        <f>Inventory[[#This Row],[MainFn]]*Lookups!$B$90</f>
        <v>64906.7952</v>
      </c>
      <c r="AW1129" s="30">
        <f>Inventory[[#This Row],[UpprFn]]*Lookups!$B$91</f>
        <v>0</v>
      </c>
      <c r="AX1129" s="30">
        <f>Inventory[[#This Row],[Bsmt Area]]*Lookups!$B$95</f>
        <v>0</v>
      </c>
      <c r="AY1129" s="30">
        <f>Inventory[[#This Row],[AttGar]]*Lookups!$B$93</f>
        <v>0</v>
      </c>
      <c r="AZ1129" s="30">
        <f>ROUND(Inventory[[#This Row],[25Det]],-2)</f>
        <v>20900</v>
      </c>
      <c r="BA1129" s="30">
        <f>ROUND(SUM(Inventory[[#This Row],[Mdl Qlty]:[Mdl Garage Area]])+Inventory[[#This Row],[Mdl Res Intercept]],-2)</f>
        <v>221600</v>
      </c>
      <c r="BB1129" s="30">
        <f>ROUND(Inventory[[#This Row],[Mdl Land Intercept]]+Inventory[[#This Row],[Mdl LnAcres]],-2)</f>
        <v>70200</v>
      </c>
      <c r="BC1129" s="30">
        <f>Inventory[[#This Row],[Unadj Res Value]]+Inventory[[#This Row],[Unadj Det Value]]+Inventory[[#This Row],[Unadj Land Value]]</f>
        <v>312700</v>
      </c>
      <c r="BD1129" s="30">
        <f>(Inventory[[#This Row],[Unadj Total Value]]-Inventory[[#This Row],[24Final]])/Inventory[[#This Row],[24Final]]</f>
        <v>9.068712940355772E-2</v>
      </c>
      <c r="BE1129" s="30">
        <f>VLOOKUP(Inventory[[#This Row],[Nbhd]],Lookups!$M$3:$P$5,4,FALSE)</f>
        <v>0.99970000000000003</v>
      </c>
      <c r="BF1129" s="30">
        <f>VLOOKUP(Inventory[[#This Row],[Qlty]],Lookups!$M$8:$P$22,4,FALSE)</f>
        <v>1.0022</v>
      </c>
      <c r="BG1129" s="30">
        <f>VLOOKUP(Inventory[[#This Row],[Cnd]],Lookups!$R$8:$U$17,4,FALSE)</f>
        <v>0.997</v>
      </c>
      <c r="BH1129" s="30">
        <f>VLOOKUP(Inventory[[#This Row],[LivArea Range]],Lookups!$R$25:$U$43,4,FALSE)</f>
        <v>0.99519999999999997</v>
      </c>
      <c r="BI1129" s="30">
        <f>VLOOKUP(Inventory[[#This Row],[Decade]],Lookups!$M$24:$P$40,4,FALSE)</f>
        <v>0.95920000000000005</v>
      </c>
      <c r="BJ1129" s="30">
        <f>Inventory[[#This Row],[Nbhd Adj]]*0.95</f>
        <v>0.94971499999999998</v>
      </c>
      <c r="BK1129" s="30">
        <f>AVERAGE(Inventory[[#This Row],[Nbhd Adj]],Inventory[[#This Row],[Quality Adj]],Inventory[[#This Row],[Condition Adj]],Inventory[[#This Row],[Living Area Adj]],Inventory[[#This Row],[Decade Adj]])*0.95</f>
        <v>0.94112700000000005</v>
      </c>
      <c r="BL1129" s="30">
        <f>ROUND((SUM(Inventory[[#This Row],[Mdl Qlty]:[Mdl Garage Area]])+Inventory[[#This Row],[Mdl Res Intercept]])*Inventory[[#This Row],[Res Adj ]],-2)</f>
        <v>208600</v>
      </c>
      <c r="BM1129" s="30">
        <f>ROUND(Inventory[[#This Row],[25Det]]*Inventory[[#This Row],[Det/Nbhd Adj]],-2)</f>
        <v>19900</v>
      </c>
      <c r="BN1129" s="30">
        <f>Inventory[[#This Row],[Adjusted Res]]+Inventory[[#This Row],[Adj Det ]]</f>
        <v>228500</v>
      </c>
      <c r="BO1129" s="30">
        <f>ROUND((Inventory[[#This Row],[Mdl Land Intercept]]+Inventory[[#This Row],[Mdl LnAcres]])*Inventory[[#This Row],[Det/Nbhd Adj]],-2)</f>
        <v>66600</v>
      </c>
      <c r="BP1129" s="30">
        <f>Inventory[[#This Row],[Adjusted Impr Total]]+Inventory[[#This Row],[Adjusted Land Total]]</f>
        <v>295100</v>
      </c>
      <c r="BQ1129" s="30">
        <f>IFERROR((Inventory[[#This Row],[Adjusted Impr Total]]-Inventory[[#This Row],[24Bldg]])/Inventory[[#This Row],[24Bldg]],0)</f>
        <v>4.0528233151183972E-2</v>
      </c>
      <c r="BR1129" s="43">
        <f>(Inventory[[#This Row],[Adjusted Land Total]]-Inventory[[#This Row],[24Lnd]])/Inventory[[#This Row],[24Lnd]]</f>
        <v>-7.4515648286140089E-3</v>
      </c>
      <c r="BS1129" s="43">
        <f>(Inventory[[#This Row],[Adjusted Total]]-Inventory[[#This Row],[24Final]])/Inventory[[#This Row],[24Final]]</f>
        <v>2.9298918730380187E-2</v>
      </c>
    </row>
    <row r="1130" spans="1:71">
      <c r="A1130" s="30">
        <v>2025</v>
      </c>
      <c r="B1130" s="31" t="s">
        <v>1646</v>
      </c>
      <c r="C1130" s="31">
        <f>LN(Inventory[[#This Row],[Acres]])</f>
        <v>-1.3470736479666092</v>
      </c>
      <c r="D1130" s="30">
        <v>0.26</v>
      </c>
      <c r="E1130" s="30">
        <v>11290</v>
      </c>
      <c r="F1130" s="31" t="s">
        <v>505</v>
      </c>
      <c r="G1130" s="31" t="s">
        <v>155</v>
      </c>
      <c r="H1130" s="31" t="s">
        <v>5</v>
      </c>
      <c r="I1130" s="31" t="s">
        <v>506</v>
      </c>
      <c r="J1130" s="31" t="s">
        <v>507</v>
      </c>
      <c r="K1130" s="31" t="s">
        <v>193</v>
      </c>
      <c r="L1130" s="31" t="s">
        <v>17</v>
      </c>
      <c r="M1130" s="31" t="s">
        <v>18</v>
      </c>
      <c r="N1130" s="31">
        <v>40</v>
      </c>
      <c r="O1130" s="31">
        <f>2024-Inventory[[#This Row],[YrBlt]]</f>
        <v>47</v>
      </c>
      <c r="P1130" s="31">
        <f>2024-Inventory[[#This Row],[EffYr]]</f>
        <v>45</v>
      </c>
      <c r="Q1130" s="30">
        <v>1977</v>
      </c>
      <c r="R1130" s="30">
        <v>1979</v>
      </c>
      <c r="S1130" s="30">
        <v>1296</v>
      </c>
      <c r="T1130" s="37"/>
      <c r="U1130" s="32"/>
      <c r="V1130" s="32"/>
      <c r="W1130" s="32"/>
      <c r="X1130" s="32">
        <f>Inventory[[#This Row],[Bsmt Area]]-Inventory[[#This Row],[FnBsmt]]</f>
        <v>0</v>
      </c>
      <c r="Y1130" s="32">
        <f>Inventory[[#This Row],[MainFn]]+Inventory[[#This Row],[UpprFn]]+Inventory[[#This Row],[AddFn]]+Inventory[[#This Row],[FnBsmt]]</f>
        <v>1296</v>
      </c>
      <c r="Z1130" s="32">
        <v>1500</v>
      </c>
      <c r="AA1130" s="31" t="s">
        <v>55</v>
      </c>
      <c r="AB1130" s="32"/>
      <c r="AC1130" s="37"/>
      <c r="AD1130" s="32"/>
      <c r="AE1130" s="32"/>
      <c r="AF1130" s="32"/>
      <c r="AG1130" s="32"/>
      <c r="AH1130" s="32"/>
      <c r="AI1130" s="30">
        <v>209853</v>
      </c>
      <c r="AJ1130" s="30">
        <v>161587</v>
      </c>
      <c r="AK1130" s="30">
        <v>0</v>
      </c>
      <c r="AL1130" s="30">
        <v>0</v>
      </c>
      <c r="AM1130" s="30">
        <v>67600</v>
      </c>
      <c r="AN1130" s="30">
        <v>212500</v>
      </c>
      <c r="AO1130" s="30">
        <v>280100</v>
      </c>
      <c r="AP1130" s="30">
        <f>Lookups!$B$58*0.6</f>
        <v>132535.48800000001</v>
      </c>
      <c r="AQ1130" s="30">
        <f>Lookups!$B$58*0.4</f>
        <v>88356.992000000013</v>
      </c>
      <c r="AR1130" s="30">
        <f>Lookups!$B$59*Inventory[[#This Row],[LnAcres]]</f>
        <v>-17679.426966554776</v>
      </c>
      <c r="AS1130" s="30">
        <f>VLOOKUP(Inventory[[#This Row],[Qlty]],Lookups!$A$66:$E$79,2,FALSE)</f>
        <v>24371.765965999999</v>
      </c>
      <c r="AT1130" s="30">
        <f>VLOOKUP(Inventory[[#This Row],[Cnd]],Lookups!$A$80:$E$88,2,FALSE)</f>
        <v>17761.121909000001</v>
      </c>
      <c r="AU1130" s="30">
        <f>Inventory[[#This Row],[EffAge]]*Lookups!$B$65</f>
        <v>-4893.3495000000003</v>
      </c>
      <c r="AV1130" s="30">
        <f>Inventory[[#This Row],[MainFn]]*Lookups!$B$90</f>
        <v>80883.852480000001</v>
      </c>
      <c r="AW1130" s="30">
        <f>Inventory[[#This Row],[UpprFn]]*Lookups!$B$91</f>
        <v>0</v>
      </c>
      <c r="AX1130" s="30">
        <f>Inventory[[#This Row],[Bsmt Area]]*Lookups!$B$95</f>
        <v>0</v>
      </c>
      <c r="AY1130" s="30">
        <f>Inventory[[#This Row],[AttGar]]*Lookups!$B$93</f>
        <v>0</v>
      </c>
      <c r="AZ1130" s="30">
        <f>ROUND(Inventory[[#This Row],[25Det]],-2)</f>
        <v>0</v>
      </c>
      <c r="BA1130" s="30">
        <f>ROUND(SUM(Inventory[[#This Row],[Mdl Qlty]:[Mdl Garage Area]])+Inventory[[#This Row],[Mdl Res Intercept]],-2)</f>
        <v>250700</v>
      </c>
      <c r="BB1130" s="30">
        <f>ROUND(Inventory[[#This Row],[Mdl Land Intercept]]+Inventory[[#This Row],[Mdl LnAcres]],-2)</f>
        <v>70700</v>
      </c>
      <c r="BC1130" s="30">
        <f>Inventory[[#This Row],[Unadj Res Value]]+Inventory[[#This Row],[Unadj Det Value]]+Inventory[[#This Row],[Unadj Land Value]]</f>
        <v>321400</v>
      </c>
      <c r="BD1130" s="30">
        <f>(Inventory[[#This Row],[Unadj Total Value]]-Inventory[[#This Row],[24Final]])/Inventory[[#This Row],[24Final]]</f>
        <v>0.14744734023563014</v>
      </c>
      <c r="BE1130" s="30">
        <f>VLOOKUP(Inventory[[#This Row],[Nbhd]],Lookups!$M$3:$P$5,4,FALSE)</f>
        <v>0.99970000000000003</v>
      </c>
      <c r="BF1130" s="30">
        <f>VLOOKUP(Inventory[[#This Row],[Qlty]],Lookups!$M$8:$P$22,4,FALSE)</f>
        <v>0.99199999999999999</v>
      </c>
      <c r="BG1130" s="30">
        <f>VLOOKUP(Inventory[[#This Row],[Cnd]],Lookups!$R$8:$U$17,4,FALSE)</f>
        <v>0.99680000000000002</v>
      </c>
      <c r="BH1130" s="30">
        <f>VLOOKUP(Inventory[[#This Row],[LivArea Range]],Lookups!$R$25:$U$43,4,FALSE)</f>
        <v>0.99519999999999997</v>
      </c>
      <c r="BI1130" s="30">
        <f>VLOOKUP(Inventory[[#This Row],[Decade]],Lookups!$M$24:$P$40,4,FALSE)</f>
        <v>0.95920000000000005</v>
      </c>
      <c r="BJ1130" s="30">
        <f>Inventory[[#This Row],[Nbhd Adj]]*0.95</f>
        <v>0.94971499999999998</v>
      </c>
      <c r="BK1130" s="30">
        <f>AVERAGE(Inventory[[#This Row],[Nbhd Adj]],Inventory[[#This Row],[Quality Adj]],Inventory[[#This Row],[Condition Adj]],Inventory[[#This Row],[Living Area Adj]],Inventory[[#This Row],[Decade Adj]])*0.95</f>
        <v>0.93915099999999996</v>
      </c>
      <c r="BL1130" s="30">
        <f>ROUND((SUM(Inventory[[#This Row],[Mdl Qlty]:[Mdl Garage Area]])+Inventory[[#This Row],[Mdl Res Intercept]])*Inventory[[#This Row],[Res Adj ]],-2)</f>
        <v>235400</v>
      </c>
      <c r="BM1130" s="30">
        <f>ROUND(Inventory[[#This Row],[25Det]]*Inventory[[#This Row],[Det/Nbhd Adj]],-2)</f>
        <v>0</v>
      </c>
      <c r="BN1130" s="30">
        <f>Inventory[[#This Row],[Adjusted Res]]+Inventory[[#This Row],[Adj Det ]]</f>
        <v>235400</v>
      </c>
      <c r="BO1130" s="30">
        <f>ROUND((Inventory[[#This Row],[Mdl Land Intercept]]+Inventory[[#This Row],[Mdl LnAcres]])*Inventory[[#This Row],[Det/Nbhd Adj]],-2)</f>
        <v>67100</v>
      </c>
      <c r="BP1130" s="30">
        <f>Inventory[[#This Row],[Adjusted Impr Total]]+Inventory[[#This Row],[Adjusted Land Total]]</f>
        <v>302500</v>
      </c>
      <c r="BQ1130" s="30">
        <f>IFERROR((Inventory[[#This Row],[Adjusted Impr Total]]-Inventory[[#This Row],[24Bldg]])/Inventory[[#This Row],[24Bldg]],0)</f>
        <v>0.10776470588235294</v>
      </c>
      <c r="BR1130" s="43">
        <f>(Inventory[[#This Row],[Adjusted Land Total]]-Inventory[[#This Row],[24Lnd]])/Inventory[[#This Row],[24Lnd]]</f>
        <v>-7.3964497041420114E-3</v>
      </c>
      <c r="BS1130" s="43">
        <f>(Inventory[[#This Row],[Adjusted Total]]-Inventory[[#This Row],[24Final]])/Inventory[[#This Row],[24Final]]</f>
        <v>7.9971438771867187E-2</v>
      </c>
    </row>
    <row r="1131" spans="1:71">
      <c r="A1131" s="30">
        <v>2025</v>
      </c>
      <c r="B1131" s="31" t="s">
        <v>1647</v>
      </c>
      <c r="C1131" s="31">
        <f>LN(Inventory[[#This Row],[Acres]])</f>
        <v>-1.3862943611198906</v>
      </c>
      <c r="D1131" s="30">
        <v>0.25</v>
      </c>
      <c r="E1131" s="30">
        <v>10679</v>
      </c>
      <c r="F1131" s="31" t="s">
        <v>505</v>
      </c>
      <c r="G1131" s="31" t="s">
        <v>155</v>
      </c>
      <c r="H1131" s="31" t="s">
        <v>5</v>
      </c>
      <c r="I1131" s="31" t="s">
        <v>506</v>
      </c>
      <c r="J1131" s="31" t="s">
        <v>507</v>
      </c>
      <c r="K1131" s="31" t="s">
        <v>193</v>
      </c>
      <c r="L1131" s="31" t="s">
        <v>15</v>
      </c>
      <c r="M1131" s="31" t="s">
        <v>20</v>
      </c>
      <c r="N1131" s="31">
        <v>40</v>
      </c>
      <c r="O1131" s="31">
        <f>2024-Inventory[[#This Row],[YrBlt]]</f>
        <v>48</v>
      </c>
      <c r="P1131" s="31">
        <f>2024-Inventory[[#This Row],[EffYr]]</f>
        <v>45</v>
      </c>
      <c r="Q1131" s="30">
        <v>1976</v>
      </c>
      <c r="R1131" s="30">
        <v>1979</v>
      </c>
      <c r="S1131" s="30">
        <v>1248</v>
      </c>
      <c r="T1131" s="32"/>
      <c r="U1131" s="32"/>
      <c r="V1131" s="32"/>
      <c r="W1131" s="32"/>
      <c r="X1131" s="32">
        <f>Inventory[[#This Row],[Bsmt Area]]-Inventory[[#This Row],[FnBsmt]]</f>
        <v>0</v>
      </c>
      <c r="Y1131" s="32">
        <f>Inventory[[#This Row],[MainFn]]+Inventory[[#This Row],[UpprFn]]+Inventory[[#This Row],[AddFn]]+Inventory[[#This Row],[FnBsmt]]</f>
        <v>1248</v>
      </c>
      <c r="Z1131" s="32">
        <v>1500</v>
      </c>
      <c r="AA1131" s="31" t="s">
        <v>56</v>
      </c>
      <c r="AB1131" s="37"/>
      <c r="AC1131" s="37"/>
      <c r="AD1131" s="32"/>
      <c r="AE1131" s="32"/>
      <c r="AF1131" s="32"/>
      <c r="AG1131" s="32"/>
      <c r="AH1131" s="32"/>
      <c r="AI1131" s="30">
        <v>184259</v>
      </c>
      <c r="AJ1131" s="30">
        <v>143722</v>
      </c>
      <c r="AK1131" s="30">
        <v>0</v>
      </c>
      <c r="AL1131" s="30">
        <v>0</v>
      </c>
      <c r="AM1131" s="30">
        <v>67100</v>
      </c>
      <c r="AN1131" s="30">
        <v>212300</v>
      </c>
      <c r="AO1131" s="30">
        <v>279400</v>
      </c>
      <c r="AP1131" s="30">
        <f>Lookups!$B$58*0.6</f>
        <v>132535.48800000001</v>
      </c>
      <c r="AQ1131" s="30">
        <f>Lookups!$B$58*0.4</f>
        <v>88356.992000000013</v>
      </c>
      <c r="AR1131" s="30">
        <f>Lookups!$B$59*Inventory[[#This Row],[LnAcres]]</f>
        <v>-18194.172195827363</v>
      </c>
      <c r="AS1131" s="30">
        <f>VLOOKUP(Inventory[[#This Row],[Qlty]],Lookups!$A$66:$E$79,2,FALSE)</f>
        <v>-1240.8083630000001</v>
      </c>
      <c r="AT1131" s="30">
        <f>VLOOKUP(Inventory[[#This Row],[Cnd]],Lookups!$A$80:$E$88,2,FALSE)</f>
        <v>30300.329274</v>
      </c>
      <c r="AU1131" s="30">
        <f>Inventory[[#This Row],[EffAge]]*Lookups!$B$65</f>
        <v>-4893.3495000000003</v>
      </c>
      <c r="AV1131" s="30">
        <f>Inventory[[#This Row],[MainFn]]*Lookups!$B$90</f>
        <v>77888.154240000003</v>
      </c>
      <c r="AW1131" s="30">
        <f>Inventory[[#This Row],[UpprFn]]*Lookups!$B$91</f>
        <v>0</v>
      </c>
      <c r="AX1131" s="30">
        <f>Inventory[[#This Row],[Bsmt Area]]*Lookups!$B$95</f>
        <v>0</v>
      </c>
      <c r="AY1131" s="30">
        <f>Inventory[[#This Row],[AttGar]]*Lookups!$B$93</f>
        <v>0</v>
      </c>
      <c r="AZ1131" s="30">
        <f>ROUND(Inventory[[#This Row],[25Det]],-2)</f>
        <v>0</v>
      </c>
      <c r="BA1131" s="30">
        <f>ROUND(SUM(Inventory[[#This Row],[Mdl Qlty]:[Mdl Garage Area]])+Inventory[[#This Row],[Mdl Res Intercept]],-2)</f>
        <v>234600</v>
      </c>
      <c r="BB1131" s="30">
        <f>ROUND(Inventory[[#This Row],[Mdl Land Intercept]]+Inventory[[#This Row],[Mdl LnAcres]],-2)</f>
        <v>70200</v>
      </c>
      <c r="BC1131" s="30">
        <f>Inventory[[#This Row],[Unadj Res Value]]+Inventory[[#This Row],[Unadj Det Value]]+Inventory[[#This Row],[Unadj Land Value]]</f>
        <v>304800</v>
      </c>
      <c r="BD1131" s="30">
        <f>(Inventory[[#This Row],[Unadj Total Value]]-Inventory[[#This Row],[24Final]])/Inventory[[#This Row],[24Final]]</f>
        <v>9.0909090909090912E-2</v>
      </c>
      <c r="BE1131" s="30">
        <f>VLOOKUP(Inventory[[#This Row],[Nbhd]],Lookups!$M$3:$P$5,4,FALSE)</f>
        <v>0.99970000000000003</v>
      </c>
      <c r="BF1131" s="30">
        <f>VLOOKUP(Inventory[[#This Row],[Qlty]],Lookups!$M$8:$P$22,4,FALSE)</f>
        <v>1.0022</v>
      </c>
      <c r="BG1131" s="30">
        <f>VLOOKUP(Inventory[[#This Row],[Cnd]],Lookups!$R$8:$U$17,4,FALSE)</f>
        <v>0.997</v>
      </c>
      <c r="BH1131" s="30">
        <f>VLOOKUP(Inventory[[#This Row],[LivArea Range]],Lookups!$R$25:$U$43,4,FALSE)</f>
        <v>0.99519999999999997</v>
      </c>
      <c r="BI1131" s="30">
        <f>VLOOKUP(Inventory[[#This Row],[Decade]],Lookups!$M$24:$P$40,4,FALSE)</f>
        <v>0.95920000000000005</v>
      </c>
      <c r="BJ1131" s="30">
        <f>Inventory[[#This Row],[Nbhd Adj]]*0.95</f>
        <v>0.94971499999999998</v>
      </c>
      <c r="BK1131" s="30">
        <f>AVERAGE(Inventory[[#This Row],[Nbhd Adj]],Inventory[[#This Row],[Quality Adj]],Inventory[[#This Row],[Condition Adj]],Inventory[[#This Row],[Living Area Adj]],Inventory[[#This Row],[Decade Adj]])*0.95</f>
        <v>0.94112700000000005</v>
      </c>
      <c r="BL1131" s="30">
        <f>ROUND((SUM(Inventory[[#This Row],[Mdl Qlty]:[Mdl Garage Area]])+Inventory[[#This Row],[Mdl Res Intercept]])*Inventory[[#This Row],[Res Adj ]],-2)</f>
        <v>220800</v>
      </c>
      <c r="BM1131" s="30">
        <f>ROUND(Inventory[[#This Row],[25Det]]*Inventory[[#This Row],[Det/Nbhd Adj]],-2)</f>
        <v>0</v>
      </c>
      <c r="BN1131" s="30">
        <f>Inventory[[#This Row],[Adjusted Res]]+Inventory[[#This Row],[Adj Det ]]</f>
        <v>220800</v>
      </c>
      <c r="BO1131" s="30">
        <f>ROUND((Inventory[[#This Row],[Mdl Land Intercept]]+Inventory[[#This Row],[Mdl LnAcres]])*Inventory[[#This Row],[Det/Nbhd Adj]],-2)</f>
        <v>66600</v>
      </c>
      <c r="BP1131" s="30">
        <f>Inventory[[#This Row],[Adjusted Impr Total]]+Inventory[[#This Row],[Adjusted Land Total]]</f>
        <v>287400</v>
      </c>
      <c r="BQ1131" s="30">
        <f>IFERROR((Inventory[[#This Row],[Adjusted Impr Total]]-Inventory[[#This Row],[24Bldg]])/Inventory[[#This Row],[24Bldg]],0)</f>
        <v>4.0037682524729154E-2</v>
      </c>
      <c r="BR1131" s="43">
        <f>(Inventory[[#This Row],[Adjusted Land Total]]-Inventory[[#This Row],[24Lnd]])/Inventory[[#This Row],[24Lnd]]</f>
        <v>-7.4515648286140089E-3</v>
      </c>
      <c r="BS1131" s="43">
        <f>(Inventory[[#This Row],[Adjusted Total]]-Inventory[[#This Row],[24Final]])/Inventory[[#This Row],[24Final]]</f>
        <v>2.863278453829635E-2</v>
      </c>
    </row>
    <row r="1132" spans="1:71">
      <c r="A1132" s="30">
        <v>2025</v>
      </c>
      <c r="B1132" s="31" t="s">
        <v>1648</v>
      </c>
      <c r="C1132" s="31">
        <f>LN(Inventory[[#This Row],[Acres]])</f>
        <v>-1.3862943611198906</v>
      </c>
      <c r="D1132" s="30">
        <v>0.25</v>
      </c>
      <c r="E1132" s="30">
        <v>10862</v>
      </c>
      <c r="F1132" s="31" t="s">
        <v>505</v>
      </c>
      <c r="G1132" s="31" t="s">
        <v>155</v>
      </c>
      <c r="H1132" s="31" t="s">
        <v>5</v>
      </c>
      <c r="I1132" s="31" t="s">
        <v>506</v>
      </c>
      <c r="J1132" s="31" t="s">
        <v>507</v>
      </c>
      <c r="K1132" s="31" t="s">
        <v>193</v>
      </c>
      <c r="L1132" s="31" t="s">
        <v>15</v>
      </c>
      <c r="M1132" s="31" t="s">
        <v>18</v>
      </c>
      <c r="N1132" s="31">
        <v>40</v>
      </c>
      <c r="O1132" s="31">
        <f>2024-Inventory[[#This Row],[YrBlt]]</f>
        <v>48</v>
      </c>
      <c r="P1132" s="31">
        <f>2024-Inventory[[#This Row],[EffYr]]</f>
        <v>45</v>
      </c>
      <c r="Q1132" s="30">
        <v>1976</v>
      </c>
      <c r="R1132" s="30">
        <v>1979</v>
      </c>
      <c r="S1132" s="30">
        <v>1404</v>
      </c>
      <c r="T1132" s="32"/>
      <c r="U1132" s="32"/>
      <c r="V1132" s="32"/>
      <c r="W1132" s="32"/>
      <c r="X1132" s="32">
        <f>Inventory[[#This Row],[Bsmt Area]]-Inventory[[#This Row],[FnBsmt]]</f>
        <v>0</v>
      </c>
      <c r="Y1132" s="32">
        <f>Inventory[[#This Row],[MainFn]]+Inventory[[#This Row],[UpprFn]]+Inventory[[#This Row],[AddFn]]+Inventory[[#This Row],[FnBsmt]]</f>
        <v>1404</v>
      </c>
      <c r="Z1132" s="32">
        <v>1500</v>
      </c>
      <c r="AA1132" s="31" t="s">
        <v>56</v>
      </c>
      <c r="AB1132" s="32"/>
      <c r="AC1132" s="37"/>
      <c r="AD1132" s="32"/>
      <c r="AE1132" s="32"/>
      <c r="AF1132" s="32"/>
      <c r="AG1132" s="32"/>
      <c r="AH1132" s="32"/>
      <c r="AI1132" s="30">
        <v>205608</v>
      </c>
      <c r="AJ1132" s="30">
        <v>158318</v>
      </c>
      <c r="AK1132" s="30">
        <v>0</v>
      </c>
      <c r="AL1132" s="30">
        <v>0</v>
      </c>
      <c r="AM1132" s="30">
        <v>67100</v>
      </c>
      <c r="AN1132" s="30">
        <v>202100</v>
      </c>
      <c r="AO1132" s="30">
        <v>269200</v>
      </c>
      <c r="AP1132" s="30">
        <f>Lookups!$B$58*0.6</f>
        <v>132535.48800000001</v>
      </c>
      <c r="AQ1132" s="30">
        <f>Lookups!$B$58*0.4</f>
        <v>88356.992000000013</v>
      </c>
      <c r="AR1132" s="30">
        <f>Lookups!$B$59*Inventory[[#This Row],[LnAcres]]</f>
        <v>-18194.172195827363</v>
      </c>
      <c r="AS1132" s="30">
        <f>VLOOKUP(Inventory[[#This Row],[Qlty]],Lookups!$A$66:$E$79,2,FALSE)</f>
        <v>-1240.8083630000001</v>
      </c>
      <c r="AT1132" s="30">
        <f>VLOOKUP(Inventory[[#This Row],[Cnd]],Lookups!$A$80:$E$88,2,FALSE)</f>
        <v>17761.121909000001</v>
      </c>
      <c r="AU1132" s="30">
        <f>Inventory[[#This Row],[EffAge]]*Lookups!$B$65</f>
        <v>-4893.3495000000003</v>
      </c>
      <c r="AV1132" s="30">
        <f>Inventory[[#This Row],[MainFn]]*Lookups!$B$90</f>
        <v>87624.173520000011</v>
      </c>
      <c r="AW1132" s="30">
        <f>Inventory[[#This Row],[UpprFn]]*Lookups!$B$91</f>
        <v>0</v>
      </c>
      <c r="AX1132" s="30">
        <f>Inventory[[#This Row],[Bsmt Area]]*Lookups!$B$95</f>
        <v>0</v>
      </c>
      <c r="AY1132" s="30">
        <f>Inventory[[#This Row],[AttGar]]*Lookups!$B$93</f>
        <v>0</v>
      </c>
      <c r="AZ1132" s="30">
        <f>ROUND(Inventory[[#This Row],[25Det]],-2)</f>
        <v>0</v>
      </c>
      <c r="BA1132" s="30">
        <f>ROUND(SUM(Inventory[[#This Row],[Mdl Qlty]:[Mdl Garage Area]])+Inventory[[#This Row],[Mdl Res Intercept]],-2)</f>
        <v>231800</v>
      </c>
      <c r="BB1132" s="30">
        <f>ROUND(Inventory[[#This Row],[Mdl Land Intercept]]+Inventory[[#This Row],[Mdl LnAcres]],-2)</f>
        <v>70200</v>
      </c>
      <c r="BC1132" s="30">
        <f>Inventory[[#This Row],[Unadj Res Value]]+Inventory[[#This Row],[Unadj Det Value]]+Inventory[[#This Row],[Unadj Land Value]]</f>
        <v>302000</v>
      </c>
      <c r="BD1132" s="30">
        <f>(Inventory[[#This Row],[Unadj Total Value]]-Inventory[[#This Row],[24Final]])/Inventory[[#This Row],[24Final]]</f>
        <v>0.12184249628528974</v>
      </c>
      <c r="BE1132" s="30">
        <f>VLOOKUP(Inventory[[#This Row],[Nbhd]],Lookups!$M$3:$P$5,4,FALSE)</f>
        <v>0.99970000000000003</v>
      </c>
      <c r="BF1132" s="30">
        <f>VLOOKUP(Inventory[[#This Row],[Qlty]],Lookups!$M$8:$P$22,4,FALSE)</f>
        <v>1.0022</v>
      </c>
      <c r="BG1132" s="30">
        <f>VLOOKUP(Inventory[[#This Row],[Cnd]],Lookups!$R$8:$U$17,4,FALSE)</f>
        <v>0.99680000000000002</v>
      </c>
      <c r="BH1132" s="30">
        <f>VLOOKUP(Inventory[[#This Row],[LivArea Range]],Lookups!$R$25:$U$43,4,FALSE)</f>
        <v>0.99519999999999997</v>
      </c>
      <c r="BI1132" s="30">
        <f>VLOOKUP(Inventory[[#This Row],[Decade]],Lookups!$M$24:$P$40,4,FALSE)</f>
        <v>0.95920000000000005</v>
      </c>
      <c r="BJ1132" s="30">
        <f>Inventory[[#This Row],[Nbhd Adj]]*0.95</f>
        <v>0.94971499999999998</v>
      </c>
      <c r="BK1132" s="30">
        <f>AVERAGE(Inventory[[#This Row],[Nbhd Adj]],Inventory[[#This Row],[Quality Adj]],Inventory[[#This Row],[Condition Adj]],Inventory[[#This Row],[Living Area Adj]],Inventory[[#This Row],[Decade Adj]])*0.95</f>
        <v>0.94108900000000006</v>
      </c>
      <c r="BL1132" s="30">
        <f>ROUND((SUM(Inventory[[#This Row],[Mdl Qlty]:[Mdl Garage Area]])+Inventory[[#This Row],[Mdl Res Intercept]])*Inventory[[#This Row],[Res Adj ]],-2)</f>
        <v>218100</v>
      </c>
      <c r="BM1132" s="30">
        <f>ROUND(Inventory[[#This Row],[25Det]]*Inventory[[#This Row],[Det/Nbhd Adj]],-2)</f>
        <v>0</v>
      </c>
      <c r="BN1132" s="30">
        <f>Inventory[[#This Row],[Adjusted Res]]+Inventory[[#This Row],[Adj Det ]]</f>
        <v>218100</v>
      </c>
      <c r="BO1132" s="30">
        <f>ROUND((Inventory[[#This Row],[Mdl Land Intercept]]+Inventory[[#This Row],[Mdl LnAcres]])*Inventory[[#This Row],[Det/Nbhd Adj]],-2)</f>
        <v>66600</v>
      </c>
      <c r="BP1132" s="30">
        <f>Inventory[[#This Row],[Adjusted Impr Total]]+Inventory[[#This Row],[Adjusted Land Total]]</f>
        <v>284700</v>
      </c>
      <c r="BQ1132" s="30">
        <f>IFERROR((Inventory[[#This Row],[Adjusted Impr Total]]-Inventory[[#This Row],[24Bldg]])/Inventory[[#This Row],[24Bldg]],0)</f>
        <v>7.9168728352300835E-2</v>
      </c>
      <c r="BR1132" s="43">
        <f>(Inventory[[#This Row],[Adjusted Land Total]]-Inventory[[#This Row],[24Lnd]])/Inventory[[#This Row],[24Lnd]]</f>
        <v>-7.4515648286140089E-3</v>
      </c>
      <c r="BS1132" s="43">
        <f>(Inventory[[#This Row],[Adjusted Total]]-Inventory[[#This Row],[24Final]])/Inventory[[#This Row],[24Final]]</f>
        <v>5.7578008915304603E-2</v>
      </c>
    </row>
    <row r="1133" spans="1:71">
      <c r="A1133" s="30">
        <v>2025</v>
      </c>
      <c r="B1133" s="31" t="s">
        <v>1649</v>
      </c>
      <c r="C1133" s="31">
        <f>LN(Inventory[[#This Row],[Acres]])</f>
        <v>0.29266961396282004</v>
      </c>
      <c r="D1133" s="30">
        <v>1.34</v>
      </c>
      <c r="E1133" s="30">
        <v>105851</v>
      </c>
      <c r="F1133" s="31" t="s">
        <v>505</v>
      </c>
      <c r="G1133" s="31" t="s">
        <v>155</v>
      </c>
      <c r="H1133" s="31" t="s">
        <v>5</v>
      </c>
      <c r="I1133" s="31" t="s">
        <v>506</v>
      </c>
      <c r="J1133" s="31" t="s">
        <v>507</v>
      </c>
      <c r="K1133" s="31" t="s">
        <v>10</v>
      </c>
      <c r="L1133" s="31" t="s">
        <v>21</v>
      </c>
      <c r="M1133" s="31" t="s">
        <v>20</v>
      </c>
      <c r="N1133" s="31">
        <v>40</v>
      </c>
      <c r="O1133" s="31">
        <f>2024-Inventory[[#This Row],[YrBlt]]</f>
        <v>48</v>
      </c>
      <c r="P1133" s="31">
        <f>2024-Inventory[[#This Row],[EffYr]]</f>
        <v>45</v>
      </c>
      <c r="Q1133" s="30">
        <v>1976</v>
      </c>
      <c r="R1133" s="30">
        <v>1979</v>
      </c>
      <c r="S1133" s="30">
        <v>1296</v>
      </c>
      <c r="T1133" s="32"/>
      <c r="U1133" s="38">
        <v>672</v>
      </c>
      <c r="V1133" s="32"/>
      <c r="W1133" s="38">
        <v>672</v>
      </c>
      <c r="X1133" s="38">
        <f>Inventory[[#This Row],[Bsmt Area]]-Inventory[[#This Row],[FnBsmt]]</f>
        <v>0</v>
      </c>
      <c r="Y1133" s="38">
        <f>Inventory[[#This Row],[MainFn]]+Inventory[[#This Row],[UpprFn]]+Inventory[[#This Row],[AddFn]]+Inventory[[#This Row],[FnBsmt]]</f>
        <v>1968</v>
      </c>
      <c r="Z1133" s="32">
        <v>2000</v>
      </c>
      <c r="AA1133" s="31" t="s">
        <v>57</v>
      </c>
      <c r="AB1133" s="32"/>
      <c r="AC1133" s="30">
        <v>864</v>
      </c>
      <c r="AD1133" s="32"/>
      <c r="AE1133" s="32"/>
      <c r="AF1133" s="32"/>
      <c r="AG1133" s="32"/>
      <c r="AH1133" s="32"/>
      <c r="AI1133" s="30">
        <v>441524</v>
      </c>
      <c r="AJ1133" s="30">
        <v>344389</v>
      </c>
      <c r="AK1133" s="30">
        <v>127930</v>
      </c>
      <c r="AL1133" s="30">
        <v>0</v>
      </c>
      <c r="AM1133" s="30">
        <v>90600</v>
      </c>
      <c r="AN1133" s="30">
        <v>382900</v>
      </c>
      <c r="AO1133" s="30">
        <v>473500</v>
      </c>
      <c r="AP1133" s="30">
        <f>Lookups!$B$58*0.6</f>
        <v>132535.48800000001</v>
      </c>
      <c r="AQ1133" s="30">
        <f>Lookups!$B$58*0.4</f>
        <v>88356.992000000013</v>
      </c>
      <c r="AR1133" s="30">
        <f>Lookups!$B$59*Inventory[[#This Row],[LnAcres]]</f>
        <v>3841.0899605941322</v>
      </c>
      <c r="AS1133" s="30">
        <f>VLOOKUP(Inventory[[#This Row],[Qlty]],Lookups!$A$66:$E$79,2,FALSE)</f>
        <v>32917.849192000001</v>
      </c>
      <c r="AT1133" s="30">
        <f>VLOOKUP(Inventory[[#This Row],[Cnd]],Lookups!$A$80:$E$88,2,FALSE)</f>
        <v>30300.329274</v>
      </c>
      <c r="AU1133" s="30">
        <f>Inventory[[#This Row],[EffAge]]*Lookups!$B$65</f>
        <v>-4893.3495000000003</v>
      </c>
      <c r="AV1133" s="30">
        <f>Inventory[[#This Row],[MainFn]]*Lookups!$B$90</f>
        <v>80883.852480000001</v>
      </c>
      <c r="AW1133" s="30">
        <f>Inventory[[#This Row],[UpprFn]]*Lookups!$B$91</f>
        <v>0</v>
      </c>
      <c r="AX1133" s="30">
        <f>Inventory[[#This Row],[Bsmt Area]]*Lookups!$B$95</f>
        <v>42058.125311999996</v>
      </c>
      <c r="AY1133" s="30">
        <f>Inventory[[#This Row],[AttGar]]*Lookups!$B$93</f>
        <v>30500.090784</v>
      </c>
      <c r="AZ1133" s="30">
        <f>ROUND(Inventory[[#This Row],[25Det]],-2)</f>
        <v>127900</v>
      </c>
      <c r="BA1133" s="30">
        <f>ROUND(SUM(Inventory[[#This Row],[Mdl Qlty]:[Mdl Garage Area]])+Inventory[[#This Row],[Mdl Res Intercept]],-2)</f>
        <v>344300</v>
      </c>
      <c r="BB1133" s="30">
        <f>ROUND(Inventory[[#This Row],[Mdl Land Intercept]]+Inventory[[#This Row],[Mdl LnAcres]],-2)</f>
        <v>92200</v>
      </c>
      <c r="BC1133" s="30">
        <f>Inventory[[#This Row],[Unadj Res Value]]+Inventory[[#This Row],[Unadj Det Value]]+Inventory[[#This Row],[Unadj Land Value]]</f>
        <v>564400</v>
      </c>
      <c r="BD1133" s="30">
        <f>(Inventory[[#This Row],[Unadj Total Value]]-Inventory[[#This Row],[24Final]])/Inventory[[#This Row],[24Final]]</f>
        <v>0.19197465681098205</v>
      </c>
      <c r="BE1133" s="30">
        <f>VLOOKUP(Inventory[[#This Row],[Nbhd]],Lookups!$M$3:$P$5,4,FALSE)</f>
        <v>0.99970000000000003</v>
      </c>
      <c r="BF1133" s="30">
        <f>VLOOKUP(Inventory[[#This Row],[Qlty]],Lookups!$M$8:$P$22,4,FALSE)</f>
        <v>1.0019</v>
      </c>
      <c r="BG1133" s="30">
        <f>VLOOKUP(Inventory[[#This Row],[Cnd]],Lookups!$R$8:$U$17,4,FALSE)</f>
        <v>0.997</v>
      </c>
      <c r="BH1133" s="30">
        <f>VLOOKUP(Inventory[[#This Row],[LivArea Range]],Lookups!$R$25:$U$43,4,FALSE)</f>
        <v>1.0007999999999999</v>
      </c>
      <c r="BI1133" s="30">
        <f>VLOOKUP(Inventory[[#This Row],[Decade]],Lookups!$M$24:$P$40,4,FALSE)</f>
        <v>0.95920000000000005</v>
      </c>
      <c r="BJ1133" s="30">
        <f>Inventory[[#This Row],[Nbhd Adj]]*0.95</f>
        <v>0.94971499999999998</v>
      </c>
      <c r="BK1133" s="30">
        <f>AVERAGE(Inventory[[#This Row],[Nbhd Adj]],Inventory[[#This Row],[Quality Adj]],Inventory[[#This Row],[Condition Adj]],Inventory[[#This Row],[Living Area Adj]],Inventory[[#This Row],[Decade Adj]])*0.95</f>
        <v>0.94213399999999992</v>
      </c>
      <c r="BL1133" s="30">
        <f>ROUND((SUM(Inventory[[#This Row],[Mdl Qlty]:[Mdl Garage Area]])+Inventory[[#This Row],[Mdl Res Intercept]])*Inventory[[#This Row],[Res Adj ]],-2)</f>
        <v>324400</v>
      </c>
      <c r="BM1133" s="30">
        <f>ROUND(Inventory[[#This Row],[25Det]]*Inventory[[#This Row],[Det/Nbhd Adj]],-2)</f>
        <v>121500</v>
      </c>
      <c r="BN1133" s="30">
        <f>Inventory[[#This Row],[Adjusted Res]]+Inventory[[#This Row],[Adj Det ]]</f>
        <v>445900</v>
      </c>
      <c r="BO1133" s="30">
        <f>ROUND((Inventory[[#This Row],[Mdl Land Intercept]]+Inventory[[#This Row],[Mdl LnAcres]])*Inventory[[#This Row],[Det/Nbhd Adj]],-2)</f>
        <v>87600</v>
      </c>
      <c r="BP1133" s="30">
        <f>Inventory[[#This Row],[Adjusted Impr Total]]+Inventory[[#This Row],[Adjusted Land Total]]</f>
        <v>533500</v>
      </c>
      <c r="BQ1133" s="30">
        <f>IFERROR((Inventory[[#This Row],[Adjusted Impr Total]]-Inventory[[#This Row],[24Bldg]])/Inventory[[#This Row],[24Bldg]],0)</f>
        <v>0.16453382084095064</v>
      </c>
      <c r="BR1133" s="43">
        <f>(Inventory[[#This Row],[Adjusted Land Total]]-Inventory[[#This Row],[24Lnd]])/Inventory[[#This Row],[24Lnd]]</f>
        <v>-3.3112582781456956E-2</v>
      </c>
      <c r="BS1133" s="43">
        <f>(Inventory[[#This Row],[Adjusted Total]]-Inventory[[#This Row],[24Final]])/Inventory[[#This Row],[24Final]]</f>
        <v>0.12671594508975711</v>
      </c>
    </row>
    <row r="1134" spans="1:71">
      <c r="A1134" s="30">
        <v>2025</v>
      </c>
      <c r="B1134" s="31" t="s">
        <v>1650</v>
      </c>
      <c r="C1134" s="31">
        <f>LN(Inventory[[#This Row],[Acres]])</f>
        <v>0.99325177301028345</v>
      </c>
      <c r="D1134" s="30">
        <v>2.7</v>
      </c>
      <c r="E1134" s="30">
        <v>117537</v>
      </c>
      <c r="F1134" s="31" t="s">
        <v>505</v>
      </c>
      <c r="G1134" s="31" t="s">
        <v>155</v>
      </c>
      <c r="H1134" s="31" t="s">
        <v>5</v>
      </c>
      <c r="I1134" s="31" t="s">
        <v>506</v>
      </c>
      <c r="J1134" s="31" t="s">
        <v>507</v>
      </c>
      <c r="K1134" s="31" t="s">
        <v>193</v>
      </c>
      <c r="L1134" s="31" t="s">
        <v>17</v>
      </c>
      <c r="M1134" s="31" t="s">
        <v>20</v>
      </c>
      <c r="N1134" s="31">
        <v>40</v>
      </c>
      <c r="O1134" s="31">
        <f>2024-Inventory[[#This Row],[YrBlt]]</f>
        <v>48</v>
      </c>
      <c r="P1134" s="31">
        <f>2024-Inventory[[#This Row],[EffYr]]</f>
        <v>45</v>
      </c>
      <c r="Q1134" s="30">
        <v>1976</v>
      </c>
      <c r="R1134" s="30">
        <v>1979</v>
      </c>
      <c r="S1134" s="30">
        <v>1344</v>
      </c>
      <c r="T1134" s="32"/>
      <c r="U1134" s="32"/>
      <c r="V1134" s="32"/>
      <c r="W1134" s="32"/>
      <c r="X1134" s="32">
        <f>Inventory[[#This Row],[Bsmt Area]]-Inventory[[#This Row],[FnBsmt]]</f>
        <v>0</v>
      </c>
      <c r="Y1134" s="32">
        <f>Inventory[[#This Row],[MainFn]]+Inventory[[#This Row],[UpprFn]]+Inventory[[#This Row],[AddFn]]+Inventory[[#This Row],[FnBsmt]]</f>
        <v>1344</v>
      </c>
      <c r="Z1134" s="32">
        <v>1500</v>
      </c>
      <c r="AA1134" s="31" t="s">
        <v>56</v>
      </c>
      <c r="AB1134" s="32"/>
      <c r="AC1134" s="37"/>
      <c r="AD1134" s="32"/>
      <c r="AE1134" s="32"/>
      <c r="AF1134" s="32"/>
      <c r="AG1134" s="32"/>
      <c r="AH1134" s="32"/>
      <c r="AI1134" s="30">
        <v>221657</v>
      </c>
      <c r="AJ1134" s="30">
        <v>172892</v>
      </c>
      <c r="AK1134" s="30">
        <v>36852</v>
      </c>
      <c r="AL1134" s="30">
        <v>0</v>
      </c>
      <c r="AM1134" s="30">
        <v>100400</v>
      </c>
      <c r="AN1134" s="30">
        <v>273500</v>
      </c>
      <c r="AO1134" s="30">
        <v>373900</v>
      </c>
      <c r="AP1134" s="30">
        <f>Lookups!$B$58*0.6</f>
        <v>132535.48800000001</v>
      </c>
      <c r="AQ1134" s="30">
        <f>Lookups!$B$58*0.4</f>
        <v>88356.992000000013</v>
      </c>
      <c r="AR1134" s="30">
        <f>Lookups!$B$59*Inventory[[#This Row],[LnAcres]]</f>
        <v>13035.755102806097</v>
      </c>
      <c r="AS1134" s="30">
        <f>VLOOKUP(Inventory[[#This Row],[Qlty]],Lookups!$A$66:$E$79,2,FALSE)</f>
        <v>24371.765965999999</v>
      </c>
      <c r="AT1134" s="30">
        <f>VLOOKUP(Inventory[[#This Row],[Cnd]],Lookups!$A$80:$E$88,2,FALSE)</f>
        <v>30300.329274</v>
      </c>
      <c r="AU1134" s="30">
        <f>Inventory[[#This Row],[EffAge]]*Lookups!$B$65</f>
        <v>-4893.3495000000003</v>
      </c>
      <c r="AV1134" s="30">
        <f>Inventory[[#This Row],[MainFn]]*Lookups!$B$90</f>
        <v>83879.550719999999</v>
      </c>
      <c r="AW1134" s="30">
        <f>Inventory[[#This Row],[UpprFn]]*Lookups!$B$91</f>
        <v>0</v>
      </c>
      <c r="AX1134" s="30">
        <f>Inventory[[#This Row],[Bsmt Area]]*Lookups!$B$95</f>
        <v>0</v>
      </c>
      <c r="AY1134" s="30">
        <f>Inventory[[#This Row],[AttGar]]*Lookups!$B$93</f>
        <v>0</v>
      </c>
      <c r="AZ1134" s="30">
        <f>ROUND(Inventory[[#This Row],[25Det]],-2)</f>
        <v>36900</v>
      </c>
      <c r="BA1134" s="30">
        <f>ROUND(SUM(Inventory[[#This Row],[Mdl Qlty]:[Mdl Garage Area]])+Inventory[[#This Row],[Mdl Res Intercept]],-2)</f>
        <v>266200</v>
      </c>
      <c r="BB1134" s="30">
        <f>ROUND(Inventory[[#This Row],[Mdl Land Intercept]]+Inventory[[#This Row],[Mdl LnAcres]],-2)</f>
        <v>101400</v>
      </c>
      <c r="BC1134" s="30">
        <f>Inventory[[#This Row],[Unadj Res Value]]+Inventory[[#This Row],[Unadj Det Value]]+Inventory[[#This Row],[Unadj Land Value]]</f>
        <v>404500</v>
      </c>
      <c r="BD1134" s="30">
        <f>(Inventory[[#This Row],[Unadj Total Value]]-Inventory[[#This Row],[24Final]])/Inventory[[#This Row],[24Final]]</f>
        <v>8.1840064188285641E-2</v>
      </c>
      <c r="BE1134" s="30">
        <f>VLOOKUP(Inventory[[#This Row],[Nbhd]],Lookups!$M$3:$P$5,4,FALSE)</f>
        <v>0.99970000000000003</v>
      </c>
      <c r="BF1134" s="30">
        <f>VLOOKUP(Inventory[[#This Row],[Qlty]],Lookups!$M$8:$P$22,4,FALSE)</f>
        <v>0.99199999999999999</v>
      </c>
      <c r="BG1134" s="30">
        <f>VLOOKUP(Inventory[[#This Row],[Cnd]],Lookups!$R$8:$U$17,4,FALSE)</f>
        <v>0.997</v>
      </c>
      <c r="BH1134" s="30">
        <f>VLOOKUP(Inventory[[#This Row],[LivArea Range]],Lookups!$R$25:$U$43,4,FALSE)</f>
        <v>0.99519999999999997</v>
      </c>
      <c r="BI1134" s="30">
        <f>VLOOKUP(Inventory[[#This Row],[Decade]],Lookups!$M$24:$P$40,4,FALSE)</f>
        <v>0.95920000000000005</v>
      </c>
      <c r="BJ1134" s="30">
        <f>Inventory[[#This Row],[Nbhd Adj]]*0.95</f>
        <v>0.94971499999999998</v>
      </c>
      <c r="BK1134" s="30">
        <f>AVERAGE(Inventory[[#This Row],[Nbhd Adj]],Inventory[[#This Row],[Quality Adj]],Inventory[[#This Row],[Condition Adj]],Inventory[[#This Row],[Living Area Adj]],Inventory[[#This Row],[Decade Adj]])*0.95</f>
        <v>0.93918900000000005</v>
      </c>
      <c r="BL1134" s="30">
        <f>ROUND((SUM(Inventory[[#This Row],[Mdl Qlty]:[Mdl Garage Area]])+Inventory[[#This Row],[Mdl Res Intercept]])*Inventory[[#This Row],[Res Adj ]],-2)</f>
        <v>250000</v>
      </c>
      <c r="BM1134" s="30">
        <f>ROUND(Inventory[[#This Row],[25Det]]*Inventory[[#This Row],[Det/Nbhd Adj]],-2)</f>
        <v>35000</v>
      </c>
      <c r="BN1134" s="30">
        <f>Inventory[[#This Row],[Adjusted Res]]+Inventory[[#This Row],[Adj Det ]]</f>
        <v>285000</v>
      </c>
      <c r="BO1134" s="30">
        <f>ROUND((Inventory[[#This Row],[Mdl Land Intercept]]+Inventory[[#This Row],[Mdl LnAcres]])*Inventory[[#This Row],[Det/Nbhd Adj]],-2)</f>
        <v>96300</v>
      </c>
      <c r="BP1134" s="30">
        <f>Inventory[[#This Row],[Adjusted Impr Total]]+Inventory[[#This Row],[Adjusted Land Total]]</f>
        <v>381300</v>
      </c>
      <c r="BQ1134" s="30">
        <f>IFERROR((Inventory[[#This Row],[Adjusted Impr Total]]-Inventory[[#This Row],[24Bldg]])/Inventory[[#This Row],[24Bldg]],0)</f>
        <v>4.2047531992687383E-2</v>
      </c>
      <c r="BR1134" s="43">
        <f>(Inventory[[#This Row],[Adjusted Land Total]]-Inventory[[#This Row],[24Lnd]])/Inventory[[#This Row],[24Lnd]]</f>
        <v>-4.0836653386454182E-2</v>
      </c>
      <c r="BS1134" s="43">
        <f>(Inventory[[#This Row],[Adjusted Total]]-Inventory[[#This Row],[24Final]])/Inventory[[#This Row],[24Final]]</f>
        <v>1.9791388071676918E-2</v>
      </c>
    </row>
    <row r="1135" spans="1:71">
      <c r="A1135" s="30">
        <v>2025</v>
      </c>
      <c r="B1135" s="31" t="s">
        <v>1651</v>
      </c>
      <c r="C1135" s="31">
        <f>LN(Inventory[[#This Row],[Acres]])</f>
        <v>-1.9661128563728327</v>
      </c>
      <c r="D1135" s="30">
        <v>0.14000000000000001</v>
      </c>
      <c r="E1135" s="30">
        <v>6252</v>
      </c>
      <c r="F1135" s="31" t="s">
        <v>505</v>
      </c>
      <c r="G1135" s="31" t="s">
        <v>155</v>
      </c>
      <c r="H1135" s="31" t="s">
        <v>5</v>
      </c>
      <c r="I1135" s="31" t="s">
        <v>506</v>
      </c>
      <c r="J1135" s="31" t="s">
        <v>507</v>
      </c>
      <c r="K1135" s="31" t="s">
        <v>193</v>
      </c>
      <c r="L1135" s="31" t="s">
        <v>15</v>
      </c>
      <c r="M1135" s="31" t="s">
        <v>16</v>
      </c>
      <c r="N1135" s="31">
        <v>40</v>
      </c>
      <c r="O1135" s="31">
        <f>2024-Inventory[[#This Row],[YrBlt]]</f>
        <v>49</v>
      </c>
      <c r="P1135" s="31">
        <f>2024-Inventory[[#This Row],[EffYr]]</f>
        <v>45</v>
      </c>
      <c r="Q1135" s="30">
        <v>1975</v>
      </c>
      <c r="R1135" s="30">
        <v>1979</v>
      </c>
      <c r="S1135" s="30">
        <v>936</v>
      </c>
      <c r="T1135" s="32"/>
      <c r="U1135" s="32"/>
      <c r="V1135" s="32"/>
      <c r="W1135" s="32"/>
      <c r="X1135" s="32">
        <f>Inventory[[#This Row],[Bsmt Area]]-Inventory[[#This Row],[FnBsmt]]</f>
        <v>0</v>
      </c>
      <c r="Y1135" s="32">
        <f>Inventory[[#This Row],[MainFn]]+Inventory[[#This Row],[UpprFn]]+Inventory[[#This Row],[AddFn]]+Inventory[[#This Row],[FnBsmt]]</f>
        <v>936</v>
      </c>
      <c r="Z1135" s="32">
        <v>1000</v>
      </c>
      <c r="AA1135" s="31" t="s">
        <v>56</v>
      </c>
      <c r="AB1135" s="32"/>
      <c r="AC1135" s="30">
        <v>312</v>
      </c>
      <c r="AD1135" s="32"/>
      <c r="AE1135" s="32"/>
      <c r="AF1135" s="32"/>
      <c r="AG1135" s="32"/>
      <c r="AH1135" s="32"/>
      <c r="AI1135" s="30">
        <v>154796</v>
      </c>
      <c r="AJ1135" s="30">
        <v>117645</v>
      </c>
      <c r="AK1135" s="30">
        <v>0</v>
      </c>
      <c r="AL1135" s="30">
        <v>0</v>
      </c>
      <c r="AM1135" s="30">
        <v>59000</v>
      </c>
      <c r="AN1135" s="30">
        <v>197100</v>
      </c>
      <c r="AO1135" s="30">
        <v>256100</v>
      </c>
      <c r="AP1135" s="30">
        <f>Lookups!$B$58*0.6</f>
        <v>132535.48800000001</v>
      </c>
      <c r="AQ1135" s="30">
        <f>Lookups!$B$58*0.4</f>
        <v>88356.992000000013</v>
      </c>
      <c r="AR1135" s="30">
        <f>Lookups!$B$59*Inventory[[#This Row],[LnAcres]]</f>
        <v>-25803.896249263951</v>
      </c>
      <c r="AS1135" s="30">
        <f>VLOOKUP(Inventory[[#This Row],[Qlty]],Lookups!$A$66:$E$79,2,FALSE)</f>
        <v>-1240.8083630000001</v>
      </c>
      <c r="AT1135" s="30">
        <f>VLOOKUP(Inventory[[#This Row],[Cnd]],Lookups!$A$80:$E$88,2,FALSE)</f>
        <v>0</v>
      </c>
      <c r="AU1135" s="30">
        <f>Inventory[[#This Row],[EffAge]]*Lookups!$B$65</f>
        <v>-4893.3495000000003</v>
      </c>
      <c r="AV1135" s="30">
        <f>Inventory[[#This Row],[MainFn]]*Lookups!$B$90</f>
        <v>58416.115680000003</v>
      </c>
      <c r="AW1135" s="30">
        <f>Inventory[[#This Row],[UpprFn]]*Lookups!$B$91</f>
        <v>0</v>
      </c>
      <c r="AX1135" s="30">
        <f>Inventory[[#This Row],[Bsmt Area]]*Lookups!$B$95</f>
        <v>0</v>
      </c>
      <c r="AY1135" s="30">
        <f>Inventory[[#This Row],[AttGar]]*Lookups!$B$93</f>
        <v>11013.921672</v>
      </c>
      <c r="AZ1135" s="30">
        <f>ROUND(Inventory[[#This Row],[25Det]],-2)</f>
        <v>0</v>
      </c>
      <c r="BA1135" s="30">
        <f>ROUND(SUM(Inventory[[#This Row],[Mdl Qlty]:[Mdl Garage Area]])+Inventory[[#This Row],[Mdl Res Intercept]],-2)</f>
        <v>195800</v>
      </c>
      <c r="BB1135" s="30">
        <f>ROUND(Inventory[[#This Row],[Mdl Land Intercept]]+Inventory[[#This Row],[Mdl LnAcres]],-2)</f>
        <v>62600</v>
      </c>
      <c r="BC1135" s="30">
        <f>Inventory[[#This Row],[Unadj Res Value]]+Inventory[[#This Row],[Unadj Det Value]]+Inventory[[#This Row],[Unadj Land Value]]</f>
        <v>258400</v>
      </c>
      <c r="BD1135" s="30">
        <f>(Inventory[[#This Row],[Unadj Total Value]]-Inventory[[#This Row],[24Final]])/Inventory[[#This Row],[24Final]]</f>
        <v>8.9808668488871538E-3</v>
      </c>
      <c r="BE1135" s="30">
        <f>VLOOKUP(Inventory[[#This Row],[Nbhd]],Lookups!$M$3:$P$5,4,FALSE)</f>
        <v>0.99970000000000003</v>
      </c>
      <c r="BF1135" s="30">
        <f>VLOOKUP(Inventory[[#This Row],[Qlty]],Lookups!$M$8:$P$22,4,FALSE)</f>
        <v>1.0022</v>
      </c>
      <c r="BG1135" s="30">
        <f>VLOOKUP(Inventory[[#This Row],[Cnd]],Lookups!$R$8:$U$17,4,FALSE)</f>
        <v>1</v>
      </c>
      <c r="BH1135" s="30">
        <f>VLOOKUP(Inventory[[#This Row],[LivArea Range]],Lookups!$R$25:$U$43,4,FALSE)</f>
        <v>1</v>
      </c>
      <c r="BI1135" s="30">
        <f>VLOOKUP(Inventory[[#This Row],[Decade]],Lookups!$M$24:$P$40,4,FALSE)</f>
        <v>0.95920000000000005</v>
      </c>
      <c r="BJ1135" s="30">
        <f>Inventory[[#This Row],[Nbhd Adj]]*0.95</f>
        <v>0.94971499999999998</v>
      </c>
      <c r="BK1135" s="30">
        <f>AVERAGE(Inventory[[#This Row],[Nbhd Adj]],Inventory[[#This Row],[Quality Adj]],Inventory[[#This Row],[Condition Adj]],Inventory[[#This Row],[Living Area Adj]],Inventory[[#This Row],[Decade Adj]])*0.95</f>
        <v>0.94260899999999992</v>
      </c>
      <c r="BL1135" s="30">
        <f>ROUND((SUM(Inventory[[#This Row],[Mdl Qlty]:[Mdl Garage Area]])+Inventory[[#This Row],[Mdl Res Intercept]])*Inventory[[#This Row],[Res Adj ]],-2)</f>
        <v>184600</v>
      </c>
      <c r="BM1135" s="30">
        <f>ROUND(Inventory[[#This Row],[25Det]]*Inventory[[#This Row],[Det/Nbhd Adj]],-2)</f>
        <v>0</v>
      </c>
      <c r="BN1135" s="30">
        <f>Inventory[[#This Row],[Adjusted Res]]+Inventory[[#This Row],[Adj Det ]]</f>
        <v>184600</v>
      </c>
      <c r="BO1135" s="30">
        <f>ROUND((Inventory[[#This Row],[Mdl Land Intercept]]+Inventory[[#This Row],[Mdl LnAcres]])*Inventory[[#This Row],[Det/Nbhd Adj]],-2)</f>
        <v>59400</v>
      </c>
      <c r="BP1135" s="30">
        <f>Inventory[[#This Row],[Adjusted Impr Total]]+Inventory[[#This Row],[Adjusted Land Total]]</f>
        <v>244000</v>
      </c>
      <c r="BQ1135" s="30">
        <f>IFERROR((Inventory[[#This Row],[Adjusted Impr Total]]-Inventory[[#This Row],[24Bldg]])/Inventory[[#This Row],[24Bldg]],0)</f>
        <v>-6.3419583967529169E-2</v>
      </c>
      <c r="BR1135" s="43">
        <f>(Inventory[[#This Row],[Adjusted Land Total]]-Inventory[[#This Row],[24Lnd]])/Inventory[[#This Row],[24Lnd]]</f>
        <v>6.7796610169491523E-3</v>
      </c>
      <c r="BS1135" s="43">
        <f>(Inventory[[#This Row],[Adjusted Total]]-Inventory[[#This Row],[24Final]])/Inventory[[#This Row],[24Final]]</f>
        <v>-4.7247169074580243E-2</v>
      </c>
    </row>
    <row r="1136" spans="1:71">
      <c r="A1136" s="30">
        <v>2025</v>
      </c>
      <c r="B1136" s="31" t="s">
        <v>1652</v>
      </c>
      <c r="C1136" s="31">
        <f>LN(Inventory[[#This Row],[Acres]])</f>
        <v>-1.5141277326297755</v>
      </c>
      <c r="D1136" s="30">
        <v>0.22</v>
      </c>
      <c r="E1136" s="30">
        <v>9615</v>
      </c>
      <c r="F1136" s="31" t="s">
        <v>505</v>
      </c>
      <c r="G1136" s="31" t="s">
        <v>155</v>
      </c>
      <c r="H1136" s="31" t="s">
        <v>5</v>
      </c>
      <c r="I1136" s="31" t="s">
        <v>506</v>
      </c>
      <c r="J1136" s="31" t="s">
        <v>507</v>
      </c>
      <c r="K1136" s="31" t="s">
        <v>193</v>
      </c>
      <c r="L1136" s="31" t="s">
        <v>17</v>
      </c>
      <c r="M1136" s="31" t="s">
        <v>18</v>
      </c>
      <c r="N1136" s="31">
        <v>40</v>
      </c>
      <c r="O1136" s="31">
        <f>2024-Inventory[[#This Row],[YrBlt]]</f>
        <v>49</v>
      </c>
      <c r="P1136" s="31">
        <f>2024-Inventory[[#This Row],[EffYr]]</f>
        <v>45</v>
      </c>
      <c r="Q1136" s="30">
        <v>1975</v>
      </c>
      <c r="R1136" s="30">
        <v>1979</v>
      </c>
      <c r="S1136" s="30">
        <v>1486</v>
      </c>
      <c r="T1136" s="32"/>
      <c r="U1136" s="32"/>
      <c r="V1136" s="32"/>
      <c r="W1136" s="32"/>
      <c r="X1136" s="32">
        <f>Inventory[[#This Row],[Bsmt Area]]-Inventory[[#This Row],[FnBsmt]]</f>
        <v>0</v>
      </c>
      <c r="Y1136" s="32">
        <f>Inventory[[#This Row],[MainFn]]+Inventory[[#This Row],[UpprFn]]+Inventory[[#This Row],[AddFn]]+Inventory[[#This Row],[FnBsmt]]</f>
        <v>1486</v>
      </c>
      <c r="Z1136" s="32">
        <v>1500</v>
      </c>
      <c r="AA1136" s="31" t="s">
        <v>56</v>
      </c>
      <c r="AB1136" s="32"/>
      <c r="AC1136" s="30">
        <v>312</v>
      </c>
      <c r="AD1136" s="32"/>
      <c r="AE1136" s="32"/>
      <c r="AF1136" s="32"/>
      <c r="AG1136" s="32"/>
      <c r="AH1136" s="32"/>
      <c r="AI1136" s="30">
        <v>261264</v>
      </c>
      <c r="AJ1136" s="30">
        <v>201173</v>
      </c>
      <c r="AK1136" s="30">
        <v>0</v>
      </c>
      <c r="AL1136" s="30">
        <v>0</v>
      </c>
      <c r="AM1136" s="30">
        <v>65300</v>
      </c>
      <c r="AN1136" s="30">
        <v>235800</v>
      </c>
      <c r="AO1136" s="30">
        <v>301100</v>
      </c>
      <c r="AP1136" s="30">
        <f>Lookups!$B$58*0.6</f>
        <v>132535.48800000001</v>
      </c>
      <c r="AQ1136" s="30">
        <f>Lookups!$B$58*0.4</f>
        <v>88356.992000000013</v>
      </c>
      <c r="AR1136" s="30">
        <f>Lookups!$B$59*Inventory[[#This Row],[LnAcres]]</f>
        <v>-19871.898398035348</v>
      </c>
      <c r="AS1136" s="30">
        <f>VLOOKUP(Inventory[[#This Row],[Qlty]],Lookups!$A$66:$E$79,2,FALSE)</f>
        <v>24371.765965999999</v>
      </c>
      <c r="AT1136" s="30">
        <f>VLOOKUP(Inventory[[#This Row],[Cnd]],Lookups!$A$80:$E$88,2,FALSE)</f>
        <v>17761.121909000001</v>
      </c>
      <c r="AU1136" s="30">
        <f>Inventory[[#This Row],[EffAge]]*Lookups!$B$65</f>
        <v>-4893.3495000000003</v>
      </c>
      <c r="AV1136" s="30">
        <f>Inventory[[#This Row],[MainFn]]*Lookups!$B$90</f>
        <v>92741.824680000005</v>
      </c>
      <c r="AW1136" s="30">
        <f>Inventory[[#This Row],[UpprFn]]*Lookups!$B$91</f>
        <v>0</v>
      </c>
      <c r="AX1136" s="30">
        <f>Inventory[[#This Row],[Bsmt Area]]*Lookups!$B$95</f>
        <v>0</v>
      </c>
      <c r="AY1136" s="30">
        <f>Inventory[[#This Row],[AttGar]]*Lookups!$B$93</f>
        <v>11013.921672</v>
      </c>
      <c r="AZ1136" s="30">
        <f>ROUND(Inventory[[#This Row],[25Det]],-2)</f>
        <v>0</v>
      </c>
      <c r="BA1136" s="30">
        <f>ROUND(SUM(Inventory[[#This Row],[Mdl Qlty]:[Mdl Garage Area]])+Inventory[[#This Row],[Mdl Res Intercept]],-2)</f>
        <v>273500</v>
      </c>
      <c r="BB1136" s="30">
        <f>ROUND(Inventory[[#This Row],[Mdl Land Intercept]]+Inventory[[#This Row],[Mdl LnAcres]],-2)</f>
        <v>68500</v>
      </c>
      <c r="BC1136" s="30">
        <f>Inventory[[#This Row],[Unadj Res Value]]+Inventory[[#This Row],[Unadj Det Value]]+Inventory[[#This Row],[Unadj Land Value]]</f>
        <v>342000</v>
      </c>
      <c r="BD1136" s="30">
        <f>(Inventory[[#This Row],[Unadj Total Value]]-Inventory[[#This Row],[24Final]])/Inventory[[#This Row],[24Final]]</f>
        <v>0.13583527067419462</v>
      </c>
      <c r="BE1136" s="30">
        <f>VLOOKUP(Inventory[[#This Row],[Nbhd]],Lookups!$M$3:$P$5,4,FALSE)</f>
        <v>0.99970000000000003</v>
      </c>
      <c r="BF1136" s="30">
        <f>VLOOKUP(Inventory[[#This Row],[Qlty]],Lookups!$M$8:$P$22,4,FALSE)</f>
        <v>0.99199999999999999</v>
      </c>
      <c r="BG1136" s="30">
        <f>VLOOKUP(Inventory[[#This Row],[Cnd]],Lookups!$R$8:$U$17,4,FALSE)</f>
        <v>0.99680000000000002</v>
      </c>
      <c r="BH1136" s="30">
        <f>VLOOKUP(Inventory[[#This Row],[LivArea Range]],Lookups!$R$25:$U$43,4,FALSE)</f>
        <v>0.99519999999999997</v>
      </c>
      <c r="BI1136" s="30">
        <f>VLOOKUP(Inventory[[#This Row],[Decade]],Lookups!$M$24:$P$40,4,FALSE)</f>
        <v>0.95920000000000005</v>
      </c>
      <c r="BJ1136" s="30">
        <f>Inventory[[#This Row],[Nbhd Adj]]*0.95</f>
        <v>0.94971499999999998</v>
      </c>
      <c r="BK1136" s="30">
        <f>AVERAGE(Inventory[[#This Row],[Nbhd Adj]],Inventory[[#This Row],[Quality Adj]],Inventory[[#This Row],[Condition Adj]],Inventory[[#This Row],[Living Area Adj]],Inventory[[#This Row],[Decade Adj]])*0.95</f>
        <v>0.93915099999999996</v>
      </c>
      <c r="BL1136" s="30">
        <f>ROUND((SUM(Inventory[[#This Row],[Mdl Qlty]:[Mdl Garage Area]])+Inventory[[#This Row],[Mdl Res Intercept]])*Inventory[[#This Row],[Res Adj ]],-2)</f>
        <v>256900</v>
      </c>
      <c r="BM1136" s="30">
        <f>ROUND(Inventory[[#This Row],[25Det]]*Inventory[[#This Row],[Det/Nbhd Adj]],-2)</f>
        <v>0</v>
      </c>
      <c r="BN1136" s="30">
        <f>Inventory[[#This Row],[Adjusted Res]]+Inventory[[#This Row],[Adj Det ]]</f>
        <v>256900</v>
      </c>
      <c r="BO1136" s="30">
        <f>ROUND((Inventory[[#This Row],[Mdl Land Intercept]]+Inventory[[#This Row],[Mdl LnAcres]])*Inventory[[#This Row],[Det/Nbhd Adj]],-2)</f>
        <v>65000</v>
      </c>
      <c r="BP1136" s="30">
        <f>Inventory[[#This Row],[Adjusted Impr Total]]+Inventory[[#This Row],[Adjusted Land Total]]</f>
        <v>321900</v>
      </c>
      <c r="BQ1136" s="30">
        <f>IFERROR((Inventory[[#This Row],[Adjusted Impr Total]]-Inventory[[#This Row],[24Bldg]])/Inventory[[#This Row],[24Bldg]],0)</f>
        <v>8.9482612383375737E-2</v>
      </c>
      <c r="BR1136" s="43">
        <f>(Inventory[[#This Row],[Adjusted Land Total]]-Inventory[[#This Row],[24Lnd]])/Inventory[[#This Row],[24Lnd]]</f>
        <v>-4.5941807044410417E-3</v>
      </c>
      <c r="BS1136" s="43">
        <f>(Inventory[[#This Row],[Adjusted Total]]-Inventory[[#This Row],[24Final]])/Inventory[[#This Row],[24Final]]</f>
        <v>6.9080039853869152E-2</v>
      </c>
    </row>
    <row r="1137" spans="1:71">
      <c r="A1137" s="30">
        <v>2025</v>
      </c>
      <c r="B1137" s="31" t="s">
        <v>1653</v>
      </c>
      <c r="C1137" s="31">
        <f>LN(Inventory[[#This Row],[Acres]])</f>
        <v>-1.4271163556401458</v>
      </c>
      <c r="D1137" s="30">
        <v>0.24</v>
      </c>
      <c r="E1137" s="30">
        <v>10486</v>
      </c>
      <c r="F1137" s="31" t="s">
        <v>505</v>
      </c>
      <c r="G1137" s="31" t="s">
        <v>155</v>
      </c>
      <c r="H1137" s="31" t="s">
        <v>5</v>
      </c>
      <c r="I1137" s="31" t="s">
        <v>506</v>
      </c>
      <c r="J1137" s="31" t="s">
        <v>507</v>
      </c>
      <c r="K1137" s="31" t="s">
        <v>193</v>
      </c>
      <c r="L1137" s="31" t="s">
        <v>15</v>
      </c>
      <c r="M1137" s="31" t="s">
        <v>20</v>
      </c>
      <c r="N1137" s="31">
        <v>40</v>
      </c>
      <c r="O1137" s="31">
        <f>2024-Inventory[[#This Row],[YrBlt]]</f>
        <v>49</v>
      </c>
      <c r="P1137" s="31">
        <f>2024-Inventory[[#This Row],[EffYr]]</f>
        <v>45</v>
      </c>
      <c r="Q1137" s="30">
        <v>1975</v>
      </c>
      <c r="R1137" s="30">
        <v>1979</v>
      </c>
      <c r="S1137" s="30">
        <v>936</v>
      </c>
      <c r="T1137" s="37"/>
      <c r="U1137" s="32"/>
      <c r="V1137" s="32"/>
      <c r="W1137" s="32"/>
      <c r="X1137" s="32">
        <f>Inventory[[#This Row],[Bsmt Area]]-Inventory[[#This Row],[FnBsmt]]</f>
        <v>0</v>
      </c>
      <c r="Y1137" s="32">
        <f>Inventory[[#This Row],[MainFn]]+Inventory[[#This Row],[UpprFn]]+Inventory[[#This Row],[AddFn]]+Inventory[[#This Row],[FnBsmt]]</f>
        <v>936</v>
      </c>
      <c r="Z1137" s="32">
        <v>1000</v>
      </c>
      <c r="AA1137" s="31" t="s">
        <v>56</v>
      </c>
      <c r="AB1137" s="37"/>
      <c r="AC1137" s="30">
        <v>312</v>
      </c>
      <c r="AD1137" s="32"/>
      <c r="AE1137" s="32"/>
      <c r="AF1137" s="32"/>
      <c r="AG1137" s="32"/>
      <c r="AH1137" s="32"/>
      <c r="AI1137" s="30">
        <v>170774</v>
      </c>
      <c r="AJ1137" s="30">
        <v>133204</v>
      </c>
      <c r="AK1137" s="30">
        <v>15913</v>
      </c>
      <c r="AL1137" s="30">
        <v>0</v>
      </c>
      <c r="AM1137" s="30">
        <v>66500</v>
      </c>
      <c r="AN1137" s="30">
        <v>221800</v>
      </c>
      <c r="AO1137" s="30">
        <v>288300</v>
      </c>
      <c r="AP1137" s="30">
        <f>Lookups!$B$58*0.6</f>
        <v>132535.48800000001</v>
      </c>
      <c r="AQ1137" s="30">
        <f>Lookups!$B$58*0.4</f>
        <v>88356.992000000013</v>
      </c>
      <c r="AR1137" s="30">
        <f>Lookups!$B$59*Inventory[[#This Row],[LnAcres]]</f>
        <v>-18729.933155771436</v>
      </c>
      <c r="AS1137" s="30">
        <f>VLOOKUP(Inventory[[#This Row],[Qlty]],Lookups!$A$66:$E$79,2,FALSE)</f>
        <v>-1240.8083630000001</v>
      </c>
      <c r="AT1137" s="30">
        <f>VLOOKUP(Inventory[[#This Row],[Cnd]],Lookups!$A$80:$E$88,2,FALSE)</f>
        <v>30300.329274</v>
      </c>
      <c r="AU1137" s="30">
        <f>Inventory[[#This Row],[EffAge]]*Lookups!$B$65</f>
        <v>-4893.3495000000003</v>
      </c>
      <c r="AV1137" s="30">
        <f>Inventory[[#This Row],[MainFn]]*Lookups!$B$90</f>
        <v>58416.115680000003</v>
      </c>
      <c r="AW1137" s="30">
        <f>Inventory[[#This Row],[UpprFn]]*Lookups!$B$91</f>
        <v>0</v>
      </c>
      <c r="AX1137" s="30">
        <f>Inventory[[#This Row],[Bsmt Area]]*Lookups!$B$95</f>
        <v>0</v>
      </c>
      <c r="AY1137" s="30">
        <f>Inventory[[#This Row],[AttGar]]*Lookups!$B$93</f>
        <v>11013.921672</v>
      </c>
      <c r="AZ1137" s="30">
        <f>ROUND(Inventory[[#This Row],[25Det]],-2)</f>
        <v>15900</v>
      </c>
      <c r="BA1137" s="30">
        <f>ROUND(SUM(Inventory[[#This Row],[Mdl Qlty]:[Mdl Garage Area]])+Inventory[[#This Row],[Mdl Res Intercept]],-2)</f>
        <v>226100</v>
      </c>
      <c r="BB1137" s="30">
        <f>ROUND(Inventory[[#This Row],[Mdl Land Intercept]]+Inventory[[#This Row],[Mdl LnAcres]],-2)</f>
        <v>69600</v>
      </c>
      <c r="BC1137" s="30">
        <f>Inventory[[#This Row],[Unadj Res Value]]+Inventory[[#This Row],[Unadj Det Value]]+Inventory[[#This Row],[Unadj Land Value]]</f>
        <v>311600</v>
      </c>
      <c r="BD1137" s="30">
        <f>(Inventory[[#This Row],[Unadj Total Value]]-Inventory[[#This Row],[24Final]])/Inventory[[#This Row],[24Final]]</f>
        <v>8.0818591744710372E-2</v>
      </c>
      <c r="BE1137" s="30">
        <f>VLOOKUP(Inventory[[#This Row],[Nbhd]],Lookups!$M$3:$P$5,4,FALSE)</f>
        <v>0.99970000000000003</v>
      </c>
      <c r="BF1137" s="30">
        <f>VLOOKUP(Inventory[[#This Row],[Qlty]],Lookups!$M$8:$P$22,4,FALSE)</f>
        <v>1.0022</v>
      </c>
      <c r="BG1137" s="30">
        <f>VLOOKUP(Inventory[[#This Row],[Cnd]],Lookups!$R$8:$U$17,4,FALSE)</f>
        <v>0.997</v>
      </c>
      <c r="BH1137" s="30">
        <f>VLOOKUP(Inventory[[#This Row],[LivArea Range]],Lookups!$R$25:$U$43,4,FALSE)</f>
        <v>1</v>
      </c>
      <c r="BI1137" s="30">
        <f>VLOOKUP(Inventory[[#This Row],[Decade]],Lookups!$M$24:$P$40,4,FALSE)</f>
        <v>0.95920000000000005</v>
      </c>
      <c r="BJ1137" s="30">
        <f>Inventory[[#This Row],[Nbhd Adj]]*0.95</f>
        <v>0.94971499999999998</v>
      </c>
      <c r="BK1137" s="30">
        <f>AVERAGE(Inventory[[#This Row],[Nbhd Adj]],Inventory[[#This Row],[Quality Adj]],Inventory[[#This Row],[Condition Adj]],Inventory[[#This Row],[Living Area Adj]],Inventory[[#This Row],[Decade Adj]])*0.95</f>
        <v>0.94203899999999996</v>
      </c>
      <c r="BL1137" s="30">
        <f>ROUND((SUM(Inventory[[#This Row],[Mdl Qlty]:[Mdl Garage Area]])+Inventory[[#This Row],[Mdl Res Intercept]])*Inventory[[#This Row],[Res Adj ]],-2)</f>
        <v>213000</v>
      </c>
      <c r="BM1137" s="30">
        <f>ROUND(Inventory[[#This Row],[25Det]]*Inventory[[#This Row],[Det/Nbhd Adj]],-2)</f>
        <v>15100</v>
      </c>
      <c r="BN1137" s="30">
        <f>Inventory[[#This Row],[Adjusted Res]]+Inventory[[#This Row],[Adj Det ]]</f>
        <v>228100</v>
      </c>
      <c r="BO1137" s="30">
        <f>ROUND((Inventory[[#This Row],[Mdl Land Intercept]]+Inventory[[#This Row],[Mdl LnAcres]])*Inventory[[#This Row],[Det/Nbhd Adj]],-2)</f>
        <v>66100</v>
      </c>
      <c r="BP1137" s="30">
        <f>Inventory[[#This Row],[Adjusted Impr Total]]+Inventory[[#This Row],[Adjusted Land Total]]</f>
        <v>294200</v>
      </c>
      <c r="BQ1137" s="30">
        <f>IFERROR((Inventory[[#This Row],[Adjusted Impr Total]]-Inventory[[#This Row],[24Bldg]])/Inventory[[#This Row],[24Bldg]],0)</f>
        <v>2.8403967538322812E-2</v>
      </c>
      <c r="BR1137" s="43">
        <f>(Inventory[[#This Row],[Adjusted Land Total]]-Inventory[[#This Row],[24Lnd]])/Inventory[[#This Row],[24Lnd]]</f>
        <v>-6.0150375939849628E-3</v>
      </c>
      <c r="BS1137" s="43">
        <f>(Inventory[[#This Row],[Adjusted Total]]-Inventory[[#This Row],[24Final]])/Inventory[[#This Row],[24Final]]</f>
        <v>2.046479361775928E-2</v>
      </c>
    </row>
    <row r="1138" spans="1:71">
      <c r="A1138" s="30">
        <v>2025</v>
      </c>
      <c r="B1138" s="31" t="s">
        <v>1654</v>
      </c>
      <c r="C1138" s="31">
        <f>LN(Inventory[[#This Row],[Acres]])</f>
        <v>-1.4271163556401458</v>
      </c>
      <c r="D1138" s="30">
        <v>0.24</v>
      </c>
      <c r="E1138" s="30">
        <v>10291</v>
      </c>
      <c r="F1138" s="31" t="s">
        <v>505</v>
      </c>
      <c r="G1138" s="31" t="s">
        <v>155</v>
      </c>
      <c r="H1138" s="31" t="s">
        <v>5</v>
      </c>
      <c r="I1138" s="31" t="s">
        <v>506</v>
      </c>
      <c r="J1138" s="31" t="s">
        <v>507</v>
      </c>
      <c r="K1138" s="31" t="s">
        <v>193</v>
      </c>
      <c r="L1138" s="31" t="s">
        <v>15</v>
      </c>
      <c r="M1138" s="31" t="s">
        <v>18</v>
      </c>
      <c r="N1138" s="31">
        <v>40</v>
      </c>
      <c r="O1138" s="31">
        <f>2024-Inventory[[#This Row],[YrBlt]]</f>
        <v>49</v>
      </c>
      <c r="P1138" s="31">
        <f>2024-Inventory[[#This Row],[EffYr]]</f>
        <v>45</v>
      </c>
      <c r="Q1138" s="30">
        <v>1975</v>
      </c>
      <c r="R1138" s="30">
        <v>1979</v>
      </c>
      <c r="S1138" s="30">
        <v>1248</v>
      </c>
      <c r="T1138" s="32"/>
      <c r="U1138" s="32"/>
      <c r="V1138" s="32"/>
      <c r="W1138" s="32"/>
      <c r="X1138" s="32">
        <f>Inventory[[#This Row],[Bsmt Area]]-Inventory[[#This Row],[FnBsmt]]</f>
        <v>0</v>
      </c>
      <c r="Y1138" s="32">
        <f>Inventory[[#This Row],[MainFn]]+Inventory[[#This Row],[UpprFn]]+Inventory[[#This Row],[AddFn]]+Inventory[[#This Row],[FnBsmt]]</f>
        <v>1248</v>
      </c>
      <c r="Z1138" s="32">
        <v>1500</v>
      </c>
      <c r="AA1138" s="31" t="s">
        <v>56</v>
      </c>
      <c r="AB1138" s="32"/>
      <c r="AC1138" s="32"/>
      <c r="AD1138" s="32"/>
      <c r="AE1138" s="32"/>
      <c r="AF1138" s="32"/>
      <c r="AG1138" s="32"/>
      <c r="AH1138" s="32"/>
      <c r="AI1138" s="30">
        <v>185009</v>
      </c>
      <c r="AJ1138" s="30">
        <v>142457</v>
      </c>
      <c r="AK1138" s="30">
        <v>26118</v>
      </c>
      <c r="AL1138" s="30">
        <v>0</v>
      </c>
      <c r="AM1138" s="30">
        <v>66500</v>
      </c>
      <c r="AN1138" s="30">
        <v>221000</v>
      </c>
      <c r="AO1138" s="30">
        <v>287500</v>
      </c>
      <c r="AP1138" s="30">
        <f>Lookups!$B$58*0.6</f>
        <v>132535.48800000001</v>
      </c>
      <c r="AQ1138" s="30">
        <f>Lookups!$B$58*0.4</f>
        <v>88356.992000000013</v>
      </c>
      <c r="AR1138" s="30">
        <f>Lookups!$B$59*Inventory[[#This Row],[LnAcres]]</f>
        <v>-18729.933155771436</v>
      </c>
      <c r="AS1138" s="30">
        <f>VLOOKUP(Inventory[[#This Row],[Qlty]],Lookups!$A$66:$E$79,2,FALSE)</f>
        <v>-1240.8083630000001</v>
      </c>
      <c r="AT1138" s="30">
        <f>VLOOKUP(Inventory[[#This Row],[Cnd]],Lookups!$A$80:$E$88,2,FALSE)</f>
        <v>17761.121909000001</v>
      </c>
      <c r="AU1138" s="30">
        <f>Inventory[[#This Row],[EffAge]]*Lookups!$B$65</f>
        <v>-4893.3495000000003</v>
      </c>
      <c r="AV1138" s="30">
        <f>Inventory[[#This Row],[MainFn]]*Lookups!$B$90</f>
        <v>77888.154240000003</v>
      </c>
      <c r="AW1138" s="30">
        <f>Inventory[[#This Row],[UpprFn]]*Lookups!$B$91</f>
        <v>0</v>
      </c>
      <c r="AX1138" s="30">
        <f>Inventory[[#This Row],[Bsmt Area]]*Lookups!$B$95</f>
        <v>0</v>
      </c>
      <c r="AY1138" s="30">
        <f>Inventory[[#This Row],[AttGar]]*Lookups!$B$93</f>
        <v>0</v>
      </c>
      <c r="AZ1138" s="30">
        <f>ROUND(Inventory[[#This Row],[25Det]],-2)</f>
        <v>26100</v>
      </c>
      <c r="BA1138" s="30">
        <f>ROUND(SUM(Inventory[[#This Row],[Mdl Qlty]:[Mdl Garage Area]])+Inventory[[#This Row],[Mdl Res Intercept]],-2)</f>
        <v>222100</v>
      </c>
      <c r="BB1138" s="30">
        <f>ROUND(Inventory[[#This Row],[Mdl Land Intercept]]+Inventory[[#This Row],[Mdl LnAcres]],-2)</f>
        <v>69600</v>
      </c>
      <c r="BC1138" s="30">
        <f>Inventory[[#This Row],[Unadj Res Value]]+Inventory[[#This Row],[Unadj Det Value]]+Inventory[[#This Row],[Unadj Land Value]]</f>
        <v>317800</v>
      </c>
      <c r="BD1138" s="30">
        <f>(Inventory[[#This Row],[Unadj Total Value]]-Inventory[[#This Row],[24Final]])/Inventory[[#This Row],[24Final]]</f>
        <v>0.10539130434782609</v>
      </c>
      <c r="BE1138" s="30">
        <f>VLOOKUP(Inventory[[#This Row],[Nbhd]],Lookups!$M$3:$P$5,4,FALSE)</f>
        <v>0.99970000000000003</v>
      </c>
      <c r="BF1138" s="30">
        <f>VLOOKUP(Inventory[[#This Row],[Qlty]],Lookups!$M$8:$P$22,4,FALSE)</f>
        <v>1.0022</v>
      </c>
      <c r="BG1138" s="30">
        <f>VLOOKUP(Inventory[[#This Row],[Cnd]],Lookups!$R$8:$U$17,4,FALSE)</f>
        <v>0.99680000000000002</v>
      </c>
      <c r="BH1138" s="30">
        <f>VLOOKUP(Inventory[[#This Row],[LivArea Range]],Lookups!$R$25:$U$43,4,FALSE)</f>
        <v>0.99519999999999997</v>
      </c>
      <c r="BI1138" s="30">
        <f>VLOOKUP(Inventory[[#This Row],[Decade]],Lookups!$M$24:$P$40,4,FALSE)</f>
        <v>0.95920000000000005</v>
      </c>
      <c r="BJ1138" s="30">
        <f>Inventory[[#This Row],[Nbhd Adj]]*0.95</f>
        <v>0.94971499999999998</v>
      </c>
      <c r="BK1138" s="30">
        <f>AVERAGE(Inventory[[#This Row],[Nbhd Adj]],Inventory[[#This Row],[Quality Adj]],Inventory[[#This Row],[Condition Adj]],Inventory[[#This Row],[Living Area Adj]],Inventory[[#This Row],[Decade Adj]])*0.95</f>
        <v>0.94108900000000006</v>
      </c>
      <c r="BL1138" s="30">
        <f>ROUND((SUM(Inventory[[#This Row],[Mdl Qlty]:[Mdl Garage Area]])+Inventory[[#This Row],[Mdl Res Intercept]])*Inventory[[#This Row],[Res Adj ]],-2)</f>
        <v>209000</v>
      </c>
      <c r="BM1138" s="30">
        <f>ROUND(Inventory[[#This Row],[25Det]]*Inventory[[#This Row],[Det/Nbhd Adj]],-2)</f>
        <v>24800</v>
      </c>
      <c r="BN1138" s="30">
        <f>Inventory[[#This Row],[Adjusted Res]]+Inventory[[#This Row],[Adj Det ]]</f>
        <v>233800</v>
      </c>
      <c r="BO1138" s="30">
        <f>ROUND((Inventory[[#This Row],[Mdl Land Intercept]]+Inventory[[#This Row],[Mdl LnAcres]])*Inventory[[#This Row],[Det/Nbhd Adj]],-2)</f>
        <v>66100</v>
      </c>
      <c r="BP1138" s="30">
        <f>Inventory[[#This Row],[Adjusted Impr Total]]+Inventory[[#This Row],[Adjusted Land Total]]</f>
        <v>299900</v>
      </c>
      <c r="BQ1138" s="30">
        <f>IFERROR((Inventory[[#This Row],[Adjusted Impr Total]]-Inventory[[#This Row],[24Bldg]])/Inventory[[#This Row],[24Bldg]],0)</f>
        <v>5.7918552036199097E-2</v>
      </c>
      <c r="BR1138" s="43">
        <f>(Inventory[[#This Row],[Adjusted Land Total]]-Inventory[[#This Row],[24Lnd]])/Inventory[[#This Row],[24Lnd]]</f>
        <v>-6.0150375939849628E-3</v>
      </c>
      <c r="BS1138" s="43">
        <f>(Inventory[[#This Row],[Adjusted Total]]-Inventory[[#This Row],[24Final]])/Inventory[[#This Row],[24Final]]</f>
        <v>4.3130434782608695E-2</v>
      </c>
    </row>
    <row r="1139" spans="1:71">
      <c r="A1139" s="30">
        <v>2025</v>
      </c>
      <c r="B1139" s="31" t="s">
        <v>1655</v>
      </c>
      <c r="C1139" s="31">
        <f>LN(Inventory[[#This Row],[Acres]])</f>
        <v>-1.3862943611198906</v>
      </c>
      <c r="D1139" s="30">
        <v>0.25</v>
      </c>
      <c r="E1139" s="30">
        <v>10747</v>
      </c>
      <c r="F1139" s="31" t="s">
        <v>505</v>
      </c>
      <c r="G1139" s="31" t="s">
        <v>155</v>
      </c>
      <c r="H1139" s="31" t="s">
        <v>5</v>
      </c>
      <c r="I1139" s="31" t="s">
        <v>506</v>
      </c>
      <c r="J1139" s="31" t="s">
        <v>507</v>
      </c>
      <c r="K1139" s="31" t="s">
        <v>193</v>
      </c>
      <c r="L1139" s="31" t="s">
        <v>15</v>
      </c>
      <c r="M1139" s="31" t="s">
        <v>20</v>
      </c>
      <c r="N1139" s="31">
        <v>40</v>
      </c>
      <c r="O1139" s="31">
        <f>2024-Inventory[[#This Row],[YrBlt]]</f>
        <v>49</v>
      </c>
      <c r="P1139" s="31">
        <f>2024-Inventory[[#This Row],[EffYr]]</f>
        <v>45</v>
      </c>
      <c r="Q1139" s="30">
        <v>1975</v>
      </c>
      <c r="R1139" s="30">
        <v>1979</v>
      </c>
      <c r="S1139" s="30">
        <v>1350</v>
      </c>
      <c r="T1139" s="32"/>
      <c r="U1139" s="32"/>
      <c r="V1139" s="32"/>
      <c r="W1139" s="32"/>
      <c r="X1139" s="32">
        <f>Inventory[[#This Row],[Bsmt Area]]-Inventory[[#This Row],[FnBsmt]]</f>
        <v>0</v>
      </c>
      <c r="Y1139" s="32">
        <f>Inventory[[#This Row],[MainFn]]+Inventory[[#This Row],[UpprFn]]+Inventory[[#This Row],[AddFn]]+Inventory[[#This Row],[FnBsmt]]</f>
        <v>1350</v>
      </c>
      <c r="Z1139" s="32">
        <v>1500</v>
      </c>
      <c r="AA1139" s="31" t="s">
        <v>56</v>
      </c>
      <c r="AB1139" s="37"/>
      <c r="AC1139" s="37"/>
      <c r="AD1139" s="32"/>
      <c r="AE1139" s="32"/>
      <c r="AF1139" s="32"/>
      <c r="AG1139" s="32"/>
      <c r="AH1139" s="32"/>
      <c r="AI1139" s="30">
        <v>200678</v>
      </c>
      <c r="AJ1139" s="30">
        <v>156529</v>
      </c>
      <c r="AK1139" s="30">
        <v>7767</v>
      </c>
      <c r="AL1139" s="30">
        <v>0</v>
      </c>
      <c r="AM1139" s="30">
        <v>67100</v>
      </c>
      <c r="AN1139" s="30">
        <v>226700</v>
      </c>
      <c r="AO1139" s="30">
        <v>293800</v>
      </c>
      <c r="AP1139" s="30">
        <f>Lookups!$B$58*0.6</f>
        <v>132535.48800000001</v>
      </c>
      <c r="AQ1139" s="30">
        <f>Lookups!$B$58*0.4</f>
        <v>88356.992000000013</v>
      </c>
      <c r="AR1139" s="30">
        <f>Lookups!$B$59*Inventory[[#This Row],[LnAcres]]</f>
        <v>-18194.172195827363</v>
      </c>
      <c r="AS1139" s="30">
        <f>VLOOKUP(Inventory[[#This Row],[Qlty]],Lookups!$A$66:$E$79,2,FALSE)</f>
        <v>-1240.8083630000001</v>
      </c>
      <c r="AT1139" s="30">
        <f>VLOOKUP(Inventory[[#This Row],[Cnd]],Lookups!$A$80:$E$88,2,FALSE)</f>
        <v>30300.329274</v>
      </c>
      <c r="AU1139" s="30">
        <f>Inventory[[#This Row],[EffAge]]*Lookups!$B$65</f>
        <v>-4893.3495000000003</v>
      </c>
      <c r="AV1139" s="30">
        <f>Inventory[[#This Row],[MainFn]]*Lookups!$B$90</f>
        <v>84254.013000000006</v>
      </c>
      <c r="AW1139" s="30">
        <f>Inventory[[#This Row],[UpprFn]]*Lookups!$B$91</f>
        <v>0</v>
      </c>
      <c r="AX1139" s="30">
        <f>Inventory[[#This Row],[Bsmt Area]]*Lookups!$B$95</f>
        <v>0</v>
      </c>
      <c r="AY1139" s="30">
        <f>Inventory[[#This Row],[AttGar]]*Lookups!$B$93</f>
        <v>0</v>
      </c>
      <c r="AZ1139" s="30">
        <f>ROUND(Inventory[[#This Row],[25Det]],-2)</f>
        <v>7800</v>
      </c>
      <c r="BA1139" s="30">
        <f>ROUND(SUM(Inventory[[#This Row],[Mdl Qlty]:[Mdl Garage Area]])+Inventory[[#This Row],[Mdl Res Intercept]],-2)</f>
        <v>241000</v>
      </c>
      <c r="BB1139" s="30">
        <f>ROUND(Inventory[[#This Row],[Mdl Land Intercept]]+Inventory[[#This Row],[Mdl LnAcres]],-2)</f>
        <v>70200</v>
      </c>
      <c r="BC1139" s="30">
        <f>Inventory[[#This Row],[Unadj Res Value]]+Inventory[[#This Row],[Unadj Det Value]]+Inventory[[#This Row],[Unadj Land Value]]</f>
        <v>319000</v>
      </c>
      <c r="BD1139" s="30">
        <f>(Inventory[[#This Row],[Unadj Total Value]]-Inventory[[#This Row],[24Final]])/Inventory[[#This Row],[24Final]]</f>
        <v>8.5772634445200821E-2</v>
      </c>
      <c r="BE1139" s="30">
        <f>VLOOKUP(Inventory[[#This Row],[Nbhd]],Lookups!$M$3:$P$5,4,FALSE)</f>
        <v>0.99970000000000003</v>
      </c>
      <c r="BF1139" s="30">
        <f>VLOOKUP(Inventory[[#This Row],[Qlty]],Lookups!$M$8:$P$22,4,FALSE)</f>
        <v>1.0022</v>
      </c>
      <c r="BG1139" s="30">
        <f>VLOOKUP(Inventory[[#This Row],[Cnd]],Lookups!$R$8:$U$17,4,FALSE)</f>
        <v>0.997</v>
      </c>
      <c r="BH1139" s="30">
        <f>VLOOKUP(Inventory[[#This Row],[LivArea Range]],Lookups!$R$25:$U$43,4,FALSE)</f>
        <v>0.99519999999999997</v>
      </c>
      <c r="BI1139" s="30">
        <f>VLOOKUP(Inventory[[#This Row],[Decade]],Lookups!$M$24:$P$40,4,FALSE)</f>
        <v>0.95920000000000005</v>
      </c>
      <c r="BJ1139" s="30">
        <f>Inventory[[#This Row],[Nbhd Adj]]*0.95</f>
        <v>0.94971499999999998</v>
      </c>
      <c r="BK1139" s="30">
        <f>AVERAGE(Inventory[[#This Row],[Nbhd Adj]],Inventory[[#This Row],[Quality Adj]],Inventory[[#This Row],[Condition Adj]],Inventory[[#This Row],[Living Area Adj]],Inventory[[#This Row],[Decade Adj]])*0.95</f>
        <v>0.94112700000000005</v>
      </c>
      <c r="BL1139" s="30">
        <f>ROUND((SUM(Inventory[[#This Row],[Mdl Qlty]:[Mdl Garage Area]])+Inventory[[#This Row],[Mdl Res Intercept]])*Inventory[[#This Row],[Res Adj ]],-2)</f>
        <v>226800</v>
      </c>
      <c r="BM1139" s="30">
        <f>ROUND(Inventory[[#This Row],[25Det]]*Inventory[[#This Row],[Det/Nbhd Adj]],-2)</f>
        <v>7400</v>
      </c>
      <c r="BN1139" s="30">
        <f>Inventory[[#This Row],[Adjusted Res]]+Inventory[[#This Row],[Adj Det ]]</f>
        <v>234200</v>
      </c>
      <c r="BO1139" s="30">
        <f>ROUND((Inventory[[#This Row],[Mdl Land Intercept]]+Inventory[[#This Row],[Mdl LnAcres]])*Inventory[[#This Row],[Det/Nbhd Adj]],-2)</f>
        <v>66600</v>
      </c>
      <c r="BP1139" s="30">
        <f>Inventory[[#This Row],[Adjusted Impr Total]]+Inventory[[#This Row],[Adjusted Land Total]]</f>
        <v>300800</v>
      </c>
      <c r="BQ1139" s="30">
        <f>IFERROR((Inventory[[#This Row],[Adjusted Impr Total]]-Inventory[[#This Row],[24Bldg]])/Inventory[[#This Row],[24Bldg]],0)</f>
        <v>3.3083370092633436E-2</v>
      </c>
      <c r="BR1139" s="43">
        <f>(Inventory[[#This Row],[Adjusted Land Total]]-Inventory[[#This Row],[24Lnd]])/Inventory[[#This Row],[24Lnd]]</f>
        <v>-7.4515648286140089E-3</v>
      </c>
      <c r="BS1139" s="43">
        <f>(Inventory[[#This Row],[Adjusted Total]]-Inventory[[#This Row],[24Final]])/Inventory[[#This Row],[24Final]]</f>
        <v>2.3825731790333562E-2</v>
      </c>
    </row>
    <row r="1140" spans="1:71">
      <c r="A1140" s="30">
        <v>2025</v>
      </c>
      <c r="B1140" s="31" t="s">
        <v>1656</v>
      </c>
      <c r="C1140" s="31">
        <f>LN(Inventory[[#This Row],[Acres]])</f>
        <v>-1.0498221244986778</v>
      </c>
      <c r="D1140" s="30">
        <v>0.35</v>
      </c>
      <c r="E1140" s="30">
        <v>15038</v>
      </c>
      <c r="F1140" s="31" t="s">
        <v>505</v>
      </c>
      <c r="G1140" s="31" t="s">
        <v>155</v>
      </c>
      <c r="H1140" s="31" t="s">
        <v>5</v>
      </c>
      <c r="I1140" s="31" t="s">
        <v>506</v>
      </c>
      <c r="J1140" s="31" t="s">
        <v>507</v>
      </c>
      <c r="K1140" s="31" t="s">
        <v>193</v>
      </c>
      <c r="L1140" s="31" t="s">
        <v>25</v>
      </c>
      <c r="M1140" s="31" t="s">
        <v>18</v>
      </c>
      <c r="N1140" s="31">
        <v>40</v>
      </c>
      <c r="O1140" s="31">
        <f>2024-Inventory[[#This Row],[YrBlt]]</f>
        <v>49</v>
      </c>
      <c r="P1140" s="31">
        <f>2024-Inventory[[#This Row],[EffYr]]</f>
        <v>45</v>
      </c>
      <c r="Q1140" s="30">
        <v>1975</v>
      </c>
      <c r="R1140" s="30">
        <v>1979</v>
      </c>
      <c r="S1140" s="30">
        <v>3653</v>
      </c>
      <c r="T1140" s="37"/>
      <c r="U1140" s="32"/>
      <c r="V1140" s="32"/>
      <c r="W1140" s="32"/>
      <c r="X1140" s="32">
        <f>Inventory[[#This Row],[Bsmt Area]]-Inventory[[#This Row],[FnBsmt]]</f>
        <v>0</v>
      </c>
      <c r="Y1140" s="32">
        <f>Inventory[[#This Row],[MainFn]]+Inventory[[#This Row],[UpprFn]]+Inventory[[#This Row],[AddFn]]+Inventory[[#This Row],[FnBsmt]]</f>
        <v>3653</v>
      </c>
      <c r="Z1140" s="38">
        <v>4000</v>
      </c>
      <c r="AA1140" s="31" t="s">
        <v>55</v>
      </c>
      <c r="AB1140" s="37"/>
      <c r="AC1140" s="30">
        <v>997</v>
      </c>
      <c r="AD1140" s="32"/>
      <c r="AE1140" s="32"/>
      <c r="AF1140" s="32"/>
      <c r="AG1140" s="32"/>
      <c r="AH1140" s="32"/>
      <c r="AI1140" s="30">
        <v>934494</v>
      </c>
      <c r="AJ1140" s="30">
        <v>738250</v>
      </c>
      <c r="AK1140" s="30">
        <v>14335</v>
      </c>
      <c r="AL1140" s="30">
        <v>0</v>
      </c>
      <c r="AM1140" s="30">
        <v>71800</v>
      </c>
      <c r="AN1140" s="30">
        <v>434100</v>
      </c>
      <c r="AO1140" s="30">
        <v>505900</v>
      </c>
      <c r="AP1140" s="30">
        <f>Lookups!$B$58*0.6</f>
        <v>132535.48800000001</v>
      </c>
      <c r="AQ1140" s="30">
        <f>Lookups!$B$58*0.4</f>
        <v>88356.992000000013</v>
      </c>
      <c r="AR1140" s="30">
        <f>Lookups!$B$59*Inventory[[#This Row],[LnAcres]]</f>
        <v>-13778.202554822612</v>
      </c>
      <c r="AS1140" s="30">
        <f>VLOOKUP(Inventory[[#This Row],[Qlty]],Lookups!$A$66:$E$79,2,FALSE)</f>
        <v>53304.018704533402</v>
      </c>
      <c r="AT1140" s="30">
        <f>VLOOKUP(Inventory[[#This Row],[Cnd]],Lookups!$A$80:$E$88,2,FALSE)</f>
        <v>17761.121909000001</v>
      </c>
      <c r="AU1140" s="30">
        <f>Inventory[[#This Row],[EffAge]]*Lookups!$B$65</f>
        <v>-4893.3495000000003</v>
      </c>
      <c r="AV1140" s="30">
        <f>Inventory[[#This Row],[MainFn]]*Lookups!$B$90</f>
        <v>227985.11814000001</v>
      </c>
      <c r="AW1140" s="30">
        <f>Inventory[[#This Row],[UpprFn]]*Lookups!$B$91</f>
        <v>0</v>
      </c>
      <c r="AX1140" s="30">
        <f>Inventory[[#This Row],[Bsmt Area]]*Lookups!$B$95</f>
        <v>0</v>
      </c>
      <c r="AY1140" s="30">
        <f>Inventory[[#This Row],[AttGar]]*Lookups!$B$93</f>
        <v>35195.127907000002</v>
      </c>
      <c r="AZ1140" s="30">
        <f>ROUND(Inventory[[#This Row],[25Det]],-2)</f>
        <v>14300</v>
      </c>
      <c r="BA1140" s="30">
        <f>ROUND(SUM(Inventory[[#This Row],[Mdl Qlty]:[Mdl Garage Area]])+Inventory[[#This Row],[Mdl Res Intercept]],-2)</f>
        <v>461900</v>
      </c>
      <c r="BB1140" s="30">
        <f>ROUND(Inventory[[#This Row],[Mdl Land Intercept]]+Inventory[[#This Row],[Mdl LnAcres]],-2)</f>
        <v>74600</v>
      </c>
      <c r="BC1140" s="30">
        <f>Inventory[[#This Row],[Unadj Res Value]]+Inventory[[#This Row],[Unadj Det Value]]+Inventory[[#This Row],[Unadj Land Value]]</f>
        <v>550800</v>
      </c>
      <c r="BD1140" s="30">
        <f>(Inventory[[#This Row],[Unadj Total Value]]-Inventory[[#This Row],[24Final]])/Inventory[[#This Row],[24Final]]</f>
        <v>8.8752717928444358E-2</v>
      </c>
      <c r="BE1140" s="30">
        <f>VLOOKUP(Inventory[[#This Row],[Nbhd]],Lookups!$M$3:$P$5,4,FALSE)</f>
        <v>0.99970000000000003</v>
      </c>
      <c r="BF1140" s="30">
        <f>VLOOKUP(Inventory[[#This Row],[Qlty]],Lookups!$M$8:$P$22,4,FALSE)</f>
        <v>1</v>
      </c>
      <c r="BG1140" s="30">
        <f>VLOOKUP(Inventory[[#This Row],[Cnd]],Lookups!$R$8:$U$17,4,FALSE)</f>
        <v>0.99680000000000002</v>
      </c>
      <c r="BH1140" s="30">
        <f>VLOOKUP(Inventory[[#This Row],[LivArea Range]],Lookups!$R$25:$U$43,4,FALSE)</f>
        <v>1</v>
      </c>
      <c r="BI1140" s="30">
        <f>VLOOKUP(Inventory[[#This Row],[Decade]],Lookups!$M$24:$P$40,4,FALSE)</f>
        <v>0.95920000000000005</v>
      </c>
      <c r="BJ1140" s="30">
        <f>Inventory[[#This Row],[Nbhd Adj]]*0.95</f>
        <v>0.94971499999999998</v>
      </c>
      <c r="BK1140" s="30">
        <f>AVERAGE(Inventory[[#This Row],[Nbhd Adj]],Inventory[[#This Row],[Quality Adj]],Inventory[[#This Row],[Condition Adj]],Inventory[[#This Row],[Living Area Adj]],Inventory[[#This Row],[Decade Adj]])*0.95</f>
        <v>0.94158299999999995</v>
      </c>
      <c r="BL1140" s="30">
        <f>ROUND((SUM(Inventory[[#This Row],[Mdl Qlty]:[Mdl Garage Area]])+Inventory[[#This Row],[Mdl Res Intercept]])*Inventory[[#This Row],[Res Adj ]],-2)</f>
        <v>434900</v>
      </c>
      <c r="BM1140" s="30">
        <f>ROUND(Inventory[[#This Row],[25Det]]*Inventory[[#This Row],[Det/Nbhd Adj]],-2)</f>
        <v>13600</v>
      </c>
      <c r="BN1140" s="30">
        <f>Inventory[[#This Row],[Adjusted Res]]+Inventory[[#This Row],[Adj Det ]]</f>
        <v>448500</v>
      </c>
      <c r="BO1140" s="30">
        <f>ROUND((Inventory[[#This Row],[Mdl Land Intercept]]+Inventory[[#This Row],[Mdl LnAcres]])*Inventory[[#This Row],[Det/Nbhd Adj]],-2)</f>
        <v>70800</v>
      </c>
      <c r="BP1140" s="30">
        <f>Inventory[[#This Row],[Adjusted Impr Total]]+Inventory[[#This Row],[Adjusted Land Total]]</f>
        <v>519300</v>
      </c>
      <c r="BQ1140" s="30">
        <f>IFERROR((Inventory[[#This Row],[Adjusted Impr Total]]-Inventory[[#This Row],[24Bldg]])/Inventory[[#This Row],[24Bldg]],0)</f>
        <v>3.3172080165860401E-2</v>
      </c>
      <c r="BR1140" s="43">
        <f>(Inventory[[#This Row],[Adjusted Land Total]]-Inventory[[#This Row],[24Lnd]])/Inventory[[#This Row],[24Lnd]]</f>
        <v>-1.3927576601671309E-2</v>
      </c>
      <c r="BS1140" s="43">
        <f>(Inventory[[#This Row],[Adjusted Total]]-Inventory[[#This Row],[24Final]])/Inventory[[#This Row],[24Final]]</f>
        <v>2.6487448112275155E-2</v>
      </c>
    </row>
    <row r="1141" spans="1:71">
      <c r="A1141" s="30">
        <v>2025</v>
      </c>
      <c r="B1141" s="31" t="s">
        <v>1657</v>
      </c>
      <c r="C1141" s="31">
        <f>LN(Inventory[[#This Row],[Acres]])</f>
        <v>1.1184149159642893</v>
      </c>
      <c r="D1141" s="30">
        <v>3.06</v>
      </c>
      <c r="E1141" s="30">
        <v>133086</v>
      </c>
      <c r="F1141" s="31" t="s">
        <v>505</v>
      </c>
      <c r="G1141" s="31" t="s">
        <v>155</v>
      </c>
      <c r="H1141" s="31" t="s">
        <v>5</v>
      </c>
      <c r="I1141" s="31" t="s">
        <v>506</v>
      </c>
      <c r="J1141" s="31" t="s">
        <v>507</v>
      </c>
      <c r="K1141" s="31" t="s">
        <v>193</v>
      </c>
      <c r="L1141" s="31" t="s">
        <v>19</v>
      </c>
      <c r="M1141" s="31" t="s">
        <v>20</v>
      </c>
      <c r="N1141" s="31">
        <v>40</v>
      </c>
      <c r="O1141" s="31">
        <f>2024-Inventory[[#This Row],[YrBlt]]</f>
        <v>49</v>
      </c>
      <c r="P1141" s="31">
        <f>2024-Inventory[[#This Row],[EffYr]]</f>
        <v>45</v>
      </c>
      <c r="Q1141" s="30">
        <v>1975</v>
      </c>
      <c r="R1141" s="30">
        <v>1979</v>
      </c>
      <c r="S1141" s="30">
        <v>1386</v>
      </c>
      <c r="T1141" s="37"/>
      <c r="U1141" s="32"/>
      <c r="V1141" s="32"/>
      <c r="W1141" s="32"/>
      <c r="X1141" s="32">
        <f>Inventory[[#This Row],[Bsmt Area]]-Inventory[[#This Row],[FnBsmt]]</f>
        <v>0</v>
      </c>
      <c r="Y1141" s="32">
        <f>Inventory[[#This Row],[MainFn]]+Inventory[[#This Row],[UpprFn]]+Inventory[[#This Row],[AddFn]]+Inventory[[#This Row],[FnBsmt]]</f>
        <v>1386</v>
      </c>
      <c r="Z1141" s="32">
        <v>1500</v>
      </c>
      <c r="AA1141" s="31" t="s">
        <v>55</v>
      </c>
      <c r="AB1141" s="32"/>
      <c r="AC1141" s="30">
        <v>598</v>
      </c>
      <c r="AD1141" s="32"/>
      <c r="AE1141" s="32"/>
      <c r="AF1141" s="32"/>
      <c r="AG1141" s="32"/>
      <c r="AH1141" s="32"/>
      <c r="AI1141" s="30">
        <v>290929</v>
      </c>
      <c r="AJ1141" s="30">
        <v>226925</v>
      </c>
      <c r="AK1141" s="30">
        <v>56534</v>
      </c>
      <c r="AL1141" s="30">
        <v>0</v>
      </c>
      <c r="AM1141" s="30">
        <v>102200</v>
      </c>
      <c r="AN1141" s="30">
        <v>316100</v>
      </c>
      <c r="AO1141" s="30">
        <v>418300</v>
      </c>
      <c r="AP1141" s="30">
        <f>Lookups!$B$58*0.6</f>
        <v>132535.48800000001</v>
      </c>
      <c r="AQ1141" s="30">
        <f>Lookups!$B$58*0.4</f>
        <v>88356.992000000013</v>
      </c>
      <c r="AR1141" s="30">
        <f>Lookups!$B$59*Inventory[[#This Row],[LnAcres]]</f>
        <v>14678.436368303357</v>
      </c>
      <c r="AS1141" s="30">
        <f>VLOOKUP(Inventory[[#This Row],[Qlty]],Lookups!$A$66:$E$79,2,FALSE)</f>
        <v>37154.252388000001</v>
      </c>
      <c r="AT1141" s="30">
        <f>VLOOKUP(Inventory[[#This Row],[Cnd]],Lookups!$A$80:$E$88,2,FALSE)</f>
        <v>30300.329274</v>
      </c>
      <c r="AU1141" s="30">
        <f>Inventory[[#This Row],[EffAge]]*Lookups!$B$65</f>
        <v>-4893.3495000000003</v>
      </c>
      <c r="AV1141" s="30">
        <f>Inventory[[#This Row],[MainFn]]*Lookups!$B$90</f>
        <v>86500.786680000005</v>
      </c>
      <c r="AW1141" s="30">
        <f>Inventory[[#This Row],[UpprFn]]*Lookups!$B$91</f>
        <v>0</v>
      </c>
      <c r="AX1141" s="30">
        <f>Inventory[[#This Row],[Bsmt Area]]*Lookups!$B$95</f>
        <v>0</v>
      </c>
      <c r="AY1141" s="30">
        <f>Inventory[[#This Row],[AttGar]]*Lookups!$B$93</f>
        <v>21110.016538</v>
      </c>
      <c r="AZ1141" s="30">
        <f>ROUND(Inventory[[#This Row],[25Det]],-2)</f>
        <v>56500</v>
      </c>
      <c r="BA1141" s="30">
        <f>ROUND(SUM(Inventory[[#This Row],[Mdl Qlty]:[Mdl Garage Area]])+Inventory[[#This Row],[Mdl Res Intercept]],-2)</f>
        <v>302700</v>
      </c>
      <c r="BB1141" s="30">
        <f>ROUND(Inventory[[#This Row],[Mdl Land Intercept]]+Inventory[[#This Row],[Mdl LnAcres]],-2)</f>
        <v>103000</v>
      </c>
      <c r="BC1141" s="30">
        <f>Inventory[[#This Row],[Unadj Res Value]]+Inventory[[#This Row],[Unadj Det Value]]+Inventory[[#This Row],[Unadj Land Value]]</f>
        <v>462200</v>
      </c>
      <c r="BD1141" s="30">
        <f>(Inventory[[#This Row],[Unadj Total Value]]-Inventory[[#This Row],[24Final]])/Inventory[[#This Row],[24Final]]</f>
        <v>0.10494860148218982</v>
      </c>
      <c r="BE1141" s="30">
        <f>VLOOKUP(Inventory[[#This Row],[Nbhd]],Lookups!$M$3:$P$5,4,FALSE)</f>
        <v>0.99970000000000003</v>
      </c>
      <c r="BF1141" s="30">
        <f>VLOOKUP(Inventory[[#This Row],[Qlty]],Lookups!$M$8:$P$22,4,FALSE)</f>
        <v>0.99819999999999998</v>
      </c>
      <c r="BG1141" s="30">
        <f>VLOOKUP(Inventory[[#This Row],[Cnd]],Lookups!$R$8:$U$17,4,FALSE)</f>
        <v>0.997</v>
      </c>
      <c r="BH1141" s="30">
        <f>VLOOKUP(Inventory[[#This Row],[LivArea Range]],Lookups!$R$25:$U$43,4,FALSE)</f>
        <v>0.99519999999999997</v>
      </c>
      <c r="BI1141" s="30">
        <f>VLOOKUP(Inventory[[#This Row],[Decade]],Lookups!$M$24:$P$40,4,FALSE)</f>
        <v>0.95920000000000005</v>
      </c>
      <c r="BJ1141" s="30">
        <f>Inventory[[#This Row],[Nbhd Adj]]*0.95</f>
        <v>0.94971499999999998</v>
      </c>
      <c r="BK1141" s="30">
        <f>AVERAGE(Inventory[[#This Row],[Nbhd Adj]],Inventory[[#This Row],[Quality Adj]],Inventory[[#This Row],[Condition Adj]],Inventory[[#This Row],[Living Area Adj]],Inventory[[#This Row],[Decade Adj]])*0.95</f>
        <v>0.94036699999999995</v>
      </c>
      <c r="BL1141" s="30">
        <f>ROUND((SUM(Inventory[[#This Row],[Mdl Qlty]:[Mdl Garage Area]])+Inventory[[#This Row],[Mdl Res Intercept]])*Inventory[[#This Row],[Res Adj ]],-2)</f>
        <v>284700</v>
      </c>
      <c r="BM1141" s="30">
        <f>ROUND(Inventory[[#This Row],[25Det]]*Inventory[[#This Row],[Det/Nbhd Adj]],-2)</f>
        <v>53700</v>
      </c>
      <c r="BN1141" s="30">
        <f>Inventory[[#This Row],[Adjusted Res]]+Inventory[[#This Row],[Adj Det ]]</f>
        <v>338400</v>
      </c>
      <c r="BO1141" s="30">
        <f>ROUND((Inventory[[#This Row],[Mdl Land Intercept]]+Inventory[[#This Row],[Mdl LnAcres]])*Inventory[[#This Row],[Det/Nbhd Adj]],-2)</f>
        <v>97900</v>
      </c>
      <c r="BP1141" s="30">
        <f>Inventory[[#This Row],[Adjusted Impr Total]]+Inventory[[#This Row],[Adjusted Land Total]]</f>
        <v>436300</v>
      </c>
      <c r="BQ1141" s="30">
        <f>IFERROR((Inventory[[#This Row],[Adjusted Impr Total]]-Inventory[[#This Row],[24Bldg]])/Inventory[[#This Row],[24Bldg]],0)</f>
        <v>7.0547295159759577E-2</v>
      </c>
      <c r="BR1141" s="43">
        <f>(Inventory[[#This Row],[Adjusted Land Total]]-Inventory[[#This Row],[24Lnd]])/Inventory[[#This Row],[24Lnd]]</f>
        <v>-4.2074363992172209E-2</v>
      </c>
      <c r="BS1141" s="43">
        <f>(Inventory[[#This Row],[Adjusted Total]]-Inventory[[#This Row],[24Final]])/Inventory[[#This Row],[24Final]]</f>
        <v>4.3031317236433185E-2</v>
      </c>
    </row>
    <row r="1142" spans="1:71">
      <c r="A1142" s="30">
        <v>2025</v>
      </c>
      <c r="B1142" s="31" t="s">
        <v>1658</v>
      </c>
      <c r="C1142" s="31">
        <f>LN(Inventory[[#This Row],[Acres]])</f>
        <v>-1.8971199848858813</v>
      </c>
      <c r="D1142" s="30">
        <v>0.15</v>
      </c>
      <c r="E1142" s="30">
        <v>6396</v>
      </c>
      <c r="F1142" s="31" t="s">
        <v>505</v>
      </c>
      <c r="G1142" s="31" t="s">
        <v>155</v>
      </c>
      <c r="H1142" s="31" t="s">
        <v>5</v>
      </c>
      <c r="I1142" s="31" t="s">
        <v>506</v>
      </c>
      <c r="J1142" s="31" t="s">
        <v>507</v>
      </c>
      <c r="K1142" s="31" t="s">
        <v>193</v>
      </c>
      <c r="L1142" s="31" t="s">
        <v>15</v>
      </c>
      <c r="M1142" s="31" t="s">
        <v>20</v>
      </c>
      <c r="N1142" s="31">
        <v>50</v>
      </c>
      <c r="O1142" s="31">
        <f>2024-Inventory[[#This Row],[YrBlt]]</f>
        <v>50</v>
      </c>
      <c r="P1142" s="31">
        <f>2024-Inventory[[#This Row],[EffYr]]</f>
        <v>45</v>
      </c>
      <c r="Q1142" s="30">
        <v>1974</v>
      </c>
      <c r="R1142" s="30">
        <v>1979</v>
      </c>
      <c r="S1142" s="30">
        <v>1344</v>
      </c>
      <c r="T1142" s="32"/>
      <c r="U1142" s="32"/>
      <c r="V1142" s="32"/>
      <c r="W1142" s="32"/>
      <c r="X1142" s="32">
        <f>Inventory[[#This Row],[Bsmt Area]]-Inventory[[#This Row],[FnBsmt]]</f>
        <v>0</v>
      </c>
      <c r="Y1142" s="32">
        <f>Inventory[[#This Row],[MainFn]]+Inventory[[#This Row],[UpprFn]]+Inventory[[#This Row],[AddFn]]+Inventory[[#This Row],[FnBsmt]]</f>
        <v>1344</v>
      </c>
      <c r="Z1142" s="32">
        <v>1500</v>
      </c>
      <c r="AA1142" s="31" t="s">
        <v>56</v>
      </c>
      <c r="AB1142" s="32"/>
      <c r="AC1142" s="37"/>
      <c r="AD1142" s="32"/>
      <c r="AE1142" s="32"/>
      <c r="AF1142" s="32"/>
      <c r="AG1142" s="32"/>
      <c r="AH1142" s="32"/>
      <c r="AI1142" s="30">
        <v>189444</v>
      </c>
      <c r="AJ1142" s="30">
        <v>147766</v>
      </c>
      <c r="AK1142" s="30">
        <v>0</v>
      </c>
      <c r="AL1142" s="30">
        <v>0</v>
      </c>
      <c r="AM1142" s="30">
        <v>59900</v>
      </c>
      <c r="AN1142" s="30">
        <v>212200</v>
      </c>
      <c r="AO1142" s="30">
        <v>272100</v>
      </c>
      <c r="AP1142" s="30">
        <f>Lookups!$B$58*0.6</f>
        <v>132535.48800000001</v>
      </c>
      <c r="AQ1142" s="30">
        <f>Lookups!$B$58*0.4</f>
        <v>88356.992000000013</v>
      </c>
      <c r="AR1142" s="30">
        <f>Lookups!$B$59*Inventory[[#This Row],[LnAcres]]</f>
        <v>-24898.411657157456</v>
      </c>
      <c r="AS1142" s="30">
        <f>VLOOKUP(Inventory[[#This Row],[Qlty]],Lookups!$A$66:$E$79,2,FALSE)</f>
        <v>-1240.8083630000001</v>
      </c>
      <c r="AT1142" s="30">
        <f>VLOOKUP(Inventory[[#This Row],[Cnd]],Lookups!$A$80:$E$88,2,FALSE)</f>
        <v>30300.329274</v>
      </c>
      <c r="AU1142" s="30">
        <f>Inventory[[#This Row],[EffAge]]*Lookups!$B$65</f>
        <v>-4893.3495000000003</v>
      </c>
      <c r="AV1142" s="30">
        <f>Inventory[[#This Row],[MainFn]]*Lookups!$B$90</f>
        <v>83879.550719999999</v>
      </c>
      <c r="AW1142" s="30">
        <f>Inventory[[#This Row],[UpprFn]]*Lookups!$B$91</f>
        <v>0</v>
      </c>
      <c r="AX1142" s="30">
        <f>Inventory[[#This Row],[Bsmt Area]]*Lookups!$B$95</f>
        <v>0</v>
      </c>
      <c r="AY1142" s="30">
        <f>Inventory[[#This Row],[AttGar]]*Lookups!$B$93</f>
        <v>0</v>
      </c>
      <c r="AZ1142" s="30">
        <f>ROUND(Inventory[[#This Row],[25Det]],-2)</f>
        <v>0</v>
      </c>
      <c r="BA1142" s="30">
        <f>ROUND(SUM(Inventory[[#This Row],[Mdl Qlty]:[Mdl Garage Area]])+Inventory[[#This Row],[Mdl Res Intercept]],-2)</f>
        <v>240600</v>
      </c>
      <c r="BB1142" s="30">
        <f>ROUND(Inventory[[#This Row],[Mdl Land Intercept]]+Inventory[[#This Row],[Mdl LnAcres]],-2)</f>
        <v>63500</v>
      </c>
      <c r="BC1142" s="30">
        <f>Inventory[[#This Row],[Unadj Res Value]]+Inventory[[#This Row],[Unadj Det Value]]+Inventory[[#This Row],[Unadj Land Value]]</f>
        <v>304100</v>
      </c>
      <c r="BD1142" s="30">
        <f>(Inventory[[#This Row],[Unadj Total Value]]-Inventory[[#This Row],[24Final]])/Inventory[[#This Row],[24Final]]</f>
        <v>0.11760382212421903</v>
      </c>
      <c r="BE1142" s="30">
        <f>VLOOKUP(Inventory[[#This Row],[Nbhd]],Lookups!$M$3:$P$5,4,FALSE)</f>
        <v>0.99970000000000003</v>
      </c>
      <c r="BF1142" s="30">
        <f>VLOOKUP(Inventory[[#This Row],[Qlty]],Lookups!$M$8:$P$22,4,FALSE)</f>
        <v>1.0022</v>
      </c>
      <c r="BG1142" s="30">
        <f>VLOOKUP(Inventory[[#This Row],[Cnd]],Lookups!$R$8:$U$17,4,FALSE)</f>
        <v>0.997</v>
      </c>
      <c r="BH1142" s="30">
        <f>VLOOKUP(Inventory[[#This Row],[LivArea Range]],Lookups!$R$25:$U$43,4,FALSE)</f>
        <v>0.99519999999999997</v>
      </c>
      <c r="BI1142" s="30">
        <f>VLOOKUP(Inventory[[#This Row],[Decade]],Lookups!$M$24:$P$40,4,FALSE)</f>
        <v>0.98519999999999996</v>
      </c>
      <c r="BJ1142" s="30">
        <f>Inventory[[#This Row],[Nbhd Adj]]*0.95</f>
        <v>0.94971499999999998</v>
      </c>
      <c r="BK1142" s="30">
        <f>AVERAGE(Inventory[[#This Row],[Nbhd Adj]],Inventory[[#This Row],[Quality Adj]],Inventory[[#This Row],[Condition Adj]],Inventory[[#This Row],[Living Area Adj]],Inventory[[#This Row],[Decade Adj]])*0.95</f>
        <v>0.94606699999999999</v>
      </c>
      <c r="BL1142" s="30">
        <f>ROUND((SUM(Inventory[[#This Row],[Mdl Qlty]:[Mdl Garage Area]])+Inventory[[#This Row],[Mdl Res Intercept]])*Inventory[[#This Row],[Res Adj ]],-2)</f>
        <v>227600</v>
      </c>
      <c r="BM1142" s="30">
        <f>ROUND(Inventory[[#This Row],[25Det]]*Inventory[[#This Row],[Det/Nbhd Adj]],-2)</f>
        <v>0</v>
      </c>
      <c r="BN1142" s="30">
        <f>Inventory[[#This Row],[Adjusted Res]]+Inventory[[#This Row],[Adj Det ]]</f>
        <v>227600</v>
      </c>
      <c r="BO1142" s="30">
        <f>ROUND((Inventory[[#This Row],[Mdl Land Intercept]]+Inventory[[#This Row],[Mdl LnAcres]])*Inventory[[#This Row],[Det/Nbhd Adj]],-2)</f>
        <v>60300</v>
      </c>
      <c r="BP1142" s="30">
        <f>Inventory[[#This Row],[Adjusted Impr Total]]+Inventory[[#This Row],[Adjusted Land Total]]</f>
        <v>287900</v>
      </c>
      <c r="BQ1142" s="30">
        <f>IFERROR((Inventory[[#This Row],[Adjusted Impr Total]]-Inventory[[#This Row],[24Bldg]])/Inventory[[#This Row],[24Bldg]],0)</f>
        <v>7.2573044297832234E-2</v>
      </c>
      <c r="BR1142" s="43">
        <f>(Inventory[[#This Row],[Adjusted Land Total]]-Inventory[[#This Row],[24Lnd]])/Inventory[[#This Row],[24Lnd]]</f>
        <v>6.6777963272120202E-3</v>
      </c>
      <c r="BS1142" s="43">
        <f>(Inventory[[#This Row],[Adjusted Total]]-Inventory[[#This Row],[24Final]])/Inventory[[#This Row],[24Final]]</f>
        <v>5.8066887173833147E-2</v>
      </c>
    </row>
    <row r="1143" spans="1:71">
      <c r="A1143" s="30">
        <v>2025</v>
      </c>
      <c r="B1143" s="31" t="s">
        <v>1659</v>
      </c>
      <c r="C1143" s="31">
        <f>LN(Inventory[[#This Row],[Acres]])</f>
        <v>-1.6607312068216509</v>
      </c>
      <c r="D1143" s="30">
        <v>0.19</v>
      </c>
      <c r="E1143" s="30">
        <v>8271</v>
      </c>
      <c r="F1143" s="31" t="s">
        <v>505</v>
      </c>
      <c r="G1143" s="31" t="s">
        <v>155</v>
      </c>
      <c r="H1143" s="31" t="s">
        <v>5</v>
      </c>
      <c r="I1143" s="31" t="s">
        <v>506</v>
      </c>
      <c r="J1143" s="31" t="s">
        <v>507</v>
      </c>
      <c r="K1143" s="31" t="s">
        <v>193</v>
      </c>
      <c r="L1143" s="31" t="s">
        <v>15</v>
      </c>
      <c r="M1143" s="31" t="s">
        <v>18</v>
      </c>
      <c r="N1143" s="31">
        <v>50</v>
      </c>
      <c r="O1143" s="31">
        <f>2024-Inventory[[#This Row],[YrBlt]]</f>
        <v>50</v>
      </c>
      <c r="P1143" s="31">
        <f>2024-Inventory[[#This Row],[EffYr]]</f>
        <v>45</v>
      </c>
      <c r="Q1143" s="30">
        <v>1974</v>
      </c>
      <c r="R1143" s="30">
        <v>1979</v>
      </c>
      <c r="S1143" s="30">
        <v>1000</v>
      </c>
      <c r="T1143" s="32"/>
      <c r="U1143" s="32"/>
      <c r="V1143" s="32"/>
      <c r="W1143" s="32"/>
      <c r="X1143" s="32">
        <f>Inventory[[#This Row],[Bsmt Area]]-Inventory[[#This Row],[FnBsmt]]</f>
        <v>0</v>
      </c>
      <c r="Y1143" s="32">
        <f>Inventory[[#This Row],[MainFn]]+Inventory[[#This Row],[UpprFn]]+Inventory[[#This Row],[AddFn]]+Inventory[[#This Row],[FnBsmt]]</f>
        <v>1000</v>
      </c>
      <c r="Z1143" s="32">
        <v>1500</v>
      </c>
      <c r="AA1143" s="31" t="s">
        <v>56</v>
      </c>
      <c r="AB1143" s="32"/>
      <c r="AC1143" s="30">
        <v>300</v>
      </c>
      <c r="AD1143" s="32"/>
      <c r="AE1143" s="32"/>
      <c r="AF1143" s="32"/>
      <c r="AG1143" s="32"/>
      <c r="AH1143" s="32"/>
      <c r="AI1143" s="30">
        <v>171436</v>
      </c>
      <c r="AJ1143" s="30">
        <v>132006</v>
      </c>
      <c r="AK1143" s="30">
        <v>0</v>
      </c>
      <c r="AL1143" s="30">
        <v>0</v>
      </c>
      <c r="AM1143" s="30">
        <v>63200</v>
      </c>
      <c r="AN1143" s="30">
        <v>198400</v>
      </c>
      <c r="AO1143" s="30">
        <v>261600</v>
      </c>
      <c r="AP1143" s="30">
        <f>Lookups!$B$58*0.6</f>
        <v>132535.48800000001</v>
      </c>
      <c r="AQ1143" s="30">
        <f>Lookups!$B$58*0.4</f>
        <v>88356.992000000013</v>
      </c>
      <c r="AR1143" s="30">
        <f>Lookups!$B$59*Inventory[[#This Row],[LnAcres]]</f>
        <v>-21795.969453044734</v>
      </c>
      <c r="AS1143" s="30">
        <f>VLOOKUP(Inventory[[#This Row],[Qlty]],Lookups!$A$66:$E$79,2,FALSE)</f>
        <v>-1240.8083630000001</v>
      </c>
      <c r="AT1143" s="30">
        <f>VLOOKUP(Inventory[[#This Row],[Cnd]],Lookups!$A$80:$E$88,2,FALSE)</f>
        <v>17761.121909000001</v>
      </c>
      <c r="AU1143" s="30">
        <f>Inventory[[#This Row],[EffAge]]*Lookups!$B$65</f>
        <v>-4893.3495000000003</v>
      </c>
      <c r="AV1143" s="30">
        <f>Inventory[[#This Row],[MainFn]]*Lookups!$B$90</f>
        <v>62410.380000000005</v>
      </c>
      <c r="AW1143" s="30">
        <f>Inventory[[#This Row],[UpprFn]]*Lookups!$B$91</f>
        <v>0</v>
      </c>
      <c r="AX1143" s="30">
        <f>Inventory[[#This Row],[Bsmt Area]]*Lookups!$B$95</f>
        <v>0</v>
      </c>
      <c r="AY1143" s="30">
        <f>Inventory[[#This Row],[AttGar]]*Lookups!$B$93</f>
        <v>10590.309300000001</v>
      </c>
      <c r="AZ1143" s="30">
        <f>ROUND(Inventory[[#This Row],[25Det]],-2)</f>
        <v>0</v>
      </c>
      <c r="BA1143" s="30">
        <f>ROUND(SUM(Inventory[[#This Row],[Mdl Qlty]:[Mdl Garage Area]])+Inventory[[#This Row],[Mdl Res Intercept]],-2)</f>
        <v>217200</v>
      </c>
      <c r="BB1143" s="30">
        <f>ROUND(Inventory[[#This Row],[Mdl Land Intercept]]+Inventory[[#This Row],[Mdl LnAcres]],-2)</f>
        <v>66600</v>
      </c>
      <c r="BC1143" s="30">
        <f>Inventory[[#This Row],[Unadj Res Value]]+Inventory[[#This Row],[Unadj Det Value]]+Inventory[[#This Row],[Unadj Land Value]]</f>
        <v>283800</v>
      </c>
      <c r="BD1143" s="30">
        <f>(Inventory[[#This Row],[Unadj Total Value]]-Inventory[[#This Row],[24Final]])/Inventory[[#This Row],[24Final]]</f>
        <v>8.4862385321100922E-2</v>
      </c>
      <c r="BE1143" s="30">
        <f>VLOOKUP(Inventory[[#This Row],[Nbhd]],Lookups!$M$3:$P$5,4,FALSE)</f>
        <v>0.99970000000000003</v>
      </c>
      <c r="BF1143" s="30">
        <f>VLOOKUP(Inventory[[#This Row],[Qlty]],Lookups!$M$8:$P$22,4,FALSE)</f>
        <v>1.0022</v>
      </c>
      <c r="BG1143" s="30">
        <f>VLOOKUP(Inventory[[#This Row],[Cnd]],Lookups!$R$8:$U$17,4,FALSE)</f>
        <v>0.99680000000000002</v>
      </c>
      <c r="BH1143" s="30">
        <f>VLOOKUP(Inventory[[#This Row],[LivArea Range]],Lookups!$R$25:$U$43,4,FALSE)</f>
        <v>0.99519999999999997</v>
      </c>
      <c r="BI1143" s="30">
        <f>VLOOKUP(Inventory[[#This Row],[Decade]],Lookups!$M$24:$P$40,4,FALSE)</f>
        <v>0.98519999999999996</v>
      </c>
      <c r="BJ1143" s="30">
        <f>Inventory[[#This Row],[Nbhd Adj]]*0.95</f>
        <v>0.94971499999999998</v>
      </c>
      <c r="BK1143" s="30">
        <f>AVERAGE(Inventory[[#This Row],[Nbhd Adj]],Inventory[[#This Row],[Quality Adj]],Inventory[[#This Row],[Condition Adj]],Inventory[[#This Row],[Living Area Adj]],Inventory[[#This Row],[Decade Adj]])*0.95</f>
        <v>0.9460289999999999</v>
      </c>
      <c r="BL1143" s="30">
        <f>ROUND((SUM(Inventory[[#This Row],[Mdl Qlty]:[Mdl Garage Area]])+Inventory[[#This Row],[Mdl Res Intercept]])*Inventory[[#This Row],[Res Adj ]],-2)</f>
        <v>205400</v>
      </c>
      <c r="BM1143" s="30">
        <f>ROUND(Inventory[[#This Row],[25Det]]*Inventory[[#This Row],[Det/Nbhd Adj]],-2)</f>
        <v>0</v>
      </c>
      <c r="BN1143" s="30">
        <f>Inventory[[#This Row],[Adjusted Res]]+Inventory[[#This Row],[Adj Det ]]</f>
        <v>205400</v>
      </c>
      <c r="BO1143" s="30">
        <f>ROUND((Inventory[[#This Row],[Mdl Land Intercept]]+Inventory[[#This Row],[Mdl LnAcres]])*Inventory[[#This Row],[Det/Nbhd Adj]],-2)</f>
        <v>63200</v>
      </c>
      <c r="BP1143" s="30">
        <f>Inventory[[#This Row],[Adjusted Impr Total]]+Inventory[[#This Row],[Adjusted Land Total]]</f>
        <v>268600</v>
      </c>
      <c r="BQ1143" s="30">
        <f>IFERROR((Inventory[[#This Row],[Adjusted Impr Total]]-Inventory[[#This Row],[24Bldg]])/Inventory[[#This Row],[24Bldg]],0)</f>
        <v>3.5282258064516132E-2</v>
      </c>
      <c r="BR1143" s="43">
        <f>(Inventory[[#This Row],[Adjusted Land Total]]-Inventory[[#This Row],[24Lnd]])/Inventory[[#This Row],[24Lnd]]</f>
        <v>0</v>
      </c>
      <c r="BS1143" s="43">
        <f>(Inventory[[#This Row],[Adjusted Total]]-Inventory[[#This Row],[24Final]])/Inventory[[#This Row],[24Final]]</f>
        <v>2.6758409785932722E-2</v>
      </c>
    </row>
    <row r="1144" spans="1:71">
      <c r="A1144" s="30">
        <v>2025</v>
      </c>
      <c r="B1144" s="31" t="s">
        <v>1660</v>
      </c>
      <c r="C1144" s="31">
        <f>LN(Inventory[[#This Row],[Acres]])</f>
        <v>-1.5141277326297755</v>
      </c>
      <c r="D1144" s="30">
        <v>0.22</v>
      </c>
      <c r="E1144" s="30">
        <v>9496</v>
      </c>
      <c r="F1144" s="31" t="s">
        <v>505</v>
      </c>
      <c r="G1144" s="31" t="s">
        <v>155</v>
      </c>
      <c r="H1144" s="31" t="s">
        <v>5</v>
      </c>
      <c r="I1144" s="31" t="s">
        <v>506</v>
      </c>
      <c r="J1144" s="31" t="s">
        <v>507</v>
      </c>
      <c r="K1144" s="31" t="s">
        <v>193</v>
      </c>
      <c r="L1144" s="31" t="s">
        <v>17</v>
      </c>
      <c r="M1144" s="31" t="s">
        <v>20</v>
      </c>
      <c r="N1144" s="31">
        <v>50</v>
      </c>
      <c r="O1144" s="31">
        <f>2024-Inventory[[#This Row],[YrBlt]]</f>
        <v>50</v>
      </c>
      <c r="P1144" s="31">
        <f>2024-Inventory[[#This Row],[EffYr]]</f>
        <v>45</v>
      </c>
      <c r="Q1144" s="30">
        <v>1974</v>
      </c>
      <c r="R1144" s="30">
        <v>1979</v>
      </c>
      <c r="S1144" s="30">
        <v>1436</v>
      </c>
      <c r="T1144" s="37"/>
      <c r="U1144" s="32"/>
      <c r="V1144" s="32"/>
      <c r="W1144" s="32"/>
      <c r="X1144" s="32">
        <f>Inventory[[#This Row],[Bsmt Area]]-Inventory[[#This Row],[FnBsmt]]</f>
        <v>0</v>
      </c>
      <c r="Y1144" s="32">
        <f>Inventory[[#This Row],[MainFn]]+Inventory[[#This Row],[UpprFn]]+Inventory[[#This Row],[AddFn]]+Inventory[[#This Row],[FnBsmt]]</f>
        <v>1436</v>
      </c>
      <c r="Z1144" s="32">
        <v>1500</v>
      </c>
      <c r="AA1144" s="31" t="s">
        <v>57</v>
      </c>
      <c r="AB1144" s="32"/>
      <c r="AC1144" s="37"/>
      <c r="AD1144" s="32"/>
      <c r="AE1144" s="32"/>
      <c r="AF1144" s="32"/>
      <c r="AG1144" s="32"/>
      <c r="AH1144" s="32"/>
      <c r="AI1144" s="30">
        <v>231267</v>
      </c>
      <c r="AJ1144" s="30">
        <v>180388</v>
      </c>
      <c r="AK1144" s="30">
        <v>0</v>
      </c>
      <c r="AL1144" s="30">
        <v>0</v>
      </c>
      <c r="AM1144" s="30">
        <v>65300</v>
      </c>
      <c r="AN1144" s="30">
        <v>229300</v>
      </c>
      <c r="AO1144" s="30">
        <v>294600</v>
      </c>
      <c r="AP1144" s="30">
        <f>Lookups!$B$58*0.6</f>
        <v>132535.48800000001</v>
      </c>
      <c r="AQ1144" s="30">
        <f>Lookups!$B$58*0.4</f>
        <v>88356.992000000013</v>
      </c>
      <c r="AR1144" s="30">
        <f>Lookups!$B$59*Inventory[[#This Row],[LnAcres]]</f>
        <v>-19871.898398035348</v>
      </c>
      <c r="AS1144" s="30">
        <f>VLOOKUP(Inventory[[#This Row],[Qlty]],Lookups!$A$66:$E$79,2,FALSE)</f>
        <v>24371.765965999999</v>
      </c>
      <c r="AT1144" s="30">
        <f>VLOOKUP(Inventory[[#This Row],[Cnd]],Lookups!$A$80:$E$88,2,FALSE)</f>
        <v>30300.329274</v>
      </c>
      <c r="AU1144" s="30">
        <f>Inventory[[#This Row],[EffAge]]*Lookups!$B$65</f>
        <v>-4893.3495000000003</v>
      </c>
      <c r="AV1144" s="30">
        <f>Inventory[[#This Row],[MainFn]]*Lookups!$B$90</f>
        <v>89621.305680000005</v>
      </c>
      <c r="AW1144" s="30">
        <f>Inventory[[#This Row],[UpprFn]]*Lookups!$B$91</f>
        <v>0</v>
      </c>
      <c r="AX1144" s="30">
        <f>Inventory[[#This Row],[Bsmt Area]]*Lookups!$B$95</f>
        <v>0</v>
      </c>
      <c r="AY1144" s="30">
        <f>Inventory[[#This Row],[AttGar]]*Lookups!$B$93</f>
        <v>0</v>
      </c>
      <c r="AZ1144" s="30">
        <f>ROUND(Inventory[[#This Row],[25Det]],-2)</f>
        <v>0</v>
      </c>
      <c r="BA1144" s="30">
        <f>ROUND(SUM(Inventory[[#This Row],[Mdl Qlty]:[Mdl Garage Area]])+Inventory[[#This Row],[Mdl Res Intercept]],-2)</f>
        <v>271900</v>
      </c>
      <c r="BB1144" s="30">
        <f>ROUND(Inventory[[#This Row],[Mdl Land Intercept]]+Inventory[[#This Row],[Mdl LnAcres]],-2)</f>
        <v>68500</v>
      </c>
      <c r="BC1144" s="30">
        <f>Inventory[[#This Row],[Unadj Res Value]]+Inventory[[#This Row],[Unadj Det Value]]+Inventory[[#This Row],[Unadj Land Value]]</f>
        <v>340400</v>
      </c>
      <c r="BD1144" s="30">
        <f>(Inventory[[#This Row],[Unadj Total Value]]-Inventory[[#This Row],[24Final]])/Inventory[[#This Row],[24Final]]</f>
        <v>0.15546503733876443</v>
      </c>
      <c r="BE1144" s="30">
        <f>VLOOKUP(Inventory[[#This Row],[Nbhd]],Lookups!$M$3:$P$5,4,FALSE)</f>
        <v>0.99970000000000003</v>
      </c>
      <c r="BF1144" s="30">
        <f>VLOOKUP(Inventory[[#This Row],[Qlty]],Lookups!$M$8:$P$22,4,FALSE)</f>
        <v>0.99199999999999999</v>
      </c>
      <c r="BG1144" s="30">
        <f>VLOOKUP(Inventory[[#This Row],[Cnd]],Lookups!$R$8:$U$17,4,FALSE)</f>
        <v>0.997</v>
      </c>
      <c r="BH1144" s="30">
        <f>VLOOKUP(Inventory[[#This Row],[LivArea Range]],Lookups!$R$25:$U$43,4,FALSE)</f>
        <v>0.99519999999999997</v>
      </c>
      <c r="BI1144" s="30">
        <f>VLOOKUP(Inventory[[#This Row],[Decade]],Lookups!$M$24:$P$40,4,FALSE)</f>
        <v>0.98519999999999996</v>
      </c>
      <c r="BJ1144" s="30">
        <f>Inventory[[#This Row],[Nbhd Adj]]*0.95</f>
        <v>0.94971499999999998</v>
      </c>
      <c r="BK1144" s="30">
        <f>AVERAGE(Inventory[[#This Row],[Nbhd Adj]],Inventory[[#This Row],[Quality Adj]],Inventory[[#This Row],[Condition Adj]],Inventory[[#This Row],[Living Area Adj]],Inventory[[#This Row],[Decade Adj]])*0.95</f>
        <v>0.944129</v>
      </c>
      <c r="BL1144" s="30">
        <f>ROUND((SUM(Inventory[[#This Row],[Mdl Qlty]:[Mdl Garage Area]])+Inventory[[#This Row],[Mdl Res Intercept]])*Inventory[[#This Row],[Res Adj ]],-2)</f>
        <v>256700</v>
      </c>
      <c r="BM1144" s="30">
        <f>ROUND(Inventory[[#This Row],[25Det]]*Inventory[[#This Row],[Det/Nbhd Adj]],-2)</f>
        <v>0</v>
      </c>
      <c r="BN1144" s="30">
        <f>Inventory[[#This Row],[Adjusted Res]]+Inventory[[#This Row],[Adj Det ]]</f>
        <v>256700</v>
      </c>
      <c r="BO1144" s="30">
        <f>ROUND((Inventory[[#This Row],[Mdl Land Intercept]]+Inventory[[#This Row],[Mdl LnAcres]])*Inventory[[#This Row],[Det/Nbhd Adj]],-2)</f>
        <v>65000</v>
      </c>
      <c r="BP1144" s="30">
        <f>Inventory[[#This Row],[Adjusted Impr Total]]+Inventory[[#This Row],[Adjusted Land Total]]</f>
        <v>321700</v>
      </c>
      <c r="BQ1144" s="30">
        <f>IFERROR((Inventory[[#This Row],[Adjusted Impr Total]]-Inventory[[#This Row],[24Bldg]])/Inventory[[#This Row],[24Bldg]],0)</f>
        <v>0.11949411251635413</v>
      </c>
      <c r="BR1144" s="43">
        <f>(Inventory[[#This Row],[Adjusted Land Total]]-Inventory[[#This Row],[24Lnd]])/Inventory[[#This Row],[24Lnd]]</f>
        <v>-4.5941807044410417E-3</v>
      </c>
      <c r="BS1144" s="43">
        <f>(Inventory[[#This Row],[Adjusted Total]]-Inventory[[#This Row],[24Final]])/Inventory[[#This Row],[24Final]]</f>
        <v>9.1989137813985059E-2</v>
      </c>
    </row>
    <row r="1145" spans="1:71">
      <c r="A1145" s="30">
        <v>2025</v>
      </c>
      <c r="B1145" s="31" t="s">
        <v>1661</v>
      </c>
      <c r="C1145" s="31">
        <f>LN(Inventory[[#This Row],[Acres]])</f>
        <v>-1.5141277326297755</v>
      </c>
      <c r="D1145" s="30">
        <v>0.22</v>
      </c>
      <c r="E1145" s="30">
        <v>9622</v>
      </c>
      <c r="F1145" s="31" t="s">
        <v>505</v>
      </c>
      <c r="G1145" s="31" t="s">
        <v>155</v>
      </c>
      <c r="H1145" s="31" t="s">
        <v>5</v>
      </c>
      <c r="I1145" s="31" t="s">
        <v>506</v>
      </c>
      <c r="J1145" s="31" t="s">
        <v>507</v>
      </c>
      <c r="K1145" s="31" t="s">
        <v>193</v>
      </c>
      <c r="L1145" s="31" t="s">
        <v>15</v>
      </c>
      <c r="M1145" s="31" t="s">
        <v>20</v>
      </c>
      <c r="N1145" s="31">
        <v>50</v>
      </c>
      <c r="O1145" s="31">
        <f>2024-Inventory[[#This Row],[YrBlt]]</f>
        <v>50</v>
      </c>
      <c r="P1145" s="31">
        <f>2024-Inventory[[#This Row],[EffYr]]</f>
        <v>45</v>
      </c>
      <c r="Q1145" s="30">
        <v>1974</v>
      </c>
      <c r="R1145" s="30">
        <v>1979</v>
      </c>
      <c r="S1145" s="30">
        <v>1300</v>
      </c>
      <c r="T1145" s="37"/>
      <c r="U1145" s="32"/>
      <c r="V1145" s="32"/>
      <c r="W1145" s="32"/>
      <c r="X1145" s="32">
        <f>Inventory[[#This Row],[Bsmt Area]]-Inventory[[#This Row],[FnBsmt]]</f>
        <v>0</v>
      </c>
      <c r="Y1145" s="32">
        <f>Inventory[[#This Row],[MainFn]]+Inventory[[#This Row],[UpprFn]]+Inventory[[#This Row],[AddFn]]+Inventory[[#This Row],[FnBsmt]]</f>
        <v>1300</v>
      </c>
      <c r="Z1145" s="32">
        <v>1500</v>
      </c>
      <c r="AA1145" s="31" t="s">
        <v>56</v>
      </c>
      <c r="AB1145" s="32"/>
      <c r="AC1145" s="37"/>
      <c r="AD1145" s="32"/>
      <c r="AE1145" s="32"/>
      <c r="AF1145" s="32"/>
      <c r="AG1145" s="32"/>
      <c r="AH1145" s="32"/>
      <c r="AI1145" s="30">
        <v>190395</v>
      </c>
      <c r="AJ1145" s="30">
        <v>148508</v>
      </c>
      <c r="AK1145" s="30">
        <v>4903</v>
      </c>
      <c r="AL1145" s="30">
        <v>0</v>
      </c>
      <c r="AM1145" s="30">
        <v>65300</v>
      </c>
      <c r="AN1145" s="30">
        <v>212600</v>
      </c>
      <c r="AO1145" s="30">
        <v>277900</v>
      </c>
      <c r="AP1145" s="30">
        <f>Lookups!$B$58*0.6</f>
        <v>132535.48800000001</v>
      </c>
      <c r="AQ1145" s="30">
        <f>Lookups!$B$58*0.4</f>
        <v>88356.992000000013</v>
      </c>
      <c r="AR1145" s="30">
        <f>Lookups!$B$59*Inventory[[#This Row],[LnAcres]]</f>
        <v>-19871.898398035348</v>
      </c>
      <c r="AS1145" s="30">
        <f>VLOOKUP(Inventory[[#This Row],[Qlty]],Lookups!$A$66:$E$79,2,FALSE)</f>
        <v>-1240.8083630000001</v>
      </c>
      <c r="AT1145" s="30">
        <f>VLOOKUP(Inventory[[#This Row],[Cnd]],Lookups!$A$80:$E$88,2,FALSE)</f>
        <v>30300.329274</v>
      </c>
      <c r="AU1145" s="30">
        <f>Inventory[[#This Row],[EffAge]]*Lookups!$B$65</f>
        <v>-4893.3495000000003</v>
      </c>
      <c r="AV1145" s="30">
        <f>Inventory[[#This Row],[MainFn]]*Lookups!$B$90</f>
        <v>81133.494000000006</v>
      </c>
      <c r="AW1145" s="30">
        <f>Inventory[[#This Row],[UpprFn]]*Lookups!$B$91</f>
        <v>0</v>
      </c>
      <c r="AX1145" s="30">
        <f>Inventory[[#This Row],[Bsmt Area]]*Lookups!$B$95</f>
        <v>0</v>
      </c>
      <c r="AY1145" s="30">
        <f>Inventory[[#This Row],[AttGar]]*Lookups!$B$93</f>
        <v>0</v>
      </c>
      <c r="AZ1145" s="30">
        <f>ROUND(Inventory[[#This Row],[25Det]],-2)</f>
        <v>4900</v>
      </c>
      <c r="BA1145" s="30">
        <f>ROUND(SUM(Inventory[[#This Row],[Mdl Qlty]:[Mdl Garage Area]])+Inventory[[#This Row],[Mdl Res Intercept]],-2)</f>
        <v>237800</v>
      </c>
      <c r="BB1145" s="30">
        <f>ROUND(Inventory[[#This Row],[Mdl Land Intercept]]+Inventory[[#This Row],[Mdl LnAcres]],-2)</f>
        <v>68500</v>
      </c>
      <c r="BC1145" s="30">
        <f>Inventory[[#This Row],[Unadj Res Value]]+Inventory[[#This Row],[Unadj Det Value]]+Inventory[[#This Row],[Unadj Land Value]]</f>
        <v>311200</v>
      </c>
      <c r="BD1145" s="30">
        <f>(Inventory[[#This Row],[Unadj Total Value]]-Inventory[[#This Row],[24Final]])/Inventory[[#This Row],[24Final]]</f>
        <v>0.11982727599856063</v>
      </c>
      <c r="BE1145" s="30">
        <f>VLOOKUP(Inventory[[#This Row],[Nbhd]],Lookups!$M$3:$P$5,4,FALSE)</f>
        <v>0.99970000000000003</v>
      </c>
      <c r="BF1145" s="30">
        <f>VLOOKUP(Inventory[[#This Row],[Qlty]],Lookups!$M$8:$P$22,4,FALSE)</f>
        <v>1.0022</v>
      </c>
      <c r="BG1145" s="30">
        <f>VLOOKUP(Inventory[[#This Row],[Cnd]],Lookups!$R$8:$U$17,4,FALSE)</f>
        <v>0.997</v>
      </c>
      <c r="BH1145" s="30">
        <f>VLOOKUP(Inventory[[#This Row],[LivArea Range]],Lookups!$R$25:$U$43,4,FALSE)</f>
        <v>0.99519999999999997</v>
      </c>
      <c r="BI1145" s="30">
        <f>VLOOKUP(Inventory[[#This Row],[Decade]],Lookups!$M$24:$P$40,4,FALSE)</f>
        <v>0.98519999999999996</v>
      </c>
      <c r="BJ1145" s="30">
        <f>Inventory[[#This Row],[Nbhd Adj]]*0.95</f>
        <v>0.94971499999999998</v>
      </c>
      <c r="BK1145" s="30">
        <f>AVERAGE(Inventory[[#This Row],[Nbhd Adj]],Inventory[[#This Row],[Quality Adj]],Inventory[[#This Row],[Condition Adj]],Inventory[[#This Row],[Living Area Adj]],Inventory[[#This Row],[Decade Adj]])*0.95</f>
        <v>0.94606699999999999</v>
      </c>
      <c r="BL1145" s="30">
        <f>ROUND((SUM(Inventory[[#This Row],[Mdl Qlty]:[Mdl Garage Area]])+Inventory[[#This Row],[Mdl Res Intercept]])*Inventory[[#This Row],[Res Adj ]],-2)</f>
        <v>225000</v>
      </c>
      <c r="BM1145" s="30">
        <f>ROUND(Inventory[[#This Row],[25Det]]*Inventory[[#This Row],[Det/Nbhd Adj]],-2)</f>
        <v>4700</v>
      </c>
      <c r="BN1145" s="30">
        <f>Inventory[[#This Row],[Adjusted Res]]+Inventory[[#This Row],[Adj Det ]]</f>
        <v>229700</v>
      </c>
      <c r="BO1145" s="30">
        <f>ROUND((Inventory[[#This Row],[Mdl Land Intercept]]+Inventory[[#This Row],[Mdl LnAcres]])*Inventory[[#This Row],[Det/Nbhd Adj]],-2)</f>
        <v>65000</v>
      </c>
      <c r="BP1145" s="30">
        <f>Inventory[[#This Row],[Adjusted Impr Total]]+Inventory[[#This Row],[Adjusted Land Total]]</f>
        <v>294700</v>
      </c>
      <c r="BQ1145" s="30">
        <f>IFERROR((Inventory[[#This Row],[Adjusted Impr Total]]-Inventory[[#This Row],[24Bldg]])/Inventory[[#This Row],[24Bldg]],0)</f>
        <v>8.0432737535277521E-2</v>
      </c>
      <c r="BR1145" s="43">
        <f>(Inventory[[#This Row],[Adjusted Land Total]]-Inventory[[#This Row],[24Lnd]])/Inventory[[#This Row],[24Lnd]]</f>
        <v>-4.5941807044410417E-3</v>
      </c>
      <c r="BS1145" s="43">
        <f>(Inventory[[#This Row],[Adjusted Total]]-Inventory[[#This Row],[24Final]])/Inventory[[#This Row],[24Final]]</f>
        <v>6.0453400503778336E-2</v>
      </c>
    </row>
    <row r="1146" spans="1:71">
      <c r="A1146" s="30">
        <v>2025</v>
      </c>
      <c r="B1146" s="31" t="s">
        <v>1662</v>
      </c>
      <c r="C1146" s="31">
        <f>LN(Inventory[[#This Row],[Acres]])</f>
        <v>-1.5141277326297755</v>
      </c>
      <c r="D1146" s="30">
        <v>0.22</v>
      </c>
      <c r="E1146" s="30">
        <v>9369</v>
      </c>
      <c r="F1146" s="31" t="s">
        <v>505</v>
      </c>
      <c r="G1146" s="31" t="s">
        <v>155</v>
      </c>
      <c r="H1146" s="31" t="s">
        <v>5</v>
      </c>
      <c r="I1146" s="31" t="s">
        <v>506</v>
      </c>
      <c r="J1146" s="31" t="s">
        <v>507</v>
      </c>
      <c r="K1146" s="31" t="s">
        <v>193</v>
      </c>
      <c r="L1146" s="31" t="s">
        <v>15</v>
      </c>
      <c r="M1146" s="31" t="s">
        <v>18</v>
      </c>
      <c r="N1146" s="31">
        <v>50</v>
      </c>
      <c r="O1146" s="31">
        <f>2024-Inventory[[#This Row],[YrBlt]]</f>
        <v>50</v>
      </c>
      <c r="P1146" s="31">
        <f>2024-Inventory[[#This Row],[EffYr]]</f>
        <v>45</v>
      </c>
      <c r="Q1146" s="30">
        <v>1974</v>
      </c>
      <c r="R1146" s="30">
        <v>1979</v>
      </c>
      <c r="S1146" s="30">
        <v>1458</v>
      </c>
      <c r="T1146" s="32"/>
      <c r="U1146" s="32"/>
      <c r="V1146" s="32"/>
      <c r="W1146" s="32"/>
      <c r="X1146" s="32">
        <f>Inventory[[#This Row],[Bsmt Area]]-Inventory[[#This Row],[FnBsmt]]</f>
        <v>0</v>
      </c>
      <c r="Y1146" s="32">
        <f>Inventory[[#This Row],[MainFn]]+Inventory[[#This Row],[UpprFn]]+Inventory[[#This Row],[AddFn]]+Inventory[[#This Row],[FnBsmt]]</f>
        <v>1458</v>
      </c>
      <c r="Z1146" s="32">
        <v>1500</v>
      </c>
      <c r="AA1146" s="31" t="s">
        <v>56</v>
      </c>
      <c r="AB1146" s="32"/>
      <c r="AC1146" s="37"/>
      <c r="AD1146" s="32"/>
      <c r="AE1146" s="32"/>
      <c r="AF1146" s="32"/>
      <c r="AG1146" s="32"/>
      <c r="AH1146" s="32"/>
      <c r="AI1146" s="30">
        <v>214873</v>
      </c>
      <c r="AJ1146" s="30">
        <v>165452</v>
      </c>
      <c r="AK1146" s="30">
        <v>0</v>
      </c>
      <c r="AL1146" s="30">
        <v>0</v>
      </c>
      <c r="AM1146" s="30">
        <v>65300</v>
      </c>
      <c r="AN1146" s="30">
        <v>204800</v>
      </c>
      <c r="AO1146" s="30">
        <v>270100</v>
      </c>
      <c r="AP1146" s="30">
        <f>Lookups!$B$58*0.6</f>
        <v>132535.48800000001</v>
      </c>
      <c r="AQ1146" s="30">
        <f>Lookups!$B$58*0.4</f>
        <v>88356.992000000013</v>
      </c>
      <c r="AR1146" s="30">
        <f>Lookups!$B$59*Inventory[[#This Row],[LnAcres]]</f>
        <v>-19871.898398035348</v>
      </c>
      <c r="AS1146" s="30">
        <f>VLOOKUP(Inventory[[#This Row],[Qlty]],Lookups!$A$66:$E$79,2,FALSE)</f>
        <v>-1240.8083630000001</v>
      </c>
      <c r="AT1146" s="30">
        <f>VLOOKUP(Inventory[[#This Row],[Cnd]],Lookups!$A$80:$E$88,2,FALSE)</f>
        <v>17761.121909000001</v>
      </c>
      <c r="AU1146" s="30">
        <f>Inventory[[#This Row],[EffAge]]*Lookups!$B$65</f>
        <v>-4893.3495000000003</v>
      </c>
      <c r="AV1146" s="30">
        <f>Inventory[[#This Row],[MainFn]]*Lookups!$B$90</f>
        <v>90994.334040000002</v>
      </c>
      <c r="AW1146" s="30">
        <f>Inventory[[#This Row],[UpprFn]]*Lookups!$B$91</f>
        <v>0</v>
      </c>
      <c r="AX1146" s="30">
        <f>Inventory[[#This Row],[Bsmt Area]]*Lookups!$B$95</f>
        <v>0</v>
      </c>
      <c r="AY1146" s="30">
        <f>Inventory[[#This Row],[AttGar]]*Lookups!$B$93</f>
        <v>0</v>
      </c>
      <c r="AZ1146" s="30">
        <f>ROUND(Inventory[[#This Row],[25Det]],-2)</f>
        <v>0</v>
      </c>
      <c r="BA1146" s="30">
        <f>ROUND(SUM(Inventory[[#This Row],[Mdl Qlty]:[Mdl Garage Area]])+Inventory[[#This Row],[Mdl Res Intercept]],-2)</f>
        <v>235200</v>
      </c>
      <c r="BB1146" s="30">
        <f>ROUND(Inventory[[#This Row],[Mdl Land Intercept]]+Inventory[[#This Row],[Mdl LnAcres]],-2)</f>
        <v>68500</v>
      </c>
      <c r="BC1146" s="30">
        <f>Inventory[[#This Row],[Unadj Res Value]]+Inventory[[#This Row],[Unadj Det Value]]+Inventory[[#This Row],[Unadj Land Value]]</f>
        <v>303700</v>
      </c>
      <c r="BD1146" s="30">
        <f>(Inventory[[#This Row],[Unadj Total Value]]-Inventory[[#This Row],[24Final]])/Inventory[[#This Row],[24Final]]</f>
        <v>0.12439837097371344</v>
      </c>
      <c r="BE1146" s="30">
        <f>VLOOKUP(Inventory[[#This Row],[Nbhd]],Lookups!$M$3:$P$5,4,FALSE)</f>
        <v>0.99970000000000003</v>
      </c>
      <c r="BF1146" s="30">
        <f>VLOOKUP(Inventory[[#This Row],[Qlty]],Lookups!$M$8:$P$22,4,FALSE)</f>
        <v>1.0022</v>
      </c>
      <c r="BG1146" s="30">
        <f>VLOOKUP(Inventory[[#This Row],[Cnd]],Lookups!$R$8:$U$17,4,FALSE)</f>
        <v>0.99680000000000002</v>
      </c>
      <c r="BH1146" s="30">
        <f>VLOOKUP(Inventory[[#This Row],[LivArea Range]],Lookups!$R$25:$U$43,4,FALSE)</f>
        <v>0.99519999999999997</v>
      </c>
      <c r="BI1146" s="30">
        <f>VLOOKUP(Inventory[[#This Row],[Decade]],Lookups!$M$24:$P$40,4,FALSE)</f>
        <v>0.98519999999999996</v>
      </c>
      <c r="BJ1146" s="30">
        <f>Inventory[[#This Row],[Nbhd Adj]]*0.95</f>
        <v>0.94971499999999998</v>
      </c>
      <c r="BK1146" s="30">
        <f>AVERAGE(Inventory[[#This Row],[Nbhd Adj]],Inventory[[#This Row],[Quality Adj]],Inventory[[#This Row],[Condition Adj]],Inventory[[#This Row],[Living Area Adj]],Inventory[[#This Row],[Decade Adj]])*0.95</f>
        <v>0.9460289999999999</v>
      </c>
      <c r="BL1146" s="30">
        <f>ROUND((SUM(Inventory[[#This Row],[Mdl Qlty]:[Mdl Garage Area]])+Inventory[[#This Row],[Mdl Res Intercept]])*Inventory[[#This Row],[Res Adj ]],-2)</f>
        <v>222500</v>
      </c>
      <c r="BM1146" s="30">
        <f>ROUND(Inventory[[#This Row],[25Det]]*Inventory[[#This Row],[Det/Nbhd Adj]],-2)</f>
        <v>0</v>
      </c>
      <c r="BN1146" s="30">
        <f>Inventory[[#This Row],[Adjusted Res]]+Inventory[[#This Row],[Adj Det ]]</f>
        <v>222500</v>
      </c>
      <c r="BO1146" s="30">
        <f>ROUND((Inventory[[#This Row],[Mdl Land Intercept]]+Inventory[[#This Row],[Mdl LnAcres]])*Inventory[[#This Row],[Det/Nbhd Adj]],-2)</f>
        <v>65000</v>
      </c>
      <c r="BP1146" s="30">
        <f>Inventory[[#This Row],[Adjusted Impr Total]]+Inventory[[#This Row],[Adjusted Land Total]]</f>
        <v>287500</v>
      </c>
      <c r="BQ1146" s="30">
        <f>IFERROR((Inventory[[#This Row],[Adjusted Impr Total]]-Inventory[[#This Row],[24Bldg]])/Inventory[[#This Row],[24Bldg]],0)</f>
        <v>8.642578125E-2</v>
      </c>
      <c r="BR1146" s="43">
        <f>(Inventory[[#This Row],[Adjusted Land Total]]-Inventory[[#This Row],[24Lnd]])/Inventory[[#This Row],[24Lnd]]</f>
        <v>-4.5941807044410417E-3</v>
      </c>
      <c r="BS1146" s="43">
        <f>(Inventory[[#This Row],[Adjusted Total]]-Inventory[[#This Row],[24Final]])/Inventory[[#This Row],[24Final]]</f>
        <v>6.4420584968530176E-2</v>
      </c>
    </row>
    <row r="1147" spans="1:71">
      <c r="A1147" s="30">
        <v>2025</v>
      </c>
      <c r="B1147" s="31" t="s">
        <v>1663</v>
      </c>
      <c r="C1147" s="31">
        <f>LN(Inventory[[#This Row],[Acres]])</f>
        <v>-1.4271163556401458</v>
      </c>
      <c r="D1147" s="30">
        <v>0.24</v>
      </c>
      <c r="E1147" s="30">
        <v>10485</v>
      </c>
      <c r="F1147" s="31" t="s">
        <v>505</v>
      </c>
      <c r="G1147" s="31" t="s">
        <v>155</v>
      </c>
      <c r="H1147" s="31" t="s">
        <v>5</v>
      </c>
      <c r="I1147" s="31" t="s">
        <v>506</v>
      </c>
      <c r="J1147" s="31" t="s">
        <v>507</v>
      </c>
      <c r="K1147" s="31" t="s">
        <v>193</v>
      </c>
      <c r="L1147" s="31" t="s">
        <v>17</v>
      </c>
      <c r="M1147" s="31" t="s">
        <v>18</v>
      </c>
      <c r="N1147" s="31">
        <v>50</v>
      </c>
      <c r="O1147" s="31">
        <f>2024-Inventory[[#This Row],[YrBlt]]</f>
        <v>50</v>
      </c>
      <c r="P1147" s="31">
        <f>2024-Inventory[[#This Row],[EffYr]]</f>
        <v>45</v>
      </c>
      <c r="Q1147" s="30">
        <v>1974</v>
      </c>
      <c r="R1147" s="30">
        <v>1979</v>
      </c>
      <c r="S1147" s="30">
        <v>1125</v>
      </c>
      <c r="T1147" s="32"/>
      <c r="U1147" s="32"/>
      <c r="V1147" s="32"/>
      <c r="W1147" s="32"/>
      <c r="X1147" s="32">
        <f>Inventory[[#This Row],[Bsmt Area]]-Inventory[[#This Row],[FnBsmt]]</f>
        <v>0</v>
      </c>
      <c r="Y1147" s="32">
        <f>Inventory[[#This Row],[MainFn]]+Inventory[[#This Row],[UpprFn]]+Inventory[[#This Row],[AddFn]]+Inventory[[#This Row],[FnBsmt]]</f>
        <v>1125</v>
      </c>
      <c r="Z1147" s="32">
        <v>1500</v>
      </c>
      <c r="AA1147" s="31" t="s">
        <v>55</v>
      </c>
      <c r="AB1147" s="38">
        <v>1</v>
      </c>
      <c r="AC1147" s="30">
        <v>300</v>
      </c>
      <c r="AD1147" s="32"/>
      <c r="AE1147" s="32"/>
      <c r="AF1147" s="32"/>
      <c r="AG1147" s="32"/>
      <c r="AH1147" s="32"/>
      <c r="AI1147" s="30">
        <v>207643</v>
      </c>
      <c r="AJ1147" s="30">
        <v>159885</v>
      </c>
      <c r="AK1147" s="30">
        <v>0</v>
      </c>
      <c r="AL1147" s="30">
        <v>0</v>
      </c>
      <c r="AM1147" s="30">
        <v>66500</v>
      </c>
      <c r="AN1147" s="30">
        <v>220700</v>
      </c>
      <c r="AO1147" s="30">
        <v>287200</v>
      </c>
      <c r="AP1147" s="30">
        <f>Lookups!$B$58*0.6</f>
        <v>132535.48800000001</v>
      </c>
      <c r="AQ1147" s="30">
        <f>Lookups!$B$58*0.4</f>
        <v>88356.992000000013</v>
      </c>
      <c r="AR1147" s="30">
        <f>Lookups!$B$59*Inventory[[#This Row],[LnAcres]]</f>
        <v>-18729.933155771436</v>
      </c>
      <c r="AS1147" s="30">
        <f>VLOOKUP(Inventory[[#This Row],[Qlty]],Lookups!$A$66:$E$79,2,FALSE)</f>
        <v>24371.765965999999</v>
      </c>
      <c r="AT1147" s="30">
        <f>VLOOKUP(Inventory[[#This Row],[Cnd]],Lookups!$A$80:$E$88,2,FALSE)</f>
        <v>17761.121909000001</v>
      </c>
      <c r="AU1147" s="30">
        <f>Inventory[[#This Row],[EffAge]]*Lookups!$B$65</f>
        <v>-4893.3495000000003</v>
      </c>
      <c r="AV1147" s="30">
        <f>Inventory[[#This Row],[MainFn]]*Lookups!$B$90</f>
        <v>70211.677500000005</v>
      </c>
      <c r="AW1147" s="30">
        <f>Inventory[[#This Row],[UpprFn]]*Lookups!$B$91</f>
        <v>0</v>
      </c>
      <c r="AX1147" s="30">
        <f>Inventory[[#This Row],[Bsmt Area]]*Lookups!$B$95</f>
        <v>0</v>
      </c>
      <c r="AY1147" s="30">
        <f>Inventory[[#This Row],[AttGar]]*Lookups!$B$93</f>
        <v>10590.309300000001</v>
      </c>
      <c r="AZ1147" s="30">
        <f>ROUND(Inventory[[#This Row],[25Det]],-2)</f>
        <v>0</v>
      </c>
      <c r="BA1147" s="30">
        <f>ROUND(SUM(Inventory[[#This Row],[Mdl Qlty]:[Mdl Garage Area]])+Inventory[[#This Row],[Mdl Res Intercept]],-2)</f>
        <v>250600</v>
      </c>
      <c r="BB1147" s="30">
        <f>ROUND(Inventory[[#This Row],[Mdl Land Intercept]]+Inventory[[#This Row],[Mdl LnAcres]],-2)</f>
        <v>69600</v>
      </c>
      <c r="BC1147" s="30">
        <f>Inventory[[#This Row],[Unadj Res Value]]+Inventory[[#This Row],[Unadj Det Value]]+Inventory[[#This Row],[Unadj Land Value]]</f>
        <v>320200</v>
      </c>
      <c r="BD1147" s="30">
        <f>(Inventory[[#This Row],[Unadj Total Value]]-Inventory[[#This Row],[24Final]])/Inventory[[#This Row],[24Final]]</f>
        <v>0.1149025069637883</v>
      </c>
      <c r="BE1147" s="30">
        <f>VLOOKUP(Inventory[[#This Row],[Nbhd]],Lookups!$M$3:$P$5,4,FALSE)</f>
        <v>0.99970000000000003</v>
      </c>
      <c r="BF1147" s="30">
        <f>VLOOKUP(Inventory[[#This Row],[Qlty]],Lookups!$M$8:$P$22,4,FALSE)</f>
        <v>0.99199999999999999</v>
      </c>
      <c r="BG1147" s="30">
        <f>VLOOKUP(Inventory[[#This Row],[Cnd]],Lookups!$R$8:$U$17,4,FALSE)</f>
        <v>0.99680000000000002</v>
      </c>
      <c r="BH1147" s="30">
        <f>VLOOKUP(Inventory[[#This Row],[LivArea Range]],Lookups!$R$25:$U$43,4,FALSE)</f>
        <v>0.99519999999999997</v>
      </c>
      <c r="BI1147" s="30">
        <f>VLOOKUP(Inventory[[#This Row],[Decade]],Lookups!$M$24:$P$40,4,FALSE)</f>
        <v>0.98519999999999996</v>
      </c>
      <c r="BJ1147" s="30">
        <f>Inventory[[#This Row],[Nbhd Adj]]*0.95</f>
        <v>0.94971499999999998</v>
      </c>
      <c r="BK1147" s="30">
        <f>AVERAGE(Inventory[[#This Row],[Nbhd Adj]],Inventory[[#This Row],[Quality Adj]],Inventory[[#This Row],[Condition Adj]],Inventory[[#This Row],[Living Area Adj]],Inventory[[#This Row],[Decade Adj]])*0.95</f>
        <v>0.94409100000000001</v>
      </c>
      <c r="BL1147" s="30">
        <f>ROUND((SUM(Inventory[[#This Row],[Mdl Qlty]:[Mdl Garage Area]])+Inventory[[#This Row],[Mdl Res Intercept]])*Inventory[[#This Row],[Res Adj ]],-2)</f>
        <v>236600</v>
      </c>
      <c r="BM1147" s="30">
        <f>ROUND(Inventory[[#This Row],[25Det]]*Inventory[[#This Row],[Det/Nbhd Adj]],-2)</f>
        <v>0</v>
      </c>
      <c r="BN1147" s="30">
        <f>Inventory[[#This Row],[Adjusted Res]]+Inventory[[#This Row],[Adj Det ]]</f>
        <v>236600</v>
      </c>
      <c r="BO1147" s="30">
        <f>ROUND((Inventory[[#This Row],[Mdl Land Intercept]]+Inventory[[#This Row],[Mdl LnAcres]])*Inventory[[#This Row],[Det/Nbhd Adj]],-2)</f>
        <v>66100</v>
      </c>
      <c r="BP1147" s="30">
        <f>Inventory[[#This Row],[Adjusted Impr Total]]+Inventory[[#This Row],[Adjusted Land Total]]</f>
        <v>302700</v>
      </c>
      <c r="BQ1147" s="30">
        <f>IFERROR((Inventory[[#This Row],[Adjusted Impr Total]]-Inventory[[#This Row],[24Bldg]])/Inventory[[#This Row],[24Bldg]],0)</f>
        <v>7.2043497961033071E-2</v>
      </c>
      <c r="BR1147" s="43">
        <f>(Inventory[[#This Row],[Adjusted Land Total]]-Inventory[[#This Row],[24Lnd]])/Inventory[[#This Row],[24Lnd]]</f>
        <v>-6.0150375939849628E-3</v>
      </c>
      <c r="BS1147" s="43">
        <f>(Inventory[[#This Row],[Adjusted Total]]-Inventory[[#This Row],[24Final]])/Inventory[[#This Row],[24Final]]</f>
        <v>5.396935933147632E-2</v>
      </c>
    </row>
    <row r="1148" spans="1:71">
      <c r="A1148" s="30">
        <v>2025</v>
      </c>
      <c r="B1148" s="31" t="s">
        <v>1664</v>
      </c>
      <c r="C1148" s="31">
        <f>LN(Inventory[[#This Row],[Acres]])</f>
        <v>-1.4271163556401458</v>
      </c>
      <c r="D1148" s="30">
        <v>0.24</v>
      </c>
      <c r="E1148" s="30">
        <v>10457</v>
      </c>
      <c r="F1148" s="31" t="s">
        <v>505</v>
      </c>
      <c r="G1148" s="31" t="s">
        <v>155</v>
      </c>
      <c r="H1148" s="31" t="s">
        <v>5</v>
      </c>
      <c r="I1148" s="31" t="s">
        <v>506</v>
      </c>
      <c r="J1148" s="31" t="s">
        <v>507</v>
      </c>
      <c r="K1148" s="31" t="s">
        <v>193</v>
      </c>
      <c r="L1148" s="31" t="s">
        <v>15</v>
      </c>
      <c r="M1148" s="31" t="s">
        <v>18</v>
      </c>
      <c r="N1148" s="31">
        <v>50</v>
      </c>
      <c r="O1148" s="31">
        <f>2024-Inventory[[#This Row],[YrBlt]]</f>
        <v>50</v>
      </c>
      <c r="P1148" s="31">
        <f>2024-Inventory[[#This Row],[EffYr]]</f>
        <v>45</v>
      </c>
      <c r="Q1148" s="30">
        <v>1974</v>
      </c>
      <c r="R1148" s="30">
        <v>1979</v>
      </c>
      <c r="S1148" s="30">
        <v>1410</v>
      </c>
      <c r="T1148" s="37"/>
      <c r="U1148" s="32"/>
      <c r="V1148" s="32"/>
      <c r="W1148" s="32"/>
      <c r="X1148" s="32">
        <f>Inventory[[#This Row],[Bsmt Area]]-Inventory[[#This Row],[FnBsmt]]</f>
        <v>0</v>
      </c>
      <c r="Y1148" s="32">
        <f>Inventory[[#This Row],[MainFn]]+Inventory[[#This Row],[UpprFn]]+Inventory[[#This Row],[AddFn]]+Inventory[[#This Row],[FnBsmt]]</f>
        <v>1410</v>
      </c>
      <c r="Z1148" s="32">
        <v>1500</v>
      </c>
      <c r="AA1148" s="31" t="s">
        <v>56</v>
      </c>
      <c r="AB1148" s="32"/>
      <c r="AC1148" s="37"/>
      <c r="AD1148" s="32"/>
      <c r="AE1148" s="32"/>
      <c r="AF1148" s="32"/>
      <c r="AG1148" s="32"/>
      <c r="AH1148" s="32"/>
      <c r="AI1148" s="30">
        <v>203144</v>
      </c>
      <c r="AJ1148" s="30">
        <v>156421</v>
      </c>
      <c r="AK1148" s="30">
        <v>0</v>
      </c>
      <c r="AL1148" s="30">
        <v>0</v>
      </c>
      <c r="AM1148" s="30">
        <v>66500</v>
      </c>
      <c r="AN1148" s="30">
        <v>209200</v>
      </c>
      <c r="AO1148" s="30">
        <v>275700</v>
      </c>
      <c r="AP1148" s="30">
        <f>Lookups!$B$58*0.6</f>
        <v>132535.48800000001</v>
      </c>
      <c r="AQ1148" s="30">
        <f>Lookups!$B$58*0.4</f>
        <v>88356.992000000013</v>
      </c>
      <c r="AR1148" s="30">
        <f>Lookups!$B$59*Inventory[[#This Row],[LnAcres]]</f>
        <v>-18729.933155771436</v>
      </c>
      <c r="AS1148" s="30">
        <f>VLOOKUP(Inventory[[#This Row],[Qlty]],Lookups!$A$66:$E$79,2,FALSE)</f>
        <v>-1240.8083630000001</v>
      </c>
      <c r="AT1148" s="30">
        <f>VLOOKUP(Inventory[[#This Row],[Cnd]],Lookups!$A$80:$E$88,2,FALSE)</f>
        <v>17761.121909000001</v>
      </c>
      <c r="AU1148" s="30">
        <f>Inventory[[#This Row],[EffAge]]*Lookups!$B$65</f>
        <v>-4893.3495000000003</v>
      </c>
      <c r="AV1148" s="30">
        <f>Inventory[[#This Row],[MainFn]]*Lookups!$B$90</f>
        <v>87998.635800000004</v>
      </c>
      <c r="AW1148" s="30">
        <f>Inventory[[#This Row],[UpprFn]]*Lookups!$B$91</f>
        <v>0</v>
      </c>
      <c r="AX1148" s="30">
        <f>Inventory[[#This Row],[Bsmt Area]]*Lookups!$B$95</f>
        <v>0</v>
      </c>
      <c r="AY1148" s="30">
        <f>Inventory[[#This Row],[AttGar]]*Lookups!$B$93</f>
        <v>0</v>
      </c>
      <c r="AZ1148" s="30">
        <f>ROUND(Inventory[[#This Row],[25Det]],-2)</f>
        <v>0</v>
      </c>
      <c r="BA1148" s="30">
        <f>ROUND(SUM(Inventory[[#This Row],[Mdl Qlty]:[Mdl Garage Area]])+Inventory[[#This Row],[Mdl Res Intercept]],-2)</f>
        <v>232200</v>
      </c>
      <c r="BB1148" s="30">
        <f>ROUND(Inventory[[#This Row],[Mdl Land Intercept]]+Inventory[[#This Row],[Mdl LnAcres]],-2)</f>
        <v>69600</v>
      </c>
      <c r="BC1148" s="30">
        <f>Inventory[[#This Row],[Unadj Res Value]]+Inventory[[#This Row],[Unadj Det Value]]+Inventory[[#This Row],[Unadj Land Value]]</f>
        <v>301800</v>
      </c>
      <c r="BD1148" s="30">
        <f>(Inventory[[#This Row],[Unadj Total Value]]-Inventory[[#This Row],[24Final]])/Inventory[[#This Row],[24Final]]</f>
        <v>9.4668117519042444E-2</v>
      </c>
      <c r="BE1148" s="30">
        <f>VLOOKUP(Inventory[[#This Row],[Nbhd]],Lookups!$M$3:$P$5,4,FALSE)</f>
        <v>0.99970000000000003</v>
      </c>
      <c r="BF1148" s="30">
        <f>VLOOKUP(Inventory[[#This Row],[Qlty]],Lookups!$M$8:$P$22,4,FALSE)</f>
        <v>1.0022</v>
      </c>
      <c r="BG1148" s="30">
        <f>VLOOKUP(Inventory[[#This Row],[Cnd]],Lookups!$R$8:$U$17,4,FALSE)</f>
        <v>0.99680000000000002</v>
      </c>
      <c r="BH1148" s="30">
        <f>VLOOKUP(Inventory[[#This Row],[LivArea Range]],Lookups!$R$25:$U$43,4,FALSE)</f>
        <v>0.99519999999999997</v>
      </c>
      <c r="BI1148" s="30">
        <f>VLOOKUP(Inventory[[#This Row],[Decade]],Lookups!$M$24:$P$40,4,FALSE)</f>
        <v>0.98519999999999996</v>
      </c>
      <c r="BJ1148" s="30">
        <f>Inventory[[#This Row],[Nbhd Adj]]*0.95</f>
        <v>0.94971499999999998</v>
      </c>
      <c r="BK1148" s="30">
        <f>AVERAGE(Inventory[[#This Row],[Nbhd Adj]],Inventory[[#This Row],[Quality Adj]],Inventory[[#This Row],[Condition Adj]],Inventory[[#This Row],[Living Area Adj]],Inventory[[#This Row],[Decade Adj]])*0.95</f>
        <v>0.9460289999999999</v>
      </c>
      <c r="BL1148" s="30">
        <f>ROUND((SUM(Inventory[[#This Row],[Mdl Qlty]:[Mdl Garage Area]])+Inventory[[#This Row],[Mdl Res Intercept]])*Inventory[[#This Row],[Res Adj ]],-2)</f>
        <v>219600</v>
      </c>
      <c r="BM1148" s="30">
        <f>ROUND(Inventory[[#This Row],[25Det]]*Inventory[[#This Row],[Det/Nbhd Adj]],-2)</f>
        <v>0</v>
      </c>
      <c r="BN1148" s="30">
        <f>Inventory[[#This Row],[Adjusted Res]]+Inventory[[#This Row],[Adj Det ]]</f>
        <v>219600</v>
      </c>
      <c r="BO1148" s="30">
        <f>ROUND((Inventory[[#This Row],[Mdl Land Intercept]]+Inventory[[#This Row],[Mdl LnAcres]])*Inventory[[#This Row],[Det/Nbhd Adj]],-2)</f>
        <v>66100</v>
      </c>
      <c r="BP1148" s="30">
        <f>Inventory[[#This Row],[Adjusted Impr Total]]+Inventory[[#This Row],[Adjusted Land Total]]</f>
        <v>285700</v>
      </c>
      <c r="BQ1148" s="30">
        <f>IFERROR((Inventory[[#This Row],[Adjusted Impr Total]]-Inventory[[#This Row],[24Bldg]])/Inventory[[#This Row],[24Bldg]],0)</f>
        <v>4.9713193116634802E-2</v>
      </c>
      <c r="BR1148" s="43">
        <f>(Inventory[[#This Row],[Adjusted Land Total]]-Inventory[[#This Row],[24Lnd]])/Inventory[[#This Row],[24Lnd]]</f>
        <v>-6.0150375939849628E-3</v>
      </c>
      <c r="BS1148" s="43">
        <f>(Inventory[[#This Row],[Adjusted Total]]-Inventory[[#This Row],[24Final]])/Inventory[[#This Row],[24Final]]</f>
        <v>3.6271309394269133E-2</v>
      </c>
    </row>
    <row r="1149" spans="1:71">
      <c r="A1149" s="30">
        <v>2025</v>
      </c>
      <c r="B1149" s="31" t="s">
        <v>1665</v>
      </c>
      <c r="C1149" s="31">
        <f>LN(Inventory[[#This Row],[Acres]])</f>
        <v>-1.4271163556401458</v>
      </c>
      <c r="D1149" s="30">
        <v>0.24</v>
      </c>
      <c r="E1149" s="30">
        <v>10561</v>
      </c>
      <c r="F1149" s="31" t="s">
        <v>505</v>
      </c>
      <c r="G1149" s="31" t="s">
        <v>155</v>
      </c>
      <c r="H1149" s="31" t="s">
        <v>5</v>
      </c>
      <c r="I1149" s="31" t="s">
        <v>506</v>
      </c>
      <c r="J1149" s="31" t="s">
        <v>507</v>
      </c>
      <c r="K1149" s="31" t="s">
        <v>193</v>
      </c>
      <c r="L1149" s="31" t="s">
        <v>15</v>
      </c>
      <c r="M1149" s="31" t="s">
        <v>18</v>
      </c>
      <c r="N1149" s="31">
        <v>50</v>
      </c>
      <c r="O1149" s="31">
        <f>2024-Inventory[[#This Row],[YrBlt]]</f>
        <v>50</v>
      </c>
      <c r="P1149" s="31">
        <f>2024-Inventory[[#This Row],[EffYr]]</f>
        <v>45</v>
      </c>
      <c r="Q1149" s="30">
        <v>1974</v>
      </c>
      <c r="R1149" s="30">
        <v>1979</v>
      </c>
      <c r="S1149" s="30">
        <v>1000</v>
      </c>
      <c r="T1149" s="37"/>
      <c r="U1149" s="32"/>
      <c r="V1149" s="32"/>
      <c r="W1149" s="32"/>
      <c r="X1149" s="32">
        <f>Inventory[[#This Row],[Bsmt Area]]-Inventory[[#This Row],[FnBsmt]]</f>
        <v>0</v>
      </c>
      <c r="Y1149" s="32">
        <f>Inventory[[#This Row],[MainFn]]+Inventory[[#This Row],[UpprFn]]+Inventory[[#This Row],[AddFn]]+Inventory[[#This Row],[FnBsmt]]</f>
        <v>1000</v>
      </c>
      <c r="Z1149" s="32">
        <v>1500</v>
      </c>
      <c r="AA1149" s="31" t="s">
        <v>56</v>
      </c>
      <c r="AB1149" s="32"/>
      <c r="AC1149" s="38">
        <v>288</v>
      </c>
      <c r="AD1149" s="37"/>
      <c r="AE1149" s="32"/>
      <c r="AF1149" s="32"/>
      <c r="AG1149" s="32"/>
      <c r="AH1149" s="32"/>
      <c r="AI1149" s="30">
        <v>167141</v>
      </c>
      <c r="AJ1149" s="30">
        <v>128699</v>
      </c>
      <c r="AK1149" s="30">
        <v>0</v>
      </c>
      <c r="AL1149" s="30">
        <v>0</v>
      </c>
      <c r="AM1149" s="30">
        <v>66500</v>
      </c>
      <c r="AN1149" s="30">
        <v>194800</v>
      </c>
      <c r="AO1149" s="30">
        <v>261300</v>
      </c>
      <c r="AP1149" s="30">
        <f>Lookups!$B$58*0.6</f>
        <v>132535.48800000001</v>
      </c>
      <c r="AQ1149" s="30">
        <f>Lookups!$B$58*0.4</f>
        <v>88356.992000000013</v>
      </c>
      <c r="AR1149" s="30">
        <f>Lookups!$B$59*Inventory[[#This Row],[LnAcres]]</f>
        <v>-18729.933155771436</v>
      </c>
      <c r="AS1149" s="30">
        <f>VLOOKUP(Inventory[[#This Row],[Qlty]],Lookups!$A$66:$E$79,2,FALSE)</f>
        <v>-1240.8083630000001</v>
      </c>
      <c r="AT1149" s="30">
        <f>VLOOKUP(Inventory[[#This Row],[Cnd]],Lookups!$A$80:$E$88,2,FALSE)</f>
        <v>17761.121909000001</v>
      </c>
      <c r="AU1149" s="30">
        <f>Inventory[[#This Row],[EffAge]]*Lookups!$B$65</f>
        <v>-4893.3495000000003</v>
      </c>
      <c r="AV1149" s="30">
        <f>Inventory[[#This Row],[MainFn]]*Lookups!$B$90</f>
        <v>62410.380000000005</v>
      </c>
      <c r="AW1149" s="30">
        <f>Inventory[[#This Row],[UpprFn]]*Lookups!$B$91</f>
        <v>0</v>
      </c>
      <c r="AX1149" s="30">
        <f>Inventory[[#This Row],[Bsmt Area]]*Lookups!$B$95</f>
        <v>0</v>
      </c>
      <c r="AY1149" s="30">
        <f>Inventory[[#This Row],[AttGar]]*Lookups!$B$93</f>
        <v>10166.696928000001</v>
      </c>
      <c r="AZ1149" s="30">
        <f>ROUND(Inventory[[#This Row],[25Det]],-2)</f>
        <v>0</v>
      </c>
      <c r="BA1149" s="30">
        <f>ROUND(SUM(Inventory[[#This Row],[Mdl Qlty]:[Mdl Garage Area]])+Inventory[[#This Row],[Mdl Res Intercept]],-2)</f>
        <v>216700</v>
      </c>
      <c r="BB1149" s="30">
        <f>ROUND(Inventory[[#This Row],[Mdl Land Intercept]]+Inventory[[#This Row],[Mdl LnAcres]],-2)</f>
        <v>69600</v>
      </c>
      <c r="BC1149" s="30">
        <f>Inventory[[#This Row],[Unadj Res Value]]+Inventory[[#This Row],[Unadj Det Value]]+Inventory[[#This Row],[Unadj Land Value]]</f>
        <v>286300</v>
      </c>
      <c r="BD1149" s="30">
        <f>(Inventory[[#This Row],[Unadj Total Value]]-Inventory[[#This Row],[24Final]])/Inventory[[#This Row],[24Final]]</f>
        <v>9.5675468809797173E-2</v>
      </c>
      <c r="BE1149" s="30">
        <f>VLOOKUP(Inventory[[#This Row],[Nbhd]],Lookups!$M$3:$P$5,4,FALSE)</f>
        <v>0.99970000000000003</v>
      </c>
      <c r="BF1149" s="30">
        <f>VLOOKUP(Inventory[[#This Row],[Qlty]],Lookups!$M$8:$P$22,4,FALSE)</f>
        <v>1.0022</v>
      </c>
      <c r="BG1149" s="30">
        <f>VLOOKUP(Inventory[[#This Row],[Cnd]],Lookups!$R$8:$U$17,4,FALSE)</f>
        <v>0.99680000000000002</v>
      </c>
      <c r="BH1149" s="30">
        <f>VLOOKUP(Inventory[[#This Row],[LivArea Range]],Lookups!$R$25:$U$43,4,FALSE)</f>
        <v>0.99519999999999997</v>
      </c>
      <c r="BI1149" s="30">
        <f>VLOOKUP(Inventory[[#This Row],[Decade]],Lookups!$M$24:$P$40,4,FALSE)</f>
        <v>0.98519999999999996</v>
      </c>
      <c r="BJ1149" s="30">
        <f>Inventory[[#This Row],[Nbhd Adj]]*0.95</f>
        <v>0.94971499999999998</v>
      </c>
      <c r="BK1149" s="30">
        <f>AVERAGE(Inventory[[#This Row],[Nbhd Adj]],Inventory[[#This Row],[Quality Adj]],Inventory[[#This Row],[Condition Adj]],Inventory[[#This Row],[Living Area Adj]],Inventory[[#This Row],[Decade Adj]])*0.95</f>
        <v>0.9460289999999999</v>
      </c>
      <c r="BL1149" s="30">
        <f>ROUND((SUM(Inventory[[#This Row],[Mdl Qlty]:[Mdl Garage Area]])+Inventory[[#This Row],[Mdl Res Intercept]])*Inventory[[#This Row],[Res Adj ]],-2)</f>
        <v>205000</v>
      </c>
      <c r="BM1149" s="30">
        <f>ROUND(Inventory[[#This Row],[25Det]]*Inventory[[#This Row],[Det/Nbhd Adj]],-2)</f>
        <v>0</v>
      </c>
      <c r="BN1149" s="30">
        <f>Inventory[[#This Row],[Adjusted Res]]+Inventory[[#This Row],[Adj Det ]]</f>
        <v>205000</v>
      </c>
      <c r="BO1149" s="30">
        <f>ROUND((Inventory[[#This Row],[Mdl Land Intercept]]+Inventory[[#This Row],[Mdl LnAcres]])*Inventory[[#This Row],[Det/Nbhd Adj]],-2)</f>
        <v>66100</v>
      </c>
      <c r="BP1149" s="30">
        <f>Inventory[[#This Row],[Adjusted Impr Total]]+Inventory[[#This Row],[Adjusted Land Total]]</f>
        <v>271100</v>
      </c>
      <c r="BQ1149" s="30">
        <f>IFERROR((Inventory[[#This Row],[Adjusted Impr Total]]-Inventory[[#This Row],[24Bldg]])/Inventory[[#This Row],[24Bldg]],0)</f>
        <v>5.2361396303901436E-2</v>
      </c>
      <c r="BR1149" s="43">
        <f>(Inventory[[#This Row],[Adjusted Land Total]]-Inventory[[#This Row],[24Lnd]])/Inventory[[#This Row],[24Lnd]]</f>
        <v>-6.0150375939849628E-3</v>
      </c>
      <c r="BS1149" s="43">
        <f>(Inventory[[#This Row],[Adjusted Total]]-Inventory[[#This Row],[24Final]])/Inventory[[#This Row],[24Final]]</f>
        <v>3.7504783773440492E-2</v>
      </c>
    </row>
    <row r="1150" spans="1:71">
      <c r="A1150" s="30">
        <v>2025</v>
      </c>
      <c r="B1150" s="31" t="s">
        <v>1666</v>
      </c>
      <c r="C1150" s="36">
        <f>LN(Inventory[[#This Row],[Acres]])</f>
        <v>-1.4271163556401458</v>
      </c>
      <c r="D1150" s="38">
        <v>0.24</v>
      </c>
      <c r="E1150" s="30">
        <v>10498</v>
      </c>
      <c r="F1150" s="31" t="s">
        <v>505</v>
      </c>
      <c r="G1150" s="31" t="s">
        <v>155</v>
      </c>
      <c r="H1150" s="31" t="s">
        <v>5</v>
      </c>
      <c r="I1150" s="31" t="s">
        <v>506</v>
      </c>
      <c r="J1150" s="31" t="s">
        <v>507</v>
      </c>
      <c r="K1150" s="31" t="s">
        <v>193</v>
      </c>
      <c r="L1150" s="31" t="s">
        <v>15</v>
      </c>
      <c r="M1150" s="31" t="s">
        <v>18</v>
      </c>
      <c r="N1150" s="31">
        <v>50</v>
      </c>
      <c r="O1150" s="31">
        <f>2024-Inventory[[#This Row],[YrBlt]]</f>
        <v>50</v>
      </c>
      <c r="P1150" s="31">
        <f>2024-Inventory[[#This Row],[EffYr]]</f>
        <v>45</v>
      </c>
      <c r="Q1150" s="30">
        <v>1974</v>
      </c>
      <c r="R1150" s="30">
        <v>1979</v>
      </c>
      <c r="S1150" s="30">
        <v>1050</v>
      </c>
      <c r="T1150" s="32"/>
      <c r="U1150" s="32"/>
      <c r="V1150" s="32"/>
      <c r="W1150" s="32"/>
      <c r="X1150" s="32">
        <f>Inventory[[#This Row],[Bsmt Area]]-Inventory[[#This Row],[FnBsmt]]</f>
        <v>0</v>
      </c>
      <c r="Y1150" s="32">
        <f>Inventory[[#This Row],[MainFn]]+Inventory[[#This Row],[UpprFn]]+Inventory[[#This Row],[AddFn]]+Inventory[[#This Row],[FnBsmt]]</f>
        <v>1050</v>
      </c>
      <c r="Z1150" s="32">
        <v>1500</v>
      </c>
      <c r="AA1150" s="31" t="s">
        <v>56</v>
      </c>
      <c r="AB1150" s="32"/>
      <c r="AC1150" s="30">
        <v>288</v>
      </c>
      <c r="AD1150" s="32"/>
      <c r="AE1150" s="32"/>
      <c r="AF1150" s="32"/>
      <c r="AG1150" s="32"/>
      <c r="AH1150" s="32"/>
      <c r="AI1150" s="30">
        <v>171826</v>
      </c>
      <c r="AJ1150" s="30">
        <v>132306</v>
      </c>
      <c r="AK1150" s="30">
        <v>321</v>
      </c>
      <c r="AL1150" s="30">
        <v>0</v>
      </c>
      <c r="AM1150" s="30">
        <v>66500</v>
      </c>
      <c r="AN1150" s="30">
        <v>197500</v>
      </c>
      <c r="AO1150" s="30">
        <v>264000</v>
      </c>
      <c r="AP1150" s="30">
        <f>Lookups!$B$58*0.6</f>
        <v>132535.48800000001</v>
      </c>
      <c r="AQ1150" s="30">
        <f>Lookups!$B$58*0.4</f>
        <v>88356.992000000013</v>
      </c>
      <c r="AR1150" s="30">
        <f>Lookups!$B$59*Inventory[[#This Row],[LnAcres]]</f>
        <v>-18729.933155771436</v>
      </c>
      <c r="AS1150" s="30">
        <f>VLOOKUP(Inventory[[#This Row],[Qlty]],Lookups!$A$66:$E$79,2,FALSE)</f>
        <v>-1240.8083630000001</v>
      </c>
      <c r="AT1150" s="30">
        <f>VLOOKUP(Inventory[[#This Row],[Cnd]],Lookups!$A$80:$E$88,2,FALSE)</f>
        <v>17761.121909000001</v>
      </c>
      <c r="AU1150" s="30">
        <f>Inventory[[#This Row],[EffAge]]*Lookups!$B$65</f>
        <v>-4893.3495000000003</v>
      </c>
      <c r="AV1150" s="30">
        <f>Inventory[[#This Row],[MainFn]]*Lookups!$B$90</f>
        <v>65530.899000000005</v>
      </c>
      <c r="AW1150" s="30">
        <f>Inventory[[#This Row],[UpprFn]]*Lookups!$B$91</f>
        <v>0</v>
      </c>
      <c r="AX1150" s="30">
        <f>Inventory[[#This Row],[Bsmt Area]]*Lookups!$B$95</f>
        <v>0</v>
      </c>
      <c r="AY1150" s="30">
        <f>Inventory[[#This Row],[AttGar]]*Lookups!$B$93</f>
        <v>10166.696928000001</v>
      </c>
      <c r="AZ1150" s="30">
        <f>ROUND(Inventory[[#This Row],[25Det]],-2)</f>
        <v>300</v>
      </c>
      <c r="BA1150" s="30">
        <f>ROUND(SUM(Inventory[[#This Row],[Mdl Qlty]:[Mdl Garage Area]])+Inventory[[#This Row],[Mdl Res Intercept]],-2)</f>
        <v>219900</v>
      </c>
      <c r="BB1150" s="30">
        <f>ROUND(Inventory[[#This Row],[Mdl Land Intercept]]+Inventory[[#This Row],[Mdl LnAcres]],-2)</f>
        <v>69600</v>
      </c>
      <c r="BC1150" s="30">
        <f>Inventory[[#This Row],[Unadj Res Value]]+Inventory[[#This Row],[Unadj Det Value]]+Inventory[[#This Row],[Unadj Land Value]]</f>
        <v>289800</v>
      </c>
      <c r="BD1150" s="30">
        <f>(Inventory[[#This Row],[Unadj Total Value]]-Inventory[[#This Row],[24Final]])/Inventory[[#This Row],[24Final]]</f>
        <v>9.7727272727272732E-2</v>
      </c>
      <c r="BE1150" s="30">
        <f>VLOOKUP(Inventory[[#This Row],[Nbhd]],Lookups!$M$3:$P$5,4,FALSE)</f>
        <v>0.99970000000000003</v>
      </c>
      <c r="BF1150" s="30">
        <f>VLOOKUP(Inventory[[#This Row],[Qlty]],Lookups!$M$8:$P$22,4,FALSE)</f>
        <v>1.0022</v>
      </c>
      <c r="BG1150" s="30">
        <f>VLOOKUP(Inventory[[#This Row],[Cnd]],Lookups!$R$8:$U$17,4,FALSE)</f>
        <v>0.99680000000000002</v>
      </c>
      <c r="BH1150" s="30">
        <f>VLOOKUP(Inventory[[#This Row],[LivArea Range]],Lookups!$R$25:$U$43,4,FALSE)</f>
        <v>0.99519999999999997</v>
      </c>
      <c r="BI1150" s="30">
        <f>VLOOKUP(Inventory[[#This Row],[Decade]],Lookups!$M$24:$P$40,4,FALSE)</f>
        <v>0.98519999999999996</v>
      </c>
      <c r="BJ1150" s="30">
        <f>Inventory[[#This Row],[Nbhd Adj]]*0.95</f>
        <v>0.94971499999999998</v>
      </c>
      <c r="BK1150" s="30">
        <f>AVERAGE(Inventory[[#This Row],[Nbhd Adj]],Inventory[[#This Row],[Quality Adj]],Inventory[[#This Row],[Condition Adj]],Inventory[[#This Row],[Living Area Adj]],Inventory[[#This Row],[Decade Adj]])*0.95</f>
        <v>0.9460289999999999</v>
      </c>
      <c r="BL1150" s="30">
        <f>ROUND((SUM(Inventory[[#This Row],[Mdl Qlty]:[Mdl Garage Area]])+Inventory[[#This Row],[Mdl Res Intercept]])*Inventory[[#This Row],[Res Adj ]],-2)</f>
        <v>208000</v>
      </c>
      <c r="BM1150" s="30">
        <f>ROUND(Inventory[[#This Row],[25Det]]*Inventory[[#This Row],[Det/Nbhd Adj]],-2)</f>
        <v>300</v>
      </c>
      <c r="BN1150" s="30">
        <f>Inventory[[#This Row],[Adjusted Res]]+Inventory[[#This Row],[Adj Det ]]</f>
        <v>208300</v>
      </c>
      <c r="BO1150" s="30">
        <f>ROUND((Inventory[[#This Row],[Mdl Land Intercept]]+Inventory[[#This Row],[Mdl LnAcres]])*Inventory[[#This Row],[Det/Nbhd Adj]],-2)</f>
        <v>66100</v>
      </c>
      <c r="BP1150" s="30">
        <f>Inventory[[#This Row],[Adjusted Impr Total]]+Inventory[[#This Row],[Adjusted Land Total]]</f>
        <v>274400</v>
      </c>
      <c r="BQ1150" s="30">
        <f>IFERROR((Inventory[[#This Row],[Adjusted Impr Total]]-Inventory[[#This Row],[24Bldg]])/Inventory[[#This Row],[24Bldg]],0)</f>
        <v>5.4683544303797467E-2</v>
      </c>
      <c r="BR1150" s="43">
        <f>(Inventory[[#This Row],[Adjusted Land Total]]-Inventory[[#This Row],[24Lnd]])/Inventory[[#This Row],[24Lnd]]</f>
        <v>-6.0150375939849628E-3</v>
      </c>
      <c r="BS1150" s="43">
        <f>(Inventory[[#This Row],[Adjusted Total]]-Inventory[[#This Row],[24Final]])/Inventory[[#This Row],[24Final]]</f>
        <v>3.9393939393939391E-2</v>
      </c>
    </row>
    <row r="1151" spans="1:71">
      <c r="A1151" s="30">
        <v>2025</v>
      </c>
      <c r="B1151" s="31" t="s">
        <v>1667</v>
      </c>
      <c r="C1151" s="31">
        <f>LN(Inventory[[#This Row],[Acres]])</f>
        <v>-1.3862943611198906</v>
      </c>
      <c r="D1151" s="30">
        <v>0.25</v>
      </c>
      <c r="E1151" s="38">
        <v>10747</v>
      </c>
      <c r="F1151" s="31" t="s">
        <v>505</v>
      </c>
      <c r="G1151" s="31" t="s">
        <v>155</v>
      </c>
      <c r="H1151" s="31" t="s">
        <v>5</v>
      </c>
      <c r="I1151" s="31" t="s">
        <v>506</v>
      </c>
      <c r="J1151" s="31" t="s">
        <v>507</v>
      </c>
      <c r="K1151" s="31" t="s">
        <v>193</v>
      </c>
      <c r="L1151" s="31" t="s">
        <v>15</v>
      </c>
      <c r="M1151" s="31" t="s">
        <v>18</v>
      </c>
      <c r="N1151" s="31">
        <v>50</v>
      </c>
      <c r="O1151" s="31">
        <f>2024-Inventory[[#This Row],[YrBlt]]</f>
        <v>50</v>
      </c>
      <c r="P1151" s="31">
        <f>2024-Inventory[[#This Row],[EffYr]]</f>
        <v>45</v>
      </c>
      <c r="Q1151" s="30">
        <v>1974</v>
      </c>
      <c r="R1151" s="30">
        <v>1979</v>
      </c>
      <c r="S1151" s="30">
        <v>1350</v>
      </c>
      <c r="T1151" s="32"/>
      <c r="U1151" s="32"/>
      <c r="V1151" s="37"/>
      <c r="W1151" s="32"/>
      <c r="X1151" s="32">
        <f>Inventory[[#This Row],[Bsmt Area]]-Inventory[[#This Row],[FnBsmt]]</f>
        <v>0</v>
      </c>
      <c r="Y1151" s="32">
        <f>Inventory[[#This Row],[MainFn]]+Inventory[[#This Row],[UpprFn]]+Inventory[[#This Row],[AddFn]]+Inventory[[#This Row],[FnBsmt]]</f>
        <v>1350</v>
      </c>
      <c r="Z1151" s="32">
        <v>1500</v>
      </c>
      <c r="AA1151" s="31" t="s">
        <v>56</v>
      </c>
      <c r="AB1151" s="37"/>
      <c r="AC1151" s="37"/>
      <c r="AD1151" s="32"/>
      <c r="AE1151" s="32"/>
      <c r="AF1151" s="32"/>
      <c r="AG1151" s="32"/>
      <c r="AH1151" s="32"/>
      <c r="AI1151" s="30">
        <v>211880</v>
      </c>
      <c r="AJ1151" s="30">
        <v>163148</v>
      </c>
      <c r="AK1151" s="30">
        <v>18501</v>
      </c>
      <c r="AL1151" s="30">
        <v>0</v>
      </c>
      <c r="AM1151" s="30">
        <v>67100</v>
      </c>
      <c r="AN1151" s="30">
        <v>232100</v>
      </c>
      <c r="AO1151" s="30">
        <v>299200</v>
      </c>
      <c r="AP1151" s="30">
        <f>Lookups!$B$58*0.6</f>
        <v>132535.48800000001</v>
      </c>
      <c r="AQ1151" s="30">
        <f>Lookups!$B$58*0.4</f>
        <v>88356.992000000013</v>
      </c>
      <c r="AR1151" s="30">
        <f>Lookups!$B$59*Inventory[[#This Row],[LnAcres]]</f>
        <v>-18194.172195827363</v>
      </c>
      <c r="AS1151" s="30">
        <f>VLOOKUP(Inventory[[#This Row],[Qlty]],Lookups!$A$66:$E$79,2,FALSE)</f>
        <v>-1240.8083630000001</v>
      </c>
      <c r="AT1151" s="30">
        <f>VLOOKUP(Inventory[[#This Row],[Cnd]],Lookups!$A$80:$E$88,2,FALSE)</f>
        <v>17761.121909000001</v>
      </c>
      <c r="AU1151" s="30">
        <f>Inventory[[#This Row],[EffAge]]*Lookups!$B$65</f>
        <v>-4893.3495000000003</v>
      </c>
      <c r="AV1151" s="30">
        <f>Inventory[[#This Row],[MainFn]]*Lookups!$B$90</f>
        <v>84254.013000000006</v>
      </c>
      <c r="AW1151" s="30">
        <f>Inventory[[#This Row],[UpprFn]]*Lookups!$B$91</f>
        <v>0</v>
      </c>
      <c r="AX1151" s="30">
        <f>Inventory[[#This Row],[Bsmt Area]]*Lookups!$B$95</f>
        <v>0</v>
      </c>
      <c r="AY1151" s="30">
        <f>Inventory[[#This Row],[AttGar]]*Lookups!$B$93</f>
        <v>0</v>
      </c>
      <c r="AZ1151" s="30">
        <f>ROUND(Inventory[[#This Row],[25Det]],-2)</f>
        <v>18500</v>
      </c>
      <c r="BA1151" s="30">
        <f>ROUND(SUM(Inventory[[#This Row],[Mdl Qlty]:[Mdl Garage Area]])+Inventory[[#This Row],[Mdl Res Intercept]],-2)</f>
        <v>228400</v>
      </c>
      <c r="BB1151" s="30">
        <f>ROUND(Inventory[[#This Row],[Mdl Land Intercept]]+Inventory[[#This Row],[Mdl LnAcres]],-2)</f>
        <v>70200</v>
      </c>
      <c r="BC1151" s="30">
        <f>Inventory[[#This Row],[Unadj Res Value]]+Inventory[[#This Row],[Unadj Det Value]]+Inventory[[#This Row],[Unadj Land Value]]</f>
        <v>317100</v>
      </c>
      <c r="BD1151" s="30">
        <f>(Inventory[[#This Row],[Unadj Total Value]]-Inventory[[#This Row],[24Final]])/Inventory[[#This Row],[24Final]]</f>
        <v>5.9826203208556153E-2</v>
      </c>
      <c r="BE1151" s="30">
        <f>VLOOKUP(Inventory[[#This Row],[Nbhd]],Lookups!$M$3:$P$5,4,FALSE)</f>
        <v>0.99970000000000003</v>
      </c>
      <c r="BF1151" s="30">
        <f>VLOOKUP(Inventory[[#This Row],[Qlty]],Lookups!$M$8:$P$22,4,FALSE)</f>
        <v>1.0022</v>
      </c>
      <c r="BG1151" s="30">
        <f>VLOOKUP(Inventory[[#This Row],[Cnd]],Lookups!$R$8:$U$17,4,FALSE)</f>
        <v>0.99680000000000002</v>
      </c>
      <c r="BH1151" s="30">
        <f>VLOOKUP(Inventory[[#This Row],[LivArea Range]],Lookups!$R$25:$U$43,4,FALSE)</f>
        <v>0.99519999999999997</v>
      </c>
      <c r="BI1151" s="30">
        <f>VLOOKUP(Inventory[[#This Row],[Decade]],Lookups!$M$24:$P$40,4,FALSE)</f>
        <v>0.98519999999999996</v>
      </c>
      <c r="BJ1151" s="30">
        <f>Inventory[[#This Row],[Nbhd Adj]]*0.95</f>
        <v>0.94971499999999998</v>
      </c>
      <c r="BK1151" s="30">
        <f>AVERAGE(Inventory[[#This Row],[Nbhd Adj]],Inventory[[#This Row],[Quality Adj]],Inventory[[#This Row],[Condition Adj]],Inventory[[#This Row],[Living Area Adj]],Inventory[[#This Row],[Decade Adj]])*0.95</f>
        <v>0.9460289999999999</v>
      </c>
      <c r="BL1151" s="30">
        <f>ROUND((SUM(Inventory[[#This Row],[Mdl Qlty]:[Mdl Garage Area]])+Inventory[[#This Row],[Mdl Res Intercept]])*Inventory[[#This Row],[Res Adj ]],-2)</f>
        <v>216100</v>
      </c>
      <c r="BM1151" s="30">
        <f>ROUND(Inventory[[#This Row],[25Det]]*Inventory[[#This Row],[Det/Nbhd Adj]],-2)</f>
        <v>17600</v>
      </c>
      <c r="BN1151" s="30">
        <f>Inventory[[#This Row],[Adjusted Res]]+Inventory[[#This Row],[Adj Det ]]</f>
        <v>233700</v>
      </c>
      <c r="BO1151" s="30">
        <f>ROUND((Inventory[[#This Row],[Mdl Land Intercept]]+Inventory[[#This Row],[Mdl LnAcres]])*Inventory[[#This Row],[Det/Nbhd Adj]],-2)</f>
        <v>66600</v>
      </c>
      <c r="BP1151" s="30">
        <f>Inventory[[#This Row],[Adjusted Impr Total]]+Inventory[[#This Row],[Adjusted Land Total]]</f>
        <v>300300</v>
      </c>
      <c r="BQ1151" s="30">
        <f>IFERROR((Inventory[[#This Row],[Adjusted Impr Total]]-Inventory[[#This Row],[24Bldg]])/Inventory[[#This Row],[24Bldg]],0)</f>
        <v>6.893580353295993E-3</v>
      </c>
      <c r="BR1151" s="43">
        <f>(Inventory[[#This Row],[Adjusted Land Total]]-Inventory[[#This Row],[24Lnd]])/Inventory[[#This Row],[24Lnd]]</f>
        <v>-7.4515648286140089E-3</v>
      </c>
      <c r="BS1151" s="43">
        <f>(Inventory[[#This Row],[Adjusted Total]]-Inventory[[#This Row],[24Final]])/Inventory[[#This Row],[24Final]]</f>
        <v>3.6764705882352941E-3</v>
      </c>
    </row>
    <row r="1152" spans="1:71">
      <c r="A1152" s="30">
        <v>2025</v>
      </c>
      <c r="B1152" s="31" t="s">
        <v>1668</v>
      </c>
      <c r="C1152" s="36">
        <f>LN(Inventory[[#This Row],[Acres]])</f>
        <v>-1.3862943611198906</v>
      </c>
      <c r="D1152" s="38">
        <v>0.25</v>
      </c>
      <c r="E1152" s="30">
        <v>11098</v>
      </c>
      <c r="F1152" s="31" t="s">
        <v>505</v>
      </c>
      <c r="G1152" s="31" t="s">
        <v>155</v>
      </c>
      <c r="H1152" s="31" t="s">
        <v>5</v>
      </c>
      <c r="I1152" s="31" t="s">
        <v>506</v>
      </c>
      <c r="J1152" s="31" t="s">
        <v>507</v>
      </c>
      <c r="K1152" s="31" t="s">
        <v>193</v>
      </c>
      <c r="L1152" s="31" t="s">
        <v>15</v>
      </c>
      <c r="M1152" s="31" t="s">
        <v>18</v>
      </c>
      <c r="N1152" s="31">
        <v>50</v>
      </c>
      <c r="O1152" s="31">
        <f>2024-Inventory[[#This Row],[YrBlt]]</f>
        <v>50</v>
      </c>
      <c r="P1152" s="31">
        <f>2024-Inventory[[#This Row],[EffYr]]</f>
        <v>45</v>
      </c>
      <c r="Q1152" s="30">
        <v>1974</v>
      </c>
      <c r="R1152" s="30">
        <v>1979</v>
      </c>
      <c r="S1152" s="30">
        <v>1025</v>
      </c>
      <c r="T1152" s="32"/>
      <c r="U1152" s="32"/>
      <c r="V1152" s="32"/>
      <c r="W1152" s="32"/>
      <c r="X1152" s="32">
        <f>Inventory[[#This Row],[Bsmt Area]]-Inventory[[#This Row],[FnBsmt]]</f>
        <v>0</v>
      </c>
      <c r="Y1152" s="32">
        <f>Inventory[[#This Row],[MainFn]]+Inventory[[#This Row],[UpprFn]]+Inventory[[#This Row],[AddFn]]+Inventory[[#This Row],[FnBsmt]]</f>
        <v>1025</v>
      </c>
      <c r="Z1152" s="32">
        <v>1500</v>
      </c>
      <c r="AA1152" s="31" t="s">
        <v>56</v>
      </c>
      <c r="AB1152" s="38">
        <v>1</v>
      </c>
      <c r="AC1152" s="30">
        <v>288</v>
      </c>
      <c r="AD1152" s="32"/>
      <c r="AE1152" s="32"/>
      <c r="AF1152" s="32"/>
      <c r="AG1152" s="32"/>
      <c r="AH1152" s="32"/>
      <c r="AI1152" s="30">
        <v>177394</v>
      </c>
      <c r="AJ1152" s="30">
        <v>136593</v>
      </c>
      <c r="AK1152" s="30">
        <v>0</v>
      </c>
      <c r="AL1152" s="30">
        <v>0</v>
      </c>
      <c r="AM1152" s="30">
        <v>67100</v>
      </c>
      <c r="AN1152" s="30">
        <v>202100</v>
      </c>
      <c r="AO1152" s="30">
        <v>269200</v>
      </c>
      <c r="AP1152" s="30">
        <f>Lookups!$B$58*0.6</f>
        <v>132535.48800000001</v>
      </c>
      <c r="AQ1152" s="30">
        <f>Lookups!$B$58*0.4</f>
        <v>88356.992000000013</v>
      </c>
      <c r="AR1152" s="30">
        <f>Lookups!$B$59*Inventory[[#This Row],[LnAcres]]</f>
        <v>-18194.172195827363</v>
      </c>
      <c r="AS1152" s="30">
        <f>VLOOKUP(Inventory[[#This Row],[Qlty]],Lookups!$A$66:$E$79,2,FALSE)</f>
        <v>-1240.8083630000001</v>
      </c>
      <c r="AT1152" s="30">
        <f>VLOOKUP(Inventory[[#This Row],[Cnd]],Lookups!$A$80:$E$88,2,FALSE)</f>
        <v>17761.121909000001</v>
      </c>
      <c r="AU1152" s="30">
        <f>Inventory[[#This Row],[EffAge]]*Lookups!$B$65</f>
        <v>-4893.3495000000003</v>
      </c>
      <c r="AV1152" s="30">
        <f>Inventory[[#This Row],[MainFn]]*Lookups!$B$90</f>
        <v>63970.639500000005</v>
      </c>
      <c r="AW1152" s="30">
        <f>Inventory[[#This Row],[UpprFn]]*Lookups!$B$91</f>
        <v>0</v>
      </c>
      <c r="AX1152" s="30">
        <f>Inventory[[#This Row],[Bsmt Area]]*Lookups!$B$95</f>
        <v>0</v>
      </c>
      <c r="AY1152" s="30">
        <f>Inventory[[#This Row],[AttGar]]*Lookups!$B$93</f>
        <v>10166.696928000001</v>
      </c>
      <c r="AZ1152" s="30">
        <f>ROUND(Inventory[[#This Row],[25Det]],-2)</f>
        <v>0</v>
      </c>
      <c r="BA1152" s="30">
        <f>ROUND(SUM(Inventory[[#This Row],[Mdl Qlty]:[Mdl Garage Area]])+Inventory[[#This Row],[Mdl Res Intercept]],-2)</f>
        <v>218300</v>
      </c>
      <c r="BB1152" s="30">
        <f>ROUND(Inventory[[#This Row],[Mdl Land Intercept]]+Inventory[[#This Row],[Mdl LnAcres]],-2)</f>
        <v>70200</v>
      </c>
      <c r="BC1152" s="30">
        <f>Inventory[[#This Row],[Unadj Res Value]]+Inventory[[#This Row],[Unadj Det Value]]+Inventory[[#This Row],[Unadj Land Value]]</f>
        <v>288500</v>
      </c>
      <c r="BD1152" s="30">
        <f>(Inventory[[#This Row],[Unadj Total Value]]-Inventory[[#This Row],[24Final]])/Inventory[[#This Row],[24Final]]</f>
        <v>7.1693907875185731E-2</v>
      </c>
      <c r="BE1152" s="30">
        <f>VLOOKUP(Inventory[[#This Row],[Nbhd]],Lookups!$M$3:$P$5,4,FALSE)</f>
        <v>0.99970000000000003</v>
      </c>
      <c r="BF1152" s="30">
        <f>VLOOKUP(Inventory[[#This Row],[Qlty]],Lookups!$M$8:$P$22,4,FALSE)</f>
        <v>1.0022</v>
      </c>
      <c r="BG1152" s="30">
        <f>VLOOKUP(Inventory[[#This Row],[Cnd]],Lookups!$R$8:$U$17,4,FALSE)</f>
        <v>0.99680000000000002</v>
      </c>
      <c r="BH1152" s="30">
        <f>VLOOKUP(Inventory[[#This Row],[LivArea Range]],Lookups!$R$25:$U$43,4,FALSE)</f>
        <v>0.99519999999999997</v>
      </c>
      <c r="BI1152" s="30">
        <f>VLOOKUP(Inventory[[#This Row],[Decade]],Lookups!$M$24:$P$40,4,FALSE)</f>
        <v>0.98519999999999996</v>
      </c>
      <c r="BJ1152" s="30">
        <f>Inventory[[#This Row],[Nbhd Adj]]*0.95</f>
        <v>0.94971499999999998</v>
      </c>
      <c r="BK1152" s="30">
        <f>AVERAGE(Inventory[[#This Row],[Nbhd Adj]],Inventory[[#This Row],[Quality Adj]],Inventory[[#This Row],[Condition Adj]],Inventory[[#This Row],[Living Area Adj]],Inventory[[#This Row],[Decade Adj]])*0.95</f>
        <v>0.9460289999999999</v>
      </c>
      <c r="BL1152" s="30">
        <f>ROUND((SUM(Inventory[[#This Row],[Mdl Qlty]:[Mdl Garage Area]])+Inventory[[#This Row],[Mdl Res Intercept]])*Inventory[[#This Row],[Res Adj ]],-2)</f>
        <v>206500</v>
      </c>
      <c r="BM1152" s="30">
        <f>ROUND(Inventory[[#This Row],[25Det]]*Inventory[[#This Row],[Det/Nbhd Adj]],-2)</f>
        <v>0</v>
      </c>
      <c r="BN1152" s="30">
        <f>Inventory[[#This Row],[Adjusted Res]]+Inventory[[#This Row],[Adj Det ]]</f>
        <v>206500</v>
      </c>
      <c r="BO1152" s="30">
        <f>ROUND((Inventory[[#This Row],[Mdl Land Intercept]]+Inventory[[#This Row],[Mdl LnAcres]])*Inventory[[#This Row],[Det/Nbhd Adj]],-2)</f>
        <v>66600</v>
      </c>
      <c r="BP1152" s="30">
        <f>Inventory[[#This Row],[Adjusted Impr Total]]+Inventory[[#This Row],[Adjusted Land Total]]</f>
        <v>273100</v>
      </c>
      <c r="BQ1152" s="30">
        <f>IFERROR((Inventory[[#This Row],[Adjusted Impr Total]]-Inventory[[#This Row],[24Bldg]])/Inventory[[#This Row],[24Bldg]],0)</f>
        <v>2.177140029688273E-2</v>
      </c>
      <c r="BR1152" s="43">
        <f>(Inventory[[#This Row],[Adjusted Land Total]]-Inventory[[#This Row],[24Lnd]])/Inventory[[#This Row],[24Lnd]]</f>
        <v>-7.4515648286140089E-3</v>
      </c>
      <c r="BS1152" s="43">
        <f>(Inventory[[#This Row],[Adjusted Total]]-Inventory[[#This Row],[24Final]])/Inventory[[#This Row],[24Final]]</f>
        <v>1.448736998514116E-2</v>
      </c>
    </row>
    <row r="1153" spans="1:71">
      <c r="A1153" s="30">
        <v>2025</v>
      </c>
      <c r="B1153" s="31" t="s">
        <v>1669</v>
      </c>
      <c r="C1153" s="36">
        <f>LN(Inventory[[#This Row],[Acres]])</f>
        <v>-1.3862943611198906</v>
      </c>
      <c r="D1153" s="38">
        <v>0.25</v>
      </c>
      <c r="E1153" s="30">
        <v>11078</v>
      </c>
      <c r="F1153" s="31" t="s">
        <v>505</v>
      </c>
      <c r="G1153" s="31" t="s">
        <v>155</v>
      </c>
      <c r="H1153" s="31" t="s">
        <v>5</v>
      </c>
      <c r="I1153" s="31" t="s">
        <v>506</v>
      </c>
      <c r="J1153" s="31" t="s">
        <v>507</v>
      </c>
      <c r="K1153" s="31" t="s">
        <v>193</v>
      </c>
      <c r="L1153" s="31" t="s">
        <v>15</v>
      </c>
      <c r="M1153" s="31" t="s">
        <v>18</v>
      </c>
      <c r="N1153" s="31">
        <v>50</v>
      </c>
      <c r="O1153" s="31">
        <f>2024-Inventory[[#This Row],[YrBlt]]</f>
        <v>50</v>
      </c>
      <c r="P1153" s="31">
        <f>2024-Inventory[[#This Row],[EffYr]]</f>
        <v>45</v>
      </c>
      <c r="Q1153" s="30">
        <v>1974</v>
      </c>
      <c r="R1153" s="30">
        <v>1979</v>
      </c>
      <c r="S1153" s="30">
        <v>1025</v>
      </c>
      <c r="T1153" s="32"/>
      <c r="U1153" s="32"/>
      <c r="V1153" s="32"/>
      <c r="W1153" s="32"/>
      <c r="X1153" s="32">
        <f>Inventory[[#This Row],[Bsmt Area]]-Inventory[[#This Row],[FnBsmt]]</f>
        <v>0</v>
      </c>
      <c r="Y1153" s="32">
        <f>Inventory[[#This Row],[MainFn]]+Inventory[[#This Row],[UpprFn]]+Inventory[[#This Row],[AddFn]]+Inventory[[#This Row],[FnBsmt]]</f>
        <v>1025</v>
      </c>
      <c r="Z1153" s="32">
        <v>1500</v>
      </c>
      <c r="AA1153" s="31" t="s">
        <v>56</v>
      </c>
      <c r="AB1153" s="32"/>
      <c r="AC1153" s="30">
        <v>288</v>
      </c>
      <c r="AD1153" s="32"/>
      <c r="AE1153" s="32"/>
      <c r="AF1153" s="32"/>
      <c r="AG1153" s="32"/>
      <c r="AH1153" s="32"/>
      <c r="AI1153" s="30">
        <v>174086</v>
      </c>
      <c r="AJ1153" s="30">
        <v>134046</v>
      </c>
      <c r="AK1153" s="30">
        <v>0</v>
      </c>
      <c r="AL1153" s="30">
        <v>0</v>
      </c>
      <c r="AM1153" s="30">
        <v>67100</v>
      </c>
      <c r="AN1153" s="30">
        <v>200900</v>
      </c>
      <c r="AO1153" s="30">
        <v>268000</v>
      </c>
      <c r="AP1153" s="30">
        <f>Lookups!$B$58*0.6</f>
        <v>132535.48800000001</v>
      </c>
      <c r="AQ1153" s="30">
        <f>Lookups!$B$58*0.4</f>
        <v>88356.992000000013</v>
      </c>
      <c r="AR1153" s="30">
        <f>Lookups!$B$59*Inventory[[#This Row],[LnAcres]]</f>
        <v>-18194.172195827363</v>
      </c>
      <c r="AS1153" s="30">
        <f>VLOOKUP(Inventory[[#This Row],[Qlty]],Lookups!$A$66:$E$79,2,FALSE)</f>
        <v>-1240.8083630000001</v>
      </c>
      <c r="AT1153" s="30">
        <f>VLOOKUP(Inventory[[#This Row],[Cnd]],Lookups!$A$80:$E$88,2,FALSE)</f>
        <v>17761.121909000001</v>
      </c>
      <c r="AU1153" s="30">
        <f>Inventory[[#This Row],[EffAge]]*Lookups!$B$65</f>
        <v>-4893.3495000000003</v>
      </c>
      <c r="AV1153" s="30">
        <f>Inventory[[#This Row],[MainFn]]*Lookups!$B$90</f>
        <v>63970.639500000005</v>
      </c>
      <c r="AW1153" s="30">
        <f>Inventory[[#This Row],[UpprFn]]*Lookups!$B$91</f>
        <v>0</v>
      </c>
      <c r="AX1153" s="30">
        <f>Inventory[[#This Row],[Bsmt Area]]*Lookups!$B$95</f>
        <v>0</v>
      </c>
      <c r="AY1153" s="30">
        <f>Inventory[[#This Row],[AttGar]]*Lookups!$B$93</f>
        <v>10166.696928000001</v>
      </c>
      <c r="AZ1153" s="30">
        <f>ROUND(Inventory[[#This Row],[25Det]],-2)</f>
        <v>0</v>
      </c>
      <c r="BA1153" s="30">
        <f>ROUND(SUM(Inventory[[#This Row],[Mdl Qlty]:[Mdl Garage Area]])+Inventory[[#This Row],[Mdl Res Intercept]],-2)</f>
        <v>218300</v>
      </c>
      <c r="BB1153" s="30">
        <f>ROUND(Inventory[[#This Row],[Mdl Land Intercept]]+Inventory[[#This Row],[Mdl LnAcres]],-2)</f>
        <v>70200</v>
      </c>
      <c r="BC1153" s="30">
        <f>Inventory[[#This Row],[Unadj Res Value]]+Inventory[[#This Row],[Unadj Det Value]]+Inventory[[#This Row],[Unadj Land Value]]</f>
        <v>288500</v>
      </c>
      <c r="BD1153" s="30">
        <f>(Inventory[[#This Row],[Unadj Total Value]]-Inventory[[#This Row],[24Final]])/Inventory[[#This Row],[24Final]]</f>
        <v>7.6492537313432835E-2</v>
      </c>
      <c r="BE1153" s="30">
        <f>VLOOKUP(Inventory[[#This Row],[Nbhd]],Lookups!$M$3:$P$5,4,FALSE)</f>
        <v>0.99970000000000003</v>
      </c>
      <c r="BF1153" s="30">
        <f>VLOOKUP(Inventory[[#This Row],[Qlty]],Lookups!$M$8:$P$22,4,FALSE)</f>
        <v>1.0022</v>
      </c>
      <c r="BG1153" s="30">
        <f>VLOOKUP(Inventory[[#This Row],[Cnd]],Lookups!$R$8:$U$17,4,FALSE)</f>
        <v>0.99680000000000002</v>
      </c>
      <c r="BH1153" s="30">
        <f>VLOOKUP(Inventory[[#This Row],[LivArea Range]],Lookups!$R$25:$U$43,4,FALSE)</f>
        <v>0.99519999999999997</v>
      </c>
      <c r="BI1153" s="30">
        <f>VLOOKUP(Inventory[[#This Row],[Decade]],Lookups!$M$24:$P$40,4,FALSE)</f>
        <v>0.98519999999999996</v>
      </c>
      <c r="BJ1153" s="30">
        <f>Inventory[[#This Row],[Nbhd Adj]]*0.95</f>
        <v>0.94971499999999998</v>
      </c>
      <c r="BK1153" s="30">
        <f>AVERAGE(Inventory[[#This Row],[Nbhd Adj]],Inventory[[#This Row],[Quality Adj]],Inventory[[#This Row],[Condition Adj]],Inventory[[#This Row],[Living Area Adj]],Inventory[[#This Row],[Decade Adj]])*0.95</f>
        <v>0.9460289999999999</v>
      </c>
      <c r="BL1153" s="30">
        <f>ROUND((SUM(Inventory[[#This Row],[Mdl Qlty]:[Mdl Garage Area]])+Inventory[[#This Row],[Mdl Res Intercept]])*Inventory[[#This Row],[Res Adj ]],-2)</f>
        <v>206500</v>
      </c>
      <c r="BM1153" s="30">
        <f>ROUND(Inventory[[#This Row],[25Det]]*Inventory[[#This Row],[Det/Nbhd Adj]],-2)</f>
        <v>0</v>
      </c>
      <c r="BN1153" s="30">
        <f>Inventory[[#This Row],[Adjusted Res]]+Inventory[[#This Row],[Adj Det ]]</f>
        <v>206500</v>
      </c>
      <c r="BO1153" s="30">
        <f>ROUND((Inventory[[#This Row],[Mdl Land Intercept]]+Inventory[[#This Row],[Mdl LnAcres]])*Inventory[[#This Row],[Det/Nbhd Adj]],-2)</f>
        <v>66600</v>
      </c>
      <c r="BP1153" s="30">
        <f>Inventory[[#This Row],[Adjusted Impr Total]]+Inventory[[#This Row],[Adjusted Land Total]]</f>
        <v>273100</v>
      </c>
      <c r="BQ1153" s="30">
        <f>IFERROR((Inventory[[#This Row],[Adjusted Impr Total]]-Inventory[[#This Row],[24Bldg]])/Inventory[[#This Row],[24Bldg]],0)</f>
        <v>2.7874564459930314E-2</v>
      </c>
      <c r="BR1153" s="43">
        <f>(Inventory[[#This Row],[Adjusted Land Total]]-Inventory[[#This Row],[24Lnd]])/Inventory[[#This Row],[24Lnd]]</f>
        <v>-7.4515648286140089E-3</v>
      </c>
      <c r="BS1153" s="43">
        <f>(Inventory[[#This Row],[Adjusted Total]]-Inventory[[#This Row],[24Final]])/Inventory[[#This Row],[24Final]]</f>
        <v>1.9029850746268655E-2</v>
      </c>
    </row>
    <row r="1154" spans="1:71">
      <c r="A1154" s="30">
        <v>2025</v>
      </c>
      <c r="B1154" s="31" t="s">
        <v>1670</v>
      </c>
      <c r="C1154" s="36">
        <f>LN(Inventory[[#This Row],[Acres]])</f>
        <v>-1.3862943611198906</v>
      </c>
      <c r="D1154" s="38">
        <v>0.25</v>
      </c>
      <c r="E1154" s="30">
        <v>10857</v>
      </c>
      <c r="F1154" s="31" t="s">
        <v>505</v>
      </c>
      <c r="G1154" s="31" t="s">
        <v>155</v>
      </c>
      <c r="H1154" s="31" t="s">
        <v>5</v>
      </c>
      <c r="I1154" s="31" t="s">
        <v>506</v>
      </c>
      <c r="J1154" s="31" t="s">
        <v>507</v>
      </c>
      <c r="K1154" s="31" t="s">
        <v>193</v>
      </c>
      <c r="L1154" s="31" t="s">
        <v>15</v>
      </c>
      <c r="M1154" s="31" t="s">
        <v>18</v>
      </c>
      <c r="N1154" s="31">
        <v>50</v>
      </c>
      <c r="O1154" s="31">
        <f>2024-Inventory[[#This Row],[YrBlt]]</f>
        <v>50</v>
      </c>
      <c r="P1154" s="31">
        <f>2024-Inventory[[#This Row],[EffYr]]</f>
        <v>45</v>
      </c>
      <c r="Q1154" s="30">
        <v>1974</v>
      </c>
      <c r="R1154" s="30">
        <v>1979</v>
      </c>
      <c r="S1154" s="30">
        <v>1458</v>
      </c>
      <c r="T1154" s="37"/>
      <c r="U1154" s="32"/>
      <c r="V1154" s="32"/>
      <c r="W1154" s="32"/>
      <c r="X1154" s="32">
        <f>Inventory[[#This Row],[Bsmt Area]]-Inventory[[#This Row],[FnBsmt]]</f>
        <v>0</v>
      </c>
      <c r="Y1154" s="32">
        <f>Inventory[[#This Row],[MainFn]]+Inventory[[#This Row],[UpprFn]]+Inventory[[#This Row],[AddFn]]+Inventory[[#This Row],[FnBsmt]]</f>
        <v>1458</v>
      </c>
      <c r="Z1154" s="32">
        <v>1500</v>
      </c>
      <c r="AA1154" s="31" t="s">
        <v>56</v>
      </c>
      <c r="AB1154" s="32"/>
      <c r="AC1154" s="30">
        <v>348</v>
      </c>
      <c r="AD1154" s="32"/>
      <c r="AE1154" s="32"/>
      <c r="AF1154" s="32"/>
      <c r="AG1154" s="32"/>
      <c r="AH1154" s="32"/>
      <c r="AI1154" s="30">
        <v>221462</v>
      </c>
      <c r="AJ1154" s="30">
        <v>170526</v>
      </c>
      <c r="AK1154" s="30">
        <v>0</v>
      </c>
      <c r="AL1154" s="30">
        <v>0</v>
      </c>
      <c r="AM1154" s="30">
        <v>67100</v>
      </c>
      <c r="AN1154" s="30">
        <v>219800</v>
      </c>
      <c r="AO1154" s="30">
        <v>286900</v>
      </c>
      <c r="AP1154" s="30">
        <f>Lookups!$B$58*0.6</f>
        <v>132535.48800000001</v>
      </c>
      <c r="AQ1154" s="30">
        <f>Lookups!$B$58*0.4</f>
        <v>88356.992000000013</v>
      </c>
      <c r="AR1154" s="30">
        <f>Lookups!$B$59*Inventory[[#This Row],[LnAcres]]</f>
        <v>-18194.172195827363</v>
      </c>
      <c r="AS1154" s="30">
        <f>VLOOKUP(Inventory[[#This Row],[Qlty]],Lookups!$A$66:$E$79,2,FALSE)</f>
        <v>-1240.8083630000001</v>
      </c>
      <c r="AT1154" s="30">
        <f>VLOOKUP(Inventory[[#This Row],[Cnd]],Lookups!$A$80:$E$88,2,FALSE)</f>
        <v>17761.121909000001</v>
      </c>
      <c r="AU1154" s="30">
        <f>Inventory[[#This Row],[EffAge]]*Lookups!$B$65</f>
        <v>-4893.3495000000003</v>
      </c>
      <c r="AV1154" s="30">
        <f>Inventory[[#This Row],[MainFn]]*Lookups!$B$90</f>
        <v>90994.334040000002</v>
      </c>
      <c r="AW1154" s="30">
        <f>Inventory[[#This Row],[UpprFn]]*Lookups!$B$91</f>
        <v>0</v>
      </c>
      <c r="AX1154" s="30">
        <f>Inventory[[#This Row],[Bsmt Area]]*Lookups!$B$95</f>
        <v>0</v>
      </c>
      <c r="AY1154" s="30">
        <f>Inventory[[#This Row],[AttGar]]*Lookups!$B$93</f>
        <v>12284.758788000001</v>
      </c>
      <c r="AZ1154" s="30">
        <f>ROUND(Inventory[[#This Row],[25Det]],-2)</f>
        <v>0</v>
      </c>
      <c r="BA1154" s="30">
        <f>ROUND(SUM(Inventory[[#This Row],[Mdl Qlty]:[Mdl Garage Area]])+Inventory[[#This Row],[Mdl Res Intercept]],-2)</f>
        <v>247400</v>
      </c>
      <c r="BB1154" s="30">
        <f>ROUND(Inventory[[#This Row],[Mdl Land Intercept]]+Inventory[[#This Row],[Mdl LnAcres]],-2)</f>
        <v>70200</v>
      </c>
      <c r="BC1154" s="30">
        <f>Inventory[[#This Row],[Unadj Res Value]]+Inventory[[#This Row],[Unadj Det Value]]+Inventory[[#This Row],[Unadj Land Value]]</f>
        <v>317600</v>
      </c>
      <c r="BD1154" s="30">
        <f>(Inventory[[#This Row],[Unadj Total Value]]-Inventory[[#This Row],[24Final]])/Inventory[[#This Row],[24Final]]</f>
        <v>0.10700592540955037</v>
      </c>
      <c r="BE1154" s="30">
        <f>VLOOKUP(Inventory[[#This Row],[Nbhd]],Lookups!$M$3:$P$5,4,FALSE)</f>
        <v>0.99970000000000003</v>
      </c>
      <c r="BF1154" s="30">
        <f>VLOOKUP(Inventory[[#This Row],[Qlty]],Lookups!$M$8:$P$22,4,FALSE)</f>
        <v>1.0022</v>
      </c>
      <c r="BG1154" s="30">
        <f>VLOOKUP(Inventory[[#This Row],[Cnd]],Lookups!$R$8:$U$17,4,FALSE)</f>
        <v>0.99680000000000002</v>
      </c>
      <c r="BH1154" s="30">
        <f>VLOOKUP(Inventory[[#This Row],[LivArea Range]],Lookups!$R$25:$U$43,4,FALSE)</f>
        <v>0.99519999999999997</v>
      </c>
      <c r="BI1154" s="30">
        <f>VLOOKUP(Inventory[[#This Row],[Decade]],Lookups!$M$24:$P$40,4,FALSE)</f>
        <v>0.98519999999999996</v>
      </c>
      <c r="BJ1154" s="30">
        <f>Inventory[[#This Row],[Nbhd Adj]]*0.95</f>
        <v>0.94971499999999998</v>
      </c>
      <c r="BK1154" s="30">
        <f>AVERAGE(Inventory[[#This Row],[Nbhd Adj]],Inventory[[#This Row],[Quality Adj]],Inventory[[#This Row],[Condition Adj]],Inventory[[#This Row],[Living Area Adj]],Inventory[[#This Row],[Decade Adj]])*0.95</f>
        <v>0.9460289999999999</v>
      </c>
      <c r="BL1154" s="30">
        <f>ROUND((SUM(Inventory[[#This Row],[Mdl Qlty]:[Mdl Garage Area]])+Inventory[[#This Row],[Mdl Res Intercept]])*Inventory[[#This Row],[Res Adj ]],-2)</f>
        <v>234100</v>
      </c>
      <c r="BM1154" s="30">
        <f>ROUND(Inventory[[#This Row],[25Det]]*Inventory[[#This Row],[Det/Nbhd Adj]],-2)</f>
        <v>0</v>
      </c>
      <c r="BN1154" s="30">
        <f>Inventory[[#This Row],[Adjusted Res]]+Inventory[[#This Row],[Adj Det ]]</f>
        <v>234100</v>
      </c>
      <c r="BO1154" s="30">
        <f>ROUND((Inventory[[#This Row],[Mdl Land Intercept]]+Inventory[[#This Row],[Mdl LnAcres]])*Inventory[[#This Row],[Det/Nbhd Adj]],-2)</f>
        <v>66600</v>
      </c>
      <c r="BP1154" s="30">
        <f>Inventory[[#This Row],[Adjusted Impr Total]]+Inventory[[#This Row],[Adjusted Land Total]]</f>
        <v>300700</v>
      </c>
      <c r="BQ1154" s="30">
        <f>IFERROR((Inventory[[#This Row],[Adjusted Impr Total]]-Inventory[[#This Row],[24Bldg]])/Inventory[[#This Row],[24Bldg]],0)</f>
        <v>6.5059144676979069E-2</v>
      </c>
      <c r="BR1154" s="43">
        <f>(Inventory[[#This Row],[Adjusted Land Total]]-Inventory[[#This Row],[24Lnd]])/Inventory[[#This Row],[24Lnd]]</f>
        <v>-7.4515648286140089E-3</v>
      </c>
      <c r="BS1154" s="43">
        <f>(Inventory[[#This Row],[Adjusted Total]]-Inventory[[#This Row],[24Final]])/Inventory[[#This Row],[24Final]]</f>
        <v>4.810038340885326E-2</v>
      </c>
    </row>
    <row r="1155" spans="1:71">
      <c r="A1155" s="30">
        <v>2025</v>
      </c>
      <c r="B1155" s="31" t="s">
        <v>1671</v>
      </c>
      <c r="C1155" s="31">
        <f>LN(Inventory[[#This Row],[Acres]])</f>
        <v>-1.3862943611198906</v>
      </c>
      <c r="D1155" s="30">
        <v>0.25</v>
      </c>
      <c r="E1155" s="38">
        <v>10808</v>
      </c>
      <c r="F1155" s="31" t="s">
        <v>505</v>
      </c>
      <c r="G1155" s="31" t="s">
        <v>155</v>
      </c>
      <c r="H1155" s="31" t="s">
        <v>5</v>
      </c>
      <c r="I1155" s="31" t="s">
        <v>506</v>
      </c>
      <c r="J1155" s="31" t="s">
        <v>507</v>
      </c>
      <c r="K1155" s="31" t="s">
        <v>193</v>
      </c>
      <c r="L1155" s="31" t="s">
        <v>17</v>
      </c>
      <c r="M1155" s="31" t="s">
        <v>20</v>
      </c>
      <c r="N1155" s="31">
        <v>50</v>
      </c>
      <c r="O1155" s="31">
        <f>2024-Inventory[[#This Row],[YrBlt]]</f>
        <v>50</v>
      </c>
      <c r="P1155" s="31">
        <f>2024-Inventory[[#This Row],[EffYr]]</f>
        <v>45</v>
      </c>
      <c r="Q1155" s="30">
        <v>1974</v>
      </c>
      <c r="R1155" s="30">
        <v>1979</v>
      </c>
      <c r="S1155" s="30">
        <v>1032</v>
      </c>
      <c r="T1155" s="37"/>
      <c r="U1155" s="32"/>
      <c r="V1155" s="32"/>
      <c r="W1155" s="32"/>
      <c r="X1155" s="32">
        <f>Inventory[[#This Row],[Bsmt Area]]-Inventory[[#This Row],[FnBsmt]]</f>
        <v>0</v>
      </c>
      <c r="Y1155" s="32">
        <f>Inventory[[#This Row],[MainFn]]+Inventory[[#This Row],[UpprFn]]+Inventory[[#This Row],[AddFn]]+Inventory[[#This Row],[FnBsmt]]</f>
        <v>1032</v>
      </c>
      <c r="Z1155" s="32">
        <v>1500</v>
      </c>
      <c r="AA1155" s="31" t="s">
        <v>56</v>
      </c>
      <c r="AB1155" s="32"/>
      <c r="AC1155" s="30">
        <v>288</v>
      </c>
      <c r="AD1155" s="32"/>
      <c r="AE1155" s="32"/>
      <c r="AF1155" s="32"/>
      <c r="AG1155" s="32"/>
      <c r="AH1155" s="32"/>
      <c r="AI1155" s="30">
        <v>188794</v>
      </c>
      <c r="AJ1155" s="30">
        <v>147259</v>
      </c>
      <c r="AK1155" s="30">
        <v>0</v>
      </c>
      <c r="AL1155" s="30">
        <v>0</v>
      </c>
      <c r="AM1155" s="30">
        <v>67100</v>
      </c>
      <c r="AN1155" s="30">
        <v>227300</v>
      </c>
      <c r="AO1155" s="30">
        <v>294400</v>
      </c>
      <c r="AP1155" s="30">
        <f>Lookups!$B$58*0.6</f>
        <v>132535.48800000001</v>
      </c>
      <c r="AQ1155" s="30">
        <f>Lookups!$B$58*0.4</f>
        <v>88356.992000000013</v>
      </c>
      <c r="AR1155" s="30">
        <f>Lookups!$B$59*Inventory[[#This Row],[LnAcres]]</f>
        <v>-18194.172195827363</v>
      </c>
      <c r="AS1155" s="30">
        <f>VLOOKUP(Inventory[[#This Row],[Qlty]],Lookups!$A$66:$E$79,2,FALSE)</f>
        <v>24371.765965999999</v>
      </c>
      <c r="AT1155" s="30">
        <f>VLOOKUP(Inventory[[#This Row],[Cnd]],Lookups!$A$80:$E$88,2,FALSE)</f>
        <v>30300.329274</v>
      </c>
      <c r="AU1155" s="30">
        <f>Inventory[[#This Row],[EffAge]]*Lookups!$B$65</f>
        <v>-4893.3495000000003</v>
      </c>
      <c r="AV1155" s="30">
        <f>Inventory[[#This Row],[MainFn]]*Lookups!$B$90</f>
        <v>64407.512160000006</v>
      </c>
      <c r="AW1155" s="30">
        <f>Inventory[[#This Row],[UpprFn]]*Lookups!$B$91</f>
        <v>0</v>
      </c>
      <c r="AX1155" s="30">
        <f>Inventory[[#This Row],[Bsmt Area]]*Lookups!$B$95</f>
        <v>0</v>
      </c>
      <c r="AY1155" s="30">
        <f>Inventory[[#This Row],[AttGar]]*Lookups!$B$93</f>
        <v>10166.696928000001</v>
      </c>
      <c r="AZ1155" s="30">
        <f>ROUND(Inventory[[#This Row],[25Det]],-2)</f>
        <v>0</v>
      </c>
      <c r="BA1155" s="30">
        <f>ROUND(SUM(Inventory[[#This Row],[Mdl Qlty]:[Mdl Garage Area]])+Inventory[[#This Row],[Mdl Res Intercept]],-2)</f>
        <v>256900</v>
      </c>
      <c r="BB1155" s="30">
        <f>ROUND(Inventory[[#This Row],[Mdl Land Intercept]]+Inventory[[#This Row],[Mdl LnAcres]],-2)</f>
        <v>70200</v>
      </c>
      <c r="BC1155" s="30">
        <f>Inventory[[#This Row],[Unadj Res Value]]+Inventory[[#This Row],[Unadj Det Value]]+Inventory[[#This Row],[Unadj Land Value]]</f>
        <v>327100</v>
      </c>
      <c r="BD1155" s="30">
        <f>(Inventory[[#This Row],[Unadj Total Value]]-Inventory[[#This Row],[24Final]])/Inventory[[#This Row],[24Final]]</f>
        <v>0.11107336956521739</v>
      </c>
      <c r="BE1155" s="30">
        <f>VLOOKUP(Inventory[[#This Row],[Nbhd]],Lookups!$M$3:$P$5,4,FALSE)</f>
        <v>0.99970000000000003</v>
      </c>
      <c r="BF1155" s="30">
        <f>VLOOKUP(Inventory[[#This Row],[Qlty]],Lookups!$M$8:$P$22,4,FALSE)</f>
        <v>0.99199999999999999</v>
      </c>
      <c r="BG1155" s="30">
        <f>VLOOKUP(Inventory[[#This Row],[Cnd]],Lookups!$R$8:$U$17,4,FALSE)</f>
        <v>0.997</v>
      </c>
      <c r="BH1155" s="30">
        <f>VLOOKUP(Inventory[[#This Row],[LivArea Range]],Lookups!$R$25:$U$43,4,FALSE)</f>
        <v>0.99519999999999997</v>
      </c>
      <c r="BI1155" s="30">
        <f>VLOOKUP(Inventory[[#This Row],[Decade]],Lookups!$M$24:$P$40,4,FALSE)</f>
        <v>0.98519999999999996</v>
      </c>
      <c r="BJ1155" s="30">
        <f>Inventory[[#This Row],[Nbhd Adj]]*0.95</f>
        <v>0.94971499999999998</v>
      </c>
      <c r="BK1155" s="30">
        <f>AVERAGE(Inventory[[#This Row],[Nbhd Adj]],Inventory[[#This Row],[Quality Adj]],Inventory[[#This Row],[Condition Adj]],Inventory[[#This Row],[Living Area Adj]],Inventory[[#This Row],[Decade Adj]])*0.95</f>
        <v>0.944129</v>
      </c>
      <c r="BL1155" s="30">
        <f>ROUND((SUM(Inventory[[#This Row],[Mdl Qlty]:[Mdl Garage Area]])+Inventory[[#This Row],[Mdl Res Intercept]])*Inventory[[#This Row],[Res Adj ]],-2)</f>
        <v>242500</v>
      </c>
      <c r="BM1155" s="30">
        <f>ROUND(Inventory[[#This Row],[25Det]]*Inventory[[#This Row],[Det/Nbhd Adj]],-2)</f>
        <v>0</v>
      </c>
      <c r="BN1155" s="30">
        <f>Inventory[[#This Row],[Adjusted Res]]+Inventory[[#This Row],[Adj Det ]]</f>
        <v>242500</v>
      </c>
      <c r="BO1155" s="30">
        <f>ROUND((Inventory[[#This Row],[Mdl Land Intercept]]+Inventory[[#This Row],[Mdl LnAcres]])*Inventory[[#This Row],[Det/Nbhd Adj]],-2)</f>
        <v>66600</v>
      </c>
      <c r="BP1155" s="30">
        <f>Inventory[[#This Row],[Adjusted Impr Total]]+Inventory[[#This Row],[Adjusted Land Total]]</f>
        <v>309100</v>
      </c>
      <c r="BQ1155" s="30">
        <f>IFERROR((Inventory[[#This Row],[Adjusted Impr Total]]-Inventory[[#This Row],[24Bldg]])/Inventory[[#This Row],[24Bldg]],0)</f>
        <v>6.6871975362956443E-2</v>
      </c>
      <c r="BR1155" s="43">
        <f>(Inventory[[#This Row],[Adjusted Land Total]]-Inventory[[#This Row],[24Lnd]])/Inventory[[#This Row],[24Lnd]]</f>
        <v>-7.4515648286140089E-3</v>
      </c>
      <c r="BS1155" s="43">
        <f>(Inventory[[#This Row],[Adjusted Total]]-Inventory[[#This Row],[24Final]])/Inventory[[#This Row],[24Final]]</f>
        <v>4.9932065217391304E-2</v>
      </c>
    </row>
    <row r="1156" spans="1:71">
      <c r="A1156" s="30">
        <v>2025</v>
      </c>
      <c r="B1156" s="31" t="s">
        <v>1672</v>
      </c>
      <c r="C1156" s="36">
        <f>LN(Inventory[[#This Row],[Acres]])</f>
        <v>-1.3470736479666092</v>
      </c>
      <c r="D1156" s="38">
        <v>0.26</v>
      </c>
      <c r="E1156" s="30">
        <v>11453</v>
      </c>
      <c r="F1156" s="31" t="s">
        <v>505</v>
      </c>
      <c r="G1156" s="31" t="s">
        <v>155</v>
      </c>
      <c r="H1156" s="31" t="s">
        <v>5</v>
      </c>
      <c r="I1156" s="31" t="s">
        <v>506</v>
      </c>
      <c r="J1156" s="31" t="s">
        <v>507</v>
      </c>
      <c r="K1156" s="31" t="s">
        <v>193</v>
      </c>
      <c r="L1156" s="31" t="s">
        <v>15</v>
      </c>
      <c r="M1156" s="31" t="s">
        <v>18</v>
      </c>
      <c r="N1156" s="31">
        <v>50</v>
      </c>
      <c r="O1156" s="31">
        <f>2024-Inventory[[#This Row],[YrBlt]]</f>
        <v>50</v>
      </c>
      <c r="P1156" s="31">
        <f>2024-Inventory[[#This Row],[EffYr]]</f>
        <v>45</v>
      </c>
      <c r="Q1156" s="30">
        <v>1974</v>
      </c>
      <c r="R1156" s="30">
        <v>1979</v>
      </c>
      <c r="S1156" s="30">
        <v>1350</v>
      </c>
      <c r="T1156" s="32"/>
      <c r="U1156" s="32"/>
      <c r="V1156" s="32"/>
      <c r="W1156" s="32"/>
      <c r="X1156" s="32">
        <f>Inventory[[#This Row],[Bsmt Area]]-Inventory[[#This Row],[FnBsmt]]</f>
        <v>0</v>
      </c>
      <c r="Y1156" s="32">
        <f>Inventory[[#This Row],[MainFn]]+Inventory[[#This Row],[UpprFn]]+Inventory[[#This Row],[AddFn]]+Inventory[[#This Row],[FnBsmt]]</f>
        <v>1350</v>
      </c>
      <c r="Z1156" s="32">
        <v>1500</v>
      </c>
      <c r="AA1156" s="31" t="s">
        <v>56</v>
      </c>
      <c r="AB1156" s="32"/>
      <c r="AC1156" s="37"/>
      <c r="AD1156" s="32"/>
      <c r="AE1156" s="32"/>
      <c r="AF1156" s="32"/>
      <c r="AG1156" s="32"/>
      <c r="AH1156" s="32"/>
      <c r="AI1156" s="30">
        <v>207066</v>
      </c>
      <c r="AJ1156" s="30">
        <v>159441</v>
      </c>
      <c r="AK1156" s="30">
        <v>0</v>
      </c>
      <c r="AL1156" s="30">
        <v>0</v>
      </c>
      <c r="AM1156" s="30">
        <v>67600</v>
      </c>
      <c r="AN1156" s="30">
        <v>210800</v>
      </c>
      <c r="AO1156" s="30">
        <v>278400</v>
      </c>
      <c r="AP1156" s="30">
        <f>Lookups!$B$58*0.6</f>
        <v>132535.48800000001</v>
      </c>
      <c r="AQ1156" s="30">
        <f>Lookups!$B$58*0.4</f>
        <v>88356.992000000013</v>
      </c>
      <c r="AR1156" s="30">
        <f>Lookups!$B$59*Inventory[[#This Row],[LnAcres]]</f>
        <v>-17679.426966554776</v>
      </c>
      <c r="AS1156" s="30">
        <f>VLOOKUP(Inventory[[#This Row],[Qlty]],Lookups!$A$66:$E$79,2,FALSE)</f>
        <v>-1240.8083630000001</v>
      </c>
      <c r="AT1156" s="30">
        <f>VLOOKUP(Inventory[[#This Row],[Cnd]],Lookups!$A$80:$E$88,2,FALSE)</f>
        <v>17761.121909000001</v>
      </c>
      <c r="AU1156" s="30">
        <f>Inventory[[#This Row],[EffAge]]*Lookups!$B$65</f>
        <v>-4893.3495000000003</v>
      </c>
      <c r="AV1156" s="30">
        <f>Inventory[[#This Row],[MainFn]]*Lookups!$B$90</f>
        <v>84254.013000000006</v>
      </c>
      <c r="AW1156" s="30">
        <f>Inventory[[#This Row],[UpprFn]]*Lookups!$B$91</f>
        <v>0</v>
      </c>
      <c r="AX1156" s="30">
        <f>Inventory[[#This Row],[Bsmt Area]]*Lookups!$B$95</f>
        <v>0</v>
      </c>
      <c r="AY1156" s="30">
        <f>Inventory[[#This Row],[AttGar]]*Lookups!$B$93</f>
        <v>0</v>
      </c>
      <c r="AZ1156" s="30">
        <f>ROUND(Inventory[[#This Row],[25Det]],-2)</f>
        <v>0</v>
      </c>
      <c r="BA1156" s="30">
        <f>ROUND(SUM(Inventory[[#This Row],[Mdl Qlty]:[Mdl Garage Area]])+Inventory[[#This Row],[Mdl Res Intercept]],-2)</f>
        <v>228400</v>
      </c>
      <c r="BB1156" s="30">
        <f>ROUND(Inventory[[#This Row],[Mdl Land Intercept]]+Inventory[[#This Row],[Mdl LnAcres]],-2)</f>
        <v>70700</v>
      </c>
      <c r="BC1156" s="30">
        <f>Inventory[[#This Row],[Unadj Res Value]]+Inventory[[#This Row],[Unadj Det Value]]+Inventory[[#This Row],[Unadj Land Value]]</f>
        <v>299100</v>
      </c>
      <c r="BD1156" s="30">
        <f>(Inventory[[#This Row],[Unadj Total Value]]-Inventory[[#This Row],[24Final]])/Inventory[[#This Row],[24Final]]</f>
        <v>7.4353448275862072E-2</v>
      </c>
      <c r="BE1156" s="30">
        <f>VLOOKUP(Inventory[[#This Row],[Nbhd]],Lookups!$M$3:$P$5,4,FALSE)</f>
        <v>0.99970000000000003</v>
      </c>
      <c r="BF1156" s="30">
        <f>VLOOKUP(Inventory[[#This Row],[Qlty]],Lookups!$M$8:$P$22,4,FALSE)</f>
        <v>1.0022</v>
      </c>
      <c r="BG1156" s="30">
        <f>VLOOKUP(Inventory[[#This Row],[Cnd]],Lookups!$R$8:$U$17,4,FALSE)</f>
        <v>0.99680000000000002</v>
      </c>
      <c r="BH1156" s="30">
        <f>VLOOKUP(Inventory[[#This Row],[LivArea Range]],Lookups!$R$25:$U$43,4,FALSE)</f>
        <v>0.99519999999999997</v>
      </c>
      <c r="BI1156" s="30">
        <f>VLOOKUP(Inventory[[#This Row],[Decade]],Lookups!$M$24:$P$40,4,FALSE)</f>
        <v>0.98519999999999996</v>
      </c>
      <c r="BJ1156" s="30">
        <f>Inventory[[#This Row],[Nbhd Adj]]*0.95</f>
        <v>0.94971499999999998</v>
      </c>
      <c r="BK1156" s="30">
        <f>AVERAGE(Inventory[[#This Row],[Nbhd Adj]],Inventory[[#This Row],[Quality Adj]],Inventory[[#This Row],[Condition Adj]],Inventory[[#This Row],[Living Area Adj]],Inventory[[#This Row],[Decade Adj]])*0.95</f>
        <v>0.9460289999999999</v>
      </c>
      <c r="BL1156" s="30">
        <f>ROUND((SUM(Inventory[[#This Row],[Mdl Qlty]:[Mdl Garage Area]])+Inventory[[#This Row],[Mdl Res Intercept]])*Inventory[[#This Row],[Res Adj ]],-2)</f>
        <v>216100</v>
      </c>
      <c r="BM1156" s="30">
        <f>ROUND(Inventory[[#This Row],[25Det]]*Inventory[[#This Row],[Det/Nbhd Adj]],-2)</f>
        <v>0</v>
      </c>
      <c r="BN1156" s="30">
        <f>Inventory[[#This Row],[Adjusted Res]]+Inventory[[#This Row],[Adj Det ]]</f>
        <v>216100</v>
      </c>
      <c r="BO1156" s="30">
        <f>ROUND((Inventory[[#This Row],[Mdl Land Intercept]]+Inventory[[#This Row],[Mdl LnAcres]])*Inventory[[#This Row],[Det/Nbhd Adj]],-2)</f>
        <v>67100</v>
      </c>
      <c r="BP1156" s="30">
        <f>Inventory[[#This Row],[Adjusted Impr Total]]+Inventory[[#This Row],[Adjusted Land Total]]</f>
        <v>283200</v>
      </c>
      <c r="BQ1156" s="30">
        <f>IFERROR((Inventory[[#This Row],[Adjusted Impr Total]]-Inventory[[#This Row],[24Bldg]])/Inventory[[#This Row],[24Bldg]],0)</f>
        <v>2.5142314990512334E-2</v>
      </c>
      <c r="BR1156" s="43">
        <f>(Inventory[[#This Row],[Adjusted Land Total]]-Inventory[[#This Row],[24Lnd]])/Inventory[[#This Row],[24Lnd]]</f>
        <v>-7.3964497041420114E-3</v>
      </c>
      <c r="BS1156" s="43">
        <f>(Inventory[[#This Row],[Adjusted Total]]-Inventory[[#This Row],[24Final]])/Inventory[[#This Row],[24Final]]</f>
        <v>1.7241379310344827E-2</v>
      </c>
    </row>
    <row r="1157" spans="1:71">
      <c r="A1157" s="30">
        <v>2025</v>
      </c>
      <c r="B1157" s="31" t="s">
        <v>1673</v>
      </c>
      <c r="C1157" s="36">
        <f>LN(Inventory[[#This Row],[Acres]])</f>
        <v>-1.3470736479666092</v>
      </c>
      <c r="D1157" s="38">
        <v>0.26</v>
      </c>
      <c r="E1157" s="30">
        <v>11313</v>
      </c>
      <c r="F1157" s="31" t="s">
        <v>505</v>
      </c>
      <c r="G1157" s="31" t="s">
        <v>155</v>
      </c>
      <c r="H1157" s="31" t="s">
        <v>5</v>
      </c>
      <c r="I1157" s="31" t="s">
        <v>506</v>
      </c>
      <c r="J1157" s="31" t="s">
        <v>507</v>
      </c>
      <c r="K1157" s="31" t="s">
        <v>193</v>
      </c>
      <c r="L1157" s="31" t="s">
        <v>15</v>
      </c>
      <c r="M1157" s="31" t="s">
        <v>20</v>
      </c>
      <c r="N1157" s="31">
        <v>50</v>
      </c>
      <c r="O1157" s="31">
        <f>2024-Inventory[[#This Row],[YrBlt]]</f>
        <v>50</v>
      </c>
      <c r="P1157" s="31">
        <f>2024-Inventory[[#This Row],[EffYr]]</f>
        <v>45</v>
      </c>
      <c r="Q1157" s="30">
        <v>1974</v>
      </c>
      <c r="R1157" s="30">
        <v>1979</v>
      </c>
      <c r="S1157" s="30">
        <v>1100</v>
      </c>
      <c r="T1157" s="37"/>
      <c r="U1157" s="32"/>
      <c r="V1157" s="32"/>
      <c r="W1157" s="32"/>
      <c r="X1157" s="32">
        <f>Inventory[[#This Row],[Bsmt Area]]-Inventory[[#This Row],[FnBsmt]]</f>
        <v>0</v>
      </c>
      <c r="Y1157" s="32">
        <f>Inventory[[#This Row],[MainFn]]+Inventory[[#This Row],[UpprFn]]+Inventory[[#This Row],[AddFn]]+Inventory[[#This Row],[FnBsmt]]</f>
        <v>1100</v>
      </c>
      <c r="Z1157" s="32">
        <v>1500</v>
      </c>
      <c r="AA1157" s="31" t="s">
        <v>56</v>
      </c>
      <c r="AB1157" s="32"/>
      <c r="AC1157" s="30">
        <v>300</v>
      </c>
      <c r="AD1157" s="32"/>
      <c r="AE1157" s="32"/>
      <c r="AF1157" s="32"/>
      <c r="AG1157" s="32"/>
      <c r="AH1157" s="32"/>
      <c r="AI1157" s="30">
        <v>184252</v>
      </c>
      <c r="AJ1157" s="30">
        <v>143717</v>
      </c>
      <c r="AK1157" s="30">
        <v>0</v>
      </c>
      <c r="AL1157" s="30">
        <v>0</v>
      </c>
      <c r="AM1157" s="30">
        <v>67600</v>
      </c>
      <c r="AN1157" s="30">
        <v>215700</v>
      </c>
      <c r="AO1157" s="30">
        <v>283300</v>
      </c>
      <c r="AP1157" s="30">
        <f>Lookups!$B$58*0.6</f>
        <v>132535.48800000001</v>
      </c>
      <c r="AQ1157" s="30">
        <f>Lookups!$B$58*0.4</f>
        <v>88356.992000000013</v>
      </c>
      <c r="AR1157" s="30">
        <f>Lookups!$B$59*Inventory[[#This Row],[LnAcres]]</f>
        <v>-17679.426966554776</v>
      </c>
      <c r="AS1157" s="30">
        <f>VLOOKUP(Inventory[[#This Row],[Qlty]],Lookups!$A$66:$E$79,2,FALSE)</f>
        <v>-1240.8083630000001</v>
      </c>
      <c r="AT1157" s="30">
        <f>VLOOKUP(Inventory[[#This Row],[Cnd]],Lookups!$A$80:$E$88,2,FALSE)</f>
        <v>30300.329274</v>
      </c>
      <c r="AU1157" s="30">
        <f>Inventory[[#This Row],[EffAge]]*Lookups!$B$65</f>
        <v>-4893.3495000000003</v>
      </c>
      <c r="AV1157" s="30">
        <f>Inventory[[#This Row],[MainFn]]*Lookups!$B$90</f>
        <v>68651.418000000005</v>
      </c>
      <c r="AW1157" s="30">
        <f>Inventory[[#This Row],[UpprFn]]*Lookups!$B$91</f>
        <v>0</v>
      </c>
      <c r="AX1157" s="30">
        <f>Inventory[[#This Row],[Bsmt Area]]*Lookups!$B$95</f>
        <v>0</v>
      </c>
      <c r="AY1157" s="30">
        <f>Inventory[[#This Row],[AttGar]]*Lookups!$B$93</f>
        <v>10590.309300000001</v>
      </c>
      <c r="AZ1157" s="30">
        <f>ROUND(Inventory[[#This Row],[25Det]],-2)</f>
        <v>0</v>
      </c>
      <c r="BA1157" s="30">
        <f>ROUND(SUM(Inventory[[#This Row],[Mdl Qlty]:[Mdl Garage Area]])+Inventory[[#This Row],[Mdl Res Intercept]],-2)</f>
        <v>235900</v>
      </c>
      <c r="BB1157" s="30">
        <f>ROUND(Inventory[[#This Row],[Mdl Land Intercept]]+Inventory[[#This Row],[Mdl LnAcres]],-2)</f>
        <v>70700</v>
      </c>
      <c r="BC1157" s="30">
        <f>Inventory[[#This Row],[Unadj Res Value]]+Inventory[[#This Row],[Unadj Det Value]]+Inventory[[#This Row],[Unadj Land Value]]</f>
        <v>306600</v>
      </c>
      <c r="BD1157" s="30">
        <f>(Inventory[[#This Row],[Unadj Total Value]]-Inventory[[#This Row],[24Final]])/Inventory[[#This Row],[24Final]]</f>
        <v>8.2244969996470171E-2</v>
      </c>
      <c r="BE1157" s="30">
        <f>VLOOKUP(Inventory[[#This Row],[Nbhd]],Lookups!$M$3:$P$5,4,FALSE)</f>
        <v>0.99970000000000003</v>
      </c>
      <c r="BF1157" s="30">
        <f>VLOOKUP(Inventory[[#This Row],[Qlty]],Lookups!$M$8:$P$22,4,FALSE)</f>
        <v>1.0022</v>
      </c>
      <c r="BG1157" s="30">
        <f>VLOOKUP(Inventory[[#This Row],[Cnd]],Lookups!$R$8:$U$17,4,FALSE)</f>
        <v>0.997</v>
      </c>
      <c r="BH1157" s="30">
        <f>VLOOKUP(Inventory[[#This Row],[LivArea Range]],Lookups!$R$25:$U$43,4,FALSE)</f>
        <v>0.99519999999999997</v>
      </c>
      <c r="BI1157" s="30">
        <f>VLOOKUP(Inventory[[#This Row],[Decade]],Lookups!$M$24:$P$40,4,FALSE)</f>
        <v>0.98519999999999996</v>
      </c>
      <c r="BJ1157" s="30">
        <f>Inventory[[#This Row],[Nbhd Adj]]*0.95</f>
        <v>0.94971499999999998</v>
      </c>
      <c r="BK1157" s="30">
        <f>AVERAGE(Inventory[[#This Row],[Nbhd Adj]],Inventory[[#This Row],[Quality Adj]],Inventory[[#This Row],[Condition Adj]],Inventory[[#This Row],[Living Area Adj]],Inventory[[#This Row],[Decade Adj]])*0.95</f>
        <v>0.94606699999999999</v>
      </c>
      <c r="BL1157" s="30">
        <f>ROUND((SUM(Inventory[[#This Row],[Mdl Qlty]:[Mdl Garage Area]])+Inventory[[#This Row],[Mdl Res Intercept]])*Inventory[[#This Row],[Res Adj ]],-2)</f>
        <v>223200</v>
      </c>
      <c r="BM1157" s="30">
        <f>ROUND(Inventory[[#This Row],[25Det]]*Inventory[[#This Row],[Det/Nbhd Adj]],-2)</f>
        <v>0</v>
      </c>
      <c r="BN1157" s="30">
        <f>Inventory[[#This Row],[Adjusted Res]]+Inventory[[#This Row],[Adj Det ]]</f>
        <v>223200</v>
      </c>
      <c r="BO1157" s="30">
        <f>ROUND((Inventory[[#This Row],[Mdl Land Intercept]]+Inventory[[#This Row],[Mdl LnAcres]])*Inventory[[#This Row],[Det/Nbhd Adj]],-2)</f>
        <v>67100</v>
      </c>
      <c r="BP1157" s="30">
        <f>Inventory[[#This Row],[Adjusted Impr Total]]+Inventory[[#This Row],[Adjusted Land Total]]</f>
        <v>290300</v>
      </c>
      <c r="BQ1157" s="30">
        <f>IFERROR((Inventory[[#This Row],[Adjusted Impr Total]]-Inventory[[#This Row],[24Bldg]])/Inventory[[#This Row],[24Bldg]],0)</f>
        <v>3.4770514603616132E-2</v>
      </c>
      <c r="BR1157" s="43">
        <f>(Inventory[[#This Row],[Adjusted Land Total]]-Inventory[[#This Row],[24Lnd]])/Inventory[[#This Row],[24Lnd]]</f>
        <v>-7.3964497041420114E-3</v>
      </c>
      <c r="BS1157" s="43">
        <f>(Inventory[[#This Row],[Adjusted Total]]-Inventory[[#This Row],[24Final]])/Inventory[[#This Row],[24Final]]</f>
        <v>2.4708789269325803E-2</v>
      </c>
    </row>
    <row r="1158" spans="1:71">
      <c r="A1158" s="30">
        <v>2025</v>
      </c>
      <c r="B1158" s="31" t="s">
        <v>1674</v>
      </c>
      <c r="C1158" s="36">
        <f>LN(Inventory[[#This Row],[Acres]])</f>
        <v>-1.3470736479666092</v>
      </c>
      <c r="D1158" s="38">
        <v>0.26</v>
      </c>
      <c r="E1158" s="30">
        <v>11276</v>
      </c>
      <c r="F1158" s="31" t="s">
        <v>505</v>
      </c>
      <c r="G1158" s="31" t="s">
        <v>155</v>
      </c>
      <c r="H1158" s="31" t="s">
        <v>5</v>
      </c>
      <c r="I1158" s="31" t="s">
        <v>506</v>
      </c>
      <c r="J1158" s="31" t="s">
        <v>507</v>
      </c>
      <c r="K1158" s="31" t="s">
        <v>193</v>
      </c>
      <c r="L1158" s="31" t="s">
        <v>15</v>
      </c>
      <c r="M1158" s="31" t="s">
        <v>18</v>
      </c>
      <c r="N1158" s="31">
        <v>50</v>
      </c>
      <c r="O1158" s="31">
        <f>2024-Inventory[[#This Row],[YrBlt]]</f>
        <v>50</v>
      </c>
      <c r="P1158" s="31">
        <f>2024-Inventory[[#This Row],[EffYr]]</f>
        <v>45</v>
      </c>
      <c r="Q1158" s="30">
        <v>1974</v>
      </c>
      <c r="R1158" s="30">
        <v>1979</v>
      </c>
      <c r="S1158" s="30">
        <v>1068</v>
      </c>
      <c r="T1158" s="32"/>
      <c r="U1158" s="32"/>
      <c r="V1158" s="32"/>
      <c r="W1158" s="32"/>
      <c r="X1158" s="32">
        <f>Inventory[[#This Row],[Bsmt Area]]-Inventory[[#This Row],[FnBsmt]]</f>
        <v>0</v>
      </c>
      <c r="Y1158" s="32">
        <f>Inventory[[#This Row],[MainFn]]+Inventory[[#This Row],[UpprFn]]+Inventory[[#This Row],[AddFn]]+Inventory[[#This Row],[FnBsmt]]</f>
        <v>1068</v>
      </c>
      <c r="Z1158" s="32">
        <v>1500</v>
      </c>
      <c r="AA1158" s="31" t="s">
        <v>56</v>
      </c>
      <c r="AB1158" s="32"/>
      <c r="AC1158" s="30">
        <v>264</v>
      </c>
      <c r="AD1158" s="32"/>
      <c r="AE1158" s="32"/>
      <c r="AF1158" s="32"/>
      <c r="AG1158" s="32"/>
      <c r="AH1158" s="32"/>
      <c r="AI1158" s="30">
        <v>165916</v>
      </c>
      <c r="AJ1158" s="30">
        <v>127755</v>
      </c>
      <c r="AK1158" s="30">
        <v>0</v>
      </c>
      <c r="AL1158" s="30">
        <v>0</v>
      </c>
      <c r="AM1158" s="30">
        <v>67600</v>
      </c>
      <c r="AN1158" s="30">
        <v>197100</v>
      </c>
      <c r="AO1158" s="30">
        <v>264700</v>
      </c>
      <c r="AP1158" s="30">
        <f>Lookups!$B$58*0.6</f>
        <v>132535.48800000001</v>
      </c>
      <c r="AQ1158" s="30">
        <f>Lookups!$B$58*0.4</f>
        <v>88356.992000000013</v>
      </c>
      <c r="AR1158" s="30">
        <f>Lookups!$B$59*Inventory[[#This Row],[LnAcres]]</f>
        <v>-17679.426966554776</v>
      </c>
      <c r="AS1158" s="30">
        <f>VLOOKUP(Inventory[[#This Row],[Qlty]],Lookups!$A$66:$E$79,2,FALSE)</f>
        <v>-1240.8083630000001</v>
      </c>
      <c r="AT1158" s="30">
        <f>VLOOKUP(Inventory[[#This Row],[Cnd]],Lookups!$A$80:$E$88,2,FALSE)</f>
        <v>17761.121909000001</v>
      </c>
      <c r="AU1158" s="30">
        <f>Inventory[[#This Row],[EffAge]]*Lookups!$B$65</f>
        <v>-4893.3495000000003</v>
      </c>
      <c r="AV1158" s="30">
        <f>Inventory[[#This Row],[MainFn]]*Lookups!$B$90</f>
        <v>66654.285839999997</v>
      </c>
      <c r="AW1158" s="30">
        <f>Inventory[[#This Row],[UpprFn]]*Lookups!$B$91</f>
        <v>0</v>
      </c>
      <c r="AX1158" s="30">
        <f>Inventory[[#This Row],[Bsmt Area]]*Lookups!$B$95</f>
        <v>0</v>
      </c>
      <c r="AY1158" s="30">
        <f>Inventory[[#This Row],[AttGar]]*Lookups!$B$93</f>
        <v>9319.4721840000002</v>
      </c>
      <c r="AZ1158" s="30">
        <f>ROUND(Inventory[[#This Row],[25Det]],-2)</f>
        <v>0</v>
      </c>
      <c r="BA1158" s="30">
        <f>ROUND(SUM(Inventory[[#This Row],[Mdl Qlty]:[Mdl Garage Area]])+Inventory[[#This Row],[Mdl Res Intercept]],-2)</f>
        <v>220100</v>
      </c>
      <c r="BB1158" s="30">
        <f>ROUND(Inventory[[#This Row],[Mdl Land Intercept]]+Inventory[[#This Row],[Mdl LnAcres]],-2)</f>
        <v>70700</v>
      </c>
      <c r="BC1158" s="30">
        <f>Inventory[[#This Row],[Unadj Res Value]]+Inventory[[#This Row],[Unadj Det Value]]+Inventory[[#This Row],[Unadj Land Value]]</f>
        <v>290800</v>
      </c>
      <c r="BD1158" s="30">
        <f>(Inventory[[#This Row],[Unadj Total Value]]-Inventory[[#This Row],[24Final]])/Inventory[[#This Row],[24Final]]</f>
        <v>9.8602191159803551E-2</v>
      </c>
      <c r="BE1158" s="30">
        <f>VLOOKUP(Inventory[[#This Row],[Nbhd]],Lookups!$M$3:$P$5,4,FALSE)</f>
        <v>0.99970000000000003</v>
      </c>
      <c r="BF1158" s="30">
        <f>VLOOKUP(Inventory[[#This Row],[Qlty]],Lookups!$M$8:$P$22,4,FALSE)</f>
        <v>1.0022</v>
      </c>
      <c r="BG1158" s="30">
        <f>VLOOKUP(Inventory[[#This Row],[Cnd]],Lookups!$R$8:$U$17,4,FALSE)</f>
        <v>0.99680000000000002</v>
      </c>
      <c r="BH1158" s="30">
        <f>VLOOKUP(Inventory[[#This Row],[LivArea Range]],Lookups!$R$25:$U$43,4,FALSE)</f>
        <v>0.99519999999999997</v>
      </c>
      <c r="BI1158" s="30">
        <f>VLOOKUP(Inventory[[#This Row],[Decade]],Lookups!$M$24:$P$40,4,FALSE)</f>
        <v>0.98519999999999996</v>
      </c>
      <c r="BJ1158" s="30">
        <f>Inventory[[#This Row],[Nbhd Adj]]*0.95</f>
        <v>0.94971499999999998</v>
      </c>
      <c r="BK1158" s="30">
        <f>AVERAGE(Inventory[[#This Row],[Nbhd Adj]],Inventory[[#This Row],[Quality Adj]],Inventory[[#This Row],[Condition Adj]],Inventory[[#This Row],[Living Area Adj]],Inventory[[#This Row],[Decade Adj]])*0.95</f>
        <v>0.9460289999999999</v>
      </c>
      <c r="BL1158" s="30">
        <f>ROUND((SUM(Inventory[[#This Row],[Mdl Qlty]:[Mdl Garage Area]])+Inventory[[#This Row],[Mdl Res Intercept]])*Inventory[[#This Row],[Res Adj ]],-2)</f>
        <v>208300</v>
      </c>
      <c r="BM1158" s="30">
        <f>ROUND(Inventory[[#This Row],[25Det]]*Inventory[[#This Row],[Det/Nbhd Adj]],-2)</f>
        <v>0</v>
      </c>
      <c r="BN1158" s="30">
        <f>Inventory[[#This Row],[Adjusted Res]]+Inventory[[#This Row],[Adj Det ]]</f>
        <v>208300</v>
      </c>
      <c r="BO1158" s="30">
        <f>ROUND((Inventory[[#This Row],[Mdl Land Intercept]]+Inventory[[#This Row],[Mdl LnAcres]])*Inventory[[#This Row],[Det/Nbhd Adj]],-2)</f>
        <v>67100</v>
      </c>
      <c r="BP1158" s="30">
        <f>Inventory[[#This Row],[Adjusted Impr Total]]+Inventory[[#This Row],[Adjusted Land Total]]</f>
        <v>275400</v>
      </c>
      <c r="BQ1158" s="30">
        <f>IFERROR((Inventory[[#This Row],[Adjusted Impr Total]]-Inventory[[#This Row],[24Bldg]])/Inventory[[#This Row],[24Bldg]],0)</f>
        <v>5.6823947234906136E-2</v>
      </c>
      <c r="BR1158" s="43">
        <f>(Inventory[[#This Row],[Adjusted Land Total]]-Inventory[[#This Row],[24Lnd]])/Inventory[[#This Row],[24Lnd]]</f>
        <v>-7.3964497041420114E-3</v>
      </c>
      <c r="BS1158" s="43">
        <f>(Inventory[[#This Row],[Adjusted Total]]-Inventory[[#This Row],[24Final]])/Inventory[[#This Row],[24Final]]</f>
        <v>4.0423120513789199E-2</v>
      </c>
    </row>
    <row r="1159" spans="1:71">
      <c r="A1159" s="30">
        <v>2025</v>
      </c>
      <c r="B1159" s="31" t="s">
        <v>1675</v>
      </c>
      <c r="C1159" s="36">
        <f>LN(Inventory[[#This Row],[Acres]])</f>
        <v>-1.3470736479666092</v>
      </c>
      <c r="D1159" s="38">
        <v>0.26</v>
      </c>
      <c r="E1159" s="30">
        <v>11433</v>
      </c>
      <c r="F1159" s="31" t="s">
        <v>505</v>
      </c>
      <c r="G1159" s="31" t="s">
        <v>155</v>
      </c>
      <c r="H1159" s="31" t="s">
        <v>5</v>
      </c>
      <c r="I1159" s="31" t="s">
        <v>506</v>
      </c>
      <c r="J1159" s="31" t="s">
        <v>507</v>
      </c>
      <c r="K1159" s="31" t="s">
        <v>193</v>
      </c>
      <c r="L1159" s="31" t="s">
        <v>15</v>
      </c>
      <c r="M1159" s="31" t="s">
        <v>18</v>
      </c>
      <c r="N1159" s="31">
        <v>50</v>
      </c>
      <c r="O1159" s="31">
        <f>2024-Inventory[[#This Row],[YrBlt]]</f>
        <v>50</v>
      </c>
      <c r="P1159" s="31">
        <f>2024-Inventory[[#This Row],[EffYr]]</f>
        <v>45</v>
      </c>
      <c r="Q1159" s="30">
        <v>1974</v>
      </c>
      <c r="R1159" s="30">
        <v>1979</v>
      </c>
      <c r="S1159" s="30">
        <v>1332</v>
      </c>
      <c r="T1159" s="32"/>
      <c r="U1159" s="32"/>
      <c r="V1159" s="32"/>
      <c r="W1159" s="32"/>
      <c r="X1159" s="32">
        <f>Inventory[[#This Row],[Bsmt Area]]-Inventory[[#This Row],[FnBsmt]]</f>
        <v>0</v>
      </c>
      <c r="Y1159" s="32">
        <f>Inventory[[#This Row],[MainFn]]+Inventory[[#This Row],[UpprFn]]+Inventory[[#This Row],[AddFn]]+Inventory[[#This Row],[FnBsmt]]</f>
        <v>1332</v>
      </c>
      <c r="Z1159" s="32">
        <v>1500</v>
      </c>
      <c r="AA1159" s="31" t="s">
        <v>56</v>
      </c>
      <c r="AB1159" s="32"/>
      <c r="AC1159" s="37"/>
      <c r="AD1159" s="32"/>
      <c r="AE1159" s="32"/>
      <c r="AF1159" s="32"/>
      <c r="AG1159" s="32"/>
      <c r="AH1159" s="32"/>
      <c r="AI1159" s="30">
        <v>207161</v>
      </c>
      <c r="AJ1159" s="30">
        <v>159514</v>
      </c>
      <c r="AK1159" s="30">
        <v>0</v>
      </c>
      <c r="AL1159" s="30">
        <v>0</v>
      </c>
      <c r="AM1159" s="30">
        <v>67600</v>
      </c>
      <c r="AN1159" s="30">
        <v>198600</v>
      </c>
      <c r="AO1159" s="30">
        <v>266200</v>
      </c>
      <c r="AP1159" s="30">
        <f>Lookups!$B$58*0.6</f>
        <v>132535.48800000001</v>
      </c>
      <c r="AQ1159" s="30">
        <f>Lookups!$B$58*0.4</f>
        <v>88356.992000000013</v>
      </c>
      <c r="AR1159" s="30">
        <f>Lookups!$B$59*Inventory[[#This Row],[LnAcres]]</f>
        <v>-17679.426966554776</v>
      </c>
      <c r="AS1159" s="30">
        <f>VLOOKUP(Inventory[[#This Row],[Qlty]],Lookups!$A$66:$E$79,2,FALSE)</f>
        <v>-1240.8083630000001</v>
      </c>
      <c r="AT1159" s="30">
        <f>VLOOKUP(Inventory[[#This Row],[Cnd]],Lookups!$A$80:$E$88,2,FALSE)</f>
        <v>17761.121909000001</v>
      </c>
      <c r="AU1159" s="30">
        <f>Inventory[[#This Row],[EffAge]]*Lookups!$B$65</f>
        <v>-4893.3495000000003</v>
      </c>
      <c r="AV1159" s="30">
        <f>Inventory[[#This Row],[MainFn]]*Lookups!$B$90</f>
        <v>83130.62616</v>
      </c>
      <c r="AW1159" s="30">
        <f>Inventory[[#This Row],[UpprFn]]*Lookups!$B$91</f>
        <v>0</v>
      </c>
      <c r="AX1159" s="30">
        <f>Inventory[[#This Row],[Bsmt Area]]*Lookups!$B$95</f>
        <v>0</v>
      </c>
      <c r="AY1159" s="30">
        <f>Inventory[[#This Row],[AttGar]]*Lookups!$B$93</f>
        <v>0</v>
      </c>
      <c r="AZ1159" s="30">
        <f>ROUND(Inventory[[#This Row],[25Det]],-2)</f>
        <v>0</v>
      </c>
      <c r="BA1159" s="30">
        <f>ROUND(SUM(Inventory[[#This Row],[Mdl Qlty]:[Mdl Garage Area]])+Inventory[[#This Row],[Mdl Res Intercept]],-2)</f>
        <v>227300</v>
      </c>
      <c r="BB1159" s="30">
        <f>ROUND(Inventory[[#This Row],[Mdl Land Intercept]]+Inventory[[#This Row],[Mdl LnAcres]],-2)</f>
        <v>70700</v>
      </c>
      <c r="BC1159" s="30">
        <f>Inventory[[#This Row],[Unadj Res Value]]+Inventory[[#This Row],[Unadj Det Value]]+Inventory[[#This Row],[Unadj Land Value]]</f>
        <v>298000</v>
      </c>
      <c r="BD1159" s="30">
        <f>(Inventory[[#This Row],[Unadj Total Value]]-Inventory[[#This Row],[24Final]])/Inventory[[#This Row],[24Final]]</f>
        <v>0.11945905334335086</v>
      </c>
      <c r="BE1159" s="30">
        <f>VLOOKUP(Inventory[[#This Row],[Nbhd]],Lookups!$M$3:$P$5,4,FALSE)</f>
        <v>0.99970000000000003</v>
      </c>
      <c r="BF1159" s="30">
        <f>VLOOKUP(Inventory[[#This Row],[Qlty]],Lookups!$M$8:$P$22,4,FALSE)</f>
        <v>1.0022</v>
      </c>
      <c r="BG1159" s="30">
        <f>VLOOKUP(Inventory[[#This Row],[Cnd]],Lookups!$R$8:$U$17,4,FALSE)</f>
        <v>0.99680000000000002</v>
      </c>
      <c r="BH1159" s="30">
        <f>VLOOKUP(Inventory[[#This Row],[LivArea Range]],Lookups!$R$25:$U$43,4,FALSE)</f>
        <v>0.99519999999999997</v>
      </c>
      <c r="BI1159" s="30">
        <f>VLOOKUP(Inventory[[#This Row],[Decade]],Lookups!$M$24:$P$40,4,FALSE)</f>
        <v>0.98519999999999996</v>
      </c>
      <c r="BJ1159" s="30">
        <f>Inventory[[#This Row],[Nbhd Adj]]*0.95</f>
        <v>0.94971499999999998</v>
      </c>
      <c r="BK1159" s="30">
        <f>AVERAGE(Inventory[[#This Row],[Nbhd Adj]],Inventory[[#This Row],[Quality Adj]],Inventory[[#This Row],[Condition Adj]],Inventory[[#This Row],[Living Area Adj]],Inventory[[#This Row],[Decade Adj]])*0.95</f>
        <v>0.9460289999999999</v>
      </c>
      <c r="BL1159" s="30">
        <f>ROUND((SUM(Inventory[[#This Row],[Mdl Qlty]:[Mdl Garage Area]])+Inventory[[#This Row],[Mdl Res Intercept]])*Inventory[[#This Row],[Res Adj ]],-2)</f>
        <v>215000</v>
      </c>
      <c r="BM1159" s="30">
        <f>ROUND(Inventory[[#This Row],[25Det]]*Inventory[[#This Row],[Det/Nbhd Adj]],-2)</f>
        <v>0</v>
      </c>
      <c r="BN1159" s="30">
        <f>Inventory[[#This Row],[Adjusted Res]]+Inventory[[#This Row],[Adj Det ]]</f>
        <v>215000</v>
      </c>
      <c r="BO1159" s="30">
        <f>ROUND((Inventory[[#This Row],[Mdl Land Intercept]]+Inventory[[#This Row],[Mdl LnAcres]])*Inventory[[#This Row],[Det/Nbhd Adj]],-2)</f>
        <v>67100</v>
      </c>
      <c r="BP1159" s="30">
        <f>Inventory[[#This Row],[Adjusted Impr Total]]+Inventory[[#This Row],[Adjusted Land Total]]</f>
        <v>282100</v>
      </c>
      <c r="BQ1159" s="30">
        <f>IFERROR((Inventory[[#This Row],[Adjusted Impr Total]]-Inventory[[#This Row],[24Bldg]])/Inventory[[#This Row],[24Bldg]],0)</f>
        <v>8.2578046324269891E-2</v>
      </c>
      <c r="BR1159" s="43">
        <f>(Inventory[[#This Row],[Adjusted Land Total]]-Inventory[[#This Row],[24Lnd]])/Inventory[[#This Row],[24Lnd]]</f>
        <v>-7.3964497041420114E-3</v>
      </c>
      <c r="BS1159" s="43">
        <f>(Inventory[[#This Row],[Adjusted Total]]-Inventory[[#This Row],[24Final]])/Inventory[[#This Row],[24Final]]</f>
        <v>5.9729526671675429E-2</v>
      </c>
    </row>
    <row r="1160" spans="1:71">
      <c r="A1160" s="30">
        <v>2025</v>
      </c>
      <c r="B1160" s="31" t="s">
        <v>1676</v>
      </c>
      <c r="C1160" s="36">
        <f>LN(Inventory[[#This Row],[Acres]])</f>
        <v>-1.3470736479666092</v>
      </c>
      <c r="D1160" s="38">
        <v>0.26</v>
      </c>
      <c r="E1160" s="30">
        <v>11192</v>
      </c>
      <c r="F1160" s="31" t="s">
        <v>505</v>
      </c>
      <c r="G1160" s="31" t="s">
        <v>155</v>
      </c>
      <c r="H1160" s="31" t="s">
        <v>5</v>
      </c>
      <c r="I1160" s="31" t="s">
        <v>506</v>
      </c>
      <c r="J1160" s="31" t="s">
        <v>507</v>
      </c>
      <c r="K1160" s="31" t="s">
        <v>193</v>
      </c>
      <c r="L1160" s="31" t="s">
        <v>17</v>
      </c>
      <c r="M1160" s="31" t="s">
        <v>20</v>
      </c>
      <c r="N1160" s="31">
        <v>50</v>
      </c>
      <c r="O1160" s="31">
        <f>2024-Inventory[[#This Row],[YrBlt]]</f>
        <v>50</v>
      </c>
      <c r="P1160" s="31">
        <f>2024-Inventory[[#This Row],[EffYr]]</f>
        <v>45</v>
      </c>
      <c r="Q1160" s="30">
        <v>1974</v>
      </c>
      <c r="R1160" s="30">
        <v>1979</v>
      </c>
      <c r="S1160" s="30">
        <v>1493</v>
      </c>
      <c r="T1160" s="32"/>
      <c r="U1160" s="32"/>
      <c r="V1160" s="32"/>
      <c r="W1160" s="32"/>
      <c r="X1160" s="32">
        <f>Inventory[[#This Row],[Bsmt Area]]-Inventory[[#This Row],[FnBsmt]]</f>
        <v>0</v>
      </c>
      <c r="Y1160" s="32">
        <f>Inventory[[#This Row],[MainFn]]+Inventory[[#This Row],[UpprFn]]+Inventory[[#This Row],[AddFn]]+Inventory[[#This Row],[FnBsmt]]</f>
        <v>1493</v>
      </c>
      <c r="Z1160" s="32">
        <v>1500</v>
      </c>
      <c r="AA1160" s="31" t="s">
        <v>56</v>
      </c>
      <c r="AB1160" s="32"/>
      <c r="AC1160" s="37"/>
      <c r="AD1160" s="32"/>
      <c r="AE1160" s="32"/>
      <c r="AF1160" s="32"/>
      <c r="AG1160" s="32"/>
      <c r="AH1160" s="32"/>
      <c r="AI1160" s="30">
        <v>236792</v>
      </c>
      <c r="AJ1160" s="30">
        <v>184698</v>
      </c>
      <c r="AK1160" s="30">
        <v>1998</v>
      </c>
      <c r="AL1160" s="30">
        <v>0</v>
      </c>
      <c r="AM1160" s="30">
        <v>67600</v>
      </c>
      <c r="AN1160" s="30">
        <v>235300</v>
      </c>
      <c r="AO1160" s="30">
        <v>302900</v>
      </c>
      <c r="AP1160" s="30">
        <f>Lookups!$B$58*0.6</f>
        <v>132535.48800000001</v>
      </c>
      <c r="AQ1160" s="30">
        <f>Lookups!$B$58*0.4</f>
        <v>88356.992000000013</v>
      </c>
      <c r="AR1160" s="30">
        <f>Lookups!$B$59*Inventory[[#This Row],[LnAcres]]</f>
        <v>-17679.426966554776</v>
      </c>
      <c r="AS1160" s="30">
        <f>VLOOKUP(Inventory[[#This Row],[Qlty]],Lookups!$A$66:$E$79,2,FALSE)</f>
        <v>24371.765965999999</v>
      </c>
      <c r="AT1160" s="30">
        <f>VLOOKUP(Inventory[[#This Row],[Cnd]],Lookups!$A$80:$E$88,2,FALSE)</f>
        <v>30300.329274</v>
      </c>
      <c r="AU1160" s="30">
        <f>Inventory[[#This Row],[EffAge]]*Lookups!$B$65</f>
        <v>-4893.3495000000003</v>
      </c>
      <c r="AV1160" s="30">
        <f>Inventory[[#This Row],[MainFn]]*Lookups!$B$90</f>
        <v>93178.697339999999</v>
      </c>
      <c r="AW1160" s="30">
        <f>Inventory[[#This Row],[UpprFn]]*Lookups!$B$91</f>
        <v>0</v>
      </c>
      <c r="AX1160" s="30">
        <f>Inventory[[#This Row],[Bsmt Area]]*Lookups!$B$95</f>
        <v>0</v>
      </c>
      <c r="AY1160" s="30">
        <f>Inventory[[#This Row],[AttGar]]*Lookups!$B$93</f>
        <v>0</v>
      </c>
      <c r="AZ1160" s="30">
        <f>ROUND(Inventory[[#This Row],[25Det]],-2)</f>
        <v>2000</v>
      </c>
      <c r="BA1160" s="30">
        <f>ROUND(SUM(Inventory[[#This Row],[Mdl Qlty]:[Mdl Garage Area]])+Inventory[[#This Row],[Mdl Res Intercept]],-2)</f>
        <v>275500</v>
      </c>
      <c r="BB1160" s="30">
        <f>ROUND(Inventory[[#This Row],[Mdl Land Intercept]]+Inventory[[#This Row],[Mdl LnAcres]],-2)</f>
        <v>70700</v>
      </c>
      <c r="BC1160" s="30">
        <f>Inventory[[#This Row],[Unadj Res Value]]+Inventory[[#This Row],[Unadj Det Value]]+Inventory[[#This Row],[Unadj Land Value]]</f>
        <v>348200</v>
      </c>
      <c r="BD1160" s="30">
        <f>(Inventory[[#This Row],[Unadj Total Value]]-Inventory[[#This Row],[24Final]])/Inventory[[#This Row],[24Final]]</f>
        <v>0.14955430835259162</v>
      </c>
      <c r="BE1160" s="30">
        <f>VLOOKUP(Inventory[[#This Row],[Nbhd]],Lookups!$M$3:$P$5,4,FALSE)</f>
        <v>0.99970000000000003</v>
      </c>
      <c r="BF1160" s="30">
        <f>VLOOKUP(Inventory[[#This Row],[Qlty]],Lookups!$M$8:$P$22,4,FALSE)</f>
        <v>0.99199999999999999</v>
      </c>
      <c r="BG1160" s="30">
        <f>VLOOKUP(Inventory[[#This Row],[Cnd]],Lookups!$R$8:$U$17,4,FALSE)</f>
        <v>0.997</v>
      </c>
      <c r="BH1160" s="30">
        <f>VLOOKUP(Inventory[[#This Row],[LivArea Range]],Lookups!$R$25:$U$43,4,FALSE)</f>
        <v>0.99519999999999997</v>
      </c>
      <c r="BI1160" s="30">
        <f>VLOOKUP(Inventory[[#This Row],[Decade]],Lookups!$M$24:$P$40,4,FALSE)</f>
        <v>0.98519999999999996</v>
      </c>
      <c r="BJ1160" s="30">
        <f>Inventory[[#This Row],[Nbhd Adj]]*0.95</f>
        <v>0.94971499999999998</v>
      </c>
      <c r="BK1160" s="30">
        <f>AVERAGE(Inventory[[#This Row],[Nbhd Adj]],Inventory[[#This Row],[Quality Adj]],Inventory[[#This Row],[Condition Adj]],Inventory[[#This Row],[Living Area Adj]],Inventory[[#This Row],[Decade Adj]])*0.95</f>
        <v>0.944129</v>
      </c>
      <c r="BL1160" s="30">
        <f>ROUND((SUM(Inventory[[#This Row],[Mdl Qlty]:[Mdl Garage Area]])+Inventory[[#This Row],[Mdl Res Intercept]])*Inventory[[#This Row],[Res Adj ]],-2)</f>
        <v>260100</v>
      </c>
      <c r="BM1160" s="30">
        <f>ROUND(Inventory[[#This Row],[25Det]]*Inventory[[#This Row],[Det/Nbhd Adj]],-2)</f>
        <v>1900</v>
      </c>
      <c r="BN1160" s="30">
        <f>Inventory[[#This Row],[Adjusted Res]]+Inventory[[#This Row],[Adj Det ]]</f>
        <v>262000</v>
      </c>
      <c r="BO1160" s="30">
        <f>ROUND((Inventory[[#This Row],[Mdl Land Intercept]]+Inventory[[#This Row],[Mdl LnAcres]])*Inventory[[#This Row],[Det/Nbhd Adj]],-2)</f>
        <v>67100</v>
      </c>
      <c r="BP1160" s="30">
        <f>Inventory[[#This Row],[Adjusted Impr Total]]+Inventory[[#This Row],[Adjusted Land Total]]</f>
        <v>329100</v>
      </c>
      <c r="BQ1160" s="30">
        <f>IFERROR((Inventory[[#This Row],[Adjusted Impr Total]]-Inventory[[#This Row],[24Bldg]])/Inventory[[#This Row],[24Bldg]],0)</f>
        <v>0.1134721631959201</v>
      </c>
      <c r="BR1160" s="43">
        <f>(Inventory[[#This Row],[Adjusted Land Total]]-Inventory[[#This Row],[24Lnd]])/Inventory[[#This Row],[24Lnd]]</f>
        <v>-7.3964497041420114E-3</v>
      </c>
      <c r="BS1160" s="43">
        <f>(Inventory[[#This Row],[Adjusted Total]]-Inventory[[#This Row],[24Final]])/Inventory[[#This Row],[24Final]]</f>
        <v>8.6497193793331137E-2</v>
      </c>
    </row>
    <row r="1161" spans="1:71">
      <c r="A1161" s="30">
        <v>2025</v>
      </c>
      <c r="B1161" s="31" t="s">
        <v>1677</v>
      </c>
      <c r="C1161" s="36">
        <f>LN(Inventory[[#This Row],[Acres]])</f>
        <v>-1.3470736479666092</v>
      </c>
      <c r="D1161" s="38">
        <v>0.26</v>
      </c>
      <c r="E1161" s="30">
        <v>11309</v>
      </c>
      <c r="F1161" s="31" t="s">
        <v>505</v>
      </c>
      <c r="G1161" s="31" t="s">
        <v>155</v>
      </c>
      <c r="H1161" s="31" t="s">
        <v>5</v>
      </c>
      <c r="I1161" s="31" t="s">
        <v>506</v>
      </c>
      <c r="J1161" s="31" t="s">
        <v>507</v>
      </c>
      <c r="K1161" s="31" t="s">
        <v>193</v>
      </c>
      <c r="L1161" s="31" t="s">
        <v>19</v>
      </c>
      <c r="M1161" s="31" t="s">
        <v>20</v>
      </c>
      <c r="N1161" s="31">
        <v>50</v>
      </c>
      <c r="O1161" s="31">
        <f>2024-Inventory[[#This Row],[YrBlt]]</f>
        <v>50</v>
      </c>
      <c r="P1161" s="31">
        <f>2024-Inventory[[#This Row],[EffYr]]</f>
        <v>45</v>
      </c>
      <c r="Q1161" s="30">
        <v>1974</v>
      </c>
      <c r="R1161" s="30">
        <v>1979</v>
      </c>
      <c r="S1161" s="30">
        <v>1966</v>
      </c>
      <c r="T1161" s="32"/>
      <c r="U1161" s="32"/>
      <c r="V1161" s="32"/>
      <c r="W1161" s="32"/>
      <c r="X1161" s="32">
        <f>Inventory[[#This Row],[Bsmt Area]]-Inventory[[#This Row],[FnBsmt]]</f>
        <v>0</v>
      </c>
      <c r="Y1161" s="32">
        <f>Inventory[[#This Row],[MainFn]]+Inventory[[#This Row],[UpprFn]]+Inventory[[#This Row],[AddFn]]+Inventory[[#This Row],[FnBsmt]]</f>
        <v>1966</v>
      </c>
      <c r="Z1161" s="32">
        <v>2000</v>
      </c>
      <c r="AA1161" s="31" t="s">
        <v>56</v>
      </c>
      <c r="AB1161" s="32"/>
      <c r="AC1161" s="37"/>
      <c r="AD1161" s="32"/>
      <c r="AE1161" s="32"/>
      <c r="AF1161" s="32"/>
      <c r="AG1161" s="32"/>
      <c r="AH1161" s="32"/>
      <c r="AI1161" s="30">
        <v>347991</v>
      </c>
      <c r="AJ1161" s="30">
        <v>271433</v>
      </c>
      <c r="AK1161" s="30">
        <v>5373</v>
      </c>
      <c r="AL1161" s="30">
        <v>0</v>
      </c>
      <c r="AM1161" s="30">
        <v>67600</v>
      </c>
      <c r="AN1161" s="30">
        <v>274800</v>
      </c>
      <c r="AO1161" s="30">
        <v>342400</v>
      </c>
      <c r="AP1161" s="30">
        <f>Lookups!$B$58*0.6</f>
        <v>132535.48800000001</v>
      </c>
      <c r="AQ1161" s="30">
        <f>Lookups!$B$58*0.4</f>
        <v>88356.992000000013</v>
      </c>
      <c r="AR1161" s="30">
        <f>Lookups!$B$59*Inventory[[#This Row],[LnAcres]]</f>
        <v>-17679.426966554776</v>
      </c>
      <c r="AS1161" s="30">
        <f>VLOOKUP(Inventory[[#This Row],[Qlty]],Lookups!$A$66:$E$79,2,FALSE)</f>
        <v>37154.252388000001</v>
      </c>
      <c r="AT1161" s="30">
        <f>VLOOKUP(Inventory[[#This Row],[Cnd]],Lookups!$A$80:$E$88,2,FALSE)</f>
        <v>30300.329274</v>
      </c>
      <c r="AU1161" s="30">
        <f>Inventory[[#This Row],[EffAge]]*Lookups!$B$65</f>
        <v>-4893.3495000000003</v>
      </c>
      <c r="AV1161" s="30">
        <f>Inventory[[#This Row],[MainFn]]*Lookups!$B$90</f>
        <v>122698.80708000001</v>
      </c>
      <c r="AW1161" s="30">
        <f>Inventory[[#This Row],[UpprFn]]*Lookups!$B$91</f>
        <v>0</v>
      </c>
      <c r="AX1161" s="30">
        <f>Inventory[[#This Row],[Bsmt Area]]*Lookups!$B$95</f>
        <v>0</v>
      </c>
      <c r="AY1161" s="30">
        <f>Inventory[[#This Row],[AttGar]]*Lookups!$B$93</f>
        <v>0</v>
      </c>
      <c r="AZ1161" s="30">
        <f>ROUND(Inventory[[#This Row],[25Det]],-2)</f>
        <v>5400</v>
      </c>
      <c r="BA1161" s="30">
        <f>ROUND(SUM(Inventory[[#This Row],[Mdl Qlty]:[Mdl Garage Area]])+Inventory[[#This Row],[Mdl Res Intercept]],-2)</f>
        <v>317800</v>
      </c>
      <c r="BB1161" s="30">
        <f>ROUND(Inventory[[#This Row],[Mdl Land Intercept]]+Inventory[[#This Row],[Mdl LnAcres]],-2)</f>
        <v>70700</v>
      </c>
      <c r="BC1161" s="30">
        <f>Inventory[[#This Row],[Unadj Res Value]]+Inventory[[#This Row],[Unadj Det Value]]+Inventory[[#This Row],[Unadj Land Value]]</f>
        <v>393900</v>
      </c>
      <c r="BD1161" s="30">
        <f>(Inventory[[#This Row],[Unadj Total Value]]-Inventory[[#This Row],[24Final]])/Inventory[[#This Row],[24Final]]</f>
        <v>0.15040887850467291</v>
      </c>
      <c r="BE1161" s="30">
        <f>VLOOKUP(Inventory[[#This Row],[Nbhd]],Lookups!$M$3:$P$5,4,FALSE)</f>
        <v>0.99970000000000003</v>
      </c>
      <c r="BF1161" s="30">
        <f>VLOOKUP(Inventory[[#This Row],[Qlty]],Lookups!$M$8:$P$22,4,FALSE)</f>
        <v>0.99819999999999998</v>
      </c>
      <c r="BG1161" s="30">
        <f>VLOOKUP(Inventory[[#This Row],[Cnd]],Lookups!$R$8:$U$17,4,FALSE)</f>
        <v>0.997</v>
      </c>
      <c r="BH1161" s="30">
        <f>VLOOKUP(Inventory[[#This Row],[LivArea Range]],Lookups!$R$25:$U$43,4,FALSE)</f>
        <v>1.0007999999999999</v>
      </c>
      <c r="BI1161" s="30">
        <f>VLOOKUP(Inventory[[#This Row],[Decade]],Lookups!$M$24:$P$40,4,FALSE)</f>
        <v>0.98519999999999996</v>
      </c>
      <c r="BJ1161" s="30">
        <f>Inventory[[#This Row],[Nbhd Adj]]*0.95</f>
        <v>0.94971499999999998</v>
      </c>
      <c r="BK1161" s="30">
        <f>AVERAGE(Inventory[[#This Row],[Nbhd Adj]],Inventory[[#This Row],[Quality Adj]],Inventory[[#This Row],[Condition Adj]],Inventory[[#This Row],[Living Area Adj]],Inventory[[#This Row],[Decade Adj]])*0.95</f>
        <v>0.94637100000000007</v>
      </c>
      <c r="BL1161" s="30">
        <f>ROUND((SUM(Inventory[[#This Row],[Mdl Qlty]:[Mdl Garage Area]])+Inventory[[#This Row],[Mdl Res Intercept]])*Inventory[[#This Row],[Res Adj ]],-2)</f>
        <v>300800</v>
      </c>
      <c r="BM1161" s="30">
        <f>ROUND(Inventory[[#This Row],[25Det]]*Inventory[[#This Row],[Det/Nbhd Adj]],-2)</f>
        <v>5100</v>
      </c>
      <c r="BN1161" s="30">
        <f>Inventory[[#This Row],[Adjusted Res]]+Inventory[[#This Row],[Adj Det ]]</f>
        <v>305900</v>
      </c>
      <c r="BO1161" s="30">
        <f>ROUND((Inventory[[#This Row],[Mdl Land Intercept]]+Inventory[[#This Row],[Mdl LnAcres]])*Inventory[[#This Row],[Det/Nbhd Adj]],-2)</f>
        <v>67100</v>
      </c>
      <c r="BP1161" s="30">
        <f>Inventory[[#This Row],[Adjusted Impr Total]]+Inventory[[#This Row],[Adjusted Land Total]]</f>
        <v>373000</v>
      </c>
      <c r="BQ1161" s="30">
        <f>IFERROR((Inventory[[#This Row],[Adjusted Impr Total]]-Inventory[[#This Row],[24Bldg]])/Inventory[[#This Row],[24Bldg]],0)</f>
        <v>0.11317321688500728</v>
      </c>
      <c r="BR1161" s="43">
        <f>(Inventory[[#This Row],[Adjusted Land Total]]-Inventory[[#This Row],[24Lnd]])/Inventory[[#This Row],[24Lnd]]</f>
        <v>-7.3964497041420114E-3</v>
      </c>
      <c r="BS1161" s="43">
        <f>(Inventory[[#This Row],[Adjusted Total]]-Inventory[[#This Row],[24Final]])/Inventory[[#This Row],[24Final]]</f>
        <v>8.9369158878504676E-2</v>
      </c>
    </row>
    <row r="1162" spans="1:71">
      <c r="A1162" s="30">
        <v>2025</v>
      </c>
      <c r="B1162" s="31" t="s">
        <v>1678</v>
      </c>
      <c r="C1162" s="36">
        <f>LN(Inventory[[#This Row],[Acres]])</f>
        <v>-1.1086626245216111</v>
      </c>
      <c r="D1162" s="38">
        <v>0.33</v>
      </c>
      <c r="E1162" s="30">
        <v>14573</v>
      </c>
      <c r="F1162" s="31" t="s">
        <v>505</v>
      </c>
      <c r="G1162" s="31" t="s">
        <v>155</v>
      </c>
      <c r="H1162" s="31" t="s">
        <v>5</v>
      </c>
      <c r="I1162" s="31" t="s">
        <v>506</v>
      </c>
      <c r="J1162" s="31" t="s">
        <v>507</v>
      </c>
      <c r="K1162" s="31" t="s">
        <v>193</v>
      </c>
      <c r="L1162" s="31" t="s">
        <v>15</v>
      </c>
      <c r="M1162" s="31" t="s">
        <v>18</v>
      </c>
      <c r="N1162" s="31">
        <v>50</v>
      </c>
      <c r="O1162" s="31">
        <f>2024-Inventory[[#This Row],[YrBlt]]</f>
        <v>50</v>
      </c>
      <c r="P1162" s="31">
        <f>2024-Inventory[[#This Row],[EffYr]]</f>
        <v>45</v>
      </c>
      <c r="Q1162" s="30">
        <v>1974</v>
      </c>
      <c r="R1162" s="30">
        <v>1979</v>
      </c>
      <c r="S1162" s="30">
        <v>960</v>
      </c>
      <c r="T1162" s="32"/>
      <c r="U1162" s="32"/>
      <c r="V1162" s="32"/>
      <c r="W1162" s="32"/>
      <c r="X1162" s="32">
        <f>Inventory[[#This Row],[Bsmt Area]]-Inventory[[#This Row],[FnBsmt]]</f>
        <v>0</v>
      </c>
      <c r="Y1162" s="32">
        <f>Inventory[[#This Row],[MainFn]]+Inventory[[#This Row],[UpprFn]]+Inventory[[#This Row],[AddFn]]+Inventory[[#This Row],[FnBsmt]]</f>
        <v>960</v>
      </c>
      <c r="Z1162" s="32">
        <v>1000</v>
      </c>
      <c r="AA1162" s="31" t="s">
        <v>56</v>
      </c>
      <c r="AB1162" s="32"/>
      <c r="AC1162" s="37"/>
      <c r="AD1162" s="32"/>
      <c r="AE1162" s="32"/>
      <c r="AF1162" s="32"/>
      <c r="AG1162" s="32"/>
      <c r="AH1162" s="32"/>
      <c r="AI1162" s="30">
        <v>148452</v>
      </c>
      <c r="AJ1162" s="30">
        <v>114308</v>
      </c>
      <c r="AK1162" s="30">
        <v>0</v>
      </c>
      <c r="AL1162" s="30">
        <v>0</v>
      </c>
      <c r="AM1162" s="30">
        <v>71000</v>
      </c>
      <c r="AN1162" s="30">
        <v>184500</v>
      </c>
      <c r="AO1162" s="30">
        <v>255500</v>
      </c>
      <c r="AP1162" s="30">
        <f>Lookups!$B$58*0.6</f>
        <v>132535.48800000001</v>
      </c>
      <c r="AQ1162" s="30">
        <f>Lookups!$B$58*0.4</f>
        <v>88356.992000000013</v>
      </c>
      <c r="AR1162" s="30">
        <f>Lookups!$B$59*Inventory[[#This Row],[LnAcres]]</f>
        <v>-14550.444164924096</v>
      </c>
      <c r="AS1162" s="30">
        <f>VLOOKUP(Inventory[[#This Row],[Qlty]],Lookups!$A$66:$E$79,2,FALSE)</f>
        <v>-1240.8083630000001</v>
      </c>
      <c r="AT1162" s="30">
        <f>VLOOKUP(Inventory[[#This Row],[Cnd]],Lookups!$A$80:$E$88,2,FALSE)</f>
        <v>17761.121909000001</v>
      </c>
      <c r="AU1162" s="30">
        <f>Inventory[[#This Row],[EffAge]]*Lookups!$B$65</f>
        <v>-4893.3495000000003</v>
      </c>
      <c r="AV1162" s="30">
        <f>Inventory[[#This Row],[MainFn]]*Lookups!$B$90</f>
        <v>59913.964800000002</v>
      </c>
      <c r="AW1162" s="30">
        <f>Inventory[[#This Row],[UpprFn]]*Lookups!$B$91</f>
        <v>0</v>
      </c>
      <c r="AX1162" s="30">
        <f>Inventory[[#This Row],[Bsmt Area]]*Lookups!$B$95</f>
        <v>0</v>
      </c>
      <c r="AY1162" s="30">
        <f>Inventory[[#This Row],[AttGar]]*Lookups!$B$93</f>
        <v>0</v>
      </c>
      <c r="AZ1162" s="30">
        <f>ROUND(Inventory[[#This Row],[25Det]],-2)</f>
        <v>0</v>
      </c>
      <c r="BA1162" s="30">
        <f>ROUND(SUM(Inventory[[#This Row],[Mdl Qlty]:[Mdl Garage Area]])+Inventory[[#This Row],[Mdl Res Intercept]],-2)</f>
        <v>204100</v>
      </c>
      <c r="BB1162" s="30">
        <f>ROUND(Inventory[[#This Row],[Mdl Land Intercept]]+Inventory[[#This Row],[Mdl LnAcres]],-2)</f>
        <v>73800</v>
      </c>
      <c r="BC1162" s="30">
        <f>Inventory[[#This Row],[Unadj Res Value]]+Inventory[[#This Row],[Unadj Det Value]]+Inventory[[#This Row],[Unadj Land Value]]</f>
        <v>277900</v>
      </c>
      <c r="BD1162" s="30">
        <f>(Inventory[[#This Row],[Unadj Total Value]]-Inventory[[#This Row],[24Final]])/Inventory[[#This Row],[24Final]]</f>
        <v>8.7671232876712329E-2</v>
      </c>
      <c r="BE1162" s="30">
        <f>VLOOKUP(Inventory[[#This Row],[Nbhd]],Lookups!$M$3:$P$5,4,FALSE)</f>
        <v>0.99970000000000003</v>
      </c>
      <c r="BF1162" s="30">
        <f>VLOOKUP(Inventory[[#This Row],[Qlty]],Lookups!$M$8:$P$22,4,FALSE)</f>
        <v>1.0022</v>
      </c>
      <c r="BG1162" s="30">
        <f>VLOOKUP(Inventory[[#This Row],[Cnd]],Lookups!$R$8:$U$17,4,FALSE)</f>
        <v>0.99680000000000002</v>
      </c>
      <c r="BH1162" s="30">
        <f>VLOOKUP(Inventory[[#This Row],[LivArea Range]],Lookups!$R$25:$U$43,4,FALSE)</f>
        <v>1</v>
      </c>
      <c r="BI1162" s="30">
        <f>VLOOKUP(Inventory[[#This Row],[Decade]],Lookups!$M$24:$P$40,4,FALSE)</f>
        <v>0.98519999999999996</v>
      </c>
      <c r="BJ1162" s="30">
        <f>Inventory[[#This Row],[Nbhd Adj]]*0.95</f>
        <v>0.94971499999999998</v>
      </c>
      <c r="BK1162" s="30">
        <f>AVERAGE(Inventory[[#This Row],[Nbhd Adj]],Inventory[[#This Row],[Quality Adj]],Inventory[[#This Row],[Condition Adj]],Inventory[[#This Row],[Living Area Adj]],Inventory[[#This Row],[Decade Adj]])*0.95</f>
        <v>0.94694099999999992</v>
      </c>
      <c r="BL1162" s="30">
        <f>ROUND((SUM(Inventory[[#This Row],[Mdl Qlty]:[Mdl Garage Area]])+Inventory[[#This Row],[Mdl Res Intercept]])*Inventory[[#This Row],[Res Adj ]],-2)</f>
        <v>193200</v>
      </c>
      <c r="BM1162" s="30">
        <f>ROUND(Inventory[[#This Row],[25Det]]*Inventory[[#This Row],[Det/Nbhd Adj]],-2)</f>
        <v>0</v>
      </c>
      <c r="BN1162" s="30">
        <f>Inventory[[#This Row],[Adjusted Res]]+Inventory[[#This Row],[Adj Det ]]</f>
        <v>193200</v>
      </c>
      <c r="BO1162" s="30">
        <f>ROUND((Inventory[[#This Row],[Mdl Land Intercept]]+Inventory[[#This Row],[Mdl LnAcres]])*Inventory[[#This Row],[Det/Nbhd Adj]],-2)</f>
        <v>70100</v>
      </c>
      <c r="BP1162" s="30">
        <f>Inventory[[#This Row],[Adjusted Impr Total]]+Inventory[[#This Row],[Adjusted Land Total]]</f>
        <v>263300</v>
      </c>
      <c r="BQ1162" s="30">
        <f>IFERROR((Inventory[[#This Row],[Adjusted Impr Total]]-Inventory[[#This Row],[24Bldg]])/Inventory[[#This Row],[24Bldg]],0)</f>
        <v>4.715447154471545E-2</v>
      </c>
      <c r="BR1162" s="43">
        <f>(Inventory[[#This Row],[Adjusted Land Total]]-Inventory[[#This Row],[24Lnd]])/Inventory[[#This Row],[24Lnd]]</f>
        <v>-1.2676056338028169E-2</v>
      </c>
      <c r="BS1162" s="43">
        <f>(Inventory[[#This Row],[Adjusted Total]]-Inventory[[#This Row],[24Final]])/Inventory[[#This Row],[24Final]]</f>
        <v>3.0528375733855185E-2</v>
      </c>
    </row>
    <row r="1163" spans="1:71">
      <c r="A1163" s="30">
        <v>2025</v>
      </c>
      <c r="B1163" s="31" t="s">
        <v>1679</v>
      </c>
      <c r="C1163" s="36">
        <f>LN(Inventory[[#This Row],[Acres]])</f>
        <v>-1.0216512475319814</v>
      </c>
      <c r="D1163" s="38">
        <v>0.36</v>
      </c>
      <c r="E1163" s="30">
        <v>15603</v>
      </c>
      <c r="F1163" s="31" t="s">
        <v>505</v>
      </c>
      <c r="G1163" s="31" t="s">
        <v>155</v>
      </c>
      <c r="H1163" s="31" t="s">
        <v>5</v>
      </c>
      <c r="I1163" s="31" t="s">
        <v>506</v>
      </c>
      <c r="J1163" s="31" t="s">
        <v>507</v>
      </c>
      <c r="K1163" s="31" t="s">
        <v>193</v>
      </c>
      <c r="L1163" s="31" t="s">
        <v>13</v>
      </c>
      <c r="M1163" s="31" t="s">
        <v>18</v>
      </c>
      <c r="N1163" s="31">
        <v>50</v>
      </c>
      <c r="O1163" s="31">
        <f>2024-Inventory[[#This Row],[YrBlt]]</f>
        <v>50</v>
      </c>
      <c r="P1163" s="31">
        <f>2024-Inventory[[#This Row],[EffYr]]</f>
        <v>45</v>
      </c>
      <c r="Q1163" s="30">
        <v>1974</v>
      </c>
      <c r="R1163" s="30">
        <v>1979</v>
      </c>
      <c r="S1163" s="30">
        <v>1300</v>
      </c>
      <c r="T1163" s="37"/>
      <c r="U1163" s="32"/>
      <c r="V1163" s="32"/>
      <c r="W1163" s="32"/>
      <c r="X1163" s="32">
        <f>Inventory[[#This Row],[Bsmt Area]]-Inventory[[#This Row],[FnBsmt]]</f>
        <v>0</v>
      </c>
      <c r="Y1163" s="32">
        <f>Inventory[[#This Row],[MainFn]]+Inventory[[#This Row],[UpprFn]]+Inventory[[#This Row],[AddFn]]+Inventory[[#This Row],[FnBsmt]]</f>
        <v>1300</v>
      </c>
      <c r="Z1163" s="32">
        <v>1500</v>
      </c>
      <c r="AA1163" s="31" t="s">
        <v>56</v>
      </c>
      <c r="AB1163" s="32"/>
      <c r="AC1163" s="37"/>
      <c r="AD1163" s="32"/>
      <c r="AE1163" s="32"/>
      <c r="AF1163" s="32"/>
      <c r="AG1163" s="32"/>
      <c r="AH1163" s="32"/>
      <c r="AI1163" s="30">
        <v>178353</v>
      </c>
      <c r="AJ1163" s="30">
        <v>137332</v>
      </c>
      <c r="AK1163" s="30">
        <v>0</v>
      </c>
      <c r="AL1163" s="30">
        <v>0</v>
      </c>
      <c r="AM1163" s="30">
        <v>72200</v>
      </c>
      <c r="AN1163" s="30">
        <v>185100</v>
      </c>
      <c r="AO1163" s="30">
        <v>257300</v>
      </c>
      <c r="AP1163" s="30">
        <f>Lookups!$B$58*0.6</f>
        <v>132535.48800000001</v>
      </c>
      <c r="AQ1163" s="30">
        <f>Lookups!$B$58*0.4</f>
        <v>88356.992000000013</v>
      </c>
      <c r="AR1163" s="30">
        <f>Lookups!$B$59*Inventory[[#This Row],[LnAcres]]</f>
        <v>-13408.478922660182</v>
      </c>
      <c r="AS1163" s="30">
        <f>VLOOKUP(Inventory[[#This Row],[Qlty]],Lookups!$A$66:$E$79,2,FALSE)</f>
        <v>0</v>
      </c>
      <c r="AT1163" s="30">
        <f>VLOOKUP(Inventory[[#This Row],[Cnd]],Lookups!$A$80:$E$88,2,FALSE)</f>
        <v>17761.121909000001</v>
      </c>
      <c r="AU1163" s="30">
        <f>Inventory[[#This Row],[EffAge]]*Lookups!$B$65</f>
        <v>-4893.3495000000003</v>
      </c>
      <c r="AV1163" s="30">
        <f>Inventory[[#This Row],[MainFn]]*Lookups!$B$90</f>
        <v>81133.494000000006</v>
      </c>
      <c r="AW1163" s="30">
        <f>Inventory[[#This Row],[UpprFn]]*Lookups!$B$91</f>
        <v>0</v>
      </c>
      <c r="AX1163" s="30">
        <f>Inventory[[#This Row],[Bsmt Area]]*Lookups!$B$95</f>
        <v>0</v>
      </c>
      <c r="AY1163" s="30">
        <f>Inventory[[#This Row],[AttGar]]*Lookups!$B$93</f>
        <v>0</v>
      </c>
      <c r="AZ1163" s="30">
        <f>ROUND(Inventory[[#This Row],[25Det]],-2)</f>
        <v>0</v>
      </c>
      <c r="BA1163" s="30">
        <f>ROUND(SUM(Inventory[[#This Row],[Mdl Qlty]:[Mdl Garage Area]])+Inventory[[#This Row],[Mdl Res Intercept]],-2)</f>
        <v>226500</v>
      </c>
      <c r="BB1163" s="30">
        <f>ROUND(Inventory[[#This Row],[Mdl Land Intercept]]+Inventory[[#This Row],[Mdl LnAcres]],-2)</f>
        <v>74900</v>
      </c>
      <c r="BC1163" s="30">
        <f>Inventory[[#This Row],[Unadj Res Value]]+Inventory[[#This Row],[Unadj Det Value]]+Inventory[[#This Row],[Unadj Land Value]]</f>
        <v>301400</v>
      </c>
      <c r="BD1163" s="30">
        <f>(Inventory[[#This Row],[Unadj Total Value]]-Inventory[[#This Row],[24Final]])/Inventory[[#This Row],[24Final]]</f>
        <v>0.1713952584531675</v>
      </c>
      <c r="BE1163" s="30">
        <f>VLOOKUP(Inventory[[#This Row],[Nbhd]],Lookups!$M$3:$P$5,4,FALSE)</f>
        <v>0.99970000000000003</v>
      </c>
      <c r="BF1163" s="30">
        <f>VLOOKUP(Inventory[[#This Row],[Qlty]],Lookups!$M$8:$P$22,4,FALSE)</f>
        <v>1.0003</v>
      </c>
      <c r="BG1163" s="30">
        <f>VLOOKUP(Inventory[[#This Row],[Cnd]],Lookups!$R$8:$U$17,4,FALSE)</f>
        <v>0.99680000000000002</v>
      </c>
      <c r="BH1163" s="30">
        <f>VLOOKUP(Inventory[[#This Row],[LivArea Range]],Lookups!$R$25:$U$43,4,FALSE)</f>
        <v>0.99519999999999997</v>
      </c>
      <c r="BI1163" s="30">
        <f>VLOOKUP(Inventory[[#This Row],[Decade]],Lookups!$M$24:$P$40,4,FALSE)</f>
        <v>0.98519999999999996</v>
      </c>
      <c r="BJ1163" s="30">
        <f>Inventory[[#This Row],[Nbhd Adj]]*0.95</f>
        <v>0.94971499999999998</v>
      </c>
      <c r="BK1163" s="30">
        <f>AVERAGE(Inventory[[#This Row],[Nbhd Adj]],Inventory[[#This Row],[Quality Adj]],Inventory[[#This Row],[Condition Adj]],Inventory[[#This Row],[Living Area Adj]],Inventory[[#This Row],[Decade Adj]])*0.95</f>
        <v>0.94566799999999995</v>
      </c>
      <c r="BL1163" s="30">
        <f>ROUND((SUM(Inventory[[#This Row],[Mdl Qlty]:[Mdl Garage Area]])+Inventory[[#This Row],[Mdl Res Intercept]])*Inventory[[#This Row],[Res Adj ]],-2)</f>
        <v>214200</v>
      </c>
      <c r="BM1163" s="30">
        <f>ROUND(Inventory[[#This Row],[25Det]]*Inventory[[#This Row],[Det/Nbhd Adj]],-2)</f>
        <v>0</v>
      </c>
      <c r="BN1163" s="30">
        <f>Inventory[[#This Row],[Adjusted Res]]+Inventory[[#This Row],[Adj Det ]]</f>
        <v>214200</v>
      </c>
      <c r="BO1163" s="30">
        <f>ROUND((Inventory[[#This Row],[Mdl Land Intercept]]+Inventory[[#This Row],[Mdl LnAcres]])*Inventory[[#This Row],[Det/Nbhd Adj]],-2)</f>
        <v>71200</v>
      </c>
      <c r="BP1163" s="30">
        <f>Inventory[[#This Row],[Adjusted Impr Total]]+Inventory[[#This Row],[Adjusted Land Total]]</f>
        <v>285400</v>
      </c>
      <c r="BQ1163" s="30">
        <f>IFERROR((Inventory[[#This Row],[Adjusted Impr Total]]-Inventory[[#This Row],[24Bldg]])/Inventory[[#This Row],[24Bldg]],0)</f>
        <v>0.15721231766612642</v>
      </c>
      <c r="BR1163" s="43">
        <f>(Inventory[[#This Row],[Adjusted Land Total]]-Inventory[[#This Row],[24Lnd]])/Inventory[[#This Row],[24Lnd]]</f>
        <v>-1.3850415512465374E-2</v>
      </c>
      <c r="BS1163" s="43">
        <f>(Inventory[[#This Row],[Adjusted Total]]-Inventory[[#This Row],[24Final]])/Inventory[[#This Row],[24Final]]</f>
        <v>0.10921103769918383</v>
      </c>
    </row>
    <row r="1164" spans="1:71">
      <c r="A1164" s="30">
        <v>2025</v>
      </c>
      <c r="B1164" s="31" t="s">
        <v>1680</v>
      </c>
      <c r="C1164" s="36">
        <f>LN(Inventory[[#This Row],[Acres]])</f>
        <v>-0.79850769621777162</v>
      </c>
      <c r="D1164" s="38">
        <v>0.45</v>
      </c>
      <c r="E1164" s="30">
        <v>19694</v>
      </c>
      <c r="F1164" s="31" t="s">
        <v>505</v>
      </c>
      <c r="G1164" s="31" t="s">
        <v>155</v>
      </c>
      <c r="H1164" s="31" t="s">
        <v>5</v>
      </c>
      <c r="I1164" s="31" t="s">
        <v>506</v>
      </c>
      <c r="J1164" s="31" t="s">
        <v>507</v>
      </c>
      <c r="K1164" s="31" t="s">
        <v>193</v>
      </c>
      <c r="L1164" s="31" t="s">
        <v>17</v>
      </c>
      <c r="M1164" s="31" t="s">
        <v>18</v>
      </c>
      <c r="N1164" s="31">
        <v>50</v>
      </c>
      <c r="O1164" s="31">
        <f>2024-Inventory[[#This Row],[YrBlt]]</f>
        <v>50</v>
      </c>
      <c r="P1164" s="31">
        <f>2024-Inventory[[#This Row],[EffYr]]</f>
        <v>45</v>
      </c>
      <c r="Q1164" s="30">
        <v>1974</v>
      </c>
      <c r="R1164" s="30">
        <v>1979</v>
      </c>
      <c r="S1164" s="30">
        <v>1404</v>
      </c>
      <c r="T1164" s="32"/>
      <c r="U1164" s="32"/>
      <c r="V1164" s="32"/>
      <c r="W1164" s="32"/>
      <c r="X1164" s="32">
        <f>Inventory[[#This Row],[Bsmt Area]]-Inventory[[#This Row],[FnBsmt]]</f>
        <v>0</v>
      </c>
      <c r="Y1164" s="32">
        <f>Inventory[[#This Row],[MainFn]]+Inventory[[#This Row],[UpprFn]]+Inventory[[#This Row],[AddFn]]+Inventory[[#This Row],[FnBsmt]]</f>
        <v>1404</v>
      </c>
      <c r="Z1164" s="32">
        <v>1500</v>
      </c>
      <c r="AA1164" s="31" t="s">
        <v>56</v>
      </c>
      <c r="AB1164" s="37"/>
      <c r="AC1164" s="30">
        <v>714</v>
      </c>
      <c r="AD1164" s="32"/>
      <c r="AE1164" s="32"/>
      <c r="AF1164" s="32"/>
      <c r="AG1164" s="32"/>
      <c r="AH1164" s="32"/>
      <c r="AI1164" s="30">
        <v>262691</v>
      </c>
      <c r="AJ1164" s="30">
        <v>202272</v>
      </c>
      <c r="AK1164" s="30">
        <v>0</v>
      </c>
      <c r="AL1164" s="30">
        <v>0</v>
      </c>
      <c r="AM1164" s="30">
        <v>75300</v>
      </c>
      <c r="AN1164" s="30">
        <v>246100</v>
      </c>
      <c r="AO1164" s="30">
        <v>321400</v>
      </c>
      <c r="AP1164" s="30">
        <f>Lookups!$B$58*0.6</f>
        <v>132535.48800000001</v>
      </c>
      <c r="AQ1164" s="30">
        <f>Lookups!$B$58*0.4</f>
        <v>88356.992000000013</v>
      </c>
      <c r="AR1164" s="30">
        <f>Lookups!$B$59*Inventory[[#This Row],[LnAcres]]</f>
        <v>-10479.871326132521</v>
      </c>
      <c r="AS1164" s="30">
        <f>VLOOKUP(Inventory[[#This Row],[Qlty]],Lookups!$A$66:$E$79,2,FALSE)</f>
        <v>24371.765965999999</v>
      </c>
      <c r="AT1164" s="30">
        <f>VLOOKUP(Inventory[[#This Row],[Cnd]],Lookups!$A$80:$E$88,2,FALSE)</f>
        <v>17761.121909000001</v>
      </c>
      <c r="AU1164" s="30">
        <f>Inventory[[#This Row],[EffAge]]*Lookups!$B$65</f>
        <v>-4893.3495000000003</v>
      </c>
      <c r="AV1164" s="30">
        <f>Inventory[[#This Row],[MainFn]]*Lookups!$B$90</f>
        <v>87624.173520000011</v>
      </c>
      <c r="AW1164" s="30">
        <f>Inventory[[#This Row],[UpprFn]]*Lookups!$B$91</f>
        <v>0</v>
      </c>
      <c r="AX1164" s="30">
        <f>Inventory[[#This Row],[Bsmt Area]]*Lookups!$B$95</f>
        <v>0</v>
      </c>
      <c r="AY1164" s="30">
        <f>Inventory[[#This Row],[AttGar]]*Lookups!$B$93</f>
        <v>25204.936134</v>
      </c>
      <c r="AZ1164" s="30">
        <f>ROUND(Inventory[[#This Row],[25Det]],-2)</f>
        <v>0</v>
      </c>
      <c r="BA1164" s="30">
        <f>ROUND(SUM(Inventory[[#This Row],[Mdl Qlty]:[Mdl Garage Area]])+Inventory[[#This Row],[Mdl Res Intercept]],-2)</f>
        <v>282600</v>
      </c>
      <c r="BB1164" s="30">
        <f>ROUND(Inventory[[#This Row],[Mdl Land Intercept]]+Inventory[[#This Row],[Mdl LnAcres]],-2)</f>
        <v>77900</v>
      </c>
      <c r="BC1164" s="30">
        <f>Inventory[[#This Row],[Unadj Res Value]]+Inventory[[#This Row],[Unadj Det Value]]+Inventory[[#This Row],[Unadj Land Value]]</f>
        <v>360500</v>
      </c>
      <c r="BD1164" s="30">
        <f>(Inventory[[#This Row],[Unadj Total Value]]-Inventory[[#This Row],[24Final]])/Inventory[[#This Row],[24Final]]</f>
        <v>0.12165525824517735</v>
      </c>
      <c r="BE1164" s="30">
        <f>VLOOKUP(Inventory[[#This Row],[Nbhd]],Lookups!$M$3:$P$5,4,FALSE)</f>
        <v>0.99970000000000003</v>
      </c>
      <c r="BF1164" s="30">
        <f>VLOOKUP(Inventory[[#This Row],[Qlty]],Lookups!$M$8:$P$22,4,FALSE)</f>
        <v>0.99199999999999999</v>
      </c>
      <c r="BG1164" s="30">
        <f>VLOOKUP(Inventory[[#This Row],[Cnd]],Lookups!$R$8:$U$17,4,FALSE)</f>
        <v>0.99680000000000002</v>
      </c>
      <c r="BH1164" s="30">
        <f>VLOOKUP(Inventory[[#This Row],[LivArea Range]],Lookups!$R$25:$U$43,4,FALSE)</f>
        <v>0.99519999999999997</v>
      </c>
      <c r="BI1164" s="30">
        <f>VLOOKUP(Inventory[[#This Row],[Decade]],Lookups!$M$24:$P$40,4,FALSE)</f>
        <v>0.98519999999999996</v>
      </c>
      <c r="BJ1164" s="30">
        <f>Inventory[[#This Row],[Nbhd Adj]]*0.95</f>
        <v>0.94971499999999998</v>
      </c>
      <c r="BK1164" s="30">
        <f>AVERAGE(Inventory[[#This Row],[Nbhd Adj]],Inventory[[#This Row],[Quality Adj]],Inventory[[#This Row],[Condition Adj]],Inventory[[#This Row],[Living Area Adj]],Inventory[[#This Row],[Decade Adj]])*0.95</f>
        <v>0.94409100000000001</v>
      </c>
      <c r="BL1164" s="30">
        <f>ROUND((SUM(Inventory[[#This Row],[Mdl Qlty]:[Mdl Garage Area]])+Inventory[[#This Row],[Mdl Res Intercept]])*Inventory[[#This Row],[Res Adj ]],-2)</f>
        <v>266800</v>
      </c>
      <c r="BM1164" s="30">
        <f>ROUND(Inventory[[#This Row],[25Det]]*Inventory[[#This Row],[Det/Nbhd Adj]],-2)</f>
        <v>0</v>
      </c>
      <c r="BN1164" s="30">
        <f>Inventory[[#This Row],[Adjusted Res]]+Inventory[[#This Row],[Adj Det ]]</f>
        <v>266800</v>
      </c>
      <c r="BO1164" s="30">
        <f>ROUND((Inventory[[#This Row],[Mdl Land Intercept]]+Inventory[[#This Row],[Mdl LnAcres]])*Inventory[[#This Row],[Det/Nbhd Adj]],-2)</f>
        <v>74000</v>
      </c>
      <c r="BP1164" s="30">
        <f>Inventory[[#This Row],[Adjusted Impr Total]]+Inventory[[#This Row],[Adjusted Land Total]]</f>
        <v>340800</v>
      </c>
      <c r="BQ1164" s="30">
        <f>IFERROR((Inventory[[#This Row],[Adjusted Impr Total]]-Inventory[[#This Row],[24Bldg]])/Inventory[[#This Row],[24Bldg]],0)</f>
        <v>8.4112149532710276E-2</v>
      </c>
      <c r="BR1164" s="43">
        <f>(Inventory[[#This Row],[Adjusted Land Total]]-Inventory[[#This Row],[24Lnd]])/Inventory[[#This Row],[24Lnd]]</f>
        <v>-1.7264276228419653E-2</v>
      </c>
      <c r="BS1164" s="43">
        <f>(Inventory[[#This Row],[Adjusted Total]]-Inventory[[#This Row],[24Final]])/Inventory[[#This Row],[24Final]]</f>
        <v>6.0360920970752956E-2</v>
      </c>
    </row>
    <row r="1165" spans="1:71">
      <c r="A1165" s="30">
        <v>2025</v>
      </c>
      <c r="B1165" s="31" t="s">
        <v>1681</v>
      </c>
      <c r="C1165" s="36">
        <f>LN(Inventory[[#This Row],[Acres]])</f>
        <v>-1.6607312068216509</v>
      </c>
      <c r="D1165" s="38">
        <v>0.19</v>
      </c>
      <c r="E1165" s="30">
        <v>8124</v>
      </c>
      <c r="F1165" s="31" t="s">
        <v>505</v>
      </c>
      <c r="G1165" s="31" t="s">
        <v>155</v>
      </c>
      <c r="H1165" s="31" t="s">
        <v>5</v>
      </c>
      <c r="I1165" s="31" t="s">
        <v>506</v>
      </c>
      <c r="J1165" s="31" t="s">
        <v>507</v>
      </c>
      <c r="K1165" s="31" t="s">
        <v>193</v>
      </c>
      <c r="L1165" s="31" t="s">
        <v>19</v>
      </c>
      <c r="M1165" s="31" t="s">
        <v>20</v>
      </c>
      <c r="N1165" s="31">
        <v>50</v>
      </c>
      <c r="O1165" s="31">
        <f>2024-Inventory[[#This Row],[YrBlt]]</f>
        <v>51</v>
      </c>
      <c r="P1165" s="31">
        <f>2024-Inventory[[#This Row],[EffYr]]</f>
        <v>46</v>
      </c>
      <c r="Q1165" s="30">
        <v>1973</v>
      </c>
      <c r="R1165" s="30">
        <v>1978</v>
      </c>
      <c r="S1165" s="30">
        <v>1920</v>
      </c>
      <c r="T1165" s="37"/>
      <c r="U1165" s="32"/>
      <c r="V1165" s="32"/>
      <c r="W1165" s="32"/>
      <c r="X1165" s="32">
        <f>Inventory[[#This Row],[Bsmt Area]]-Inventory[[#This Row],[FnBsmt]]</f>
        <v>0</v>
      </c>
      <c r="Y1165" s="32">
        <f>Inventory[[#This Row],[MainFn]]+Inventory[[#This Row],[UpprFn]]+Inventory[[#This Row],[AddFn]]+Inventory[[#This Row],[FnBsmt]]</f>
        <v>1920</v>
      </c>
      <c r="Z1165" s="32">
        <v>2000</v>
      </c>
      <c r="AA1165" s="31" t="s">
        <v>56</v>
      </c>
      <c r="AB1165" s="32"/>
      <c r="AC1165" s="30">
        <v>288</v>
      </c>
      <c r="AD1165" s="32"/>
      <c r="AE1165" s="32"/>
      <c r="AF1165" s="32"/>
      <c r="AG1165" s="32"/>
      <c r="AH1165" s="32"/>
      <c r="AI1165" s="30">
        <v>370384</v>
      </c>
      <c r="AJ1165" s="30">
        <v>285196</v>
      </c>
      <c r="AK1165" s="30">
        <v>3510</v>
      </c>
      <c r="AL1165" s="30">
        <v>0</v>
      </c>
      <c r="AM1165" s="30">
        <v>63200</v>
      </c>
      <c r="AN1165" s="30">
        <v>288600</v>
      </c>
      <c r="AO1165" s="30">
        <v>351800</v>
      </c>
      <c r="AP1165" s="30">
        <f>Lookups!$B$58*0.6</f>
        <v>132535.48800000001</v>
      </c>
      <c r="AQ1165" s="30">
        <f>Lookups!$B$58*0.4</f>
        <v>88356.992000000013</v>
      </c>
      <c r="AR1165" s="30">
        <f>Lookups!$B$59*Inventory[[#This Row],[LnAcres]]</f>
        <v>-21795.969453044734</v>
      </c>
      <c r="AS1165" s="30">
        <f>VLOOKUP(Inventory[[#This Row],[Qlty]],Lookups!$A$66:$E$79,2,FALSE)</f>
        <v>37154.252388000001</v>
      </c>
      <c r="AT1165" s="30">
        <f>VLOOKUP(Inventory[[#This Row],[Cnd]],Lookups!$A$80:$E$88,2,FALSE)</f>
        <v>30300.329274</v>
      </c>
      <c r="AU1165" s="30">
        <f>Inventory[[#This Row],[EffAge]]*Lookups!$B$65</f>
        <v>-5002.0906000000004</v>
      </c>
      <c r="AV1165" s="30">
        <f>Inventory[[#This Row],[MainFn]]*Lookups!$B$90</f>
        <v>119827.9296</v>
      </c>
      <c r="AW1165" s="30">
        <f>Inventory[[#This Row],[UpprFn]]*Lookups!$B$91</f>
        <v>0</v>
      </c>
      <c r="AX1165" s="30">
        <f>Inventory[[#This Row],[Bsmt Area]]*Lookups!$B$95</f>
        <v>0</v>
      </c>
      <c r="AY1165" s="30">
        <f>Inventory[[#This Row],[AttGar]]*Lookups!$B$93</f>
        <v>10166.696928000001</v>
      </c>
      <c r="AZ1165" s="30">
        <f>ROUND(Inventory[[#This Row],[25Det]],-2)</f>
        <v>3500</v>
      </c>
      <c r="BA1165" s="30">
        <f>ROUND(SUM(Inventory[[#This Row],[Mdl Qlty]:[Mdl Garage Area]])+Inventory[[#This Row],[Mdl Res Intercept]],-2)</f>
        <v>325000</v>
      </c>
      <c r="BB1165" s="30">
        <f>ROUND(Inventory[[#This Row],[Mdl Land Intercept]]+Inventory[[#This Row],[Mdl LnAcres]],-2)</f>
        <v>66600</v>
      </c>
      <c r="BC1165" s="30">
        <f>Inventory[[#This Row],[Unadj Res Value]]+Inventory[[#This Row],[Unadj Det Value]]+Inventory[[#This Row],[Unadj Land Value]]</f>
        <v>395100</v>
      </c>
      <c r="BD1165" s="30">
        <f>(Inventory[[#This Row],[Unadj Total Value]]-Inventory[[#This Row],[24Final]])/Inventory[[#This Row],[24Final]]</f>
        <v>0.12308129619101763</v>
      </c>
      <c r="BE1165" s="30">
        <f>VLOOKUP(Inventory[[#This Row],[Nbhd]],Lookups!$M$3:$P$5,4,FALSE)</f>
        <v>0.99970000000000003</v>
      </c>
      <c r="BF1165" s="30">
        <f>VLOOKUP(Inventory[[#This Row],[Qlty]],Lookups!$M$8:$P$22,4,FALSE)</f>
        <v>0.99819999999999998</v>
      </c>
      <c r="BG1165" s="30">
        <f>VLOOKUP(Inventory[[#This Row],[Cnd]],Lookups!$R$8:$U$17,4,FALSE)</f>
        <v>0.997</v>
      </c>
      <c r="BH1165" s="30">
        <f>VLOOKUP(Inventory[[#This Row],[LivArea Range]],Lookups!$R$25:$U$43,4,FALSE)</f>
        <v>1.0007999999999999</v>
      </c>
      <c r="BI1165" s="30">
        <f>VLOOKUP(Inventory[[#This Row],[Decade]],Lookups!$M$24:$P$40,4,FALSE)</f>
        <v>0.98519999999999996</v>
      </c>
      <c r="BJ1165" s="30">
        <f>Inventory[[#This Row],[Nbhd Adj]]*0.95</f>
        <v>0.94971499999999998</v>
      </c>
      <c r="BK1165" s="30">
        <f>AVERAGE(Inventory[[#This Row],[Nbhd Adj]],Inventory[[#This Row],[Quality Adj]],Inventory[[#This Row],[Condition Adj]],Inventory[[#This Row],[Living Area Adj]],Inventory[[#This Row],[Decade Adj]])*0.95</f>
        <v>0.94637100000000007</v>
      </c>
      <c r="BL1165" s="30">
        <f>ROUND((SUM(Inventory[[#This Row],[Mdl Qlty]:[Mdl Garage Area]])+Inventory[[#This Row],[Mdl Res Intercept]])*Inventory[[#This Row],[Res Adj ]],-2)</f>
        <v>307600</v>
      </c>
      <c r="BM1165" s="30">
        <f>ROUND(Inventory[[#This Row],[25Det]]*Inventory[[#This Row],[Det/Nbhd Adj]],-2)</f>
        <v>3300</v>
      </c>
      <c r="BN1165" s="30">
        <f>Inventory[[#This Row],[Adjusted Res]]+Inventory[[#This Row],[Adj Det ]]</f>
        <v>310900</v>
      </c>
      <c r="BO1165" s="30">
        <f>ROUND((Inventory[[#This Row],[Mdl Land Intercept]]+Inventory[[#This Row],[Mdl LnAcres]])*Inventory[[#This Row],[Det/Nbhd Adj]],-2)</f>
        <v>63200</v>
      </c>
      <c r="BP1165" s="30">
        <f>Inventory[[#This Row],[Adjusted Impr Total]]+Inventory[[#This Row],[Adjusted Land Total]]</f>
        <v>374100</v>
      </c>
      <c r="BQ1165" s="30">
        <f>IFERROR((Inventory[[#This Row],[Adjusted Impr Total]]-Inventory[[#This Row],[24Bldg]])/Inventory[[#This Row],[24Bldg]],0)</f>
        <v>7.7269577269577269E-2</v>
      </c>
      <c r="BR1165" s="43">
        <f>(Inventory[[#This Row],[Adjusted Land Total]]-Inventory[[#This Row],[24Lnd]])/Inventory[[#This Row],[24Lnd]]</f>
        <v>0</v>
      </c>
      <c r="BS1165" s="43">
        <f>(Inventory[[#This Row],[Adjusted Total]]-Inventory[[#This Row],[24Final]])/Inventory[[#This Row],[24Final]]</f>
        <v>6.3388288800454801E-2</v>
      </c>
    </row>
    <row r="1166" spans="1:71">
      <c r="A1166" s="30">
        <v>2025</v>
      </c>
      <c r="B1166" s="31" t="s">
        <v>1682</v>
      </c>
      <c r="C1166" s="36">
        <f>LN(Inventory[[#This Row],[Acres]])</f>
        <v>-1.5141277326297755</v>
      </c>
      <c r="D1166" s="38">
        <v>0.22</v>
      </c>
      <c r="E1166" s="30">
        <v>9535</v>
      </c>
      <c r="F1166" s="31" t="s">
        <v>505</v>
      </c>
      <c r="G1166" s="31" t="s">
        <v>155</v>
      </c>
      <c r="H1166" s="31" t="s">
        <v>5</v>
      </c>
      <c r="I1166" s="31" t="s">
        <v>506</v>
      </c>
      <c r="J1166" s="31" t="s">
        <v>507</v>
      </c>
      <c r="K1166" s="31" t="s">
        <v>193</v>
      </c>
      <c r="L1166" s="31" t="s">
        <v>15</v>
      </c>
      <c r="M1166" s="31" t="s">
        <v>18</v>
      </c>
      <c r="N1166" s="31">
        <v>50</v>
      </c>
      <c r="O1166" s="31">
        <f>2024-Inventory[[#This Row],[YrBlt]]</f>
        <v>51</v>
      </c>
      <c r="P1166" s="31">
        <f>2024-Inventory[[#This Row],[EffYr]]</f>
        <v>46</v>
      </c>
      <c r="Q1166" s="30">
        <v>1973</v>
      </c>
      <c r="R1166" s="30">
        <v>1978</v>
      </c>
      <c r="S1166" s="30">
        <v>1050</v>
      </c>
      <c r="T1166" s="32"/>
      <c r="U1166" s="32"/>
      <c r="V1166" s="32"/>
      <c r="W1166" s="32"/>
      <c r="X1166" s="32">
        <f>Inventory[[#This Row],[Bsmt Area]]-Inventory[[#This Row],[FnBsmt]]</f>
        <v>0</v>
      </c>
      <c r="Y1166" s="32">
        <f>Inventory[[#This Row],[MainFn]]+Inventory[[#This Row],[UpprFn]]+Inventory[[#This Row],[AddFn]]+Inventory[[#This Row],[FnBsmt]]</f>
        <v>1050</v>
      </c>
      <c r="Z1166" s="32">
        <v>1500</v>
      </c>
      <c r="AA1166" s="31" t="s">
        <v>56</v>
      </c>
      <c r="AB1166" s="32"/>
      <c r="AC1166" s="30">
        <v>300</v>
      </c>
      <c r="AD1166" s="32"/>
      <c r="AE1166" s="32"/>
      <c r="AF1166" s="32"/>
      <c r="AG1166" s="32"/>
      <c r="AH1166" s="32"/>
      <c r="AI1166" s="30">
        <v>172506</v>
      </c>
      <c r="AJ1166" s="30">
        <v>131105</v>
      </c>
      <c r="AK1166" s="30">
        <v>0</v>
      </c>
      <c r="AL1166" s="30">
        <v>0</v>
      </c>
      <c r="AM1166" s="30">
        <v>65300</v>
      </c>
      <c r="AN1166" s="30">
        <v>196800</v>
      </c>
      <c r="AO1166" s="30">
        <v>262100</v>
      </c>
      <c r="AP1166" s="30">
        <f>Lookups!$B$58*0.6</f>
        <v>132535.48800000001</v>
      </c>
      <c r="AQ1166" s="30">
        <f>Lookups!$B$58*0.4</f>
        <v>88356.992000000013</v>
      </c>
      <c r="AR1166" s="30">
        <f>Lookups!$B$59*Inventory[[#This Row],[LnAcres]]</f>
        <v>-19871.898398035348</v>
      </c>
      <c r="AS1166" s="30">
        <f>VLOOKUP(Inventory[[#This Row],[Qlty]],Lookups!$A$66:$E$79,2,FALSE)</f>
        <v>-1240.8083630000001</v>
      </c>
      <c r="AT1166" s="30">
        <f>VLOOKUP(Inventory[[#This Row],[Cnd]],Lookups!$A$80:$E$88,2,FALSE)</f>
        <v>17761.121909000001</v>
      </c>
      <c r="AU1166" s="30">
        <f>Inventory[[#This Row],[EffAge]]*Lookups!$B$65</f>
        <v>-5002.0906000000004</v>
      </c>
      <c r="AV1166" s="30">
        <f>Inventory[[#This Row],[MainFn]]*Lookups!$B$90</f>
        <v>65530.899000000005</v>
      </c>
      <c r="AW1166" s="30">
        <f>Inventory[[#This Row],[UpprFn]]*Lookups!$B$91</f>
        <v>0</v>
      </c>
      <c r="AX1166" s="30">
        <f>Inventory[[#This Row],[Bsmt Area]]*Lookups!$B$95</f>
        <v>0</v>
      </c>
      <c r="AY1166" s="30">
        <f>Inventory[[#This Row],[AttGar]]*Lookups!$B$93</f>
        <v>10590.309300000001</v>
      </c>
      <c r="AZ1166" s="30">
        <f>ROUND(Inventory[[#This Row],[25Det]],-2)</f>
        <v>0</v>
      </c>
      <c r="BA1166" s="30">
        <f>ROUND(SUM(Inventory[[#This Row],[Mdl Qlty]:[Mdl Garage Area]])+Inventory[[#This Row],[Mdl Res Intercept]],-2)</f>
        <v>220200</v>
      </c>
      <c r="BB1166" s="30">
        <f>ROUND(Inventory[[#This Row],[Mdl Land Intercept]]+Inventory[[#This Row],[Mdl LnAcres]],-2)</f>
        <v>68500</v>
      </c>
      <c r="BC1166" s="30">
        <f>Inventory[[#This Row],[Unadj Res Value]]+Inventory[[#This Row],[Unadj Det Value]]+Inventory[[#This Row],[Unadj Land Value]]</f>
        <v>288700</v>
      </c>
      <c r="BD1166" s="30">
        <f>(Inventory[[#This Row],[Unadj Total Value]]-Inventory[[#This Row],[24Final]])/Inventory[[#This Row],[24Final]]</f>
        <v>0.10148798168637925</v>
      </c>
      <c r="BE1166" s="30">
        <f>VLOOKUP(Inventory[[#This Row],[Nbhd]],Lookups!$M$3:$P$5,4,FALSE)</f>
        <v>0.99970000000000003</v>
      </c>
      <c r="BF1166" s="30">
        <f>VLOOKUP(Inventory[[#This Row],[Qlty]],Lookups!$M$8:$P$22,4,FALSE)</f>
        <v>1.0022</v>
      </c>
      <c r="BG1166" s="30">
        <f>VLOOKUP(Inventory[[#This Row],[Cnd]],Lookups!$R$8:$U$17,4,FALSE)</f>
        <v>0.99680000000000002</v>
      </c>
      <c r="BH1166" s="30">
        <f>VLOOKUP(Inventory[[#This Row],[LivArea Range]],Lookups!$R$25:$U$43,4,FALSE)</f>
        <v>0.99519999999999997</v>
      </c>
      <c r="BI1166" s="30">
        <f>VLOOKUP(Inventory[[#This Row],[Decade]],Lookups!$M$24:$P$40,4,FALSE)</f>
        <v>0.98519999999999996</v>
      </c>
      <c r="BJ1166" s="30">
        <f>Inventory[[#This Row],[Nbhd Adj]]*0.95</f>
        <v>0.94971499999999998</v>
      </c>
      <c r="BK1166" s="30">
        <f>AVERAGE(Inventory[[#This Row],[Nbhd Adj]],Inventory[[#This Row],[Quality Adj]],Inventory[[#This Row],[Condition Adj]],Inventory[[#This Row],[Living Area Adj]],Inventory[[#This Row],[Decade Adj]])*0.95</f>
        <v>0.9460289999999999</v>
      </c>
      <c r="BL1166" s="30">
        <f>ROUND((SUM(Inventory[[#This Row],[Mdl Qlty]:[Mdl Garage Area]])+Inventory[[#This Row],[Mdl Res Intercept]])*Inventory[[#This Row],[Res Adj ]],-2)</f>
        <v>208300</v>
      </c>
      <c r="BM1166" s="30">
        <f>ROUND(Inventory[[#This Row],[25Det]]*Inventory[[#This Row],[Det/Nbhd Adj]],-2)</f>
        <v>0</v>
      </c>
      <c r="BN1166" s="30">
        <f>Inventory[[#This Row],[Adjusted Res]]+Inventory[[#This Row],[Adj Det ]]</f>
        <v>208300</v>
      </c>
      <c r="BO1166" s="30">
        <f>ROUND((Inventory[[#This Row],[Mdl Land Intercept]]+Inventory[[#This Row],[Mdl LnAcres]])*Inventory[[#This Row],[Det/Nbhd Adj]],-2)</f>
        <v>65000</v>
      </c>
      <c r="BP1166" s="30">
        <f>Inventory[[#This Row],[Adjusted Impr Total]]+Inventory[[#This Row],[Adjusted Land Total]]</f>
        <v>273300</v>
      </c>
      <c r="BQ1166" s="30">
        <f>IFERROR((Inventory[[#This Row],[Adjusted Impr Total]]-Inventory[[#This Row],[24Bldg]])/Inventory[[#This Row],[24Bldg]],0)</f>
        <v>5.8434959349593495E-2</v>
      </c>
      <c r="BR1166" s="43">
        <f>(Inventory[[#This Row],[Adjusted Land Total]]-Inventory[[#This Row],[24Lnd]])/Inventory[[#This Row],[24Lnd]]</f>
        <v>-4.5941807044410417E-3</v>
      </c>
      <c r="BS1166" s="43">
        <f>(Inventory[[#This Row],[Adjusted Total]]-Inventory[[#This Row],[24Final]])/Inventory[[#This Row],[24Final]]</f>
        <v>4.2731781762686001E-2</v>
      </c>
    </row>
    <row r="1167" spans="1:71">
      <c r="A1167" s="30">
        <v>2025</v>
      </c>
      <c r="B1167" s="31" t="s">
        <v>1683</v>
      </c>
      <c r="C1167" s="36">
        <f>LN(Inventory[[#This Row],[Acres]])</f>
        <v>-1.5141277326297755</v>
      </c>
      <c r="D1167" s="38">
        <v>0.22</v>
      </c>
      <c r="E1167" s="30">
        <v>9670</v>
      </c>
      <c r="F1167" s="31" t="s">
        <v>505</v>
      </c>
      <c r="G1167" s="31" t="s">
        <v>155</v>
      </c>
      <c r="H1167" s="31" t="s">
        <v>5</v>
      </c>
      <c r="I1167" s="31" t="s">
        <v>506</v>
      </c>
      <c r="J1167" s="31" t="s">
        <v>507</v>
      </c>
      <c r="K1167" s="31" t="s">
        <v>193</v>
      </c>
      <c r="L1167" s="31" t="s">
        <v>17</v>
      </c>
      <c r="M1167" s="31" t="s">
        <v>18</v>
      </c>
      <c r="N1167" s="31">
        <v>50</v>
      </c>
      <c r="O1167" s="31">
        <f>2024-Inventory[[#This Row],[YrBlt]]</f>
        <v>51</v>
      </c>
      <c r="P1167" s="31">
        <f>2024-Inventory[[#This Row],[EffYr]]</f>
        <v>46</v>
      </c>
      <c r="Q1167" s="30">
        <v>1973</v>
      </c>
      <c r="R1167" s="30">
        <v>1978</v>
      </c>
      <c r="S1167" s="30">
        <v>1323</v>
      </c>
      <c r="T1167" s="32"/>
      <c r="U1167" s="32"/>
      <c r="V1167" s="32"/>
      <c r="W1167" s="32"/>
      <c r="X1167" s="32">
        <f>Inventory[[#This Row],[Bsmt Area]]-Inventory[[#This Row],[FnBsmt]]</f>
        <v>0</v>
      </c>
      <c r="Y1167" s="32">
        <f>Inventory[[#This Row],[MainFn]]+Inventory[[#This Row],[UpprFn]]+Inventory[[#This Row],[AddFn]]+Inventory[[#This Row],[FnBsmt]]</f>
        <v>1323</v>
      </c>
      <c r="Z1167" s="32">
        <v>1500</v>
      </c>
      <c r="AA1167" s="31" t="s">
        <v>56</v>
      </c>
      <c r="AB1167" s="32"/>
      <c r="AC1167" s="30">
        <v>336</v>
      </c>
      <c r="AD1167" s="32"/>
      <c r="AE1167" s="32"/>
      <c r="AF1167" s="32"/>
      <c r="AG1167" s="32"/>
      <c r="AH1167" s="32"/>
      <c r="AI1167" s="30">
        <v>223796</v>
      </c>
      <c r="AJ1167" s="30">
        <v>170085</v>
      </c>
      <c r="AK1167" s="30">
        <v>0</v>
      </c>
      <c r="AL1167" s="30">
        <v>0</v>
      </c>
      <c r="AM1167" s="30">
        <v>65300</v>
      </c>
      <c r="AN1167" s="30">
        <v>223700</v>
      </c>
      <c r="AO1167" s="30">
        <v>289000</v>
      </c>
      <c r="AP1167" s="30">
        <f>Lookups!$B$58*0.6</f>
        <v>132535.48800000001</v>
      </c>
      <c r="AQ1167" s="30">
        <f>Lookups!$B$58*0.4</f>
        <v>88356.992000000013</v>
      </c>
      <c r="AR1167" s="30">
        <f>Lookups!$B$59*Inventory[[#This Row],[LnAcres]]</f>
        <v>-19871.898398035348</v>
      </c>
      <c r="AS1167" s="30">
        <f>VLOOKUP(Inventory[[#This Row],[Qlty]],Lookups!$A$66:$E$79,2,FALSE)</f>
        <v>24371.765965999999</v>
      </c>
      <c r="AT1167" s="30">
        <f>VLOOKUP(Inventory[[#This Row],[Cnd]],Lookups!$A$80:$E$88,2,FALSE)</f>
        <v>17761.121909000001</v>
      </c>
      <c r="AU1167" s="30">
        <f>Inventory[[#This Row],[EffAge]]*Lookups!$B$65</f>
        <v>-5002.0906000000004</v>
      </c>
      <c r="AV1167" s="30">
        <f>Inventory[[#This Row],[MainFn]]*Lookups!$B$90</f>
        <v>82568.932740000004</v>
      </c>
      <c r="AW1167" s="30">
        <f>Inventory[[#This Row],[UpprFn]]*Lookups!$B$91</f>
        <v>0</v>
      </c>
      <c r="AX1167" s="30">
        <f>Inventory[[#This Row],[Bsmt Area]]*Lookups!$B$95</f>
        <v>0</v>
      </c>
      <c r="AY1167" s="30">
        <f>Inventory[[#This Row],[AttGar]]*Lookups!$B$93</f>
        <v>11861.146416000001</v>
      </c>
      <c r="AZ1167" s="30">
        <f>ROUND(Inventory[[#This Row],[25Det]],-2)</f>
        <v>0</v>
      </c>
      <c r="BA1167" s="30">
        <f>ROUND(SUM(Inventory[[#This Row],[Mdl Qlty]:[Mdl Garage Area]])+Inventory[[#This Row],[Mdl Res Intercept]],-2)</f>
        <v>264100</v>
      </c>
      <c r="BB1167" s="30">
        <f>ROUND(Inventory[[#This Row],[Mdl Land Intercept]]+Inventory[[#This Row],[Mdl LnAcres]],-2)</f>
        <v>68500</v>
      </c>
      <c r="BC1167" s="30">
        <f>Inventory[[#This Row],[Unadj Res Value]]+Inventory[[#This Row],[Unadj Det Value]]+Inventory[[#This Row],[Unadj Land Value]]</f>
        <v>332600</v>
      </c>
      <c r="BD1167" s="30">
        <f>(Inventory[[#This Row],[Unadj Total Value]]-Inventory[[#This Row],[24Final]])/Inventory[[#This Row],[24Final]]</f>
        <v>0.15086505190311419</v>
      </c>
      <c r="BE1167" s="30">
        <f>VLOOKUP(Inventory[[#This Row],[Nbhd]],Lookups!$M$3:$P$5,4,FALSE)</f>
        <v>0.99970000000000003</v>
      </c>
      <c r="BF1167" s="30">
        <f>VLOOKUP(Inventory[[#This Row],[Qlty]],Lookups!$M$8:$P$22,4,FALSE)</f>
        <v>0.99199999999999999</v>
      </c>
      <c r="BG1167" s="30">
        <f>VLOOKUP(Inventory[[#This Row],[Cnd]],Lookups!$R$8:$U$17,4,FALSE)</f>
        <v>0.99680000000000002</v>
      </c>
      <c r="BH1167" s="30">
        <f>VLOOKUP(Inventory[[#This Row],[LivArea Range]],Lookups!$R$25:$U$43,4,FALSE)</f>
        <v>0.99519999999999997</v>
      </c>
      <c r="BI1167" s="30">
        <f>VLOOKUP(Inventory[[#This Row],[Decade]],Lookups!$M$24:$P$40,4,FALSE)</f>
        <v>0.98519999999999996</v>
      </c>
      <c r="BJ1167" s="30">
        <f>Inventory[[#This Row],[Nbhd Adj]]*0.95</f>
        <v>0.94971499999999998</v>
      </c>
      <c r="BK1167" s="30">
        <f>AVERAGE(Inventory[[#This Row],[Nbhd Adj]],Inventory[[#This Row],[Quality Adj]],Inventory[[#This Row],[Condition Adj]],Inventory[[#This Row],[Living Area Adj]],Inventory[[#This Row],[Decade Adj]])*0.95</f>
        <v>0.94409100000000001</v>
      </c>
      <c r="BL1167" s="30">
        <f>ROUND((SUM(Inventory[[#This Row],[Mdl Qlty]:[Mdl Garage Area]])+Inventory[[#This Row],[Mdl Res Intercept]])*Inventory[[#This Row],[Res Adj ]],-2)</f>
        <v>249300</v>
      </c>
      <c r="BM1167" s="30">
        <f>ROUND(Inventory[[#This Row],[25Det]]*Inventory[[#This Row],[Det/Nbhd Adj]],-2)</f>
        <v>0</v>
      </c>
      <c r="BN1167" s="30">
        <f>Inventory[[#This Row],[Adjusted Res]]+Inventory[[#This Row],[Adj Det ]]</f>
        <v>249300</v>
      </c>
      <c r="BO1167" s="30">
        <f>ROUND((Inventory[[#This Row],[Mdl Land Intercept]]+Inventory[[#This Row],[Mdl LnAcres]])*Inventory[[#This Row],[Det/Nbhd Adj]],-2)</f>
        <v>65000</v>
      </c>
      <c r="BP1167" s="30">
        <f>Inventory[[#This Row],[Adjusted Impr Total]]+Inventory[[#This Row],[Adjusted Land Total]]</f>
        <v>314300</v>
      </c>
      <c r="BQ1167" s="30">
        <f>IFERROR((Inventory[[#This Row],[Adjusted Impr Total]]-Inventory[[#This Row],[24Bldg]])/Inventory[[#This Row],[24Bldg]],0)</f>
        <v>0.11443898077782745</v>
      </c>
      <c r="BR1167" s="43">
        <f>(Inventory[[#This Row],[Adjusted Land Total]]-Inventory[[#This Row],[24Lnd]])/Inventory[[#This Row],[24Lnd]]</f>
        <v>-4.5941807044410417E-3</v>
      </c>
      <c r="BS1167" s="43">
        <f>(Inventory[[#This Row],[Adjusted Total]]-Inventory[[#This Row],[24Final]])/Inventory[[#This Row],[24Final]]</f>
        <v>8.7543252595155704E-2</v>
      </c>
    </row>
    <row r="1168" spans="1:71">
      <c r="A1168" s="30">
        <v>2025</v>
      </c>
      <c r="B1168" s="31" t="s">
        <v>1684</v>
      </c>
      <c r="C1168" s="36">
        <f>LN(Inventory[[#This Row],[Acres]])</f>
        <v>-1.4271163556401458</v>
      </c>
      <c r="D1168" s="38">
        <v>0.24</v>
      </c>
      <c r="E1168" s="30">
        <v>10238</v>
      </c>
      <c r="F1168" s="31" t="s">
        <v>505</v>
      </c>
      <c r="G1168" s="31" t="s">
        <v>155</v>
      </c>
      <c r="H1168" s="31" t="s">
        <v>5</v>
      </c>
      <c r="I1168" s="31" t="s">
        <v>506</v>
      </c>
      <c r="J1168" s="31" t="s">
        <v>507</v>
      </c>
      <c r="K1168" s="31" t="s">
        <v>193</v>
      </c>
      <c r="L1168" s="31" t="s">
        <v>15</v>
      </c>
      <c r="M1168" s="31" t="s">
        <v>18</v>
      </c>
      <c r="N1168" s="31">
        <v>50</v>
      </c>
      <c r="O1168" s="31">
        <f>2024-Inventory[[#This Row],[YrBlt]]</f>
        <v>51</v>
      </c>
      <c r="P1168" s="31">
        <f>2024-Inventory[[#This Row],[EffYr]]</f>
        <v>46</v>
      </c>
      <c r="Q1168" s="30">
        <v>1973</v>
      </c>
      <c r="R1168" s="30">
        <v>1978</v>
      </c>
      <c r="S1168" s="30">
        <v>1350</v>
      </c>
      <c r="T1168" s="32"/>
      <c r="U1168" s="32"/>
      <c r="V1168" s="32"/>
      <c r="W1168" s="32"/>
      <c r="X1168" s="32">
        <f>Inventory[[#This Row],[Bsmt Area]]-Inventory[[#This Row],[FnBsmt]]</f>
        <v>0</v>
      </c>
      <c r="Y1168" s="32">
        <f>Inventory[[#This Row],[MainFn]]+Inventory[[#This Row],[UpprFn]]+Inventory[[#This Row],[AddFn]]+Inventory[[#This Row],[FnBsmt]]</f>
        <v>1350</v>
      </c>
      <c r="Z1168" s="32">
        <v>1500</v>
      </c>
      <c r="AA1168" s="31" t="s">
        <v>56</v>
      </c>
      <c r="AB1168" s="32"/>
      <c r="AC1168" s="37"/>
      <c r="AD1168" s="32"/>
      <c r="AE1168" s="32"/>
      <c r="AF1168" s="32"/>
      <c r="AG1168" s="32"/>
      <c r="AH1168" s="32"/>
      <c r="AI1168" s="30">
        <v>201559</v>
      </c>
      <c r="AJ1168" s="30">
        <v>153185</v>
      </c>
      <c r="AK1168" s="30">
        <v>0</v>
      </c>
      <c r="AL1168" s="30">
        <v>0</v>
      </c>
      <c r="AM1168" s="30">
        <v>66500</v>
      </c>
      <c r="AN1168" s="30">
        <v>198600</v>
      </c>
      <c r="AO1168" s="30">
        <v>265100</v>
      </c>
      <c r="AP1168" s="30">
        <f>Lookups!$B$58*0.6</f>
        <v>132535.48800000001</v>
      </c>
      <c r="AQ1168" s="30">
        <f>Lookups!$B$58*0.4</f>
        <v>88356.992000000013</v>
      </c>
      <c r="AR1168" s="30">
        <f>Lookups!$B$59*Inventory[[#This Row],[LnAcres]]</f>
        <v>-18729.933155771436</v>
      </c>
      <c r="AS1168" s="30">
        <f>VLOOKUP(Inventory[[#This Row],[Qlty]],Lookups!$A$66:$E$79,2,FALSE)</f>
        <v>-1240.8083630000001</v>
      </c>
      <c r="AT1168" s="30">
        <f>VLOOKUP(Inventory[[#This Row],[Cnd]],Lookups!$A$80:$E$88,2,FALSE)</f>
        <v>17761.121909000001</v>
      </c>
      <c r="AU1168" s="30">
        <f>Inventory[[#This Row],[EffAge]]*Lookups!$B$65</f>
        <v>-5002.0906000000004</v>
      </c>
      <c r="AV1168" s="30">
        <f>Inventory[[#This Row],[MainFn]]*Lookups!$B$90</f>
        <v>84254.013000000006</v>
      </c>
      <c r="AW1168" s="30">
        <f>Inventory[[#This Row],[UpprFn]]*Lookups!$B$91</f>
        <v>0</v>
      </c>
      <c r="AX1168" s="30">
        <f>Inventory[[#This Row],[Bsmt Area]]*Lookups!$B$95</f>
        <v>0</v>
      </c>
      <c r="AY1168" s="30">
        <f>Inventory[[#This Row],[AttGar]]*Lookups!$B$93</f>
        <v>0</v>
      </c>
      <c r="AZ1168" s="30">
        <f>ROUND(Inventory[[#This Row],[25Det]],-2)</f>
        <v>0</v>
      </c>
      <c r="BA1168" s="30">
        <f>ROUND(SUM(Inventory[[#This Row],[Mdl Qlty]:[Mdl Garage Area]])+Inventory[[#This Row],[Mdl Res Intercept]],-2)</f>
        <v>228300</v>
      </c>
      <c r="BB1168" s="30">
        <f>ROUND(Inventory[[#This Row],[Mdl Land Intercept]]+Inventory[[#This Row],[Mdl LnAcres]],-2)</f>
        <v>69600</v>
      </c>
      <c r="BC1168" s="30">
        <f>Inventory[[#This Row],[Unadj Res Value]]+Inventory[[#This Row],[Unadj Det Value]]+Inventory[[#This Row],[Unadj Land Value]]</f>
        <v>297900</v>
      </c>
      <c r="BD1168" s="30">
        <f>(Inventory[[#This Row],[Unadj Total Value]]-Inventory[[#This Row],[24Final]])/Inventory[[#This Row],[24Final]]</f>
        <v>0.12372689551112788</v>
      </c>
      <c r="BE1168" s="30">
        <f>VLOOKUP(Inventory[[#This Row],[Nbhd]],Lookups!$M$3:$P$5,4,FALSE)</f>
        <v>0.99970000000000003</v>
      </c>
      <c r="BF1168" s="30">
        <f>VLOOKUP(Inventory[[#This Row],[Qlty]],Lookups!$M$8:$P$22,4,FALSE)</f>
        <v>1.0022</v>
      </c>
      <c r="BG1168" s="30">
        <f>VLOOKUP(Inventory[[#This Row],[Cnd]],Lookups!$R$8:$U$17,4,FALSE)</f>
        <v>0.99680000000000002</v>
      </c>
      <c r="BH1168" s="30">
        <f>VLOOKUP(Inventory[[#This Row],[LivArea Range]],Lookups!$R$25:$U$43,4,FALSE)</f>
        <v>0.99519999999999997</v>
      </c>
      <c r="BI1168" s="30">
        <f>VLOOKUP(Inventory[[#This Row],[Decade]],Lookups!$M$24:$P$40,4,FALSE)</f>
        <v>0.98519999999999996</v>
      </c>
      <c r="BJ1168" s="30">
        <f>Inventory[[#This Row],[Nbhd Adj]]*0.95</f>
        <v>0.94971499999999998</v>
      </c>
      <c r="BK1168" s="30">
        <f>AVERAGE(Inventory[[#This Row],[Nbhd Adj]],Inventory[[#This Row],[Quality Adj]],Inventory[[#This Row],[Condition Adj]],Inventory[[#This Row],[Living Area Adj]],Inventory[[#This Row],[Decade Adj]])*0.95</f>
        <v>0.9460289999999999</v>
      </c>
      <c r="BL1168" s="30">
        <f>ROUND((SUM(Inventory[[#This Row],[Mdl Qlty]:[Mdl Garage Area]])+Inventory[[#This Row],[Mdl Res Intercept]])*Inventory[[#This Row],[Res Adj ]],-2)</f>
        <v>216000</v>
      </c>
      <c r="BM1168" s="30">
        <f>ROUND(Inventory[[#This Row],[25Det]]*Inventory[[#This Row],[Det/Nbhd Adj]],-2)</f>
        <v>0</v>
      </c>
      <c r="BN1168" s="30">
        <f>Inventory[[#This Row],[Adjusted Res]]+Inventory[[#This Row],[Adj Det ]]</f>
        <v>216000</v>
      </c>
      <c r="BO1168" s="30">
        <f>ROUND((Inventory[[#This Row],[Mdl Land Intercept]]+Inventory[[#This Row],[Mdl LnAcres]])*Inventory[[#This Row],[Det/Nbhd Adj]],-2)</f>
        <v>66100</v>
      </c>
      <c r="BP1168" s="30">
        <f>Inventory[[#This Row],[Adjusted Impr Total]]+Inventory[[#This Row],[Adjusted Land Total]]</f>
        <v>282100</v>
      </c>
      <c r="BQ1168" s="30">
        <f>IFERROR((Inventory[[#This Row],[Adjusted Impr Total]]-Inventory[[#This Row],[24Bldg]])/Inventory[[#This Row],[24Bldg]],0)</f>
        <v>8.7613293051359523E-2</v>
      </c>
      <c r="BR1168" s="43">
        <f>(Inventory[[#This Row],[Adjusted Land Total]]-Inventory[[#This Row],[24Lnd]])/Inventory[[#This Row],[24Lnd]]</f>
        <v>-6.0150375939849628E-3</v>
      </c>
      <c r="BS1168" s="43">
        <f>(Inventory[[#This Row],[Adjusted Total]]-Inventory[[#This Row],[24Final]])/Inventory[[#This Row],[24Final]]</f>
        <v>6.412674462466994E-2</v>
      </c>
    </row>
    <row r="1169" spans="1:71">
      <c r="A1169" s="30">
        <v>2025</v>
      </c>
      <c r="B1169" s="31" t="s">
        <v>1685</v>
      </c>
      <c r="C1169" s="36">
        <f>LN(Inventory[[#This Row],[Acres]])</f>
        <v>-1.4271163556401458</v>
      </c>
      <c r="D1169" s="38">
        <v>0.24</v>
      </c>
      <c r="E1169" s="30">
        <v>10432</v>
      </c>
      <c r="F1169" s="31" t="s">
        <v>505</v>
      </c>
      <c r="G1169" s="31" t="s">
        <v>155</v>
      </c>
      <c r="H1169" s="31" t="s">
        <v>5</v>
      </c>
      <c r="I1169" s="31" t="s">
        <v>506</v>
      </c>
      <c r="J1169" s="31" t="s">
        <v>507</v>
      </c>
      <c r="K1169" s="31" t="s">
        <v>193</v>
      </c>
      <c r="L1169" s="31" t="s">
        <v>17</v>
      </c>
      <c r="M1169" s="31" t="s">
        <v>20</v>
      </c>
      <c r="N1169" s="31">
        <v>50</v>
      </c>
      <c r="O1169" s="31">
        <f>2024-Inventory[[#This Row],[YrBlt]]</f>
        <v>51</v>
      </c>
      <c r="P1169" s="31">
        <f>2024-Inventory[[#This Row],[EffYr]]</f>
        <v>46</v>
      </c>
      <c r="Q1169" s="30">
        <v>1973</v>
      </c>
      <c r="R1169" s="30">
        <v>1978</v>
      </c>
      <c r="S1169" s="30">
        <v>1272</v>
      </c>
      <c r="T1169" s="32"/>
      <c r="U1169" s="32"/>
      <c r="V1169" s="32"/>
      <c r="W1169" s="32"/>
      <c r="X1169" s="32">
        <f>Inventory[[#This Row],[Bsmt Area]]-Inventory[[#This Row],[FnBsmt]]</f>
        <v>0</v>
      </c>
      <c r="Y1169" s="32">
        <f>Inventory[[#This Row],[MainFn]]+Inventory[[#This Row],[UpprFn]]+Inventory[[#This Row],[AddFn]]+Inventory[[#This Row],[FnBsmt]]</f>
        <v>1272</v>
      </c>
      <c r="Z1169" s="32">
        <v>1500</v>
      </c>
      <c r="AA1169" s="31" t="s">
        <v>56</v>
      </c>
      <c r="AB1169" s="32"/>
      <c r="AC1169" s="37"/>
      <c r="AD1169" s="32"/>
      <c r="AE1169" s="32"/>
      <c r="AF1169" s="32"/>
      <c r="AG1169" s="32"/>
      <c r="AH1169" s="32"/>
      <c r="AI1169" s="30">
        <v>208448</v>
      </c>
      <c r="AJ1169" s="30">
        <v>160505</v>
      </c>
      <c r="AK1169" s="30">
        <v>10327</v>
      </c>
      <c r="AL1169" s="30">
        <v>0</v>
      </c>
      <c r="AM1169" s="30">
        <v>66500</v>
      </c>
      <c r="AN1169" s="30">
        <v>227100</v>
      </c>
      <c r="AO1169" s="30">
        <v>293600</v>
      </c>
      <c r="AP1169" s="30">
        <f>Lookups!$B$58*0.6</f>
        <v>132535.48800000001</v>
      </c>
      <c r="AQ1169" s="30">
        <f>Lookups!$B$58*0.4</f>
        <v>88356.992000000013</v>
      </c>
      <c r="AR1169" s="30">
        <f>Lookups!$B$59*Inventory[[#This Row],[LnAcres]]</f>
        <v>-18729.933155771436</v>
      </c>
      <c r="AS1169" s="30">
        <f>VLOOKUP(Inventory[[#This Row],[Qlty]],Lookups!$A$66:$E$79,2,FALSE)</f>
        <v>24371.765965999999</v>
      </c>
      <c r="AT1169" s="30">
        <f>VLOOKUP(Inventory[[#This Row],[Cnd]],Lookups!$A$80:$E$88,2,FALSE)</f>
        <v>30300.329274</v>
      </c>
      <c r="AU1169" s="30">
        <f>Inventory[[#This Row],[EffAge]]*Lookups!$B$65</f>
        <v>-5002.0906000000004</v>
      </c>
      <c r="AV1169" s="30">
        <f>Inventory[[#This Row],[MainFn]]*Lookups!$B$90</f>
        <v>79386.003360000002</v>
      </c>
      <c r="AW1169" s="30">
        <f>Inventory[[#This Row],[UpprFn]]*Lookups!$B$91</f>
        <v>0</v>
      </c>
      <c r="AX1169" s="30">
        <f>Inventory[[#This Row],[Bsmt Area]]*Lookups!$B$95</f>
        <v>0</v>
      </c>
      <c r="AY1169" s="30">
        <f>Inventory[[#This Row],[AttGar]]*Lookups!$B$93</f>
        <v>0</v>
      </c>
      <c r="AZ1169" s="30">
        <f>ROUND(Inventory[[#This Row],[25Det]],-2)</f>
        <v>10300</v>
      </c>
      <c r="BA1169" s="30">
        <f>ROUND(SUM(Inventory[[#This Row],[Mdl Qlty]:[Mdl Garage Area]])+Inventory[[#This Row],[Mdl Res Intercept]],-2)</f>
        <v>261600</v>
      </c>
      <c r="BB1169" s="30">
        <f>ROUND(Inventory[[#This Row],[Mdl Land Intercept]]+Inventory[[#This Row],[Mdl LnAcres]],-2)</f>
        <v>69600</v>
      </c>
      <c r="BC1169" s="30">
        <f>Inventory[[#This Row],[Unadj Res Value]]+Inventory[[#This Row],[Unadj Det Value]]+Inventory[[#This Row],[Unadj Land Value]]</f>
        <v>341500</v>
      </c>
      <c r="BD1169" s="30">
        <f>(Inventory[[#This Row],[Unadj Total Value]]-Inventory[[#This Row],[24Final]])/Inventory[[#This Row],[24Final]]</f>
        <v>0.16314713896457766</v>
      </c>
      <c r="BE1169" s="30">
        <f>VLOOKUP(Inventory[[#This Row],[Nbhd]],Lookups!$M$3:$P$5,4,FALSE)</f>
        <v>0.99970000000000003</v>
      </c>
      <c r="BF1169" s="30">
        <f>VLOOKUP(Inventory[[#This Row],[Qlty]],Lookups!$M$8:$P$22,4,FALSE)</f>
        <v>0.99199999999999999</v>
      </c>
      <c r="BG1169" s="30">
        <f>VLOOKUP(Inventory[[#This Row],[Cnd]],Lookups!$R$8:$U$17,4,FALSE)</f>
        <v>0.997</v>
      </c>
      <c r="BH1169" s="30">
        <f>VLOOKUP(Inventory[[#This Row],[LivArea Range]],Lookups!$R$25:$U$43,4,FALSE)</f>
        <v>0.99519999999999997</v>
      </c>
      <c r="BI1169" s="30">
        <f>VLOOKUP(Inventory[[#This Row],[Decade]],Lookups!$M$24:$P$40,4,FALSE)</f>
        <v>0.98519999999999996</v>
      </c>
      <c r="BJ1169" s="30">
        <f>Inventory[[#This Row],[Nbhd Adj]]*0.95</f>
        <v>0.94971499999999998</v>
      </c>
      <c r="BK1169" s="30">
        <f>AVERAGE(Inventory[[#This Row],[Nbhd Adj]],Inventory[[#This Row],[Quality Adj]],Inventory[[#This Row],[Condition Adj]],Inventory[[#This Row],[Living Area Adj]],Inventory[[#This Row],[Decade Adj]])*0.95</f>
        <v>0.944129</v>
      </c>
      <c r="BL1169" s="30">
        <f>ROUND((SUM(Inventory[[#This Row],[Mdl Qlty]:[Mdl Garage Area]])+Inventory[[#This Row],[Mdl Res Intercept]])*Inventory[[#This Row],[Res Adj ]],-2)</f>
        <v>247000</v>
      </c>
      <c r="BM1169" s="30">
        <f>ROUND(Inventory[[#This Row],[25Det]]*Inventory[[#This Row],[Det/Nbhd Adj]],-2)</f>
        <v>9800</v>
      </c>
      <c r="BN1169" s="30">
        <f>Inventory[[#This Row],[Adjusted Res]]+Inventory[[#This Row],[Adj Det ]]</f>
        <v>256800</v>
      </c>
      <c r="BO1169" s="30">
        <f>ROUND((Inventory[[#This Row],[Mdl Land Intercept]]+Inventory[[#This Row],[Mdl LnAcres]])*Inventory[[#This Row],[Det/Nbhd Adj]],-2)</f>
        <v>66100</v>
      </c>
      <c r="BP1169" s="30">
        <f>Inventory[[#This Row],[Adjusted Impr Total]]+Inventory[[#This Row],[Adjusted Land Total]]</f>
        <v>322900</v>
      </c>
      <c r="BQ1169" s="30">
        <f>IFERROR((Inventory[[#This Row],[Adjusted Impr Total]]-Inventory[[#This Row],[24Bldg]])/Inventory[[#This Row],[24Bldg]],0)</f>
        <v>0.13077939233817701</v>
      </c>
      <c r="BR1169" s="43">
        <f>(Inventory[[#This Row],[Adjusted Land Total]]-Inventory[[#This Row],[24Lnd]])/Inventory[[#This Row],[24Lnd]]</f>
        <v>-6.0150375939849628E-3</v>
      </c>
      <c r="BS1169" s="43">
        <f>(Inventory[[#This Row],[Adjusted Total]]-Inventory[[#This Row],[24Final]])/Inventory[[#This Row],[24Final]]</f>
        <v>9.9795640326975479E-2</v>
      </c>
    </row>
    <row r="1170" spans="1:71">
      <c r="A1170" s="30">
        <v>2025</v>
      </c>
      <c r="B1170" s="31" t="s">
        <v>1686</v>
      </c>
      <c r="C1170" s="36">
        <f>LN(Inventory[[#This Row],[Acres]])</f>
        <v>-1.3862943611198906</v>
      </c>
      <c r="D1170" s="38">
        <v>0.25</v>
      </c>
      <c r="E1170" s="30">
        <v>10812</v>
      </c>
      <c r="F1170" s="31" t="s">
        <v>505</v>
      </c>
      <c r="G1170" s="31" t="s">
        <v>155</v>
      </c>
      <c r="H1170" s="31" t="s">
        <v>5</v>
      </c>
      <c r="I1170" s="31" t="s">
        <v>506</v>
      </c>
      <c r="J1170" s="31" t="s">
        <v>507</v>
      </c>
      <c r="K1170" s="31" t="s">
        <v>193</v>
      </c>
      <c r="L1170" s="31" t="s">
        <v>17</v>
      </c>
      <c r="M1170" s="31" t="s">
        <v>20</v>
      </c>
      <c r="N1170" s="31">
        <v>50</v>
      </c>
      <c r="O1170" s="31">
        <f>2024-Inventory[[#This Row],[YrBlt]]</f>
        <v>51</v>
      </c>
      <c r="P1170" s="31">
        <f>2024-Inventory[[#This Row],[EffYr]]</f>
        <v>46</v>
      </c>
      <c r="Q1170" s="30">
        <v>1973</v>
      </c>
      <c r="R1170" s="30">
        <v>1978</v>
      </c>
      <c r="S1170" s="30">
        <v>1110</v>
      </c>
      <c r="T1170" s="37"/>
      <c r="U1170" s="32"/>
      <c r="V1170" s="32"/>
      <c r="W1170" s="32"/>
      <c r="X1170" s="32">
        <f>Inventory[[#This Row],[Bsmt Area]]-Inventory[[#This Row],[FnBsmt]]</f>
        <v>0</v>
      </c>
      <c r="Y1170" s="32">
        <f>Inventory[[#This Row],[MainFn]]+Inventory[[#This Row],[UpprFn]]+Inventory[[#This Row],[AddFn]]+Inventory[[#This Row],[FnBsmt]]</f>
        <v>1110</v>
      </c>
      <c r="Z1170" s="32">
        <v>1500</v>
      </c>
      <c r="AA1170" s="31" t="s">
        <v>56</v>
      </c>
      <c r="AB1170" s="37"/>
      <c r="AC1170" s="30">
        <v>300</v>
      </c>
      <c r="AD1170" s="37"/>
      <c r="AE1170" s="32"/>
      <c r="AF1170" s="32"/>
      <c r="AG1170" s="32"/>
      <c r="AH1170" s="32"/>
      <c r="AI1170" s="30">
        <v>204048</v>
      </c>
      <c r="AJ1170" s="30">
        <v>157117</v>
      </c>
      <c r="AK1170" s="30">
        <v>0</v>
      </c>
      <c r="AL1170" s="30">
        <v>0</v>
      </c>
      <c r="AM1170" s="30">
        <v>67100</v>
      </c>
      <c r="AN1170" s="30">
        <v>229900</v>
      </c>
      <c r="AO1170" s="30">
        <v>297000</v>
      </c>
      <c r="AP1170" s="30">
        <f>Lookups!$B$58*0.6</f>
        <v>132535.48800000001</v>
      </c>
      <c r="AQ1170" s="30">
        <f>Lookups!$B$58*0.4</f>
        <v>88356.992000000013</v>
      </c>
      <c r="AR1170" s="30">
        <f>Lookups!$B$59*Inventory[[#This Row],[LnAcres]]</f>
        <v>-18194.172195827363</v>
      </c>
      <c r="AS1170" s="30">
        <f>VLOOKUP(Inventory[[#This Row],[Qlty]],Lookups!$A$66:$E$79,2,FALSE)</f>
        <v>24371.765965999999</v>
      </c>
      <c r="AT1170" s="30">
        <f>VLOOKUP(Inventory[[#This Row],[Cnd]],Lookups!$A$80:$E$88,2,FALSE)</f>
        <v>30300.329274</v>
      </c>
      <c r="AU1170" s="30">
        <f>Inventory[[#This Row],[EffAge]]*Lookups!$B$65</f>
        <v>-5002.0906000000004</v>
      </c>
      <c r="AV1170" s="30">
        <f>Inventory[[#This Row],[MainFn]]*Lookups!$B$90</f>
        <v>69275.521800000002</v>
      </c>
      <c r="AW1170" s="30">
        <f>Inventory[[#This Row],[UpprFn]]*Lookups!$B$91</f>
        <v>0</v>
      </c>
      <c r="AX1170" s="30">
        <f>Inventory[[#This Row],[Bsmt Area]]*Lookups!$B$95</f>
        <v>0</v>
      </c>
      <c r="AY1170" s="30">
        <f>Inventory[[#This Row],[AttGar]]*Lookups!$B$93</f>
        <v>10590.309300000001</v>
      </c>
      <c r="AZ1170" s="30">
        <f>ROUND(Inventory[[#This Row],[25Det]],-2)</f>
        <v>0</v>
      </c>
      <c r="BA1170" s="30">
        <f>ROUND(SUM(Inventory[[#This Row],[Mdl Qlty]:[Mdl Garage Area]])+Inventory[[#This Row],[Mdl Res Intercept]],-2)</f>
        <v>262100</v>
      </c>
      <c r="BB1170" s="30">
        <f>ROUND(Inventory[[#This Row],[Mdl Land Intercept]]+Inventory[[#This Row],[Mdl LnAcres]],-2)</f>
        <v>70200</v>
      </c>
      <c r="BC1170" s="30">
        <f>Inventory[[#This Row],[Unadj Res Value]]+Inventory[[#This Row],[Unadj Det Value]]+Inventory[[#This Row],[Unadj Land Value]]</f>
        <v>332300</v>
      </c>
      <c r="BD1170" s="30">
        <f>(Inventory[[#This Row],[Unadj Total Value]]-Inventory[[#This Row],[24Final]])/Inventory[[#This Row],[24Final]]</f>
        <v>0.11885521885521885</v>
      </c>
      <c r="BE1170" s="30">
        <f>VLOOKUP(Inventory[[#This Row],[Nbhd]],Lookups!$M$3:$P$5,4,FALSE)</f>
        <v>0.99970000000000003</v>
      </c>
      <c r="BF1170" s="30">
        <f>VLOOKUP(Inventory[[#This Row],[Qlty]],Lookups!$M$8:$P$22,4,FALSE)</f>
        <v>0.99199999999999999</v>
      </c>
      <c r="BG1170" s="30">
        <f>VLOOKUP(Inventory[[#This Row],[Cnd]],Lookups!$R$8:$U$17,4,FALSE)</f>
        <v>0.997</v>
      </c>
      <c r="BH1170" s="30">
        <f>VLOOKUP(Inventory[[#This Row],[LivArea Range]],Lookups!$R$25:$U$43,4,FALSE)</f>
        <v>0.99519999999999997</v>
      </c>
      <c r="BI1170" s="30">
        <f>VLOOKUP(Inventory[[#This Row],[Decade]],Lookups!$M$24:$P$40,4,FALSE)</f>
        <v>0.98519999999999996</v>
      </c>
      <c r="BJ1170" s="30">
        <f>Inventory[[#This Row],[Nbhd Adj]]*0.95</f>
        <v>0.94971499999999998</v>
      </c>
      <c r="BK1170" s="30">
        <f>AVERAGE(Inventory[[#This Row],[Nbhd Adj]],Inventory[[#This Row],[Quality Adj]],Inventory[[#This Row],[Condition Adj]],Inventory[[#This Row],[Living Area Adj]],Inventory[[#This Row],[Decade Adj]])*0.95</f>
        <v>0.944129</v>
      </c>
      <c r="BL1170" s="30">
        <f>ROUND((SUM(Inventory[[#This Row],[Mdl Qlty]:[Mdl Garage Area]])+Inventory[[#This Row],[Mdl Res Intercept]])*Inventory[[#This Row],[Res Adj ]],-2)</f>
        <v>247400</v>
      </c>
      <c r="BM1170" s="30">
        <f>ROUND(Inventory[[#This Row],[25Det]]*Inventory[[#This Row],[Det/Nbhd Adj]],-2)</f>
        <v>0</v>
      </c>
      <c r="BN1170" s="30">
        <f>Inventory[[#This Row],[Adjusted Res]]+Inventory[[#This Row],[Adj Det ]]</f>
        <v>247400</v>
      </c>
      <c r="BO1170" s="30">
        <f>ROUND((Inventory[[#This Row],[Mdl Land Intercept]]+Inventory[[#This Row],[Mdl LnAcres]])*Inventory[[#This Row],[Det/Nbhd Adj]],-2)</f>
        <v>66600</v>
      </c>
      <c r="BP1170" s="30">
        <f>Inventory[[#This Row],[Adjusted Impr Total]]+Inventory[[#This Row],[Adjusted Land Total]]</f>
        <v>314000</v>
      </c>
      <c r="BQ1170" s="30">
        <f>IFERROR((Inventory[[#This Row],[Adjusted Impr Total]]-Inventory[[#This Row],[24Bldg]])/Inventory[[#This Row],[24Bldg]],0)</f>
        <v>7.6120052196607224E-2</v>
      </c>
      <c r="BR1170" s="43">
        <f>(Inventory[[#This Row],[Adjusted Land Total]]-Inventory[[#This Row],[24Lnd]])/Inventory[[#This Row],[24Lnd]]</f>
        <v>-7.4515648286140089E-3</v>
      </c>
      <c r="BS1170" s="43">
        <f>(Inventory[[#This Row],[Adjusted Total]]-Inventory[[#This Row],[24Final]])/Inventory[[#This Row],[24Final]]</f>
        <v>5.7239057239057242E-2</v>
      </c>
    </row>
    <row r="1171" spans="1:71">
      <c r="A1171" s="30">
        <v>2025</v>
      </c>
      <c r="B1171" s="31" t="s">
        <v>1687</v>
      </c>
      <c r="C1171" s="36">
        <f>LN(Inventory[[#This Row],[Acres]])</f>
        <v>-1.3862943611198906</v>
      </c>
      <c r="D1171" s="38">
        <v>0.25</v>
      </c>
      <c r="E1171" s="30">
        <v>10691</v>
      </c>
      <c r="F1171" s="31" t="s">
        <v>505</v>
      </c>
      <c r="G1171" s="31" t="s">
        <v>155</v>
      </c>
      <c r="H1171" s="31" t="s">
        <v>5</v>
      </c>
      <c r="I1171" s="31" t="s">
        <v>506</v>
      </c>
      <c r="J1171" s="31" t="s">
        <v>507</v>
      </c>
      <c r="K1171" s="31" t="s">
        <v>193</v>
      </c>
      <c r="L1171" s="31" t="s">
        <v>13</v>
      </c>
      <c r="M1171" s="31" t="s">
        <v>20</v>
      </c>
      <c r="N1171" s="31">
        <v>50</v>
      </c>
      <c r="O1171" s="31">
        <f>2024-Inventory[[#This Row],[YrBlt]]</f>
        <v>51</v>
      </c>
      <c r="P1171" s="31">
        <f>2024-Inventory[[#This Row],[EffYr]]</f>
        <v>46</v>
      </c>
      <c r="Q1171" s="30">
        <v>1973</v>
      </c>
      <c r="R1171" s="30">
        <v>1978</v>
      </c>
      <c r="S1171" s="30">
        <v>1000</v>
      </c>
      <c r="T1171" s="32"/>
      <c r="U1171" s="32"/>
      <c r="V1171" s="32"/>
      <c r="W1171" s="32"/>
      <c r="X1171" s="32">
        <f>Inventory[[#This Row],[Bsmt Area]]-Inventory[[#This Row],[FnBsmt]]</f>
        <v>0</v>
      </c>
      <c r="Y1171" s="32">
        <f>Inventory[[#This Row],[MainFn]]+Inventory[[#This Row],[UpprFn]]+Inventory[[#This Row],[AddFn]]+Inventory[[#This Row],[FnBsmt]]</f>
        <v>1000</v>
      </c>
      <c r="Z1171" s="32">
        <v>1500</v>
      </c>
      <c r="AA1171" s="31" t="s">
        <v>56</v>
      </c>
      <c r="AB1171" s="32"/>
      <c r="AC1171" s="30">
        <v>288</v>
      </c>
      <c r="AD1171" s="32"/>
      <c r="AE1171" s="32"/>
      <c r="AF1171" s="32"/>
      <c r="AG1171" s="32"/>
      <c r="AH1171" s="32"/>
      <c r="AI1171" s="30">
        <v>151248</v>
      </c>
      <c r="AJ1171" s="30">
        <v>116461</v>
      </c>
      <c r="AK1171" s="30">
        <v>0</v>
      </c>
      <c r="AL1171" s="30">
        <v>0</v>
      </c>
      <c r="AM1171" s="30">
        <v>67100</v>
      </c>
      <c r="AN1171" s="30">
        <v>197800</v>
      </c>
      <c r="AO1171" s="30">
        <v>264900</v>
      </c>
      <c r="AP1171" s="30">
        <f>Lookups!$B$58*0.6</f>
        <v>132535.48800000001</v>
      </c>
      <c r="AQ1171" s="30">
        <f>Lookups!$B$58*0.4</f>
        <v>88356.992000000013</v>
      </c>
      <c r="AR1171" s="30">
        <f>Lookups!$B$59*Inventory[[#This Row],[LnAcres]]</f>
        <v>-18194.172195827363</v>
      </c>
      <c r="AS1171" s="30">
        <f>VLOOKUP(Inventory[[#This Row],[Qlty]],Lookups!$A$66:$E$79,2,FALSE)</f>
        <v>0</v>
      </c>
      <c r="AT1171" s="30">
        <f>VLOOKUP(Inventory[[#This Row],[Cnd]],Lookups!$A$80:$E$88,2,FALSE)</f>
        <v>30300.329274</v>
      </c>
      <c r="AU1171" s="30">
        <f>Inventory[[#This Row],[EffAge]]*Lookups!$B$65</f>
        <v>-5002.0906000000004</v>
      </c>
      <c r="AV1171" s="30">
        <f>Inventory[[#This Row],[MainFn]]*Lookups!$B$90</f>
        <v>62410.380000000005</v>
      </c>
      <c r="AW1171" s="30">
        <f>Inventory[[#This Row],[UpprFn]]*Lookups!$B$91</f>
        <v>0</v>
      </c>
      <c r="AX1171" s="30">
        <f>Inventory[[#This Row],[Bsmt Area]]*Lookups!$B$95</f>
        <v>0</v>
      </c>
      <c r="AY1171" s="30">
        <f>Inventory[[#This Row],[AttGar]]*Lookups!$B$93</f>
        <v>10166.696928000001</v>
      </c>
      <c r="AZ1171" s="30">
        <f>ROUND(Inventory[[#This Row],[25Det]],-2)</f>
        <v>0</v>
      </c>
      <c r="BA1171" s="30">
        <f>ROUND(SUM(Inventory[[#This Row],[Mdl Qlty]:[Mdl Garage Area]])+Inventory[[#This Row],[Mdl Res Intercept]],-2)</f>
        <v>230400</v>
      </c>
      <c r="BB1171" s="30">
        <f>ROUND(Inventory[[#This Row],[Mdl Land Intercept]]+Inventory[[#This Row],[Mdl LnAcres]],-2)</f>
        <v>70200</v>
      </c>
      <c r="BC1171" s="30">
        <f>Inventory[[#This Row],[Unadj Res Value]]+Inventory[[#This Row],[Unadj Det Value]]+Inventory[[#This Row],[Unadj Land Value]]</f>
        <v>300600</v>
      </c>
      <c r="BD1171" s="30">
        <f>(Inventory[[#This Row],[Unadj Total Value]]-Inventory[[#This Row],[24Final]])/Inventory[[#This Row],[24Final]]</f>
        <v>0.13476783691959229</v>
      </c>
      <c r="BE1171" s="30">
        <f>VLOOKUP(Inventory[[#This Row],[Nbhd]],Lookups!$M$3:$P$5,4,FALSE)</f>
        <v>0.99970000000000003</v>
      </c>
      <c r="BF1171" s="30">
        <f>VLOOKUP(Inventory[[#This Row],[Qlty]],Lookups!$M$8:$P$22,4,FALSE)</f>
        <v>1.0003</v>
      </c>
      <c r="BG1171" s="30">
        <f>VLOOKUP(Inventory[[#This Row],[Cnd]],Lookups!$R$8:$U$17,4,FALSE)</f>
        <v>0.997</v>
      </c>
      <c r="BH1171" s="30">
        <f>VLOOKUP(Inventory[[#This Row],[LivArea Range]],Lookups!$R$25:$U$43,4,FALSE)</f>
        <v>0.99519999999999997</v>
      </c>
      <c r="BI1171" s="30">
        <f>VLOOKUP(Inventory[[#This Row],[Decade]],Lookups!$M$24:$P$40,4,FALSE)</f>
        <v>0.98519999999999996</v>
      </c>
      <c r="BJ1171" s="30">
        <f>Inventory[[#This Row],[Nbhd Adj]]*0.95</f>
        <v>0.94971499999999998</v>
      </c>
      <c r="BK1171" s="30">
        <f>AVERAGE(Inventory[[#This Row],[Nbhd Adj]],Inventory[[#This Row],[Quality Adj]],Inventory[[#This Row],[Condition Adj]],Inventory[[#This Row],[Living Area Adj]],Inventory[[#This Row],[Decade Adj]])*0.95</f>
        <v>0.94570599999999994</v>
      </c>
      <c r="BL1171" s="30">
        <f>ROUND((SUM(Inventory[[#This Row],[Mdl Qlty]:[Mdl Garage Area]])+Inventory[[#This Row],[Mdl Res Intercept]])*Inventory[[#This Row],[Res Adj ]],-2)</f>
        <v>217900</v>
      </c>
      <c r="BM1171" s="30">
        <f>ROUND(Inventory[[#This Row],[25Det]]*Inventory[[#This Row],[Det/Nbhd Adj]],-2)</f>
        <v>0</v>
      </c>
      <c r="BN1171" s="30">
        <f>Inventory[[#This Row],[Adjusted Res]]+Inventory[[#This Row],[Adj Det ]]</f>
        <v>217900</v>
      </c>
      <c r="BO1171" s="30">
        <f>ROUND((Inventory[[#This Row],[Mdl Land Intercept]]+Inventory[[#This Row],[Mdl LnAcres]])*Inventory[[#This Row],[Det/Nbhd Adj]],-2)</f>
        <v>66600</v>
      </c>
      <c r="BP1171" s="30">
        <f>Inventory[[#This Row],[Adjusted Impr Total]]+Inventory[[#This Row],[Adjusted Land Total]]</f>
        <v>284500</v>
      </c>
      <c r="BQ1171" s="30">
        <f>IFERROR((Inventory[[#This Row],[Adjusted Impr Total]]-Inventory[[#This Row],[24Bldg]])/Inventory[[#This Row],[24Bldg]],0)</f>
        <v>0.10161779575328615</v>
      </c>
      <c r="BR1171" s="43">
        <f>(Inventory[[#This Row],[Adjusted Land Total]]-Inventory[[#This Row],[24Lnd]])/Inventory[[#This Row],[24Lnd]]</f>
        <v>-7.4515648286140089E-3</v>
      </c>
      <c r="BS1171" s="43">
        <f>(Inventory[[#This Row],[Adjusted Total]]-Inventory[[#This Row],[24Final]])/Inventory[[#This Row],[24Final]]</f>
        <v>7.3990184975462434E-2</v>
      </c>
    </row>
    <row r="1172" spans="1:71">
      <c r="A1172" s="30">
        <v>2025</v>
      </c>
      <c r="B1172" s="31" t="s">
        <v>1688</v>
      </c>
      <c r="C1172" s="36">
        <f>LN(Inventory[[#This Row],[Acres]])</f>
        <v>-1.3862943611198906</v>
      </c>
      <c r="D1172" s="38">
        <v>0.25</v>
      </c>
      <c r="E1172" s="30">
        <v>11079</v>
      </c>
      <c r="F1172" s="31" t="s">
        <v>505</v>
      </c>
      <c r="G1172" s="31" t="s">
        <v>155</v>
      </c>
      <c r="H1172" s="31" t="s">
        <v>5</v>
      </c>
      <c r="I1172" s="31" t="s">
        <v>506</v>
      </c>
      <c r="J1172" s="31" t="s">
        <v>507</v>
      </c>
      <c r="K1172" s="31" t="s">
        <v>193</v>
      </c>
      <c r="L1172" s="31" t="s">
        <v>17</v>
      </c>
      <c r="M1172" s="31" t="s">
        <v>18</v>
      </c>
      <c r="N1172" s="31">
        <v>50</v>
      </c>
      <c r="O1172" s="31">
        <f>2024-Inventory[[#This Row],[YrBlt]]</f>
        <v>51</v>
      </c>
      <c r="P1172" s="31">
        <f>2024-Inventory[[#This Row],[EffYr]]</f>
        <v>46</v>
      </c>
      <c r="Q1172" s="30">
        <v>1973</v>
      </c>
      <c r="R1172" s="30">
        <v>1978</v>
      </c>
      <c r="S1172" s="30">
        <v>1528</v>
      </c>
      <c r="T1172" s="32"/>
      <c r="U1172" s="32"/>
      <c r="V1172" s="32"/>
      <c r="W1172" s="32"/>
      <c r="X1172" s="32">
        <f>Inventory[[#This Row],[Bsmt Area]]-Inventory[[#This Row],[FnBsmt]]</f>
        <v>0</v>
      </c>
      <c r="Y1172" s="32">
        <f>Inventory[[#This Row],[MainFn]]+Inventory[[#This Row],[UpprFn]]+Inventory[[#This Row],[AddFn]]+Inventory[[#This Row],[FnBsmt]]</f>
        <v>1528</v>
      </c>
      <c r="Z1172" s="32">
        <v>2000</v>
      </c>
      <c r="AA1172" s="31" t="s">
        <v>56</v>
      </c>
      <c r="AB1172" s="32"/>
      <c r="AC1172" s="30">
        <v>288</v>
      </c>
      <c r="AD1172" s="32"/>
      <c r="AE1172" s="32"/>
      <c r="AF1172" s="32"/>
      <c r="AG1172" s="32"/>
      <c r="AH1172" s="32"/>
      <c r="AI1172" s="30">
        <v>258539</v>
      </c>
      <c r="AJ1172" s="30">
        <v>196490</v>
      </c>
      <c r="AK1172" s="30">
        <v>0</v>
      </c>
      <c r="AL1172" s="30">
        <v>0</v>
      </c>
      <c r="AM1172" s="30">
        <v>67100</v>
      </c>
      <c r="AN1172" s="30">
        <v>231700</v>
      </c>
      <c r="AO1172" s="30">
        <v>298800</v>
      </c>
      <c r="AP1172" s="30">
        <f>Lookups!$B$58*0.6</f>
        <v>132535.48800000001</v>
      </c>
      <c r="AQ1172" s="30">
        <f>Lookups!$B$58*0.4</f>
        <v>88356.992000000013</v>
      </c>
      <c r="AR1172" s="30">
        <f>Lookups!$B$59*Inventory[[#This Row],[LnAcres]]</f>
        <v>-18194.172195827363</v>
      </c>
      <c r="AS1172" s="30">
        <f>VLOOKUP(Inventory[[#This Row],[Qlty]],Lookups!$A$66:$E$79,2,FALSE)</f>
        <v>24371.765965999999</v>
      </c>
      <c r="AT1172" s="30">
        <f>VLOOKUP(Inventory[[#This Row],[Cnd]],Lookups!$A$80:$E$88,2,FALSE)</f>
        <v>17761.121909000001</v>
      </c>
      <c r="AU1172" s="30">
        <f>Inventory[[#This Row],[EffAge]]*Lookups!$B$65</f>
        <v>-5002.0906000000004</v>
      </c>
      <c r="AV1172" s="30">
        <f>Inventory[[#This Row],[MainFn]]*Lookups!$B$90</f>
        <v>95363.060640000011</v>
      </c>
      <c r="AW1172" s="30">
        <f>Inventory[[#This Row],[UpprFn]]*Lookups!$B$91</f>
        <v>0</v>
      </c>
      <c r="AX1172" s="30">
        <f>Inventory[[#This Row],[Bsmt Area]]*Lookups!$B$95</f>
        <v>0</v>
      </c>
      <c r="AY1172" s="30">
        <f>Inventory[[#This Row],[AttGar]]*Lookups!$B$93</f>
        <v>10166.696928000001</v>
      </c>
      <c r="AZ1172" s="30">
        <f>ROUND(Inventory[[#This Row],[25Det]],-2)</f>
        <v>0</v>
      </c>
      <c r="BA1172" s="30">
        <f>ROUND(SUM(Inventory[[#This Row],[Mdl Qlty]:[Mdl Garage Area]])+Inventory[[#This Row],[Mdl Res Intercept]],-2)</f>
        <v>275200</v>
      </c>
      <c r="BB1172" s="30">
        <f>ROUND(Inventory[[#This Row],[Mdl Land Intercept]]+Inventory[[#This Row],[Mdl LnAcres]],-2)</f>
        <v>70200</v>
      </c>
      <c r="BC1172" s="30">
        <f>Inventory[[#This Row],[Unadj Res Value]]+Inventory[[#This Row],[Unadj Det Value]]+Inventory[[#This Row],[Unadj Land Value]]</f>
        <v>345400</v>
      </c>
      <c r="BD1172" s="30">
        <f>(Inventory[[#This Row],[Unadj Total Value]]-Inventory[[#This Row],[24Final]])/Inventory[[#This Row],[24Final]]</f>
        <v>0.15595716198125836</v>
      </c>
      <c r="BE1172" s="30">
        <f>VLOOKUP(Inventory[[#This Row],[Nbhd]],Lookups!$M$3:$P$5,4,FALSE)</f>
        <v>0.99970000000000003</v>
      </c>
      <c r="BF1172" s="30">
        <f>VLOOKUP(Inventory[[#This Row],[Qlty]],Lookups!$M$8:$P$22,4,FALSE)</f>
        <v>0.99199999999999999</v>
      </c>
      <c r="BG1172" s="30">
        <f>VLOOKUP(Inventory[[#This Row],[Cnd]],Lookups!$R$8:$U$17,4,FALSE)</f>
        <v>0.99680000000000002</v>
      </c>
      <c r="BH1172" s="30">
        <f>VLOOKUP(Inventory[[#This Row],[LivArea Range]],Lookups!$R$25:$U$43,4,FALSE)</f>
        <v>1.0007999999999999</v>
      </c>
      <c r="BI1172" s="30">
        <f>VLOOKUP(Inventory[[#This Row],[Decade]],Lookups!$M$24:$P$40,4,FALSE)</f>
        <v>0.98519999999999996</v>
      </c>
      <c r="BJ1172" s="30">
        <f>Inventory[[#This Row],[Nbhd Adj]]*0.95</f>
        <v>0.94971499999999998</v>
      </c>
      <c r="BK1172" s="30">
        <f>AVERAGE(Inventory[[#This Row],[Nbhd Adj]],Inventory[[#This Row],[Quality Adj]],Inventory[[#This Row],[Condition Adj]],Inventory[[#This Row],[Living Area Adj]],Inventory[[#This Row],[Decade Adj]])*0.95</f>
        <v>0.94515499999999997</v>
      </c>
      <c r="BL1172" s="30">
        <f>ROUND((SUM(Inventory[[#This Row],[Mdl Qlty]:[Mdl Garage Area]])+Inventory[[#This Row],[Mdl Res Intercept]])*Inventory[[#This Row],[Res Adj ]],-2)</f>
        <v>260100</v>
      </c>
      <c r="BM1172" s="30">
        <f>ROUND(Inventory[[#This Row],[25Det]]*Inventory[[#This Row],[Det/Nbhd Adj]],-2)</f>
        <v>0</v>
      </c>
      <c r="BN1172" s="30">
        <f>Inventory[[#This Row],[Adjusted Res]]+Inventory[[#This Row],[Adj Det ]]</f>
        <v>260100</v>
      </c>
      <c r="BO1172" s="30">
        <f>ROUND((Inventory[[#This Row],[Mdl Land Intercept]]+Inventory[[#This Row],[Mdl LnAcres]])*Inventory[[#This Row],[Det/Nbhd Adj]],-2)</f>
        <v>66600</v>
      </c>
      <c r="BP1172" s="30">
        <f>Inventory[[#This Row],[Adjusted Impr Total]]+Inventory[[#This Row],[Adjusted Land Total]]</f>
        <v>326700</v>
      </c>
      <c r="BQ1172" s="30">
        <f>IFERROR((Inventory[[#This Row],[Adjusted Impr Total]]-Inventory[[#This Row],[24Bldg]])/Inventory[[#This Row],[24Bldg]],0)</f>
        <v>0.12257229175658178</v>
      </c>
      <c r="BR1172" s="43">
        <f>(Inventory[[#This Row],[Adjusted Land Total]]-Inventory[[#This Row],[24Lnd]])/Inventory[[#This Row],[24Lnd]]</f>
        <v>-7.4515648286140089E-3</v>
      </c>
      <c r="BS1172" s="43">
        <f>(Inventory[[#This Row],[Adjusted Total]]-Inventory[[#This Row],[24Final]])/Inventory[[#This Row],[24Final]]</f>
        <v>9.337349397590361E-2</v>
      </c>
    </row>
    <row r="1173" spans="1:71">
      <c r="A1173" s="30">
        <v>2025</v>
      </c>
      <c r="B1173" s="31" t="s">
        <v>1689</v>
      </c>
      <c r="C1173" s="31">
        <f>LN(Inventory[[#This Row],[Acres]])</f>
        <v>-1.3470736479666092</v>
      </c>
      <c r="D1173" s="38">
        <v>0.26</v>
      </c>
      <c r="E1173" s="38">
        <v>11199</v>
      </c>
      <c r="F1173" s="31" t="s">
        <v>505</v>
      </c>
      <c r="G1173" s="31" t="s">
        <v>155</v>
      </c>
      <c r="H1173" s="31" t="s">
        <v>5</v>
      </c>
      <c r="I1173" s="31" t="s">
        <v>506</v>
      </c>
      <c r="J1173" s="31" t="s">
        <v>507</v>
      </c>
      <c r="K1173" s="31" t="s">
        <v>193</v>
      </c>
      <c r="L1173" s="31" t="s">
        <v>17</v>
      </c>
      <c r="M1173" s="31" t="s">
        <v>20</v>
      </c>
      <c r="N1173" s="31">
        <v>50</v>
      </c>
      <c r="O1173" s="31">
        <f>2024-Inventory[[#This Row],[YrBlt]]</f>
        <v>51</v>
      </c>
      <c r="P1173" s="31">
        <f>2024-Inventory[[#This Row],[EffYr]]</f>
        <v>46</v>
      </c>
      <c r="Q1173" s="30">
        <v>1973</v>
      </c>
      <c r="R1173" s="30">
        <v>1978</v>
      </c>
      <c r="S1173" s="30">
        <v>1411</v>
      </c>
      <c r="T1173" s="32"/>
      <c r="U1173" s="32"/>
      <c r="V1173" s="32"/>
      <c r="W1173" s="32"/>
      <c r="X1173" s="32">
        <f>Inventory[[#This Row],[Bsmt Area]]-Inventory[[#This Row],[FnBsmt]]</f>
        <v>0</v>
      </c>
      <c r="Y1173" s="32">
        <f>Inventory[[#This Row],[MainFn]]+Inventory[[#This Row],[UpprFn]]+Inventory[[#This Row],[AddFn]]+Inventory[[#This Row],[FnBsmt]]</f>
        <v>1411</v>
      </c>
      <c r="Z1173" s="32">
        <v>1500</v>
      </c>
      <c r="AA1173" s="31" t="s">
        <v>56</v>
      </c>
      <c r="AB1173" s="37"/>
      <c r="AC1173" s="37"/>
      <c r="AD1173" s="32"/>
      <c r="AE1173" s="32"/>
      <c r="AF1173" s="32"/>
      <c r="AG1173" s="32"/>
      <c r="AH1173" s="32"/>
      <c r="AI1173" s="30">
        <v>220712</v>
      </c>
      <c r="AJ1173" s="30">
        <v>169948</v>
      </c>
      <c r="AK1173" s="30">
        <v>0</v>
      </c>
      <c r="AL1173" s="30">
        <v>0</v>
      </c>
      <c r="AM1173" s="30">
        <v>67600</v>
      </c>
      <c r="AN1173" s="30">
        <v>226800</v>
      </c>
      <c r="AO1173" s="30">
        <v>294400</v>
      </c>
      <c r="AP1173" s="30">
        <f>Lookups!$B$58*0.6</f>
        <v>132535.48800000001</v>
      </c>
      <c r="AQ1173" s="30">
        <f>Lookups!$B$58*0.4</f>
        <v>88356.992000000013</v>
      </c>
      <c r="AR1173" s="30">
        <f>Lookups!$B$59*Inventory[[#This Row],[LnAcres]]</f>
        <v>-17679.426966554776</v>
      </c>
      <c r="AS1173" s="30">
        <f>VLOOKUP(Inventory[[#This Row],[Qlty]],Lookups!$A$66:$E$79,2,FALSE)</f>
        <v>24371.765965999999</v>
      </c>
      <c r="AT1173" s="30">
        <f>VLOOKUP(Inventory[[#This Row],[Cnd]],Lookups!$A$80:$E$88,2,FALSE)</f>
        <v>30300.329274</v>
      </c>
      <c r="AU1173" s="30">
        <f>Inventory[[#This Row],[EffAge]]*Lookups!$B$65</f>
        <v>-5002.0906000000004</v>
      </c>
      <c r="AV1173" s="30">
        <f>Inventory[[#This Row],[MainFn]]*Lookups!$B$90</f>
        <v>88061.046180000005</v>
      </c>
      <c r="AW1173" s="30">
        <f>Inventory[[#This Row],[UpprFn]]*Lookups!$B$91</f>
        <v>0</v>
      </c>
      <c r="AX1173" s="30">
        <f>Inventory[[#This Row],[Bsmt Area]]*Lookups!$B$95</f>
        <v>0</v>
      </c>
      <c r="AY1173" s="30">
        <f>Inventory[[#This Row],[AttGar]]*Lookups!$B$93</f>
        <v>0</v>
      </c>
      <c r="AZ1173" s="30">
        <f>ROUND(Inventory[[#This Row],[25Det]],-2)</f>
        <v>0</v>
      </c>
      <c r="BA1173" s="30">
        <f>ROUND(SUM(Inventory[[#This Row],[Mdl Qlty]:[Mdl Garage Area]])+Inventory[[#This Row],[Mdl Res Intercept]],-2)</f>
        <v>270300</v>
      </c>
      <c r="BB1173" s="30">
        <f>ROUND(Inventory[[#This Row],[Mdl Land Intercept]]+Inventory[[#This Row],[Mdl LnAcres]],-2)</f>
        <v>70700</v>
      </c>
      <c r="BC1173" s="30">
        <f>Inventory[[#This Row],[Unadj Res Value]]+Inventory[[#This Row],[Unadj Det Value]]+Inventory[[#This Row],[Unadj Land Value]]</f>
        <v>341000</v>
      </c>
      <c r="BD1173" s="30">
        <f>(Inventory[[#This Row],[Unadj Total Value]]-Inventory[[#This Row],[24Final]])/Inventory[[#This Row],[24Final]]</f>
        <v>0.15828804347826086</v>
      </c>
      <c r="BE1173" s="30">
        <f>VLOOKUP(Inventory[[#This Row],[Nbhd]],Lookups!$M$3:$P$5,4,FALSE)</f>
        <v>0.99970000000000003</v>
      </c>
      <c r="BF1173" s="30">
        <f>VLOOKUP(Inventory[[#This Row],[Qlty]],Lookups!$M$8:$P$22,4,FALSE)</f>
        <v>0.99199999999999999</v>
      </c>
      <c r="BG1173" s="30">
        <f>VLOOKUP(Inventory[[#This Row],[Cnd]],Lookups!$R$8:$U$17,4,FALSE)</f>
        <v>0.997</v>
      </c>
      <c r="BH1173" s="30">
        <f>VLOOKUP(Inventory[[#This Row],[LivArea Range]],Lookups!$R$25:$U$43,4,FALSE)</f>
        <v>0.99519999999999997</v>
      </c>
      <c r="BI1173" s="30">
        <f>VLOOKUP(Inventory[[#This Row],[Decade]],Lookups!$M$24:$P$40,4,FALSE)</f>
        <v>0.98519999999999996</v>
      </c>
      <c r="BJ1173" s="30">
        <f>Inventory[[#This Row],[Nbhd Adj]]*0.95</f>
        <v>0.94971499999999998</v>
      </c>
      <c r="BK1173" s="30">
        <f>AVERAGE(Inventory[[#This Row],[Nbhd Adj]],Inventory[[#This Row],[Quality Adj]],Inventory[[#This Row],[Condition Adj]],Inventory[[#This Row],[Living Area Adj]],Inventory[[#This Row],[Decade Adj]])*0.95</f>
        <v>0.944129</v>
      </c>
      <c r="BL1173" s="30">
        <f>ROUND((SUM(Inventory[[#This Row],[Mdl Qlty]:[Mdl Garage Area]])+Inventory[[#This Row],[Mdl Res Intercept]])*Inventory[[#This Row],[Res Adj ]],-2)</f>
        <v>255200</v>
      </c>
      <c r="BM1173" s="30">
        <f>ROUND(Inventory[[#This Row],[25Det]]*Inventory[[#This Row],[Det/Nbhd Adj]],-2)</f>
        <v>0</v>
      </c>
      <c r="BN1173" s="30">
        <f>Inventory[[#This Row],[Adjusted Res]]+Inventory[[#This Row],[Adj Det ]]</f>
        <v>255200</v>
      </c>
      <c r="BO1173" s="30">
        <f>ROUND((Inventory[[#This Row],[Mdl Land Intercept]]+Inventory[[#This Row],[Mdl LnAcres]])*Inventory[[#This Row],[Det/Nbhd Adj]],-2)</f>
        <v>67100</v>
      </c>
      <c r="BP1173" s="30">
        <f>Inventory[[#This Row],[Adjusted Impr Total]]+Inventory[[#This Row],[Adjusted Land Total]]</f>
        <v>322300</v>
      </c>
      <c r="BQ1173" s="30">
        <f>IFERROR((Inventory[[#This Row],[Adjusted Impr Total]]-Inventory[[#This Row],[24Bldg]])/Inventory[[#This Row],[24Bldg]],0)</f>
        <v>0.12522045855379188</v>
      </c>
      <c r="BR1173" s="43">
        <f>(Inventory[[#This Row],[Adjusted Land Total]]-Inventory[[#This Row],[24Lnd]])/Inventory[[#This Row],[24Lnd]]</f>
        <v>-7.3964497041420114E-3</v>
      </c>
      <c r="BS1173" s="43">
        <f>(Inventory[[#This Row],[Adjusted Total]]-Inventory[[#This Row],[24Final]])/Inventory[[#This Row],[24Final]]</f>
        <v>9.4769021739130432E-2</v>
      </c>
    </row>
    <row r="1174" spans="1:71">
      <c r="A1174" s="30">
        <v>2025</v>
      </c>
      <c r="B1174" s="31" t="s">
        <v>1690</v>
      </c>
      <c r="C1174" s="31">
        <f>LN(Inventory[[#This Row],[Acres]])</f>
        <v>-1.3470736479666092</v>
      </c>
      <c r="D1174" s="38">
        <v>0.26</v>
      </c>
      <c r="E1174" s="30">
        <v>11205</v>
      </c>
      <c r="F1174" s="31" t="s">
        <v>505</v>
      </c>
      <c r="G1174" s="31" t="s">
        <v>155</v>
      </c>
      <c r="H1174" s="31" t="s">
        <v>5</v>
      </c>
      <c r="I1174" s="31" t="s">
        <v>506</v>
      </c>
      <c r="J1174" s="31" t="s">
        <v>507</v>
      </c>
      <c r="K1174" s="31" t="s">
        <v>193</v>
      </c>
      <c r="L1174" s="31" t="s">
        <v>13</v>
      </c>
      <c r="M1174" s="31" t="s">
        <v>18</v>
      </c>
      <c r="N1174" s="31">
        <v>50</v>
      </c>
      <c r="O1174" s="31">
        <f>2024-Inventory[[#This Row],[YrBlt]]</f>
        <v>51</v>
      </c>
      <c r="P1174" s="31">
        <f>2024-Inventory[[#This Row],[EffYr]]</f>
        <v>46</v>
      </c>
      <c r="Q1174" s="30">
        <v>1973</v>
      </c>
      <c r="R1174" s="30">
        <v>1978</v>
      </c>
      <c r="S1174" s="30">
        <v>1375</v>
      </c>
      <c r="T1174" s="32"/>
      <c r="U1174" s="32"/>
      <c r="V1174" s="32"/>
      <c r="W1174" s="32"/>
      <c r="X1174" s="32">
        <f>Inventory[[#This Row],[Bsmt Area]]-Inventory[[#This Row],[FnBsmt]]</f>
        <v>0</v>
      </c>
      <c r="Y1174" s="32">
        <f>Inventory[[#This Row],[MainFn]]+Inventory[[#This Row],[UpprFn]]+Inventory[[#This Row],[AddFn]]+Inventory[[#This Row],[FnBsmt]]</f>
        <v>1375</v>
      </c>
      <c r="Z1174" s="32">
        <v>1500</v>
      </c>
      <c r="AA1174" s="31" t="s">
        <v>56</v>
      </c>
      <c r="AB1174" s="30">
        <v>1</v>
      </c>
      <c r="AC1174" s="37"/>
      <c r="AD1174" s="32"/>
      <c r="AE1174" s="32"/>
      <c r="AF1174" s="32"/>
      <c r="AG1174" s="32"/>
      <c r="AH1174" s="32"/>
      <c r="AI1174" s="30">
        <v>188186</v>
      </c>
      <c r="AJ1174" s="30">
        <v>143021</v>
      </c>
      <c r="AK1174" s="30">
        <v>0</v>
      </c>
      <c r="AL1174" s="30">
        <v>0</v>
      </c>
      <c r="AM1174" s="30">
        <v>67600</v>
      </c>
      <c r="AN1174" s="30">
        <v>192200</v>
      </c>
      <c r="AO1174" s="30">
        <v>259800</v>
      </c>
      <c r="AP1174" s="30">
        <f>Lookups!$B$58*0.6</f>
        <v>132535.48800000001</v>
      </c>
      <c r="AQ1174" s="30">
        <f>Lookups!$B$58*0.4</f>
        <v>88356.992000000013</v>
      </c>
      <c r="AR1174" s="30">
        <f>Lookups!$B$59*Inventory[[#This Row],[LnAcres]]</f>
        <v>-17679.426966554776</v>
      </c>
      <c r="AS1174" s="30">
        <f>VLOOKUP(Inventory[[#This Row],[Qlty]],Lookups!$A$66:$E$79,2,FALSE)</f>
        <v>0</v>
      </c>
      <c r="AT1174" s="30">
        <f>VLOOKUP(Inventory[[#This Row],[Cnd]],Lookups!$A$80:$E$88,2,FALSE)</f>
        <v>17761.121909000001</v>
      </c>
      <c r="AU1174" s="30">
        <f>Inventory[[#This Row],[EffAge]]*Lookups!$B$65</f>
        <v>-5002.0906000000004</v>
      </c>
      <c r="AV1174" s="30">
        <f>Inventory[[#This Row],[MainFn]]*Lookups!$B$90</f>
        <v>85814.272500000006</v>
      </c>
      <c r="AW1174" s="30">
        <f>Inventory[[#This Row],[UpprFn]]*Lookups!$B$91</f>
        <v>0</v>
      </c>
      <c r="AX1174" s="30">
        <f>Inventory[[#This Row],[Bsmt Area]]*Lookups!$B$95</f>
        <v>0</v>
      </c>
      <c r="AY1174" s="30">
        <f>Inventory[[#This Row],[AttGar]]*Lookups!$B$93</f>
        <v>0</v>
      </c>
      <c r="AZ1174" s="30">
        <f>ROUND(Inventory[[#This Row],[25Det]],-2)</f>
        <v>0</v>
      </c>
      <c r="BA1174" s="30">
        <f>ROUND(SUM(Inventory[[#This Row],[Mdl Qlty]:[Mdl Garage Area]])+Inventory[[#This Row],[Mdl Res Intercept]],-2)</f>
        <v>231100</v>
      </c>
      <c r="BB1174" s="30">
        <f>ROUND(Inventory[[#This Row],[Mdl Land Intercept]]+Inventory[[#This Row],[Mdl LnAcres]],-2)</f>
        <v>70700</v>
      </c>
      <c r="BC1174" s="30">
        <f>Inventory[[#This Row],[Unadj Res Value]]+Inventory[[#This Row],[Unadj Det Value]]+Inventory[[#This Row],[Unadj Land Value]]</f>
        <v>301800</v>
      </c>
      <c r="BD1174" s="30">
        <f>(Inventory[[#This Row],[Unadj Total Value]]-Inventory[[#This Row],[24Final]])/Inventory[[#This Row],[24Final]]</f>
        <v>0.16166281755196305</v>
      </c>
      <c r="BE1174" s="30">
        <f>VLOOKUP(Inventory[[#This Row],[Nbhd]],Lookups!$M$3:$P$5,4,FALSE)</f>
        <v>0.99970000000000003</v>
      </c>
      <c r="BF1174" s="30">
        <f>VLOOKUP(Inventory[[#This Row],[Qlty]],Lookups!$M$8:$P$22,4,FALSE)</f>
        <v>1.0003</v>
      </c>
      <c r="BG1174" s="30">
        <f>VLOOKUP(Inventory[[#This Row],[Cnd]],Lookups!$R$8:$U$17,4,FALSE)</f>
        <v>0.99680000000000002</v>
      </c>
      <c r="BH1174" s="30">
        <f>VLOOKUP(Inventory[[#This Row],[LivArea Range]],Lookups!$R$25:$U$43,4,FALSE)</f>
        <v>0.99519999999999997</v>
      </c>
      <c r="BI1174" s="30">
        <f>VLOOKUP(Inventory[[#This Row],[Decade]],Lookups!$M$24:$P$40,4,FALSE)</f>
        <v>0.98519999999999996</v>
      </c>
      <c r="BJ1174" s="30">
        <f>Inventory[[#This Row],[Nbhd Adj]]*0.95</f>
        <v>0.94971499999999998</v>
      </c>
      <c r="BK1174" s="30">
        <f>AVERAGE(Inventory[[#This Row],[Nbhd Adj]],Inventory[[#This Row],[Quality Adj]],Inventory[[#This Row],[Condition Adj]],Inventory[[#This Row],[Living Area Adj]],Inventory[[#This Row],[Decade Adj]])*0.95</f>
        <v>0.94566799999999995</v>
      </c>
      <c r="BL1174" s="30">
        <f>ROUND((SUM(Inventory[[#This Row],[Mdl Qlty]:[Mdl Garage Area]])+Inventory[[#This Row],[Mdl Res Intercept]])*Inventory[[#This Row],[Res Adj ]],-2)</f>
        <v>218600</v>
      </c>
      <c r="BM1174" s="30">
        <f>ROUND(Inventory[[#This Row],[25Det]]*Inventory[[#This Row],[Det/Nbhd Adj]],-2)</f>
        <v>0</v>
      </c>
      <c r="BN1174" s="30">
        <f>Inventory[[#This Row],[Adjusted Res]]+Inventory[[#This Row],[Adj Det ]]</f>
        <v>218600</v>
      </c>
      <c r="BO1174" s="30">
        <f>ROUND((Inventory[[#This Row],[Mdl Land Intercept]]+Inventory[[#This Row],[Mdl LnAcres]])*Inventory[[#This Row],[Det/Nbhd Adj]],-2)</f>
        <v>67100</v>
      </c>
      <c r="BP1174" s="30">
        <f>Inventory[[#This Row],[Adjusted Impr Total]]+Inventory[[#This Row],[Adjusted Land Total]]</f>
        <v>285700</v>
      </c>
      <c r="BQ1174" s="30">
        <f>IFERROR((Inventory[[#This Row],[Adjusted Impr Total]]-Inventory[[#This Row],[24Bldg]])/Inventory[[#This Row],[24Bldg]],0)</f>
        <v>0.13735691987513007</v>
      </c>
      <c r="BR1174" s="43">
        <f>(Inventory[[#This Row],[Adjusted Land Total]]-Inventory[[#This Row],[24Lnd]])/Inventory[[#This Row],[24Lnd]]</f>
        <v>-7.3964497041420114E-3</v>
      </c>
      <c r="BS1174" s="43">
        <f>(Inventory[[#This Row],[Adjusted Total]]-Inventory[[#This Row],[24Final]])/Inventory[[#This Row],[24Final]]</f>
        <v>9.9692070823710552E-2</v>
      </c>
    </row>
    <row r="1175" spans="1:71">
      <c r="A1175" s="30">
        <v>2025</v>
      </c>
      <c r="B1175" s="31" t="s">
        <v>1691</v>
      </c>
      <c r="C1175" s="36">
        <f>LN(Inventory[[#This Row],[Acres]])</f>
        <v>-1.0788096613719298</v>
      </c>
      <c r="D1175" s="38">
        <v>0.34</v>
      </c>
      <c r="E1175" s="30">
        <v>14786</v>
      </c>
      <c r="F1175" s="31" t="s">
        <v>505</v>
      </c>
      <c r="G1175" s="31" t="s">
        <v>155</v>
      </c>
      <c r="H1175" s="31" t="s">
        <v>5</v>
      </c>
      <c r="I1175" s="31" t="s">
        <v>506</v>
      </c>
      <c r="J1175" s="31" t="s">
        <v>507</v>
      </c>
      <c r="K1175" s="31" t="s">
        <v>193</v>
      </c>
      <c r="L1175" s="31" t="s">
        <v>15</v>
      </c>
      <c r="M1175" s="31" t="s">
        <v>18</v>
      </c>
      <c r="N1175" s="31">
        <v>50</v>
      </c>
      <c r="O1175" s="31">
        <f>2024-Inventory[[#This Row],[YrBlt]]</f>
        <v>51</v>
      </c>
      <c r="P1175" s="31">
        <f>2024-Inventory[[#This Row],[EffYr]]</f>
        <v>46</v>
      </c>
      <c r="Q1175" s="30">
        <v>1973</v>
      </c>
      <c r="R1175" s="30">
        <v>1978</v>
      </c>
      <c r="S1175" s="30">
        <v>1075</v>
      </c>
      <c r="T1175" s="32"/>
      <c r="U1175" s="32"/>
      <c r="V1175" s="37"/>
      <c r="W1175" s="32"/>
      <c r="X1175" s="32">
        <f>Inventory[[#This Row],[Bsmt Area]]-Inventory[[#This Row],[FnBsmt]]</f>
        <v>0</v>
      </c>
      <c r="Y1175" s="32">
        <f>Inventory[[#This Row],[MainFn]]+Inventory[[#This Row],[UpprFn]]+Inventory[[#This Row],[AddFn]]+Inventory[[#This Row],[FnBsmt]]</f>
        <v>1075</v>
      </c>
      <c r="Z1175" s="32">
        <v>1500</v>
      </c>
      <c r="AA1175" s="31" t="s">
        <v>56</v>
      </c>
      <c r="AB1175" s="32"/>
      <c r="AC1175" s="30">
        <v>300</v>
      </c>
      <c r="AD1175" s="32"/>
      <c r="AE1175" s="32"/>
      <c r="AF1175" s="32"/>
      <c r="AG1175" s="32"/>
      <c r="AH1175" s="32"/>
      <c r="AI1175" s="30">
        <v>175236</v>
      </c>
      <c r="AJ1175" s="30">
        <v>133179</v>
      </c>
      <c r="AK1175" s="30">
        <v>0</v>
      </c>
      <c r="AL1175" s="30">
        <v>0</v>
      </c>
      <c r="AM1175" s="30">
        <v>71400</v>
      </c>
      <c r="AN1175" s="30">
        <v>198100</v>
      </c>
      <c r="AO1175" s="30">
        <v>269500</v>
      </c>
      <c r="AP1175" s="30">
        <f>Lookups!$B$58*0.6</f>
        <v>132535.48800000001</v>
      </c>
      <c r="AQ1175" s="30">
        <f>Lookups!$B$58*0.4</f>
        <v>88356.992000000013</v>
      </c>
      <c r="AR1175" s="30">
        <f>Lookups!$B$59*Inventory[[#This Row],[LnAcres]]</f>
        <v>-14158.644293746507</v>
      </c>
      <c r="AS1175" s="30">
        <f>VLOOKUP(Inventory[[#This Row],[Qlty]],Lookups!$A$66:$E$79,2,FALSE)</f>
        <v>-1240.8083630000001</v>
      </c>
      <c r="AT1175" s="30">
        <f>VLOOKUP(Inventory[[#This Row],[Cnd]],Lookups!$A$80:$E$88,2,FALSE)</f>
        <v>17761.121909000001</v>
      </c>
      <c r="AU1175" s="30">
        <f>Inventory[[#This Row],[EffAge]]*Lookups!$B$65</f>
        <v>-5002.0906000000004</v>
      </c>
      <c r="AV1175" s="30">
        <f>Inventory[[#This Row],[MainFn]]*Lookups!$B$90</f>
        <v>67091.158500000005</v>
      </c>
      <c r="AW1175" s="30">
        <f>Inventory[[#This Row],[UpprFn]]*Lookups!$B$91</f>
        <v>0</v>
      </c>
      <c r="AX1175" s="30">
        <f>Inventory[[#This Row],[Bsmt Area]]*Lookups!$B$95</f>
        <v>0</v>
      </c>
      <c r="AY1175" s="30">
        <f>Inventory[[#This Row],[AttGar]]*Lookups!$B$93</f>
        <v>10590.309300000001</v>
      </c>
      <c r="AZ1175" s="30">
        <f>ROUND(Inventory[[#This Row],[25Det]],-2)</f>
        <v>0</v>
      </c>
      <c r="BA1175" s="30">
        <f>ROUND(SUM(Inventory[[#This Row],[Mdl Qlty]:[Mdl Garage Area]])+Inventory[[#This Row],[Mdl Res Intercept]],-2)</f>
        <v>221700</v>
      </c>
      <c r="BB1175" s="30">
        <f>ROUND(Inventory[[#This Row],[Mdl Land Intercept]]+Inventory[[#This Row],[Mdl LnAcres]],-2)</f>
        <v>74200</v>
      </c>
      <c r="BC1175" s="30">
        <f>Inventory[[#This Row],[Unadj Res Value]]+Inventory[[#This Row],[Unadj Det Value]]+Inventory[[#This Row],[Unadj Land Value]]</f>
        <v>295900</v>
      </c>
      <c r="BD1175" s="30">
        <f>(Inventory[[#This Row],[Unadj Total Value]]-Inventory[[#This Row],[24Final]])/Inventory[[#This Row],[24Final]]</f>
        <v>9.7959183673469383E-2</v>
      </c>
      <c r="BE1175" s="30">
        <f>VLOOKUP(Inventory[[#This Row],[Nbhd]],Lookups!$M$3:$P$5,4,FALSE)</f>
        <v>0.99970000000000003</v>
      </c>
      <c r="BF1175" s="30">
        <f>VLOOKUP(Inventory[[#This Row],[Qlty]],Lookups!$M$8:$P$22,4,FALSE)</f>
        <v>1.0022</v>
      </c>
      <c r="BG1175" s="30">
        <f>VLOOKUP(Inventory[[#This Row],[Cnd]],Lookups!$R$8:$U$17,4,FALSE)</f>
        <v>0.99680000000000002</v>
      </c>
      <c r="BH1175" s="30">
        <f>VLOOKUP(Inventory[[#This Row],[LivArea Range]],Lookups!$R$25:$U$43,4,FALSE)</f>
        <v>0.99519999999999997</v>
      </c>
      <c r="BI1175" s="30">
        <f>VLOOKUP(Inventory[[#This Row],[Decade]],Lookups!$M$24:$P$40,4,FALSE)</f>
        <v>0.98519999999999996</v>
      </c>
      <c r="BJ1175" s="30">
        <f>Inventory[[#This Row],[Nbhd Adj]]*0.95</f>
        <v>0.94971499999999998</v>
      </c>
      <c r="BK1175" s="30">
        <f>AVERAGE(Inventory[[#This Row],[Nbhd Adj]],Inventory[[#This Row],[Quality Adj]],Inventory[[#This Row],[Condition Adj]],Inventory[[#This Row],[Living Area Adj]],Inventory[[#This Row],[Decade Adj]])*0.95</f>
        <v>0.9460289999999999</v>
      </c>
      <c r="BL1175" s="30">
        <f>ROUND((SUM(Inventory[[#This Row],[Mdl Qlty]:[Mdl Garage Area]])+Inventory[[#This Row],[Mdl Res Intercept]])*Inventory[[#This Row],[Res Adj ]],-2)</f>
        <v>209800</v>
      </c>
      <c r="BM1175" s="30">
        <f>ROUND(Inventory[[#This Row],[25Det]]*Inventory[[#This Row],[Det/Nbhd Adj]],-2)</f>
        <v>0</v>
      </c>
      <c r="BN1175" s="30">
        <f>Inventory[[#This Row],[Adjusted Res]]+Inventory[[#This Row],[Adj Det ]]</f>
        <v>209800</v>
      </c>
      <c r="BO1175" s="30">
        <f>ROUND((Inventory[[#This Row],[Mdl Land Intercept]]+Inventory[[#This Row],[Mdl LnAcres]])*Inventory[[#This Row],[Det/Nbhd Adj]],-2)</f>
        <v>70500</v>
      </c>
      <c r="BP1175" s="30">
        <f>Inventory[[#This Row],[Adjusted Impr Total]]+Inventory[[#This Row],[Adjusted Land Total]]</f>
        <v>280300</v>
      </c>
      <c r="BQ1175" s="30">
        <f>IFERROR((Inventory[[#This Row],[Adjusted Impr Total]]-Inventory[[#This Row],[24Bldg]])/Inventory[[#This Row],[24Bldg]],0)</f>
        <v>5.9061080262493688E-2</v>
      </c>
      <c r="BR1175" s="43">
        <f>(Inventory[[#This Row],[Adjusted Land Total]]-Inventory[[#This Row],[24Lnd]])/Inventory[[#This Row],[24Lnd]]</f>
        <v>-1.2605042016806723E-2</v>
      </c>
      <c r="BS1175" s="43">
        <f>(Inventory[[#This Row],[Adjusted Total]]-Inventory[[#This Row],[24Final]])/Inventory[[#This Row],[24Final]]</f>
        <v>4.0074211502782932E-2</v>
      </c>
    </row>
    <row r="1176" spans="1:71">
      <c r="A1176" s="30">
        <v>2025</v>
      </c>
      <c r="B1176" s="31" t="s">
        <v>1692</v>
      </c>
      <c r="C1176" s="31">
        <f>LN(Inventory[[#This Row],[Acres]])</f>
        <v>-1.0498221244986778</v>
      </c>
      <c r="D1176" s="38">
        <v>0.35</v>
      </c>
      <c r="E1176" s="38">
        <v>15143</v>
      </c>
      <c r="F1176" s="31" t="s">
        <v>505</v>
      </c>
      <c r="G1176" s="31" t="s">
        <v>155</v>
      </c>
      <c r="H1176" s="31" t="s">
        <v>5</v>
      </c>
      <c r="I1176" s="31" t="s">
        <v>506</v>
      </c>
      <c r="J1176" s="31" t="s">
        <v>507</v>
      </c>
      <c r="K1176" s="31" t="s">
        <v>193</v>
      </c>
      <c r="L1176" s="31" t="s">
        <v>15</v>
      </c>
      <c r="M1176" s="31" t="s">
        <v>18</v>
      </c>
      <c r="N1176" s="31">
        <v>50</v>
      </c>
      <c r="O1176" s="31">
        <f>2024-Inventory[[#This Row],[YrBlt]]</f>
        <v>51</v>
      </c>
      <c r="P1176" s="31">
        <f>2024-Inventory[[#This Row],[EffYr]]</f>
        <v>46</v>
      </c>
      <c r="Q1176" s="30">
        <v>1973</v>
      </c>
      <c r="R1176" s="30">
        <v>1978</v>
      </c>
      <c r="S1176" s="30">
        <v>1055</v>
      </c>
      <c r="T1176" s="32"/>
      <c r="U1176" s="32"/>
      <c r="V1176" s="32"/>
      <c r="W1176" s="32"/>
      <c r="X1176" s="32">
        <f>Inventory[[#This Row],[Bsmt Area]]-Inventory[[#This Row],[FnBsmt]]</f>
        <v>0</v>
      </c>
      <c r="Y1176" s="32">
        <f>Inventory[[#This Row],[MainFn]]+Inventory[[#This Row],[UpprFn]]+Inventory[[#This Row],[AddFn]]+Inventory[[#This Row],[FnBsmt]]</f>
        <v>1055</v>
      </c>
      <c r="Z1176" s="32">
        <v>1500</v>
      </c>
      <c r="AA1176" s="31" t="s">
        <v>56</v>
      </c>
      <c r="AB1176" s="32"/>
      <c r="AC1176" s="30">
        <v>300</v>
      </c>
      <c r="AD1176" s="32"/>
      <c r="AE1176" s="32"/>
      <c r="AF1176" s="32"/>
      <c r="AG1176" s="32"/>
      <c r="AH1176" s="32"/>
      <c r="AI1176" s="30">
        <v>178871</v>
      </c>
      <c r="AJ1176" s="30">
        <v>135942</v>
      </c>
      <c r="AK1176" s="30">
        <v>36871</v>
      </c>
      <c r="AL1176" s="30">
        <v>0</v>
      </c>
      <c r="AM1176" s="30">
        <v>71800</v>
      </c>
      <c r="AN1176" s="30">
        <v>228700</v>
      </c>
      <c r="AO1176" s="30">
        <v>300500</v>
      </c>
      <c r="AP1176" s="30">
        <f>Lookups!$B$58*0.6</f>
        <v>132535.48800000001</v>
      </c>
      <c r="AQ1176" s="30">
        <f>Lookups!$B$58*0.4</f>
        <v>88356.992000000013</v>
      </c>
      <c r="AR1176" s="30">
        <f>Lookups!$B$59*Inventory[[#This Row],[LnAcres]]</f>
        <v>-13778.202554822612</v>
      </c>
      <c r="AS1176" s="30">
        <f>VLOOKUP(Inventory[[#This Row],[Qlty]],Lookups!$A$66:$E$79,2,FALSE)</f>
        <v>-1240.8083630000001</v>
      </c>
      <c r="AT1176" s="30">
        <f>VLOOKUP(Inventory[[#This Row],[Cnd]],Lookups!$A$80:$E$88,2,FALSE)</f>
        <v>17761.121909000001</v>
      </c>
      <c r="AU1176" s="30">
        <f>Inventory[[#This Row],[EffAge]]*Lookups!$B$65</f>
        <v>-5002.0906000000004</v>
      </c>
      <c r="AV1176" s="30">
        <f>Inventory[[#This Row],[MainFn]]*Lookups!$B$90</f>
        <v>65842.950900000011</v>
      </c>
      <c r="AW1176" s="30">
        <f>Inventory[[#This Row],[UpprFn]]*Lookups!$B$91</f>
        <v>0</v>
      </c>
      <c r="AX1176" s="30">
        <f>Inventory[[#This Row],[Bsmt Area]]*Lookups!$B$95</f>
        <v>0</v>
      </c>
      <c r="AY1176" s="30">
        <f>Inventory[[#This Row],[AttGar]]*Lookups!$B$93</f>
        <v>10590.309300000001</v>
      </c>
      <c r="AZ1176" s="30">
        <f>ROUND(Inventory[[#This Row],[25Det]],-2)</f>
        <v>36900</v>
      </c>
      <c r="BA1176" s="30">
        <f>ROUND(SUM(Inventory[[#This Row],[Mdl Qlty]:[Mdl Garage Area]])+Inventory[[#This Row],[Mdl Res Intercept]],-2)</f>
        <v>220500</v>
      </c>
      <c r="BB1176" s="30">
        <f>ROUND(Inventory[[#This Row],[Mdl Land Intercept]]+Inventory[[#This Row],[Mdl LnAcres]],-2)</f>
        <v>74600</v>
      </c>
      <c r="BC1176" s="30">
        <f>Inventory[[#This Row],[Unadj Res Value]]+Inventory[[#This Row],[Unadj Det Value]]+Inventory[[#This Row],[Unadj Land Value]]</f>
        <v>332000</v>
      </c>
      <c r="BD1176" s="30">
        <f>(Inventory[[#This Row],[Unadj Total Value]]-Inventory[[#This Row],[24Final]])/Inventory[[#This Row],[24Final]]</f>
        <v>0.1048252911813644</v>
      </c>
      <c r="BE1176" s="30">
        <f>VLOOKUP(Inventory[[#This Row],[Nbhd]],Lookups!$M$3:$P$5,4,FALSE)</f>
        <v>0.99970000000000003</v>
      </c>
      <c r="BF1176" s="30">
        <f>VLOOKUP(Inventory[[#This Row],[Qlty]],Lookups!$M$8:$P$22,4,FALSE)</f>
        <v>1.0022</v>
      </c>
      <c r="BG1176" s="30">
        <f>VLOOKUP(Inventory[[#This Row],[Cnd]],Lookups!$R$8:$U$17,4,FALSE)</f>
        <v>0.99680000000000002</v>
      </c>
      <c r="BH1176" s="30">
        <f>VLOOKUP(Inventory[[#This Row],[LivArea Range]],Lookups!$R$25:$U$43,4,FALSE)</f>
        <v>0.99519999999999997</v>
      </c>
      <c r="BI1176" s="30">
        <f>VLOOKUP(Inventory[[#This Row],[Decade]],Lookups!$M$24:$P$40,4,FALSE)</f>
        <v>0.98519999999999996</v>
      </c>
      <c r="BJ1176" s="30">
        <f>Inventory[[#This Row],[Nbhd Adj]]*0.95</f>
        <v>0.94971499999999998</v>
      </c>
      <c r="BK1176" s="30">
        <f>AVERAGE(Inventory[[#This Row],[Nbhd Adj]],Inventory[[#This Row],[Quality Adj]],Inventory[[#This Row],[Condition Adj]],Inventory[[#This Row],[Living Area Adj]],Inventory[[#This Row],[Decade Adj]])*0.95</f>
        <v>0.9460289999999999</v>
      </c>
      <c r="BL1176" s="30">
        <f>ROUND((SUM(Inventory[[#This Row],[Mdl Qlty]:[Mdl Garage Area]])+Inventory[[#This Row],[Mdl Res Intercept]])*Inventory[[#This Row],[Res Adj ]],-2)</f>
        <v>208600</v>
      </c>
      <c r="BM1176" s="30">
        <f>ROUND(Inventory[[#This Row],[25Det]]*Inventory[[#This Row],[Det/Nbhd Adj]],-2)</f>
        <v>35000</v>
      </c>
      <c r="BN1176" s="30">
        <f>Inventory[[#This Row],[Adjusted Res]]+Inventory[[#This Row],[Adj Det ]]</f>
        <v>243600</v>
      </c>
      <c r="BO1176" s="30">
        <f>ROUND((Inventory[[#This Row],[Mdl Land Intercept]]+Inventory[[#This Row],[Mdl LnAcres]])*Inventory[[#This Row],[Det/Nbhd Adj]],-2)</f>
        <v>70800</v>
      </c>
      <c r="BP1176" s="30">
        <f>Inventory[[#This Row],[Adjusted Impr Total]]+Inventory[[#This Row],[Adjusted Land Total]]</f>
        <v>314400</v>
      </c>
      <c r="BQ1176" s="30">
        <f>IFERROR((Inventory[[#This Row],[Adjusted Impr Total]]-Inventory[[#This Row],[24Bldg]])/Inventory[[#This Row],[24Bldg]],0)</f>
        <v>6.5150852645386975E-2</v>
      </c>
      <c r="BR1176" s="43">
        <f>(Inventory[[#This Row],[Adjusted Land Total]]-Inventory[[#This Row],[24Lnd]])/Inventory[[#This Row],[24Lnd]]</f>
        <v>-1.3927576601671309E-2</v>
      </c>
      <c r="BS1176" s="43">
        <f>(Inventory[[#This Row],[Adjusted Total]]-Inventory[[#This Row],[24Final]])/Inventory[[#This Row],[24Final]]</f>
        <v>4.6256239600665557E-2</v>
      </c>
    </row>
    <row r="1177" spans="1:71">
      <c r="A1177" s="30">
        <v>2025</v>
      </c>
      <c r="B1177" s="31" t="s">
        <v>1693</v>
      </c>
      <c r="C1177" s="31">
        <f>LN(Inventory[[#This Row],[Acres]])</f>
        <v>-0.43078291609245423</v>
      </c>
      <c r="D1177" s="38">
        <v>0.65</v>
      </c>
      <c r="E1177" s="30">
        <v>28215</v>
      </c>
      <c r="F1177" s="31" t="s">
        <v>505</v>
      </c>
      <c r="G1177" s="31" t="s">
        <v>155</v>
      </c>
      <c r="H1177" s="31" t="s">
        <v>5</v>
      </c>
      <c r="I1177" s="31" t="s">
        <v>506</v>
      </c>
      <c r="J1177" s="31" t="s">
        <v>507</v>
      </c>
      <c r="K1177" s="31" t="s">
        <v>1694</v>
      </c>
      <c r="L1177" s="31" t="s">
        <v>19</v>
      </c>
      <c r="M1177" s="31" t="s">
        <v>18</v>
      </c>
      <c r="N1177" s="31">
        <v>50</v>
      </c>
      <c r="O1177" s="31">
        <f>2024-Inventory[[#This Row],[YrBlt]]</f>
        <v>51</v>
      </c>
      <c r="P1177" s="31">
        <f>2024-Inventory[[#This Row],[EffYr]]</f>
        <v>46</v>
      </c>
      <c r="Q1177" s="30">
        <v>1973</v>
      </c>
      <c r="R1177" s="30">
        <v>1978</v>
      </c>
      <c r="S1177" s="30">
        <v>1086</v>
      </c>
      <c r="T1177" s="32"/>
      <c r="U1177" s="38">
        <v>1086</v>
      </c>
      <c r="V1177" s="32"/>
      <c r="W1177" s="38">
        <v>1086</v>
      </c>
      <c r="X1177" s="38">
        <f>Inventory[[#This Row],[Bsmt Area]]-Inventory[[#This Row],[FnBsmt]]</f>
        <v>0</v>
      </c>
      <c r="Y1177" s="38">
        <f>Inventory[[#This Row],[MainFn]]+Inventory[[#This Row],[UpprFn]]+Inventory[[#This Row],[AddFn]]+Inventory[[#This Row],[FnBsmt]]</f>
        <v>2172</v>
      </c>
      <c r="Z1177" s="32">
        <v>2500</v>
      </c>
      <c r="AA1177" s="31" t="s">
        <v>56</v>
      </c>
      <c r="AB1177" s="32"/>
      <c r="AC1177" s="37"/>
      <c r="AD1177" s="32"/>
      <c r="AE1177" s="32"/>
      <c r="AF1177" s="32"/>
      <c r="AG1177" s="32"/>
      <c r="AH1177" s="32"/>
      <c r="AI1177" s="30">
        <v>344855</v>
      </c>
      <c r="AJ1177" s="30">
        <v>262090</v>
      </c>
      <c r="AK1177" s="30">
        <v>19813</v>
      </c>
      <c r="AL1177" s="30">
        <v>0</v>
      </c>
      <c r="AM1177" s="30">
        <v>80500</v>
      </c>
      <c r="AN1177" s="30">
        <v>234200</v>
      </c>
      <c r="AO1177" s="30">
        <v>314700</v>
      </c>
      <c r="AP1177" s="30">
        <f>Lookups!$B$58*0.6</f>
        <v>132535.48800000001</v>
      </c>
      <c r="AQ1177" s="30">
        <f>Lookups!$B$58*0.4</f>
        <v>88356.992000000013</v>
      </c>
      <c r="AR1177" s="30">
        <f>Lookups!$B$59*Inventory[[#This Row],[LnAcres]]</f>
        <v>-5653.7332721134353</v>
      </c>
      <c r="AS1177" s="30">
        <f>VLOOKUP(Inventory[[#This Row],[Qlty]],Lookups!$A$66:$E$79,2,FALSE)</f>
        <v>37154.252388000001</v>
      </c>
      <c r="AT1177" s="30">
        <f>VLOOKUP(Inventory[[#This Row],[Cnd]],Lookups!$A$80:$E$88,2,FALSE)</f>
        <v>17761.121909000001</v>
      </c>
      <c r="AU1177" s="30">
        <f>Inventory[[#This Row],[EffAge]]*Lookups!$B$65</f>
        <v>-5002.0906000000004</v>
      </c>
      <c r="AV1177" s="30">
        <f>Inventory[[#This Row],[MainFn]]*Lookups!$B$90</f>
        <v>67777.672680000003</v>
      </c>
      <c r="AW1177" s="30">
        <f>Inventory[[#This Row],[UpprFn]]*Lookups!$B$91</f>
        <v>0</v>
      </c>
      <c r="AX1177" s="30">
        <f>Inventory[[#This Row],[Bsmt Area]]*Lookups!$B$95</f>
        <v>67968.934655999998</v>
      </c>
      <c r="AY1177" s="30">
        <f>Inventory[[#This Row],[AttGar]]*Lookups!$B$93</f>
        <v>0</v>
      </c>
      <c r="AZ1177" s="30">
        <f>ROUND(Inventory[[#This Row],[25Det]],-2)</f>
        <v>19800</v>
      </c>
      <c r="BA1177" s="30">
        <f>ROUND(SUM(Inventory[[#This Row],[Mdl Qlty]:[Mdl Garage Area]])+Inventory[[#This Row],[Mdl Res Intercept]],-2)</f>
        <v>318200</v>
      </c>
      <c r="BB1177" s="30">
        <f>ROUND(Inventory[[#This Row],[Mdl Land Intercept]]+Inventory[[#This Row],[Mdl LnAcres]],-2)</f>
        <v>82700</v>
      </c>
      <c r="BC1177" s="30">
        <f>Inventory[[#This Row],[Unadj Res Value]]+Inventory[[#This Row],[Unadj Det Value]]+Inventory[[#This Row],[Unadj Land Value]]</f>
        <v>420700</v>
      </c>
      <c r="BD1177" s="30">
        <f>(Inventory[[#This Row],[Unadj Total Value]]-Inventory[[#This Row],[24Final]])/Inventory[[#This Row],[24Final]]</f>
        <v>0.33682872577057515</v>
      </c>
      <c r="BE1177" s="30">
        <f>VLOOKUP(Inventory[[#This Row],[Nbhd]],Lookups!$M$3:$P$5,4,FALSE)</f>
        <v>0.99970000000000003</v>
      </c>
      <c r="BF1177" s="30">
        <f>VLOOKUP(Inventory[[#This Row],[Qlty]],Lookups!$M$8:$P$22,4,FALSE)</f>
        <v>0.99819999999999998</v>
      </c>
      <c r="BG1177" s="30">
        <f>VLOOKUP(Inventory[[#This Row],[Cnd]],Lookups!$R$8:$U$17,4,FALSE)</f>
        <v>0.99680000000000002</v>
      </c>
      <c r="BH1177" s="30">
        <f>VLOOKUP(Inventory[[#This Row],[LivArea Range]],Lookups!$R$25:$U$43,4,FALSE)</f>
        <v>1.0008999999999999</v>
      </c>
      <c r="BI1177" s="30">
        <f>VLOOKUP(Inventory[[#This Row],[Decade]],Lookups!$M$24:$P$40,4,FALSE)</f>
        <v>0.98519999999999996</v>
      </c>
      <c r="BJ1177" s="30">
        <f>Inventory[[#This Row],[Nbhd Adj]]*0.95</f>
        <v>0.94971499999999998</v>
      </c>
      <c r="BK1177" s="30">
        <f>AVERAGE(Inventory[[#This Row],[Nbhd Adj]],Inventory[[#This Row],[Quality Adj]],Inventory[[#This Row],[Condition Adj]],Inventory[[#This Row],[Living Area Adj]],Inventory[[#This Row],[Decade Adj]])*0.95</f>
        <v>0.94635199999999986</v>
      </c>
      <c r="BL1177" s="30">
        <f>ROUND((SUM(Inventory[[#This Row],[Mdl Qlty]:[Mdl Garage Area]])+Inventory[[#This Row],[Mdl Res Intercept]])*Inventory[[#This Row],[Res Adj ]],-2)</f>
        <v>301100</v>
      </c>
      <c r="BM1177" s="30">
        <f>ROUND(Inventory[[#This Row],[25Det]]*Inventory[[#This Row],[Det/Nbhd Adj]],-2)</f>
        <v>18800</v>
      </c>
      <c r="BN1177" s="30">
        <f>Inventory[[#This Row],[Adjusted Res]]+Inventory[[#This Row],[Adj Det ]]</f>
        <v>319900</v>
      </c>
      <c r="BO1177" s="30">
        <f>ROUND((Inventory[[#This Row],[Mdl Land Intercept]]+Inventory[[#This Row],[Mdl LnAcres]])*Inventory[[#This Row],[Det/Nbhd Adj]],-2)</f>
        <v>78500</v>
      </c>
      <c r="BP1177" s="30">
        <f>Inventory[[#This Row],[Adjusted Impr Total]]+Inventory[[#This Row],[Adjusted Land Total]]</f>
        <v>398400</v>
      </c>
      <c r="BQ1177" s="30">
        <f>IFERROR((Inventory[[#This Row],[Adjusted Impr Total]]-Inventory[[#This Row],[24Bldg]])/Inventory[[#This Row],[24Bldg]],0)</f>
        <v>0.36592655849701111</v>
      </c>
      <c r="BR1177" s="43">
        <f>(Inventory[[#This Row],[Adjusted Land Total]]-Inventory[[#This Row],[24Lnd]])/Inventory[[#This Row],[24Lnd]]</f>
        <v>-2.4844720496894408E-2</v>
      </c>
      <c r="BS1177" s="43">
        <f>(Inventory[[#This Row],[Adjusted Total]]-Inventory[[#This Row],[24Final]])/Inventory[[#This Row],[24Final]]</f>
        <v>0.26596758817921828</v>
      </c>
    </row>
    <row r="1178" spans="1:71">
      <c r="A1178" s="30">
        <v>2025</v>
      </c>
      <c r="B1178" s="31" t="s">
        <v>1695</v>
      </c>
      <c r="C1178" s="36">
        <f>LN(Inventory[[#This Row],[Acres]])</f>
        <v>-0.35667494393873245</v>
      </c>
      <c r="D1178" s="38">
        <v>0.7</v>
      </c>
      <c r="E1178" s="30">
        <v>30440</v>
      </c>
      <c r="F1178" s="31" t="s">
        <v>505</v>
      </c>
      <c r="G1178" s="31" t="s">
        <v>155</v>
      </c>
      <c r="H1178" s="31" t="s">
        <v>5</v>
      </c>
      <c r="I1178" s="31" t="s">
        <v>506</v>
      </c>
      <c r="J1178" s="31" t="s">
        <v>507</v>
      </c>
      <c r="K1178" s="31" t="s">
        <v>193</v>
      </c>
      <c r="L1178" s="31" t="s">
        <v>21</v>
      </c>
      <c r="M1178" s="31" t="s">
        <v>18</v>
      </c>
      <c r="N1178" s="31">
        <v>50</v>
      </c>
      <c r="O1178" s="31">
        <f>2024-Inventory[[#This Row],[YrBlt]]</f>
        <v>51</v>
      </c>
      <c r="P1178" s="31">
        <f>2024-Inventory[[#This Row],[EffYr]]</f>
        <v>46</v>
      </c>
      <c r="Q1178" s="30">
        <v>1973</v>
      </c>
      <c r="R1178" s="30">
        <v>1978</v>
      </c>
      <c r="S1178" s="30">
        <v>2784</v>
      </c>
      <c r="T1178" s="37"/>
      <c r="U1178" s="32"/>
      <c r="V1178" s="32"/>
      <c r="W1178" s="32"/>
      <c r="X1178" s="32">
        <f>Inventory[[#This Row],[Bsmt Area]]-Inventory[[#This Row],[FnBsmt]]</f>
        <v>0</v>
      </c>
      <c r="Y1178" s="32">
        <f>Inventory[[#This Row],[MainFn]]+Inventory[[#This Row],[UpprFn]]+Inventory[[#This Row],[AddFn]]+Inventory[[#This Row],[FnBsmt]]</f>
        <v>2784</v>
      </c>
      <c r="Z1178" s="32">
        <v>3000</v>
      </c>
      <c r="AA1178" s="31" t="s">
        <v>57</v>
      </c>
      <c r="AB1178" s="32"/>
      <c r="AC1178" s="30">
        <v>676</v>
      </c>
      <c r="AD1178" s="37"/>
      <c r="AE1178" s="32"/>
      <c r="AF1178" s="32"/>
      <c r="AG1178" s="32"/>
      <c r="AH1178" s="32"/>
      <c r="AI1178" s="30">
        <v>609059</v>
      </c>
      <c r="AJ1178" s="30">
        <v>462885</v>
      </c>
      <c r="AK1178" s="30">
        <v>23745</v>
      </c>
      <c r="AL1178" s="30">
        <v>0</v>
      </c>
      <c r="AM1178" s="30">
        <v>81500</v>
      </c>
      <c r="AN1178" s="30">
        <v>341500</v>
      </c>
      <c r="AO1178" s="30">
        <v>423000</v>
      </c>
      <c r="AP1178" s="30">
        <f>Lookups!$B$58*0.6</f>
        <v>132535.48800000001</v>
      </c>
      <c r="AQ1178" s="30">
        <f>Lookups!$B$58*0.4</f>
        <v>88356.992000000013</v>
      </c>
      <c r="AR1178" s="30">
        <f>Lookups!$B$59*Inventory[[#This Row],[LnAcres]]</f>
        <v>-4681.1164569089287</v>
      </c>
      <c r="AS1178" s="30">
        <f>VLOOKUP(Inventory[[#This Row],[Qlty]],Lookups!$A$66:$E$79,2,FALSE)</f>
        <v>32917.849192000001</v>
      </c>
      <c r="AT1178" s="30">
        <f>VLOOKUP(Inventory[[#This Row],[Cnd]],Lookups!$A$80:$E$88,2,FALSE)</f>
        <v>17761.121909000001</v>
      </c>
      <c r="AU1178" s="30">
        <f>Inventory[[#This Row],[EffAge]]*Lookups!$B$65</f>
        <v>-5002.0906000000004</v>
      </c>
      <c r="AV1178" s="30">
        <f>Inventory[[#This Row],[MainFn]]*Lookups!$B$90</f>
        <v>173750.49792000002</v>
      </c>
      <c r="AW1178" s="30">
        <f>Inventory[[#This Row],[UpprFn]]*Lookups!$B$91</f>
        <v>0</v>
      </c>
      <c r="AX1178" s="30">
        <f>Inventory[[#This Row],[Bsmt Area]]*Lookups!$B$95</f>
        <v>0</v>
      </c>
      <c r="AY1178" s="30">
        <f>Inventory[[#This Row],[AttGar]]*Lookups!$B$93</f>
        <v>23863.496956000003</v>
      </c>
      <c r="AZ1178" s="30">
        <f>ROUND(Inventory[[#This Row],[25Det]],-2)</f>
        <v>23700</v>
      </c>
      <c r="BA1178" s="30">
        <f>ROUND(SUM(Inventory[[#This Row],[Mdl Qlty]:[Mdl Garage Area]])+Inventory[[#This Row],[Mdl Res Intercept]],-2)</f>
        <v>375800</v>
      </c>
      <c r="BB1178" s="30">
        <f>ROUND(Inventory[[#This Row],[Mdl Land Intercept]]+Inventory[[#This Row],[Mdl LnAcres]],-2)</f>
        <v>83700</v>
      </c>
      <c r="BC1178" s="30">
        <f>Inventory[[#This Row],[Unadj Res Value]]+Inventory[[#This Row],[Unadj Det Value]]+Inventory[[#This Row],[Unadj Land Value]]</f>
        <v>483200</v>
      </c>
      <c r="BD1178" s="30">
        <f>(Inventory[[#This Row],[Unadj Total Value]]-Inventory[[#This Row],[24Final]])/Inventory[[#This Row],[24Final]]</f>
        <v>0.14231678486997637</v>
      </c>
      <c r="BE1178" s="30">
        <f>VLOOKUP(Inventory[[#This Row],[Nbhd]],Lookups!$M$3:$P$5,4,FALSE)</f>
        <v>0.99970000000000003</v>
      </c>
      <c r="BF1178" s="30">
        <f>VLOOKUP(Inventory[[#This Row],[Qlty]],Lookups!$M$8:$P$22,4,FALSE)</f>
        <v>1.0019</v>
      </c>
      <c r="BG1178" s="30">
        <f>VLOOKUP(Inventory[[#This Row],[Cnd]],Lookups!$R$8:$U$17,4,FALSE)</f>
        <v>0.99680000000000002</v>
      </c>
      <c r="BH1178" s="30">
        <f>VLOOKUP(Inventory[[#This Row],[LivArea Range]],Lookups!$R$25:$U$43,4,FALSE)</f>
        <v>1.0099</v>
      </c>
      <c r="BI1178" s="30">
        <f>VLOOKUP(Inventory[[#This Row],[Decade]],Lookups!$M$24:$P$40,4,FALSE)</f>
        <v>0.98519999999999996</v>
      </c>
      <c r="BJ1178" s="30">
        <f>Inventory[[#This Row],[Nbhd Adj]]*0.95</f>
        <v>0.94971499999999998</v>
      </c>
      <c r="BK1178" s="30">
        <f>AVERAGE(Inventory[[#This Row],[Nbhd Adj]],Inventory[[#This Row],[Quality Adj]],Inventory[[#This Row],[Condition Adj]],Inventory[[#This Row],[Living Area Adj]],Inventory[[#This Row],[Decade Adj]])*0.95</f>
        <v>0.94876499999999997</v>
      </c>
      <c r="BL1178" s="30">
        <f>ROUND((SUM(Inventory[[#This Row],[Mdl Qlty]:[Mdl Garage Area]])+Inventory[[#This Row],[Mdl Res Intercept]])*Inventory[[#This Row],[Res Adj ]],-2)</f>
        <v>356600</v>
      </c>
      <c r="BM1178" s="30">
        <f>ROUND(Inventory[[#This Row],[25Det]]*Inventory[[#This Row],[Det/Nbhd Adj]],-2)</f>
        <v>22600</v>
      </c>
      <c r="BN1178" s="30">
        <f>Inventory[[#This Row],[Adjusted Res]]+Inventory[[#This Row],[Adj Det ]]</f>
        <v>379200</v>
      </c>
      <c r="BO1178" s="30">
        <f>ROUND((Inventory[[#This Row],[Mdl Land Intercept]]+Inventory[[#This Row],[Mdl LnAcres]])*Inventory[[#This Row],[Det/Nbhd Adj]],-2)</f>
        <v>79500</v>
      </c>
      <c r="BP1178" s="30">
        <f>Inventory[[#This Row],[Adjusted Impr Total]]+Inventory[[#This Row],[Adjusted Land Total]]</f>
        <v>458700</v>
      </c>
      <c r="BQ1178" s="30">
        <f>IFERROR((Inventory[[#This Row],[Adjusted Impr Total]]-Inventory[[#This Row],[24Bldg]])/Inventory[[#This Row],[24Bldg]],0)</f>
        <v>0.11039531478770132</v>
      </c>
      <c r="BR1178" s="43">
        <f>(Inventory[[#This Row],[Adjusted Land Total]]-Inventory[[#This Row],[24Lnd]])/Inventory[[#This Row],[24Lnd]]</f>
        <v>-2.4539877300613498E-2</v>
      </c>
      <c r="BS1178" s="43">
        <f>(Inventory[[#This Row],[Adjusted Total]]-Inventory[[#This Row],[24Final]])/Inventory[[#This Row],[24Final]]</f>
        <v>8.4397163120567373E-2</v>
      </c>
    </row>
    <row r="1179" spans="1:71">
      <c r="A1179" s="30">
        <v>2025</v>
      </c>
      <c r="B1179" s="31" t="s">
        <v>1696</v>
      </c>
      <c r="C1179" s="36">
        <f>LN(Inventory[[#This Row],[Acres]])</f>
        <v>1.3428648031925547</v>
      </c>
      <c r="D1179" s="38">
        <v>3.83</v>
      </c>
      <c r="E1179" s="30">
        <v>166986</v>
      </c>
      <c r="F1179" s="31" t="s">
        <v>505</v>
      </c>
      <c r="G1179" s="31" t="s">
        <v>155</v>
      </c>
      <c r="H1179" s="31" t="s">
        <v>5</v>
      </c>
      <c r="I1179" s="31" t="s">
        <v>506</v>
      </c>
      <c r="J1179" s="31" t="s">
        <v>507</v>
      </c>
      <c r="K1179" s="31" t="s">
        <v>193</v>
      </c>
      <c r="L1179" s="31" t="s">
        <v>17</v>
      </c>
      <c r="M1179" s="31" t="s">
        <v>18</v>
      </c>
      <c r="N1179" s="31">
        <v>50</v>
      </c>
      <c r="O1179" s="31">
        <f>2024-Inventory[[#This Row],[YrBlt]]</f>
        <v>51</v>
      </c>
      <c r="P1179" s="31">
        <f>2024-Inventory[[#This Row],[EffYr]]</f>
        <v>46</v>
      </c>
      <c r="Q1179" s="30">
        <v>1973</v>
      </c>
      <c r="R1179" s="30">
        <v>1978</v>
      </c>
      <c r="S1179" s="30">
        <v>1494</v>
      </c>
      <c r="T1179" s="32"/>
      <c r="U1179" s="32"/>
      <c r="V1179" s="32"/>
      <c r="W1179" s="32"/>
      <c r="X1179" s="32">
        <f>Inventory[[#This Row],[Bsmt Area]]-Inventory[[#This Row],[FnBsmt]]</f>
        <v>0</v>
      </c>
      <c r="Y1179" s="32">
        <f>Inventory[[#This Row],[MainFn]]+Inventory[[#This Row],[UpprFn]]+Inventory[[#This Row],[AddFn]]+Inventory[[#This Row],[FnBsmt]]</f>
        <v>1494</v>
      </c>
      <c r="Z1179" s="32">
        <v>1500</v>
      </c>
      <c r="AA1179" s="31" t="s">
        <v>55</v>
      </c>
      <c r="AB1179" s="32"/>
      <c r="AC1179" s="37"/>
      <c r="AD1179" s="32"/>
      <c r="AE1179" s="32"/>
      <c r="AF1179" s="32"/>
      <c r="AG1179" s="32"/>
      <c r="AH1179" s="32"/>
      <c r="AI1179" s="30">
        <v>254046</v>
      </c>
      <c r="AJ1179" s="30">
        <v>193075</v>
      </c>
      <c r="AK1179" s="30">
        <v>5040</v>
      </c>
      <c r="AL1179" s="30">
        <v>0</v>
      </c>
      <c r="AM1179" s="30">
        <v>105300</v>
      </c>
      <c r="AN1179" s="30">
        <v>236500</v>
      </c>
      <c r="AO1179" s="30">
        <v>341800</v>
      </c>
      <c r="AP1179" s="30">
        <f>Lookups!$B$58*0.6</f>
        <v>132535.48800000001</v>
      </c>
      <c r="AQ1179" s="30">
        <f>Lookups!$B$58*0.4</f>
        <v>88356.992000000013</v>
      </c>
      <c r="AR1179" s="30">
        <f>Lookups!$B$59*Inventory[[#This Row],[LnAcres]]</f>
        <v>17624.188736700915</v>
      </c>
      <c r="AS1179" s="30">
        <f>VLOOKUP(Inventory[[#This Row],[Qlty]],Lookups!$A$66:$E$79,2,FALSE)</f>
        <v>24371.765965999999</v>
      </c>
      <c r="AT1179" s="30">
        <f>VLOOKUP(Inventory[[#This Row],[Cnd]],Lookups!$A$80:$E$88,2,FALSE)</f>
        <v>17761.121909000001</v>
      </c>
      <c r="AU1179" s="30">
        <f>Inventory[[#This Row],[EffAge]]*Lookups!$B$65</f>
        <v>-5002.0906000000004</v>
      </c>
      <c r="AV1179" s="30">
        <f>Inventory[[#This Row],[MainFn]]*Lookups!$B$90</f>
        <v>93241.10772</v>
      </c>
      <c r="AW1179" s="30">
        <f>Inventory[[#This Row],[UpprFn]]*Lookups!$B$91</f>
        <v>0</v>
      </c>
      <c r="AX1179" s="30">
        <f>Inventory[[#This Row],[Bsmt Area]]*Lookups!$B$95</f>
        <v>0</v>
      </c>
      <c r="AY1179" s="30">
        <f>Inventory[[#This Row],[AttGar]]*Lookups!$B$93</f>
        <v>0</v>
      </c>
      <c r="AZ1179" s="30">
        <f>ROUND(Inventory[[#This Row],[25Det]],-2)</f>
        <v>5000</v>
      </c>
      <c r="BA1179" s="30">
        <f>ROUND(SUM(Inventory[[#This Row],[Mdl Qlty]:[Mdl Garage Area]])+Inventory[[#This Row],[Mdl Res Intercept]],-2)</f>
        <v>262900</v>
      </c>
      <c r="BB1179" s="30">
        <f>ROUND(Inventory[[#This Row],[Mdl Land Intercept]]+Inventory[[#This Row],[Mdl LnAcres]],-2)</f>
        <v>106000</v>
      </c>
      <c r="BC1179" s="30">
        <f>Inventory[[#This Row],[Unadj Res Value]]+Inventory[[#This Row],[Unadj Det Value]]+Inventory[[#This Row],[Unadj Land Value]]</f>
        <v>373900</v>
      </c>
      <c r="BD1179" s="30">
        <f>(Inventory[[#This Row],[Unadj Total Value]]-Inventory[[#This Row],[24Final]])/Inventory[[#This Row],[24Final]]</f>
        <v>9.3914569923932129E-2</v>
      </c>
      <c r="BE1179" s="30">
        <f>VLOOKUP(Inventory[[#This Row],[Nbhd]],Lookups!$M$3:$P$5,4,FALSE)</f>
        <v>0.99970000000000003</v>
      </c>
      <c r="BF1179" s="30">
        <f>VLOOKUP(Inventory[[#This Row],[Qlty]],Lookups!$M$8:$P$22,4,FALSE)</f>
        <v>0.99199999999999999</v>
      </c>
      <c r="BG1179" s="30">
        <f>VLOOKUP(Inventory[[#This Row],[Cnd]],Lookups!$R$8:$U$17,4,FALSE)</f>
        <v>0.99680000000000002</v>
      </c>
      <c r="BH1179" s="30">
        <f>VLOOKUP(Inventory[[#This Row],[LivArea Range]],Lookups!$R$25:$U$43,4,FALSE)</f>
        <v>0.99519999999999997</v>
      </c>
      <c r="BI1179" s="30">
        <f>VLOOKUP(Inventory[[#This Row],[Decade]],Lookups!$M$24:$P$40,4,FALSE)</f>
        <v>0.98519999999999996</v>
      </c>
      <c r="BJ1179" s="30">
        <f>Inventory[[#This Row],[Nbhd Adj]]*0.95</f>
        <v>0.94971499999999998</v>
      </c>
      <c r="BK1179" s="30">
        <f>AVERAGE(Inventory[[#This Row],[Nbhd Adj]],Inventory[[#This Row],[Quality Adj]],Inventory[[#This Row],[Condition Adj]],Inventory[[#This Row],[Living Area Adj]],Inventory[[#This Row],[Decade Adj]])*0.95</f>
        <v>0.94409100000000001</v>
      </c>
      <c r="BL1179" s="30">
        <f>ROUND((SUM(Inventory[[#This Row],[Mdl Qlty]:[Mdl Garage Area]])+Inventory[[#This Row],[Mdl Res Intercept]])*Inventory[[#This Row],[Res Adj ]],-2)</f>
        <v>248200</v>
      </c>
      <c r="BM1179" s="30">
        <f>ROUND(Inventory[[#This Row],[25Det]]*Inventory[[#This Row],[Det/Nbhd Adj]],-2)</f>
        <v>4800</v>
      </c>
      <c r="BN1179" s="30">
        <f>Inventory[[#This Row],[Adjusted Res]]+Inventory[[#This Row],[Adj Det ]]</f>
        <v>253000</v>
      </c>
      <c r="BO1179" s="30">
        <f>ROUND((Inventory[[#This Row],[Mdl Land Intercept]]+Inventory[[#This Row],[Mdl LnAcres]])*Inventory[[#This Row],[Det/Nbhd Adj]],-2)</f>
        <v>100700</v>
      </c>
      <c r="BP1179" s="30">
        <f>Inventory[[#This Row],[Adjusted Impr Total]]+Inventory[[#This Row],[Adjusted Land Total]]</f>
        <v>353700</v>
      </c>
      <c r="BQ1179" s="30">
        <f>IFERROR((Inventory[[#This Row],[Adjusted Impr Total]]-Inventory[[#This Row],[24Bldg]])/Inventory[[#This Row],[24Bldg]],0)</f>
        <v>6.9767441860465115E-2</v>
      </c>
      <c r="BR1179" s="43">
        <f>(Inventory[[#This Row],[Adjusted Land Total]]-Inventory[[#This Row],[24Lnd]])/Inventory[[#This Row],[24Lnd]]</f>
        <v>-4.3684710351377019E-2</v>
      </c>
      <c r="BS1179" s="43">
        <f>(Inventory[[#This Row],[Adjusted Total]]-Inventory[[#This Row],[24Final]])/Inventory[[#This Row],[24Final]]</f>
        <v>3.4815681685196019E-2</v>
      </c>
    </row>
    <row r="1180" spans="1:71">
      <c r="A1180" s="30">
        <v>2025</v>
      </c>
      <c r="B1180" s="31" t="s">
        <v>1697</v>
      </c>
      <c r="C1180" s="36">
        <f>LN(Inventory[[#This Row],[Acres]])</f>
        <v>-1.4696759700589417</v>
      </c>
      <c r="D1180" s="38">
        <v>0.23</v>
      </c>
      <c r="E1180" s="30">
        <v>9878</v>
      </c>
      <c r="F1180" s="31" t="s">
        <v>505</v>
      </c>
      <c r="G1180" s="31" t="s">
        <v>155</v>
      </c>
      <c r="H1180" s="31" t="s">
        <v>5</v>
      </c>
      <c r="I1180" s="31" t="s">
        <v>506</v>
      </c>
      <c r="J1180" s="31" t="s">
        <v>507</v>
      </c>
      <c r="K1180" s="31" t="s">
        <v>193</v>
      </c>
      <c r="L1180" s="31" t="s">
        <v>13</v>
      </c>
      <c r="M1180" s="31" t="s">
        <v>18</v>
      </c>
      <c r="N1180" s="31">
        <v>50</v>
      </c>
      <c r="O1180" s="31">
        <f>2024-Inventory[[#This Row],[YrBlt]]</f>
        <v>52</v>
      </c>
      <c r="P1180" s="31">
        <f>2024-Inventory[[#This Row],[EffYr]]</f>
        <v>46</v>
      </c>
      <c r="Q1180" s="30">
        <v>1972</v>
      </c>
      <c r="R1180" s="30">
        <v>1978</v>
      </c>
      <c r="S1180" s="30">
        <v>1344</v>
      </c>
      <c r="T1180" s="32"/>
      <c r="U1180" s="32"/>
      <c r="V1180" s="32"/>
      <c r="W1180" s="32"/>
      <c r="X1180" s="32">
        <f>Inventory[[#This Row],[Bsmt Area]]-Inventory[[#This Row],[FnBsmt]]</f>
        <v>0</v>
      </c>
      <c r="Y1180" s="32">
        <f>Inventory[[#This Row],[MainFn]]+Inventory[[#This Row],[UpprFn]]+Inventory[[#This Row],[AddFn]]+Inventory[[#This Row],[FnBsmt]]</f>
        <v>1344</v>
      </c>
      <c r="Z1180" s="32">
        <v>1500</v>
      </c>
      <c r="AA1180" s="31" t="s">
        <v>56</v>
      </c>
      <c r="AB1180" s="32"/>
      <c r="AC1180" s="37"/>
      <c r="AD1180" s="32"/>
      <c r="AE1180" s="32"/>
      <c r="AF1180" s="32"/>
      <c r="AG1180" s="32"/>
      <c r="AH1180" s="32"/>
      <c r="AI1180" s="30">
        <v>180522</v>
      </c>
      <c r="AJ1180" s="30">
        <v>137197</v>
      </c>
      <c r="AK1180" s="30">
        <v>0</v>
      </c>
      <c r="AL1180" s="30">
        <v>0</v>
      </c>
      <c r="AM1180" s="30">
        <v>65900</v>
      </c>
      <c r="AN1180" s="30">
        <v>198600</v>
      </c>
      <c r="AO1180" s="30">
        <v>264500</v>
      </c>
      <c r="AP1180" s="30">
        <f>Lookups!$B$58*0.6</f>
        <v>132535.48800000001</v>
      </c>
      <c r="AQ1180" s="30">
        <f>Lookups!$B$58*0.4</f>
        <v>88356.992000000013</v>
      </c>
      <c r="AR1180" s="30">
        <f>Lookups!$B$59*Inventory[[#This Row],[LnAcres]]</f>
        <v>-19288.499197039939</v>
      </c>
      <c r="AS1180" s="30">
        <f>VLOOKUP(Inventory[[#This Row],[Qlty]],Lookups!$A$66:$E$79,2,FALSE)</f>
        <v>0</v>
      </c>
      <c r="AT1180" s="30">
        <f>VLOOKUP(Inventory[[#This Row],[Cnd]],Lookups!$A$80:$E$88,2,FALSE)</f>
        <v>17761.121909000001</v>
      </c>
      <c r="AU1180" s="30">
        <f>Inventory[[#This Row],[EffAge]]*Lookups!$B$65</f>
        <v>-5002.0906000000004</v>
      </c>
      <c r="AV1180" s="30">
        <f>Inventory[[#This Row],[MainFn]]*Lookups!$B$90</f>
        <v>83879.550719999999</v>
      </c>
      <c r="AW1180" s="30">
        <f>Inventory[[#This Row],[UpprFn]]*Lookups!$B$91</f>
        <v>0</v>
      </c>
      <c r="AX1180" s="30">
        <f>Inventory[[#This Row],[Bsmt Area]]*Lookups!$B$95</f>
        <v>0</v>
      </c>
      <c r="AY1180" s="30">
        <f>Inventory[[#This Row],[AttGar]]*Lookups!$B$93</f>
        <v>0</v>
      </c>
      <c r="AZ1180" s="30">
        <f>ROUND(Inventory[[#This Row],[25Det]],-2)</f>
        <v>0</v>
      </c>
      <c r="BA1180" s="30">
        <f>ROUND(SUM(Inventory[[#This Row],[Mdl Qlty]:[Mdl Garage Area]])+Inventory[[#This Row],[Mdl Res Intercept]],-2)</f>
        <v>229200</v>
      </c>
      <c r="BB1180" s="30">
        <f>ROUND(Inventory[[#This Row],[Mdl Land Intercept]]+Inventory[[#This Row],[Mdl LnAcres]],-2)</f>
        <v>69100</v>
      </c>
      <c r="BC1180" s="30">
        <f>Inventory[[#This Row],[Unadj Res Value]]+Inventory[[#This Row],[Unadj Det Value]]+Inventory[[#This Row],[Unadj Land Value]]</f>
        <v>298300</v>
      </c>
      <c r="BD1180" s="30">
        <f>(Inventory[[#This Row],[Unadj Total Value]]-Inventory[[#This Row],[24Final]])/Inventory[[#This Row],[24Final]]</f>
        <v>0.1277882797731569</v>
      </c>
      <c r="BE1180" s="30">
        <f>VLOOKUP(Inventory[[#This Row],[Nbhd]],Lookups!$M$3:$P$5,4,FALSE)</f>
        <v>0.99970000000000003</v>
      </c>
      <c r="BF1180" s="30">
        <f>VLOOKUP(Inventory[[#This Row],[Qlty]],Lookups!$M$8:$P$22,4,FALSE)</f>
        <v>1.0003</v>
      </c>
      <c r="BG1180" s="30">
        <f>VLOOKUP(Inventory[[#This Row],[Cnd]],Lookups!$R$8:$U$17,4,FALSE)</f>
        <v>0.99680000000000002</v>
      </c>
      <c r="BH1180" s="30">
        <f>VLOOKUP(Inventory[[#This Row],[LivArea Range]],Lookups!$R$25:$U$43,4,FALSE)</f>
        <v>0.99519999999999997</v>
      </c>
      <c r="BI1180" s="30">
        <f>VLOOKUP(Inventory[[#This Row],[Decade]],Lookups!$M$24:$P$40,4,FALSE)</f>
        <v>0.98519999999999996</v>
      </c>
      <c r="BJ1180" s="30">
        <f>Inventory[[#This Row],[Nbhd Adj]]*0.95</f>
        <v>0.94971499999999998</v>
      </c>
      <c r="BK1180" s="30">
        <f>AVERAGE(Inventory[[#This Row],[Nbhd Adj]],Inventory[[#This Row],[Quality Adj]],Inventory[[#This Row],[Condition Adj]],Inventory[[#This Row],[Living Area Adj]],Inventory[[#This Row],[Decade Adj]])*0.95</f>
        <v>0.94566799999999995</v>
      </c>
      <c r="BL1180" s="30">
        <f>ROUND((SUM(Inventory[[#This Row],[Mdl Qlty]:[Mdl Garage Area]])+Inventory[[#This Row],[Mdl Res Intercept]])*Inventory[[#This Row],[Res Adj ]],-2)</f>
        <v>216700</v>
      </c>
      <c r="BM1180" s="30">
        <f>ROUND(Inventory[[#This Row],[25Det]]*Inventory[[#This Row],[Det/Nbhd Adj]],-2)</f>
        <v>0</v>
      </c>
      <c r="BN1180" s="30">
        <f>Inventory[[#This Row],[Adjusted Res]]+Inventory[[#This Row],[Adj Det ]]</f>
        <v>216700</v>
      </c>
      <c r="BO1180" s="30">
        <f>ROUND((Inventory[[#This Row],[Mdl Land Intercept]]+Inventory[[#This Row],[Mdl LnAcres]])*Inventory[[#This Row],[Det/Nbhd Adj]],-2)</f>
        <v>65600</v>
      </c>
      <c r="BP1180" s="30">
        <f>Inventory[[#This Row],[Adjusted Impr Total]]+Inventory[[#This Row],[Adjusted Land Total]]</f>
        <v>282300</v>
      </c>
      <c r="BQ1180" s="30">
        <f>IFERROR((Inventory[[#This Row],[Adjusted Impr Total]]-Inventory[[#This Row],[24Bldg]])/Inventory[[#This Row],[24Bldg]],0)</f>
        <v>9.1137965760322251E-2</v>
      </c>
      <c r="BR1180" s="43">
        <f>(Inventory[[#This Row],[Adjusted Land Total]]-Inventory[[#This Row],[24Lnd]])/Inventory[[#This Row],[24Lnd]]</f>
        <v>-4.552352048558422E-3</v>
      </c>
      <c r="BS1180" s="43">
        <f>(Inventory[[#This Row],[Adjusted Total]]-Inventory[[#This Row],[24Final]])/Inventory[[#This Row],[24Final]]</f>
        <v>6.7296786389413984E-2</v>
      </c>
    </row>
    <row r="1181" spans="1:71">
      <c r="A1181" s="30">
        <v>2025</v>
      </c>
      <c r="B1181" s="31" t="s">
        <v>1698</v>
      </c>
      <c r="C1181" s="36">
        <f>LN(Inventory[[#This Row],[Acres]])</f>
        <v>-1.4271163556401458</v>
      </c>
      <c r="D1181" s="38">
        <v>0.24</v>
      </c>
      <c r="E1181" s="30">
        <v>10601</v>
      </c>
      <c r="F1181" s="31" t="s">
        <v>505</v>
      </c>
      <c r="G1181" s="31" t="s">
        <v>155</v>
      </c>
      <c r="H1181" s="31" t="s">
        <v>5</v>
      </c>
      <c r="I1181" s="31" t="s">
        <v>506</v>
      </c>
      <c r="J1181" s="31" t="s">
        <v>507</v>
      </c>
      <c r="K1181" s="31" t="s">
        <v>193</v>
      </c>
      <c r="L1181" s="31" t="s">
        <v>15</v>
      </c>
      <c r="M1181" s="31" t="s">
        <v>18</v>
      </c>
      <c r="N1181" s="31">
        <v>50</v>
      </c>
      <c r="O1181" s="31">
        <f>2024-Inventory[[#This Row],[YrBlt]]</f>
        <v>52</v>
      </c>
      <c r="P1181" s="31">
        <f>2024-Inventory[[#This Row],[EffYr]]</f>
        <v>46</v>
      </c>
      <c r="Q1181" s="30">
        <v>1972</v>
      </c>
      <c r="R1181" s="30">
        <v>1978</v>
      </c>
      <c r="S1181" s="30">
        <v>1056</v>
      </c>
      <c r="T1181" s="32"/>
      <c r="U1181" s="32"/>
      <c r="V1181" s="32"/>
      <c r="W1181" s="32"/>
      <c r="X1181" s="32">
        <f>Inventory[[#This Row],[Bsmt Area]]-Inventory[[#This Row],[FnBsmt]]</f>
        <v>0</v>
      </c>
      <c r="Y1181" s="32">
        <f>Inventory[[#This Row],[MainFn]]+Inventory[[#This Row],[UpprFn]]+Inventory[[#This Row],[AddFn]]+Inventory[[#This Row],[FnBsmt]]</f>
        <v>1056</v>
      </c>
      <c r="Z1181" s="32">
        <v>1500</v>
      </c>
      <c r="AA1181" s="31" t="s">
        <v>56</v>
      </c>
      <c r="AB1181" s="32"/>
      <c r="AC1181" s="30">
        <v>288</v>
      </c>
      <c r="AD1181" s="32"/>
      <c r="AE1181" s="32"/>
      <c r="AF1181" s="32"/>
      <c r="AG1181" s="32"/>
      <c r="AH1181" s="32"/>
      <c r="AI1181" s="30">
        <v>180976</v>
      </c>
      <c r="AJ1181" s="30">
        <v>137542</v>
      </c>
      <c r="AK1181" s="30">
        <v>0</v>
      </c>
      <c r="AL1181" s="30">
        <v>0</v>
      </c>
      <c r="AM1181" s="30">
        <v>66500</v>
      </c>
      <c r="AN1181" s="30">
        <v>196600</v>
      </c>
      <c r="AO1181" s="30">
        <v>263100</v>
      </c>
      <c r="AP1181" s="30">
        <f>Lookups!$B$58*0.6</f>
        <v>132535.48800000001</v>
      </c>
      <c r="AQ1181" s="30">
        <f>Lookups!$B$58*0.4</f>
        <v>88356.992000000013</v>
      </c>
      <c r="AR1181" s="30">
        <f>Lookups!$B$59*Inventory[[#This Row],[LnAcres]]</f>
        <v>-18729.933155771436</v>
      </c>
      <c r="AS1181" s="30">
        <f>VLOOKUP(Inventory[[#This Row],[Qlty]],Lookups!$A$66:$E$79,2,FALSE)</f>
        <v>-1240.8083630000001</v>
      </c>
      <c r="AT1181" s="30">
        <f>VLOOKUP(Inventory[[#This Row],[Cnd]],Lookups!$A$80:$E$88,2,FALSE)</f>
        <v>17761.121909000001</v>
      </c>
      <c r="AU1181" s="30">
        <f>Inventory[[#This Row],[EffAge]]*Lookups!$B$65</f>
        <v>-5002.0906000000004</v>
      </c>
      <c r="AV1181" s="30">
        <f>Inventory[[#This Row],[MainFn]]*Lookups!$B$90</f>
        <v>65905.361279999997</v>
      </c>
      <c r="AW1181" s="30">
        <f>Inventory[[#This Row],[UpprFn]]*Lookups!$B$91</f>
        <v>0</v>
      </c>
      <c r="AX1181" s="30">
        <f>Inventory[[#This Row],[Bsmt Area]]*Lookups!$B$95</f>
        <v>0</v>
      </c>
      <c r="AY1181" s="30">
        <f>Inventory[[#This Row],[AttGar]]*Lookups!$B$93</f>
        <v>10166.696928000001</v>
      </c>
      <c r="AZ1181" s="30">
        <f>ROUND(Inventory[[#This Row],[25Det]],-2)</f>
        <v>0</v>
      </c>
      <c r="BA1181" s="30">
        <f>ROUND(SUM(Inventory[[#This Row],[Mdl Qlty]:[Mdl Garage Area]])+Inventory[[#This Row],[Mdl Res Intercept]],-2)</f>
        <v>220100</v>
      </c>
      <c r="BB1181" s="30">
        <f>ROUND(Inventory[[#This Row],[Mdl Land Intercept]]+Inventory[[#This Row],[Mdl LnAcres]],-2)</f>
        <v>69600</v>
      </c>
      <c r="BC1181" s="30">
        <f>Inventory[[#This Row],[Unadj Res Value]]+Inventory[[#This Row],[Unadj Det Value]]+Inventory[[#This Row],[Unadj Land Value]]</f>
        <v>289700</v>
      </c>
      <c r="BD1181" s="30">
        <f>(Inventory[[#This Row],[Unadj Total Value]]-Inventory[[#This Row],[24Final]])/Inventory[[#This Row],[24Final]]</f>
        <v>0.10110224249334854</v>
      </c>
      <c r="BE1181" s="30">
        <f>VLOOKUP(Inventory[[#This Row],[Nbhd]],Lookups!$M$3:$P$5,4,FALSE)</f>
        <v>0.99970000000000003</v>
      </c>
      <c r="BF1181" s="30">
        <f>VLOOKUP(Inventory[[#This Row],[Qlty]],Lookups!$M$8:$P$22,4,FALSE)</f>
        <v>1.0022</v>
      </c>
      <c r="BG1181" s="30">
        <f>VLOOKUP(Inventory[[#This Row],[Cnd]],Lookups!$R$8:$U$17,4,FALSE)</f>
        <v>0.99680000000000002</v>
      </c>
      <c r="BH1181" s="30">
        <f>VLOOKUP(Inventory[[#This Row],[LivArea Range]],Lookups!$R$25:$U$43,4,FALSE)</f>
        <v>0.99519999999999997</v>
      </c>
      <c r="BI1181" s="30">
        <f>VLOOKUP(Inventory[[#This Row],[Decade]],Lookups!$M$24:$P$40,4,FALSE)</f>
        <v>0.98519999999999996</v>
      </c>
      <c r="BJ1181" s="30">
        <f>Inventory[[#This Row],[Nbhd Adj]]*0.95</f>
        <v>0.94971499999999998</v>
      </c>
      <c r="BK1181" s="30">
        <f>AVERAGE(Inventory[[#This Row],[Nbhd Adj]],Inventory[[#This Row],[Quality Adj]],Inventory[[#This Row],[Condition Adj]],Inventory[[#This Row],[Living Area Adj]],Inventory[[#This Row],[Decade Adj]])*0.95</f>
        <v>0.9460289999999999</v>
      </c>
      <c r="BL1181" s="30">
        <f>ROUND((SUM(Inventory[[#This Row],[Mdl Qlty]:[Mdl Garage Area]])+Inventory[[#This Row],[Mdl Res Intercept]])*Inventory[[#This Row],[Res Adj ]],-2)</f>
        <v>208200</v>
      </c>
      <c r="BM1181" s="30">
        <f>ROUND(Inventory[[#This Row],[25Det]]*Inventory[[#This Row],[Det/Nbhd Adj]],-2)</f>
        <v>0</v>
      </c>
      <c r="BN1181" s="30">
        <f>Inventory[[#This Row],[Adjusted Res]]+Inventory[[#This Row],[Adj Det ]]</f>
        <v>208200</v>
      </c>
      <c r="BO1181" s="30">
        <f>ROUND((Inventory[[#This Row],[Mdl Land Intercept]]+Inventory[[#This Row],[Mdl LnAcres]])*Inventory[[#This Row],[Det/Nbhd Adj]],-2)</f>
        <v>66100</v>
      </c>
      <c r="BP1181" s="30">
        <f>Inventory[[#This Row],[Adjusted Impr Total]]+Inventory[[#This Row],[Adjusted Land Total]]</f>
        <v>274300</v>
      </c>
      <c r="BQ1181" s="30">
        <f>IFERROR((Inventory[[#This Row],[Adjusted Impr Total]]-Inventory[[#This Row],[24Bldg]])/Inventory[[#This Row],[24Bldg]],0)</f>
        <v>5.9003051881993895E-2</v>
      </c>
      <c r="BR1181" s="43">
        <f>(Inventory[[#This Row],[Adjusted Land Total]]-Inventory[[#This Row],[24Lnd]])/Inventory[[#This Row],[24Lnd]]</f>
        <v>-6.0150375939849628E-3</v>
      </c>
      <c r="BS1181" s="43">
        <f>(Inventory[[#This Row],[Adjusted Total]]-Inventory[[#This Row],[24Final]])/Inventory[[#This Row],[24Final]]</f>
        <v>4.2569365260357275E-2</v>
      </c>
    </row>
    <row r="1182" spans="1:71">
      <c r="A1182" s="30">
        <v>2025</v>
      </c>
      <c r="B1182" s="31" t="s">
        <v>1699</v>
      </c>
      <c r="C1182" s="36">
        <f>LN(Inventory[[#This Row],[Acres]])</f>
        <v>-1.3093333199837622</v>
      </c>
      <c r="D1182" s="38">
        <v>0.27</v>
      </c>
      <c r="E1182" s="30">
        <v>11897</v>
      </c>
      <c r="F1182" s="31" t="s">
        <v>505</v>
      </c>
      <c r="G1182" s="31" t="s">
        <v>155</v>
      </c>
      <c r="H1182" s="31" t="s">
        <v>5</v>
      </c>
      <c r="I1182" s="31" t="s">
        <v>506</v>
      </c>
      <c r="J1182" s="31" t="s">
        <v>507</v>
      </c>
      <c r="K1182" s="31" t="s">
        <v>157</v>
      </c>
      <c r="L1182" s="31" t="s">
        <v>15</v>
      </c>
      <c r="M1182" s="31" t="s">
        <v>18</v>
      </c>
      <c r="N1182" s="31">
        <v>50</v>
      </c>
      <c r="O1182" s="31">
        <f>2024-Inventory[[#This Row],[YrBlt]]</f>
        <v>52</v>
      </c>
      <c r="P1182" s="31">
        <f>2024-Inventory[[#This Row],[EffYr]]</f>
        <v>46</v>
      </c>
      <c r="Q1182" s="30">
        <v>1972</v>
      </c>
      <c r="R1182" s="30">
        <v>1978</v>
      </c>
      <c r="S1182" s="30">
        <v>1000</v>
      </c>
      <c r="T1182" s="32"/>
      <c r="U1182" s="32"/>
      <c r="V1182" s="32"/>
      <c r="W1182" s="32"/>
      <c r="X1182" s="32">
        <f>Inventory[[#This Row],[Bsmt Area]]-Inventory[[#This Row],[FnBsmt]]</f>
        <v>0</v>
      </c>
      <c r="Y1182" s="32">
        <f>Inventory[[#This Row],[MainFn]]+Inventory[[#This Row],[UpprFn]]+Inventory[[#This Row],[AddFn]]+Inventory[[#This Row],[FnBsmt]]</f>
        <v>1000</v>
      </c>
      <c r="Z1182" s="32">
        <v>1500</v>
      </c>
      <c r="AA1182" s="31" t="s">
        <v>56</v>
      </c>
      <c r="AB1182" s="32"/>
      <c r="AC1182" s="30">
        <v>300</v>
      </c>
      <c r="AD1182" s="32"/>
      <c r="AE1182" s="32"/>
      <c r="AF1182" s="32"/>
      <c r="AG1182" s="32"/>
      <c r="AH1182" s="32"/>
      <c r="AI1182" s="30">
        <v>163158</v>
      </c>
      <c r="AJ1182" s="30">
        <v>124000</v>
      </c>
      <c r="AK1182" s="30">
        <v>0</v>
      </c>
      <c r="AL1182" s="30">
        <v>0</v>
      </c>
      <c r="AM1182" s="30">
        <v>68200</v>
      </c>
      <c r="AN1182" s="30">
        <v>199900</v>
      </c>
      <c r="AO1182" s="30">
        <v>268100</v>
      </c>
      <c r="AP1182" s="30">
        <f>Lookups!$B$58*0.6</f>
        <v>132535.48800000001</v>
      </c>
      <c r="AQ1182" s="30">
        <f>Lookups!$B$58*0.4</f>
        <v>88356.992000000013</v>
      </c>
      <c r="AR1182" s="30">
        <f>Lookups!$B$59*Inventory[[#This Row],[LnAcres]]</f>
        <v>-17184.11078746261</v>
      </c>
      <c r="AS1182" s="30">
        <f>VLOOKUP(Inventory[[#This Row],[Qlty]],Lookups!$A$66:$E$79,2,FALSE)</f>
        <v>-1240.8083630000001</v>
      </c>
      <c r="AT1182" s="30">
        <f>VLOOKUP(Inventory[[#This Row],[Cnd]],Lookups!$A$80:$E$88,2,FALSE)</f>
        <v>17761.121909000001</v>
      </c>
      <c r="AU1182" s="30">
        <f>Inventory[[#This Row],[EffAge]]*Lookups!$B$65</f>
        <v>-5002.0906000000004</v>
      </c>
      <c r="AV1182" s="30">
        <f>Inventory[[#This Row],[MainFn]]*Lookups!$B$90</f>
        <v>62410.380000000005</v>
      </c>
      <c r="AW1182" s="30">
        <f>Inventory[[#This Row],[UpprFn]]*Lookups!$B$91</f>
        <v>0</v>
      </c>
      <c r="AX1182" s="30">
        <f>Inventory[[#This Row],[Bsmt Area]]*Lookups!$B$95</f>
        <v>0</v>
      </c>
      <c r="AY1182" s="30">
        <f>Inventory[[#This Row],[AttGar]]*Lookups!$B$93</f>
        <v>10590.309300000001</v>
      </c>
      <c r="AZ1182" s="30">
        <f>ROUND(Inventory[[#This Row],[25Det]],-2)</f>
        <v>0</v>
      </c>
      <c r="BA1182" s="30">
        <f>ROUND(SUM(Inventory[[#This Row],[Mdl Qlty]:[Mdl Garage Area]])+Inventory[[#This Row],[Mdl Res Intercept]],-2)</f>
        <v>217100</v>
      </c>
      <c r="BB1182" s="30">
        <f>ROUND(Inventory[[#This Row],[Mdl Land Intercept]]+Inventory[[#This Row],[Mdl LnAcres]],-2)</f>
        <v>71200</v>
      </c>
      <c r="BC1182" s="30">
        <f>Inventory[[#This Row],[Unadj Res Value]]+Inventory[[#This Row],[Unadj Det Value]]+Inventory[[#This Row],[Unadj Land Value]]</f>
        <v>288300</v>
      </c>
      <c r="BD1182" s="30">
        <f>(Inventory[[#This Row],[Unadj Total Value]]-Inventory[[#This Row],[24Final]])/Inventory[[#This Row],[24Final]]</f>
        <v>7.534502051473331E-2</v>
      </c>
      <c r="BE1182" s="30">
        <f>VLOOKUP(Inventory[[#This Row],[Nbhd]],Lookups!$M$3:$P$5,4,FALSE)</f>
        <v>0.99970000000000003</v>
      </c>
      <c r="BF1182" s="30">
        <f>VLOOKUP(Inventory[[#This Row],[Qlty]],Lookups!$M$8:$P$22,4,FALSE)</f>
        <v>1.0022</v>
      </c>
      <c r="BG1182" s="30">
        <f>VLOOKUP(Inventory[[#This Row],[Cnd]],Lookups!$R$8:$U$17,4,FALSE)</f>
        <v>0.99680000000000002</v>
      </c>
      <c r="BH1182" s="30">
        <f>VLOOKUP(Inventory[[#This Row],[LivArea Range]],Lookups!$R$25:$U$43,4,FALSE)</f>
        <v>0.99519999999999997</v>
      </c>
      <c r="BI1182" s="30">
        <f>VLOOKUP(Inventory[[#This Row],[Decade]],Lookups!$M$24:$P$40,4,FALSE)</f>
        <v>0.98519999999999996</v>
      </c>
      <c r="BJ1182" s="30">
        <f>Inventory[[#This Row],[Nbhd Adj]]*0.95</f>
        <v>0.94971499999999998</v>
      </c>
      <c r="BK1182" s="30">
        <f>AVERAGE(Inventory[[#This Row],[Nbhd Adj]],Inventory[[#This Row],[Quality Adj]],Inventory[[#This Row],[Condition Adj]],Inventory[[#This Row],[Living Area Adj]],Inventory[[#This Row],[Decade Adj]])*0.95</f>
        <v>0.9460289999999999</v>
      </c>
      <c r="BL1182" s="30">
        <f>ROUND((SUM(Inventory[[#This Row],[Mdl Qlty]:[Mdl Garage Area]])+Inventory[[#This Row],[Mdl Res Intercept]])*Inventory[[#This Row],[Res Adj ]],-2)</f>
        <v>205300</v>
      </c>
      <c r="BM1182" s="30">
        <f>ROUND(Inventory[[#This Row],[25Det]]*Inventory[[#This Row],[Det/Nbhd Adj]],-2)</f>
        <v>0</v>
      </c>
      <c r="BN1182" s="30">
        <f>Inventory[[#This Row],[Adjusted Res]]+Inventory[[#This Row],[Adj Det ]]</f>
        <v>205300</v>
      </c>
      <c r="BO1182" s="30">
        <f>ROUND((Inventory[[#This Row],[Mdl Land Intercept]]+Inventory[[#This Row],[Mdl LnAcres]])*Inventory[[#This Row],[Det/Nbhd Adj]],-2)</f>
        <v>67600</v>
      </c>
      <c r="BP1182" s="30">
        <f>Inventory[[#This Row],[Adjusted Impr Total]]+Inventory[[#This Row],[Adjusted Land Total]]</f>
        <v>272900</v>
      </c>
      <c r="BQ1182" s="30">
        <f>IFERROR((Inventory[[#This Row],[Adjusted Impr Total]]-Inventory[[#This Row],[24Bldg]])/Inventory[[#This Row],[24Bldg]],0)</f>
        <v>2.7013506753376687E-2</v>
      </c>
      <c r="BR1182" s="43">
        <f>(Inventory[[#This Row],[Adjusted Land Total]]-Inventory[[#This Row],[24Lnd]])/Inventory[[#This Row],[24Lnd]]</f>
        <v>-8.7976539589442824E-3</v>
      </c>
      <c r="BS1182" s="43">
        <f>(Inventory[[#This Row],[Adjusted Total]]-Inventory[[#This Row],[24Final]])/Inventory[[#This Row],[24Final]]</f>
        <v>1.7903767251025736E-2</v>
      </c>
    </row>
    <row r="1183" spans="1:71">
      <c r="A1183" s="30">
        <v>2025</v>
      </c>
      <c r="B1183" s="31" t="s">
        <v>1700</v>
      </c>
      <c r="C1183" s="36">
        <f>LN(Inventory[[#This Row],[Acres]])</f>
        <v>-0.84397007029452897</v>
      </c>
      <c r="D1183" s="38">
        <v>0.43</v>
      </c>
      <c r="E1183" s="30">
        <v>18924</v>
      </c>
      <c r="F1183" s="31" t="s">
        <v>505</v>
      </c>
      <c r="G1183" s="31" t="s">
        <v>155</v>
      </c>
      <c r="H1183" s="31" t="s">
        <v>5</v>
      </c>
      <c r="I1183" s="31" t="s">
        <v>506</v>
      </c>
      <c r="J1183" s="31" t="s">
        <v>507</v>
      </c>
      <c r="K1183" s="31" t="s">
        <v>193</v>
      </c>
      <c r="L1183" s="31" t="s">
        <v>13</v>
      </c>
      <c r="M1183" s="31" t="s">
        <v>16</v>
      </c>
      <c r="N1183" s="31">
        <v>50</v>
      </c>
      <c r="O1183" s="31">
        <f>2024-Inventory[[#This Row],[YrBlt]]</f>
        <v>52</v>
      </c>
      <c r="P1183" s="31">
        <f>2024-Inventory[[#This Row],[EffYr]]</f>
        <v>46</v>
      </c>
      <c r="Q1183" s="30">
        <v>1972</v>
      </c>
      <c r="R1183" s="30">
        <v>1978</v>
      </c>
      <c r="S1183" s="30">
        <v>1400</v>
      </c>
      <c r="T1183" s="32"/>
      <c r="U1183" s="32"/>
      <c r="V1183" s="32"/>
      <c r="W1183" s="32"/>
      <c r="X1183" s="32">
        <f>Inventory[[#This Row],[Bsmt Area]]-Inventory[[#This Row],[FnBsmt]]</f>
        <v>0</v>
      </c>
      <c r="Y1183" s="32">
        <f>Inventory[[#This Row],[MainFn]]+Inventory[[#This Row],[UpprFn]]+Inventory[[#This Row],[AddFn]]+Inventory[[#This Row],[FnBsmt]]</f>
        <v>1400</v>
      </c>
      <c r="Z1183" s="32">
        <v>1500</v>
      </c>
      <c r="AA1183" s="31" t="s">
        <v>56</v>
      </c>
      <c r="AB1183" s="32"/>
      <c r="AC1183" s="37"/>
      <c r="AD1183" s="32"/>
      <c r="AE1183" s="32"/>
      <c r="AF1183" s="32"/>
      <c r="AG1183" s="32"/>
      <c r="AH1183" s="32"/>
      <c r="AI1183" s="30">
        <v>195429</v>
      </c>
      <c r="AJ1183" s="30">
        <v>146572</v>
      </c>
      <c r="AK1183" s="30">
        <v>0</v>
      </c>
      <c r="AL1183" s="30">
        <v>0</v>
      </c>
      <c r="AM1183" s="30">
        <v>74700</v>
      </c>
      <c r="AN1183" s="30">
        <v>189200</v>
      </c>
      <c r="AO1183" s="30">
        <v>263900</v>
      </c>
      <c r="AP1183" s="30">
        <f>Lookups!$B$58*0.6</f>
        <v>132535.48800000001</v>
      </c>
      <c r="AQ1183" s="30">
        <f>Lookups!$B$58*0.4</f>
        <v>88356.992000000013</v>
      </c>
      <c r="AR1183" s="30">
        <f>Lookups!$B$59*Inventory[[#This Row],[LnAcres]]</f>
        <v>-11076.534116937963</v>
      </c>
      <c r="AS1183" s="30">
        <f>VLOOKUP(Inventory[[#This Row],[Qlty]],Lookups!$A$66:$E$79,2,FALSE)</f>
        <v>0</v>
      </c>
      <c r="AT1183" s="30">
        <f>VLOOKUP(Inventory[[#This Row],[Cnd]],Lookups!$A$80:$E$88,2,FALSE)</f>
        <v>0</v>
      </c>
      <c r="AU1183" s="30">
        <f>Inventory[[#This Row],[EffAge]]*Lookups!$B$65</f>
        <v>-5002.0906000000004</v>
      </c>
      <c r="AV1183" s="30">
        <f>Inventory[[#This Row],[MainFn]]*Lookups!$B$90</f>
        <v>87374.532000000007</v>
      </c>
      <c r="AW1183" s="30">
        <f>Inventory[[#This Row],[UpprFn]]*Lookups!$B$91</f>
        <v>0</v>
      </c>
      <c r="AX1183" s="30">
        <f>Inventory[[#This Row],[Bsmt Area]]*Lookups!$B$95</f>
        <v>0</v>
      </c>
      <c r="AY1183" s="30">
        <f>Inventory[[#This Row],[AttGar]]*Lookups!$B$93</f>
        <v>0</v>
      </c>
      <c r="AZ1183" s="30">
        <f>ROUND(Inventory[[#This Row],[25Det]],-2)</f>
        <v>0</v>
      </c>
      <c r="BA1183" s="30">
        <f>ROUND(SUM(Inventory[[#This Row],[Mdl Qlty]:[Mdl Garage Area]])+Inventory[[#This Row],[Mdl Res Intercept]],-2)</f>
        <v>214900</v>
      </c>
      <c r="BB1183" s="30">
        <f>ROUND(Inventory[[#This Row],[Mdl Land Intercept]]+Inventory[[#This Row],[Mdl LnAcres]],-2)</f>
        <v>77300</v>
      </c>
      <c r="BC1183" s="30">
        <f>Inventory[[#This Row],[Unadj Res Value]]+Inventory[[#This Row],[Unadj Det Value]]+Inventory[[#This Row],[Unadj Land Value]]</f>
        <v>292200</v>
      </c>
      <c r="BD1183" s="30">
        <f>(Inventory[[#This Row],[Unadj Total Value]]-Inventory[[#This Row],[24Final]])/Inventory[[#This Row],[24Final]]</f>
        <v>0.10723758999621069</v>
      </c>
      <c r="BE1183" s="30">
        <f>VLOOKUP(Inventory[[#This Row],[Nbhd]],Lookups!$M$3:$P$5,4,FALSE)</f>
        <v>0.99970000000000003</v>
      </c>
      <c r="BF1183" s="30">
        <f>VLOOKUP(Inventory[[#This Row],[Qlty]],Lookups!$M$8:$P$22,4,FALSE)</f>
        <v>1.0003</v>
      </c>
      <c r="BG1183" s="30">
        <f>VLOOKUP(Inventory[[#This Row],[Cnd]],Lookups!$R$8:$U$17,4,FALSE)</f>
        <v>1</v>
      </c>
      <c r="BH1183" s="30">
        <f>VLOOKUP(Inventory[[#This Row],[LivArea Range]],Lookups!$R$25:$U$43,4,FALSE)</f>
        <v>0.99519999999999997</v>
      </c>
      <c r="BI1183" s="30">
        <f>VLOOKUP(Inventory[[#This Row],[Decade]],Lookups!$M$24:$P$40,4,FALSE)</f>
        <v>0.98519999999999996</v>
      </c>
      <c r="BJ1183" s="30">
        <f>Inventory[[#This Row],[Nbhd Adj]]*0.95</f>
        <v>0.94971499999999998</v>
      </c>
      <c r="BK1183" s="30">
        <f>AVERAGE(Inventory[[#This Row],[Nbhd Adj]],Inventory[[#This Row],[Quality Adj]],Inventory[[#This Row],[Condition Adj]],Inventory[[#This Row],[Living Area Adj]],Inventory[[#This Row],[Decade Adj]])*0.95</f>
        <v>0.94627600000000001</v>
      </c>
      <c r="BL1183" s="30">
        <f>ROUND((SUM(Inventory[[#This Row],[Mdl Qlty]:[Mdl Garage Area]])+Inventory[[#This Row],[Mdl Res Intercept]])*Inventory[[#This Row],[Res Adj ]],-2)</f>
        <v>203400</v>
      </c>
      <c r="BM1183" s="30">
        <f>ROUND(Inventory[[#This Row],[25Det]]*Inventory[[#This Row],[Det/Nbhd Adj]],-2)</f>
        <v>0</v>
      </c>
      <c r="BN1183" s="30">
        <f>Inventory[[#This Row],[Adjusted Res]]+Inventory[[#This Row],[Adj Det ]]</f>
        <v>203400</v>
      </c>
      <c r="BO1183" s="30">
        <f>ROUND((Inventory[[#This Row],[Mdl Land Intercept]]+Inventory[[#This Row],[Mdl LnAcres]])*Inventory[[#This Row],[Det/Nbhd Adj]],-2)</f>
        <v>73400</v>
      </c>
      <c r="BP1183" s="30">
        <f>Inventory[[#This Row],[Adjusted Impr Total]]+Inventory[[#This Row],[Adjusted Land Total]]</f>
        <v>276800</v>
      </c>
      <c r="BQ1183" s="30">
        <f>IFERROR((Inventory[[#This Row],[Adjusted Impr Total]]-Inventory[[#This Row],[24Bldg]])/Inventory[[#This Row],[24Bldg]],0)</f>
        <v>7.5052854122621568E-2</v>
      </c>
      <c r="BR1183" s="43">
        <f>(Inventory[[#This Row],[Adjusted Land Total]]-Inventory[[#This Row],[24Lnd]])/Inventory[[#This Row],[24Lnd]]</f>
        <v>-1.7402945113788489E-2</v>
      </c>
      <c r="BS1183" s="43">
        <f>(Inventory[[#This Row],[Adjusted Total]]-Inventory[[#This Row],[24Final]])/Inventory[[#This Row],[24Final]]</f>
        <v>4.888215233042819E-2</v>
      </c>
    </row>
    <row r="1184" spans="1:71">
      <c r="A1184" s="30">
        <v>2025</v>
      </c>
      <c r="B1184" s="31" t="s">
        <v>1701</v>
      </c>
      <c r="C1184" s="36">
        <f>LN(Inventory[[#This Row],[Acres]])</f>
        <v>-0.69314718055994529</v>
      </c>
      <c r="D1184" s="38">
        <v>0.5</v>
      </c>
      <c r="E1184" s="37"/>
      <c r="F1184" s="31" t="s">
        <v>505</v>
      </c>
      <c r="G1184" s="31" t="s">
        <v>155</v>
      </c>
      <c r="H1184" s="31" t="s">
        <v>5</v>
      </c>
      <c r="I1184" s="31" t="s">
        <v>506</v>
      </c>
      <c r="J1184" s="31" t="s">
        <v>507</v>
      </c>
      <c r="K1184" s="31" t="s">
        <v>193</v>
      </c>
      <c r="L1184" s="31" t="s">
        <v>17</v>
      </c>
      <c r="M1184" s="31" t="s">
        <v>18</v>
      </c>
      <c r="N1184" s="31">
        <v>50</v>
      </c>
      <c r="O1184" s="31">
        <f>2024-Inventory[[#This Row],[YrBlt]]</f>
        <v>52</v>
      </c>
      <c r="P1184" s="31">
        <f>2024-Inventory[[#This Row],[EffYr]]</f>
        <v>46</v>
      </c>
      <c r="Q1184" s="30">
        <v>1972</v>
      </c>
      <c r="R1184" s="30">
        <v>1978</v>
      </c>
      <c r="S1184" s="30">
        <v>1587</v>
      </c>
      <c r="T1184" s="32"/>
      <c r="U1184" s="32"/>
      <c r="V1184" s="32"/>
      <c r="W1184" s="32"/>
      <c r="X1184" s="32">
        <f>Inventory[[#This Row],[Bsmt Area]]-Inventory[[#This Row],[FnBsmt]]</f>
        <v>0</v>
      </c>
      <c r="Y1184" s="32">
        <f>Inventory[[#This Row],[MainFn]]+Inventory[[#This Row],[UpprFn]]+Inventory[[#This Row],[AddFn]]+Inventory[[#This Row],[FnBsmt]]</f>
        <v>1587</v>
      </c>
      <c r="Z1184" s="32">
        <v>2000</v>
      </c>
      <c r="AA1184" s="31" t="s">
        <v>56</v>
      </c>
      <c r="AB1184" s="32"/>
      <c r="AC1184" s="37"/>
      <c r="AD1184" s="32"/>
      <c r="AE1184" s="32"/>
      <c r="AF1184" s="32"/>
      <c r="AG1184" s="32"/>
      <c r="AH1184" s="32"/>
      <c r="AI1184" s="30">
        <v>248383</v>
      </c>
      <c r="AJ1184" s="30">
        <v>188771</v>
      </c>
      <c r="AK1184" s="30">
        <v>24222</v>
      </c>
      <c r="AL1184" s="30">
        <v>0</v>
      </c>
      <c r="AM1184" s="30">
        <v>76800</v>
      </c>
      <c r="AN1184" s="30">
        <v>242900</v>
      </c>
      <c r="AO1184" s="30">
        <v>319700</v>
      </c>
      <c r="AP1184" s="30">
        <f>Lookups!$B$58*0.6</f>
        <v>132535.48800000001</v>
      </c>
      <c r="AQ1184" s="30">
        <f>Lookups!$B$58*0.4</f>
        <v>88356.992000000013</v>
      </c>
      <c r="AR1184" s="30">
        <f>Lookups!$B$59*Inventory[[#This Row],[LnAcres]]</f>
        <v>-9097.0860979136814</v>
      </c>
      <c r="AS1184" s="30">
        <f>VLOOKUP(Inventory[[#This Row],[Qlty]],Lookups!$A$66:$E$79,2,FALSE)</f>
        <v>24371.765965999999</v>
      </c>
      <c r="AT1184" s="30">
        <f>VLOOKUP(Inventory[[#This Row],[Cnd]],Lookups!$A$80:$E$88,2,FALSE)</f>
        <v>17761.121909000001</v>
      </c>
      <c r="AU1184" s="30">
        <f>Inventory[[#This Row],[EffAge]]*Lookups!$B$65</f>
        <v>-5002.0906000000004</v>
      </c>
      <c r="AV1184" s="30">
        <f>Inventory[[#This Row],[MainFn]]*Lookups!$B$90</f>
        <v>99045.273060000007</v>
      </c>
      <c r="AW1184" s="30">
        <f>Inventory[[#This Row],[UpprFn]]*Lookups!$B$91</f>
        <v>0</v>
      </c>
      <c r="AX1184" s="30">
        <f>Inventory[[#This Row],[Bsmt Area]]*Lookups!$B$95</f>
        <v>0</v>
      </c>
      <c r="AY1184" s="30">
        <f>Inventory[[#This Row],[AttGar]]*Lookups!$B$93</f>
        <v>0</v>
      </c>
      <c r="AZ1184" s="30">
        <f>ROUND(Inventory[[#This Row],[25Det]],-2)</f>
        <v>24200</v>
      </c>
      <c r="BA1184" s="30">
        <f>ROUND(SUM(Inventory[[#This Row],[Mdl Qlty]:[Mdl Garage Area]])+Inventory[[#This Row],[Mdl Res Intercept]],-2)</f>
        <v>268700</v>
      </c>
      <c r="BB1184" s="30">
        <f>ROUND(Inventory[[#This Row],[Mdl Land Intercept]]+Inventory[[#This Row],[Mdl LnAcres]],-2)</f>
        <v>79300</v>
      </c>
      <c r="BC1184" s="30">
        <f>Inventory[[#This Row],[Unadj Res Value]]+Inventory[[#This Row],[Unadj Det Value]]+Inventory[[#This Row],[Unadj Land Value]]</f>
        <v>372200</v>
      </c>
      <c r="BD1184" s="30">
        <f>(Inventory[[#This Row],[Unadj Total Value]]-Inventory[[#This Row],[24Final]])/Inventory[[#This Row],[24Final]]</f>
        <v>0.16421645292461684</v>
      </c>
      <c r="BE1184" s="30">
        <f>VLOOKUP(Inventory[[#This Row],[Nbhd]],Lookups!$M$3:$P$5,4,FALSE)</f>
        <v>0.99970000000000003</v>
      </c>
      <c r="BF1184" s="30">
        <f>VLOOKUP(Inventory[[#This Row],[Qlty]],Lookups!$M$8:$P$22,4,FALSE)</f>
        <v>0.99199999999999999</v>
      </c>
      <c r="BG1184" s="30">
        <f>VLOOKUP(Inventory[[#This Row],[Cnd]],Lookups!$R$8:$U$17,4,FALSE)</f>
        <v>0.99680000000000002</v>
      </c>
      <c r="BH1184" s="30">
        <f>VLOOKUP(Inventory[[#This Row],[LivArea Range]],Lookups!$R$25:$U$43,4,FALSE)</f>
        <v>1.0007999999999999</v>
      </c>
      <c r="BI1184" s="30">
        <f>VLOOKUP(Inventory[[#This Row],[Decade]],Lookups!$M$24:$P$40,4,FALSE)</f>
        <v>0.98519999999999996</v>
      </c>
      <c r="BJ1184" s="30">
        <f>Inventory[[#This Row],[Nbhd Adj]]*0.95</f>
        <v>0.94971499999999998</v>
      </c>
      <c r="BK1184" s="30">
        <f>AVERAGE(Inventory[[#This Row],[Nbhd Adj]],Inventory[[#This Row],[Quality Adj]],Inventory[[#This Row],[Condition Adj]],Inventory[[#This Row],[Living Area Adj]],Inventory[[#This Row],[Decade Adj]])*0.95</f>
        <v>0.94515499999999997</v>
      </c>
      <c r="BL1184" s="30">
        <f>ROUND((SUM(Inventory[[#This Row],[Mdl Qlty]:[Mdl Garage Area]])+Inventory[[#This Row],[Mdl Res Intercept]])*Inventory[[#This Row],[Res Adj ]],-2)</f>
        <v>254000</v>
      </c>
      <c r="BM1184" s="30">
        <f>ROUND(Inventory[[#This Row],[25Det]]*Inventory[[#This Row],[Det/Nbhd Adj]],-2)</f>
        <v>23000</v>
      </c>
      <c r="BN1184" s="30">
        <f>Inventory[[#This Row],[Adjusted Res]]+Inventory[[#This Row],[Adj Det ]]</f>
        <v>277000</v>
      </c>
      <c r="BO1184" s="30">
        <f>ROUND((Inventory[[#This Row],[Mdl Land Intercept]]+Inventory[[#This Row],[Mdl LnAcres]])*Inventory[[#This Row],[Det/Nbhd Adj]],-2)</f>
        <v>75300</v>
      </c>
      <c r="BP1184" s="30">
        <f>Inventory[[#This Row],[Adjusted Impr Total]]+Inventory[[#This Row],[Adjusted Land Total]]</f>
        <v>352300</v>
      </c>
      <c r="BQ1184" s="30">
        <f>IFERROR((Inventory[[#This Row],[Adjusted Impr Total]]-Inventory[[#This Row],[24Bldg]])/Inventory[[#This Row],[24Bldg]],0)</f>
        <v>0.14038699053108275</v>
      </c>
      <c r="BR1184" s="43">
        <f>(Inventory[[#This Row],[Adjusted Land Total]]-Inventory[[#This Row],[24Lnd]])/Inventory[[#This Row],[24Lnd]]</f>
        <v>-1.953125E-2</v>
      </c>
      <c r="BS1184" s="43">
        <f>(Inventory[[#This Row],[Adjusted Total]]-Inventory[[#This Row],[24Final]])/Inventory[[#This Row],[24Final]]</f>
        <v>0.1019705974350954</v>
      </c>
    </row>
    <row r="1185" spans="1:71">
      <c r="A1185" s="30">
        <v>2025</v>
      </c>
      <c r="B1185" s="31" t="s">
        <v>1702</v>
      </c>
      <c r="C1185" s="36">
        <f>LN(Inventory[[#This Row],[Acres]])</f>
        <v>-3.0459207484708574E-2</v>
      </c>
      <c r="D1185" s="38">
        <v>0.97</v>
      </c>
      <c r="E1185" s="30">
        <v>42464</v>
      </c>
      <c r="F1185" s="31" t="s">
        <v>505</v>
      </c>
      <c r="G1185" s="31" t="s">
        <v>155</v>
      </c>
      <c r="H1185" s="31" t="s">
        <v>5</v>
      </c>
      <c r="I1185" s="31" t="s">
        <v>506</v>
      </c>
      <c r="J1185" s="31" t="s">
        <v>507</v>
      </c>
      <c r="K1185" s="31" t="s">
        <v>157</v>
      </c>
      <c r="L1185" s="31" t="s">
        <v>17</v>
      </c>
      <c r="M1185" s="31" t="s">
        <v>18</v>
      </c>
      <c r="N1185" s="31">
        <v>50</v>
      </c>
      <c r="O1185" s="31">
        <f>2024-Inventory[[#This Row],[YrBlt]]</f>
        <v>52</v>
      </c>
      <c r="P1185" s="31">
        <f>2024-Inventory[[#This Row],[EffYr]]</f>
        <v>46</v>
      </c>
      <c r="Q1185" s="30">
        <v>1972</v>
      </c>
      <c r="R1185" s="30">
        <v>1978</v>
      </c>
      <c r="S1185" s="30">
        <v>1144</v>
      </c>
      <c r="T1185" s="38">
        <v>440</v>
      </c>
      <c r="U1185" s="32"/>
      <c r="V1185" s="32"/>
      <c r="W1185" s="32"/>
      <c r="X1185" s="32">
        <f>Inventory[[#This Row],[Bsmt Area]]-Inventory[[#This Row],[FnBsmt]]</f>
        <v>0</v>
      </c>
      <c r="Y1185" s="32">
        <f>Inventory[[#This Row],[MainFn]]+Inventory[[#This Row],[UpprFn]]+Inventory[[#This Row],[AddFn]]+Inventory[[#This Row],[FnBsmt]]</f>
        <v>1584</v>
      </c>
      <c r="Z1185" s="32">
        <v>2000</v>
      </c>
      <c r="AA1185" s="31" t="s">
        <v>56</v>
      </c>
      <c r="AB1185" s="32"/>
      <c r="AC1185" s="37"/>
      <c r="AD1185" s="32"/>
      <c r="AE1185" s="32"/>
      <c r="AF1185" s="32"/>
      <c r="AG1185" s="32"/>
      <c r="AH1185" s="32"/>
      <c r="AI1185" s="30">
        <v>258272</v>
      </c>
      <c r="AJ1185" s="30">
        <v>196287</v>
      </c>
      <c r="AK1185" s="30">
        <v>32546</v>
      </c>
      <c r="AL1185" s="30">
        <v>0</v>
      </c>
      <c r="AM1185" s="30">
        <v>86100</v>
      </c>
      <c r="AN1185" s="30">
        <v>252400</v>
      </c>
      <c r="AO1185" s="30">
        <v>338500</v>
      </c>
      <c r="AP1185" s="30">
        <f>Lookups!$B$58*0.6</f>
        <v>132535.48800000001</v>
      </c>
      <c r="AQ1185" s="30">
        <f>Lookups!$B$58*0.4</f>
        <v>88356.992000000013</v>
      </c>
      <c r="AR1185" s="30">
        <f>Lookups!$B$59*Inventory[[#This Row],[LnAcres]]</f>
        <v>-399.75641643491792</v>
      </c>
      <c r="AS1185" s="30">
        <f>VLOOKUP(Inventory[[#This Row],[Qlty]],Lookups!$A$66:$E$79,2,FALSE)</f>
        <v>24371.765965999999</v>
      </c>
      <c r="AT1185" s="30">
        <f>VLOOKUP(Inventory[[#This Row],[Cnd]],Lookups!$A$80:$E$88,2,FALSE)</f>
        <v>17761.121909000001</v>
      </c>
      <c r="AU1185" s="30">
        <f>Inventory[[#This Row],[EffAge]]*Lookups!$B$65</f>
        <v>-5002.0906000000004</v>
      </c>
      <c r="AV1185" s="30">
        <f>Inventory[[#This Row],[MainFn]]*Lookups!$B$90</f>
        <v>71397.474719999998</v>
      </c>
      <c r="AW1185" s="30">
        <f>Inventory[[#This Row],[UpprFn]]*Lookups!$B$91</f>
        <v>26215.36852</v>
      </c>
      <c r="AX1185" s="30">
        <f>Inventory[[#This Row],[Bsmt Area]]*Lookups!$B$95</f>
        <v>0</v>
      </c>
      <c r="AY1185" s="30">
        <f>Inventory[[#This Row],[AttGar]]*Lookups!$B$93</f>
        <v>0</v>
      </c>
      <c r="AZ1185" s="30">
        <f>ROUND(Inventory[[#This Row],[25Det]],-2)</f>
        <v>32500</v>
      </c>
      <c r="BA1185" s="30">
        <f>ROUND(SUM(Inventory[[#This Row],[Mdl Qlty]:[Mdl Garage Area]])+Inventory[[#This Row],[Mdl Res Intercept]],-2)</f>
        <v>267300</v>
      </c>
      <c r="BB1185" s="30">
        <f>ROUND(Inventory[[#This Row],[Mdl Land Intercept]]+Inventory[[#This Row],[Mdl LnAcres]],-2)</f>
        <v>88000</v>
      </c>
      <c r="BC1185" s="30">
        <f>Inventory[[#This Row],[Unadj Res Value]]+Inventory[[#This Row],[Unadj Det Value]]+Inventory[[#This Row],[Unadj Land Value]]</f>
        <v>387800</v>
      </c>
      <c r="BD1185" s="30">
        <f>(Inventory[[#This Row],[Unadj Total Value]]-Inventory[[#This Row],[24Final]])/Inventory[[#This Row],[24Final]]</f>
        <v>0.14564254062038404</v>
      </c>
      <c r="BE1185" s="30">
        <f>VLOOKUP(Inventory[[#This Row],[Nbhd]],Lookups!$M$3:$P$5,4,FALSE)</f>
        <v>0.99970000000000003</v>
      </c>
      <c r="BF1185" s="30">
        <f>VLOOKUP(Inventory[[#This Row],[Qlty]],Lookups!$M$8:$P$22,4,FALSE)</f>
        <v>0.99199999999999999</v>
      </c>
      <c r="BG1185" s="30">
        <f>VLOOKUP(Inventory[[#This Row],[Cnd]],Lookups!$R$8:$U$17,4,FALSE)</f>
        <v>0.99680000000000002</v>
      </c>
      <c r="BH1185" s="30">
        <f>VLOOKUP(Inventory[[#This Row],[LivArea Range]],Lookups!$R$25:$U$43,4,FALSE)</f>
        <v>1.0007999999999999</v>
      </c>
      <c r="BI1185" s="30">
        <f>VLOOKUP(Inventory[[#This Row],[Decade]],Lookups!$M$24:$P$40,4,FALSE)</f>
        <v>0.98519999999999996</v>
      </c>
      <c r="BJ1185" s="30">
        <f>Inventory[[#This Row],[Nbhd Adj]]*0.95</f>
        <v>0.94971499999999998</v>
      </c>
      <c r="BK1185" s="30">
        <f>AVERAGE(Inventory[[#This Row],[Nbhd Adj]],Inventory[[#This Row],[Quality Adj]],Inventory[[#This Row],[Condition Adj]],Inventory[[#This Row],[Living Area Adj]],Inventory[[#This Row],[Decade Adj]])*0.95</f>
        <v>0.94515499999999997</v>
      </c>
      <c r="BL1185" s="30">
        <f>ROUND((SUM(Inventory[[#This Row],[Mdl Qlty]:[Mdl Garage Area]])+Inventory[[#This Row],[Mdl Res Intercept]])*Inventory[[#This Row],[Res Adj ]],-2)</f>
        <v>252600</v>
      </c>
      <c r="BM1185" s="30">
        <f>ROUND(Inventory[[#This Row],[25Det]]*Inventory[[#This Row],[Det/Nbhd Adj]],-2)</f>
        <v>30900</v>
      </c>
      <c r="BN1185" s="30">
        <f>Inventory[[#This Row],[Adjusted Res]]+Inventory[[#This Row],[Adj Det ]]</f>
        <v>283500</v>
      </c>
      <c r="BO1185" s="30">
        <f>ROUND((Inventory[[#This Row],[Mdl Land Intercept]]+Inventory[[#This Row],[Mdl LnAcres]])*Inventory[[#This Row],[Det/Nbhd Adj]],-2)</f>
        <v>83500</v>
      </c>
      <c r="BP1185" s="30">
        <f>Inventory[[#This Row],[Adjusted Impr Total]]+Inventory[[#This Row],[Adjusted Land Total]]</f>
        <v>367000</v>
      </c>
      <c r="BQ1185" s="30">
        <f>IFERROR((Inventory[[#This Row],[Adjusted Impr Total]]-Inventory[[#This Row],[24Bldg]])/Inventory[[#This Row],[24Bldg]],0)</f>
        <v>0.12321711568938193</v>
      </c>
      <c r="BR1185" s="43">
        <f>(Inventory[[#This Row],[Adjusted Land Total]]-Inventory[[#This Row],[24Lnd]])/Inventory[[#This Row],[24Lnd]]</f>
        <v>-3.0197444831591175E-2</v>
      </c>
      <c r="BS1185" s="43">
        <f>(Inventory[[#This Row],[Adjusted Total]]-Inventory[[#This Row],[24Final]])/Inventory[[#This Row],[24Final]]</f>
        <v>8.4194977843426888E-2</v>
      </c>
    </row>
    <row r="1186" spans="1:71">
      <c r="A1186" s="30">
        <v>2025</v>
      </c>
      <c r="B1186" s="31" t="s">
        <v>1703</v>
      </c>
      <c r="C1186" s="36">
        <f>LN(Inventory[[#This Row],[Acres]])</f>
        <v>0.36464311358790924</v>
      </c>
      <c r="D1186" s="38">
        <v>1.44</v>
      </c>
      <c r="E1186" s="30">
        <v>62845</v>
      </c>
      <c r="F1186" s="31" t="s">
        <v>505</v>
      </c>
      <c r="G1186" s="31" t="s">
        <v>155</v>
      </c>
      <c r="H1186" s="31" t="s">
        <v>5</v>
      </c>
      <c r="I1186" s="31" t="s">
        <v>506</v>
      </c>
      <c r="J1186" s="31" t="s">
        <v>507</v>
      </c>
      <c r="K1186" s="31" t="s">
        <v>193</v>
      </c>
      <c r="L1186" s="31" t="s">
        <v>17</v>
      </c>
      <c r="M1186" s="31" t="s">
        <v>18</v>
      </c>
      <c r="N1186" s="31">
        <v>50</v>
      </c>
      <c r="O1186" s="31">
        <f>2024-Inventory[[#This Row],[YrBlt]]</f>
        <v>52</v>
      </c>
      <c r="P1186" s="31">
        <f>2024-Inventory[[#This Row],[EffYr]]</f>
        <v>46</v>
      </c>
      <c r="Q1186" s="30">
        <v>1972</v>
      </c>
      <c r="R1186" s="30">
        <v>1978</v>
      </c>
      <c r="S1186" s="30">
        <v>1170</v>
      </c>
      <c r="T1186" s="32"/>
      <c r="U1186" s="32"/>
      <c r="V1186" s="32"/>
      <c r="W1186" s="32"/>
      <c r="X1186" s="32">
        <f>Inventory[[#This Row],[Bsmt Area]]-Inventory[[#This Row],[FnBsmt]]</f>
        <v>0</v>
      </c>
      <c r="Y1186" s="32">
        <f>Inventory[[#This Row],[MainFn]]+Inventory[[#This Row],[UpprFn]]+Inventory[[#This Row],[AddFn]]+Inventory[[#This Row],[FnBsmt]]</f>
        <v>1170</v>
      </c>
      <c r="Z1186" s="32">
        <v>1500</v>
      </c>
      <c r="AA1186" s="31" t="s">
        <v>56</v>
      </c>
      <c r="AB1186" s="37"/>
      <c r="AC1186" s="30">
        <v>734</v>
      </c>
      <c r="AD1186" s="32"/>
      <c r="AE1186" s="32"/>
      <c r="AF1186" s="32"/>
      <c r="AG1186" s="32"/>
      <c r="AH1186" s="32"/>
      <c r="AI1186" s="30">
        <v>242549</v>
      </c>
      <c r="AJ1186" s="30">
        <v>184337</v>
      </c>
      <c r="AK1186" s="30">
        <v>0</v>
      </c>
      <c r="AL1186" s="30">
        <v>0</v>
      </c>
      <c r="AM1186" s="30">
        <v>91600</v>
      </c>
      <c r="AN1186" s="30">
        <v>233400</v>
      </c>
      <c r="AO1186" s="30">
        <v>325000</v>
      </c>
      <c r="AP1186" s="30">
        <f>Lookups!$B$58*0.6</f>
        <v>132535.48800000001</v>
      </c>
      <c r="AQ1186" s="30">
        <f>Lookups!$B$58*0.4</f>
        <v>88356.992000000013</v>
      </c>
      <c r="AR1186" s="30">
        <f>Lookups!$B$59*Inventory[[#This Row],[LnAcres]]</f>
        <v>4785.6932731671823</v>
      </c>
      <c r="AS1186" s="30">
        <f>VLOOKUP(Inventory[[#This Row],[Qlty]],Lookups!$A$66:$E$79,2,FALSE)</f>
        <v>24371.765965999999</v>
      </c>
      <c r="AT1186" s="30">
        <f>VLOOKUP(Inventory[[#This Row],[Cnd]],Lookups!$A$80:$E$88,2,FALSE)</f>
        <v>17761.121909000001</v>
      </c>
      <c r="AU1186" s="30">
        <f>Inventory[[#This Row],[EffAge]]*Lookups!$B$65</f>
        <v>-5002.0906000000004</v>
      </c>
      <c r="AV1186" s="30">
        <f>Inventory[[#This Row],[MainFn]]*Lookups!$B$90</f>
        <v>73020.1446</v>
      </c>
      <c r="AW1186" s="30">
        <f>Inventory[[#This Row],[UpprFn]]*Lookups!$B$91</f>
        <v>0</v>
      </c>
      <c r="AX1186" s="30">
        <f>Inventory[[#This Row],[Bsmt Area]]*Lookups!$B$95</f>
        <v>0</v>
      </c>
      <c r="AY1186" s="30">
        <f>Inventory[[#This Row],[AttGar]]*Lookups!$B$93</f>
        <v>25910.956754000003</v>
      </c>
      <c r="AZ1186" s="30">
        <f>ROUND(Inventory[[#This Row],[25Det]],-2)</f>
        <v>0</v>
      </c>
      <c r="BA1186" s="30">
        <f>ROUND(SUM(Inventory[[#This Row],[Mdl Qlty]:[Mdl Garage Area]])+Inventory[[#This Row],[Mdl Res Intercept]],-2)</f>
        <v>268600</v>
      </c>
      <c r="BB1186" s="30">
        <f>ROUND(Inventory[[#This Row],[Mdl Land Intercept]]+Inventory[[#This Row],[Mdl LnAcres]],-2)</f>
        <v>93100</v>
      </c>
      <c r="BC1186" s="30">
        <f>Inventory[[#This Row],[Unadj Res Value]]+Inventory[[#This Row],[Unadj Det Value]]+Inventory[[#This Row],[Unadj Land Value]]</f>
        <v>361700</v>
      </c>
      <c r="BD1186" s="30">
        <f>(Inventory[[#This Row],[Unadj Total Value]]-Inventory[[#This Row],[24Final]])/Inventory[[#This Row],[24Final]]</f>
        <v>0.11292307692307692</v>
      </c>
      <c r="BE1186" s="30">
        <f>VLOOKUP(Inventory[[#This Row],[Nbhd]],Lookups!$M$3:$P$5,4,FALSE)</f>
        <v>0.99970000000000003</v>
      </c>
      <c r="BF1186" s="30">
        <f>VLOOKUP(Inventory[[#This Row],[Qlty]],Lookups!$M$8:$P$22,4,FALSE)</f>
        <v>0.99199999999999999</v>
      </c>
      <c r="BG1186" s="30">
        <f>VLOOKUP(Inventory[[#This Row],[Cnd]],Lookups!$R$8:$U$17,4,FALSE)</f>
        <v>0.99680000000000002</v>
      </c>
      <c r="BH1186" s="30">
        <f>VLOOKUP(Inventory[[#This Row],[LivArea Range]],Lookups!$R$25:$U$43,4,FALSE)</f>
        <v>0.99519999999999997</v>
      </c>
      <c r="BI1186" s="30">
        <f>VLOOKUP(Inventory[[#This Row],[Decade]],Lookups!$M$24:$P$40,4,FALSE)</f>
        <v>0.98519999999999996</v>
      </c>
      <c r="BJ1186" s="30">
        <f>Inventory[[#This Row],[Nbhd Adj]]*0.95</f>
        <v>0.94971499999999998</v>
      </c>
      <c r="BK1186" s="30">
        <f>AVERAGE(Inventory[[#This Row],[Nbhd Adj]],Inventory[[#This Row],[Quality Adj]],Inventory[[#This Row],[Condition Adj]],Inventory[[#This Row],[Living Area Adj]],Inventory[[#This Row],[Decade Adj]])*0.95</f>
        <v>0.94409100000000001</v>
      </c>
      <c r="BL1186" s="30">
        <f>ROUND((SUM(Inventory[[#This Row],[Mdl Qlty]:[Mdl Garage Area]])+Inventory[[#This Row],[Mdl Res Intercept]])*Inventory[[#This Row],[Res Adj ]],-2)</f>
        <v>253600</v>
      </c>
      <c r="BM1186" s="30">
        <f>ROUND(Inventory[[#This Row],[25Det]]*Inventory[[#This Row],[Det/Nbhd Adj]],-2)</f>
        <v>0</v>
      </c>
      <c r="BN1186" s="30">
        <f>Inventory[[#This Row],[Adjusted Res]]+Inventory[[#This Row],[Adj Det ]]</f>
        <v>253600</v>
      </c>
      <c r="BO1186" s="30">
        <f>ROUND((Inventory[[#This Row],[Mdl Land Intercept]]+Inventory[[#This Row],[Mdl LnAcres]])*Inventory[[#This Row],[Det/Nbhd Adj]],-2)</f>
        <v>88500</v>
      </c>
      <c r="BP1186" s="30">
        <f>Inventory[[#This Row],[Adjusted Impr Total]]+Inventory[[#This Row],[Adjusted Land Total]]</f>
        <v>342100</v>
      </c>
      <c r="BQ1186" s="30">
        <f>IFERROR((Inventory[[#This Row],[Adjusted Impr Total]]-Inventory[[#This Row],[24Bldg]])/Inventory[[#This Row],[24Bldg]],0)</f>
        <v>8.6546700942587831E-2</v>
      </c>
      <c r="BR1186" s="43">
        <f>(Inventory[[#This Row],[Adjusted Land Total]]-Inventory[[#This Row],[24Lnd]])/Inventory[[#This Row],[24Lnd]]</f>
        <v>-3.384279475982533E-2</v>
      </c>
      <c r="BS1186" s="43">
        <f>(Inventory[[#This Row],[Adjusted Total]]-Inventory[[#This Row],[24Final]])/Inventory[[#This Row],[24Final]]</f>
        <v>5.2615384615384612E-2</v>
      </c>
    </row>
    <row r="1187" spans="1:71">
      <c r="A1187" s="30">
        <v>2025</v>
      </c>
      <c r="B1187" s="31" t="s">
        <v>1704</v>
      </c>
      <c r="C1187" s="36">
        <f>LN(Inventory[[#This Row],[Acres]])</f>
        <v>-1.6607312068216509</v>
      </c>
      <c r="D1187" s="38">
        <v>0.19</v>
      </c>
      <c r="E1187" s="30">
        <v>8419</v>
      </c>
      <c r="F1187" s="31" t="s">
        <v>505</v>
      </c>
      <c r="G1187" s="31" t="s">
        <v>155</v>
      </c>
      <c r="H1187" s="31" t="s">
        <v>5</v>
      </c>
      <c r="I1187" s="31" t="s">
        <v>506</v>
      </c>
      <c r="J1187" s="31" t="s">
        <v>507</v>
      </c>
      <c r="K1187" s="31" t="s">
        <v>193</v>
      </c>
      <c r="L1187" s="31" t="s">
        <v>13</v>
      </c>
      <c r="M1187" s="31" t="s">
        <v>20</v>
      </c>
      <c r="N1187" s="31">
        <v>50</v>
      </c>
      <c r="O1187" s="31">
        <f>2024-Inventory[[#This Row],[YrBlt]]</f>
        <v>53</v>
      </c>
      <c r="P1187" s="31">
        <f>2024-Inventory[[#This Row],[EffYr]]</f>
        <v>46</v>
      </c>
      <c r="Q1187" s="30">
        <v>1971</v>
      </c>
      <c r="R1187" s="30">
        <v>1978</v>
      </c>
      <c r="S1187" s="30">
        <v>1300</v>
      </c>
      <c r="T1187" s="32"/>
      <c r="U1187" s="32"/>
      <c r="V1187" s="32"/>
      <c r="W1187" s="32"/>
      <c r="X1187" s="32">
        <f>Inventory[[#This Row],[Bsmt Area]]-Inventory[[#This Row],[FnBsmt]]</f>
        <v>0</v>
      </c>
      <c r="Y1187" s="32">
        <f>Inventory[[#This Row],[MainFn]]+Inventory[[#This Row],[UpprFn]]+Inventory[[#This Row],[AddFn]]+Inventory[[#This Row],[FnBsmt]]</f>
        <v>1300</v>
      </c>
      <c r="Z1187" s="32">
        <v>1500</v>
      </c>
      <c r="AA1187" s="31" t="s">
        <v>56</v>
      </c>
      <c r="AB1187" s="32"/>
      <c r="AC1187" s="37"/>
      <c r="AD1187" s="32"/>
      <c r="AE1187" s="32"/>
      <c r="AF1187" s="32"/>
      <c r="AG1187" s="32"/>
      <c r="AH1187" s="32"/>
      <c r="AI1187" s="30">
        <v>181252</v>
      </c>
      <c r="AJ1187" s="30">
        <v>139564</v>
      </c>
      <c r="AK1187" s="30">
        <v>0</v>
      </c>
      <c r="AL1187" s="30">
        <v>0</v>
      </c>
      <c r="AM1187" s="30">
        <v>63200</v>
      </c>
      <c r="AN1187" s="30">
        <v>200400</v>
      </c>
      <c r="AO1187" s="30">
        <v>263600</v>
      </c>
      <c r="AP1187" s="30">
        <f>Lookups!$B$58*0.6</f>
        <v>132535.48800000001</v>
      </c>
      <c r="AQ1187" s="30">
        <f>Lookups!$B$58*0.4</f>
        <v>88356.992000000013</v>
      </c>
      <c r="AR1187" s="30">
        <f>Lookups!$B$59*Inventory[[#This Row],[LnAcres]]</f>
        <v>-21795.969453044734</v>
      </c>
      <c r="AS1187" s="30">
        <f>VLOOKUP(Inventory[[#This Row],[Qlty]],Lookups!$A$66:$E$79,2,FALSE)</f>
        <v>0</v>
      </c>
      <c r="AT1187" s="30">
        <f>VLOOKUP(Inventory[[#This Row],[Cnd]],Lookups!$A$80:$E$88,2,FALSE)</f>
        <v>30300.329274</v>
      </c>
      <c r="AU1187" s="30">
        <f>Inventory[[#This Row],[EffAge]]*Lookups!$B$65</f>
        <v>-5002.0906000000004</v>
      </c>
      <c r="AV1187" s="30">
        <f>Inventory[[#This Row],[MainFn]]*Lookups!$B$90</f>
        <v>81133.494000000006</v>
      </c>
      <c r="AW1187" s="30">
        <f>Inventory[[#This Row],[UpprFn]]*Lookups!$B$91</f>
        <v>0</v>
      </c>
      <c r="AX1187" s="30">
        <f>Inventory[[#This Row],[Bsmt Area]]*Lookups!$B$95</f>
        <v>0</v>
      </c>
      <c r="AY1187" s="30">
        <f>Inventory[[#This Row],[AttGar]]*Lookups!$B$93</f>
        <v>0</v>
      </c>
      <c r="AZ1187" s="30">
        <f>ROUND(Inventory[[#This Row],[25Det]],-2)</f>
        <v>0</v>
      </c>
      <c r="BA1187" s="30">
        <f>ROUND(SUM(Inventory[[#This Row],[Mdl Qlty]:[Mdl Garage Area]])+Inventory[[#This Row],[Mdl Res Intercept]],-2)</f>
        <v>239000</v>
      </c>
      <c r="BB1187" s="30">
        <f>ROUND(Inventory[[#This Row],[Mdl Land Intercept]]+Inventory[[#This Row],[Mdl LnAcres]],-2)</f>
        <v>66600</v>
      </c>
      <c r="BC1187" s="30">
        <f>Inventory[[#This Row],[Unadj Res Value]]+Inventory[[#This Row],[Unadj Det Value]]+Inventory[[#This Row],[Unadj Land Value]]</f>
        <v>305600</v>
      </c>
      <c r="BD1187" s="30">
        <f>(Inventory[[#This Row],[Unadj Total Value]]-Inventory[[#This Row],[24Final]])/Inventory[[#This Row],[24Final]]</f>
        <v>0.15933232169954475</v>
      </c>
      <c r="BE1187" s="30">
        <f>VLOOKUP(Inventory[[#This Row],[Nbhd]],Lookups!$M$3:$P$5,4,FALSE)</f>
        <v>0.99970000000000003</v>
      </c>
      <c r="BF1187" s="30">
        <f>VLOOKUP(Inventory[[#This Row],[Qlty]],Lookups!$M$8:$P$22,4,FALSE)</f>
        <v>1.0003</v>
      </c>
      <c r="BG1187" s="30">
        <f>VLOOKUP(Inventory[[#This Row],[Cnd]],Lookups!$R$8:$U$17,4,FALSE)</f>
        <v>0.997</v>
      </c>
      <c r="BH1187" s="30">
        <f>VLOOKUP(Inventory[[#This Row],[LivArea Range]],Lookups!$R$25:$U$43,4,FALSE)</f>
        <v>0.99519999999999997</v>
      </c>
      <c r="BI1187" s="30">
        <f>VLOOKUP(Inventory[[#This Row],[Decade]],Lookups!$M$24:$P$40,4,FALSE)</f>
        <v>0.98519999999999996</v>
      </c>
      <c r="BJ1187" s="30">
        <f>Inventory[[#This Row],[Nbhd Adj]]*0.95</f>
        <v>0.94971499999999998</v>
      </c>
      <c r="BK1187" s="30">
        <f>AVERAGE(Inventory[[#This Row],[Nbhd Adj]],Inventory[[#This Row],[Quality Adj]],Inventory[[#This Row],[Condition Adj]],Inventory[[#This Row],[Living Area Adj]],Inventory[[#This Row],[Decade Adj]])*0.95</f>
        <v>0.94570599999999994</v>
      </c>
      <c r="BL1187" s="30">
        <f>ROUND((SUM(Inventory[[#This Row],[Mdl Qlty]:[Mdl Garage Area]])+Inventory[[#This Row],[Mdl Res Intercept]])*Inventory[[#This Row],[Res Adj ]],-2)</f>
        <v>226000</v>
      </c>
      <c r="BM1187" s="30">
        <f>ROUND(Inventory[[#This Row],[25Det]]*Inventory[[#This Row],[Det/Nbhd Adj]],-2)</f>
        <v>0</v>
      </c>
      <c r="BN1187" s="30">
        <f>Inventory[[#This Row],[Adjusted Res]]+Inventory[[#This Row],[Adj Det ]]</f>
        <v>226000</v>
      </c>
      <c r="BO1187" s="30">
        <f>ROUND((Inventory[[#This Row],[Mdl Land Intercept]]+Inventory[[#This Row],[Mdl LnAcres]])*Inventory[[#This Row],[Det/Nbhd Adj]],-2)</f>
        <v>63200</v>
      </c>
      <c r="BP1187" s="30">
        <f>Inventory[[#This Row],[Adjusted Impr Total]]+Inventory[[#This Row],[Adjusted Land Total]]</f>
        <v>289200</v>
      </c>
      <c r="BQ1187" s="30">
        <f>IFERROR((Inventory[[#This Row],[Adjusted Impr Total]]-Inventory[[#This Row],[24Bldg]])/Inventory[[#This Row],[24Bldg]],0)</f>
        <v>0.1277445109780439</v>
      </c>
      <c r="BR1187" s="43">
        <f>(Inventory[[#This Row],[Adjusted Land Total]]-Inventory[[#This Row],[24Lnd]])/Inventory[[#This Row],[24Lnd]]</f>
        <v>0</v>
      </c>
      <c r="BS1187" s="43">
        <f>(Inventory[[#This Row],[Adjusted Total]]-Inventory[[#This Row],[24Final]])/Inventory[[#This Row],[24Final]]</f>
        <v>9.7116843702579669E-2</v>
      </c>
    </row>
    <row r="1188" spans="1:71">
      <c r="A1188" s="30">
        <v>2025</v>
      </c>
      <c r="B1188" s="31" t="s">
        <v>1705</v>
      </c>
      <c r="C1188" s="36">
        <f>LN(Inventory[[#This Row],[Acres]])</f>
        <v>-1.5141277326297755</v>
      </c>
      <c r="D1188" s="38">
        <v>0.22</v>
      </c>
      <c r="E1188" s="30">
        <v>9590</v>
      </c>
      <c r="F1188" s="31" t="s">
        <v>505</v>
      </c>
      <c r="G1188" s="31" t="s">
        <v>155</v>
      </c>
      <c r="H1188" s="31" t="s">
        <v>5</v>
      </c>
      <c r="I1188" s="31" t="s">
        <v>506</v>
      </c>
      <c r="J1188" s="31" t="s">
        <v>507</v>
      </c>
      <c r="K1188" s="31" t="s">
        <v>193</v>
      </c>
      <c r="L1188" s="31" t="s">
        <v>15</v>
      </c>
      <c r="M1188" s="31" t="s">
        <v>18</v>
      </c>
      <c r="N1188" s="31">
        <v>50</v>
      </c>
      <c r="O1188" s="31">
        <f>2024-Inventory[[#This Row],[YrBlt]]</f>
        <v>53</v>
      </c>
      <c r="P1188" s="31">
        <f>2024-Inventory[[#This Row],[EffYr]]</f>
        <v>46</v>
      </c>
      <c r="Q1188" s="30">
        <v>1971</v>
      </c>
      <c r="R1188" s="30">
        <v>1978</v>
      </c>
      <c r="S1188" s="30">
        <v>891</v>
      </c>
      <c r="T1188" s="32"/>
      <c r="U1188" s="32"/>
      <c r="V1188" s="32"/>
      <c r="W1188" s="32"/>
      <c r="X1188" s="32">
        <f>Inventory[[#This Row],[Bsmt Area]]-Inventory[[#This Row],[FnBsmt]]</f>
        <v>0</v>
      </c>
      <c r="Y1188" s="32">
        <f>Inventory[[#This Row],[MainFn]]+Inventory[[#This Row],[UpprFn]]+Inventory[[#This Row],[AddFn]]+Inventory[[#This Row],[FnBsmt]]</f>
        <v>891</v>
      </c>
      <c r="Z1188" s="32">
        <v>1000</v>
      </c>
      <c r="AA1188" s="31" t="s">
        <v>56</v>
      </c>
      <c r="AB1188" s="32"/>
      <c r="AC1188" s="30">
        <v>297</v>
      </c>
      <c r="AD1188" s="32"/>
      <c r="AE1188" s="32"/>
      <c r="AF1188" s="32"/>
      <c r="AG1188" s="32"/>
      <c r="AH1188" s="32"/>
      <c r="AI1188" s="30">
        <v>170793</v>
      </c>
      <c r="AJ1188" s="30">
        <v>129803</v>
      </c>
      <c r="AK1188" s="30">
        <v>0</v>
      </c>
      <c r="AL1188" s="30">
        <v>0</v>
      </c>
      <c r="AM1188" s="30">
        <v>65300</v>
      </c>
      <c r="AN1188" s="30">
        <v>193800</v>
      </c>
      <c r="AO1188" s="30">
        <v>259100</v>
      </c>
      <c r="AP1188" s="30">
        <f>Lookups!$B$58*0.6</f>
        <v>132535.48800000001</v>
      </c>
      <c r="AQ1188" s="30">
        <f>Lookups!$B$58*0.4</f>
        <v>88356.992000000013</v>
      </c>
      <c r="AR1188" s="30">
        <f>Lookups!$B$59*Inventory[[#This Row],[LnAcres]]</f>
        <v>-19871.898398035348</v>
      </c>
      <c r="AS1188" s="30">
        <f>VLOOKUP(Inventory[[#This Row],[Qlty]],Lookups!$A$66:$E$79,2,FALSE)</f>
        <v>-1240.8083630000001</v>
      </c>
      <c r="AT1188" s="30">
        <f>VLOOKUP(Inventory[[#This Row],[Cnd]],Lookups!$A$80:$E$88,2,FALSE)</f>
        <v>17761.121909000001</v>
      </c>
      <c r="AU1188" s="30">
        <f>Inventory[[#This Row],[EffAge]]*Lookups!$B$65</f>
        <v>-5002.0906000000004</v>
      </c>
      <c r="AV1188" s="30">
        <f>Inventory[[#This Row],[MainFn]]*Lookups!$B$90</f>
        <v>55607.648580000001</v>
      </c>
      <c r="AW1188" s="30">
        <f>Inventory[[#This Row],[UpprFn]]*Lookups!$B$91</f>
        <v>0</v>
      </c>
      <c r="AX1188" s="30">
        <f>Inventory[[#This Row],[Bsmt Area]]*Lookups!$B$95</f>
        <v>0</v>
      </c>
      <c r="AY1188" s="30">
        <f>Inventory[[#This Row],[AttGar]]*Lookups!$B$93</f>
        <v>10484.406207</v>
      </c>
      <c r="AZ1188" s="30">
        <f>ROUND(Inventory[[#This Row],[25Det]],-2)</f>
        <v>0</v>
      </c>
      <c r="BA1188" s="30">
        <f>ROUND(SUM(Inventory[[#This Row],[Mdl Qlty]:[Mdl Garage Area]])+Inventory[[#This Row],[Mdl Res Intercept]],-2)</f>
        <v>210100</v>
      </c>
      <c r="BB1188" s="30">
        <f>ROUND(Inventory[[#This Row],[Mdl Land Intercept]]+Inventory[[#This Row],[Mdl LnAcres]],-2)</f>
        <v>68500</v>
      </c>
      <c r="BC1188" s="30">
        <f>Inventory[[#This Row],[Unadj Res Value]]+Inventory[[#This Row],[Unadj Det Value]]+Inventory[[#This Row],[Unadj Land Value]]</f>
        <v>278600</v>
      </c>
      <c r="BD1188" s="30">
        <f>(Inventory[[#This Row],[Unadj Total Value]]-Inventory[[#This Row],[24Final]])/Inventory[[#This Row],[24Final]]</f>
        <v>7.5260517174835964E-2</v>
      </c>
      <c r="BE1188" s="30">
        <f>VLOOKUP(Inventory[[#This Row],[Nbhd]],Lookups!$M$3:$P$5,4,FALSE)</f>
        <v>0.99970000000000003</v>
      </c>
      <c r="BF1188" s="30">
        <f>VLOOKUP(Inventory[[#This Row],[Qlty]],Lookups!$M$8:$P$22,4,FALSE)</f>
        <v>1.0022</v>
      </c>
      <c r="BG1188" s="30">
        <f>VLOOKUP(Inventory[[#This Row],[Cnd]],Lookups!$R$8:$U$17,4,FALSE)</f>
        <v>0.99680000000000002</v>
      </c>
      <c r="BH1188" s="30">
        <f>VLOOKUP(Inventory[[#This Row],[LivArea Range]],Lookups!$R$25:$U$43,4,FALSE)</f>
        <v>1</v>
      </c>
      <c r="BI1188" s="30">
        <f>VLOOKUP(Inventory[[#This Row],[Decade]],Lookups!$M$24:$P$40,4,FALSE)</f>
        <v>0.98519999999999996</v>
      </c>
      <c r="BJ1188" s="30">
        <f>Inventory[[#This Row],[Nbhd Adj]]*0.95</f>
        <v>0.94971499999999998</v>
      </c>
      <c r="BK1188" s="30">
        <f>AVERAGE(Inventory[[#This Row],[Nbhd Adj]],Inventory[[#This Row],[Quality Adj]],Inventory[[#This Row],[Condition Adj]],Inventory[[#This Row],[Living Area Adj]],Inventory[[#This Row],[Decade Adj]])*0.95</f>
        <v>0.94694099999999992</v>
      </c>
      <c r="BL1188" s="30">
        <f>ROUND((SUM(Inventory[[#This Row],[Mdl Qlty]:[Mdl Garage Area]])+Inventory[[#This Row],[Mdl Res Intercept]])*Inventory[[#This Row],[Res Adj ]],-2)</f>
        <v>199000</v>
      </c>
      <c r="BM1188" s="30">
        <f>ROUND(Inventory[[#This Row],[25Det]]*Inventory[[#This Row],[Det/Nbhd Adj]],-2)</f>
        <v>0</v>
      </c>
      <c r="BN1188" s="30">
        <f>Inventory[[#This Row],[Adjusted Res]]+Inventory[[#This Row],[Adj Det ]]</f>
        <v>199000</v>
      </c>
      <c r="BO1188" s="30">
        <f>ROUND((Inventory[[#This Row],[Mdl Land Intercept]]+Inventory[[#This Row],[Mdl LnAcres]])*Inventory[[#This Row],[Det/Nbhd Adj]],-2)</f>
        <v>65000</v>
      </c>
      <c r="BP1188" s="30">
        <f>Inventory[[#This Row],[Adjusted Impr Total]]+Inventory[[#This Row],[Adjusted Land Total]]</f>
        <v>264000</v>
      </c>
      <c r="BQ1188" s="30">
        <f>IFERROR((Inventory[[#This Row],[Adjusted Impr Total]]-Inventory[[#This Row],[24Bldg]])/Inventory[[#This Row],[24Bldg]],0)</f>
        <v>2.6831785345717233E-2</v>
      </c>
      <c r="BR1188" s="43">
        <f>(Inventory[[#This Row],[Adjusted Land Total]]-Inventory[[#This Row],[24Lnd]])/Inventory[[#This Row],[24Lnd]]</f>
        <v>-4.5941807044410417E-3</v>
      </c>
      <c r="BS1188" s="43">
        <f>(Inventory[[#This Row],[Adjusted Total]]-Inventory[[#This Row],[24Final]])/Inventory[[#This Row],[24Final]]</f>
        <v>1.8911617136240833E-2</v>
      </c>
    </row>
    <row r="1189" spans="1:71">
      <c r="A1189" s="30">
        <v>2025</v>
      </c>
      <c r="B1189" s="31" t="s">
        <v>1706</v>
      </c>
      <c r="C1189" s="36">
        <f>LN(Inventory[[#This Row],[Acres]])</f>
        <v>-1.4696759700589417</v>
      </c>
      <c r="D1189" s="38">
        <v>0.23</v>
      </c>
      <c r="E1189" s="30">
        <v>9924</v>
      </c>
      <c r="F1189" s="31" t="s">
        <v>505</v>
      </c>
      <c r="G1189" s="31" t="s">
        <v>155</v>
      </c>
      <c r="H1189" s="31" t="s">
        <v>5</v>
      </c>
      <c r="I1189" s="31" t="s">
        <v>506</v>
      </c>
      <c r="J1189" s="31" t="s">
        <v>507</v>
      </c>
      <c r="K1189" s="31" t="s">
        <v>193</v>
      </c>
      <c r="L1189" s="31" t="s">
        <v>19</v>
      </c>
      <c r="M1189" s="31" t="s">
        <v>20</v>
      </c>
      <c r="N1189" s="31">
        <v>50</v>
      </c>
      <c r="O1189" s="31">
        <f>2024-Inventory[[#This Row],[YrBlt]]</f>
        <v>53</v>
      </c>
      <c r="P1189" s="31">
        <f>2024-Inventory[[#This Row],[EffYr]]</f>
        <v>46</v>
      </c>
      <c r="Q1189" s="30">
        <v>1971</v>
      </c>
      <c r="R1189" s="30">
        <v>1978</v>
      </c>
      <c r="S1189" s="30">
        <v>1688</v>
      </c>
      <c r="T1189" s="32"/>
      <c r="U1189" s="32"/>
      <c r="V1189" s="32"/>
      <c r="W1189" s="32"/>
      <c r="X1189" s="32">
        <f>Inventory[[#This Row],[Bsmt Area]]-Inventory[[#This Row],[FnBsmt]]</f>
        <v>0</v>
      </c>
      <c r="Y1189" s="32">
        <f>Inventory[[#This Row],[MainFn]]+Inventory[[#This Row],[UpprFn]]+Inventory[[#This Row],[AddFn]]+Inventory[[#This Row],[FnBsmt]]</f>
        <v>1688</v>
      </c>
      <c r="Z1189" s="32">
        <v>2000</v>
      </c>
      <c r="AA1189" s="31" t="s">
        <v>56</v>
      </c>
      <c r="AB1189" s="32"/>
      <c r="AC1189" s="30">
        <v>276</v>
      </c>
      <c r="AD1189" s="32"/>
      <c r="AE1189" s="32"/>
      <c r="AF1189" s="32"/>
      <c r="AG1189" s="32"/>
      <c r="AH1189" s="32"/>
      <c r="AI1189" s="30">
        <v>316290</v>
      </c>
      <c r="AJ1189" s="30">
        <v>243543</v>
      </c>
      <c r="AK1189" s="30">
        <v>0</v>
      </c>
      <c r="AL1189" s="30">
        <v>0</v>
      </c>
      <c r="AM1189" s="30">
        <v>65900</v>
      </c>
      <c r="AN1189" s="30">
        <v>267600</v>
      </c>
      <c r="AO1189" s="30">
        <v>333500</v>
      </c>
      <c r="AP1189" s="30">
        <f>Lookups!$B$58*0.6</f>
        <v>132535.48800000001</v>
      </c>
      <c r="AQ1189" s="30">
        <f>Lookups!$B$58*0.4</f>
        <v>88356.992000000013</v>
      </c>
      <c r="AR1189" s="30">
        <f>Lookups!$B$59*Inventory[[#This Row],[LnAcres]]</f>
        <v>-19288.499197039939</v>
      </c>
      <c r="AS1189" s="30">
        <f>VLOOKUP(Inventory[[#This Row],[Qlty]],Lookups!$A$66:$E$79,2,FALSE)</f>
        <v>37154.252388000001</v>
      </c>
      <c r="AT1189" s="30">
        <f>VLOOKUP(Inventory[[#This Row],[Cnd]],Lookups!$A$80:$E$88,2,FALSE)</f>
        <v>30300.329274</v>
      </c>
      <c r="AU1189" s="30">
        <f>Inventory[[#This Row],[EffAge]]*Lookups!$B$65</f>
        <v>-5002.0906000000004</v>
      </c>
      <c r="AV1189" s="30">
        <f>Inventory[[#This Row],[MainFn]]*Lookups!$B$90</f>
        <v>105348.72144000001</v>
      </c>
      <c r="AW1189" s="30">
        <f>Inventory[[#This Row],[UpprFn]]*Lookups!$B$91</f>
        <v>0</v>
      </c>
      <c r="AX1189" s="30">
        <f>Inventory[[#This Row],[Bsmt Area]]*Lookups!$B$95</f>
        <v>0</v>
      </c>
      <c r="AY1189" s="30">
        <f>Inventory[[#This Row],[AttGar]]*Lookups!$B$93</f>
        <v>9743.0845559999998</v>
      </c>
      <c r="AZ1189" s="30">
        <f>ROUND(Inventory[[#This Row],[25Det]],-2)</f>
        <v>0</v>
      </c>
      <c r="BA1189" s="30">
        <f>ROUND(SUM(Inventory[[#This Row],[Mdl Qlty]:[Mdl Garage Area]])+Inventory[[#This Row],[Mdl Res Intercept]],-2)</f>
        <v>310100</v>
      </c>
      <c r="BB1189" s="30">
        <f>ROUND(Inventory[[#This Row],[Mdl Land Intercept]]+Inventory[[#This Row],[Mdl LnAcres]],-2)</f>
        <v>69100</v>
      </c>
      <c r="BC1189" s="30">
        <f>Inventory[[#This Row],[Unadj Res Value]]+Inventory[[#This Row],[Unadj Det Value]]+Inventory[[#This Row],[Unadj Land Value]]</f>
        <v>379200</v>
      </c>
      <c r="BD1189" s="30">
        <f>(Inventory[[#This Row],[Unadj Total Value]]-Inventory[[#This Row],[24Final]])/Inventory[[#This Row],[24Final]]</f>
        <v>0.13703148425787107</v>
      </c>
      <c r="BE1189" s="30">
        <f>VLOOKUP(Inventory[[#This Row],[Nbhd]],Lookups!$M$3:$P$5,4,FALSE)</f>
        <v>0.99970000000000003</v>
      </c>
      <c r="BF1189" s="30">
        <f>VLOOKUP(Inventory[[#This Row],[Qlty]],Lookups!$M$8:$P$22,4,FALSE)</f>
        <v>0.99819999999999998</v>
      </c>
      <c r="BG1189" s="30">
        <f>VLOOKUP(Inventory[[#This Row],[Cnd]],Lookups!$R$8:$U$17,4,FALSE)</f>
        <v>0.997</v>
      </c>
      <c r="BH1189" s="30">
        <f>VLOOKUP(Inventory[[#This Row],[LivArea Range]],Lookups!$R$25:$U$43,4,FALSE)</f>
        <v>1.0007999999999999</v>
      </c>
      <c r="BI1189" s="30">
        <f>VLOOKUP(Inventory[[#This Row],[Decade]],Lookups!$M$24:$P$40,4,FALSE)</f>
        <v>0.98519999999999996</v>
      </c>
      <c r="BJ1189" s="30">
        <f>Inventory[[#This Row],[Nbhd Adj]]*0.95</f>
        <v>0.94971499999999998</v>
      </c>
      <c r="BK1189" s="30">
        <f>AVERAGE(Inventory[[#This Row],[Nbhd Adj]],Inventory[[#This Row],[Quality Adj]],Inventory[[#This Row],[Condition Adj]],Inventory[[#This Row],[Living Area Adj]],Inventory[[#This Row],[Decade Adj]])*0.95</f>
        <v>0.94637100000000007</v>
      </c>
      <c r="BL1189" s="30">
        <f>ROUND((SUM(Inventory[[#This Row],[Mdl Qlty]:[Mdl Garage Area]])+Inventory[[#This Row],[Mdl Res Intercept]])*Inventory[[#This Row],[Res Adj ]],-2)</f>
        <v>293500</v>
      </c>
      <c r="BM1189" s="30">
        <f>ROUND(Inventory[[#This Row],[25Det]]*Inventory[[#This Row],[Det/Nbhd Adj]],-2)</f>
        <v>0</v>
      </c>
      <c r="BN1189" s="30">
        <f>Inventory[[#This Row],[Adjusted Res]]+Inventory[[#This Row],[Adj Det ]]</f>
        <v>293500</v>
      </c>
      <c r="BO1189" s="30">
        <f>ROUND((Inventory[[#This Row],[Mdl Land Intercept]]+Inventory[[#This Row],[Mdl LnAcres]])*Inventory[[#This Row],[Det/Nbhd Adj]],-2)</f>
        <v>65600</v>
      </c>
      <c r="BP1189" s="30">
        <f>Inventory[[#This Row],[Adjusted Impr Total]]+Inventory[[#This Row],[Adjusted Land Total]]</f>
        <v>359100</v>
      </c>
      <c r="BQ1189" s="30">
        <f>IFERROR((Inventory[[#This Row],[Adjusted Impr Total]]-Inventory[[#This Row],[24Bldg]])/Inventory[[#This Row],[24Bldg]],0)</f>
        <v>9.6786248131539618E-2</v>
      </c>
      <c r="BR1189" s="43">
        <f>(Inventory[[#This Row],[Adjusted Land Total]]-Inventory[[#This Row],[24Lnd]])/Inventory[[#This Row],[24Lnd]]</f>
        <v>-4.552352048558422E-3</v>
      </c>
      <c r="BS1189" s="43">
        <f>(Inventory[[#This Row],[Adjusted Total]]-Inventory[[#This Row],[24Final]])/Inventory[[#This Row],[24Final]]</f>
        <v>7.6761619190404792E-2</v>
      </c>
    </row>
    <row r="1190" spans="1:71">
      <c r="A1190" s="30">
        <v>2025</v>
      </c>
      <c r="B1190" s="31" t="s">
        <v>1707</v>
      </c>
      <c r="C1190" s="36">
        <f>LN(Inventory[[#This Row],[Acres]])</f>
        <v>-1.4271163556401458</v>
      </c>
      <c r="D1190" s="38">
        <v>0.24</v>
      </c>
      <c r="E1190" s="30">
        <v>10602</v>
      </c>
      <c r="F1190" s="31" t="s">
        <v>505</v>
      </c>
      <c r="G1190" s="31" t="s">
        <v>155</v>
      </c>
      <c r="H1190" s="31" t="s">
        <v>5</v>
      </c>
      <c r="I1190" s="31" t="s">
        <v>506</v>
      </c>
      <c r="J1190" s="31" t="s">
        <v>507</v>
      </c>
      <c r="K1190" s="31" t="s">
        <v>193</v>
      </c>
      <c r="L1190" s="31" t="s">
        <v>13</v>
      </c>
      <c r="M1190" s="31" t="s">
        <v>20</v>
      </c>
      <c r="N1190" s="31">
        <v>50</v>
      </c>
      <c r="O1190" s="31">
        <f>2024-Inventory[[#This Row],[YrBlt]]</f>
        <v>53</v>
      </c>
      <c r="P1190" s="31">
        <f>2024-Inventory[[#This Row],[EffYr]]</f>
        <v>46</v>
      </c>
      <c r="Q1190" s="30">
        <v>1971</v>
      </c>
      <c r="R1190" s="30">
        <v>1978</v>
      </c>
      <c r="S1190" s="30">
        <v>1056</v>
      </c>
      <c r="T1190" s="32"/>
      <c r="U1190" s="32"/>
      <c r="V1190" s="32"/>
      <c r="W1190" s="32"/>
      <c r="X1190" s="32">
        <f>Inventory[[#This Row],[Bsmt Area]]-Inventory[[#This Row],[FnBsmt]]</f>
        <v>0</v>
      </c>
      <c r="Y1190" s="32">
        <f>Inventory[[#This Row],[MainFn]]+Inventory[[#This Row],[UpprFn]]+Inventory[[#This Row],[AddFn]]+Inventory[[#This Row],[FnBsmt]]</f>
        <v>1056</v>
      </c>
      <c r="Z1190" s="32">
        <v>1500</v>
      </c>
      <c r="AA1190" s="31" t="s">
        <v>56</v>
      </c>
      <c r="AB1190" s="37"/>
      <c r="AC1190" s="30">
        <v>264</v>
      </c>
      <c r="AD1190" s="32"/>
      <c r="AE1190" s="32"/>
      <c r="AF1190" s="32"/>
      <c r="AG1190" s="32"/>
      <c r="AH1190" s="32"/>
      <c r="AI1190" s="30">
        <v>164267</v>
      </c>
      <c r="AJ1190" s="30">
        <v>126486</v>
      </c>
      <c r="AK1190" s="30">
        <v>0</v>
      </c>
      <c r="AL1190" s="30">
        <v>0</v>
      </c>
      <c r="AM1190" s="30">
        <v>66500</v>
      </c>
      <c r="AN1190" s="30">
        <v>198200</v>
      </c>
      <c r="AO1190" s="30">
        <v>264700</v>
      </c>
      <c r="AP1190" s="30">
        <f>Lookups!$B$58*0.6</f>
        <v>132535.48800000001</v>
      </c>
      <c r="AQ1190" s="30">
        <f>Lookups!$B$58*0.4</f>
        <v>88356.992000000013</v>
      </c>
      <c r="AR1190" s="30">
        <f>Lookups!$B$59*Inventory[[#This Row],[LnAcres]]</f>
        <v>-18729.933155771436</v>
      </c>
      <c r="AS1190" s="30">
        <f>VLOOKUP(Inventory[[#This Row],[Qlty]],Lookups!$A$66:$E$79,2,FALSE)</f>
        <v>0</v>
      </c>
      <c r="AT1190" s="30">
        <f>VLOOKUP(Inventory[[#This Row],[Cnd]],Lookups!$A$80:$E$88,2,FALSE)</f>
        <v>30300.329274</v>
      </c>
      <c r="AU1190" s="30">
        <f>Inventory[[#This Row],[EffAge]]*Lookups!$B$65</f>
        <v>-5002.0906000000004</v>
      </c>
      <c r="AV1190" s="30">
        <f>Inventory[[#This Row],[MainFn]]*Lookups!$B$90</f>
        <v>65905.361279999997</v>
      </c>
      <c r="AW1190" s="30">
        <f>Inventory[[#This Row],[UpprFn]]*Lookups!$B$91</f>
        <v>0</v>
      </c>
      <c r="AX1190" s="30">
        <f>Inventory[[#This Row],[Bsmt Area]]*Lookups!$B$95</f>
        <v>0</v>
      </c>
      <c r="AY1190" s="30">
        <f>Inventory[[#This Row],[AttGar]]*Lookups!$B$93</f>
        <v>9319.4721840000002</v>
      </c>
      <c r="AZ1190" s="30">
        <f>ROUND(Inventory[[#This Row],[25Det]],-2)</f>
        <v>0</v>
      </c>
      <c r="BA1190" s="30">
        <f>ROUND(SUM(Inventory[[#This Row],[Mdl Qlty]:[Mdl Garage Area]])+Inventory[[#This Row],[Mdl Res Intercept]],-2)</f>
        <v>233100</v>
      </c>
      <c r="BB1190" s="30">
        <f>ROUND(Inventory[[#This Row],[Mdl Land Intercept]]+Inventory[[#This Row],[Mdl LnAcres]],-2)</f>
        <v>69600</v>
      </c>
      <c r="BC1190" s="30">
        <f>Inventory[[#This Row],[Unadj Res Value]]+Inventory[[#This Row],[Unadj Det Value]]+Inventory[[#This Row],[Unadj Land Value]]</f>
        <v>302700</v>
      </c>
      <c r="BD1190" s="30">
        <f>(Inventory[[#This Row],[Unadj Total Value]]-Inventory[[#This Row],[24Final]])/Inventory[[#This Row],[24Final]]</f>
        <v>0.14355874574990554</v>
      </c>
      <c r="BE1190" s="30">
        <f>VLOOKUP(Inventory[[#This Row],[Nbhd]],Lookups!$M$3:$P$5,4,FALSE)</f>
        <v>0.99970000000000003</v>
      </c>
      <c r="BF1190" s="30">
        <f>VLOOKUP(Inventory[[#This Row],[Qlty]],Lookups!$M$8:$P$22,4,FALSE)</f>
        <v>1.0003</v>
      </c>
      <c r="BG1190" s="30">
        <f>VLOOKUP(Inventory[[#This Row],[Cnd]],Lookups!$R$8:$U$17,4,FALSE)</f>
        <v>0.997</v>
      </c>
      <c r="BH1190" s="30">
        <f>VLOOKUP(Inventory[[#This Row],[LivArea Range]],Lookups!$R$25:$U$43,4,FALSE)</f>
        <v>0.99519999999999997</v>
      </c>
      <c r="BI1190" s="30">
        <f>VLOOKUP(Inventory[[#This Row],[Decade]],Lookups!$M$24:$P$40,4,FALSE)</f>
        <v>0.98519999999999996</v>
      </c>
      <c r="BJ1190" s="30">
        <f>Inventory[[#This Row],[Nbhd Adj]]*0.95</f>
        <v>0.94971499999999998</v>
      </c>
      <c r="BK1190" s="30">
        <f>AVERAGE(Inventory[[#This Row],[Nbhd Adj]],Inventory[[#This Row],[Quality Adj]],Inventory[[#This Row],[Condition Adj]],Inventory[[#This Row],[Living Area Adj]],Inventory[[#This Row],[Decade Adj]])*0.95</f>
        <v>0.94570599999999994</v>
      </c>
      <c r="BL1190" s="30">
        <f>ROUND((SUM(Inventory[[#This Row],[Mdl Qlty]:[Mdl Garage Area]])+Inventory[[#This Row],[Mdl Res Intercept]])*Inventory[[#This Row],[Res Adj ]],-2)</f>
        <v>220400</v>
      </c>
      <c r="BM1190" s="30">
        <f>ROUND(Inventory[[#This Row],[25Det]]*Inventory[[#This Row],[Det/Nbhd Adj]],-2)</f>
        <v>0</v>
      </c>
      <c r="BN1190" s="30">
        <f>Inventory[[#This Row],[Adjusted Res]]+Inventory[[#This Row],[Adj Det ]]</f>
        <v>220400</v>
      </c>
      <c r="BO1190" s="30">
        <f>ROUND((Inventory[[#This Row],[Mdl Land Intercept]]+Inventory[[#This Row],[Mdl LnAcres]])*Inventory[[#This Row],[Det/Nbhd Adj]],-2)</f>
        <v>66100</v>
      </c>
      <c r="BP1190" s="30">
        <f>Inventory[[#This Row],[Adjusted Impr Total]]+Inventory[[#This Row],[Adjusted Land Total]]</f>
        <v>286500</v>
      </c>
      <c r="BQ1190" s="30">
        <f>IFERROR((Inventory[[#This Row],[Adjusted Impr Total]]-Inventory[[#This Row],[24Bldg]])/Inventory[[#This Row],[24Bldg]],0)</f>
        <v>0.11200807265388496</v>
      </c>
      <c r="BR1190" s="43">
        <f>(Inventory[[#This Row],[Adjusted Land Total]]-Inventory[[#This Row],[24Lnd]])/Inventory[[#This Row],[24Lnd]]</f>
        <v>-6.0150375939849628E-3</v>
      </c>
      <c r="BS1190" s="43">
        <f>(Inventory[[#This Row],[Adjusted Total]]-Inventory[[#This Row],[24Final]])/Inventory[[#This Row],[24Final]]</f>
        <v>8.2357385719682666E-2</v>
      </c>
    </row>
    <row r="1191" spans="1:71">
      <c r="A1191" s="30">
        <v>2025</v>
      </c>
      <c r="B1191" s="31" t="s">
        <v>1708</v>
      </c>
      <c r="C1191" s="36">
        <f>LN(Inventory[[#This Row],[Acres]])</f>
        <v>-1.3093333199837622</v>
      </c>
      <c r="D1191" s="38">
        <v>0.27</v>
      </c>
      <c r="E1191" s="30">
        <v>11711</v>
      </c>
      <c r="F1191" s="31" t="s">
        <v>505</v>
      </c>
      <c r="G1191" s="31" t="s">
        <v>155</v>
      </c>
      <c r="H1191" s="31" t="s">
        <v>5</v>
      </c>
      <c r="I1191" s="31" t="s">
        <v>506</v>
      </c>
      <c r="J1191" s="31" t="s">
        <v>507</v>
      </c>
      <c r="K1191" s="31" t="s">
        <v>193</v>
      </c>
      <c r="L1191" s="31" t="s">
        <v>17</v>
      </c>
      <c r="M1191" s="31" t="s">
        <v>18</v>
      </c>
      <c r="N1191" s="31">
        <v>50</v>
      </c>
      <c r="O1191" s="31">
        <f>2024-Inventory[[#This Row],[YrBlt]]</f>
        <v>53</v>
      </c>
      <c r="P1191" s="31">
        <f>2024-Inventory[[#This Row],[EffYr]]</f>
        <v>46</v>
      </c>
      <c r="Q1191" s="30">
        <v>1971</v>
      </c>
      <c r="R1191" s="30">
        <v>1978</v>
      </c>
      <c r="S1191" s="30">
        <v>1404</v>
      </c>
      <c r="T1191" s="32"/>
      <c r="U1191" s="32"/>
      <c r="V1191" s="32"/>
      <c r="W1191" s="32"/>
      <c r="X1191" s="32">
        <f>Inventory[[#This Row],[Bsmt Area]]-Inventory[[#This Row],[FnBsmt]]</f>
        <v>0</v>
      </c>
      <c r="Y1191" s="32">
        <f>Inventory[[#This Row],[MainFn]]+Inventory[[#This Row],[UpprFn]]+Inventory[[#This Row],[AddFn]]+Inventory[[#This Row],[FnBsmt]]</f>
        <v>1404</v>
      </c>
      <c r="Z1191" s="32">
        <v>1500</v>
      </c>
      <c r="AA1191" s="31" t="s">
        <v>56</v>
      </c>
      <c r="AB1191" s="37"/>
      <c r="AC1191" s="37"/>
      <c r="AD1191" s="32"/>
      <c r="AE1191" s="32"/>
      <c r="AF1191" s="32"/>
      <c r="AG1191" s="32"/>
      <c r="AH1191" s="32"/>
      <c r="AI1191" s="30">
        <v>241537</v>
      </c>
      <c r="AJ1191" s="30">
        <v>183568</v>
      </c>
      <c r="AK1191" s="30">
        <v>0</v>
      </c>
      <c r="AL1191" s="30">
        <v>0</v>
      </c>
      <c r="AM1191" s="30">
        <v>68200</v>
      </c>
      <c r="AN1191" s="30">
        <v>213200</v>
      </c>
      <c r="AO1191" s="30">
        <v>281400</v>
      </c>
      <c r="AP1191" s="30">
        <f>Lookups!$B$58*0.6</f>
        <v>132535.48800000001</v>
      </c>
      <c r="AQ1191" s="30">
        <f>Lookups!$B$58*0.4</f>
        <v>88356.992000000013</v>
      </c>
      <c r="AR1191" s="30">
        <f>Lookups!$B$59*Inventory[[#This Row],[LnAcres]]</f>
        <v>-17184.11078746261</v>
      </c>
      <c r="AS1191" s="30">
        <f>VLOOKUP(Inventory[[#This Row],[Qlty]],Lookups!$A$66:$E$79,2,FALSE)</f>
        <v>24371.765965999999</v>
      </c>
      <c r="AT1191" s="30">
        <f>VLOOKUP(Inventory[[#This Row],[Cnd]],Lookups!$A$80:$E$88,2,FALSE)</f>
        <v>17761.121909000001</v>
      </c>
      <c r="AU1191" s="30">
        <f>Inventory[[#This Row],[EffAge]]*Lookups!$B$65</f>
        <v>-5002.0906000000004</v>
      </c>
      <c r="AV1191" s="30">
        <f>Inventory[[#This Row],[MainFn]]*Lookups!$B$90</f>
        <v>87624.173520000011</v>
      </c>
      <c r="AW1191" s="30">
        <f>Inventory[[#This Row],[UpprFn]]*Lookups!$B$91</f>
        <v>0</v>
      </c>
      <c r="AX1191" s="30">
        <f>Inventory[[#This Row],[Bsmt Area]]*Lookups!$B$95</f>
        <v>0</v>
      </c>
      <c r="AY1191" s="30">
        <f>Inventory[[#This Row],[AttGar]]*Lookups!$B$93</f>
        <v>0</v>
      </c>
      <c r="AZ1191" s="30">
        <f>ROUND(Inventory[[#This Row],[25Det]],-2)</f>
        <v>0</v>
      </c>
      <c r="BA1191" s="30">
        <f>ROUND(SUM(Inventory[[#This Row],[Mdl Qlty]:[Mdl Garage Area]])+Inventory[[#This Row],[Mdl Res Intercept]],-2)</f>
        <v>257300</v>
      </c>
      <c r="BB1191" s="30">
        <f>ROUND(Inventory[[#This Row],[Mdl Land Intercept]]+Inventory[[#This Row],[Mdl LnAcres]],-2)</f>
        <v>71200</v>
      </c>
      <c r="BC1191" s="30">
        <f>Inventory[[#This Row],[Unadj Res Value]]+Inventory[[#This Row],[Unadj Det Value]]+Inventory[[#This Row],[Unadj Land Value]]</f>
        <v>328500</v>
      </c>
      <c r="BD1191" s="30">
        <f>(Inventory[[#This Row],[Unadj Total Value]]-Inventory[[#This Row],[24Final]])/Inventory[[#This Row],[24Final]]</f>
        <v>0.1673773987206823</v>
      </c>
      <c r="BE1191" s="30">
        <f>VLOOKUP(Inventory[[#This Row],[Nbhd]],Lookups!$M$3:$P$5,4,FALSE)</f>
        <v>0.99970000000000003</v>
      </c>
      <c r="BF1191" s="30">
        <f>VLOOKUP(Inventory[[#This Row],[Qlty]],Lookups!$M$8:$P$22,4,FALSE)</f>
        <v>0.99199999999999999</v>
      </c>
      <c r="BG1191" s="30">
        <f>VLOOKUP(Inventory[[#This Row],[Cnd]],Lookups!$R$8:$U$17,4,FALSE)</f>
        <v>0.99680000000000002</v>
      </c>
      <c r="BH1191" s="30">
        <f>VLOOKUP(Inventory[[#This Row],[LivArea Range]],Lookups!$R$25:$U$43,4,FALSE)</f>
        <v>0.99519999999999997</v>
      </c>
      <c r="BI1191" s="30">
        <f>VLOOKUP(Inventory[[#This Row],[Decade]],Lookups!$M$24:$P$40,4,FALSE)</f>
        <v>0.98519999999999996</v>
      </c>
      <c r="BJ1191" s="30">
        <f>Inventory[[#This Row],[Nbhd Adj]]*0.95</f>
        <v>0.94971499999999998</v>
      </c>
      <c r="BK1191" s="30">
        <f>AVERAGE(Inventory[[#This Row],[Nbhd Adj]],Inventory[[#This Row],[Quality Adj]],Inventory[[#This Row],[Condition Adj]],Inventory[[#This Row],[Living Area Adj]],Inventory[[#This Row],[Decade Adj]])*0.95</f>
        <v>0.94409100000000001</v>
      </c>
      <c r="BL1191" s="30">
        <f>ROUND((SUM(Inventory[[#This Row],[Mdl Qlty]:[Mdl Garage Area]])+Inventory[[#This Row],[Mdl Res Intercept]])*Inventory[[#This Row],[Res Adj ]],-2)</f>
        <v>242900</v>
      </c>
      <c r="BM1191" s="30">
        <f>ROUND(Inventory[[#This Row],[25Det]]*Inventory[[#This Row],[Det/Nbhd Adj]],-2)</f>
        <v>0</v>
      </c>
      <c r="BN1191" s="30">
        <f>Inventory[[#This Row],[Adjusted Res]]+Inventory[[#This Row],[Adj Det ]]</f>
        <v>242900</v>
      </c>
      <c r="BO1191" s="30">
        <f>ROUND((Inventory[[#This Row],[Mdl Land Intercept]]+Inventory[[#This Row],[Mdl LnAcres]])*Inventory[[#This Row],[Det/Nbhd Adj]],-2)</f>
        <v>67600</v>
      </c>
      <c r="BP1191" s="30">
        <f>Inventory[[#This Row],[Adjusted Impr Total]]+Inventory[[#This Row],[Adjusted Land Total]]</f>
        <v>310500</v>
      </c>
      <c r="BQ1191" s="30">
        <f>IFERROR((Inventory[[#This Row],[Adjusted Impr Total]]-Inventory[[#This Row],[24Bldg]])/Inventory[[#This Row],[24Bldg]],0)</f>
        <v>0.13930581613508441</v>
      </c>
      <c r="BR1191" s="43">
        <f>(Inventory[[#This Row],[Adjusted Land Total]]-Inventory[[#This Row],[24Lnd]])/Inventory[[#This Row],[24Lnd]]</f>
        <v>-8.7976539589442824E-3</v>
      </c>
      <c r="BS1191" s="43">
        <f>(Inventory[[#This Row],[Adjusted Total]]-Inventory[[#This Row],[24Final]])/Inventory[[#This Row],[24Final]]</f>
        <v>0.10341151385927505</v>
      </c>
    </row>
    <row r="1192" spans="1:71">
      <c r="A1192" s="30">
        <v>2025</v>
      </c>
      <c r="B1192" s="31" t="s">
        <v>1709</v>
      </c>
      <c r="C1192" s="36">
        <f>LN(Inventory[[#This Row],[Acres]])</f>
        <v>-1.1394342831883648</v>
      </c>
      <c r="D1192" s="38">
        <v>0.32</v>
      </c>
      <c r="E1192" s="30">
        <v>13850</v>
      </c>
      <c r="F1192" s="31" t="s">
        <v>505</v>
      </c>
      <c r="G1192" s="31" t="s">
        <v>155</v>
      </c>
      <c r="H1192" s="31" t="s">
        <v>5</v>
      </c>
      <c r="I1192" s="31" t="s">
        <v>506</v>
      </c>
      <c r="J1192" s="31" t="s">
        <v>507</v>
      </c>
      <c r="K1192" s="31" t="s">
        <v>193</v>
      </c>
      <c r="L1192" s="31" t="s">
        <v>15</v>
      </c>
      <c r="M1192" s="31" t="s">
        <v>18</v>
      </c>
      <c r="N1192" s="31">
        <v>50</v>
      </c>
      <c r="O1192" s="31">
        <f>2024-Inventory[[#This Row],[YrBlt]]</f>
        <v>53</v>
      </c>
      <c r="P1192" s="31">
        <f>2024-Inventory[[#This Row],[EffYr]]</f>
        <v>46</v>
      </c>
      <c r="Q1192" s="30">
        <v>1971</v>
      </c>
      <c r="R1192" s="30">
        <v>1978</v>
      </c>
      <c r="S1192" s="30">
        <v>972</v>
      </c>
      <c r="T1192" s="37"/>
      <c r="U1192" s="32"/>
      <c r="V1192" s="32"/>
      <c r="W1192" s="32"/>
      <c r="X1192" s="32">
        <f>Inventory[[#This Row],[Bsmt Area]]-Inventory[[#This Row],[FnBsmt]]</f>
        <v>0</v>
      </c>
      <c r="Y1192" s="32">
        <f>Inventory[[#This Row],[MainFn]]+Inventory[[#This Row],[UpprFn]]+Inventory[[#This Row],[AddFn]]+Inventory[[#This Row],[FnBsmt]]</f>
        <v>972</v>
      </c>
      <c r="Z1192" s="32">
        <v>1000</v>
      </c>
      <c r="AA1192" s="31" t="s">
        <v>56</v>
      </c>
      <c r="AB1192" s="37"/>
      <c r="AC1192" s="38">
        <v>324</v>
      </c>
      <c r="AD1192" s="37"/>
      <c r="AE1192" s="32"/>
      <c r="AF1192" s="32"/>
      <c r="AG1192" s="32"/>
      <c r="AH1192" s="32"/>
      <c r="AI1192" s="30">
        <v>171634</v>
      </c>
      <c r="AJ1192" s="30">
        <v>130442</v>
      </c>
      <c r="AK1192" s="30">
        <v>45320</v>
      </c>
      <c r="AL1192" s="30">
        <v>0</v>
      </c>
      <c r="AM1192" s="30">
        <v>70500</v>
      </c>
      <c r="AN1192" s="30">
        <v>236900</v>
      </c>
      <c r="AO1192" s="30">
        <v>307400</v>
      </c>
      <c r="AP1192" s="30">
        <f>Lookups!$B$58*0.6</f>
        <v>132535.48800000001</v>
      </c>
      <c r="AQ1192" s="30">
        <f>Lookups!$B$58*0.4</f>
        <v>88356.992000000013</v>
      </c>
      <c r="AR1192" s="30">
        <f>Lookups!$B$59*Inventory[[#This Row],[LnAcres]]</f>
        <v>-14954.301290969002</v>
      </c>
      <c r="AS1192" s="30">
        <f>VLOOKUP(Inventory[[#This Row],[Qlty]],Lookups!$A$66:$E$79,2,FALSE)</f>
        <v>-1240.8083630000001</v>
      </c>
      <c r="AT1192" s="30">
        <f>VLOOKUP(Inventory[[#This Row],[Cnd]],Lookups!$A$80:$E$88,2,FALSE)</f>
        <v>17761.121909000001</v>
      </c>
      <c r="AU1192" s="30">
        <f>Inventory[[#This Row],[EffAge]]*Lookups!$B$65</f>
        <v>-5002.0906000000004</v>
      </c>
      <c r="AV1192" s="30">
        <f>Inventory[[#This Row],[MainFn]]*Lookups!$B$90</f>
        <v>60662.889360000001</v>
      </c>
      <c r="AW1192" s="30">
        <f>Inventory[[#This Row],[UpprFn]]*Lookups!$B$91</f>
        <v>0</v>
      </c>
      <c r="AX1192" s="30">
        <f>Inventory[[#This Row],[Bsmt Area]]*Lookups!$B$95</f>
        <v>0</v>
      </c>
      <c r="AY1192" s="30">
        <f>Inventory[[#This Row],[AttGar]]*Lookups!$B$93</f>
        <v>11437.534044</v>
      </c>
      <c r="AZ1192" s="30">
        <f>ROUND(Inventory[[#This Row],[25Det]],-2)</f>
        <v>45300</v>
      </c>
      <c r="BA1192" s="30">
        <f>ROUND(SUM(Inventory[[#This Row],[Mdl Qlty]:[Mdl Garage Area]])+Inventory[[#This Row],[Mdl Res Intercept]],-2)</f>
        <v>216200</v>
      </c>
      <c r="BB1192" s="30">
        <f>ROUND(Inventory[[#This Row],[Mdl Land Intercept]]+Inventory[[#This Row],[Mdl LnAcres]],-2)</f>
        <v>73400</v>
      </c>
      <c r="BC1192" s="30">
        <f>Inventory[[#This Row],[Unadj Res Value]]+Inventory[[#This Row],[Unadj Det Value]]+Inventory[[#This Row],[Unadj Land Value]]</f>
        <v>334900</v>
      </c>
      <c r="BD1192" s="30">
        <f>(Inventory[[#This Row],[Unadj Total Value]]-Inventory[[#This Row],[24Final]])/Inventory[[#This Row],[24Final]]</f>
        <v>8.9459986987638254E-2</v>
      </c>
      <c r="BE1192" s="30">
        <f>VLOOKUP(Inventory[[#This Row],[Nbhd]],Lookups!$M$3:$P$5,4,FALSE)</f>
        <v>0.99970000000000003</v>
      </c>
      <c r="BF1192" s="30">
        <f>VLOOKUP(Inventory[[#This Row],[Qlty]],Lookups!$M$8:$P$22,4,FALSE)</f>
        <v>1.0022</v>
      </c>
      <c r="BG1192" s="30">
        <f>VLOOKUP(Inventory[[#This Row],[Cnd]],Lookups!$R$8:$U$17,4,FALSE)</f>
        <v>0.99680000000000002</v>
      </c>
      <c r="BH1192" s="30">
        <f>VLOOKUP(Inventory[[#This Row],[LivArea Range]],Lookups!$R$25:$U$43,4,FALSE)</f>
        <v>1</v>
      </c>
      <c r="BI1192" s="30">
        <f>VLOOKUP(Inventory[[#This Row],[Decade]],Lookups!$M$24:$P$40,4,FALSE)</f>
        <v>0.98519999999999996</v>
      </c>
      <c r="BJ1192" s="30">
        <f>Inventory[[#This Row],[Nbhd Adj]]*0.95</f>
        <v>0.94971499999999998</v>
      </c>
      <c r="BK1192" s="30">
        <f>AVERAGE(Inventory[[#This Row],[Nbhd Adj]],Inventory[[#This Row],[Quality Adj]],Inventory[[#This Row],[Condition Adj]],Inventory[[#This Row],[Living Area Adj]],Inventory[[#This Row],[Decade Adj]])*0.95</f>
        <v>0.94694099999999992</v>
      </c>
      <c r="BL1192" s="30">
        <f>ROUND((SUM(Inventory[[#This Row],[Mdl Qlty]:[Mdl Garage Area]])+Inventory[[#This Row],[Mdl Res Intercept]])*Inventory[[#This Row],[Res Adj ]],-2)</f>
        <v>204700</v>
      </c>
      <c r="BM1192" s="30">
        <f>ROUND(Inventory[[#This Row],[25Det]]*Inventory[[#This Row],[Det/Nbhd Adj]],-2)</f>
        <v>43000</v>
      </c>
      <c r="BN1192" s="30">
        <f>Inventory[[#This Row],[Adjusted Res]]+Inventory[[#This Row],[Adj Det ]]</f>
        <v>247700</v>
      </c>
      <c r="BO1192" s="30">
        <f>ROUND((Inventory[[#This Row],[Mdl Land Intercept]]+Inventory[[#This Row],[Mdl LnAcres]])*Inventory[[#This Row],[Det/Nbhd Adj]],-2)</f>
        <v>69700</v>
      </c>
      <c r="BP1192" s="30">
        <f>Inventory[[#This Row],[Adjusted Impr Total]]+Inventory[[#This Row],[Adjusted Land Total]]</f>
        <v>317400</v>
      </c>
      <c r="BQ1192" s="30">
        <f>IFERROR((Inventory[[#This Row],[Adjusted Impr Total]]-Inventory[[#This Row],[24Bldg]])/Inventory[[#This Row],[24Bldg]],0)</f>
        <v>4.5588856057408186E-2</v>
      </c>
      <c r="BR1192" s="43">
        <f>(Inventory[[#This Row],[Adjusted Land Total]]-Inventory[[#This Row],[24Lnd]])/Inventory[[#This Row],[24Lnd]]</f>
        <v>-1.1347517730496455E-2</v>
      </c>
      <c r="BS1192" s="43">
        <f>(Inventory[[#This Row],[Adjusted Total]]-Inventory[[#This Row],[24Final]])/Inventory[[#This Row],[24Final]]</f>
        <v>3.2530904359141181E-2</v>
      </c>
    </row>
    <row r="1193" spans="1:71">
      <c r="A1193" s="30">
        <v>2025</v>
      </c>
      <c r="B1193" s="31" t="s">
        <v>1710</v>
      </c>
      <c r="C1193" s="36">
        <f>LN(Inventory[[#This Row],[Acres]])</f>
        <v>-0.94160853985844495</v>
      </c>
      <c r="D1193" s="38">
        <v>0.39</v>
      </c>
      <c r="E1193" s="30">
        <v>17008</v>
      </c>
      <c r="F1193" s="31" t="s">
        <v>505</v>
      </c>
      <c r="G1193" s="31" t="s">
        <v>155</v>
      </c>
      <c r="H1193" s="31" t="s">
        <v>5</v>
      </c>
      <c r="I1193" s="31" t="s">
        <v>506</v>
      </c>
      <c r="J1193" s="31" t="s">
        <v>507</v>
      </c>
      <c r="K1193" s="31" t="s">
        <v>193</v>
      </c>
      <c r="L1193" s="31" t="s">
        <v>15</v>
      </c>
      <c r="M1193" s="31" t="s">
        <v>18</v>
      </c>
      <c r="N1193" s="31">
        <v>50</v>
      </c>
      <c r="O1193" s="31">
        <f>2024-Inventory[[#This Row],[YrBlt]]</f>
        <v>53</v>
      </c>
      <c r="P1193" s="31">
        <f>2024-Inventory[[#This Row],[EffYr]]</f>
        <v>46</v>
      </c>
      <c r="Q1193" s="30">
        <v>1971</v>
      </c>
      <c r="R1193" s="30">
        <v>1978</v>
      </c>
      <c r="S1193" s="30">
        <v>1320</v>
      </c>
      <c r="T1193" s="32"/>
      <c r="U1193" s="32"/>
      <c r="V1193" s="32"/>
      <c r="W1193" s="32"/>
      <c r="X1193" s="32">
        <f>Inventory[[#This Row],[Bsmt Area]]-Inventory[[#This Row],[FnBsmt]]</f>
        <v>0</v>
      </c>
      <c r="Y1193" s="32">
        <f>Inventory[[#This Row],[MainFn]]+Inventory[[#This Row],[UpprFn]]+Inventory[[#This Row],[AddFn]]+Inventory[[#This Row],[FnBsmt]]</f>
        <v>1320</v>
      </c>
      <c r="Z1193" s="32">
        <v>1500</v>
      </c>
      <c r="AA1193" s="31" t="s">
        <v>56</v>
      </c>
      <c r="AB1193" s="32"/>
      <c r="AC1193" s="37"/>
      <c r="AD1193" s="32"/>
      <c r="AE1193" s="32"/>
      <c r="AF1193" s="32"/>
      <c r="AG1193" s="32"/>
      <c r="AH1193" s="32"/>
      <c r="AI1193" s="30">
        <v>170394</v>
      </c>
      <c r="AJ1193" s="30">
        <v>129499</v>
      </c>
      <c r="AK1193" s="30">
        <v>0</v>
      </c>
      <c r="AL1193" s="30">
        <v>0</v>
      </c>
      <c r="AM1193" s="30">
        <v>73300</v>
      </c>
      <c r="AN1193" s="30">
        <v>173200</v>
      </c>
      <c r="AO1193" s="30">
        <v>246500</v>
      </c>
      <c r="AP1193" s="30">
        <f>Lookups!$B$58*0.6</f>
        <v>132535.48800000001</v>
      </c>
      <c r="AQ1193" s="30">
        <f>Lookups!$B$58*0.4</f>
        <v>88356.992000000013</v>
      </c>
      <c r="AR1193" s="30">
        <f>Lookups!$B$59*Inventory[[#This Row],[LnAcres]]</f>
        <v>-12357.972733443527</v>
      </c>
      <c r="AS1193" s="30">
        <f>VLOOKUP(Inventory[[#This Row],[Qlty]],Lookups!$A$66:$E$79,2,FALSE)</f>
        <v>-1240.8083630000001</v>
      </c>
      <c r="AT1193" s="30">
        <f>VLOOKUP(Inventory[[#This Row],[Cnd]],Lookups!$A$80:$E$88,2,FALSE)</f>
        <v>17761.121909000001</v>
      </c>
      <c r="AU1193" s="30">
        <f>Inventory[[#This Row],[EffAge]]*Lookups!$B$65</f>
        <v>-5002.0906000000004</v>
      </c>
      <c r="AV1193" s="30">
        <f>Inventory[[#This Row],[MainFn]]*Lookups!$B$90</f>
        <v>82381.7016</v>
      </c>
      <c r="AW1193" s="30">
        <f>Inventory[[#This Row],[UpprFn]]*Lookups!$B$91</f>
        <v>0</v>
      </c>
      <c r="AX1193" s="30">
        <f>Inventory[[#This Row],[Bsmt Area]]*Lookups!$B$95</f>
        <v>0</v>
      </c>
      <c r="AY1193" s="30">
        <f>Inventory[[#This Row],[AttGar]]*Lookups!$B$93</f>
        <v>0</v>
      </c>
      <c r="AZ1193" s="30">
        <f>ROUND(Inventory[[#This Row],[25Det]],-2)</f>
        <v>0</v>
      </c>
      <c r="BA1193" s="30">
        <f>ROUND(SUM(Inventory[[#This Row],[Mdl Qlty]:[Mdl Garage Area]])+Inventory[[#This Row],[Mdl Res Intercept]],-2)</f>
        <v>226400</v>
      </c>
      <c r="BB1193" s="30">
        <f>ROUND(Inventory[[#This Row],[Mdl Land Intercept]]+Inventory[[#This Row],[Mdl LnAcres]],-2)</f>
        <v>76000</v>
      </c>
      <c r="BC1193" s="30">
        <f>Inventory[[#This Row],[Unadj Res Value]]+Inventory[[#This Row],[Unadj Det Value]]+Inventory[[#This Row],[Unadj Land Value]]</f>
        <v>302400</v>
      </c>
      <c r="BD1193" s="30">
        <f>(Inventory[[#This Row],[Unadj Total Value]]-Inventory[[#This Row],[24Final]])/Inventory[[#This Row],[24Final]]</f>
        <v>0.22677484787018257</v>
      </c>
      <c r="BE1193" s="30">
        <f>VLOOKUP(Inventory[[#This Row],[Nbhd]],Lookups!$M$3:$P$5,4,FALSE)</f>
        <v>0.99970000000000003</v>
      </c>
      <c r="BF1193" s="30">
        <f>VLOOKUP(Inventory[[#This Row],[Qlty]],Lookups!$M$8:$P$22,4,FALSE)</f>
        <v>1.0022</v>
      </c>
      <c r="BG1193" s="30">
        <f>VLOOKUP(Inventory[[#This Row],[Cnd]],Lookups!$R$8:$U$17,4,FALSE)</f>
        <v>0.99680000000000002</v>
      </c>
      <c r="BH1193" s="30">
        <f>VLOOKUP(Inventory[[#This Row],[LivArea Range]],Lookups!$R$25:$U$43,4,FALSE)</f>
        <v>0.99519999999999997</v>
      </c>
      <c r="BI1193" s="30">
        <f>VLOOKUP(Inventory[[#This Row],[Decade]],Lookups!$M$24:$P$40,4,FALSE)</f>
        <v>0.98519999999999996</v>
      </c>
      <c r="BJ1193" s="30">
        <f>Inventory[[#This Row],[Nbhd Adj]]*0.95</f>
        <v>0.94971499999999998</v>
      </c>
      <c r="BK1193" s="30">
        <f>AVERAGE(Inventory[[#This Row],[Nbhd Adj]],Inventory[[#This Row],[Quality Adj]],Inventory[[#This Row],[Condition Adj]],Inventory[[#This Row],[Living Area Adj]],Inventory[[#This Row],[Decade Adj]])*0.95</f>
        <v>0.9460289999999999</v>
      </c>
      <c r="BL1193" s="30">
        <f>ROUND((SUM(Inventory[[#This Row],[Mdl Qlty]:[Mdl Garage Area]])+Inventory[[#This Row],[Mdl Res Intercept]])*Inventory[[#This Row],[Res Adj ]],-2)</f>
        <v>214200</v>
      </c>
      <c r="BM1193" s="30">
        <f>ROUND(Inventory[[#This Row],[25Det]]*Inventory[[#This Row],[Det/Nbhd Adj]],-2)</f>
        <v>0</v>
      </c>
      <c r="BN1193" s="30">
        <f>Inventory[[#This Row],[Adjusted Res]]+Inventory[[#This Row],[Adj Det ]]</f>
        <v>214200</v>
      </c>
      <c r="BO1193" s="30">
        <f>ROUND((Inventory[[#This Row],[Mdl Land Intercept]]+Inventory[[#This Row],[Mdl LnAcres]])*Inventory[[#This Row],[Det/Nbhd Adj]],-2)</f>
        <v>72200</v>
      </c>
      <c r="BP1193" s="30">
        <f>Inventory[[#This Row],[Adjusted Impr Total]]+Inventory[[#This Row],[Adjusted Land Total]]</f>
        <v>286400</v>
      </c>
      <c r="BQ1193" s="30">
        <f>IFERROR((Inventory[[#This Row],[Adjusted Impr Total]]-Inventory[[#This Row],[24Bldg]])/Inventory[[#This Row],[24Bldg]],0)</f>
        <v>0.23672055427251731</v>
      </c>
      <c r="BR1193" s="43">
        <f>(Inventory[[#This Row],[Adjusted Land Total]]-Inventory[[#This Row],[24Lnd]])/Inventory[[#This Row],[24Lnd]]</f>
        <v>-1.5006821282401092E-2</v>
      </c>
      <c r="BS1193" s="43">
        <f>(Inventory[[#This Row],[Adjusted Total]]-Inventory[[#This Row],[24Final]])/Inventory[[#This Row],[24Final]]</f>
        <v>0.1618661257606491</v>
      </c>
    </row>
    <row r="1194" spans="1:71">
      <c r="A1194" s="30">
        <v>2025</v>
      </c>
      <c r="B1194" s="31" t="s">
        <v>1711</v>
      </c>
      <c r="C1194" s="36">
        <f>LN(Inventory[[#This Row],[Acres]])</f>
        <v>-0.3285040669720361</v>
      </c>
      <c r="D1194" s="38">
        <v>0.72</v>
      </c>
      <c r="E1194" s="30">
        <v>31175</v>
      </c>
      <c r="F1194" s="31" t="s">
        <v>505</v>
      </c>
      <c r="G1194" s="31" t="s">
        <v>155</v>
      </c>
      <c r="H1194" s="31" t="s">
        <v>5</v>
      </c>
      <c r="I1194" s="31" t="s">
        <v>506</v>
      </c>
      <c r="J1194" s="31" t="s">
        <v>507</v>
      </c>
      <c r="K1194" s="31" t="s">
        <v>193</v>
      </c>
      <c r="L1194" s="31" t="s">
        <v>17</v>
      </c>
      <c r="M1194" s="31" t="s">
        <v>16</v>
      </c>
      <c r="N1194" s="31">
        <v>50</v>
      </c>
      <c r="O1194" s="31">
        <f>2024-Inventory[[#This Row],[YrBlt]]</f>
        <v>53</v>
      </c>
      <c r="P1194" s="31">
        <f>2024-Inventory[[#This Row],[EffYr]]</f>
        <v>46</v>
      </c>
      <c r="Q1194" s="30">
        <v>1971</v>
      </c>
      <c r="R1194" s="30">
        <v>1978</v>
      </c>
      <c r="S1194" s="30">
        <v>1211</v>
      </c>
      <c r="T1194" s="32"/>
      <c r="U1194" s="32"/>
      <c r="V1194" s="32"/>
      <c r="W1194" s="32"/>
      <c r="X1194" s="32">
        <f>Inventory[[#This Row],[Bsmt Area]]-Inventory[[#This Row],[FnBsmt]]</f>
        <v>0</v>
      </c>
      <c r="Y1194" s="32">
        <f>Inventory[[#This Row],[MainFn]]+Inventory[[#This Row],[UpprFn]]+Inventory[[#This Row],[AddFn]]+Inventory[[#This Row],[FnBsmt]]</f>
        <v>1211</v>
      </c>
      <c r="Z1194" s="32">
        <v>1500</v>
      </c>
      <c r="AA1194" s="31" t="s">
        <v>56</v>
      </c>
      <c r="AB1194" s="32"/>
      <c r="AC1194" s="37"/>
      <c r="AD1194" s="32"/>
      <c r="AE1194" s="32"/>
      <c r="AF1194" s="32"/>
      <c r="AG1194" s="32"/>
      <c r="AH1194" s="32"/>
      <c r="AI1194" s="30">
        <v>206589</v>
      </c>
      <c r="AJ1194" s="30">
        <v>154942</v>
      </c>
      <c r="AK1194" s="30">
        <v>26778</v>
      </c>
      <c r="AL1194" s="30">
        <v>0</v>
      </c>
      <c r="AM1194" s="30">
        <v>81900</v>
      </c>
      <c r="AN1194" s="30">
        <v>229200</v>
      </c>
      <c r="AO1194" s="30">
        <v>311100</v>
      </c>
      <c r="AP1194" s="30">
        <f>Lookups!$B$58*0.6</f>
        <v>132535.48800000001</v>
      </c>
      <c r="AQ1194" s="30">
        <f>Lookups!$B$58*0.4</f>
        <v>88356.992000000013</v>
      </c>
      <c r="AR1194" s="30">
        <f>Lookups!$B$59*Inventory[[#This Row],[LnAcres]]</f>
        <v>-4311.3928247465001</v>
      </c>
      <c r="AS1194" s="30">
        <f>VLOOKUP(Inventory[[#This Row],[Qlty]],Lookups!$A$66:$E$79,2,FALSE)</f>
        <v>24371.765965999999</v>
      </c>
      <c r="AT1194" s="30">
        <f>VLOOKUP(Inventory[[#This Row],[Cnd]],Lookups!$A$80:$E$88,2,FALSE)</f>
        <v>0</v>
      </c>
      <c r="AU1194" s="30">
        <f>Inventory[[#This Row],[EffAge]]*Lookups!$B$65</f>
        <v>-5002.0906000000004</v>
      </c>
      <c r="AV1194" s="30">
        <f>Inventory[[#This Row],[MainFn]]*Lookups!$B$90</f>
        <v>75578.970180000004</v>
      </c>
      <c r="AW1194" s="30">
        <f>Inventory[[#This Row],[UpprFn]]*Lookups!$B$91</f>
        <v>0</v>
      </c>
      <c r="AX1194" s="30">
        <f>Inventory[[#This Row],[Bsmt Area]]*Lookups!$B$95</f>
        <v>0</v>
      </c>
      <c r="AY1194" s="30">
        <f>Inventory[[#This Row],[AttGar]]*Lookups!$B$93</f>
        <v>0</v>
      </c>
      <c r="AZ1194" s="30">
        <f>ROUND(Inventory[[#This Row],[25Det]],-2)</f>
        <v>26800</v>
      </c>
      <c r="BA1194" s="30">
        <f>ROUND(SUM(Inventory[[#This Row],[Mdl Qlty]:[Mdl Garage Area]])+Inventory[[#This Row],[Mdl Res Intercept]],-2)</f>
        <v>227500</v>
      </c>
      <c r="BB1194" s="30">
        <f>ROUND(Inventory[[#This Row],[Mdl Land Intercept]]+Inventory[[#This Row],[Mdl LnAcres]],-2)</f>
        <v>84000</v>
      </c>
      <c r="BC1194" s="30">
        <f>Inventory[[#This Row],[Unadj Res Value]]+Inventory[[#This Row],[Unadj Det Value]]+Inventory[[#This Row],[Unadj Land Value]]</f>
        <v>338300</v>
      </c>
      <c r="BD1194" s="30">
        <f>(Inventory[[#This Row],[Unadj Total Value]]-Inventory[[#This Row],[24Final]])/Inventory[[#This Row],[24Final]]</f>
        <v>8.7431693989071038E-2</v>
      </c>
      <c r="BE1194" s="30">
        <f>VLOOKUP(Inventory[[#This Row],[Nbhd]],Lookups!$M$3:$P$5,4,FALSE)</f>
        <v>0.99970000000000003</v>
      </c>
      <c r="BF1194" s="30">
        <f>VLOOKUP(Inventory[[#This Row],[Qlty]],Lookups!$M$8:$P$22,4,FALSE)</f>
        <v>0.99199999999999999</v>
      </c>
      <c r="BG1194" s="30">
        <f>VLOOKUP(Inventory[[#This Row],[Cnd]],Lookups!$R$8:$U$17,4,FALSE)</f>
        <v>1</v>
      </c>
      <c r="BH1194" s="30">
        <f>VLOOKUP(Inventory[[#This Row],[LivArea Range]],Lookups!$R$25:$U$43,4,FALSE)</f>
        <v>0.99519999999999997</v>
      </c>
      <c r="BI1194" s="30">
        <f>VLOOKUP(Inventory[[#This Row],[Decade]],Lookups!$M$24:$P$40,4,FALSE)</f>
        <v>0.98519999999999996</v>
      </c>
      <c r="BJ1194" s="30">
        <f>Inventory[[#This Row],[Nbhd Adj]]*0.95</f>
        <v>0.94971499999999998</v>
      </c>
      <c r="BK1194" s="30">
        <f>AVERAGE(Inventory[[#This Row],[Nbhd Adj]],Inventory[[#This Row],[Quality Adj]],Inventory[[#This Row],[Condition Adj]],Inventory[[#This Row],[Living Area Adj]],Inventory[[#This Row],[Decade Adj]])*0.95</f>
        <v>0.94469900000000007</v>
      </c>
      <c r="BL1194" s="30">
        <f>ROUND((SUM(Inventory[[#This Row],[Mdl Qlty]:[Mdl Garage Area]])+Inventory[[#This Row],[Mdl Res Intercept]])*Inventory[[#This Row],[Res Adj ]],-2)</f>
        <v>214900</v>
      </c>
      <c r="BM1194" s="30">
        <f>ROUND(Inventory[[#This Row],[25Det]]*Inventory[[#This Row],[Det/Nbhd Adj]],-2)</f>
        <v>25400</v>
      </c>
      <c r="BN1194" s="30">
        <f>Inventory[[#This Row],[Adjusted Res]]+Inventory[[#This Row],[Adj Det ]]</f>
        <v>240300</v>
      </c>
      <c r="BO1194" s="30">
        <f>ROUND((Inventory[[#This Row],[Mdl Land Intercept]]+Inventory[[#This Row],[Mdl LnAcres]])*Inventory[[#This Row],[Det/Nbhd Adj]],-2)</f>
        <v>79800</v>
      </c>
      <c r="BP1194" s="30">
        <f>Inventory[[#This Row],[Adjusted Impr Total]]+Inventory[[#This Row],[Adjusted Land Total]]</f>
        <v>320100</v>
      </c>
      <c r="BQ1194" s="30">
        <f>IFERROR((Inventory[[#This Row],[Adjusted Impr Total]]-Inventory[[#This Row],[24Bldg]])/Inventory[[#This Row],[24Bldg]],0)</f>
        <v>4.8429319371727751E-2</v>
      </c>
      <c r="BR1194" s="43">
        <f>(Inventory[[#This Row],[Adjusted Land Total]]-Inventory[[#This Row],[24Lnd]])/Inventory[[#This Row],[24Lnd]]</f>
        <v>-2.564102564102564E-2</v>
      </c>
      <c r="BS1194" s="43">
        <f>(Inventory[[#This Row],[Adjusted Total]]-Inventory[[#This Row],[24Final]])/Inventory[[#This Row],[24Final]]</f>
        <v>2.8929604628736741E-2</v>
      </c>
    </row>
    <row r="1195" spans="1:71">
      <c r="A1195" s="30">
        <v>2025</v>
      </c>
      <c r="B1195" s="31" t="s">
        <v>1712</v>
      </c>
      <c r="C1195" s="36">
        <f>LN(Inventory[[#This Row],[Acres]])</f>
        <v>0.3148107398400336</v>
      </c>
      <c r="D1195" s="38">
        <v>1.37</v>
      </c>
      <c r="E1195" s="30">
        <v>59724</v>
      </c>
      <c r="F1195" s="31" t="s">
        <v>505</v>
      </c>
      <c r="G1195" s="31" t="s">
        <v>155</v>
      </c>
      <c r="H1195" s="31" t="s">
        <v>5</v>
      </c>
      <c r="I1195" s="31" t="s">
        <v>506</v>
      </c>
      <c r="J1195" s="31" t="s">
        <v>507</v>
      </c>
      <c r="K1195" s="31" t="s">
        <v>193</v>
      </c>
      <c r="L1195" s="31" t="s">
        <v>21</v>
      </c>
      <c r="M1195" s="31" t="s">
        <v>20</v>
      </c>
      <c r="N1195" s="31">
        <v>50</v>
      </c>
      <c r="O1195" s="31">
        <f>2024-Inventory[[#This Row],[YrBlt]]</f>
        <v>53</v>
      </c>
      <c r="P1195" s="31">
        <f>2024-Inventory[[#This Row],[EffYr]]</f>
        <v>46</v>
      </c>
      <c r="Q1195" s="30">
        <v>1971</v>
      </c>
      <c r="R1195" s="30">
        <v>1978</v>
      </c>
      <c r="S1195" s="30">
        <v>2593</v>
      </c>
      <c r="T1195" s="32"/>
      <c r="U1195" s="32"/>
      <c r="V1195" s="32"/>
      <c r="W1195" s="32"/>
      <c r="X1195" s="32">
        <f>Inventory[[#This Row],[Bsmt Area]]-Inventory[[#This Row],[FnBsmt]]</f>
        <v>0</v>
      </c>
      <c r="Y1195" s="32">
        <f>Inventory[[#This Row],[MainFn]]+Inventory[[#This Row],[UpprFn]]+Inventory[[#This Row],[AddFn]]+Inventory[[#This Row],[FnBsmt]]</f>
        <v>2593</v>
      </c>
      <c r="Z1195" s="32">
        <v>3000</v>
      </c>
      <c r="AA1195" s="31" t="s">
        <v>56</v>
      </c>
      <c r="AB1195" s="38">
        <v>1</v>
      </c>
      <c r="AC1195" s="30">
        <v>483</v>
      </c>
      <c r="AD1195" s="32"/>
      <c r="AE1195" s="32"/>
      <c r="AF1195" s="32"/>
      <c r="AG1195" s="32"/>
      <c r="AH1195" s="32"/>
      <c r="AI1195" s="30">
        <v>566825</v>
      </c>
      <c r="AJ1195" s="30">
        <v>436455</v>
      </c>
      <c r="AK1195" s="30">
        <v>0</v>
      </c>
      <c r="AL1195" s="30">
        <v>0</v>
      </c>
      <c r="AM1195" s="30">
        <v>90900</v>
      </c>
      <c r="AN1195" s="30">
        <v>318000</v>
      </c>
      <c r="AO1195" s="30">
        <v>408900</v>
      </c>
      <c r="AP1195" s="30">
        <f>Lookups!$B$58*0.6</f>
        <v>132535.48800000001</v>
      </c>
      <c r="AQ1195" s="30">
        <f>Lookups!$B$58*0.4</f>
        <v>88356.992000000013</v>
      </c>
      <c r="AR1195" s="30">
        <f>Lookups!$B$59*Inventory[[#This Row],[LnAcres]]</f>
        <v>4131.6772039080897</v>
      </c>
      <c r="AS1195" s="30">
        <f>VLOOKUP(Inventory[[#This Row],[Qlty]],Lookups!$A$66:$E$79,2,FALSE)</f>
        <v>32917.849192000001</v>
      </c>
      <c r="AT1195" s="30">
        <f>VLOOKUP(Inventory[[#This Row],[Cnd]],Lookups!$A$80:$E$88,2,FALSE)</f>
        <v>30300.329274</v>
      </c>
      <c r="AU1195" s="30">
        <f>Inventory[[#This Row],[EffAge]]*Lookups!$B$65</f>
        <v>-5002.0906000000004</v>
      </c>
      <c r="AV1195" s="30">
        <f>Inventory[[#This Row],[MainFn]]*Lookups!$B$90</f>
        <v>161830.11534000002</v>
      </c>
      <c r="AW1195" s="30">
        <f>Inventory[[#This Row],[UpprFn]]*Lookups!$B$91</f>
        <v>0</v>
      </c>
      <c r="AX1195" s="30">
        <f>Inventory[[#This Row],[Bsmt Area]]*Lookups!$B$95</f>
        <v>0</v>
      </c>
      <c r="AY1195" s="30">
        <f>Inventory[[#This Row],[AttGar]]*Lookups!$B$93</f>
        <v>17050.397972999999</v>
      </c>
      <c r="AZ1195" s="30">
        <f>ROUND(Inventory[[#This Row],[25Det]],-2)</f>
        <v>0</v>
      </c>
      <c r="BA1195" s="30">
        <f>ROUND(SUM(Inventory[[#This Row],[Mdl Qlty]:[Mdl Garage Area]])+Inventory[[#This Row],[Mdl Res Intercept]],-2)</f>
        <v>369600</v>
      </c>
      <c r="BB1195" s="30">
        <f>ROUND(Inventory[[#This Row],[Mdl Land Intercept]]+Inventory[[#This Row],[Mdl LnAcres]],-2)</f>
        <v>92500</v>
      </c>
      <c r="BC1195" s="30">
        <f>Inventory[[#This Row],[Unadj Res Value]]+Inventory[[#This Row],[Unadj Det Value]]+Inventory[[#This Row],[Unadj Land Value]]</f>
        <v>462100</v>
      </c>
      <c r="BD1195" s="30">
        <f>(Inventory[[#This Row],[Unadj Total Value]]-Inventory[[#This Row],[24Final]])/Inventory[[#This Row],[24Final]]</f>
        <v>0.13010516018586452</v>
      </c>
      <c r="BE1195" s="30">
        <f>VLOOKUP(Inventory[[#This Row],[Nbhd]],Lookups!$M$3:$P$5,4,FALSE)</f>
        <v>0.99970000000000003</v>
      </c>
      <c r="BF1195" s="30">
        <f>VLOOKUP(Inventory[[#This Row],[Qlty]],Lookups!$M$8:$P$22,4,FALSE)</f>
        <v>1.0019</v>
      </c>
      <c r="BG1195" s="30">
        <f>VLOOKUP(Inventory[[#This Row],[Cnd]],Lookups!$R$8:$U$17,4,FALSE)</f>
        <v>0.997</v>
      </c>
      <c r="BH1195" s="30">
        <f>VLOOKUP(Inventory[[#This Row],[LivArea Range]],Lookups!$R$25:$U$43,4,FALSE)</f>
        <v>1.0099</v>
      </c>
      <c r="BI1195" s="30">
        <f>VLOOKUP(Inventory[[#This Row],[Decade]],Lookups!$M$24:$P$40,4,FALSE)</f>
        <v>0.98519999999999996</v>
      </c>
      <c r="BJ1195" s="30">
        <f>Inventory[[#This Row],[Nbhd Adj]]*0.95</f>
        <v>0.94971499999999998</v>
      </c>
      <c r="BK1195" s="30">
        <f>AVERAGE(Inventory[[#This Row],[Nbhd Adj]],Inventory[[#This Row],[Quality Adj]],Inventory[[#This Row],[Condition Adj]],Inventory[[#This Row],[Living Area Adj]],Inventory[[#This Row],[Decade Adj]])*0.95</f>
        <v>0.94880299999999995</v>
      </c>
      <c r="BL1195" s="30">
        <f>ROUND((SUM(Inventory[[#This Row],[Mdl Qlty]:[Mdl Garage Area]])+Inventory[[#This Row],[Mdl Res Intercept]])*Inventory[[#This Row],[Res Adj ]],-2)</f>
        <v>350700</v>
      </c>
      <c r="BM1195" s="30">
        <f>ROUND(Inventory[[#This Row],[25Det]]*Inventory[[#This Row],[Det/Nbhd Adj]],-2)</f>
        <v>0</v>
      </c>
      <c r="BN1195" s="30">
        <f>Inventory[[#This Row],[Adjusted Res]]+Inventory[[#This Row],[Adj Det ]]</f>
        <v>350700</v>
      </c>
      <c r="BO1195" s="30">
        <f>ROUND((Inventory[[#This Row],[Mdl Land Intercept]]+Inventory[[#This Row],[Mdl LnAcres]])*Inventory[[#This Row],[Det/Nbhd Adj]],-2)</f>
        <v>87800</v>
      </c>
      <c r="BP1195" s="30">
        <f>Inventory[[#This Row],[Adjusted Impr Total]]+Inventory[[#This Row],[Adjusted Land Total]]</f>
        <v>438500</v>
      </c>
      <c r="BQ1195" s="30">
        <f>IFERROR((Inventory[[#This Row],[Adjusted Impr Total]]-Inventory[[#This Row],[24Bldg]])/Inventory[[#This Row],[24Bldg]],0)</f>
        <v>0.10283018867924529</v>
      </c>
      <c r="BR1195" s="43">
        <f>(Inventory[[#This Row],[Adjusted Land Total]]-Inventory[[#This Row],[24Lnd]])/Inventory[[#This Row],[24Lnd]]</f>
        <v>-3.4103410341034104E-2</v>
      </c>
      <c r="BS1195" s="43">
        <f>(Inventory[[#This Row],[Adjusted Total]]-Inventory[[#This Row],[24Final]])/Inventory[[#This Row],[24Final]]</f>
        <v>7.2389337246270488E-2</v>
      </c>
    </row>
    <row r="1196" spans="1:71">
      <c r="A1196" s="30">
        <v>2025</v>
      </c>
      <c r="B1196" s="31" t="s">
        <v>1713</v>
      </c>
      <c r="C1196" s="36">
        <f>LN(Inventory[[#This Row],[Acres]])</f>
        <v>0.73236789371322664</v>
      </c>
      <c r="D1196" s="38">
        <v>2.08</v>
      </c>
      <c r="E1196" s="30">
        <v>90597</v>
      </c>
      <c r="F1196" s="31" t="s">
        <v>505</v>
      </c>
      <c r="G1196" s="31" t="s">
        <v>155</v>
      </c>
      <c r="H1196" s="31" t="s">
        <v>5</v>
      </c>
      <c r="I1196" s="31" t="s">
        <v>506</v>
      </c>
      <c r="J1196" s="31" t="s">
        <v>507</v>
      </c>
      <c r="K1196" s="31" t="s">
        <v>193</v>
      </c>
      <c r="L1196" s="31" t="s">
        <v>17</v>
      </c>
      <c r="M1196" s="31" t="s">
        <v>20</v>
      </c>
      <c r="N1196" s="31">
        <v>50</v>
      </c>
      <c r="O1196" s="31">
        <f>2024-Inventory[[#This Row],[YrBlt]]</f>
        <v>53</v>
      </c>
      <c r="P1196" s="31">
        <f>2024-Inventory[[#This Row],[EffYr]]</f>
        <v>46</v>
      </c>
      <c r="Q1196" s="30">
        <v>1971</v>
      </c>
      <c r="R1196" s="30">
        <v>1978</v>
      </c>
      <c r="S1196" s="30">
        <v>1984</v>
      </c>
      <c r="T1196" s="32"/>
      <c r="U1196" s="32"/>
      <c r="V1196" s="32"/>
      <c r="W1196" s="32"/>
      <c r="X1196" s="32">
        <f>Inventory[[#This Row],[Bsmt Area]]-Inventory[[#This Row],[FnBsmt]]</f>
        <v>0</v>
      </c>
      <c r="Y1196" s="32">
        <f>Inventory[[#This Row],[MainFn]]+Inventory[[#This Row],[UpprFn]]+Inventory[[#This Row],[AddFn]]+Inventory[[#This Row],[FnBsmt]]</f>
        <v>1984</v>
      </c>
      <c r="Z1196" s="32">
        <v>2000</v>
      </c>
      <c r="AA1196" s="31" t="s">
        <v>56</v>
      </c>
      <c r="AB1196" s="37"/>
      <c r="AC1196" s="37"/>
      <c r="AD1196" s="32"/>
      <c r="AE1196" s="32"/>
      <c r="AF1196" s="32"/>
      <c r="AG1196" s="32"/>
      <c r="AH1196" s="32"/>
      <c r="AI1196" s="30">
        <v>305487</v>
      </c>
      <c r="AJ1196" s="30">
        <v>235225</v>
      </c>
      <c r="AK1196" s="30">
        <v>8183</v>
      </c>
      <c r="AL1196" s="30">
        <v>0</v>
      </c>
      <c r="AM1196" s="30">
        <v>96800</v>
      </c>
      <c r="AN1196" s="30">
        <v>267500</v>
      </c>
      <c r="AO1196" s="30">
        <v>364300</v>
      </c>
      <c r="AP1196" s="30">
        <f>Lookups!$B$58*0.6</f>
        <v>132535.48800000001</v>
      </c>
      <c r="AQ1196" s="30">
        <f>Lookups!$B$58*0.4</f>
        <v>88356.992000000013</v>
      </c>
      <c r="AR1196" s="30">
        <f>Lookups!$B$59*Inventory[[#This Row],[LnAcres]]</f>
        <v>9611.831327186268</v>
      </c>
      <c r="AS1196" s="30">
        <f>VLOOKUP(Inventory[[#This Row],[Qlty]],Lookups!$A$66:$E$79,2,FALSE)</f>
        <v>24371.765965999999</v>
      </c>
      <c r="AT1196" s="30">
        <f>VLOOKUP(Inventory[[#This Row],[Cnd]],Lookups!$A$80:$E$88,2,FALSE)</f>
        <v>30300.329274</v>
      </c>
      <c r="AU1196" s="30">
        <f>Inventory[[#This Row],[EffAge]]*Lookups!$B$65</f>
        <v>-5002.0906000000004</v>
      </c>
      <c r="AV1196" s="30">
        <f>Inventory[[#This Row],[MainFn]]*Lookups!$B$90</f>
        <v>123822.19392000001</v>
      </c>
      <c r="AW1196" s="30">
        <f>Inventory[[#This Row],[UpprFn]]*Lookups!$B$91</f>
        <v>0</v>
      </c>
      <c r="AX1196" s="30">
        <f>Inventory[[#This Row],[Bsmt Area]]*Lookups!$B$95</f>
        <v>0</v>
      </c>
      <c r="AY1196" s="30">
        <f>Inventory[[#This Row],[AttGar]]*Lookups!$B$93</f>
        <v>0</v>
      </c>
      <c r="AZ1196" s="30">
        <f>ROUND(Inventory[[#This Row],[25Det]],-2)</f>
        <v>8200</v>
      </c>
      <c r="BA1196" s="30">
        <f>ROUND(SUM(Inventory[[#This Row],[Mdl Qlty]:[Mdl Garage Area]])+Inventory[[#This Row],[Mdl Res Intercept]],-2)</f>
        <v>306000</v>
      </c>
      <c r="BB1196" s="30">
        <f>ROUND(Inventory[[#This Row],[Mdl Land Intercept]]+Inventory[[#This Row],[Mdl LnAcres]],-2)</f>
        <v>98000</v>
      </c>
      <c r="BC1196" s="30">
        <f>Inventory[[#This Row],[Unadj Res Value]]+Inventory[[#This Row],[Unadj Det Value]]+Inventory[[#This Row],[Unadj Land Value]]</f>
        <v>412200</v>
      </c>
      <c r="BD1196" s="30">
        <f>(Inventory[[#This Row],[Unadj Total Value]]-Inventory[[#This Row],[24Final]])/Inventory[[#This Row],[24Final]]</f>
        <v>0.1314850398023607</v>
      </c>
      <c r="BE1196" s="30">
        <f>VLOOKUP(Inventory[[#This Row],[Nbhd]],Lookups!$M$3:$P$5,4,FALSE)</f>
        <v>0.99970000000000003</v>
      </c>
      <c r="BF1196" s="30">
        <f>VLOOKUP(Inventory[[#This Row],[Qlty]],Lookups!$M$8:$P$22,4,FALSE)</f>
        <v>0.99199999999999999</v>
      </c>
      <c r="BG1196" s="30">
        <f>VLOOKUP(Inventory[[#This Row],[Cnd]],Lookups!$R$8:$U$17,4,FALSE)</f>
        <v>0.997</v>
      </c>
      <c r="BH1196" s="30">
        <f>VLOOKUP(Inventory[[#This Row],[LivArea Range]],Lookups!$R$25:$U$43,4,FALSE)</f>
        <v>1.0007999999999999</v>
      </c>
      <c r="BI1196" s="30">
        <f>VLOOKUP(Inventory[[#This Row],[Decade]],Lookups!$M$24:$P$40,4,FALSE)</f>
        <v>0.98519999999999996</v>
      </c>
      <c r="BJ1196" s="30">
        <f>Inventory[[#This Row],[Nbhd Adj]]*0.95</f>
        <v>0.94971499999999998</v>
      </c>
      <c r="BK1196" s="30">
        <f>AVERAGE(Inventory[[#This Row],[Nbhd Adj]],Inventory[[#This Row],[Quality Adj]],Inventory[[#This Row],[Condition Adj]],Inventory[[#This Row],[Living Area Adj]],Inventory[[#This Row],[Decade Adj]])*0.95</f>
        <v>0.94519299999999995</v>
      </c>
      <c r="BL1196" s="30">
        <f>ROUND((SUM(Inventory[[#This Row],[Mdl Qlty]:[Mdl Garage Area]])+Inventory[[#This Row],[Mdl Res Intercept]])*Inventory[[#This Row],[Res Adj ]],-2)</f>
        <v>289300</v>
      </c>
      <c r="BM1196" s="30">
        <f>ROUND(Inventory[[#This Row],[25Det]]*Inventory[[#This Row],[Det/Nbhd Adj]],-2)</f>
        <v>7800</v>
      </c>
      <c r="BN1196" s="30">
        <f>Inventory[[#This Row],[Adjusted Res]]+Inventory[[#This Row],[Adj Det ]]</f>
        <v>297100</v>
      </c>
      <c r="BO1196" s="30">
        <f>ROUND((Inventory[[#This Row],[Mdl Land Intercept]]+Inventory[[#This Row],[Mdl LnAcres]])*Inventory[[#This Row],[Det/Nbhd Adj]],-2)</f>
        <v>93000</v>
      </c>
      <c r="BP1196" s="30">
        <f>Inventory[[#This Row],[Adjusted Impr Total]]+Inventory[[#This Row],[Adjusted Land Total]]</f>
        <v>390100</v>
      </c>
      <c r="BQ1196" s="30">
        <f>IFERROR((Inventory[[#This Row],[Adjusted Impr Total]]-Inventory[[#This Row],[24Bldg]])/Inventory[[#This Row],[24Bldg]],0)</f>
        <v>0.11065420560747663</v>
      </c>
      <c r="BR1196" s="43">
        <f>(Inventory[[#This Row],[Adjusted Land Total]]-Inventory[[#This Row],[24Lnd]])/Inventory[[#This Row],[24Lnd]]</f>
        <v>-3.9256198347107439E-2</v>
      </c>
      <c r="BS1196" s="43">
        <f>(Inventory[[#This Row],[Adjusted Total]]-Inventory[[#This Row],[24Final]])/Inventory[[#This Row],[24Final]]</f>
        <v>7.0820752127367548E-2</v>
      </c>
    </row>
    <row r="1197" spans="1:71">
      <c r="A1197" s="30">
        <v>2025</v>
      </c>
      <c r="B1197" s="31" t="s">
        <v>1714</v>
      </c>
      <c r="C1197" s="36">
        <f>LN(Inventory[[#This Row],[Acres]])</f>
        <v>-1.7147984280919266</v>
      </c>
      <c r="D1197" s="38">
        <v>0.18</v>
      </c>
      <c r="E1197" s="30">
        <v>7800</v>
      </c>
      <c r="F1197" s="31" t="s">
        <v>505</v>
      </c>
      <c r="G1197" s="31" t="s">
        <v>155</v>
      </c>
      <c r="H1197" s="31" t="s">
        <v>5</v>
      </c>
      <c r="I1197" s="31" t="s">
        <v>506</v>
      </c>
      <c r="J1197" s="31" t="s">
        <v>507</v>
      </c>
      <c r="K1197" s="31" t="s">
        <v>473</v>
      </c>
      <c r="L1197" s="31" t="s">
        <v>13</v>
      </c>
      <c r="M1197" s="31" t="s">
        <v>18</v>
      </c>
      <c r="N1197" s="31">
        <v>50</v>
      </c>
      <c r="O1197" s="31">
        <f>2024-Inventory[[#This Row],[YrBlt]]</f>
        <v>54</v>
      </c>
      <c r="P1197" s="31">
        <f>2024-Inventory[[#This Row],[EffYr]]</f>
        <v>47</v>
      </c>
      <c r="Q1197" s="30">
        <v>1970</v>
      </c>
      <c r="R1197" s="30">
        <v>1977</v>
      </c>
      <c r="S1197" s="30">
        <v>1152</v>
      </c>
      <c r="T1197" s="32"/>
      <c r="U1197" s="32"/>
      <c r="V1197" s="32"/>
      <c r="W1197" s="32"/>
      <c r="X1197" s="32">
        <f>Inventory[[#This Row],[Bsmt Area]]-Inventory[[#This Row],[FnBsmt]]</f>
        <v>0</v>
      </c>
      <c r="Y1197" s="32">
        <f>Inventory[[#This Row],[MainFn]]+Inventory[[#This Row],[UpprFn]]+Inventory[[#This Row],[AddFn]]+Inventory[[#This Row],[FnBsmt]]</f>
        <v>1152</v>
      </c>
      <c r="Z1197" s="32">
        <v>1500</v>
      </c>
      <c r="AA1197" s="31" t="s">
        <v>56</v>
      </c>
      <c r="AB1197" s="32"/>
      <c r="AC1197" s="37"/>
      <c r="AD1197" s="32"/>
      <c r="AE1197" s="32"/>
      <c r="AF1197" s="32"/>
      <c r="AG1197" s="32"/>
      <c r="AH1197" s="32"/>
      <c r="AI1197" s="30">
        <v>146964</v>
      </c>
      <c r="AJ1197" s="30">
        <v>111693</v>
      </c>
      <c r="AK1197" s="30">
        <v>1515</v>
      </c>
      <c r="AL1197" s="30">
        <v>0</v>
      </c>
      <c r="AM1197" s="30">
        <v>62500</v>
      </c>
      <c r="AN1197" s="30">
        <v>176100</v>
      </c>
      <c r="AO1197" s="30">
        <v>238600</v>
      </c>
      <c r="AP1197" s="30">
        <f>Lookups!$B$58*0.6</f>
        <v>132535.48800000001</v>
      </c>
      <c r="AQ1197" s="30">
        <f>Lookups!$B$58*0.4</f>
        <v>88356.992000000013</v>
      </c>
      <c r="AR1197" s="30">
        <f>Lookups!$B$59*Inventory[[#This Row],[LnAcres]]</f>
        <v>-22505.565020573864</v>
      </c>
      <c r="AS1197" s="30">
        <f>VLOOKUP(Inventory[[#This Row],[Qlty]],Lookups!$A$66:$E$79,2,FALSE)</f>
        <v>0</v>
      </c>
      <c r="AT1197" s="30">
        <f>VLOOKUP(Inventory[[#This Row],[Cnd]],Lookups!$A$80:$E$88,2,FALSE)</f>
        <v>17761.121909000001</v>
      </c>
      <c r="AU1197" s="30">
        <f>Inventory[[#This Row],[EffAge]]*Lookups!$B$65</f>
        <v>-5110.8316999999997</v>
      </c>
      <c r="AV1197" s="30">
        <f>Inventory[[#This Row],[MainFn]]*Lookups!$B$90</f>
        <v>71896.757760000008</v>
      </c>
      <c r="AW1197" s="30">
        <f>Inventory[[#This Row],[UpprFn]]*Lookups!$B$91</f>
        <v>0</v>
      </c>
      <c r="AX1197" s="30">
        <f>Inventory[[#This Row],[Bsmt Area]]*Lookups!$B$95</f>
        <v>0</v>
      </c>
      <c r="AY1197" s="30">
        <f>Inventory[[#This Row],[AttGar]]*Lookups!$B$93</f>
        <v>0</v>
      </c>
      <c r="AZ1197" s="30">
        <f>ROUND(Inventory[[#This Row],[25Det]],-2)</f>
        <v>1500</v>
      </c>
      <c r="BA1197" s="30">
        <f>ROUND(SUM(Inventory[[#This Row],[Mdl Qlty]:[Mdl Garage Area]])+Inventory[[#This Row],[Mdl Res Intercept]],-2)</f>
        <v>217100</v>
      </c>
      <c r="BB1197" s="30">
        <f>ROUND(Inventory[[#This Row],[Mdl Land Intercept]]+Inventory[[#This Row],[Mdl LnAcres]],-2)</f>
        <v>65900</v>
      </c>
      <c r="BC1197" s="30">
        <f>Inventory[[#This Row],[Unadj Res Value]]+Inventory[[#This Row],[Unadj Det Value]]+Inventory[[#This Row],[Unadj Land Value]]</f>
        <v>284500</v>
      </c>
      <c r="BD1197" s="30">
        <f>(Inventory[[#This Row],[Unadj Total Value]]-Inventory[[#This Row],[24Final]])/Inventory[[#This Row],[24Final]]</f>
        <v>0.19237217099748533</v>
      </c>
      <c r="BE1197" s="30">
        <f>VLOOKUP(Inventory[[#This Row],[Nbhd]],Lookups!$M$3:$P$5,4,FALSE)</f>
        <v>0.99970000000000003</v>
      </c>
      <c r="BF1197" s="30">
        <f>VLOOKUP(Inventory[[#This Row],[Qlty]],Lookups!$M$8:$P$22,4,FALSE)</f>
        <v>1.0003</v>
      </c>
      <c r="BG1197" s="30">
        <f>VLOOKUP(Inventory[[#This Row],[Cnd]],Lookups!$R$8:$U$17,4,FALSE)</f>
        <v>0.99680000000000002</v>
      </c>
      <c r="BH1197" s="30">
        <f>VLOOKUP(Inventory[[#This Row],[LivArea Range]],Lookups!$R$25:$U$43,4,FALSE)</f>
        <v>0.99519999999999997</v>
      </c>
      <c r="BI1197" s="30">
        <f>VLOOKUP(Inventory[[#This Row],[Decade]],Lookups!$M$24:$P$40,4,FALSE)</f>
        <v>0.98519999999999996</v>
      </c>
      <c r="BJ1197" s="30">
        <f>Inventory[[#This Row],[Nbhd Adj]]*0.95</f>
        <v>0.94971499999999998</v>
      </c>
      <c r="BK1197" s="30">
        <f>AVERAGE(Inventory[[#This Row],[Nbhd Adj]],Inventory[[#This Row],[Quality Adj]],Inventory[[#This Row],[Condition Adj]],Inventory[[#This Row],[Living Area Adj]],Inventory[[#This Row],[Decade Adj]])*0.95</f>
        <v>0.94566799999999995</v>
      </c>
      <c r="BL1197" s="30">
        <f>ROUND((SUM(Inventory[[#This Row],[Mdl Qlty]:[Mdl Garage Area]])+Inventory[[#This Row],[Mdl Res Intercept]])*Inventory[[#This Row],[Res Adj ]],-2)</f>
        <v>205300</v>
      </c>
      <c r="BM1197" s="30">
        <f>ROUND(Inventory[[#This Row],[25Det]]*Inventory[[#This Row],[Det/Nbhd Adj]],-2)</f>
        <v>1400</v>
      </c>
      <c r="BN1197" s="30">
        <f>Inventory[[#This Row],[Adjusted Res]]+Inventory[[#This Row],[Adj Det ]]</f>
        <v>206700</v>
      </c>
      <c r="BO1197" s="30">
        <f>ROUND((Inventory[[#This Row],[Mdl Land Intercept]]+Inventory[[#This Row],[Mdl LnAcres]])*Inventory[[#This Row],[Det/Nbhd Adj]],-2)</f>
        <v>62500</v>
      </c>
      <c r="BP1197" s="30">
        <f>Inventory[[#This Row],[Adjusted Impr Total]]+Inventory[[#This Row],[Adjusted Land Total]]</f>
        <v>269200</v>
      </c>
      <c r="BQ1197" s="30">
        <f>IFERROR((Inventory[[#This Row],[Adjusted Impr Total]]-Inventory[[#This Row],[24Bldg]])/Inventory[[#This Row],[24Bldg]],0)</f>
        <v>0.17376490630323679</v>
      </c>
      <c r="BR1197" s="43">
        <f>(Inventory[[#This Row],[Adjusted Land Total]]-Inventory[[#This Row],[24Lnd]])/Inventory[[#This Row],[24Lnd]]</f>
        <v>0</v>
      </c>
      <c r="BS1197" s="43">
        <f>(Inventory[[#This Row],[Adjusted Total]]-Inventory[[#This Row],[24Final]])/Inventory[[#This Row],[24Final]]</f>
        <v>0.12824811399832356</v>
      </c>
    </row>
    <row r="1198" spans="1:71">
      <c r="A1198" s="30">
        <v>2025</v>
      </c>
      <c r="B1198" s="31" t="s">
        <v>1715</v>
      </c>
      <c r="C1198" s="36">
        <f>LN(Inventory[[#This Row],[Acres]])</f>
        <v>-1.4271163556401458</v>
      </c>
      <c r="D1198" s="38">
        <v>0.24</v>
      </c>
      <c r="E1198" s="30">
        <v>10549</v>
      </c>
      <c r="F1198" s="31" t="s">
        <v>505</v>
      </c>
      <c r="G1198" s="31" t="s">
        <v>155</v>
      </c>
      <c r="H1198" s="31" t="s">
        <v>5</v>
      </c>
      <c r="I1198" s="31" t="s">
        <v>506</v>
      </c>
      <c r="J1198" s="31" t="s">
        <v>507</v>
      </c>
      <c r="K1198" s="31" t="s">
        <v>473</v>
      </c>
      <c r="L1198" s="31" t="s">
        <v>13</v>
      </c>
      <c r="M1198" s="31" t="s">
        <v>20</v>
      </c>
      <c r="N1198" s="31">
        <v>50</v>
      </c>
      <c r="O1198" s="31">
        <f>2024-Inventory[[#This Row],[YrBlt]]</f>
        <v>54</v>
      </c>
      <c r="P1198" s="31">
        <f>2024-Inventory[[#This Row],[EffYr]]</f>
        <v>47</v>
      </c>
      <c r="Q1198" s="30">
        <v>1970</v>
      </c>
      <c r="R1198" s="30">
        <v>1977</v>
      </c>
      <c r="S1198" s="30">
        <v>888</v>
      </c>
      <c r="T1198" s="32"/>
      <c r="U1198" s="32"/>
      <c r="V1198" s="32"/>
      <c r="W1198" s="32"/>
      <c r="X1198" s="32">
        <f>Inventory[[#This Row],[Bsmt Area]]-Inventory[[#This Row],[FnBsmt]]</f>
        <v>0</v>
      </c>
      <c r="Y1198" s="32">
        <f>Inventory[[#This Row],[MainFn]]+Inventory[[#This Row],[UpprFn]]+Inventory[[#This Row],[AddFn]]+Inventory[[#This Row],[FnBsmt]]</f>
        <v>888</v>
      </c>
      <c r="Z1198" s="32">
        <v>1000</v>
      </c>
      <c r="AA1198" s="31" t="s">
        <v>56</v>
      </c>
      <c r="AB1198" s="37"/>
      <c r="AC1198" s="37"/>
      <c r="AD1198" s="32"/>
      <c r="AE1198" s="32"/>
      <c r="AF1198" s="32"/>
      <c r="AG1198" s="32"/>
      <c r="AH1198" s="32"/>
      <c r="AI1198" s="30">
        <v>133040</v>
      </c>
      <c r="AJ1198" s="30">
        <v>99780</v>
      </c>
      <c r="AK1198" s="30">
        <v>0</v>
      </c>
      <c r="AL1198" s="30">
        <v>0</v>
      </c>
      <c r="AM1198" s="30">
        <v>66500</v>
      </c>
      <c r="AN1198" s="30">
        <v>174400</v>
      </c>
      <c r="AO1198" s="30">
        <v>240900</v>
      </c>
      <c r="AP1198" s="30">
        <f>Lookups!$B$58*0.6</f>
        <v>132535.48800000001</v>
      </c>
      <c r="AQ1198" s="30">
        <f>Lookups!$B$58*0.4</f>
        <v>88356.992000000013</v>
      </c>
      <c r="AR1198" s="30">
        <f>Lookups!$B$59*Inventory[[#This Row],[LnAcres]]</f>
        <v>-18729.933155771436</v>
      </c>
      <c r="AS1198" s="30">
        <f>VLOOKUP(Inventory[[#This Row],[Qlty]],Lookups!$A$66:$E$79,2,FALSE)</f>
        <v>0</v>
      </c>
      <c r="AT1198" s="30">
        <f>VLOOKUP(Inventory[[#This Row],[Cnd]],Lookups!$A$80:$E$88,2,FALSE)</f>
        <v>30300.329274</v>
      </c>
      <c r="AU1198" s="30">
        <f>Inventory[[#This Row],[EffAge]]*Lookups!$B$65</f>
        <v>-5110.8316999999997</v>
      </c>
      <c r="AV1198" s="30">
        <f>Inventory[[#This Row],[MainFn]]*Lookups!$B$90</f>
        <v>55420.417440000005</v>
      </c>
      <c r="AW1198" s="30">
        <f>Inventory[[#This Row],[UpprFn]]*Lookups!$B$91</f>
        <v>0</v>
      </c>
      <c r="AX1198" s="30">
        <f>Inventory[[#This Row],[Bsmt Area]]*Lookups!$B$95</f>
        <v>0</v>
      </c>
      <c r="AY1198" s="30">
        <f>Inventory[[#This Row],[AttGar]]*Lookups!$B$93</f>
        <v>0</v>
      </c>
      <c r="AZ1198" s="30">
        <f>ROUND(Inventory[[#This Row],[25Det]],-2)</f>
        <v>0</v>
      </c>
      <c r="BA1198" s="30">
        <f>ROUND(SUM(Inventory[[#This Row],[Mdl Qlty]:[Mdl Garage Area]])+Inventory[[#This Row],[Mdl Res Intercept]],-2)</f>
        <v>213100</v>
      </c>
      <c r="BB1198" s="30">
        <f>ROUND(Inventory[[#This Row],[Mdl Land Intercept]]+Inventory[[#This Row],[Mdl LnAcres]],-2)</f>
        <v>69600</v>
      </c>
      <c r="BC1198" s="30">
        <f>Inventory[[#This Row],[Unadj Res Value]]+Inventory[[#This Row],[Unadj Det Value]]+Inventory[[#This Row],[Unadj Land Value]]</f>
        <v>282700</v>
      </c>
      <c r="BD1198" s="30">
        <f>(Inventory[[#This Row],[Unadj Total Value]]-Inventory[[#This Row],[24Final]])/Inventory[[#This Row],[24Final]]</f>
        <v>0.17351598173515981</v>
      </c>
      <c r="BE1198" s="30">
        <f>VLOOKUP(Inventory[[#This Row],[Nbhd]],Lookups!$M$3:$P$5,4,FALSE)</f>
        <v>0.99970000000000003</v>
      </c>
      <c r="BF1198" s="30">
        <f>VLOOKUP(Inventory[[#This Row],[Qlty]],Lookups!$M$8:$P$22,4,FALSE)</f>
        <v>1.0003</v>
      </c>
      <c r="BG1198" s="30">
        <f>VLOOKUP(Inventory[[#This Row],[Cnd]],Lookups!$R$8:$U$17,4,FALSE)</f>
        <v>0.997</v>
      </c>
      <c r="BH1198" s="30">
        <f>VLOOKUP(Inventory[[#This Row],[LivArea Range]],Lookups!$R$25:$U$43,4,FALSE)</f>
        <v>1</v>
      </c>
      <c r="BI1198" s="30">
        <f>VLOOKUP(Inventory[[#This Row],[Decade]],Lookups!$M$24:$P$40,4,FALSE)</f>
        <v>0.98519999999999996</v>
      </c>
      <c r="BJ1198" s="30">
        <f>Inventory[[#This Row],[Nbhd Adj]]*0.95</f>
        <v>0.94971499999999998</v>
      </c>
      <c r="BK1198" s="30">
        <f>AVERAGE(Inventory[[#This Row],[Nbhd Adj]],Inventory[[#This Row],[Quality Adj]],Inventory[[#This Row],[Condition Adj]],Inventory[[#This Row],[Living Area Adj]],Inventory[[#This Row],[Decade Adj]])*0.95</f>
        <v>0.94661799999999996</v>
      </c>
      <c r="BL1198" s="30">
        <f>ROUND((SUM(Inventory[[#This Row],[Mdl Qlty]:[Mdl Garage Area]])+Inventory[[#This Row],[Mdl Res Intercept]])*Inventory[[#This Row],[Res Adj ]],-2)</f>
        <v>201800</v>
      </c>
      <c r="BM1198" s="30">
        <f>ROUND(Inventory[[#This Row],[25Det]]*Inventory[[#This Row],[Det/Nbhd Adj]],-2)</f>
        <v>0</v>
      </c>
      <c r="BN1198" s="30">
        <f>Inventory[[#This Row],[Adjusted Res]]+Inventory[[#This Row],[Adj Det ]]</f>
        <v>201800</v>
      </c>
      <c r="BO1198" s="30">
        <f>ROUND((Inventory[[#This Row],[Mdl Land Intercept]]+Inventory[[#This Row],[Mdl LnAcres]])*Inventory[[#This Row],[Det/Nbhd Adj]],-2)</f>
        <v>66100</v>
      </c>
      <c r="BP1198" s="30">
        <f>Inventory[[#This Row],[Adjusted Impr Total]]+Inventory[[#This Row],[Adjusted Land Total]]</f>
        <v>267900</v>
      </c>
      <c r="BQ1198" s="30">
        <f>IFERROR((Inventory[[#This Row],[Adjusted Impr Total]]-Inventory[[#This Row],[24Bldg]])/Inventory[[#This Row],[24Bldg]],0)</f>
        <v>0.15711009174311927</v>
      </c>
      <c r="BR1198" s="43">
        <f>(Inventory[[#This Row],[Adjusted Land Total]]-Inventory[[#This Row],[24Lnd]])/Inventory[[#This Row],[24Lnd]]</f>
        <v>-6.0150375939849628E-3</v>
      </c>
      <c r="BS1198" s="43">
        <f>(Inventory[[#This Row],[Adjusted Total]]-Inventory[[#This Row],[24Final]])/Inventory[[#This Row],[24Final]]</f>
        <v>0.11207970112079702</v>
      </c>
    </row>
    <row r="1199" spans="1:71">
      <c r="A1199" s="30">
        <v>2025</v>
      </c>
      <c r="B1199" s="31" t="s">
        <v>1716</v>
      </c>
      <c r="C1199" s="36">
        <f>LN(Inventory[[#This Row],[Acres]])</f>
        <v>-0.77652878949899629</v>
      </c>
      <c r="D1199" s="38">
        <v>0.46</v>
      </c>
      <c r="E1199" s="30">
        <v>20047</v>
      </c>
      <c r="F1199" s="31" t="s">
        <v>505</v>
      </c>
      <c r="G1199" s="31" t="s">
        <v>155</v>
      </c>
      <c r="H1199" s="31" t="s">
        <v>5</v>
      </c>
      <c r="I1199" s="31" t="s">
        <v>506</v>
      </c>
      <c r="J1199" s="31" t="s">
        <v>507</v>
      </c>
      <c r="K1199" s="31" t="s">
        <v>193</v>
      </c>
      <c r="L1199" s="31" t="s">
        <v>15</v>
      </c>
      <c r="M1199" s="31" t="s">
        <v>18</v>
      </c>
      <c r="N1199" s="31">
        <v>50</v>
      </c>
      <c r="O1199" s="31">
        <f>2024-Inventory[[#This Row],[YrBlt]]</f>
        <v>54</v>
      </c>
      <c r="P1199" s="31">
        <f>2024-Inventory[[#This Row],[EffYr]]</f>
        <v>47</v>
      </c>
      <c r="Q1199" s="30">
        <v>1970</v>
      </c>
      <c r="R1199" s="30">
        <v>1977</v>
      </c>
      <c r="S1199" s="30">
        <v>1520</v>
      </c>
      <c r="T1199" s="32"/>
      <c r="U1199" s="32"/>
      <c r="V1199" s="32"/>
      <c r="W1199" s="32"/>
      <c r="X1199" s="32">
        <f>Inventory[[#This Row],[Bsmt Area]]-Inventory[[#This Row],[FnBsmt]]</f>
        <v>0</v>
      </c>
      <c r="Y1199" s="32">
        <f>Inventory[[#This Row],[MainFn]]+Inventory[[#This Row],[UpprFn]]+Inventory[[#This Row],[AddFn]]+Inventory[[#This Row],[FnBsmt]]</f>
        <v>1520</v>
      </c>
      <c r="Z1199" s="32">
        <v>2000</v>
      </c>
      <c r="AA1199" s="31" t="s">
        <v>56</v>
      </c>
      <c r="AB1199" s="32"/>
      <c r="AC1199" s="37"/>
      <c r="AD1199" s="32"/>
      <c r="AE1199" s="32"/>
      <c r="AF1199" s="32"/>
      <c r="AG1199" s="32"/>
      <c r="AH1199" s="32"/>
      <c r="AI1199" s="30">
        <v>225389</v>
      </c>
      <c r="AJ1199" s="30">
        <v>166788</v>
      </c>
      <c r="AK1199" s="30">
        <v>8771</v>
      </c>
      <c r="AL1199" s="30">
        <v>0</v>
      </c>
      <c r="AM1199" s="30">
        <v>75600</v>
      </c>
      <c r="AN1199" s="30">
        <v>213500</v>
      </c>
      <c r="AO1199" s="30">
        <v>289100</v>
      </c>
      <c r="AP1199" s="30">
        <f>Lookups!$B$58*0.6</f>
        <v>132535.48800000001</v>
      </c>
      <c r="AQ1199" s="30">
        <f>Lookups!$B$58*0.4</f>
        <v>88356.992000000013</v>
      </c>
      <c r="AR1199" s="30">
        <f>Lookups!$B$59*Inventory[[#This Row],[LnAcres]]</f>
        <v>-10191.413099126255</v>
      </c>
      <c r="AS1199" s="30">
        <f>VLOOKUP(Inventory[[#This Row],[Qlty]],Lookups!$A$66:$E$79,2,FALSE)</f>
        <v>-1240.8083630000001</v>
      </c>
      <c r="AT1199" s="30">
        <f>VLOOKUP(Inventory[[#This Row],[Cnd]],Lookups!$A$80:$E$88,2,FALSE)</f>
        <v>17761.121909000001</v>
      </c>
      <c r="AU1199" s="30">
        <f>Inventory[[#This Row],[EffAge]]*Lookups!$B$65</f>
        <v>-5110.8316999999997</v>
      </c>
      <c r="AV1199" s="30">
        <f>Inventory[[#This Row],[MainFn]]*Lookups!$B$90</f>
        <v>94863.777600000001</v>
      </c>
      <c r="AW1199" s="30">
        <f>Inventory[[#This Row],[UpprFn]]*Lookups!$B$91</f>
        <v>0</v>
      </c>
      <c r="AX1199" s="30">
        <f>Inventory[[#This Row],[Bsmt Area]]*Lookups!$B$95</f>
        <v>0</v>
      </c>
      <c r="AY1199" s="30">
        <f>Inventory[[#This Row],[AttGar]]*Lookups!$B$93</f>
        <v>0</v>
      </c>
      <c r="AZ1199" s="30">
        <f>ROUND(Inventory[[#This Row],[25Det]],-2)</f>
        <v>8800</v>
      </c>
      <c r="BA1199" s="30">
        <f>ROUND(SUM(Inventory[[#This Row],[Mdl Qlty]:[Mdl Garage Area]])+Inventory[[#This Row],[Mdl Res Intercept]],-2)</f>
        <v>238800</v>
      </c>
      <c r="BB1199" s="30">
        <f>ROUND(Inventory[[#This Row],[Mdl Land Intercept]]+Inventory[[#This Row],[Mdl LnAcres]],-2)</f>
        <v>78200</v>
      </c>
      <c r="BC1199" s="30">
        <f>Inventory[[#This Row],[Unadj Res Value]]+Inventory[[#This Row],[Unadj Det Value]]+Inventory[[#This Row],[Unadj Land Value]]</f>
        <v>325800</v>
      </c>
      <c r="BD1199" s="30">
        <f>(Inventory[[#This Row],[Unadj Total Value]]-Inventory[[#This Row],[24Final]])/Inventory[[#This Row],[24Final]]</f>
        <v>0.12694569353164994</v>
      </c>
      <c r="BE1199" s="30">
        <f>VLOOKUP(Inventory[[#This Row],[Nbhd]],Lookups!$M$3:$P$5,4,FALSE)</f>
        <v>0.99970000000000003</v>
      </c>
      <c r="BF1199" s="30">
        <f>VLOOKUP(Inventory[[#This Row],[Qlty]],Lookups!$M$8:$P$22,4,FALSE)</f>
        <v>1.0022</v>
      </c>
      <c r="BG1199" s="30">
        <f>VLOOKUP(Inventory[[#This Row],[Cnd]],Lookups!$R$8:$U$17,4,FALSE)</f>
        <v>0.99680000000000002</v>
      </c>
      <c r="BH1199" s="30">
        <f>VLOOKUP(Inventory[[#This Row],[LivArea Range]],Lookups!$R$25:$U$43,4,FALSE)</f>
        <v>1.0007999999999999</v>
      </c>
      <c r="BI1199" s="30">
        <f>VLOOKUP(Inventory[[#This Row],[Decade]],Lookups!$M$24:$P$40,4,FALSE)</f>
        <v>0.98519999999999996</v>
      </c>
      <c r="BJ1199" s="30">
        <f>Inventory[[#This Row],[Nbhd Adj]]*0.95</f>
        <v>0.94971499999999998</v>
      </c>
      <c r="BK1199" s="30">
        <f>AVERAGE(Inventory[[#This Row],[Nbhd Adj]],Inventory[[#This Row],[Quality Adj]],Inventory[[#This Row],[Condition Adj]],Inventory[[#This Row],[Living Area Adj]],Inventory[[#This Row],[Decade Adj]])*0.95</f>
        <v>0.94709299999999996</v>
      </c>
      <c r="BL1199" s="30">
        <f>ROUND((SUM(Inventory[[#This Row],[Mdl Qlty]:[Mdl Garage Area]])+Inventory[[#This Row],[Mdl Res Intercept]])*Inventory[[#This Row],[Res Adj ]],-2)</f>
        <v>226200</v>
      </c>
      <c r="BM1199" s="30">
        <f>ROUND(Inventory[[#This Row],[25Det]]*Inventory[[#This Row],[Det/Nbhd Adj]],-2)</f>
        <v>8300</v>
      </c>
      <c r="BN1199" s="30">
        <f>Inventory[[#This Row],[Adjusted Res]]+Inventory[[#This Row],[Adj Det ]]</f>
        <v>234500</v>
      </c>
      <c r="BO1199" s="30">
        <f>ROUND((Inventory[[#This Row],[Mdl Land Intercept]]+Inventory[[#This Row],[Mdl LnAcres]])*Inventory[[#This Row],[Det/Nbhd Adj]],-2)</f>
        <v>74200</v>
      </c>
      <c r="BP1199" s="30">
        <f>Inventory[[#This Row],[Adjusted Impr Total]]+Inventory[[#This Row],[Adjusted Land Total]]</f>
        <v>308700</v>
      </c>
      <c r="BQ1199" s="30">
        <f>IFERROR((Inventory[[#This Row],[Adjusted Impr Total]]-Inventory[[#This Row],[24Bldg]])/Inventory[[#This Row],[24Bldg]],0)</f>
        <v>9.8360655737704916E-2</v>
      </c>
      <c r="BR1199" s="43">
        <f>(Inventory[[#This Row],[Adjusted Land Total]]-Inventory[[#This Row],[24Lnd]])/Inventory[[#This Row],[24Lnd]]</f>
        <v>-1.8518518518518517E-2</v>
      </c>
      <c r="BS1199" s="43">
        <f>(Inventory[[#This Row],[Adjusted Total]]-Inventory[[#This Row],[24Final]])/Inventory[[#This Row],[24Final]]</f>
        <v>6.7796610169491525E-2</v>
      </c>
    </row>
    <row r="1200" spans="1:71">
      <c r="A1200" s="30">
        <v>2025</v>
      </c>
      <c r="B1200" s="31" t="s">
        <v>1717</v>
      </c>
      <c r="C1200" s="36">
        <f>LN(Inventory[[#This Row],[Acres]])</f>
        <v>-0.24846135929849961</v>
      </c>
      <c r="D1200" s="38">
        <v>0.78</v>
      </c>
      <c r="E1200" s="30">
        <v>33997</v>
      </c>
      <c r="F1200" s="31" t="s">
        <v>505</v>
      </c>
      <c r="G1200" s="31" t="s">
        <v>155</v>
      </c>
      <c r="H1200" s="31" t="s">
        <v>5</v>
      </c>
      <c r="I1200" s="31" t="s">
        <v>506</v>
      </c>
      <c r="J1200" s="31" t="s">
        <v>507</v>
      </c>
      <c r="K1200" s="31" t="s">
        <v>193</v>
      </c>
      <c r="L1200" s="31" t="s">
        <v>21</v>
      </c>
      <c r="M1200" s="31" t="s">
        <v>20</v>
      </c>
      <c r="N1200" s="31">
        <v>50</v>
      </c>
      <c r="O1200" s="31">
        <f>2024-Inventory[[#This Row],[YrBlt]]</f>
        <v>54</v>
      </c>
      <c r="P1200" s="31">
        <f>2024-Inventory[[#This Row],[EffYr]]</f>
        <v>47</v>
      </c>
      <c r="Q1200" s="30">
        <v>1970</v>
      </c>
      <c r="R1200" s="30">
        <v>1977</v>
      </c>
      <c r="S1200" s="30">
        <v>2110</v>
      </c>
      <c r="T1200" s="32"/>
      <c r="U1200" s="38">
        <v>1438</v>
      </c>
      <c r="V1200" s="32"/>
      <c r="W1200" s="38">
        <v>1438</v>
      </c>
      <c r="X1200" s="38">
        <f>Inventory[[#This Row],[Bsmt Area]]-Inventory[[#This Row],[FnBsmt]]</f>
        <v>0</v>
      </c>
      <c r="Y1200" s="38">
        <f>Inventory[[#This Row],[MainFn]]+Inventory[[#This Row],[UpprFn]]+Inventory[[#This Row],[AddFn]]+Inventory[[#This Row],[FnBsmt]]</f>
        <v>3548</v>
      </c>
      <c r="Z1200" s="38">
        <v>4000</v>
      </c>
      <c r="AA1200" s="31" t="s">
        <v>55</v>
      </c>
      <c r="AB1200" s="32"/>
      <c r="AC1200" s="37"/>
      <c r="AD1200" s="38">
        <v>640</v>
      </c>
      <c r="AE1200" s="32"/>
      <c r="AF1200" s="32"/>
      <c r="AG1200" s="32"/>
      <c r="AH1200" s="32"/>
      <c r="AI1200" s="30">
        <v>655919</v>
      </c>
      <c r="AJ1200" s="30">
        <v>491939</v>
      </c>
      <c r="AK1200" s="30">
        <v>13661</v>
      </c>
      <c r="AL1200" s="30">
        <v>0</v>
      </c>
      <c r="AM1200" s="30">
        <v>83000</v>
      </c>
      <c r="AN1200" s="30">
        <v>358600</v>
      </c>
      <c r="AO1200" s="30">
        <v>441600</v>
      </c>
      <c r="AP1200" s="30">
        <f>Lookups!$B$58*0.6</f>
        <v>132535.48800000001</v>
      </c>
      <c r="AQ1200" s="30">
        <f>Lookups!$B$58*0.4</f>
        <v>88356.992000000013</v>
      </c>
      <c r="AR1200" s="30">
        <f>Lookups!$B$59*Inventory[[#This Row],[LnAcres]]</f>
        <v>-3260.8866355298437</v>
      </c>
      <c r="AS1200" s="30">
        <f>VLOOKUP(Inventory[[#This Row],[Qlty]],Lookups!$A$66:$E$79,2,FALSE)</f>
        <v>32917.849192000001</v>
      </c>
      <c r="AT1200" s="30">
        <f>VLOOKUP(Inventory[[#This Row],[Cnd]],Lookups!$A$80:$E$88,2,FALSE)</f>
        <v>30300.329274</v>
      </c>
      <c r="AU1200" s="30">
        <f>Inventory[[#This Row],[EffAge]]*Lookups!$B$65</f>
        <v>-5110.8316999999997</v>
      </c>
      <c r="AV1200" s="30">
        <f>Inventory[[#This Row],[MainFn]]*Lookups!$B$90</f>
        <v>131685.90180000002</v>
      </c>
      <c r="AW1200" s="30">
        <f>Inventory[[#This Row],[UpprFn]]*Lookups!$B$91</f>
        <v>0</v>
      </c>
      <c r="AX1200" s="30">
        <f>Inventory[[#This Row],[Bsmt Area]]*Lookups!$B$95</f>
        <v>89999.381247999991</v>
      </c>
      <c r="AY1200" s="30">
        <f>Inventory[[#This Row],[AttGar]]*Lookups!$B$93</f>
        <v>0</v>
      </c>
      <c r="AZ1200" s="30">
        <f>ROUND(Inventory[[#This Row],[25Det]],-2)</f>
        <v>13700</v>
      </c>
      <c r="BA1200" s="30">
        <f>ROUND(SUM(Inventory[[#This Row],[Mdl Qlty]:[Mdl Garage Area]])+Inventory[[#This Row],[Mdl Res Intercept]],-2)</f>
        <v>412300</v>
      </c>
      <c r="BB1200" s="30">
        <f>ROUND(Inventory[[#This Row],[Mdl Land Intercept]]+Inventory[[#This Row],[Mdl LnAcres]],-2)</f>
        <v>85100</v>
      </c>
      <c r="BC1200" s="30">
        <f>Inventory[[#This Row],[Unadj Res Value]]+Inventory[[#This Row],[Unadj Det Value]]+Inventory[[#This Row],[Unadj Land Value]]</f>
        <v>511100</v>
      </c>
      <c r="BD1200" s="30">
        <f>(Inventory[[#This Row],[Unadj Total Value]]-Inventory[[#This Row],[24Final]])/Inventory[[#This Row],[24Final]]</f>
        <v>0.15738224637681159</v>
      </c>
      <c r="BE1200" s="30">
        <f>VLOOKUP(Inventory[[#This Row],[Nbhd]],Lookups!$M$3:$P$5,4,FALSE)</f>
        <v>0.99970000000000003</v>
      </c>
      <c r="BF1200" s="30">
        <f>VLOOKUP(Inventory[[#This Row],[Qlty]],Lookups!$M$8:$P$22,4,FALSE)</f>
        <v>1.0019</v>
      </c>
      <c r="BG1200" s="30">
        <f>VLOOKUP(Inventory[[#This Row],[Cnd]],Lookups!$R$8:$U$17,4,FALSE)</f>
        <v>0.997</v>
      </c>
      <c r="BH1200" s="30">
        <f>VLOOKUP(Inventory[[#This Row],[LivArea Range]],Lookups!$R$25:$U$43,4,FALSE)</f>
        <v>1</v>
      </c>
      <c r="BI1200" s="30">
        <f>VLOOKUP(Inventory[[#This Row],[Decade]],Lookups!$M$24:$P$40,4,FALSE)</f>
        <v>0.98519999999999996</v>
      </c>
      <c r="BJ1200" s="30">
        <f>Inventory[[#This Row],[Nbhd Adj]]*0.95</f>
        <v>0.94971499999999998</v>
      </c>
      <c r="BK1200" s="30">
        <f>AVERAGE(Inventory[[#This Row],[Nbhd Adj]],Inventory[[#This Row],[Quality Adj]],Inventory[[#This Row],[Condition Adj]],Inventory[[#This Row],[Living Area Adj]],Inventory[[#This Row],[Decade Adj]])*0.95</f>
        <v>0.94692199999999982</v>
      </c>
      <c r="BL1200" s="30">
        <f>ROUND((SUM(Inventory[[#This Row],[Mdl Qlty]:[Mdl Garage Area]])+Inventory[[#This Row],[Mdl Res Intercept]])*Inventory[[#This Row],[Res Adj ]],-2)</f>
        <v>390400</v>
      </c>
      <c r="BM1200" s="30">
        <f>ROUND(Inventory[[#This Row],[25Det]]*Inventory[[#This Row],[Det/Nbhd Adj]],-2)</f>
        <v>13000</v>
      </c>
      <c r="BN1200" s="30">
        <f>Inventory[[#This Row],[Adjusted Res]]+Inventory[[#This Row],[Adj Det ]]</f>
        <v>403400</v>
      </c>
      <c r="BO1200" s="30">
        <f>ROUND((Inventory[[#This Row],[Mdl Land Intercept]]+Inventory[[#This Row],[Mdl LnAcres]])*Inventory[[#This Row],[Det/Nbhd Adj]],-2)</f>
        <v>80800</v>
      </c>
      <c r="BP1200" s="30">
        <f>Inventory[[#This Row],[Adjusted Impr Total]]+Inventory[[#This Row],[Adjusted Land Total]]</f>
        <v>484200</v>
      </c>
      <c r="BQ1200" s="30">
        <f>IFERROR((Inventory[[#This Row],[Adjusted Impr Total]]-Inventory[[#This Row],[24Bldg]])/Inventory[[#This Row],[24Bldg]],0)</f>
        <v>0.12493028443948689</v>
      </c>
      <c r="BR1200" s="43">
        <f>(Inventory[[#This Row],[Adjusted Land Total]]-Inventory[[#This Row],[24Lnd]])/Inventory[[#This Row],[24Lnd]]</f>
        <v>-2.6506024096385541E-2</v>
      </c>
      <c r="BS1200" s="43">
        <f>(Inventory[[#This Row],[Adjusted Total]]-Inventory[[#This Row],[24Final]])/Inventory[[#This Row],[24Final]]</f>
        <v>9.6467391304347824E-2</v>
      </c>
    </row>
    <row r="1201" spans="1:71">
      <c r="A1201" s="30">
        <v>2025</v>
      </c>
      <c r="B1201" s="31" t="s">
        <v>1718</v>
      </c>
      <c r="C1201" s="36">
        <f>LN(Inventory[[#This Row],[Acres]])</f>
        <v>-4.0821994520255166E-2</v>
      </c>
      <c r="D1201" s="38">
        <v>0.96</v>
      </c>
      <c r="E1201" s="30">
        <v>41827</v>
      </c>
      <c r="F1201" s="31" t="s">
        <v>505</v>
      </c>
      <c r="G1201" s="31" t="s">
        <v>155</v>
      </c>
      <c r="H1201" s="31" t="s">
        <v>5</v>
      </c>
      <c r="I1201" s="31" t="s">
        <v>506</v>
      </c>
      <c r="J1201" s="31" t="s">
        <v>507</v>
      </c>
      <c r="K1201" s="31" t="s">
        <v>193</v>
      </c>
      <c r="L1201" s="31" t="s">
        <v>17</v>
      </c>
      <c r="M1201" s="31" t="s">
        <v>20</v>
      </c>
      <c r="N1201" s="31">
        <v>50</v>
      </c>
      <c r="O1201" s="31">
        <f>2024-Inventory[[#This Row],[YrBlt]]</f>
        <v>54</v>
      </c>
      <c r="P1201" s="31">
        <f>2024-Inventory[[#This Row],[EffYr]]</f>
        <v>47</v>
      </c>
      <c r="Q1201" s="30">
        <v>1970</v>
      </c>
      <c r="R1201" s="30">
        <v>1977</v>
      </c>
      <c r="S1201" s="30">
        <v>1584</v>
      </c>
      <c r="T1201" s="32"/>
      <c r="U1201" s="32"/>
      <c r="V1201" s="32"/>
      <c r="W1201" s="32"/>
      <c r="X1201" s="32">
        <f>Inventory[[#This Row],[Bsmt Area]]-Inventory[[#This Row],[FnBsmt]]</f>
        <v>0</v>
      </c>
      <c r="Y1201" s="32">
        <f>Inventory[[#This Row],[MainFn]]+Inventory[[#This Row],[UpprFn]]+Inventory[[#This Row],[AddFn]]+Inventory[[#This Row],[FnBsmt]]</f>
        <v>1584</v>
      </c>
      <c r="Z1201" s="32">
        <v>2000</v>
      </c>
      <c r="AA1201" s="31" t="s">
        <v>56</v>
      </c>
      <c r="AB1201" s="32"/>
      <c r="AC1201" s="37"/>
      <c r="AD1201" s="32"/>
      <c r="AE1201" s="32"/>
      <c r="AF1201" s="32"/>
      <c r="AG1201" s="32"/>
      <c r="AH1201" s="32"/>
      <c r="AI1201" s="30">
        <v>281734</v>
      </c>
      <c r="AJ1201" s="30">
        <v>211301</v>
      </c>
      <c r="AK1201" s="30">
        <v>27608</v>
      </c>
      <c r="AL1201" s="30">
        <v>0</v>
      </c>
      <c r="AM1201" s="30">
        <v>85900</v>
      </c>
      <c r="AN1201" s="30">
        <v>256300</v>
      </c>
      <c r="AO1201" s="30">
        <v>342200</v>
      </c>
      <c r="AP1201" s="30">
        <f>Lookups!$B$58*0.6</f>
        <v>132535.48800000001</v>
      </c>
      <c r="AQ1201" s="30">
        <f>Lookups!$B$58*0.4</f>
        <v>88356.992000000013</v>
      </c>
      <c r="AR1201" s="30">
        <f>Lookups!$B$59*Inventory[[#This Row],[LnAcres]]</f>
        <v>-535.76095994406978</v>
      </c>
      <c r="AS1201" s="30">
        <f>VLOOKUP(Inventory[[#This Row],[Qlty]],Lookups!$A$66:$E$79,2,FALSE)</f>
        <v>24371.765965999999</v>
      </c>
      <c r="AT1201" s="30">
        <f>VLOOKUP(Inventory[[#This Row],[Cnd]],Lookups!$A$80:$E$88,2,FALSE)</f>
        <v>30300.329274</v>
      </c>
      <c r="AU1201" s="30">
        <f>Inventory[[#This Row],[EffAge]]*Lookups!$B$65</f>
        <v>-5110.8316999999997</v>
      </c>
      <c r="AV1201" s="30">
        <f>Inventory[[#This Row],[MainFn]]*Lookups!$B$90</f>
        <v>98858.041920000003</v>
      </c>
      <c r="AW1201" s="30">
        <f>Inventory[[#This Row],[UpprFn]]*Lookups!$B$91</f>
        <v>0</v>
      </c>
      <c r="AX1201" s="30">
        <f>Inventory[[#This Row],[Bsmt Area]]*Lookups!$B$95</f>
        <v>0</v>
      </c>
      <c r="AY1201" s="30">
        <f>Inventory[[#This Row],[AttGar]]*Lookups!$B$93</f>
        <v>0</v>
      </c>
      <c r="AZ1201" s="30">
        <f>ROUND(Inventory[[#This Row],[25Det]],-2)</f>
        <v>27600</v>
      </c>
      <c r="BA1201" s="30">
        <f>ROUND(SUM(Inventory[[#This Row],[Mdl Qlty]:[Mdl Garage Area]])+Inventory[[#This Row],[Mdl Res Intercept]],-2)</f>
        <v>281000</v>
      </c>
      <c r="BB1201" s="30">
        <f>ROUND(Inventory[[#This Row],[Mdl Land Intercept]]+Inventory[[#This Row],[Mdl LnAcres]],-2)</f>
        <v>87800</v>
      </c>
      <c r="BC1201" s="30">
        <f>Inventory[[#This Row],[Unadj Res Value]]+Inventory[[#This Row],[Unadj Det Value]]+Inventory[[#This Row],[Unadj Land Value]]</f>
        <v>396400</v>
      </c>
      <c r="BD1201" s="30">
        <f>(Inventory[[#This Row],[Unadj Total Value]]-Inventory[[#This Row],[24Final]])/Inventory[[#This Row],[24Final]]</f>
        <v>0.15838690824079485</v>
      </c>
      <c r="BE1201" s="30">
        <f>VLOOKUP(Inventory[[#This Row],[Nbhd]],Lookups!$M$3:$P$5,4,FALSE)</f>
        <v>0.99970000000000003</v>
      </c>
      <c r="BF1201" s="30">
        <f>VLOOKUP(Inventory[[#This Row],[Qlty]],Lookups!$M$8:$P$22,4,FALSE)</f>
        <v>0.99199999999999999</v>
      </c>
      <c r="BG1201" s="30">
        <f>VLOOKUP(Inventory[[#This Row],[Cnd]],Lookups!$R$8:$U$17,4,FALSE)</f>
        <v>0.997</v>
      </c>
      <c r="BH1201" s="30">
        <f>VLOOKUP(Inventory[[#This Row],[LivArea Range]],Lookups!$R$25:$U$43,4,FALSE)</f>
        <v>1.0007999999999999</v>
      </c>
      <c r="BI1201" s="30">
        <f>VLOOKUP(Inventory[[#This Row],[Decade]],Lookups!$M$24:$P$40,4,FALSE)</f>
        <v>0.98519999999999996</v>
      </c>
      <c r="BJ1201" s="30">
        <f>Inventory[[#This Row],[Nbhd Adj]]*0.95</f>
        <v>0.94971499999999998</v>
      </c>
      <c r="BK1201" s="30">
        <f>AVERAGE(Inventory[[#This Row],[Nbhd Adj]],Inventory[[#This Row],[Quality Adj]],Inventory[[#This Row],[Condition Adj]],Inventory[[#This Row],[Living Area Adj]],Inventory[[#This Row],[Decade Adj]])*0.95</f>
        <v>0.94519299999999995</v>
      </c>
      <c r="BL1201" s="30">
        <f>ROUND((SUM(Inventory[[#This Row],[Mdl Qlty]:[Mdl Garage Area]])+Inventory[[#This Row],[Mdl Res Intercept]])*Inventory[[#This Row],[Res Adj ]],-2)</f>
        <v>265600</v>
      </c>
      <c r="BM1201" s="30">
        <f>ROUND(Inventory[[#This Row],[25Det]]*Inventory[[#This Row],[Det/Nbhd Adj]],-2)</f>
        <v>26200</v>
      </c>
      <c r="BN1201" s="30">
        <f>Inventory[[#This Row],[Adjusted Res]]+Inventory[[#This Row],[Adj Det ]]</f>
        <v>291800</v>
      </c>
      <c r="BO1201" s="30">
        <f>ROUND((Inventory[[#This Row],[Mdl Land Intercept]]+Inventory[[#This Row],[Mdl LnAcres]])*Inventory[[#This Row],[Det/Nbhd Adj]],-2)</f>
        <v>83400</v>
      </c>
      <c r="BP1201" s="30">
        <f>Inventory[[#This Row],[Adjusted Impr Total]]+Inventory[[#This Row],[Adjusted Land Total]]</f>
        <v>375200</v>
      </c>
      <c r="BQ1201" s="30">
        <f>IFERROR((Inventory[[#This Row],[Adjusted Impr Total]]-Inventory[[#This Row],[24Bldg]])/Inventory[[#This Row],[24Bldg]],0)</f>
        <v>0.13850955911041749</v>
      </c>
      <c r="BR1201" s="43">
        <f>(Inventory[[#This Row],[Adjusted Land Total]]-Inventory[[#This Row],[24Lnd]])/Inventory[[#This Row],[24Lnd]]</f>
        <v>-2.9103608847497089E-2</v>
      </c>
      <c r="BS1201" s="43">
        <f>(Inventory[[#This Row],[Adjusted Total]]-Inventory[[#This Row],[24Final]])/Inventory[[#This Row],[24Final]]</f>
        <v>9.6434833430742259E-2</v>
      </c>
    </row>
    <row r="1202" spans="1:71">
      <c r="A1202" s="30">
        <v>2025</v>
      </c>
      <c r="B1202" s="31" t="s">
        <v>1719</v>
      </c>
      <c r="C1202" s="36">
        <f>LN(Inventory[[#This Row],[Acres]])</f>
        <v>0.84156718567821853</v>
      </c>
      <c r="D1202" s="38">
        <v>2.3199999999999998</v>
      </c>
      <c r="E1202" s="37"/>
      <c r="F1202" s="31" t="s">
        <v>505</v>
      </c>
      <c r="G1202" s="31" t="s">
        <v>155</v>
      </c>
      <c r="H1202" s="31" t="s">
        <v>5</v>
      </c>
      <c r="I1202" s="31" t="s">
        <v>506</v>
      </c>
      <c r="J1202" s="31" t="s">
        <v>507</v>
      </c>
      <c r="K1202" s="31" t="s">
        <v>157</v>
      </c>
      <c r="L1202" s="31" t="s">
        <v>17</v>
      </c>
      <c r="M1202" s="31" t="s">
        <v>18</v>
      </c>
      <c r="N1202" s="31">
        <v>50</v>
      </c>
      <c r="O1202" s="31">
        <f>2024-Inventory[[#This Row],[YrBlt]]</f>
        <v>54</v>
      </c>
      <c r="P1202" s="31">
        <f>2024-Inventory[[#This Row],[EffYr]]</f>
        <v>47</v>
      </c>
      <c r="Q1202" s="30">
        <v>1970</v>
      </c>
      <c r="R1202" s="30">
        <v>1977</v>
      </c>
      <c r="S1202" s="30">
        <v>1360</v>
      </c>
      <c r="T1202" s="38">
        <v>1360</v>
      </c>
      <c r="U1202" s="32"/>
      <c r="V1202" s="32"/>
      <c r="W1202" s="32"/>
      <c r="X1202" s="32">
        <f>Inventory[[#This Row],[Bsmt Area]]-Inventory[[#This Row],[FnBsmt]]</f>
        <v>0</v>
      </c>
      <c r="Y1202" s="32">
        <f>Inventory[[#This Row],[MainFn]]+Inventory[[#This Row],[UpprFn]]+Inventory[[#This Row],[AddFn]]+Inventory[[#This Row],[FnBsmt]]</f>
        <v>2720</v>
      </c>
      <c r="Z1202" s="32">
        <v>3000</v>
      </c>
      <c r="AA1202" s="31" t="s">
        <v>56</v>
      </c>
      <c r="AB1202" s="32"/>
      <c r="AC1202" s="37"/>
      <c r="AD1202" s="32"/>
      <c r="AE1202" s="32"/>
      <c r="AF1202" s="32"/>
      <c r="AG1202" s="32"/>
      <c r="AH1202" s="32"/>
      <c r="AI1202" s="30">
        <v>397668</v>
      </c>
      <c r="AJ1202" s="30">
        <v>294274</v>
      </c>
      <c r="AK1202" s="30">
        <v>57563</v>
      </c>
      <c r="AL1202" s="30">
        <v>0</v>
      </c>
      <c r="AM1202" s="30">
        <v>98300</v>
      </c>
      <c r="AN1202" s="30">
        <v>383300</v>
      </c>
      <c r="AO1202" s="30">
        <v>481600</v>
      </c>
      <c r="AP1202" s="30">
        <f>Lookups!$B$58*0.6</f>
        <v>132535.48800000001</v>
      </c>
      <c r="AQ1202" s="30">
        <f>Lookups!$B$58*0.4</f>
        <v>88356.992000000013</v>
      </c>
      <c r="AR1202" s="30">
        <f>Lookups!$B$59*Inventory[[#This Row],[LnAcres]]</f>
        <v>11044.997887907542</v>
      </c>
      <c r="AS1202" s="30">
        <f>VLOOKUP(Inventory[[#This Row],[Qlty]],Lookups!$A$66:$E$79,2,FALSE)</f>
        <v>24371.765965999999</v>
      </c>
      <c r="AT1202" s="30">
        <f>VLOOKUP(Inventory[[#This Row],[Cnd]],Lookups!$A$80:$E$88,2,FALSE)</f>
        <v>17761.121909000001</v>
      </c>
      <c r="AU1202" s="30">
        <f>Inventory[[#This Row],[EffAge]]*Lookups!$B$65</f>
        <v>-5110.8316999999997</v>
      </c>
      <c r="AV1202" s="30">
        <f>Inventory[[#This Row],[MainFn]]*Lookups!$B$90</f>
        <v>84878.116800000003</v>
      </c>
      <c r="AW1202" s="30">
        <f>Inventory[[#This Row],[UpprFn]]*Lookups!$B$91</f>
        <v>81029.320879999999</v>
      </c>
      <c r="AX1202" s="30">
        <f>Inventory[[#This Row],[Bsmt Area]]*Lookups!$B$95</f>
        <v>0</v>
      </c>
      <c r="AY1202" s="30">
        <f>Inventory[[#This Row],[AttGar]]*Lookups!$B$93</f>
        <v>0</v>
      </c>
      <c r="AZ1202" s="30">
        <f>ROUND(Inventory[[#This Row],[25Det]],-2)</f>
        <v>57600</v>
      </c>
      <c r="BA1202" s="30">
        <f>ROUND(SUM(Inventory[[#This Row],[Mdl Qlty]:[Mdl Garage Area]])+Inventory[[#This Row],[Mdl Res Intercept]],-2)</f>
        <v>335500</v>
      </c>
      <c r="BB1202" s="30">
        <f>ROUND(Inventory[[#This Row],[Mdl Land Intercept]]+Inventory[[#This Row],[Mdl LnAcres]],-2)</f>
        <v>99400</v>
      </c>
      <c r="BC1202" s="30">
        <f>Inventory[[#This Row],[Unadj Res Value]]+Inventory[[#This Row],[Unadj Det Value]]+Inventory[[#This Row],[Unadj Land Value]]</f>
        <v>492500</v>
      </c>
      <c r="BD1202" s="30">
        <f>(Inventory[[#This Row],[Unadj Total Value]]-Inventory[[#This Row],[24Final]])/Inventory[[#This Row],[24Final]]</f>
        <v>2.2632890365448504E-2</v>
      </c>
      <c r="BE1202" s="30">
        <f>VLOOKUP(Inventory[[#This Row],[Nbhd]],Lookups!$M$3:$P$5,4,FALSE)</f>
        <v>0.99970000000000003</v>
      </c>
      <c r="BF1202" s="30">
        <f>VLOOKUP(Inventory[[#This Row],[Qlty]],Lookups!$M$8:$P$22,4,FALSE)</f>
        <v>0.99199999999999999</v>
      </c>
      <c r="BG1202" s="30">
        <f>VLOOKUP(Inventory[[#This Row],[Cnd]],Lookups!$R$8:$U$17,4,FALSE)</f>
        <v>0.99680000000000002</v>
      </c>
      <c r="BH1202" s="30">
        <f>VLOOKUP(Inventory[[#This Row],[LivArea Range]],Lookups!$R$25:$U$43,4,FALSE)</f>
        <v>1.0099</v>
      </c>
      <c r="BI1202" s="30">
        <f>VLOOKUP(Inventory[[#This Row],[Decade]],Lookups!$M$24:$P$40,4,FALSE)</f>
        <v>0.98519999999999996</v>
      </c>
      <c r="BJ1202" s="30">
        <f>Inventory[[#This Row],[Nbhd Adj]]*0.95</f>
        <v>0.94971499999999998</v>
      </c>
      <c r="BK1202" s="30">
        <f>AVERAGE(Inventory[[#This Row],[Nbhd Adj]],Inventory[[#This Row],[Quality Adj]],Inventory[[#This Row],[Condition Adj]],Inventory[[#This Row],[Living Area Adj]],Inventory[[#This Row],[Decade Adj]])*0.95</f>
        <v>0.94688400000000006</v>
      </c>
      <c r="BL1202" s="30">
        <f>ROUND((SUM(Inventory[[#This Row],[Mdl Qlty]:[Mdl Garage Area]])+Inventory[[#This Row],[Mdl Res Intercept]])*Inventory[[#This Row],[Res Adj ]],-2)</f>
        <v>317600</v>
      </c>
      <c r="BM1202" s="30">
        <f>ROUND(Inventory[[#This Row],[25Det]]*Inventory[[#This Row],[Det/Nbhd Adj]],-2)</f>
        <v>54700</v>
      </c>
      <c r="BN1202" s="30">
        <f>Inventory[[#This Row],[Adjusted Res]]+Inventory[[#This Row],[Adj Det ]]</f>
        <v>372300</v>
      </c>
      <c r="BO1202" s="30">
        <f>ROUND((Inventory[[#This Row],[Mdl Land Intercept]]+Inventory[[#This Row],[Mdl LnAcres]])*Inventory[[#This Row],[Det/Nbhd Adj]],-2)</f>
        <v>94400</v>
      </c>
      <c r="BP1202" s="30">
        <f>Inventory[[#This Row],[Adjusted Impr Total]]+Inventory[[#This Row],[Adjusted Land Total]]</f>
        <v>466700</v>
      </c>
      <c r="BQ1202" s="30">
        <f>IFERROR((Inventory[[#This Row],[Adjusted Impr Total]]-Inventory[[#This Row],[24Bldg]])/Inventory[[#This Row],[24Bldg]],0)</f>
        <v>-2.8698147665014349E-2</v>
      </c>
      <c r="BR1202" s="43">
        <f>(Inventory[[#This Row],[Adjusted Land Total]]-Inventory[[#This Row],[24Lnd]])/Inventory[[#This Row],[24Lnd]]</f>
        <v>-3.9674465920651068E-2</v>
      </c>
      <c r="BS1202" s="43">
        <f>(Inventory[[#This Row],[Adjusted Total]]-Inventory[[#This Row],[24Final]])/Inventory[[#This Row],[24Final]]</f>
        <v>-3.0938538205980068E-2</v>
      </c>
    </row>
    <row r="1203" spans="1:71">
      <c r="A1203" s="30">
        <v>2025</v>
      </c>
      <c r="B1203" s="31" t="s">
        <v>1720</v>
      </c>
      <c r="C1203" s="36">
        <f>LN(Inventory[[#This Row],[Acres]])</f>
        <v>1.235471471385307</v>
      </c>
      <c r="D1203" s="38">
        <v>3.44</v>
      </c>
      <c r="E1203" s="37"/>
      <c r="F1203" s="31" t="s">
        <v>505</v>
      </c>
      <c r="G1203" s="31" t="s">
        <v>155</v>
      </c>
      <c r="H1203" s="31" t="s">
        <v>5</v>
      </c>
      <c r="I1203" s="31" t="s">
        <v>506</v>
      </c>
      <c r="J1203" s="31" t="s">
        <v>507</v>
      </c>
      <c r="K1203" s="31" t="s">
        <v>193</v>
      </c>
      <c r="L1203" s="31" t="s">
        <v>17</v>
      </c>
      <c r="M1203" s="31" t="s">
        <v>18</v>
      </c>
      <c r="N1203" s="31">
        <v>50</v>
      </c>
      <c r="O1203" s="31">
        <f>2024-Inventory[[#This Row],[YrBlt]]</f>
        <v>55</v>
      </c>
      <c r="P1203" s="31">
        <f>2024-Inventory[[#This Row],[EffYr]]</f>
        <v>47</v>
      </c>
      <c r="Q1203" s="30">
        <v>1969</v>
      </c>
      <c r="R1203" s="30">
        <v>1977</v>
      </c>
      <c r="S1203" s="30">
        <v>2250</v>
      </c>
      <c r="T1203" s="32"/>
      <c r="U1203" s="32"/>
      <c r="V1203" s="32"/>
      <c r="W1203" s="32"/>
      <c r="X1203" s="32">
        <f>Inventory[[#This Row],[Bsmt Area]]-Inventory[[#This Row],[FnBsmt]]</f>
        <v>0</v>
      </c>
      <c r="Y1203" s="32">
        <f>Inventory[[#This Row],[MainFn]]+Inventory[[#This Row],[UpprFn]]+Inventory[[#This Row],[AddFn]]+Inventory[[#This Row],[FnBsmt]]</f>
        <v>2250</v>
      </c>
      <c r="Z1203" s="32">
        <v>2500</v>
      </c>
      <c r="AA1203" s="31" t="s">
        <v>56</v>
      </c>
      <c r="AB1203" s="32"/>
      <c r="AC1203" s="37"/>
      <c r="AD1203" s="32"/>
      <c r="AE1203" s="32"/>
      <c r="AF1203" s="32"/>
      <c r="AG1203" s="32"/>
      <c r="AH1203" s="32"/>
      <c r="AI1203" s="30">
        <v>410671</v>
      </c>
      <c r="AJ1203" s="30">
        <v>303897</v>
      </c>
      <c r="AK1203" s="30">
        <v>61157</v>
      </c>
      <c r="AL1203" s="30">
        <v>0</v>
      </c>
      <c r="AM1203" s="30">
        <v>103800</v>
      </c>
      <c r="AN1203" s="30">
        <v>314000</v>
      </c>
      <c r="AO1203" s="30">
        <v>417800</v>
      </c>
      <c r="AP1203" s="30">
        <f>Lookups!$B$58*0.6</f>
        <v>132535.48800000001</v>
      </c>
      <c r="AQ1203" s="30">
        <f>Lookups!$B$58*0.4</f>
        <v>88356.992000000013</v>
      </c>
      <c r="AR1203" s="30">
        <f>Lookups!$B$59*Inventory[[#This Row],[LnAcres]]</f>
        <v>16214.724176803084</v>
      </c>
      <c r="AS1203" s="30">
        <f>VLOOKUP(Inventory[[#This Row],[Qlty]],Lookups!$A$66:$E$79,2,FALSE)</f>
        <v>24371.765965999999</v>
      </c>
      <c r="AT1203" s="30">
        <f>VLOOKUP(Inventory[[#This Row],[Cnd]],Lookups!$A$80:$E$88,2,FALSE)</f>
        <v>17761.121909000001</v>
      </c>
      <c r="AU1203" s="30">
        <f>Inventory[[#This Row],[EffAge]]*Lookups!$B$65</f>
        <v>-5110.8316999999997</v>
      </c>
      <c r="AV1203" s="30">
        <f>Inventory[[#This Row],[MainFn]]*Lookups!$B$90</f>
        <v>140423.35500000001</v>
      </c>
      <c r="AW1203" s="30">
        <f>Inventory[[#This Row],[UpprFn]]*Lookups!$B$91</f>
        <v>0</v>
      </c>
      <c r="AX1203" s="30">
        <f>Inventory[[#This Row],[Bsmt Area]]*Lookups!$B$95</f>
        <v>0</v>
      </c>
      <c r="AY1203" s="30">
        <f>Inventory[[#This Row],[AttGar]]*Lookups!$B$93</f>
        <v>0</v>
      </c>
      <c r="AZ1203" s="30">
        <f>ROUND(Inventory[[#This Row],[25Det]],-2)</f>
        <v>61200</v>
      </c>
      <c r="BA1203" s="30">
        <f>ROUND(SUM(Inventory[[#This Row],[Mdl Qlty]:[Mdl Garage Area]])+Inventory[[#This Row],[Mdl Res Intercept]],-2)</f>
        <v>310000</v>
      </c>
      <c r="BB1203" s="30">
        <f>ROUND(Inventory[[#This Row],[Mdl Land Intercept]]+Inventory[[#This Row],[Mdl LnAcres]],-2)</f>
        <v>104600</v>
      </c>
      <c r="BC1203" s="30">
        <f>Inventory[[#This Row],[Unadj Res Value]]+Inventory[[#This Row],[Unadj Det Value]]+Inventory[[#This Row],[Unadj Land Value]]</f>
        <v>475800</v>
      </c>
      <c r="BD1203" s="30">
        <f>(Inventory[[#This Row],[Unadj Total Value]]-Inventory[[#This Row],[24Final]])/Inventory[[#This Row],[24Final]]</f>
        <v>0.13882240306366683</v>
      </c>
      <c r="BE1203" s="30">
        <f>VLOOKUP(Inventory[[#This Row],[Nbhd]],Lookups!$M$3:$P$5,4,FALSE)</f>
        <v>0.99970000000000003</v>
      </c>
      <c r="BF1203" s="30">
        <f>VLOOKUP(Inventory[[#This Row],[Qlty]],Lookups!$M$8:$P$22,4,FALSE)</f>
        <v>0.99199999999999999</v>
      </c>
      <c r="BG1203" s="30">
        <f>VLOOKUP(Inventory[[#This Row],[Cnd]],Lookups!$R$8:$U$17,4,FALSE)</f>
        <v>0.99680000000000002</v>
      </c>
      <c r="BH1203" s="30">
        <f>VLOOKUP(Inventory[[#This Row],[LivArea Range]],Lookups!$R$25:$U$43,4,FALSE)</f>
        <v>1.0008999999999999</v>
      </c>
      <c r="BI1203" s="30">
        <f>VLOOKUP(Inventory[[#This Row],[Decade]],Lookups!$M$24:$P$40,4,FALSE)</f>
        <v>0.98519999999999996</v>
      </c>
      <c r="BJ1203" s="30">
        <f>Inventory[[#This Row],[Nbhd Adj]]*0.95</f>
        <v>0.94971499999999998</v>
      </c>
      <c r="BK1203" s="30">
        <f>AVERAGE(Inventory[[#This Row],[Nbhd Adj]],Inventory[[#This Row],[Quality Adj]],Inventory[[#This Row],[Condition Adj]],Inventory[[#This Row],[Living Area Adj]],Inventory[[#This Row],[Decade Adj]])*0.95</f>
        <v>0.94517399999999985</v>
      </c>
      <c r="BL1203" s="30">
        <f>ROUND((SUM(Inventory[[#This Row],[Mdl Qlty]:[Mdl Garage Area]])+Inventory[[#This Row],[Mdl Res Intercept]])*Inventory[[#This Row],[Res Adj ]],-2)</f>
        <v>293000</v>
      </c>
      <c r="BM1203" s="30">
        <f>ROUND(Inventory[[#This Row],[25Det]]*Inventory[[#This Row],[Det/Nbhd Adj]],-2)</f>
        <v>58100</v>
      </c>
      <c r="BN1203" s="30">
        <f>Inventory[[#This Row],[Adjusted Res]]+Inventory[[#This Row],[Adj Det ]]</f>
        <v>351100</v>
      </c>
      <c r="BO1203" s="30">
        <f>ROUND((Inventory[[#This Row],[Mdl Land Intercept]]+Inventory[[#This Row],[Mdl LnAcres]])*Inventory[[#This Row],[Det/Nbhd Adj]],-2)</f>
        <v>99300</v>
      </c>
      <c r="BP1203" s="30">
        <f>Inventory[[#This Row],[Adjusted Impr Total]]+Inventory[[#This Row],[Adjusted Land Total]]</f>
        <v>450400</v>
      </c>
      <c r="BQ1203" s="30">
        <f>IFERROR((Inventory[[#This Row],[Adjusted Impr Total]]-Inventory[[#This Row],[24Bldg]])/Inventory[[#This Row],[24Bldg]],0)</f>
        <v>0.11815286624203822</v>
      </c>
      <c r="BR1203" s="43">
        <f>(Inventory[[#This Row],[Adjusted Land Total]]-Inventory[[#This Row],[24Lnd]])/Inventory[[#This Row],[24Lnd]]</f>
        <v>-4.3352601156069363E-2</v>
      </c>
      <c r="BS1203" s="43">
        <f>(Inventory[[#This Row],[Adjusted Total]]-Inventory[[#This Row],[24Final]])/Inventory[[#This Row],[24Final]]</f>
        <v>7.802776448061273E-2</v>
      </c>
    </row>
    <row r="1204" spans="1:71">
      <c r="A1204" s="30">
        <v>2025</v>
      </c>
      <c r="B1204" s="31" t="s">
        <v>1721</v>
      </c>
      <c r="C1204" s="36">
        <f>LN(Inventory[[#This Row],[Acres]])</f>
        <v>-1.5141277326297755</v>
      </c>
      <c r="D1204" s="38">
        <v>0.22</v>
      </c>
      <c r="E1204" s="30">
        <v>9737</v>
      </c>
      <c r="F1204" s="31" t="s">
        <v>505</v>
      </c>
      <c r="G1204" s="31" t="s">
        <v>155</v>
      </c>
      <c r="H1204" s="31" t="s">
        <v>5</v>
      </c>
      <c r="I1204" s="31" t="s">
        <v>506</v>
      </c>
      <c r="J1204" s="31" t="s">
        <v>507</v>
      </c>
      <c r="K1204" s="31" t="s">
        <v>193</v>
      </c>
      <c r="L1204" s="31" t="s">
        <v>17</v>
      </c>
      <c r="M1204" s="31" t="s">
        <v>20</v>
      </c>
      <c r="N1204" s="31">
        <v>50</v>
      </c>
      <c r="O1204" s="31">
        <f>2024-Inventory[[#This Row],[YrBlt]]</f>
        <v>56</v>
      </c>
      <c r="P1204" s="31">
        <f>2024-Inventory[[#This Row],[EffYr]]</f>
        <v>47</v>
      </c>
      <c r="Q1204" s="30">
        <v>1968</v>
      </c>
      <c r="R1204" s="30">
        <v>1977</v>
      </c>
      <c r="S1204" s="30">
        <v>1399</v>
      </c>
      <c r="T1204" s="32"/>
      <c r="U1204" s="32"/>
      <c r="V1204" s="32"/>
      <c r="W1204" s="32"/>
      <c r="X1204" s="32">
        <f>Inventory[[#This Row],[Bsmt Area]]-Inventory[[#This Row],[FnBsmt]]</f>
        <v>0</v>
      </c>
      <c r="Y1204" s="32">
        <f>Inventory[[#This Row],[MainFn]]+Inventory[[#This Row],[UpprFn]]+Inventory[[#This Row],[AddFn]]+Inventory[[#This Row],[FnBsmt]]</f>
        <v>1399</v>
      </c>
      <c r="Z1204" s="32">
        <v>1500</v>
      </c>
      <c r="AA1204" s="31" t="s">
        <v>56</v>
      </c>
      <c r="AB1204" s="32"/>
      <c r="AC1204" s="30">
        <v>230</v>
      </c>
      <c r="AD1204" s="32"/>
      <c r="AE1204" s="32"/>
      <c r="AF1204" s="32"/>
      <c r="AG1204" s="32"/>
      <c r="AH1204" s="32"/>
      <c r="AI1204" s="30">
        <v>247111</v>
      </c>
      <c r="AJ1204" s="30">
        <v>185333</v>
      </c>
      <c r="AK1204" s="30">
        <v>33871</v>
      </c>
      <c r="AL1204" s="30">
        <v>0</v>
      </c>
      <c r="AM1204" s="30">
        <v>65300</v>
      </c>
      <c r="AN1204" s="30">
        <v>266800</v>
      </c>
      <c r="AO1204" s="30">
        <v>332100</v>
      </c>
      <c r="AP1204" s="30">
        <f>Lookups!$B$58*0.6</f>
        <v>132535.48800000001</v>
      </c>
      <c r="AQ1204" s="30">
        <f>Lookups!$B$58*0.4</f>
        <v>88356.992000000013</v>
      </c>
      <c r="AR1204" s="30">
        <f>Lookups!$B$59*Inventory[[#This Row],[LnAcres]]</f>
        <v>-19871.898398035348</v>
      </c>
      <c r="AS1204" s="30">
        <f>VLOOKUP(Inventory[[#This Row],[Qlty]],Lookups!$A$66:$E$79,2,FALSE)</f>
        <v>24371.765965999999</v>
      </c>
      <c r="AT1204" s="30">
        <f>VLOOKUP(Inventory[[#This Row],[Cnd]],Lookups!$A$80:$E$88,2,FALSE)</f>
        <v>30300.329274</v>
      </c>
      <c r="AU1204" s="30">
        <f>Inventory[[#This Row],[EffAge]]*Lookups!$B$65</f>
        <v>-5110.8316999999997</v>
      </c>
      <c r="AV1204" s="30">
        <f>Inventory[[#This Row],[MainFn]]*Lookups!$B$90</f>
        <v>87312.121620000005</v>
      </c>
      <c r="AW1204" s="30">
        <f>Inventory[[#This Row],[UpprFn]]*Lookups!$B$91</f>
        <v>0</v>
      </c>
      <c r="AX1204" s="30">
        <f>Inventory[[#This Row],[Bsmt Area]]*Lookups!$B$95</f>
        <v>0</v>
      </c>
      <c r="AY1204" s="30">
        <f>Inventory[[#This Row],[AttGar]]*Lookups!$B$93</f>
        <v>8119.2371300000004</v>
      </c>
      <c r="AZ1204" s="30">
        <f>ROUND(Inventory[[#This Row],[25Det]],-2)</f>
        <v>33900</v>
      </c>
      <c r="BA1204" s="30">
        <f>ROUND(SUM(Inventory[[#This Row],[Mdl Qlty]:[Mdl Garage Area]])+Inventory[[#This Row],[Mdl Res Intercept]],-2)</f>
        <v>277500</v>
      </c>
      <c r="BB1204" s="30">
        <f>ROUND(Inventory[[#This Row],[Mdl Land Intercept]]+Inventory[[#This Row],[Mdl LnAcres]],-2)</f>
        <v>68500</v>
      </c>
      <c r="BC1204" s="30">
        <f>Inventory[[#This Row],[Unadj Res Value]]+Inventory[[#This Row],[Unadj Det Value]]+Inventory[[#This Row],[Unadj Land Value]]</f>
        <v>379900</v>
      </c>
      <c r="BD1204" s="30">
        <f>(Inventory[[#This Row],[Unadj Total Value]]-Inventory[[#This Row],[24Final]])/Inventory[[#This Row],[24Final]]</f>
        <v>0.14393255043661549</v>
      </c>
      <c r="BE1204" s="30">
        <f>VLOOKUP(Inventory[[#This Row],[Nbhd]],Lookups!$M$3:$P$5,4,FALSE)</f>
        <v>0.99970000000000003</v>
      </c>
      <c r="BF1204" s="30">
        <f>VLOOKUP(Inventory[[#This Row],[Qlty]],Lookups!$M$8:$P$22,4,FALSE)</f>
        <v>0.99199999999999999</v>
      </c>
      <c r="BG1204" s="30">
        <f>VLOOKUP(Inventory[[#This Row],[Cnd]],Lookups!$R$8:$U$17,4,FALSE)</f>
        <v>0.997</v>
      </c>
      <c r="BH1204" s="30">
        <f>VLOOKUP(Inventory[[#This Row],[LivArea Range]],Lookups!$R$25:$U$43,4,FALSE)</f>
        <v>0.99519999999999997</v>
      </c>
      <c r="BI1204" s="30">
        <f>VLOOKUP(Inventory[[#This Row],[Decade]],Lookups!$M$24:$P$40,4,FALSE)</f>
        <v>0.98519999999999996</v>
      </c>
      <c r="BJ1204" s="30">
        <f>Inventory[[#This Row],[Nbhd Adj]]*0.95</f>
        <v>0.94971499999999998</v>
      </c>
      <c r="BK1204" s="30">
        <f>AVERAGE(Inventory[[#This Row],[Nbhd Adj]],Inventory[[#This Row],[Quality Adj]],Inventory[[#This Row],[Condition Adj]],Inventory[[#This Row],[Living Area Adj]],Inventory[[#This Row],[Decade Adj]])*0.95</f>
        <v>0.944129</v>
      </c>
      <c r="BL1204" s="30">
        <f>ROUND((SUM(Inventory[[#This Row],[Mdl Qlty]:[Mdl Garage Area]])+Inventory[[#This Row],[Mdl Res Intercept]])*Inventory[[#This Row],[Res Adj ]],-2)</f>
        <v>262000</v>
      </c>
      <c r="BM1204" s="30">
        <f>ROUND(Inventory[[#This Row],[25Det]]*Inventory[[#This Row],[Det/Nbhd Adj]],-2)</f>
        <v>32200</v>
      </c>
      <c r="BN1204" s="30">
        <f>Inventory[[#This Row],[Adjusted Res]]+Inventory[[#This Row],[Adj Det ]]</f>
        <v>294200</v>
      </c>
      <c r="BO1204" s="30">
        <f>ROUND((Inventory[[#This Row],[Mdl Land Intercept]]+Inventory[[#This Row],[Mdl LnAcres]])*Inventory[[#This Row],[Det/Nbhd Adj]],-2)</f>
        <v>65000</v>
      </c>
      <c r="BP1204" s="30">
        <f>Inventory[[#This Row],[Adjusted Impr Total]]+Inventory[[#This Row],[Adjusted Land Total]]</f>
        <v>359200</v>
      </c>
      <c r="BQ1204" s="30">
        <f>IFERROR((Inventory[[#This Row],[Adjusted Impr Total]]-Inventory[[#This Row],[24Bldg]])/Inventory[[#This Row],[24Bldg]],0)</f>
        <v>0.10269865067466268</v>
      </c>
      <c r="BR1204" s="43">
        <f>(Inventory[[#This Row],[Adjusted Land Total]]-Inventory[[#This Row],[24Lnd]])/Inventory[[#This Row],[24Lnd]]</f>
        <v>-4.5941807044410417E-3</v>
      </c>
      <c r="BS1204" s="43">
        <f>(Inventory[[#This Row],[Adjusted Total]]-Inventory[[#This Row],[24Final]])/Inventory[[#This Row],[24Final]]</f>
        <v>8.1601927130382418E-2</v>
      </c>
    </row>
    <row r="1205" spans="1:71">
      <c r="A1205" s="30">
        <v>2025</v>
      </c>
      <c r="B1205" s="31" t="s">
        <v>1722</v>
      </c>
      <c r="C1205" s="36">
        <f>LN(Inventory[[#This Row],[Acres]])</f>
        <v>-1.4271163556401458</v>
      </c>
      <c r="D1205" s="38">
        <v>0.24</v>
      </c>
      <c r="E1205" s="30">
        <v>10657</v>
      </c>
      <c r="F1205" s="31" t="s">
        <v>505</v>
      </c>
      <c r="G1205" s="31" t="s">
        <v>155</v>
      </c>
      <c r="H1205" s="31" t="s">
        <v>5</v>
      </c>
      <c r="I1205" s="31" t="s">
        <v>506</v>
      </c>
      <c r="J1205" s="31" t="s">
        <v>507</v>
      </c>
      <c r="K1205" s="31" t="s">
        <v>193</v>
      </c>
      <c r="L1205" s="31" t="s">
        <v>19</v>
      </c>
      <c r="M1205" s="31" t="s">
        <v>18</v>
      </c>
      <c r="N1205" s="31">
        <v>50</v>
      </c>
      <c r="O1205" s="31">
        <f>2024-Inventory[[#This Row],[YrBlt]]</f>
        <v>56</v>
      </c>
      <c r="P1205" s="31">
        <f>2024-Inventory[[#This Row],[EffYr]]</f>
        <v>47</v>
      </c>
      <c r="Q1205" s="30">
        <v>1968</v>
      </c>
      <c r="R1205" s="30">
        <v>1977</v>
      </c>
      <c r="S1205" s="30">
        <v>1512</v>
      </c>
      <c r="T1205" s="32"/>
      <c r="U1205" s="32"/>
      <c r="V1205" s="32"/>
      <c r="W1205" s="32"/>
      <c r="X1205" s="32">
        <f>Inventory[[#This Row],[Bsmt Area]]-Inventory[[#This Row],[FnBsmt]]</f>
        <v>0</v>
      </c>
      <c r="Y1205" s="32">
        <f>Inventory[[#This Row],[MainFn]]+Inventory[[#This Row],[UpprFn]]+Inventory[[#This Row],[AddFn]]+Inventory[[#This Row],[FnBsmt]]</f>
        <v>1512</v>
      </c>
      <c r="Z1205" s="32">
        <v>2000</v>
      </c>
      <c r="AA1205" s="31" t="s">
        <v>56</v>
      </c>
      <c r="AB1205" s="32"/>
      <c r="AC1205" s="37"/>
      <c r="AD1205" s="32"/>
      <c r="AE1205" s="32"/>
      <c r="AF1205" s="32"/>
      <c r="AG1205" s="32"/>
      <c r="AH1205" s="32"/>
      <c r="AI1205" s="30">
        <v>286746</v>
      </c>
      <c r="AJ1205" s="30">
        <v>212192</v>
      </c>
      <c r="AK1205" s="30">
        <v>0</v>
      </c>
      <c r="AL1205" s="30">
        <v>0</v>
      </c>
      <c r="AM1205" s="30">
        <v>66500</v>
      </c>
      <c r="AN1205" s="30">
        <v>245900</v>
      </c>
      <c r="AO1205" s="30">
        <v>312400</v>
      </c>
      <c r="AP1205" s="30">
        <f>Lookups!$B$58*0.6</f>
        <v>132535.48800000001</v>
      </c>
      <c r="AQ1205" s="30">
        <f>Lookups!$B$58*0.4</f>
        <v>88356.992000000013</v>
      </c>
      <c r="AR1205" s="30">
        <f>Lookups!$B$59*Inventory[[#This Row],[LnAcres]]</f>
        <v>-18729.933155771436</v>
      </c>
      <c r="AS1205" s="30">
        <f>VLOOKUP(Inventory[[#This Row],[Qlty]],Lookups!$A$66:$E$79,2,FALSE)</f>
        <v>37154.252388000001</v>
      </c>
      <c r="AT1205" s="30">
        <f>VLOOKUP(Inventory[[#This Row],[Cnd]],Lookups!$A$80:$E$88,2,FALSE)</f>
        <v>17761.121909000001</v>
      </c>
      <c r="AU1205" s="30">
        <f>Inventory[[#This Row],[EffAge]]*Lookups!$B$65</f>
        <v>-5110.8316999999997</v>
      </c>
      <c r="AV1205" s="30">
        <f>Inventory[[#This Row],[MainFn]]*Lookups!$B$90</f>
        <v>94364.494560000006</v>
      </c>
      <c r="AW1205" s="30">
        <f>Inventory[[#This Row],[UpprFn]]*Lookups!$B$91</f>
        <v>0</v>
      </c>
      <c r="AX1205" s="30">
        <f>Inventory[[#This Row],[Bsmt Area]]*Lookups!$B$95</f>
        <v>0</v>
      </c>
      <c r="AY1205" s="30">
        <f>Inventory[[#This Row],[AttGar]]*Lookups!$B$93</f>
        <v>0</v>
      </c>
      <c r="AZ1205" s="30">
        <f>ROUND(Inventory[[#This Row],[25Det]],-2)</f>
        <v>0</v>
      </c>
      <c r="BA1205" s="30">
        <f>ROUND(SUM(Inventory[[#This Row],[Mdl Qlty]:[Mdl Garage Area]])+Inventory[[#This Row],[Mdl Res Intercept]],-2)</f>
        <v>276700</v>
      </c>
      <c r="BB1205" s="30">
        <f>ROUND(Inventory[[#This Row],[Mdl Land Intercept]]+Inventory[[#This Row],[Mdl LnAcres]],-2)</f>
        <v>69600</v>
      </c>
      <c r="BC1205" s="30">
        <f>Inventory[[#This Row],[Unadj Res Value]]+Inventory[[#This Row],[Unadj Det Value]]+Inventory[[#This Row],[Unadj Land Value]]</f>
        <v>346300</v>
      </c>
      <c r="BD1205" s="30">
        <f>(Inventory[[#This Row],[Unadj Total Value]]-Inventory[[#This Row],[24Final]])/Inventory[[#This Row],[24Final]]</f>
        <v>0.10851472471190782</v>
      </c>
      <c r="BE1205" s="30">
        <f>VLOOKUP(Inventory[[#This Row],[Nbhd]],Lookups!$M$3:$P$5,4,FALSE)</f>
        <v>0.99970000000000003</v>
      </c>
      <c r="BF1205" s="30">
        <f>VLOOKUP(Inventory[[#This Row],[Qlty]],Lookups!$M$8:$P$22,4,FALSE)</f>
        <v>0.99819999999999998</v>
      </c>
      <c r="BG1205" s="30">
        <f>VLOOKUP(Inventory[[#This Row],[Cnd]],Lookups!$R$8:$U$17,4,FALSE)</f>
        <v>0.99680000000000002</v>
      </c>
      <c r="BH1205" s="30">
        <f>VLOOKUP(Inventory[[#This Row],[LivArea Range]],Lookups!$R$25:$U$43,4,FALSE)</f>
        <v>1.0007999999999999</v>
      </c>
      <c r="BI1205" s="30">
        <f>VLOOKUP(Inventory[[#This Row],[Decade]],Lookups!$M$24:$P$40,4,FALSE)</f>
        <v>0.98519999999999996</v>
      </c>
      <c r="BJ1205" s="30">
        <f>Inventory[[#This Row],[Nbhd Adj]]*0.95</f>
        <v>0.94971499999999998</v>
      </c>
      <c r="BK1205" s="30">
        <f>AVERAGE(Inventory[[#This Row],[Nbhd Adj]],Inventory[[#This Row],[Quality Adj]],Inventory[[#This Row],[Condition Adj]],Inventory[[#This Row],[Living Area Adj]],Inventory[[#This Row],[Decade Adj]])*0.95</f>
        <v>0.94633299999999987</v>
      </c>
      <c r="BL1205" s="30">
        <f>ROUND((SUM(Inventory[[#This Row],[Mdl Qlty]:[Mdl Garage Area]])+Inventory[[#This Row],[Mdl Res Intercept]])*Inventory[[#This Row],[Res Adj ]],-2)</f>
        <v>261900</v>
      </c>
      <c r="BM1205" s="30">
        <f>ROUND(Inventory[[#This Row],[25Det]]*Inventory[[#This Row],[Det/Nbhd Adj]],-2)</f>
        <v>0</v>
      </c>
      <c r="BN1205" s="30">
        <f>Inventory[[#This Row],[Adjusted Res]]+Inventory[[#This Row],[Adj Det ]]</f>
        <v>261900</v>
      </c>
      <c r="BO1205" s="30">
        <f>ROUND((Inventory[[#This Row],[Mdl Land Intercept]]+Inventory[[#This Row],[Mdl LnAcres]])*Inventory[[#This Row],[Det/Nbhd Adj]],-2)</f>
        <v>66100</v>
      </c>
      <c r="BP1205" s="30">
        <f>Inventory[[#This Row],[Adjusted Impr Total]]+Inventory[[#This Row],[Adjusted Land Total]]</f>
        <v>328000</v>
      </c>
      <c r="BQ1205" s="30">
        <f>IFERROR((Inventory[[#This Row],[Adjusted Impr Total]]-Inventory[[#This Row],[24Bldg]])/Inventory[[#This Row],[24Bldg]],0)</f>
        <v>6.506710044733631E-2</v>
      </c>
      <c r="BR1205" s="43">
        <f>(Inventory[[#This Row],[Adjusted Land Total]]-Inventory[[#This Row],[24Lnd]])/Inventory[[#This Row],[24Lnd]]</f>
        <v>-6.0150375939849628E-3</v>
      </c>
      <c r="BS1205" s="43">
        <f>(Inventory[[#This Row],[Adjusted Total]]-Inventory[[#This Row],[24Final]])/Inventory[[#This Row],[24Final]]</f>
        <v>4.9935979513444299E-2</v>
      </c>
    </row>
    <row r="1206" spans="1:71">
      <c r="A1206" s="30">
        <v>2025</v>
      </c>
      <c r="B1206" s="31" t="s">
        <v>1723</v>
      </c>
      <c r="C1206" s="36">
        <f>LN(Inventory[[#This Row],[Acres]])</f>
        <v>0</v>
      </c>
      <c r="D1206" s="38">
        <v>1</v>
      </c>
      <c r="E1206" s="30">
        <v>43514</v>
      </c>
      <c r="F1206" s="31" t="s">
        <v>505</v>
      </c>
      <c r="G1206" s="31" t="s">
        <v>155</v>
      </c>
      <c r="H1206" s="31" t="s">
        <v>5</v>
      </c>
      <c r="I1206" s="31" t="s">
        <v>506</v>
      </c>
      <c r="J1206" s="31" t="s">
        <v>507</v>
      </c>
      <c r="K1206" s="31" t="s">
        <v>193</v>
      </c>
      <c r="L1206" s="31" t="s">
        <v>17</v>
      </c>
      <c r="M1206" s="31" t="s">
        <v>20</v>
      </c>
      <c r="N1206" s="31">
        <v>50</v>
      </c>
      <c r="O1206" s="31">
        <f>2024-Inventory[[#This Row],[YrBlt]]</f>
        <v>56</v>
      </c>
      <c r="P1206" s="31">
        <f>2024-Inventory[[#This Row],[EffYr]]</f>
        <v>47</v>
      </c>
      <c r="Q1206" s="30">
        <v>1968</v>
      </c>
      <c r="R1206" s="30">
        <v>1977</v>
      </c>
      <c r="S1206" s="30">
        <v>1472</v>
      </c>
      <c r="T1206" s="37"/>
      <c r="U1206" s="32"/>
      <c r="V1206" s="32"/>
      <c r="W1206" s="32"/>
      <c r="X1206" s="32">
        <f>Inventory[[#This Row],[Bsmt Area]]-Inventory[[#This Row],[FnBsmt]]</f>
        <v>0</v>
      </c>
      <c r="Y1206" s="32">
        <f>Inventory[[#This Row],[MainFn]]+Inventory[[#This Row],[UpprFn]]+Inventory[[#This Row],[AddFn]]+Inventory[[#This Row],[FnBsmt]]</f>
        <v>1472</v>
      </c>
      <c r="Z1206" s="32">
        <v>1500</v>
      </c>
      <c r="AA1206" s="31" t="s">
        <v>55</v>
      </c>
      <c r="AB1206" s="32"/>
      <c r="AC1206" s="38">
        <v>484</v>
      </c>
      <c r="AD1206" s="37"/>
      <c r="AE1206" s="32"/>
      <c r="AF1206" s="32"/>
      <c r="AG1206" s="32"/>
      <c r="AH1206" s="32"/>
      <c r="AI1206" s="30">
        <v>249953</v>
      </c>
      <c r="AJ1206" s="30">
        <v>187465</v>
      </c>
      <c r="AK1206" s="30">
        <v>0</v>
      </c>
      <c r="AL1206" s="30">
        <v>0</v>
      </c>
      <c r="AM1206" s="30">
        <v>86500</v>
      </c>
      <c r="AN1206" s="30">
        <v>247900</v>
      </c>
      <c r="AO1206" s="30">
        <v>334400</v>
      </c>
      <c r="AP1206" s="30">
        <f>Lookups!$B$58*0.6</f>
        <v>132535.48800000001</v>
      </c>
      <c r="AQ1206" s="30">
        <f>Lookups!$B$58*0.4</f>
        <v>88356.992000000013</v>
      </c>
      <c r="AR1206" s="30">
        <f>Lookups!$B$59*Inventory[[#This Row],[LnAcres]]</f>
        <v>0</v>
      </c>
      <c r="AS1206" s="30">
        <f>VLOOKUP(Inventory[[#This Row],[Qlty]],Lookups!$A$66:$E$79,2,FALSE)</f>
        <v>24371.765965999999</v>
      </c>
      <c r="AT1206" s="30">
        <f>VLOOKUP(Inventory[[#This Row],[Cnd]],Lookups!$A$80:$E$88,2,FALSE)</f>
        <v>30300.329274</v>
      </c>
      <c r="AU1206" s="30">
        <f>Inventory[[#This Row],[EffAge]]*Lookups!$B$65</f>
        <v>-5110.8316999999997</v>
      </c>
      <c r="AV1206" s="30">
        <f>Inventory[[#This Row],[MainFn]]*Lookups!$B$90</f>
        <v>91868.079360000003</v>
      </c>
      <c r="AW1206" s="30">
        <f>Inventory[[#This Row],[UpprFn]]*Lookups!$B$91</f>
        <v>0</v>
      </c>
      <c r="AX1206" s="30">
        <f>Inventory[[#This Row],[Bsmt Area]]*Lookups!$B$95</f>
        <v>0</v>
      </c>
      <c r="AY1206" s="30">
        <f>Inventory[[#This Row],[AttGar]]*Lookups!$B$93</f>
        <v>17085.699004000002</v>
      </c>
      <c r="AZ1206" s="30">
        <f>ROUND(Inventory[[#This Row],[25Det]],-2)</f>
        <v>0</v>
      </c>
      <c r="BA1206" s="30">
        <f>ROUND(SUM(Inventory[[#This Row],[Mdl Qlty]:[Mdl Garage Area]])+Inventory[[#This Row],[Mdl Res Intercept]],-2)</f>
        <v>291100</v>
      </c>
      <c r="BB1206" s="30">
        <f>ROUND(Inventory[[#This Row],[Mdl Land Intercept]]+Inventory[[#This Row],[Mdl LnAcres]],-2)</f>
        <v>88400</v>
      </c>
      <c r="BC1206" s="30">
        <f>Inventory[[#This Row],[Unadj Res Value]]+Inventory[[#This Row],[Unadj Det Value]]+Inventory[[#This Row],[Unadj Land Value]]</f>
        <v>379500</v>
      </c>
      <c r="BD1206" s="30">
        <f>(Inventory[[#This Row],[Unadj Total Value]]-Inventory[[#This Row],[24Final]])/Inventory[[#This Row],[24Final]]</f>
        <v>0.13486842105263158</v>
      </c>
      <c r="BE1206" s="30">
        <f>VLOOKUP(Inventory[[#This Row],[Nbhd]],Lookups!$M$3:$P$5,4,FALSE)</f>
        <v>0.99970000000000003</v>
      </c>
      <c r="BF1206" s="30">
        <f>VLOOKUP(Inventory[[#This Row],[Qlty]],Lookups!$M$8:$P$22,4,FALSE)</f>
        <v>0.99199999999999999</v>
      </c>
      <c r="BG1206" s="30">
        <f>VLOOKUP(Inventory[[#This Row],[Cnd]],Lookups!$R$8:$U$17,4,FALSE)</f>
        <v>0.997</v>
      </c>
      <c r="BH1206" s="30">
        <f>VLOOKUP(Inventory[[#This Row],[LivArea Range]],Lookups!$R$25:$U$43,4,FALSE)</f>
        <v>0.99519999999999997</v>
      </c>
      <c r="BI1206" s="30">
        <f>VLOOKUP(Inventory[[#This Row],[Decade]],Lookups!$M$24:$P$40,4,FALSE)</f>
        <v>0.98519999999999996</v>
      </c>
      <c r="BJ1206" s="30">
        <f>Inventory[[#This Row],[Nbhd Adj]]*0.95</f>
        <v>0.94971499999999998</v>
      </c>
      <c r="BK1206" s="30">
        <f>AVERAGE(Inventory[[#This Row],[Nbhd Adj]],Inventory[[#This Row],[Quality Adj]],Inventory[[#This Row],[Condition Adj]],Inventory[[#This Row],[Living Area Adj]],Inventory[[#This Row],[Decade Adj]])*0.95</f>
        <v>0.944129</v>
      </c>
      <c r="BL1206" s="30">
        <f>ROUND((SUM(Inventory[[#This Row],[Mdl Qlty]:[Mdl Garage Area]])+Inventory[[#This Row],[Mdl Res Intercept]])*Inventory[[#This Row],[Res Adj ]],-2)</f>
        <v>274800</v>
      </c>
      <c r="BM1206" s="30">
        <f>ROUND(Inventory[[#This Row],[25Det]]*Inventory[[#This Row],[Det/Nbhd Adj]],-2)</f>
        <v>0</v>
      </c>
      <c r="BN1206" s="30">
        <f>Inventory[[#This Row],[Adjusted Res]]+Inventory[[#This Row],[Adj Det ]]</f>
        <v>274800</v>
      </c>
      <c r="BO1206" s="30">
        <f>ROUND((Inventory[[#This Row],[Mdl Land Intercept]]+Inventory[[#This Row],[Mdl LnAcres]])*Inventory[[#This Row],[Det/Nbhd Adj]],-2)</f>
        <v>83900</v>
      </c>
      <c r="BP1206" s="30">
        <f>Inventory[[#This Row],[Adjusted Impr Total]]+Inventory[[#This Row],[Adjusted Land Total]]</f>
        <v>358700</v>
      </c>
      <c r="BQ1206" s="30">
        <f>IFERROR((Inventory[[#This Row],[Adjusted Impr Total]]-Inventory[[#This Row],[24Bldg]])/Inventory[[#This Row],[24Bldg]],0)</f>
        <v>0.10851149657119806</v>
      </c>
      <c r="BR1206" s="43">
        <f>(Inventory[[#This Row],[Adjusted Land Total]]-Inventory[[#This Row],[24Lnd]])/Inventory[[#This Row],[24Lnd]]</f>
        <v>-3.0057803468208091E-2</v>
      </c>
      <c r="BS1206" s="43">
        <f>(Inventory[[#This Row],[Adjusted Total]]-Inventory[[#This Row],[24Final]])/Inventory[[#This Row],[24Final]]</f>
        <v>7.2667464114832533E-2</v>
      </c>
    </row>
    <row r="1207" spans="1:71">
      <c r="A1207" s="30">
        <v>2025</v>
      </c>
      <c r="B1207" s="31" t="s">
        <v>1724</v>
      </c>
      <c r="C1207" s="36">
        <f>LN(Inventory[[#This Row],[Acres]])</f>
        <v>0.19885085874516517</v>
      </c>
      <c r="D1207" s="38">
        <v>1.22</v>
      </c>
      <c r="E1207" s="37"/>
      <c r="F1207" s="31" t="s">
        <v>505</v>
      </c>
      <c r="G1207" s="31" t="s">
        <v>155</v>
      </c>
      <c r="H1207" s="31" t="s">
        <v>5</v>
      </c>
      <c r="I1207" s="31" t="s">
        <v>506</v>
      </c>
      <c r="J1207" s="31" t="s">
        <v>507</v>
      </c>
      <c r="K1207" s="31" t="s">
        <v>193</v>
      </c>
      <c r="L1207" s="31" t="s">
        <v>13</v>
      </c>
      <c r="M1207" s="31" t="s">
        <v>18</v>
      </c>
      <c r="N1207" s="31">
        <v>50</v>
      </c>
      <c r="O1207" s="31">
        <f>2024-Inventory[[#This Row],[YrBlt]]</f>
        <v>57</v>
      </c>
      <c r="P1207" s="31">
        <f>2024-Inventory[[#This Row],[EffYr]]</f>
        <v>48</v>
      </c>
      <c r="Q1207" s="30">
        <v>1967</v>
      </c>
      <c r="R1207" s="30">
        <v>1976</v>
      </c>
      <c r="S1207" s="30">
        <v>1040</v>
      </c>
      <c r="T1207" s="32"/>
      <c r="U1207" s="32"/>
      <c r="V1207" s="32"/>
      <c r="W1207" s="32"/>
      <c r="X1207" s="32">
        <f>Inventory[[#This Row],[Bsmt Area]]-Inventory[[#This Row],[FnBsmt]]</f>
        <v>0</v>
      </c>
      <c r="Y1207" s="32">
        <f>Inventory[[#This Row],[MainFn]]+Inventory[[#This Row],[UpprFn]]+Inventory[[#This Row],[AddFn]]+Inventory[[#This Row],[FnBsmt]]</f>
        <v>1040</v>
      </c>
      <c r="Z1207" s="32">
        <v>1500</v>
      </c>
      <c r="AA1207" s="31" t="s">
        <v>56</v>
      </c>
      <c r="AB1207" s="37"/>
      <c r="AC1207" s="37"/>
      <c r="AD1207" s="32"/>
      <c r="AE1207" s="32"/>
      <c r="AF1207" s="32"/>
      <c r="AG1207" s="32"/>
      <c r="AH1207" s="32"/>
      <c r="AI1207" s="30">
        <v>152545</v>
      </c>
      <c r="AJ1207" s="30">
        <v>109832</v>
      </c>
      <c r="AK1207" s="30">
        <v>13858</v>
      </c>
      <c r="AL1207" s="30">
        <v>0</v>
      </c>
      <c r="AM1207" s="30">
        <v>89300</v>
      </c>
      <c r="AN1207" s="30">
        <v>181700</v>
      </c>
      <c r="AO1207" s="30">
        <v>271000</v>
      </c>
      <c r="AP1207" s="30">
        <f>Lookups!$B$58*0.6</f>
        <v>132535.48800000001</v>
      </c>
      <c r="AQ1207" s="30">
        <f>Lookups!$B$58*0.4</f>
        <v>88356.992000000013</v>
      </c>
      <c r="AR1207" s="30">
        <f>Lookups!$B$59*Inventory[[#This Row],[LnAcres]]</f>
        <v>2609.7825012972048</v>
      </c>
      <c r="AS1207" s="30">
        <f>VLOOKUP(Inventory[[#This Row],[Qlty]],Lookups!$A$66:$E$79,2,FALSE)</f>
        <v>0</v>
      </c>
      <c r="AT1207" s="30">
        <f>VLOOKUP(Inventory[[#This Row],[Cnd]],Lookups!$A$80:$E$88,2,FALSE)</f>
        <v>17761.121909000001</v>
      </c>
      <c r="AU1207" s="30">
        <f>Inventory[[#This Row],[EffAge]]*Lookups!$B$65</f>
        <v>-5219.5727999999999</v>
      </c>
      <c r="AV1207" s="30">
        <f>Inventory[[#This Row],[MainFn]]*Lookups!$B$90</f>
        <v>64906.7952</v>
      </c>
      <c r="AW1207" s="30">
        <f>Inventory[[#This Row],[UpprFn]]*Lookups!$B$91</f>
        <v>0</v>
      </c>
      <c r="AX1207" s="30">
        <f>Inventory[[#This Row],[Bsmt Area]]*Lookups!$B$95</f>
        <v>0</v>
      </c>
      <c r="AY1207" s="30">
        <f>Inventory[[#This Row],[AttGar]]*Lookups!$B$93</f>
        <v>0</v>
      </c>
      <c r="AZ1207" s="30">
        <f>ROUND(Inventory[[#This Row],[25Det]],-2)</f>
        <v>13900</v>
      </c>
      <c r="BA1207" s="30">
        <f>ROUND(SUM(Inventory[[#This Row],[Mdl Qlty]:[Mdl Garage Area]])+Inventory[[#This Row],[Mdl Res Intercept]],-2)</f>
        <v>210000</v>
      </c>
      <c r="BB1207" s="30">
        <f>ROUND(Inventory[[#This Row],[Mdl Land Intercept]]+Inventory[[#This Row],[Mdl LnAcres]],-2)</f>
        <v>91000</v>
      </c>
      <c r="BC1207" s="30">
        <f>Inventory[[#This Row],[Unadj Res Value]]+Inventory[[#This Row],[Unadj Det Value]]+Inventory[[#This Row],[Unadj Land Value]]</f>
        <v>314900</v>
      </c>
      <c r="BD1207" s="30">
        <f>(Inventory[[#This Row],[Unadj Total Value]]-Inventory[[#This Row],[24Final]])/Inventory[[#This Row],[24Final]]</f>
        <v>0.16199261992619926</v>
      </c>
      <c r="BE1207" s="30">
        <f>VLOOKUP(Inventory[[#This Row],[Nbhd]],Lookups!$M$3:$P$5,4,FALSE)</f>
        <v>0.99970000000000003</v>
      </c>
      <c r="BF1207" s="30">
        <f>VLOOKUP(Inventory[[#This Row],[Qlty]],Lookups!$M$8:$P$22,4,FALSE)</f>
        <v>1.0003</v>
      </c>
      <c r="BG1207" s="30">
        <f>VLOOKUP(Inventory[[#This Row],[Cnd]],Lookups!$R$8:$U$17,4,FALSE)</f>
        <v>0.99680000000000002</v>
      </c>
      <c r="BH1207" s="30">
        <f>VLOOKUP(Inventory[[#This Row],[LivArea Range]],Lookups!$R$25:$U$43,4,FALSE)</f>
        <v>0.99519999999999997</v>
      </c>
      <c r="BI1207" s="30">
        <f>VLOOKUP(Inventory[[#This Row],[Decade]],Lookups!$M$24:$P$40,4,FALSE)</f>
        <v>0.98519999999999996</v>
      </c>
      <c r="BJ1207" s="30">
        <f>Inventory[[#This Row],[Nbhd Adj]]*0.95</f>
        <v>0.94971499999999998</v>
      </c>
      <c r="BK1207" s="30">
        <f>AVERAGE(Inventory[[#This Row],[Nbhd Adj]],Inventory[[#This Row],[Quality Adj]],Inventory[[#This Row],[Condition Adj]],Inventory[[#This Row],[Living Area Adj]],Inventory[[#This Row],[Decade Adj]])*0.95</f>
        <v>0.94566799999999995</v>
      </c>
      <c r="BL1207" s="30">
        <f>ROUND((SUM(Inventory[[#This Row],[Mdl Qlty]:[Mdl Garage Area]])+Inventory[[#This Row],[Mdl Res Intercept]])*Inventory[[#This Row],[Res Adj ]],-2)</f>
        <v>198600</v>
      </c>
      <c r="BM1207" s="30">
        <f>ROUND(Inventory[[#This Row],[25Det]]*Inventory[[#This Row],[Det/Nbhd Adj]],-2)</f>
        <v>13200</v>
      </c>
      <c r="BN1207" s="30">
        <f>Inventory[[#This Row],[Adjusted Res]]+Inventory[[#This Row],[Adj Det ]]</f>
        <v>211800</v>
      </c>
      <c r="BO1207" s="30">
        <f>ROUND((Inventory[[#This Row],[Mdl Land Intercept]]+Inventory[[#This Row],[Mdl LnAcres]])*Inventory[[#This Row],[Det/Nbhd Adj]],-2)</f>
        <v>86400</v>
      </c>
      <c r="BP1207" s="30">
        <f>Inventory[[#This Row],[Adjusted Impr Total]]+Inventory[[#This Row],[Adjusted Land Total]]</f>
        <v>298200</v>
      </c>
      <c r="BQ1207" s="30">
        <f>IFERROR((Inventory[[#This Row],[Adjusted Impr Total]]-Inventory[[#This Row],[24Bldg]])/Inventory[[#This Row],[24Bldg]],0)</f>
        <v>0.16565767749036875</v>
      </c>
      <c r="BR1207" s="43">
        <f>(Inventory[[#This Row],[Adjusted Land Total]]-Inventory[[#This Row],[24Lnd]])/Inventory[[#This Row],[24Lnd]]</f>
        <v>-3.2474804031354984E-2</v>
      </c>
      <c r="BS1207" s="43">
        <f>(Inventory[[#This Row],[Adjusted Total]]-Inventory[[#This Row],[24Final]])/Inventory[[#This Row],[24Final]]</f>
        <v>0.1003690036900369</v>
      </c>
    </row>
    <row r="1208" spans="1:71">
      <c r="A1208" s="30">
        <v>2025</v>
      </c>
      <c r="B1208" s="31" t="s">
        <v>1725</v>
      </c>
      <c r="C1208" s="36">
        <f>LN(Inventory[[#This Row],[Acres]])</f>
        <v>-2.0402208285265546</v>
      </c>
      <c r="D1208" s="38">
        <v>0.13</v>
      </c>
      <c r="E1208" s="30">
        <v>5490</v>
      </c>
      <c r="F1208" s="31" t="s">
        <v>505</v>
      </c>
      <c r="G1208" s="31" t="s">
        <v>155</v>
      </c>
      <c r="H1208" s="31" t="s">
        <v>5</v>
      </c>
      <c r="I1208" s="31" t="s">
        <v>506</v>
      </c>
      <c r="J1208" s="31" t="s">
        <v>507</v>
      </c>
      <c r="K1208" s="31" t="s">
        <v>193</v>
      </c>
      <c r="L1208" s="31" t="s">
        <v>13</v>
      </c>
      <c r="M1208" s="31" t="s">
        <v>16</v>
      </c>
      <c r="N1208" s="31">
        <v>50</v>
      </c>
      <c r="O1208" s="31">
        <f>2024-Inventory[[#This Row],[YrBlt]]</f>
        <v>59</v>
      </c>
      <c r="P1208" s="31">
        <f>2024-Inventory[[#This Row],[EffYr]]</f>
        <v>48</v>
      </c>
      <c r="Q1208" s="30">
        <v>1965</v>
      </c>
      <c r="R1208" s="30">
        <v>1976</v>
      </c>
      <c r="S1208" s="30">
        <v>832</v>
      </c>
      <c r="T1208" s="32"/>
      <c r="U1208" s="32"/>
      <c r="V1208" s="32"/>
      <c r="W1208" s="32"/>
      <c r="X1208" s="32">
        <f>Inventory[[#This Row],[Bsmt Area]]-Inventory[[#This Row],[FnBsmt]]</f>
        <v>0</v>
      </c>
      <c r="Y1208" s="32">
        <f>Inventory[[#This Row],[MainFn]]+Inventory[[#This Row],[UpprFn]]+Inventory[[#This Row],[AddFn]]+Inventory[[#This Row],[FnBsmt]]</f>
        <v>832</v>
      </c>
      <c r="Z1208" s="32">
        <v>1000</v>
      </c>
      <c r="AA1208" s="31" t="s">
        <v>56</v>
      </c>
      <c r="AB1208" s="37"/>
      <c r="AC1208" s="37"/>
      <c r="AD1208" s="32"/>
      <c r="AE1208" s="32"/>
      <c r="AF1208" s="32"/>
      <c r="AG1208" s="32"/>
      <c r="AH1208" s="32"/>
      <c r="AI1208" s="30">
        <v>116564</v>
      </c>
      <c r="AJ1208" s="30">
        <v>82760</v>
      </c>
      <c r="AK1208" s="30">
        <v>0</v>
      </c>
      <c r="AL1208" s="30">
        <v>0</v>
      </c>
      <c r="AM1208" s="30">
        <v>57900</v>
      </c>
      <c r="AN1208" s="30">
        <v>170700</v>
      </c>
      <c r="AO1208" s="30">
        <v>228600</v>
      </c>
      <c r="AP1208" s="30">
        <f>Lookups!$B$58*0.6</f>
        <v>132535.48800000001</v>
      </c>
      <c r="AQ1208" s="30">
        <f>Lookups!$B$58*0.4</f>
        <v>88356.992000000013</v>
      </c>
      <c r="AR1208" s="30">
        <f>Lookups!$B$59*Inventory[[#This Row],[LnAcres]]</f>
        <v>-26776.513064468461</v>
      </c>
      <c r="AS1208" s="30">
        <f>VLOOKUP(Inventory[[#This Row],[Qlty]],Lookups!$A$66:$E$79,2,FALSE)</f>
        <v>0</v>
      </c>
      <c r="AT1208" s="30">
        <f>VLOOKUP(Inventory[[#This Row],[Cnd]],Lookups!$A$80:$E$88,2,FALSE)</f>
        <v>0</v>
      </c>
      <c r="AU1208" s="30">
        <f>Inventory[[#This Row],[EffAge]]*Lookups!$B$65</f>
        <v>-5219.5727999999999</v>
      </c>
      <c r="AV1208" s="30">
        <f>Inventory[[#This Row],[MainFn]]*Lookups!$B$90</f>
        <v>51925.436160000005</v>
      </c>
      <c r="AW1208" s="30">
        <f>Inventory[[#This Row],[UpprFn]]*Lookups!$B$91</f>
        <v>0</v>
      </c>
      <c r="AX1208" s="30">
        <f>Inventory[[#This Row],[Bsmt Area]]*Lookups!$B$95</f>
        <v>0</v>
      </c>
      <c r="AY1208" s="30">
        <f>Inventory[[#This Row],[AttGar]]*Lookups!$B$93</f>
        <v>0</v>
      </c>
      <c r="AZ1208" s="30">
        <f>ROUND(Inventory[[#This Row],[25Det]],-2)</f>
        <v>0</v>
      </c>
      <c r="BA1208" s="30">
        <f>ROUND(SUM(Inventory[[#This Row],[Mdl Qlty]:[Mdl Garage Area]])+Inventory[[#This Row],[Mdl Res Intercept]],-2)</f>
        <v>179200</v>
      </c>
      <c r="BB1208" s="30">
        <f>ROUND(Inventory[[#This Row],[Mdl Land Intercept]]+Inventory[[#This Row],[Mdl LnAcres]],-2)</f>
        <v>61600</v>
      </c>
      <c r="BC1208" s="30">
        <f>Inventory[[#This Row],[Unadj Res Value]]+Inventory[[#This Row],[Unadj Det Value]]+Inventory[[#This Row],[Unadj Land Value]]</f>
        <v>240800</v>
      </c>
      <c r="BD1208" s="30">
        <f>(Inventory[[#This Row],[Unadj Total Value]]-Inventory[[#This Row],[24Final]])/Inventory[[#This Row],[24Final]]</f>
        <v>5.3368328958880142E-2</v>
      </c>
      <c r="BE1208" s="30">
        <f>VLOOKUP(Inventory[[#This Row],[Nbhd]],Lookups!$M$3:$P$5,4,FALSE)</f>
        <v>0.99970000000000003</v>
      </c>
      <c r="BF1208" s="30">
        <f>VLOOKUP(Inventory[[#This Row],[Qlty]],Lookups!$M$8:$P$22,4,FALSE)</f>
        <v>1.0003</v>
      </c>
      <c r="BG1208" s="30">
        <f>VLOOKUP(Inventory[[#This Row],[Cnd]],Lookups!$R$8:$U$17,4,FALSE)</f>
        <v>1</v>
      </c>
      <c r="BH1208" s="30">
        <f>VLOOKUP(Inventory[[#This Row],[LivArea Range]],Lookups!$R$25:$U$43,4,FALSE)</f>
        <v>1</v>
      </c>
      <c r="BI1208" s="30">
        <f>VLOOKUP(Inventory[[#This Row],[Decade]],Lookups!$M$24:$P$40,4,FALSE)</f>
        <v>0.98519999999999996</v>
      </c>
      <c r="BJ1208" s="30">
        <f>Inventory[[#This Row],[Nbhd Adj]]*0.95</f>
        <v>0.94971499999999998</v>
      </c>
      <c r="BK1208" s="30">
        <f>AVERAGE(Inventory[[#This Row],[Nbhd Adj]],Inventory[[#This Row],[Quality Adj]],Inventory[[#This Row],[Condition Adj]],Inventory[[#This Row],[Living Area Adj]],Inventory[[#This Row],[Decade Adj]])*0.95</f>
        <v>0.94718799999999992</v>
      </c>
      <c r="BL1208" s="30">
        <f>ROUND((SUM(Inventory[[#This Row],[Mdl Qlty]:[Mdl Garage Area]])+Inventory[[#This Row],[Mdl Res Intercept]])*Inventory[[#This Row],[Res Adj ]],-2)</f>
        <v>169800</v>
      </c>
      <c r="BM1208" s="30">
        <f>ROUND(Inventory[[#This Row],[25Det]]*Inventory[[#This Row],[Det/Nbhd Adj]],-2)</f>
        <v>0</v>
      </c>
      <c r="BN1208" s="30">
        <f>Inventory[[#This Row],[Adjusted Res]]+Inventory[[#This Row],[Adj Det ]]</f>
        <v>169800</v>
      </c>
      <c r="BO1208" s="30">
        <f>ROUND((Inventory[[#This Row],[Mdl Land Intercept]]+Inventory[[#This Row],[Mdl LnAcres]])*Inventory[[#This Row],[Det/Nbhd Adj]],-2)</f>
        <v>58500</v>
      </c>
      <c r="BP1208" s="30">
        <f>Inventory[[#This Row],[Adjusted Impr Total]]+Inventory[[#This Row],[Adjusted Land Total]]</f>
        <v>228300</v>
      </c>
      <c r="BQ1208" s="30">
        <f>IFERROR((Inventory[[#This Row],[Adjusted Impr Total]]-Inventory[[#This Row],[24Bldg]])/Inventory[[#This Row],[24Bldg]],0)</f>
        <v>-5.272407732864675E-3</v>
      </c>
      <c r="BR1208" s="43">
        <f>(Inventory[[#This Row],[Adjusted Land Total]]-Inventory[[#This Row],[24Lnd]])/Inventory[[#This Row],[24Lnd]]</f>
        <v>1.0362694300518135E-2</v>
      </c>
      <c r="BS1208" s="43">
        <f>(Inventory[[#This Row],[Adjusted Total]]-Inventory[[#This Row],[24Final]])/Inventory[[#This Row],[24Final]]</f>
        <v>-1.3123359580052493E-3</v>
      </c>
    </row>
    <row r="1209" spans="1:71">
      <c r="A1209" s="30">
        <v>2025</v>
      </c>
      <c r="B1209" s="31" t="s">
        <v>1726</v>
      </c>
      <c r="C1209" s="36">
        <f>LN(Inventory[[#This Row],[Acres]])</f>
        <v>-1.7147984280919266</v>
      </c>
      <c r="D1209" s="38">
        <v>0.18</v>
      </c>
      <c r="E1209" s="30">
        <v>7800</v>
      </c>
      <c r="F1209" s="31" t="s">
        <v>505</v>
      </c>
      <c r="G1209" s="31" t="s">
        <v>155</v>
      </c>
      <c r="H1209" s="31" t="s">
        <v>5</v>
      </c>
      <c r="I1209" s="31" t="s">
        <v>506</v>
      </c>
      <c r="J1209" s="31" t="s">
        <v>507</v>
      </c>
      <c r="K1209" s="31" t="s">
        <v>193</v>
      </c>
      <c r="L1209" s="31" t="s">
        <v>15</v>
      </c>
      <c r="M1209" s="31" t="s">
        <v>18</v>
      </c>
      <c r="N1209" s="31">
        <v>50</v>
      </c>
      <c r="O1209" s="31">
        <f>2024-Inventory[[#This Row],[YrBlt]]</f>
        <v>59</v>
      </c>
      <c r="P1209" s="31">
        <f>2024-Inventory[[#This Row],[EffYr]]</f>
        <v>48</v>
      </c>
      <c r="Q1209" s="30">
        <v>1965</v>
      </c>
      <c r="R1209" s="30">
        <v>1976</v>
      </c>
      <c r="S1209" s="30">
        <v>1216</v>
      </c>
      <c r="T1209" s="32"/>
      <c r="U1209" s="32"/>
      <c r="V1209" s="32"/>
      <c r="W1209" s="32"/>
      <c r="X1209" s="32">
        <f>Inventory[[#This Row],[Bsmt Area]]-Inventory[[#This Row],[FnBsmt]]</f>
        <v>0</v>
      </c>
      <c r="Y1209" s="32">
        <f>Inventory[[#This Row],[MainFn]]+Inventory[[#This Row],[UpprFn]]+Inventory[[#This Row],[AddFn]]+Inventory[[#This Row],[FnBsmt]]</f>
        <v>1216</v>
      </c>
      <c r="Z1209" s="32">
        <v>1500</v>
      </c>
      <c r="AA1209" s="31" t="s">
        <v>56</v>
      </c>
      <c r="AB1209" s="32"/>
      <c r="AC1209" s="37"/>
      <c r="AD1209" s="32"/>
      <c r="AE1209" s="32"/>
      <c r="AF1209" s="32"/>
      <c r="AG1209" s="32"/>
      <c r="AH1209" s="32"/>
      <c r="AI1209" s="30">
        <v>178585</v>
      </c>
      <c r="AJ1209" s="30">
        <v>128581</v>
      </c>
      <c r="AK1209" s="30">
        <v>6903</v>
      </c>
      <c r="AL1209" s="30">
        <v>0</v>
      </c>
      <c r="AM1209" s="30">
        <v>62500</v>
      </c>
      <c r="AN1209" s="30">
        <v>196300</v>
      </c>
      <c r="AO1209" s="30">
        <v>258800</v>
      </c>
      <c r="AP1209" s="30">
        <f>Lookups!$B$58*0.6</f>
        <v>132535.48800000001</v>
      </c>
      <c r="AQ1209" s="30">
        <f>Lookups!$B$58*0.4</f>
        <v>88356.992000000013</v>
      </c>
      <c r="AR1209" s="30">
        <f>Lookups!$B$59*Inventory[[#This Row],[LnAcres]]</f>
        <v>-22505.565020573864</v>
      </c>
      <c r="AS1209" s="30">
        <f>VLOOKUP(Inventory[[#This Row],[Qlty]],Lookups!$A$66:$E$79,2,FALSE)</f>
        <v>-1240.8083630000001</v>
      </c>
      <c r="AT1209" s="30">
        <f>VLOOKUP(Inventory[[#This Row],[Cnd]],Lookups!$A$80:$E$88,2,FALSE)</f>
        <v>17761.121909000001</v>
      </c>
      <c r="AU1209" s="30">
        <f>Inventory[[#This Row],[EffAge]]*Lookups!$B$65</f>
        <v>-5219.5727999999999</v>
      </c>
      <c r="AV1209" s="30">
        <f>Inventory[[#This Row],[MainFn]]*Lookups!$B$90</f>
        <v>75891.02208000001</v>
      </c>
      <c r="AW1209" s="30">
        <f>Inventory[[#This Row],[UpprFn]]*Lookups!$B$91</f>
        <v>0</v>
      </c>
      <c r="AX1209" s="30">
        <f>Inventory[[#This Row],[Bsmt Area]]*Lookups!$B$95</f>
        <v>0</v>
      </c>
      <c r="AY1209" s="30">
        <f>Inventory[[#This Row],[AttGar]]*Lookups!$B$93</f>
        <v>0</v>
      </c>
      <c r="AZ1209" s="30">
        <f>ROUND(Inventory[[#This Row],[25Det]],-2)</f>
        <v>6900</v>
      </c>
      <c r="BA1209" s="30">
        <f>ROUND(SUM(Inventory[[#This Row],[Mdl Qlty]:[Mdl Garage Area]])+Inventory[[#This Row],[Mdl Res Intercept]],-2)</f>
        <v>219700</v>
      </c>
      <c r="BB1209" s="30">
        <f>ROUND(Inventory[[#This Row],[Mdl Land Intercept]]+Inventory[[#This Row],[Mdl LnAcres]],-2)</f>
        <v>65900</v>
      </c>
      <c r="BC1209" s="30">
        <f>Inventory[[#This Row],[Unadj Res Value]]+Inventory[[#This Row],[Unadj Det Value]]+Inventory[[#This Row],[Unadj Land Value]]</f>
        <v>292500</v>
      </c>
      <c r="BD1209" s="30">
        <f>(Inventory[[#This Row],[Unadj Total Value]]-Inventory[[#This Row],[24Final]])/Inventory[[#This Row],[24Final]]</f>
        <v>0.1302163833075734</v>
      </c>
      <c r="BE1209" s="30">
        <f>VLOOKUP(Inventory[[#This Row],[Nbhd]],Lookups!$M$3:$P$5,4,FALSE)</f>
        <v>0.99970000000000003</v>
      </c>
      <c r="BF1209" s="30">
        <f>VLOOKUP(Inventory[[#This Row],[Qlty]],Lookups!$M$8:$P$22,4,FALSE)</f>
        <v>1.0022</v>
      </c>
      <c r="BG1209" s="30">
        <f>VLOOKUP(Inventory[[#This Row],[Cnd]],Lookups!$R$8:$U$17,4,FALSE)</f>
        <v>0.99680000000000002</v>
      </c>
      <c r="BH1209" s="30">
        <f>VLOOKUP(Inventory[[#This Row],[LivArea Range]],Lookups!$R$25:$U$43,4,FALSE)</f>
        <v>0.99519999999999997</v>
      </c>
      <c r="BI1209" s="30">
        <f>VLOOKUP(Inventory[[#This Row],[Decade]],Lookups!$M$24:$P$40,4,FALSE)</f>
        <v>0.98519999999999996</v>
      </c>
      <c r="BJ1209" s="30">
        <f>Inventory[[#This Row],[Nbhd Adj]]*0.95</f>
        <v>0.94971499999999998</v>
      </c>
      <c r="BK1209" s="30">
        <f>AVERAGE(Inventory[[#This Row],[Nbhd Adj]],Inventory[[#This Row],[Quality Adj]],Inventory[[#This Row],[Condition Adj]],Inventory[[#This Row],[Living Area Adj]],Inventory[[#This Row],[Decade Adj]])*0.95</f>
        <v>0.9460289999999999</v>
      </c>
      <c r="BL1209" s="30">
        <f>ROUND((SUM(Inventory[[#This Row],[Mdl Qlty]:[Mdl Garage Area]])+Inventory[[#This Row],[Mdl Res Intercept]])*Inventory[[#This Row],[Res Adj ]],-2)</f>
        <v>207900</v>
      </c>
      <c r="BM1209" s="30">
        <f>ROUND(Inventory[[#This Row],[25Det]]*Inventory[[#This Row],[Det/Nbhd Adj]],-2)</f>
        <v>6600</v>
      </c>
      <c r="BN1209" s="30">
        <f>Inventory[[#This Row],[Adjusted Res]]+Inventory[[#This Row],[Adj Det ]]</f>
        <v>214500</v>
      </c>
      <c r="BO1209" s="30">
        <f>ROUND((Inventory[[#This Row],[Mdl Land Intercept]]+Inventory[[#This Row],[Mdl LnAcres]])*Inventory[[#This Row],[Det/Nbhd Adj]],-2)</f>
        <v>62500</v>
      </c>
      <c r="BP1209" s="30">
        <f>Inventory[[#This Row],[Adjusted Impr Total]]+Inventory[[#This Row],[Adjusted Land Total]]</f>
        <v>277000</v>
      </c>
      <c r="BQ1209" s="30">
        <f>IFERROR((Inventory[[#This Row],[Adjusted Impr Total]]-Inventory[[#This Row],[24Bldg]])/Inventory[[#This Row],[24Bldg]],0)</f>
        <v>9.2715231788079472E-2</v>
      </c>
      <c r="BR1209" s="43">
        <f>(Inventory[[#This Row],[Adjusted Land Total]]-Inventory[[#This Row],[24Lnd]])/Inventory[[#This Row],[24Lnd]]</f>
        <v>0</v>
      </c>
      <c r="BS1209" s="43">
        <f>(Inventory[[#This Row],[Adjusted Total]]-Inventory[[#This Row],[24Final]])/Inventory[[#This Row],[24Final]]</f>
        <v>7.0324574961360117E-2</v>
      </c>
    </row>
    <row r="1210" spans="1:71">
      <c r="A1210" s="30">
        <v>2025</v>
      </c>
      <c r="B1210" s="31" t="s">
        <v>1727</v>
      </c>
      <c r="C1210" s="36">
        <f>LN(Inventory[[#This Row],[Acres]])</f>
        <v>-1.6094379124341003</v>
      </c>
      <c r="D1210" s="38">
        <v>0.2</v>
      </c>
      <c r="E1210" s="30">
        <v>8887</v>
      </c>
      <c r="F1210" s="31" t="s">
        <v>505</v>
      </c>
      <c r="G1210" s="31" t="s">
        <v>155</v>
      </c>
      <c r="H1210" s="31" t="s">
        <v>5</v>
      </c>
      <c r="I1210" s="31" t="s">
        <v>506</v>
      </c>
      <c r="J1210" s="31" t="s">
        <v>507</v>
      </c>
      <c r="K1210" s="31" t="s">
        <v>193</v>
      </c>
      <c r="L1210" s="31" t="s">
        <v>17</v>
      </c>
      <c r="M1210" s="31" t="s">
        <v>18</v>
      </c>
      <c r="N1210" s="31">
        <v>50</v>
      </c>
      <c r="O1210" s="31">
        <f>2024-Inventory[[#This Row],[YrBlt]]</f>
        <v>59</v>
      </c>
      <c r="P1210" s="31">
        <f>2024-Inventory[[#This Row],[EffYr]]</f>
        <v>48</v>
      </c>
      <c r="Q1210" s="30">
        <v>1965</v>
      </c>
      <c r="R1210" s="30">
        <v>1976</v>
      </c>
      <c r="S1210" s="30">
        <v>1278</v>
      </c>
      <c r="T1210" s="32"/>
      <c r="U1210" s="32"/>
      <c r="V1210" s="32"/>
      <c r="W1210" s="32"/>
      <c r="X1210" s="32">
        <f>Inventory[[#This Row],[Bsmt Area]]-Inventory[[#This Row],[FnBsmt]]</f>
        <v>0</v>
      </c>
      <c r="Y1210" s="32">
        <f>Inventory[[#This Row],[MainFn]]+Inventory[[#This Row],[UpprFn]]+Inventory[[#This Row],[AddFn]]+Inventory[[#This Row],[FnBsmt]]</f>
        <v>1278</v>
      </c>
      <c r="Z1210" s="32">
        <v>1500</v>
      </c>
      <c r="AA1210" s="31" t="s">
        <v>56</v>
      </c>
      <c r="AB1210" s="32"/>
      <c r="AC1210" s="37"/>
      <c r="AD1210" s="32"/>
      <c r="AE1210" s="32"/>
      <c r="AF1210" s="32"/>
      <c r="AG1210" s="32"/>
      <c r="AH1210" s="32"/>
      <c r="AI1210" s="30">
        <v>208694</v>
      </c>
      <c r="AJ1210" s="30">
        <v>150260</v>
      </c>
      <c r="AK1210" s="30">
        <v>8401</v>
      </c>
      <c r="AL1210" s="30">
        <v>0</v>
      </c>
      <c r="AM1210" s="30">
        <v>64000</v>
      </c>
      <c r="AN1210" s="30">
        <v>212300</v>
      </c>
      <c r="AO1210" s="30">
        <v>276300</v>
      </c>
      <c r="AP1210" s="30">
        <f>Lookups!$B$58*0.6</f>
        <v>132535.48800000001</v>
      </c>
      <c r="AQ1210" s="30">
        <f>Lookups!$B$58*0.4</f>
        <v>88356.992000000013</v>
      </c>
      <c r="AR1210" s="30">
        <f>Lookups!$B$59*Inventory[[#This Row],[LnAcres]]</f>
        <v>-21122.779792355024</v>
      </c>
      <c r="AS1210" s="30">
        <f>VLOOKUP(Inventory[[#This Row],[Qlty]],Lookups!$A$66:$E$79,2,FALSE)</f>
        <v>24371.765965999999</v>
      </c>
      <c r="AT1210" s="30">
        <f>VLOOKUP(Inventory[[#This Row],[Cnd]],Lookups!$A$80:$E$88,2,FALSE)</f>
        <v>17761.121909000001</v>
      </c>
      <c r="AU1210" s="30">
        <f>Inventory[[#This Row],[EffAge]]*Lookups!$B$65</f>
        <v>-5219.5727999999999</v>
      </c>
      <c r="AV1210" s="30">
        <f>Inventory[[#This Row],[MainFn]]*Lookups!$B$90</f>
        <v>79760.465640000009</v>
      </c>
      <c r="AW1210" s="30">
        <f>Inventory[[#This Row],[UpprFn]]*Lookups!$B$91</f>
        <v>0</v>
      </c>
      <c r="AX1210" s="30">
        <f>Inventory[[#This Row],[Bsmt Area]]*Lookups!$B$95</f>
        <v>0</v>
      </c>
      <c r="AY1210" s="30">
        <f>Inventory[[#This Row],[AttGar]]*Lookups!$B$93</f>
        <v>0</v>
      </c>
      <c r="AZ1210" s="30">
        <f>ROUND(Inventory[[#This Row],[25Det]],-2)</f>
        <v>8400</v>
      </c>
      <c r="BA1210" s="30">
        <f>ROUND(SUM(Inventory[[#This Row],[Mdl Qlty]:[Mdl Garage Area]])+Inventory[[#This Row],[Mdl Res Intercept]],-2)</f>
        <v>249200</v>
      </c>
      <c r="BB1210" s="30">
        <f>ROUND(Inventory[[#This Row],[Mdl Land Intercept]]+Inventory[[#This Row],[Mdl LnAcres]],-2)</f>
        <v>67200</v>
      </c>
      <c r="BC1210" s="30">
        <f>Inventory[[#This Row],[Unadj Res Value]]+Inventory[[#This Row],[Unadj Det Value]]+Inventory[[#This Row],[Unadj Land Value]]</f>
        <v>324800</v>
      </c>
      <c r="BD1210" s="30">
        <f>(Inventory[[#This Row],[Unadj Total Value]]-Inventory[[#This Row],[24Final]])/Inventory[[#This Row],[24Final]]</f>
        <v>0.17553384002895403</v>
      </c>
      <c r="BE1210" s="30">
        <f>VLOOKUP(Inventory[[#This Row],[Nbhd]],Lookups!$M$3:$P$5,4,FALSE)</f>
        <v>0.99970000000000003</v>
      </c>
      <c r="BF1210" s="30">
        <f>VLOOKUP(Inventory[[#This Row],[Qlty]],Lookups!$M$8:$P$22,4,FALSE)</f>
        <v>0.99199999999999999</v>
      </c>
      <c r="BG1210" s="30">
        <f>VLOOKUP(Inventory[[#This Row],[Cnd]],Lookups!$R$8:$U$17,4,FALSE)</f>
        <v>0.99680000000000002</v>
      </c>
      <c r="BH1210" s="30">
        <f>VLOOKUP(Inventory[[#This Row],[LivArea Range]],Lookups!$R$25:$U$43,4,FALSE)</f>
        <v>0.99519999999999997</v>
      </c>
      <c r="BI1210" s="30">
        <f>VLOOKUP(Inventory[[#This Row],[Decade]],Lookups!$M$24:$P$40,4,FALSE)</f>
        <v>0.98519999999999996</v>
      </c>
      <c r="BJ1210" s="30">
        <f>Inventory[[#This Row],[Nbhd Adj]]*0.95</f>
        <v>0.94971499999999998</v>
      </c>
      <c r="BK1210" s="30">
        <f>AVERAGE(Inventory[[#This Row],[Nbhd Adj]],Inventory[[#This Row],[Quality Adj]],Inventory[[#This Row],[Condition Adj]],Inventory[[#This Row],[Living Area Adj]],Inventory[[#This Row],[Decade Adj]])*0.95</f>
        <v>0.94409100000000001</v>
      </c>
      <c r="BL1210" s="30">
        <f>ROUND((SUM(Inventory[[#This Row],[Mdl Qlty]:[Mdl Garage Area]])+Inventory[[#This Row],[Mdl Res Intercept]])*Inventory[[#This Row],[Res Adj ]],-2)</f>
        <v>235300</v>
      </c>
      <c r="BM1210" s="30">
        <f>ROUND(Inventory[[#This Row],[25Det]]*Inventory[[#This Row],[Det/Nbhd Adj]],-2)</f>
        <v>8000</v>
      </c>
      <c r="BN1210" s="30">
        <f>Inventory[[#This Row],[Adjusted Res]]+Inventory[[#This Row],[Adj Det ]]</f>
        <v>243300</v>
      </c>
      <c r="BO1210" s="30">
        <f>ROUND((Inventory[[#This Row],[Mdl Land Intercept]]+Inventory[[#This Row],[Mdl LnAcres]])*Inventory[[#This Row],[Det/Nbhd Adj]],-2)</f>
        <v>63900</v>
      </c>
      <c r="BP1210" s="30">
        <f>Inventory[[#This Row],[Adjusted Impr Total]]+Inventory[[#This Row],[Adjusted Land Total]]</f>
        <v>307200</v>
      </c>
      <c r="BQ1210" s="30">
        <f>IFERROR((Inventory[[#This Row],[Adjusted Impr Total]]-Inventory[[#This Row],[24Bldg]])/Inventory[[#This Row],[24Bldg]],0)</f>
        <v>0.14601978332548279</v>
      </c>
      <c r="BR1210" s="43">
        <f>(Inventory[[#This Row],[Adjusted Land Total]]-Inventory[[#This Row],[24Lnd]])/Inventory[[#This Row],[24Lnd]]</f>
        <v>-1.5625000000000001E-3</v>
      </c>
      <c r="BS1210" s="43">
        <f>(Inventory[[#This Row],[Adjusted Total]]-Inventory[[#This Row],[24Final]])/Inventory[[#This Row],[24Final]]</f>
        <v>0.11183496199782844</v>
      </c>
    </row>
    <row r="1211" spans="1:71">
      <c r="A1211" s="30">
        <v>2025</v>
      </c>
      <c r="B1211" s="31" t="s">
        <v>1728</v>
      </c>
      <c r="C1211" s="36">
        <f>LN(Inventory[[#This Row],[Acres]])</f>
        <v>-1.5606477482646683</v>
      </c>
      <c r="D1211" s="38">
        <v>0.21</v>
      </c>
      <c r="E1211" s="30">
        <v>9155</v>
      </c>
      <c r="F1211" s="31" t="s">
        <v>505</v>
      </c>
      <c r="G1211" s="31" t="s">
        <v>155</v>
      </c>
      <c r="H1211" s="31" t="s">
        <v>5</v>
      </c>
      <c r="I1211" s="31" t="s">
        <v>506</v>
      </c>
      <c r="J1211" s="31" t="s">
        <v>507</v>
      </c>
      <c r="K1211" s="31" t="s">
        <v>193</v>
      </c>
      <c r="L1211" s="31" t="s">
        <v>17</v>
      </c>
      <c r="M1211" s="31" t="s">
        <v>20</v>
      </c>
      <c r="N1211" s="31">
        <v>50</v>
      </c>
      <c r="O1211" s="31">
        <f>2024-Inventory[[#This Row],[YrBlt]]</f>
        <v>59</v>
      </c>
      <c r="P1211" s="31">
        <f>2024-Inventory[[#This Row],[EffYr]]</f>
        <v>48</v>
      </c>
      <c r="Q1211" s="30">
        <v>1965</v>
      </c>
      <c r="R1211" s="30">
        <v>1976</v>
      </c>
      <c r="S1211" s="30">
        <v>1812</v>
      </c>
      <c r="T1211" s="32"/>
      <c r="U1211" s="32"/>
      <c r="V1211" s="32"/>
      <c r="W1211" s="32"/>
      <c r="X1211" s="32">
        <f>Inventory[[#This Row],[Bsmt Area]]-Inventory[[#This Row],[FnBsmt]]</f>
        <v>0</v>
      </c>
      <c r="Y1211" s="32">
        <f>Inventory[[#This Row],[MainFn]]+Inventory[[#This Row],[UpprFn]]+Inventory[[#This Row],[AddFn]]+Inventory[[#This Row],[FnBsmt]]</f>
        <v>1812</v>
      </c>
      <c r="Z1211" s="32">
        <v>2000</v>
      </c>
      <c r="AA1211" s="31" t="s">
        <v>56</v>
      </c>
      <c r="AB1211" s="32"/>
      <c r="AC1211" s="30">
        <v>784</v>
      </c>
      <c r="AD1211" s="32"/>
      <c r="AE1211" s="32"/>
      <c r="AF1211" s="32"/>
      <c r="AG1211" s="32"/>
      <c r="AH1211" s="32"/>
      <c r="AI1211" s="30">
        <v>309921</v>
      </c>
      <c r="AJ1211" s="30">
        <v>226242</v>
      </c>
      <c r="AK1211" s="30">
        <v>0</v>
      </c>
      <c r="AL1211" s="30">
        <v>0</v>
      </c>
      <c r="AM1211" s="30">
        <v>64600</v>
      </c>
      <c r="AN1211" s="30">
        <v>276600</v>
      </c>
      <c r="AO1211" s="30">
        <v>341200</v>
      </c>
      <c r="AP1211" s="30">
        <f>Lookups!$B$58*0.6</f>
        <v>132535.48800000001</v>
      </c>
      <c r="AQ1211" s="30">
        <f>Lookups!$B$58*0.4</f>
        <v>88356.992000000013</v>
      </c>
      <c r="AR1211" s="30">
        <f>Lookups!$B$59*Inventory[[#This Row],[LnAcres]]</f>
        <v>-20482.442016152701</v>
      </c>
      <c r="AS1211" s="30">
        <f>VLOOKUP(Inventory[[#This Row],[Qlty]],Lookups!$A$66:$E$79,2,FALSE)</f>
        <v>24371.765965999999</v>
      </c>
      <c r="AT1211" s="30">
        <f>VLOOKUP(Inventory[[#This Row],[Cnd]],Lookups!$A$80:$E$88,2,FALSE)</f>
        <v>30300.329274</v>
      </c>
      <c r="AU1211" s="30">
        <f>Inventory[[#This Row],[EffAge]]*Lookups!$B$65</f>
        <v>-5219.5727999999999</v>
      </c>
      <c r="AV1211" s="30">
        <f>Inventory[[#This Row],[MainFn]]*Lookups!$B$90</f>
        <v>113087.60856000001</v>
      </c>
      <c r="AW1211" s="30">
        <f>Inventory[[#This Row],[UpprFn]]*Lookups!$B$91</f>
        <v>0</v>
      </c>
      <c r="AX1211" s="30">
        <f>Inventory[[#This Row],[Bsmt Area]]*Lookups!$B$95</f>
        <v>0</v>
      </c>
      <c r="AY1211" s="30">
        <f>Inventory[[#This Row],[AttGar]]*Lookups!$B$93</f>
        <v>27676.008304000003</v>
      </c>
      <c r="AZ1211" s="30">
        <f>ROUND(Inventory[[#This Row],[25Det]],-2)</f>
        <v>0</v>
      </c>
      <c r="BA1211" s="30">
        <f>ROUND(SUM(Inventory[[#This Row],[Mdl Qlty]:[Mdl Garage Area]])+Inventory[[#This Row],[Mdl Res Intercept]],-2)</f>
        <v>322800</v>
      </c>
      <c r="BB1211" s="30">
        <f>ROUND(Inventory[[#This Row],[Mdl Land Intercept]]+Inventory[[#This Row],[Mdl LnAcres]],-2)</f>
        <v>67900</v>
      </c>
      <c r="BC1211" s="30">
        <f>Inventory[[#This Row],[Unadj Res Value]]+Inventory[[#This Row],[Unadj Det Value]]+Inventory[[#This Row],[Unadj Land Value]]</f>
        <v>390700</v>
      </c>
      <c r="BD1211" s="30">
        <f>(Inventory[[#This Row],[Unadj Total Value]]-Inventory[[#This Row],[24Final]])/Inventory[[#This Row],[24Final]]</f>
        <v>0.14507620164126611</v>
      </c>
      <c r="BE1211" s="30">
        <f>VLOOKUP(Inventory[[#This Row],[Nbhd]],Lookups!$M$3:$P$5,4,FALSE)</f>
        <v>0.99970000000000003</v>
      </c>
      <c r="BF1211" s="30">
        <f>VLOOKUP(Inventory[[#This Row],[Qlty]],Lookups!$M$8:$P$22,4,FALSE)</f>
        <v>0.99199999999999999</v>
      </c>
      <c r="BG1211" s="30">
        <f>VLOOKUP(Inventory[[#This Row],[Cnd]],Lookups!$R$8:$U$17,4,FALSE)</f>
        <v>0.997</v>
      </c>
      <c r="BH1211" s="30">
        <f>VLOOKUP(Inventory[[#This Row],[LivArea Range]],Lookups!$R$25:$U$43,4,FALSE)</f>
        <v>1.0007999999999999</v>
      </c>
      <c r="BI1211" s="30">
        <f>VLOOKUP(Inventory[[#This Row],[Decade]],Lookups!$M$24:$P$40,4,FALSE)</f>
        <v>0.98519999999999996</v>
      </c>
      <c r="BJ1211" s="30">
        <f>Inventory[[#This Row],[Nbhd Adj]]*0.95</f>
        <v>0.94971499999999998</v>
      </c>
      <c r="BK1211" s="30">
        <f>AVERAGE(Inventory[[#This Row],[Nbhd Adj]],Inventory[[#This Row],[Quality Adj]],Inventory[[#This Row],[Condition Adj]],Inventory[[#This Row],[Living Area Adj]],Inventory[[#This Row],[Decade Adj]])*0.95</f>
        <v>0.94519299999999995</v>
      </c>
      <c r="BL1211" s="30">
        <f>ROUND((SUM(Inventory[[#This Row],[Mdl Qlty]:[Mdl Garage Area]])+Inventory[[#This Row],[Mdl Res Intercept]])*Inventory[[#This Row],[Res Adj ]],-2)</f>
        <v>305100</v>
      </c>
      <c r="BM1211" s="30">
        <f>ROUND(Inventory[[#This Row],[25Det]]*Inventory[[#This Row],[Det/Nbhd Adj]],-2)</f>
        <v>0</v>
      </c>
      <c r="BN1211" s="30">
        <f>Inventory[[#This Row],[Adjusted Res]]+Inventory[[#This Row],[Adj Det ]]</f>
        <v>305100</v>
      </c>
      <c r="BO1211" s="30">
        <f>ROUND((Inventory[[#This Row],[Mdl Land Intercept]]+Inventory[[#This Row],[Mdl LnAcres]])*Inventory[[#This Row],[Det/Nbhd Adj]],-2)</f>
        <v>64500</v>
      </c>
      <c r="BP1211" s="30">
        <f>Inventory[[#This Row],[Adjusted Impr Total]]+Inventory[[#This Row],[Adjusted Land Total]]</f>
        <v>369600</v>
      </c>
      <c r="BQ1211" s="30">
        <f>IFERROR((Inventory[[#This Row],[Adjusted Impr Total]]-Inventory[[#This Row],[24Bldg]])/Inventory[[#This Row],[24Bldg]],0)</f>
        <v>0.10303687635574837</v>
      </c>
      <c r="BR1211" s="43">
        <f>(Inventory[[#This Row],[Adjusted Land Total]]-Inventory[[#This Row],[24Lnd]])/Inventory[[#This Row],[24Lnd]]</f>
        <v>-1.5479876160990713E-3</v>
      </c>
      <c r="BS1211" s="43">
        <f>(Inventory[[#This Row],[Adjusted Total]]-Inventory[[#This Row],[24Final]])/Inventory[[#This Row],[24Final]]</f>
        <v>8.3235638921453692E-2</v>
      </c>
    </row>
    <row r="1212" spans="1:71">
      <c r="A1212" s="30">
        <v>2025</v>
      </c>
      <c r="B1212" s="31" t="s">
        <v>1729</v>
      </c>
      <c r="C1212" s="36">
        <f>LN(Inventory[[#This Row],[Acres]])</f>
        <v>-0.15082288973458366</v>
      </c>
      <c r="D1212" s="38">
        <v>0.86</v>
      </c>
      <c r="E1212" s="30">
        <v>37351</v>
      </c>
      <c r="F1212" s="31" t="s">
        <v>505</v>
      </c>
      <c r="G1212" s="31" t="s">
        <v>155</v>
      </c>
      <c r="H1212" s="31" t="s">
        <v>5</v>
      </c>
      <c r="I1212" s="31" t="s">
        <v>506</v>
      </c>
      <c r="J1212" s="31" t="s">
        <v>507</v>
      </c>
      <c r="K1212" s="31" t="s">
        <v>157</v>
      </c>
      <c r="L1212" s="31" t="s">
        <v>19</v>
      </c>
      <c r="M1212" s="31" t="s">
        <v>18</v>
      </c>
      <c r="N1212" s="31">
        <v>50</v>
      </c>
      <c r="O1212" s="31">
        <f>2024-Inventory[[#This Row],[YrBlt]]</f>
        <v>59</v>
      </c>
      <c r="P1212" s="31">
        <f>2024-Inventory[[#This Row],[EffYr]]</f>
        <v>48</v>
      </c>
      <c r="Q1212" s="30">
        <v>1965</v>
      </c>
      <c r="R1212" s="30">
        <v>1976</v>
      </c>
      <c r="S1212" s="30">
        <v>1650</v>
      </c>
      <c r="T1212" s="30">
        <v>720</v>
      </c>
      <c r="U1212" s="38">
        <v>360</v>
      </c>
      <c r="V1212" s="32"/>
      <c r="W1212" s="32"/>
      <c r="X1212" s="32">
        <f>Inventory[[#This Row],[Bsmt Area]]-Inventory[[#This Row],[FnBsmt]]</f>
        <v>360</v>
      </c>
      <c r="Y1212" s="32">
        <f>Inventory[[#This Row],[MainFn]]+Inventory[[#This Row],[UpprFn]]+Inventory[[#This Row],[AddFn]]+Inventory[[#This Row],[FnBsmt]]</f>
        <v>2370</v>
      </c>
      <c r="Z1212" s="32">
        <v>2500</v>
      </c>
      <c r="AA1212" s="31" t="s">
        <v>55</v>
      </c>
      <c r="AB1212" s="37"/>
      <c r="AC1212" s="32"/>
      <c r="AD1212" s="37"/>
      <c r="AE1212" s="32"/>
      <c r="AF1212" s="32"/>
      <c r="AG1212" s="32"/>
      <c r="AH1212" s="32"/>
      <c r="AI1212" s="30">
        <v>398793</v>
      </c>
      <c r="AJ1212" s="30">
        <v>287131</v>
      </c>
      <c r="AK1212" s="30">
        <v>66472</v>
      </c>
      <c r="AL1212" s="30">
        <v>0</v>
      </c>
      <c r="AM1212" s="30">
        <v>84400</v>
      </c>
      <c r="AN1212" s="30">
        <v>342700</v>
      </c>
      <c r="AO1212" s="30">
        <v>427100</v>
      </c>
      <c r="AP1212" s="30">
        <f>Lookups!$B$58*0.6</f>
        <v>132535.48800000001</v>
      </c>
      <c r="AQ1212" s="30">
        <f>Lookups!$B$58*0.4</f>
        <v>88356.992000000013</v>
      </c>
      <c r="AR1212" s="30">
        <f>Lookups!$B$59*Inventory[[#This Row],[LnAcres]]</f>
        <v>-1979.4480190242807</v>
      </c>
      <c r="AS1212" s="30">
        <f>VLOOKUP(Inventory[[#This Row],[Qlty]],Lookups!$A$66:$E$79,2,FALSE)</f>
        <v>37154.252388000001</v>
      </c>
      <c r="AT1212" s="30">
        <f>VLOOKUP(Inventory[[#This Row],[Cnd]],Lookups!$A$80:$E$88,2,FALSE)</f>
        <v>17761.121909000001</v>
      </c>
      <c r="AU1212" s="30">
        <f>Inventory[[#This Row],[EffAge]]*Lookups!$B$65</f>
        <v>-5219.5727999999999</v>
      </c>
      <c r="AV1212" s="30">
        <f>Inventory[[#This Row],[MainFn]]*Lookups!$B$90</f>
        <v>102977.12700000001</v>
      </c>
      <c r="AW1212" s="30">
        <f>Inventory[[#This Row],[UpprFn]]*Lookups!$B$91</f>
        <v>42897.875759999995</v>
      </c>
      <c r="AX1212" s="30">
        <f>Inventory[[#This Row],[Bsmt Area]]*Lookups!$B$95</f>
        <v>22531.138559999999</v>
      </c>
      <c r="AY1212" s="30">
        <f>Inventory[[#This Row],[AttGar]]*Lookups!$B$93</f>
        <v>0</v>
      </c>
      <c r="AZ1212" s="30">
        <f>ROUND(Inventory[[#This Row],[25Det]],-2)</f>
        <v>66500</v>
      </c>
      <c r="BA1212" s="30">
        <f>ROUND(SUM(Inventory[[#This Row],[Mdl Qlty]:[Mdl Garage Area]])+Inventory[[#This Row],[Mdl Res Intercept]],-2)</f>
        <v>350600</v>
      </c>
      <c r="BB1212" s="30">
        <f>ROUND(Inventory[[#This Row],[Mdl Land Intercept]]+Inventory[[#This Row],[Mdl LnAcres]],-2)</f>
        <v>86400</v>
      </c>
      <c r="BC1212" s="30">
        <f>Inventory[[#This Row],[Unadj Res Value]]+Inventory[[#This Row],[Unadj Det Value]]+Inventory[[#This Row],[Unadj Land Value]]</f>
        <v>503500</v>
      </c>
      <c r="BD1212" s="30">
        <f>(Inventory[[#This Row],[Unadj Total Value]]-Inventory[[#This Row],[24Final]])/Inventory[[#This Row],[24Final]]</f>
        <v>0.1788808241629595</v>
      </c>
      <c r="BE1212" s="30">
        <f>VLOOKUP(Inventory[[#This Row],[Nbhd]],Lookups!$M$3:$P$5,4,FALSE)</f>
        <v>0.99970000000000003</v>
      </c>
      <c r="BF1212" s="30">
        <f>VLOOKUP(Inventory[[#This Row],[Qlty]],Lookups!$M$8:$P$22,4,FALSE)</f>
        <v>0.99819999999999998</v>
      </c>
      <c r="BG1212" s="30">
        <f>VLOOKUP(Inventory[[#This Row],[Cnd]],Lookups!$R$8:$U$17,4,FALSE)</f>
        <v>0.99680000000000002</v>
      </c>
      <c r="BH1212" s="30">
        <f>VLOOKUP(Inventory[[#This Row],[LivArea Range]],Lookups!$R$25:$U$43,4,FALSE)</f>
        <v>1.0008999999999999</v>
      </c>
      <c r="BI1212" s="30">
        <f>VLOOKUP(Inventory[[#This Row],[Decade]],Lookups!$M$24:$P$40,4,FALSE)</f>
        <v>0.98519999999999996</v>
      </c>
      <c r="BJ1212" s="30">
        <f>Inventory[[#This Row],[Nbhd Adj]]*0.95</f>
        <v>0.94971499999999998</v>
      </c>
      <c r="BK1212" s="30">
        <f>AVERAGE(Inventory[[#This Row],[Nbhd Adj]],Inventory[[#This Row],[Quality Adj]],Inventory[[#This Row],[Condition Adj]],Inventory[[#This Row],[Living Area Adj]],Inventory[[#This Row],[Decade Adj]])*0.95</f>
        <v>0.94635199999999986</v>
      </c>
      <c r="BL1212" s="30">
        <f>ROUND((SUM(Inventory[[#This Row],[Mdl Qlty]:[Mdl Garage Area]])+Inventory[[#This Row],[Mdl Res Intercept]])*Inventory[[#This Row],[Res Adj ]],-2)</f>
        <v>331800</v>
      </c>
      <c r="BM1212" s="30">
        <f>ROUND(Inventory[[#This Row],[25Det]]*Inventory[[#This Row],[Det/Nbhd Adj]],-2)</f>
        <v>63100</v>
      </c>
      <c r="BN1212" s="30">
        <f>Inventory[[#This Row],[Adjusted Res]]+Inventory[[#This Row],[Adj Det ]]</f>
        <v>394900</v>
      </c>
      <c r="BO1212" s="30">
        <f>ROUND((Inventory[[#This Row],[Mdl Land Intercept]]+Inventory[[#This Row],[Mdl LnAcres]])*Inventory[[#This Row],[Det/Nbhd Adj]],-2)</f>
        <v>82000</v>
      </c>
      <c r="BP1212" s="30">
        <f>Inventory[[#This Row],[Adjusted Impr Total]]+Inventory[[#This Row],[Adjusted Land Total]]</f>
        <v>476900</v>
      </c>
      <c r="BQ1212" s="30">
        <f>IFERROR((Inventory[[#This Row],[Adjusted Impr Total]]-Inventory[[#This Row],[24Bldg]])/Inventory[[#This Row],[24Bldg]],0)</f>
        <v>0.15231981324773855</v>
      </c>
      <c r="BR1212" s="43">
        <f>(Inventory[[#This Row],[Adjusted Land Total]]-Inventory[[#This Row],[24Lnd]])/Inventory[[#This Row],[24Lnd]]</f>
        <v>-2.843601895734597E-2</v>
      </c>
      <c r="BS1212" s="43">
        <f>(Inventory[[#This Row],[Adjusted Total]]-Inventory[[#This Row],[24Final]])/Inventory[[#This Row],[24Final]]</f>
        <v>0.11660032779208616</v>
      </c>
    </row>
    <row r="1213" spans="1:71">
      <c r="A1213" s="30">
        <v>2025</v>
      </c>
      <c r="B1213" s="31" t="s">
        <v>1730</v>
      </c>
      <c r="C1213" s="36">
        <f>LN(Inventory[[#This Row],[Acres]])</f>
        <v>9.5310179804324935E-2</v>
      </c>
      <c r="D1213" s="38">
        <v>1.1000000000000001</v>
      </c>
      <c r="E1213" s="30">
        <v>47830</v>
      </c>
      <c r="F1213" s="31" t="s">
        <v>505</v>
      </c>
      <c r="G1213" s="31" t="s">
        <v>155</v>
      </c>
      <c r="H1213" s="31" t="s">
        <v>5</v>
      </c>
      <c r="I1213" s="31" t="s">
        <v>506</v>
      </c>
      <c r="J1213" s="31" t="s">
        <v>507</v>
      </c>
      <c r="K1213" s="31" t="s">
        <v>473</v>
      </c>
      <c r="L1213" s="31" t="s">
        <v>11</v>
      </c>
      <c r="M1213" s="31" t="s">
        <v>18</v>
      </c>
      <c r="N1213" s="31">
        <v>50</v>
      </c>
      <c r="O1213" s="31">
        <f>2024-Inventory[[#This Row],[YrBlt]]</f>
        <v>59</v>
      </c>
      <c r="P1213" s="31">
        <f>2024-Inventory[[#This Row],[EffYr]]</f>
        <v>48</v>
      </c>
      <c r="Q1213" s="30">
        <v>1965</v>
      </c>
      <c r="R1213" s="30">
        <v>1976</v>
      </c>
      <c r="S1213" s="30">
        <v>1195</v>
      </c>
      <c r="T1213" s="32"/>
      <c r="U1213" s="32"/>
      <c r="V1213" s="32"/>
      <c r="W1213" s="32"/>
      <c r="X1213" s="32">
        <f>Inventory[[#This Row],[Bsmt Area]]-Inventory[[#This Row],[FnBsmt]]</f>
        <v>0</v>
      </c>
      <c r="Y1213" s="32">
        <f>Inventory[[#This Row],[MainFn]]+Inventory[[#This Row],[UpprFn]]+Inventory[[#This Row],[AddFn]]+Inventory[[#This Row],[FnBsmt]]</f>
        <v>1195</v>
      </c>
      <c r="Z1213" s="32">
        <v>1500</v>
      </c>
      <c r="AA1213" s="31" t="s">
        <v>56</v>
      </c>
      <c r="AB1213" s="32"/>
      <c r="AC1213" s="37"/>
      <c r="AD1213" s="32"/>
      <c r="AE1213" s="32"/>
      <c r="AF1213" s="32"/>
      <c r="AG1213" s="32"/>
      <c r="AH1213" s="32"/>
      <c r="AI1213" s="30">
        <v>149898</v>
      </c>
      <c r="AJ1213" s="30">
        <v>107927</v>
      </c>
      <c r="AK1213" s="30">
        <v>12254</v>
      </c>
      <c r="AL1213" s="30">
        <v>0</v>
      </c>
      <c r="AM1213" s="30">
        <v>87800</v>
      </c>
      <c r="AN1213" s="30">
        <v>175700</v>
      </c>
      <c r="AO1213" s="30">
        <v>263500</v>
      </c>
      <c r="AP1213" s="30">
        <f>Lookups!$B$58*0.6</f>
        <v>132535.48800000001</v>
      </c>
      <c r="AQ1213" s="30">
        <f>Lookups!$B$58*0.4</f>
        <v>88356.992000000013</v>
      </c>
      <c r="AR1213" s="30">
        <f>Lookups!$B$59*Inventory[[#This Row],[LnAcres]]</f>
        <v>1250.8813943196776</v>
      </c>
      <c r="AS1213" s="30">
        <f>VLOOKUP(Inventory[[#This Row],[Qlty]],Lookups!$A$66:$E$79,2,FALSE)</f>
        <v>-9114.1675108666695</v>
      </c>
      <c r="AT1213" s="30">
        <f>VLOOKUP(Inventory[[#This Row],[Cnd]],Lookups!$A$80:$E$88,2,FALSE)</f>
        <v>17761.121909000001</v>
      </c>
      <c r="AU1213" s="30">
        <f>Inventory[[#This Row],[EffAge]]*Lookups!$B$65</f>
        <v>-5219.5727999999999</v>
      </c>
      <c r="AV1213" s="30">
        <f>Inventory[[#This Row],[MainFn]]*Lookups!$B$90</f>
        <v>74580.4041</v>
      </c>
      <c r="AW1213" s="30">
        <f>Inventory[[#This Row],[UpprFn]]*Lookups!$B$91</f>
        <v>0</v>
      </c>
      <c r="AX1213" s="30">
        <f>Inventory[[#This Row],[Bsmt Area]]*Lookups!$B$95</f>
        <v>0</v>
      </c>
      <c r="AY1213" s="30">
        <f>Inventory[[#This Row],[AttGar]]*Lookups!$B$93</f>
        <v>0</v>
      </c>
      <c r="AZ1213" s="30">
        <f>ROUND(Inventory[[#This Row],[25Det]],-2)</f>
        <v>12300</v>
      </c>
      <c r="BA1213" s="30">
        <f>ROUND(SUM(Inventory[[#This Row],[Mdl Qlty]:[Mdl Garage Area]])+Inventory[[#This Row],[Mdl Res Intercept]],-2)</f>
        <v>210500</v>
      </c>
      <c r="BB1213" s="30">
        <f>ROUND(Inventory[[#This Row],[Mdl Land Intercept]]+Inventory[[#This Row],[Mdl LnAcres]],-2)</f>
        <v>89600</v>
      </c>
      <c r="BC1213" s="30">
        <f>Inventory[[#This Row],[Unadj Res Value]]+Inventory[[#This Row],[Unadj Det Value]]+Inventory[[#This Row],[Unadj Land Value]]</f>
        <v>312400</v>
      </c>
      <c r="BD1213" s="30">
        <f>(Inventory[[#This Row],[Unadj Total Value]]-Inventory[[#This Row],[24Final]])/Inventory[[#This Row],[24Final]]</f>
        <v>0.18557874762808349</v>
      </c>
      <c r="BE1213" s="30">
        <f>VLOOKUP(Inventory[[#This Row],[Nbhd]],Lookups!$M$3:$P$5,4,FALSE)</f>
        <v>0.99970000000000003</v>
      </c>
      <c r="BF1213" s="30">
        <f>VLOOKUP(Inventory[[#This Row],[Qlty]],Lookups!$M$8:$P$22,4,FALSE)</f>
        <v>1</v>
      </c>
      <c r="BG1213" s="30">
        <f>VLOOKUP(Inventory[[#This Row],[Cnd]],Lookups!$R$8:$U$17,4,FALSE)</f>
        <v>0.99680000000000002</v>
      </c>
      <c r="BH1213" s="30">
        <f>VLOOKUP(Inventory[[#This Row],[LivArea Range]],Lookups!$R$25:$U$43,4,FALSE)</f>
        <v>0.99519999999999997</v>
      </c>
      <c r="BI1213" s="30">
        <f>VLOOKUP(Inventory[[#This Row],[Decade]],Lookups!$M$24:$P$40,4,FALSE)</f>
        <v>0.98519999999999996</v>
      </c>
      <c r="BJ1213" s="30">
        <f>Inventory[[#This Row],[Nbhd Adj]]*0.95</f>
        <v>0.94971499999999998</v>
      </c>
      <c r="BK1213" s="30">
        <f>AVERAGE(Inventory[[#This Row],[Nbhd Adj]],Inventory[[#This Row],[Quality Adj]],Inventory[[#This Row],[Condition Adj]],Inventory[[#This Row],[Living Area Adj]],Inventory[[#This Row],[Decade Adj]])*0.95</f>
        <v>0.94561100000000009</v>
      </c>
      <c r="BL1213" s="30">
        <f>ROUND((SUM(Inventory[[#This Row],[Mdl Qlty]:[Mdl Garage Area]])+Inventory[[#This Row],[Mdl Res Intercept]])*Inventory[[#This Row],[Res Adj ]],-2)</f>
        <v>199100</v>
      </c>
      <c r="BM1213" s="30">
        <f>ROUND(Inventory[[#This Row],[25Det]]*Inventory[[#This Row],[Det/Nbhd Adj]],-2)</f>
        <v>11600</v>
      </c>
      <c r="BN1213" s="30">
        <f>Inventory[[#This Row],[Adjusted Res]]+Inventory[[#This Row],[Adj Det ]]</f>
        <v>210700</v>
      </c>
      <c r="BO1213" s="30">
        <f>ROUND((Inventory[[#This Row],[Mdl Land Intercept]]+Inventory[[#This Row],[Mdl LnAcres]])*Inventory[[#This Row],[Det/Nbhd Adj]],-2)</f>
        <v>85100</v>
      </c>
      <c r="BP1213" s="30">
        <f>Inventory[[#This Row],[Adjusted Impr Total]]+Inventory[[#This Row],[Adjusted Land Total]]</f>
        <v>295800</v>
      </c>
      <c r="BQ1213" s="30">
        <f>IFERROR((Inventory[[#This Row],[Adjusted Impr Total]]-Inventory[[#This Row],[24Bldg]])/Inventory[[#This Row],[24Bldg]],0)</f>
        <v>0.19920318725099601</v>
      </c>
      <c r="BR1213" s="43">
        <f>(Inventory[[#This Row],[Adjusted Land Total]]-Inventory[[#This Row],[24Lnd]])/Inventory[[#This Row],[24Lnd]]</f>
        <v>-3.0751708428246014E-2</v>
      </c>
      <c r="BS1213" s="43">
        <f>(Inventory[[#This Row],[Adjusted Total]]-Inventory[[#This Row],[24Final]])/Inventory[[#This Row],[24Final]]</f>
        <v>0.12258064516129032</v>
      </c>
    </row>
    <row r="1214" spans="1:71">
      <c r="A1214" s="30">
        <v>2025</v>
      </c>
      <c r="B1214" s="31" t="s">
        <v>1731</v>
      </c>
      <c r="C1214" s="36">
        <f>LN(Inventory[[#This Row],[Acres]])</f>
        <v>0.94778939893352609</v>
      </c>
      <c r="D1214" s="38">
        <v>2.58</v>
      </c>
      <c r="E1214" s="37"/>
      <c r="F1214" s="31" t="s">
        <v>505</v>
      </c>
      <c r="G1214" s="31" t="s">
        <v>155</v>
      </c>
      <c r="H1214" s="31" t="s">
        <v>5</v>
      </c>
      <c r="I1214" s="31" t="s">
        <v>506</v>
      </c>
      <c r="J1214" s="31" t="s">
        <v>507</v>
      </c>
      <c r="K1214" s="31" t="s">
        <v>193</v>
      </c>
      <c r="L1214" s="31" t="s">
        <v>21</v>
      </c>
      <c r="M1214" s="31" t="s">
        <v>20</v>
      </c>
      <c r="N1214" s="31">
        <v>50</v>
      </c>
      <c r="O1214" s="31">
        <f>2024-Inventory[[#This Row],[YrBlt]]</f>
        <v>59</v>
      </c>
      <c r="P1214" s="31">
        <f>2024-Inventory[[#This Row],[EffYr]]</f>
        <v>48</v>
      </c>
      <c r="Q1214" s="30">
        <v>1965</v>
      </c>
      <c r="R1214" s="30">
        <v>1976</v>
      </c>
      <c r="S1214" s="30">
        <v>1561</v>
      </c>
      <c r="T1214" s="32"/>
      <c r="U1214" s="32"/>
      <c r="V1214" s="32"/>
      <c r="W1214" s="32"/>
      <c r="X1214" s="32">
        <f>Inventory[[#This Row],[Bsmt Area]]-Inventory[[#This Row],[FnBsmt]]</f>
        <v>0</v>
      </c>
      <c r="Y1214" s="32">
        <f>Inventory[[#This Row],[MainFn]]+Inventory[[#This Row],[UpprFn]]+Inventory[[#This Row],[AddFn]]+Inventory[[#This Row],[FnBsmt]]</f>
        <v>1561</v>
      </c>
      <c r="Z1214" s="32">
        <v>2000</v>
      </c>
      <c r="AA1214" s="31" t="s">
        <v>56</v>
      </c>
      <c r="AB1214" s="32"/>
      <c r="AC1214" s="37"/>
      <c r="AD1214" s="32"/>
      <c r="AE1214" s="32"/>
      <c r="AF1214" s="32"/>
      <c r="AG1214" s="32"/>
      <c r="AH1214" s="32"/>
      <c r="AI1214" s="30">
        <v>362431</v>
      </c>
      <c r="AJ1214" s="30">
        <v>264575</v>
      </c>
      <c r="AK1214" s="30">
        <v>18549</v>
      </c>
      <c r="AL1214" s="30">
        <v>0</v>
      </c>
      <c r="AM1214" s="30">
        <v>99800</v>
      </c>
      <c r="AN1214" s="30">
        <v>259200</v>
      </c>
      <c r="AO1214" s="30">
        <v>359000</v>
      </c>
      <c r="AP1214" s="30">
        <f>Lookups!$B$58*0.6</f>
        <v>132535.48800000001</v>
      </c>
      <c r="AQ1214" s="30">
        <f>Lookups!$B$58*0.4</f>
        <v>88356.992000000013</v>
      </c>
      <c r="AR1214" s="30">
        <f>Lookups!$B$59*Inventory[[#This Row],[LnAcres]]</f>
        <v>12439.092312000654</v>
      </c>
      <c r="AS1214" s="30">
        <f>VLOOKUP(Inventory[[#This Row],[Qlty]],Lookups!$A$66:$E$79,2,FALSE)</f>
        <v>32917.849192000001</v>
      </c>
      <c r="AT1214" s="30">
        <f>VLOOKUP(Inventory[[#This Row],[Cnd]],Lookups!$A$80:$E$88,2,FALSE)</f>
        <v>30300.329274</v>
      </c>
      <c r="AU1214" s="30">
        <f>Inventory[[#This Row],[EffAge]]*Lookups!$B$65</f>
        <v>-5219.5727999999999</v>
      </c>
      <c r="AV1214" s="30">
        <f>Inventory[[#This Row],[MainFn]]*Lookups!$B$90</f>
        <v>97422.603180000006</v>
      </c>
      <c r="AW1214" s="30">
        <f>Inventory[[#This Row],[UpprFn]]*Lookups!$B$91</f>
        <v>0</v>
      </c>
      <c r="AX1214" s="30">
        <f>Inventory[[#This Row],[Bsmt Area]]*Lookups!$B$95</f>
        <v>0</v>
      </c>
      <c r="AY1214" s="30">
        <f>Inventory[[#This Row],[AttGar]]*Lookups!$B$93</f>
        <v>0</v>
      </c>
      <c r="AZ1214" s="30">
        <f>ROUND(Inventory[[#This Row],[25Det]],-2)</f>
        <v>18500</v>
      </c>
      <c r="BA1214" s="30">
        <f>ROUND(SUM(Inventory[[#This Row],[Mdl Qlty]:[Mdl Garage Area]])+Inventory[[#This Row],[Mdl Res Intercept]],-2)</f>
        <v>288000</v>
      </c>
      <c r="BB1214" s="30">
        <f>ROUND(Inventory[[#This Row],[Mdl Land Intercept]]+Inventory[[#This Row],[Mdl LnAcres]],-2)</f>
        <v>100800</v>
      </c>
      <c r="BC1214" s="30">
        <f>Inventory[[#This Row],[Unadj Res Value]]+Inventory[[#This Row],[Unadj Det Value]]+Inventory[[#This Row],[Unadj Land Value]]</f>
        <v>407300</v>
      </c>
      <c r="BD1214" s="30">
        <f>(Inventory[[#This Row],[Unadj Total Value]]-Inventory[[#This Row],[24Final]])/Inventory[[#This Row],[24Final]]</f>
        <v>0.13454038997214485</v>
      </c>
      <c r="BE1214" s="30">
        <f>VLOOKUP(Inventory[[#This Row],[Nbhd]],Lookups!$M$3:$P$5,4,FALSE)</f>
        <v>0.99970000000000003</v>
      </c>
      <c r="BF1214" s="30">
        <f>VLOOKUP(Inventory[[#This Row],[Qlty]],Lookups!$M$8:$P$22,4,FALSE)</f>
        <v>1.0019</v>
      </c>
      <c r="BG1214" s="30">
        <f>VLOOKUP(Inventory[[#This Row],[Cnd]],Lookups!$R$8:$U$17,4,FALSE)</f>
        <v>0.997</v>
      </c>
      <c r="BH1214" s="30">
        <f>VLOOKUP(Inventory[[#This Row],[LivArea Range]],Lookups!$R$25:$U$43,4,FALSE)</f>
        <v>1.0007999999999999</v>
      </c>
      <c r="BI1214" s="30">
        <f>VLOOKUP(Inventory[[#This Row],[Decade]],Lookups!$M$24:$P$40,4,FALSE)</f>
        <v>0.98519999999999996</v>
      </c>
      <c r="BJ1214" s="30">
        <f>Inventory[[#This Row],[Nbhd Adj]]*0.95</f>
        <v>0.94971499999999998</v>
      </c>
      <c r="BK1214" s="30">
        <f>AVERAGE(Inventory[[#This Row],[Nbhd Adj]],Inventory[[#This Row],[Quality Adj]],Inventory[[#This Row],[Condition Adj]],Inventory[[#This Row],[Living Area Adj]],Inventory[[#This Row],[Decade Adj]])*0.95</f>
        <v>0.94707399999999986</v>
      </c>
      <c r="BL1214" s="30">
        <f>ROUND((SUM(Inventory[[#This Row],[Mdl Qlty]:[Mdl Garage Area]])+Inventory[[#This Row],[Mdl Res Intercept]])*Inventory[[#This Row],[Res Adj ]],-2)</f>
        <v>272700</v>
      </c>
      <c r="BM1214" s="30">
        <f>ROUND(Inventory[[#This Row],[25Det]]*Inventory[[#This Row],[Det/Nbhd Adj]],-2)</f>
        <v>17600</v>
      </c>
      <c r="BN1214" s="30">
        <f>Inventory[[#This Row],[Adjusted Res]]+Inventory[[#This Row],[Adj Det ]]</f>
        <v>290300</v>
      </c>
      <c r="BO1214" s="30">
        <f>ROUND((Inventory[[#This Row],[Mdl Land Intercept]]+Inventory[[#This Row],[Mdl LnAcres]])*Inventory[[#This Row],[Det/Nbhd Adj]],-2)</f>
        <v>95700</v>
      </c>
      <c r="BP1214" s="30">
        <f>Inventory[[#This Row],[Adjusted Impr Total]]+Inventory[[#This Row],[Adjusted Land Total]]</f>
        <v>386000</v>
      </c>
      <c r="BQ1214" s="30">
        <f>IFERROR((Inventory[[#This Row],[Adjusted Impr Total]]-Inventory[[#This Row],[24Bldg]])/Inventory[[#This Row],[24Bldg]],0)</f>
        <v>0.11998456790123457</v>
      </c>
      <c r="BR1214" s="43">
        <f>(Inventory[[#This Row],[Adjusted Land Total]]-Inventory[[#This Row],[24Lnd]])/Inventory[[#This Row],[24Lnd]]</f>
        <v>-4.1082164328657314E-2</v>
      </c>
      <c r="BS1214" s="43">
        <f>(Inventory[[#This Row],[Adjusted Total]]-Inventory[[#This Row],[24Final]])/Inventory[[#This Row],[24Final]]</f>
        <v>7.5208913649025072E-2</v>
      </c>
    </row>
    <row r="1215" spans="1:71">
      <c r="A1215" s="30">
        <v>2025</v>
      </c>
      <c r="B1215" s="31" t="s">
        <v>1732</v>
      </c>
      <c r="C1215" s="36">
        <f>LN(Inventory[[#This Row],[Acres]])</f>
        <v>4.8790164169432049E-2</v>
      </c>
      <c r="D1215" s="38">
        <v>1.05</v>
      </c>
      <c r="E1215" s="30">
        <v>45928</v>
      </c>
      <c r="F1215" s="31" t="s">
        <v>505</v>
      </c>
      <c r="G1215" s="31" t="s">
        <v>155</v>
      </c>
      <c r="H1215" s="31" t="s">
        <v>5</v>
      </c>
      <c r="I1215" s="31" t="s">
        <v>506</v>
      </c>
      <c r="J1215" s="31" t="s">
        <v>507</v>
      </c>
      <c r="K1215" s="31" t="s">
        <v>193</v>
      </c>
      <c r="L1215" s="31" t="s">
        <v>15</v>
      </c>
      <c r="M1215" s="31" t="s">
        <v>20</v>
      </c>
      <c r="N1215" s="31">
        <v>60</v>
      </c>
      <c r="O1215" s="31">
        <f>2024-Inventory[[#This Row],[YrBlt]]</f>
        <v>62</v>
      </c>
      <c r="P1215" s="31">
        <f>2024-Inventory[[#This Row],[EffYr]]</f>
        <v>49</v>
      </c>
      <c r="Q1215" s="30">
        <v>1962</v>
      </c>
      <c r="R1215" s="30">
        <v>1975</v>
      </c>
      <c r="S1215" s="30">
        <v>1276</v>
      </c>
      <c r="T1215" s="32"/>
      <c r="U1215" s="32"/>
      <c r="V1215" s="32"/>
      <c r="W1215" s="32"/>
      <c r="X1215" s="32">
        <f>Inventory[[#This Row],[Bsmt Area]]-Inventory[[#This Row],[FnBsmt]]</f>
        <v>0</v>
      </c>
      <c r="Y1215" s="32">
        <f>Inventory[[#This Row],[MainFn]]+Inventory[[#This Row],[UpprFn]]+Inventory[[#This Row],[AddFn]]+Inventory[[#This Row],[FnBsmt]]</f>
        <v>1276</v>
      </c>
      <c r="Z1215" s="32">
        <v>1500</v>
      </c>
      <c r="AA1215" s="31" t="s">
        <v>56</v>
      </c>
      <c r="AB1215" s="32"/>
      <c r="AC1215" s="37"/>
      <c r="AD1215" s="32"/>
      <c r="AE1215" s="32"/>
      <c r="AF1215" s="32"/>
      <c r="AG1215" s="32"/>
      <c r="AH1215" s="32"/>
      <c r="AI1215" s="30">
        <v>191744</v>
      </c>
      <c r="AJ1215" s="30">
        <v>138056</v>
      </c>
      <c r="AK1215" s="30">
        <v>0</v>
      </c>
      <c r="AL1215" s="30">
        <v>0</v>
      </c>
      <c r="AM1215" s="30">
        <v>87200</v>
      </c>
      <c r="AN1215" s="30">
        <v>203600</v>
      </c>
      <c r="AO1215" s="30">
        <v>290800</v>
      </c>
      <c r="AP1215" s="30">
        <f>Lookups!$B$58*0.6</f>
        <v>132535.48800000001</v>
      </c>
      <c r="AQ1215" s="30">
        <f>Lookups!$B$58*0.4</f>
        <v>88356.992000000013</v>
      </c>
      <c r="AR1215" s="30">
        <f>Lookups!$B$59*Inventory[[#This Row],[LnAcres]]</f>
        <v>640.33777620232456</v>
      </c>
      <c r="AS1215" s="30">
        <f>VLOOKUP(Inventory[[#This Row],[Qlty]],Lookups!$A$66:$E$79,2,FALSE)</f>
        <v>-1240.8083630000001</v>
      </c>
      <c r="AT1215" s="30">
        <f>VLOOKUP(Inventory[[#This Row],[Cnd]],Lookups!$A$80:$E$88,2,FALSE)</f>
        <v>30300.329274</v>
      </c>
      <c r="AU1215" s="30">
        <f>Inventory[[#This Row],[EffAge]]*Lookups!$B$65</f>
        <v>-5328.3139000000001</v>
      </c>
      <c r="AV1215" s="30">
        <f>Inventory[[#This Row],[MainFn]]*Lookups!$B$90</f>
        <v>79635.644880000007</v>
      </c>
      <c r="AW1215" s="30">
        <f>Inventory[[#This Row],[UpprFn]]*Lookups!$B$91</f>
        <v>0</v>
      </c>
      <c r="AX1215" s="30">
        <f>Inventory[[#This Row],[Bsmt Area]]*Lookups!$B$95</f>
        <v>0</v>
      </c>
      <c r="AY1215" s="30">
        <f>Inventory[[#This Row],[AttGar]]*Lookups!$B$93</f>
        <v>0</v>
      </c>
      <c r="AZ1215" s="30">
        <f>ROUND(Inventory[[#This Row],[25Det]],-2)</f>
        <v>0</v>
      </c>
      <c r="BA1215" s="30">
        <f>ROUND(SUM(Inventory[[#This Row],[Mdl Qlty]:[Mdl Garage Area]])+Inventory[[#This Row],[Mdl Res Intercept]],-2)</f>
        <v>235900</v>
      </c>
      <c r="BB1215" s="30">
        <f>ROUND(Inventory[[#This Row],[Mdl Land Intercept]]+Inventory[[#This Row],[Mdl LnAcres]],-2)</f>
        <v>89000</v>
      </c>
      <c r="BC1215" s="30">
        <f>Inventory[[#This Row],[Unadj Res Value]]+Inventory[[#This Row],[Unadj Det Value]]+Inventory[[#This Row],[Unadj Land Value]]</f>
        <v>324900</v>
      </c>
      <c r="BD1215" s="30">
        <f>(Inventory[[#This Row],[Unadj Total Value]]-Inventory[[#This Row],[24Final]])/Inventory[[#This Row],[24Final]]</f>
        <v>0.1172627235213205</v>
      </c>
      <c r="BE1215" s="30">
        <f>VLOOKUP(Inventory[[#This Row],[Nbhd]],Lookups!$M$3:$P$5,4,FALSE)</f>
        <v>0.99970000000000003</v>
      </c>
      <c r="BF1215" s="30">
        <f>VLOOKUP(Inventory[[#This Row],[Qlty]],Lookups!$M$8:$P$22,4,FALSE)</f>
        <v>1.0022</v>
      </c>
      <c r="BG1215" s="30">
        <f>VLOOKUP(Inventory[[#This Row],[Cnd]],Lookups!$R$8:$U$17,4,FALSE)</f>
        <v>0.997</v>
      </c>
      <c r="BH1215" s="30">
        <f>VLOOKUP(Inventory[[#This Row],[LivArea Range]],Lookups!$R$25:$U$43,4,FALSE)</f>
        <v>0.99519999999999997</v>
      </c>
      <c r="BI1215" s="30">
        <f>VLOOKUP(Inventory[[#This Row],[Decade]],Lookups!$M$24:$P$40,4,FALSE)</f>
        <v>1.0362</v>
      </c>
      <c r="BJ1215" s="30">
        <f>Inventory[[#This Row],[Nbhd Adj]]*0.95</f>
        <v>0.94971499999999998</v>
      </c>
      <c r="BK1215" s="30">
        <f>AVERAGE(Inventory[[#This Row],[Nbhd Adj]],Inventory[[#This Row],[Quality Adj]],Inventory[[#This Row],[Condition Adj]],Inventory[[#This Row],[Living Area Adj]],Inventory[[#This Row],[Decade Adj]])*0.95</f>
        <v>0.95575700000000008</v>
      </c>
      <c r="BL1215" s="30">
        <f>ROUND((SUM(Inventory[[#This Row],[Mdl Qlty]:[Mdl Garage Area]])+Inventory[[#This Row],[Mdl Res Intercept]])*Inventory[[#This Row],[Res Adj ]],-2)</f>
        <v>225500</v>
      </c>
      <c r="BM1215" s="30">
        <f>ROUND(Inventory[[#This Row],[25Det]]*Inventory[[#This Row],[Det/Nbhd Adj]],-2)</f>
        <v>0</v>
      </c>
      <c r="BN1215" s="30">
        <f>Inventory[[#This Row],[Adjusted Res]]+Inventory[[#This Row],[Adj Det ]]</f>
        <v>225500</v>
      </c>
      <c r="BO1215" s="30">
        <f>ROUND((Inventory[[#This Row],[Mdl Land Intercept]]+Inventory[[#This Row],[Mdl LnAcres]])*Inventory[[#This Row],[Det/Nbhd Adj]],-2)</f>
        <v>84500</v>
      </c>
      <c r="BP1215" s="30">
        <f>Inventory[[#This Row],[Adjusted Impr Total]]+Inventory[[#This Row],[Adjusted Land Total]]</f>
        <v>310000</v>
      </c>
      <c r="BQ1215" s="30">
        <f>IFERROR((Inventory[[#This Row],[Adjusted Impr Total]]-Inventory[[#This Row],[24Bldg]])/Inventory[[#This Row],[24Bldg]],0)</f>
        <v>0.10756385068762279</v>
      </c>
      <c r="BR1215" s="43">
        <f>(Inventory[[#This Row],[Adjusted Land Total]]-Inventory[[#This Row],[24Lnd]])/Inventory[[#This Row],[24Lnd]]</f>
        <v>-3.096330275229358E-2</v>
      </c>
      <c r="BS1215" s="43">
        <f>(Inventory[[#This Row],[Adjusted Total]]-Inventory[[#This Row],[24Final]])/Inventory[[#This Row],[24Final]]</f>
        <v>6.6024759284731768E-2</v>
      </c>
    </row>
    <row r="1216" spans="1:71">
      <c r="A1216" s="30">
        <v>2025</v>
      </c>
      <c r="B1216" s="31" t="s">
        <v>1733</v>
      </c>
      <c r="C1216" s="36">
        <f>LN(Inventory[[#This Row],[Acres]])</f>
        <v>-0.41551544396166579</v>
      </c>
      <c r="D1216" s="38">
        <v>0.66</v>
      </c>
      <c r="E1216" s="30">
        <v>28797</v>
      </c>
      <c r="F1216" s="31" t="s">
        <v>505</v>
      </c>
      <c r="G1216" s="31" t="s">
        <v>155</v>
      </c>
      <c r="H1216" s="31" t="s">
        <v>5</v>
      </c>
      <c r="I1216" s="31" t="s">
        <v>506</v>
      </c>
      <c r="J1216" s="31" t="s">
        <v>507</v>
      </c>
      <c r="K1216" s="31" t="s">
        <v>193</v>
      </c>
      <c r="L1216" s="31" t="s">
        <v>17</v>
      </c>
      <c r="M1216" s="31" t="s">
        <v>18</v>
      </c>
      <c r="N1216" s="31">
        <v>60</v>
      </c>
      <c r="O1216" s="31">
        <f>2024-Inventory[[#This Row],[YrBlt]]</f>
        <v>63</v>
      </c>
      <c r="P1216" s="31">
        <f>2024-Inventory[[#This Row],[EffYr]]</f>
        <v>49</v>
      </c>
      <c r="Q1216" s="30">
        <v>1961</v>
      </c>
      <c r="R1216" s="30">
        <v>1975</v>
      </c>
      <c r="S1216" s="30">
        <v>1344</v>
      </c>
      <c r="T1216" s="32"/>
      <c r="U1216" s="32"/>
      <c r="V1216" s="32"/>
      <c r="W1216" s="32"/>
      <c r="X1216" s="32">
        <f>Inventory[[#This Row],[Bsmt Area]]-Inventory[[#This Row],[FnBsmt]]</f>
        <v>0</v>
      </c>
      <c r="Y1216" s="32">
        <f>Inventory[[#This Row],[MainFn]]+Inventory[[#This Row],[UpprFn]]+Inventory[[#This Row],[AddFn]]+Inventory[[#This Row],[FnBsmt]]</f>
        <v>1344</v>
      </c>
      <c r="Z1216" s="32">
        <v>1500</v>
      </c>
      <c r="AA1216" s="31" t="s">
        <v>56</v>
      </c>
      <c r="AB1216" s="32"/>
      <c r="AC1216" s="30">
        <v>672</v>
      </c>
      <c r="AD1216" s="32"/>
      <c r="AE1216" s="32"/>
      <c r="AF1216" s="32"/>
      <c r="AG1216" s="32"/>
      <c r="AH1216" s="32"/>
      <c r="AI1216" s="30">
        <v>260628</v>
      </c>
      <c r="AJ1216" s="30">
        <v>185046</v>
      </c>
      <c r="AK1216" s="30">
        <v>17711</v>
      </c>
      <c r="AL1216" s="30">
        <v>0</v>
      </c>
      <c r="AM1216" s="30">
        <v>80700</v>
      </c>
      <c r="AN1216" s="30">
        <v>251900</v>
      </c>
      <c r="AO1216" s="30">
        <v>332600</v>
      </c>
      <c r="AP1216" s="30">
        <f>Lookups!$B$58*0.6</f>
        <v>132535.48800000001</v>
      </c>
      <c r="AQ1216" s="30">
        <f>Lookups!$B$58*0.4</f>
        <v>88356.992000000013</v>
      </c>
      <c r="AR1216" s="30">
        <f>Lookups!$B$59*Inventory[[#This Row],[LnAcres]]</f>
        <v>-5453.3580670104138</v>
      </c>
      <c r="AS1216" s="30">
        <f>VLOOKUP(Inventory[[#This Row],[Qlty]],Lookups!$A$66:$E$79,2,FALSE)</f>
        <v>24371.765965999999</v>
      </c>
      <c r="AT1216" s="30">
        <f>VLOOKUP(Inventory[[#This Row],[Cnd]],Lookups!$A$80:$E$88,2,FALSE)</f>
        <v>17761.121909000001</v>
      </c>
      <c r="AU1216" s="30">
        <f>Inventory[[#This Row],[EffAge]]*Lookups!$B$65</f>
        <v>-5328.3139000000001</v>
      </c>
      <c r="AV1216" s="30">
        <f>Inventory[[#This Row],[MainFn]]*Lookups!$B$90</f>
        <v>83879.550719999999</v>
      </c>
      <c r="AW1216" s="30">
        <f>Inventory[[#This Row],[UpprFn]]*Lookups!$B$91</f>
        <v>0</v>
      </c>
      <c r="AX1216" s="30">
        <f>Inventory[[#This Row],[Bsmt Area]]*Lookups!$B$95</f>
        <v>0</v>
      </c>
      <c r="AY1216" s="30">
        <f>Inventory[[#This Row],[AttGar]]*Lookups!$B$93</f>
        <v>23722.292832000003</v>
      </c>
      <c r="AZ1216" s="30">
        <f>ROUND(Inventory[[#This Row],[25Det]],-2)</f>
        <v>17700</v>
      </c>
      <c r="BA1216" s="30">
        <f>ROUND(SUM(Inventory[[#This Row],[Mdl Qlty]:[Mdl Garage Area]])+Inventory[[#This Row],[Mdl Res Intercept]],-2)</f>
        <v>276900</v>
      </c>
      <c r="BB1216" s="30">
        <f>ROUND(Inventory[[#This Row],[Mdl Land Intercept]]+Inventory[[#This Row],[Mdl LnAcres]],-2)</f>
        <v>82900</v>
      </c>
      <c r="BC1216" s="30">
        <f>Inventory[[#This Row],[Unadj Res Value]]+Inventory[[#This Row],[Unadj Det Value]]+Inventory[[#This Row],[Unadj Land Value]]</f>
        <v>377500</v>
      </c>
      <c r="BD1216" s="30">
        <f>(Inventory[[#This Row],[Unadj Total Value]]-Inventory[[#This Row],[24Final]])/Inventory[[#This Row],[24Final]]</f>
        <v>0.13499699338544799</v>
      </c>
      <c r="BE1216" s="30">
        <f>VLOOKUP(Inventory[[#This Row],[Nbhd]],Lookups!$M$3:$P$5,4,FALSE)</f>
        <v>0.99970000000000003</v>
      </c>
      <c r="BF1216" s="30">
        <f>VLOOKUP(Inventory[[#This Row],[Qlty]],Lookups!$M$8:$P$22,4,FALSE)</f>
        <v>0.99199999999999999</v>
      </c>
      <c r="BG1216" s="30">
        <f>VLOOKUP(Inventory[[#This Row],[Cnd]],Lookups!$R$8:$U$17,4,FALSE)</f>
        <v>0.99680000000000002</v>
      </c>
      <c r="BH1216" s="30">
        <f>VLOOKUP(Inventory[[#This Row],[LivArea Range]],Lookups!$R$25:$U$43,4,FALSE)</f>
        <v>0.99519999999999997</v>
      </c>
      <c r="BI1216" s="30">
        <f>VLOOKUP(Inventory[[#This Row],[Decade]],Lookups!$M$24:$P$40,4,FALSE)</f>
        <v>1.0362</v>
      </c>
      <c r="BJ1216" s="30">
        <f>Inventory[[#This Row],[Nbhd Adj]]*0.95</f>
        <v>0.94971499999999998</v>
      </c>
      <c r="BK1216" s="30">
        <f>AVERAGE(Inventory[[#This Row],[Nbhd Adj]],Inventory[[#This Row],[Quality Adj]],Inventory[[#This Row],[Condition Adj]],Inventory[[#This Row],[Living Area Adj]],Inventory[[#This Row],[Decade Adj]])*0.95</f>
        <v>0.95378099999999988</v>
      </c>
      <c r="BL1216" s="30">
        <f>ROUND((SUM(Inventory[[#This Row],[Mdl Qlty]:[Mdl Garage Area]])+Inventory[[#This Row],[Mdl Res Intercept]])*Inventory[[#This Row],[Res Adj ]],-2)</f>
        <v>264100</v>
      </c>
      <c r="BM1216" s="30">
        <f>ROUND(Inventory[[#This Row],[25Det]]*Inventory[[#This Row],[Det/Nbhd Adj]],-2)</f>
        <v>16800</v>
      </c>
      <c r="BN1216" s="30">
        <f>Inventory[[#This Row],[Adjusted Res]]+Inventory[[#This Row],[Adj Det ]]</f>
        <v>280900</v>
      </c>
      <c r="BO1216" s="30">
        <f>ROUND((Inventory[[#This Row],[Mdl Land Intercept]]+Inventory[[#This Row],[Mdl LnAcres]])*Inventory[[#This Row],[Det/Nbhd Adj]],-2)</f>
        <v>78700</v>
      </c>
      <c r="BP1216" s="30">
        <f>Inventory[[#This Row],[Adjusted Impr Total]]+Inventory[[#This Row],[Adjusted Land Total]]</f>
        <v>359600</v>
      </c>
      <c r="BQ1216" s="30">
        <f>IFERROR((Inventory[[#This Row],[Adjusted Impr Total]]-Inventory[[#This Row],[24Bldg]])/Inventory[[#This Row],[24Bldg]],0)</f>
        <v>0.11512504962286621</v>
      </c>
      <c r="BR1216" s="43">
        <f>(Inventory[[#This Row],[Adjusted Land Total]]-Inventory[[#This Row],[24Lnd]])/Inventory[[#This Row],[24Lnd]]</f>
        <v>-2.4783147459727387E-2</v>
      </c>
      <c r="BS1216" s="43">
        <f>(Inventory[[#This Row],[Adjusted Total]]-Inventory[[#This Row],[24Final]])/Inventory[[#This Row],[24Final]]</f>
        <v>8.1178592904389654E-2</v>
      </c>
    </row>
    <row r="1217" spans="1:71">
      <c r="A1217" s="30">
        <v>2025</v>
      </c>
      <c r="B1217" s="31" t="s">
        <v>1734</v>
      </c>
      <c r="C1217" s="36">
        <f>LN(Inventory[[#This Row],[Acres]])</f>
        <v>-0.10536051565782628</v>
      </c>
      <c r="D1217" s="38">
        <v>0.9</v>
      </c>
      <c r="E1217" s="30">
        <v>39098</v>
      </c>
      <c r="F1217" s="31" t="s">
        <v>505</v>
      </c>
      <c r="G1217" s="31" t="s">
        <v>155</v>
      </c>
      <c r="H1217" s="31" t="s">
        <v>5</v>
      </c>
      <c r="I1217" s="31" t="s">
        <v>506</v>
      </c>
      <c r="J1217" s="31" t="s">
        <v>507</v>
      </c>
      <c r="K1217" s="31" t="s">
        <v>193</v>
      </c>
      <c r="L1217" s="31" t="s">
        <v>21</v>
      </c>
      <c r="M1217" s="31" t="s">
        <v>18</v>
      </c>
      <c r="N1217" s="31">
        <v>60</v>
      </c>
      <c r="O1217" s="31">
        <f>2024-Inventory[[#This Row],[YrBlt]]</f>
        <v>63</v>
      </c>
      <c r="P1217" s="31">
        <f>2024-Inventory[[#This Row],[EffYr]]</f>
        <v>49</v>
      </c>
      <c r="Q1217" s="30">
        <v>1961</v>
      </c>
      <c r="R1217" s="30">
        <v>1975</v>
      </c>
      <c r="S1217" s="30">
        <v>2440</v>
      </c>
      <c r="T1217" s="32"/>
      <c r="U1217" s="32"/>
      <c r="V1217" s="32"/>
      <c r="W1217" s="32"/>
      <c r="X1217" s="32">
        <f>Inventory[[#This Row],[Bsmt Area]]-Inventory[[#This Row],[FnBsmt]]</f>
        <v>0</v>
      </c>
      <c r="Y1217" s="32">
        <f>Inventory[[#This Row],[MainFn]]+Inventory[[#This Row],[UpprFn]]+Inventory[[#This Row],[AddFn]]+Inventory[[#This Row],[FnBsmt]]</f>
        <v>2440</v>
      </c>
      <c r="Z1217" s="32">
        <v>2500</v>
      </c>
      <c r="AA1217" s="31" t="s">
        <v>56</v>
      </c>
      <c r="AB1217" s="32"/>
      <c r="AC1217" s="37"/>
      <c r="AD1217" s="32"/>
      <c r="AE1217" s="32"/>
      <c r="AF1217" s="32"/>
      <c r="AG1217" s="32"/>
      <c r="AH1217" s="32"/>
      <c r="AI1217" s="30">
        <v>521914</v>
      </c>
      <c r="AJ1217" s="30">
        <v>370559</v>
      </c>
      <c r="AK1217" s="30">
        <v>38560</v>
      </c>
      <c r="AL1217" s="30">
        <v>0</v>
      </c>
      <c r="AM1217" s="30">
        <v>85000</v>
      </c>
      <c r="AN1217" s="30">
        <v>317000</v>
      </c>
      <c r="AO1217" s="30">
        <v>402000</v>
      </c>
      <c r="AP1217" s="30">
        <f>Lookups!$B$58*0.6</f>
        <v>132535.48800000001</v>
      </c>
      <c r="AQ1217" s="30">
        <f>Lookups!$B$58*0.4</f>
        <v>88356.992000000013</v>
      </c>
      <c r="AR1217" s="30">
        <f>Lookups!$B$59*Inventory[[#This Row],[LnAcres]]</f>
        <v>-1382.7852282188383</v>
      </c>
      <c r="AS1217" s="30">
        <f>VLOOKUP(Inventory[[#This Row],[Qlty]],Lookups!$A$66:$E$79,2,FALSE)</f>
        <v>32917.849192000001</v>
      </c>
      <c r="AT1217" s="30">
        <f>VLOOKUP(Inventory[[#This Row],[Cnd]],Lookups!$A$80:$E$88,2,FALSE)</f>
        <v>17761.121909000001</v>
      </c>
      <c r="AU1217" s="30">
        <f>Inventory[[#This Row],[EffAge]]*Lookups!$B$65</f>
        <v>-5328.3139000000001</v>
      </c>
      <c r="AV1217" s="30">
        <f>Inventory[[#This Row],[MainFn]]*Lookups!$B$90</f>
        <v>152281.3272</v>
      </c>
      <c r="AW1217" s="30">
        <f>Inventory[[#This Row],[UpprFn]]*Lookups!$B$91</f>
        <v>0</v>
      </c>
      <c r="AX1217" s="30">
        <f>Inventory[[#This Row],[Bsmt Area]]*Lookups!$B$95</f>
        <v>0</v>
      </c>
      <c r="AY1217" s="30">
        <f>Inventory[[#This Row],[AttGar]]*Lookups!$B$93</f>
        <v>0</v>
      </c>
      <c r="AZ1217" s="30">
        <f>ROUND(Inventory[[#This Row],[25Det]],-2)</f>
        <v>38600</v>
      </c>
      <c r="BA1217" s="30">
        <f>ROUND(SUM(Inventory[[#This Row],[Mdl Qlty]:[Mdl Garage Area]])+Inventory[[#This Row],[Mdl Res Intercept]],-2)</f>
        <v>330200</v>
      </c>
      <c r="BB1217" s="30">
        <f>ROUND(Inventory[[#This Row],[Mdl Land Intercept]]+Inventory[[#This Row],[Mdl LnAcres]],-2)</f>
        <v>87000</v>
      </c>
      <c r="BC1217" s="30">
        <f>Inventory[[#This Row],[Unadj Res Value]]+Inventory[[#This Row],[Unadj Det Value]]+Inventory[[#This Row],[Unadj Land Value]]</f>
        <v>455800</v>
      </c>
      <c r="BD1217" s="30">
        <f>(Inventory[[#This Row],[Unadj Total Value]]-Inventory[[#This Row],[24Final]])/Inventory[[#This Row],[24Final]]</f>
        <v>0.13383084577114429</v>
      </c>
      <c r="BE1217" s="30">
        <f>VLOOKUP(Inventory[[#This Row],[Nbhd]],Lookups!$M$3:$P$5,4,FALSE)</f>
        <v>0.99970000000000003</v>
      </c>
      <c r="BF1217" s="30">
        <f>VLOOKUP(Inventory[[#This Row],[Qlty]],Lookups!$M$8:$P$22,4,FALSE)</f>
        <v>1.0019</v>
      </c>
      <c r="BG1217" s="30">
        <f>VLOOKUP(Inventory[[#This Row],[Cnd]],Lookups!$R$8:$U$17,4,FALSE)</f>
        <v>0.99680000000000002</v>
      </c>
      <c r="BH1217" s="30">
        <f>VLOOKUP(Inventory[[#This Row],[LivArea Range]],Lookups!$R$25:$U$43,4,FALSE)</f>
        <v>1.0008999999999999</v>
      </c>
      <c r="BI1217" s="30">
        <f>VLOOKUP(Inventory[[#This Row],[Decade]],Lookups!$M$24:$P$40,4,FALSE)</f>
        <v>1.0362</v>
      </c>
      <c r="BJ1217" s="30">
        <f>Inventory[[#This Row],[Nbhd Adj]]*0.95</f>
        <v>0.94971499999999998</v>
      </c>
      <c r="BK1217" s="30">
        <f>AVERAGE(Inventory[[#This Row],[Nbhd Adj]],Inventory[[#This Row],[Quality Adj]],Inventory[[#This Row],[Condition Adj]],Inventory[[#This Row],[Living Area Adj]],Inventory[[#This Row],[Decade Adj]])*0.95</f>
        <v>0.95674499999999985</v>
      </c>
      <c r="BL1217" s="30">
        <f>ROUND((SUM(Inventory[[#This Row],[Mdl Qlty]:[Mdl Garage Area]])+Inventory[[#This Row],[Mdl Res Intercept]])*Inventory[[#This Row],[Res Adj ]],-2)</f>
        <v>315900</v>
      </c>
      <c r="BM1217" s="30">
        <f>ROUND(Inventory[[#This Row],[25Det]]*Inventory[[#This Row],[Det/Nbhd Adj]],-2)</f>
        <v>36600</v>
      </c>
      <c r="BN1217" s="30">
        <f>Inventory[[#This Row],[Adjusted Res]]+Inventory[[#This Row],[Adj Det ]]</f>
        <v>352500</v>
      </c>
      <c r="BO1217" s="30">
        <f>ROUND((Inventory[[#This Row],[Mdl Land Intercept]]+Inventory[[#This Row],[Mdl LnAcres]])*Inventory[[#This Row],[Det/Nbhd Adj]],-2)</f>
        <v>82600</v>
      </c>
      <c r="BP1217" s="30">
        <f>Inventory[[#This Row],[Adjusted Impr Total]]+Inventory[[#This Row],[Adjusted Land Total]]</f>
        <v>435100</v>
      </c>
      <c r="BQ1217" s="30">
        <f>IFERROR((Inventory[[#This Row],[Adjusted Impr Total]]-Inventory[[#This Row],[24Bldg]])/Inventory[[#This Row],[24Bldg]],0)</f>
        <v>0.11198738170347003</v>
      </c>
      <c r="BR1217" s="43">
        <f>(Inventory[[#This Row],[Adjusted Land Total]]-Inventory[[#This Row],[24Lnd]])/Inventory[[#This Row],[24Lnd]]</f>
        <v>-2.823529411764706E-2</v>
      </c>
      <c r="BS1217" s="43">
        <f>(Inventory[[#This Row],[Adjusted Total]]-Inventory[[#This Row],[24Final]])/Inventory[[#This Row],[24Final]]</f>
        <v>8.2338308457711437E-2</v>
      </c>
    </row>
    <row r="1218" spans="1:71">
      <c r="A1218" s="30">
        <v>2025</v>
      </c>
      <c r="B1218" s="31" t="s">
        <v>1735</v>
      </c>
      <c r="C1218" s="36">
        <f>LN(Inventory[[#This Row],[Acres]])</f>
        <v>3.9220713153281329E-2</v>
      </c>
      <c r="D1218" s="38">
        <v>1.04</v>
      </c>
      <c r="E1218" s="30">
        <v>45126</v>
      </c>
      <c r="F1218" s="31" t="s">
        <v>505</v>
      </c>
      <c r="G1218" s="31" t="s">
        <v>155</v>
      </c>
      <c r="H1218" s="31" t="s">
        <v>5</v>
      </c>
      <c r="I1218" s="31" t="s">
        <v>506</v>
      </c>
      <c r="J1218" s="31" t="s">
        <v>507</v>
      </c>
      <c r="K1218" s="31" t="s">
        <v>193</v>
      </c>
      <c r="L1218" s="31" t="s">
        <v>21</v>
      </c>
      <c r="M1218" s="31" t="s">
        <v>18</v>
      </c>
      <c r="N1218" s="31">
        <v>60</v>
      </c>
      <c r="O1218" s="31">
        <f>2024-Inventory[[#This Row],[YrBlt]]</f>
        <v>63</v>
      </c>
      <c r="P1218" s="31">
        <f>2024-Inventory[[#This Row],[EffYr]]</f>
        <v>49</v>
      </c>
      <c r="Q1218" s="30">
        <v>1961</v>
      </c>
      <c r="R1218" s="30">
        <v>1975</v>
      </c>
      <c r="S1218" s="30">
        <v>2008</v>
      </c>
      <c r="T1218" s="32"/>
      <c r="U1218" s="32"/>
      <c r="V1218" s="32"/>
      <c r="W1218" s="32"/>
      <c r="X1218" s="32">
        <f>Inventory[[#This Row],[Bsmt Area]]-Inventory[[#This Row],[FnBsmt]]</f>
        <v>0</v>
      </c>
      <c r="Y1218" s="32">
        <f>Inventory[[#This Row],[MainFn]]+Inventory[[#This Row],[UpprFn]]+Inventory[[#This Row],[AddFn]]+Inventory[[#This Row],[FnBsmt]]</f>
        <v>2008</v>
      </c>
      <c r="Z1218" s="32">
        <v>2500</v>
      </c>
      <c r="AA1218" s="31" t="s">
        <v>56</v>
      </c>
      <c r="AB1218" s="32"/>
      <c r="AC1218" s="37"/>
      <c r="AD1218" s="32"/>
      <c r="AE1218" s="32"/>
      <c r="AF1218" s="32"/>
      <c r="AG1218" s="32"/>
      <c r="AH1218" s="32"/>
      <c r="AI1218" s="30">
        <v>486664</v>
      </c>
      <c r="AJ1218" s="30">
        <v>345531</v>
      </c>
      <c r="AK1218" s="30">
        <v>20249</v>
      </c>
      <c r="AL1218" s="30">
        <v>0</v>
      </c>
      <c r="AM1218" s="30">
        <v>87100</v>
      </c>
      <c r="AN1218" s="30">
        <v>289500</v>
      </c>
      <c r="AO1218" s="30">
        <v>376600</v>
      </c>
      <c r="AP1218" s="30">
        <f>Lookups!$B$58*0.6</f>
        <v>132535.48800000001</v>
      </c>
      <c r="AQ1218" s="30">
        <f>Lookups!$B$58*0.4</f>
        <v>88356.992000000013</v>
      </c>
      <c r="AR1218" s="30">
        <f>Lookups!$B$59*Inventory[[#This Row],[LnAcres]]</f>
        <v>514.74522927258636</v>
      </c>
      <c r="AS1218" s="30">
        <f>VLOOKUP(Inventory[[#This Row],[Qlty]],Lookups!$A$66:$E$79,2,FALSE)</f>
        <v>32917.849192000001</v>
      </c>
      <c r="AT1218" s="30">
        <f>VLOOKUP(Inventory[[#This Row],[Cnd]],Lookups!$A$80:$E$88,2,FALSE)</f>
        <v>17761.121909000001</v>
      </c>
      <c r="AU1218" s="30">
        <f>Inventory[[#This Row],[EffAge]]*Lookups!$B$65</f>
        <v>-5328.3139000000001</v>
      </c>
      <c r="AV1218" s="30">
        <f>Inventory[[#This Row],[MainFn]]*Lookups!$B$90</f>
        <v>125320.04304</v>
      </c>
      <c r="AW1218" s="30">
        <f>Inventory[[#This Row],[UpprFn]]*Lookups!$B$91</f>
        <v>0</v>
      </c>
      <c r="AX1218" s="30">
        <f>Inventory[[#This Row],[Bsmt Area]]*Lookups!$B$95</f>
        <v>0</v>
      </c>
      <c r="AY1218" s="30">
        <f>Inventory[[#This Row],[AttGar]]*Lookups!$B$93</f>
        <v>0</v>
      </c>
      <c r="AZ1218" s="30">
        <f>ROUND(Inventory[[#This Row],[25Det]],-2)</f>
        <v>20200</v>
      </c>
      <c r="BA1218" s="30">
        <f>ROUND(SUM(Inventory[[#This Row],[Mdl Qlty]:[Mdl Garage Area]])+Inventory[[#This Row],[Mdl Res Intercept]],-2)</f>
        <v>303200</v>
      </c>
      <c r="BB1218" s="30">
        <f>ROUND(Inventory[[#This Row],[Mdl Land Intercept]]+Inventory[[#This Row],[Mdl LnAcres]],-2)</f>
        <v>88900</v>
      </c>
      <c r="BC1218" s="30">
        <f>Inventory[[#This Row],[Unadj Res Value]]+Inventory[[#This Row],[Unadj Det Value]]+Inventory[[#This Row],[Unadj Land Value]]</f>
        <v>412300</v>
      </c>
      <c r="BD1218" s="30">
        <f>(Inventory[[#This Row],[Unadj Total Value]]-Inventory[[#This Row],[24Final]])/Inventory[[#This Row],[24Final]]</f>
        <v>9.4795539033457249E-2</v>
      </c>
      <c r="BE1218" s="30">
        <f>VLOOKUP(Inventory[[#This Row],[Nbhd]],Lookups!$M$3:$P$5,4,FALSE)</f>
        <v>0.99970000000000003</v>
      </c>
      <c r="BF1218" s="30">
        <f>VLOOKUP(Inventory[[#This Row],[Qlty]],Lookups!$M$8:$P$22,4,FALSE)</f>
        <v>1.0019</v>
      </c>
      <c r="BG1218" s="30">
        <f>VLOOKUP(Inventory[[#This Row],[Cnd]],Lookups!$R$8:$U$17,4,FALSE)</f>
        <v>0.99680000000000002</v>
      </c>
      <c r="BH1218" s="30">
        <f>VLOOKUP(Inventory[[#This Row],[LivArea Range]],Lookups!$R$25:$U$43,4,FALSE)</f>
        <v>1.0008999999999999</v>
      </c>
      <c r="BI1218" s="30">
        <f>VLOOKUP(Inventory[[#This Row],[Decade]],Lookups!$M$24:$P$40,4,FALSE)</f>
        <v>1.0362</v>
      </c>
      <c r="BJ1218" s="30">
        <f>Inventory[[#This Row],[Nbhd Adj]]*0.95</f>
        <v>0.94971499999999998</v>
      </c>
      <c r="BK1218" s="30">
        <f>AVERAGE(Inventory[[#This Row],[Nbhd Adj]],Inventory[[#This Row],[Quality Adj]],Inventory[[#This Row],[Condition Adj]],Inventory[[#This Row],[Living Area Adj]],Inventory[[#This Row],[Decade Adj]])*0.95</f>
        <v>0.95674499999999985</v>
      </c>
      <c r="BL1218" s="30">
        <f>ROUND((SUM(Inventory[[#This Row],[Mdl Qlty]:[Mdl Garage Area]])+Inventory[[#This Row],[Mdl Res Intercept]])*Inventory[[#This Row],[Res Adj ]],-2)</f>
        <v>290100</v>
      </c>
      <c r="BM1218" s="30">
        <f>ROUND(Inventory[[#This Row],[25Det]]*Inventory[[#This Row],[Det/Nbhd Adj]],-2)</f>
        <v>19200</v>
      </c>
      <c r="BN1218" s="30">
        <f>Inventory[[#This Row],[Adjusted Res]]+Inventory[[#This Row],[Adj Det ]]</f>
        <v>309300</v>
      </c>
      <c r="BO1218" s="30">
        <f>ROUND((Inventory[[#This Row],[Mdl Land Intercept]]+Inventory[[#This Row],[Mdl LnAcres]])*Inventory[[#This Row],[Det/Nbhd Adj]],-2)</f>
        <v>84400</v>
      </c>
      <c r="BP1218" s="30">
        <f>Inventory[[#This Row],[Adjusted Impr Total]]+Inventory[[#This Row],[Adjusted Land Total]]</f>
        <v>393700</v>
      </c>
      <c r="BQ1218" s="30">
        <f>IFERROR((Inventory[[#This Row],[Adjusted Impr Total]]-Inventory[[#This Row],[24Bldg]])/Inventory[[#This Row],[24Bldg]],0)</f>
        <v>6.8393782383419685E-2</v>
      </c>
      <c r="BR1218" s="43">
        <f>(Inventory[[#This Row],[Adjusted Land Total]]-Inventory[[#This Row],[24Lnd]])/Inventory[[#This Row],[24Lnd]]</f>
        <v>-3.0998851894374284E-2</v>
      </c>
      <c r="BS1218" s="43">
        <f>(Inventory[[#This Row],[Adjusted Total]]-Inventory[[#This Row],[24Final]])/Inventory[[#This Row],[24Final]]</f>
        <v>4.5406266595857676E-2</v>
      </c>
    </row>
    <row r="1219" spans="1:71">
      <c r="A1219" s="30">
        <v>2025</v>
      </c>
      <c r="B1219" s="31" t="s">
        <v>1736</v>
      </c>
      <c r="C1219" s="36">
        <f>LN(Inventory[[#This Row],[Acres]])</f>
        <v>-2.8134107167600364</v>
      </c>
      <c r="D1219" s="38">
        <v>0.06</v>
      </c>
      <c r="E1219" s="30">
        <v>2441</v>
      </c>
      <c r="F1219" s="31" t="s">
        <v>505</v>
      </c>
      <c r="G1219" s="31" t="s">
        <v>155</v>
      </c>
      <c r="H1219" s="31" t="s">
        <v>5</v>
      </c>
      <c r="I1219" s="31" t="s">
        <v>506</v>
      </c>
      <c r="J1219" s="31" t="s">
        <v>507</v>
      </c>
      <c r="K1219" s="31" t="s">
        <v>193</v>
      </c>
      <c r="L1219" s="31" t="s">
        <v>17</v>
      </c>
      <c r="M1219" s="31" t="s">
        <v>18</v>
      </c>
      <c r="N1219" s="31">
        <v>60</v>
      </c>
      <c r="O1219" s="31">
        <f>2024-Inventory[[#This Row],[YrBlt]]</f>
        <v>64</v>
      </c>
      <c r="P1219" s="31">
        <f>2024-Inventory[[#This Row],[EffYr]]</f>
        <v>49</v>
      </c>
      <c r="Q1219" s="30">
        <v>1960</v>
      </c>
      <c r="R1219" s="30">
        <v>1975</v>
      </c>
      <c r="S1219" s="30">
        <v>1200</v>
      </c>
      <c r="T1219" s="32"/>
      <c r="U1219" s="32"/>
      <c r="V1219" s="32"/>
      <c r="W1219" s="32"/>
      <c r="X1219" s="32">
        <f>Inventory[[#This Row],[Bsmt Area]]-Inventory[[#This Row],[FnBsmt]]</f>
        <v>0</v>
      </c>
      <c r="Y1219" s="32">
        <f>Inventory[[#This Row],[MainFn]]+Inventory[[#This Row],[UpprFn]]+Inventory[[#This Row],[AddFn]]+Inventory[[#This Row],[FnBsmt]]</f>
        <v>1200</v>
      </c>
      <c r="Z1219" s="32">
        <v>1500</v>
      </c>
      <c r="AA1219" s="31" t="s">
        <v>56</v>
      </c>
      <c r="AB1219" s="37"/>
      <c r="AC1219" s="37"/>
      <c r="AD1219" s="32"/>
      <c r="AE1219" s="32"/>
      <c r="AF1219" s="32"/>
      <c r="AG1219" s="32"/>
      <c r="AH1219" s="32"/>
      <c r="AI1219" s="30">
        <v>190303</v>
      </c>
      <c r="AJ1219" s="30">
        <v>135115</v>
      </c>
      <c r="AK1219" s="30">
        <v>0</v>
      </c>
      <c r="AL1219" s="30">
        <v>0</v>
      </c>
      <c r="AM1219" s="30">
        <v>47100</v>
      </c>
      <c r="AN1219" s="30">
        <v>200500</v>
      </c>
      <c r="AO1219" s="30">
        <v>247600</v>
      </c>
      <c r="AP1219" s="30">
        <f>Lookups!$B$58*0.6</f>
        <v>132535.48800000001</v>
      </c>
      <c r="AQ1219" s="30">
        <f>Lookups!$B$58*0.4</f>
        <v>88356.992000000013</v>
      </c>
      <c r="AR1219" s="30">
        <f>Lookups!$B$59*Inventory[[#This Row],[LnAcres]]</f>
        <v>-36924.105351598795</v>
      </c>
      <c r="AS1219" s="30">
        <f>VLOOKUP(Inventory[[#This Row],[Qlty]],Lookups!$A$66:$E$79,2,FALSE)</f>
        <v>24371.765965999999</v>
      </c>
      <c r="AT1219" s="30">
        <f>VLOOKUP(Inventory[[#This Row],[Cnd]],Lookups!$A$80:$E$88,2,FALSE)</f>
        <v>17761.121909000001</v>
      </c>
      <c r="AU1219" s="30">
        <f>Inventory[[#This Row],[EffAge]]*Lookups!$B$65</f>
        <v>-5328.3139000000001</v>
      </c>
      <c r="AV1219" s="30">
        <f>Inventory[[#This Row],[MainFn]]*Lookups!$B$90</f>
        <v>74892.456000000006</v>
      </c>
      <c r="AW1219" s="30">
        <f>Inventory[[#This Row],[UpprFn]]*Lookups!$B$91</f>
        <v>0</v>
      </c>
      <c r="AX1219" s="30">
        <f>Inventory[[#This Row],[Bsmt Area]]*Lookups!$B$95</f>
        <v>0</v>
      </c>
      <c r="AY1219" s="30">
        <f>Inventory[[#This Row],[AttGar]]*Lookups!$B$93</f>
        <v>0</v>
      </c>
      <c r="AZ1219" s="30">
        <f>ROUND(Inventory[[#This Row],[25Det]],-2)</f>
        <v>0</v>
      </c>
      <c r="BA1219" s="30">
        <f>ROUND(SUM(Inventory[[#This Row],[Mdl Qlty]:[Mdl Garage Area]])+Inventory[[#This Row],[Mdl Res Intercept]],-2)</f>
        <v>244200</v>
      </c>
      <c r="BB1219" s="30">
        <f>ROUND(Inventory[[#This Row],[Mdl Land Intercept]]+Inventory[[#This Row],[Mdl LnAcres]],-2)</f>
        <v>51400</v>
      </c>
      <c r="BC1219" s="30">
        <f>Inventory[[#This Row],[Unadj Res Value]]+Inventory[[#This Row],[Unadj Det Value]]+Inventory[[#This Row],[Unadj Land Value]]</f>
        <v>295600</v>
      </c>
      <c r="BD1219" s="30">
        <f>(Inventory[[#This Row],[Unadj Total Value]]-Inventory[[#This Row],[24Final]])/Inventory[[#This Row],[24Final]]</f>
        <v>0.1938610662358643</v>
      </c>
      <c r="BE1219" s="30">
        <f>VLOOKUP(Inventory[[#This Row],[Nbhd]],Lookups!$M$3:$P$5,4,FALSE)</f>
        <v>0.99970000000000003</v>
      </c>
      <c r="BF1219" s="30">
        <f>VLOOKUP(Inventory[[#This Row],[Qlty]],Lookups!$M$8:$P$22,4,FALSE)</f>
        <v>0.99199999999999999</v>
      </c>
      <c r="BG1219" s="30">
        <f>VLOOKUP(Inventory[[#This Row],[Cnd]],Lookups!$R$8:$U$17,4,FALSE)</f>
        <v>0.99680000000000002</v>
      </c>
      <c r="BH1219" s="30">
        <f>VLOOKUP(Inventory[[#This Row],[LivArea Range]],Lookups!$R$25:$U$43,4,FALSE)</f>
        <v>0.99519999999999997</v>
      </c>
      <c r="BI1219" s="30">
        <f>VLOOKUP(Inventory[[#This Row],[Decade]],Lookups!$M$24:$P$40,4,FALSE)</f>
        <v>1.0362</v>
      </c>
      <c r="BJ1219" s="30">
        <f>Inventory[[#This Row],[Nbhd Adj]]*0.95</f>
        <v>0.94971499999999998</v>
      </c>
      <c r="BK1219" s="30">
        <f>AVERAGE(Inventory[[#This Row],[Nbhd Adj]],Inventory[[#This Row],[Quality Adj]],Inventory[[#This Row],[Condition Adj]],Inventory[[#This Row],[Living Area Adj]],Inventory[[#This Row],[Decade Adj]])*0.95</f>
        <v>0.95378099999999988</v>
      </c>
      <c r="BL1219" s="30">
        <f>ROUND((SUM(Inventory[[#This Row],[Mdl Qlty]:[Mdl Garage Area]])+Inventory[[#This Row],[Mdl Res Intercept]])*Inventory[[#This Row],[Res Adj ]],-2)</f>
        <v>232900</v>
      </c>
      <c r="BM1219" s="30">
        <f>ROUND(Inventory[[#This Row],[25Det]]*Inventory[[#This Row],[Det/Nbhd Adj]],-2)</f>
        <v>0</v>
      </c>
      <c r="BN1219" s="30">
        <f>Inventory[[#This Row],[Adjusted Res]]+Inventory[[#This Row],[Adj Det ]]</f>
        <v>232900</v>
      </c>
      <c r="BO1219" s="30">
        <f>ROUND((Inventory[[#This Row],[Mdl Land Intercept]]+Inventory[[#This Row],[Mdl LnAcres]])*Inventory[[#This Row],[Det/Nbhd Adj]],-2)</f>
        <v>48800</v>
      </c>
      <c r="BP1219" s="30">
        <f>Inventory[[#This Row],[Adjusted Impr Total]]+Inventory[[#This Row],[Adjusted Land Total]]</f>
        <v>281700</v>
      </c>
      <c r="BQ1219" s="30">
        <f>IFERROR((Inventory[[#This Row],[Adjusted Impr Total]]-Inventory[[#This Row],[24Bldg]])/Inventory[[#This Row],[24Bldg]],0)</f>
        <v>0.16159600997506235</v>
      </c>
      <c r="BR1219" s="43">
        <f>(Inventory[[#This Row],[Adjusted Land Total]]-Inventory[[#This Row],[24Lnd]])/Inventory[[#This Row],[24Lnd]]</f>
        <v>3.6093418259023353E-2</v>
      </c>
      <c r="BS1219" s="43">
        <f>(Inventory[[#This Row],[Adjusted Total]]-Inventory[[#This Row],[24Final]])/Inventory[[#This Row],[24Final]]</f>
        <v>0.1377221324717286</v>
      </c>
    </row>
    <row r="1220" spans="1:71">
      <c r="A1220" s="30">
        <v>2025</v>
      </c>
      <c r="B1220" s="31" t="s">
        <v>1737</v>
      </c>
      <c r="C1220" s="36">
        <f>LN(Inventory[[#This Row],[Acres]])</f>
        <v>-1.5606477482646683</v>
      </c>
      <c r="D1220" s="38">
        <v>0.21</v>
      </c>
      <c r="E1220" s="30">
        <v>8947</v>
      </c>
      <c r="F1220" s="31" t="s">
        <v>505</v>
      </c>
      <c r="G1220" s="31" t="s">
        <v>155</v>
      </c>
      <c r="H1220" s="31" t="s">
        <v>5</v>
      </c>
      <c r="I1220" s="31" t="s">
        <v>506</v>
      </c>
      <c r="J1220" s="31" t="s">
        <v>507</v>
      </c>
      <c r="K1220" s="31" t="s">
        <v>193</v>
      </c>
      <c r="L1220" s="31" t="s">
        <v>17</v>
      </c>
      <c r="M1220" s="31" t="s">
        <v>20</v>
      </c>
      <c r="N1220" s="31">
        <v>60</v>
      </c>
      <c r="O1220" s="31">
        <f>2024-Inventory[[#This Row],[YrBlt]]</f>
        <v>64</v>
      </c>
      <c r="P1220" s="31">
        <f>2024-Inventory[[#This Row],[EffYr]]</f>
        <v>49</v>
      </c>
      <c r="Q1220" s="30">
        <v>1960</v>
      </c>
      <c r="R1220" s="30">
        <v>1975</v>
      </c>
      <c r="S1220" s="30">
        <v>1456</v>
      </c>
      <c r="T1220" s="32"/>
      <c r="U1220" s="32"/>
      <c r="V1220" s="32"/>
      <c r="W1220" s="32"/>
      <c r="X1220" s="32">
        <f>Inventory[[#This Row],[Bsmt Area]]-Inventory[[#This Row],[FnBsmt]]</f>
        <v>0</v>
      </c>
      <c r="Y1220" s="32">
        <f>Inventory[[#This Row],[MainFn]]+Inventory[[#This Row],[UpprFn]]+Inventory[[#This Row],[AddFn]]+Inventory[[#This Row],[FnBsmt]]</f>
        <v>1456</v>
      </c>
      <c r="Z1220" s="32">
        <v>1500</v>
      </c>
      <c r="AA1220" s="31" t="s">
        <v>56</v>
      </c>
      <c r="AB1220" s="32"/>
      <c r="AC1220" s="37"/>
      <c r="AD1220" s="32"/>
      <c r="AE1220" s="32"/>
      <c r="AF1220" s="32"/>
      <c r="AG1220" s="32"/>
      <c r="AH1220" s="32"/>
      <c r="AI1220" s="30">
        <v>232831</v>
      </c>
      <c r="AJ1220" s="30">
        <v>167638</v>
      </c>
      <c r="AK1220" s="30">
        <v>8721</v>
      </c>
      <c r="AL1220" s="30">
        <v>0</v>
      </c>
      <c r="AM1220" s="30">
        <v>64600</v>
      </c>
      <c r="AN1220" s="30">
        <v>232000</v>
      </c>
      <c r="AO1220" s="30">
        <v>296600</v>
      </c>
      <c r="AP1220" s="30">
        <f>Lookups!$B$58*0.6</f>
        <v>132535.48800000001</v>
      </c>
      <c r="AQ1220" s="30">
        <f>Lookups!$B$58*0.4</f>
        <v>88356.992000000013</v>
      </c>
      <c r="AR1220" s="30">
        <f>Lookups!$B$59*Inventory[[#This Row],[LnAcres]]</f>
        <v>-20482.442016152701</v>
      </c>
      <c r="AS1220" s="30">
        <f>VLOOKUP(Inventory[[#This Row],[Qlty]],Lookups!$A$66:$E$79,2,FALSE)</f>
        <v>24371.765965999999</v>
      </c>
      <c r="AT1220" s="30">
        <f>VLOOKUP(Inventory[[#This Row],[Cnd]],Lookups!$A$80:$E$88,2,FALSE)</f>
        <v>30300.329274</v>
      </c>
      <c r="AU1220" s="30">
        <f>Inventory[[#This Row],[EffAge]]*Lookups!$B$65</f>
        <v>-5328.3139000000001</v>
      </c>
      <c r="AV1220" s="30">
        <f>Inventory[[#This Row],[MainFn]]*Lookups!$B$90</f>
        <v>90869.513279999999</v>
      </c>
      <c r="AW1220" s="30">
        <f>Inventory[[#This Row],[UpprFn]]*Lookups!$B$91</f>
        <v>0</v>
      </c>
      <c r="AX1220" s="30">
        <f>Inventory[[#This Row],[Bsmt Area]]*Lookups!$B$95</f>
        <v>0</v>
      </c>
      <c r="AY1220" s="30">
        <f>Inventory[[#This Row],[AttGar]]*Lookups!$B$93</f>
        <v>0</v>
      </c>
      <c r="AZ1220" s="30">
        <f>ROUND(Inventory[[#This Row],[25Det]],-2)</f>
        <v>8700</v>
      </c>
      <c r="BA1220" s="30">
        <f>ROUND(SUM(Inventory[[#This Row],[Mdl Qlty]:[Mdl Garage Area]])+Inventory[[#This Row],[Mdl Res Intercept]],-2)</f>
        <v>272700</v>
      </c>
      <c r="BB1220" s="30">
        <f>ROUND(Inventory[[#This Row],[Mdl Land Intercept]]+Inventory[[#This Row],[Mdl LnAcres]],-2)</f>
        <v>67900</v>
      </c>
      <c r="BC1220" s="30">
        <f>Inventory[[#This Row],[Unadj Res Value]]+Inventory[[#This Row],[Unadj Det Value]]+Inventory[[#This Row],[Unadj Land Value]]</f>
        <v>349300</v>
      </c>
      <c r="BD1220" s="30">
        <f>(Inventory[[#This Row],[Unadj Total Value]]-Inventory[[#This Row],[24Final]])/Inventory[[#This Row],[24Final]]</f>
        <v>0.17768037761294672</v>
      </c>
      <c r="BE1220" s="30">
        <f>VLOOKUP(Inventory[[#This Row],[Nbhd]],Lookups!$M$3:$P$5,4,FALSE)</f>
        <v>0.99970000000000003</v>
      </c>
      <c r="BF1220" s="30">
        <f>VLOOKUP(Inventory[[#This Row],[Qlty]],Lookups!$M$8:$P$22,4,FALSE)</f>
        <v>0.99199999999999999</v>
      </c>
      <c r="BG1220" s="30">
        <f>VLOOKUP(Inventory[[#This Row],[Cnd]],Lookups!$R$8:$U$17,4,FALSE)</f>
        <v>0.997</v>
      </c>
      <c r="BH1220" s="30">
        <f>VLOOKUP(Inventory[[#This Row],[LivArea Range]],Lookups!$R$25:$U$43,4,FALSE)</f>
        <v>0.99519999999999997</v>
      </c>
      <c r="BI1220" s="30">
        <f>VLOOKUP(Inventory[[#This Row],[Decade]],Lookups!$M$24:$P$40,4,FALSE)</f>
        <v>1.0362</v>
      </c>
      <c r="BJ1220" s="30">
        <f>Inventory[[#This Row],[Nbhd Adj]]*0.95</f>
        <v>0.94971499999999998</v>
      </c>
      <c r="BK1220" s="30">
        <f>AVERAGE(Inventory[[#This Row],[Nbhd Adj]],Inventory[[#This Row],[Quality Adj]],Inventory[[#This Row],[Condition Adj]],Inventory[[#This Row],[Living Area Adj]],Inventory[[#This Row],[Decade Adj]])*0.95</f>
        <v>0.95381900000000008</v>
      </c>
      <c r="BL1220" s="30">
        <f>ROUND((SUM(Inventory[[#This Row],[Mdl Qlty]:[Mdl Garage Area]])+Inventory[[#This Row],[Mdl Res Intercept]])*Inventory[[#This Row],[Res Adj ]],-2)</f>
        <v>260200</v>
      </c>
      <c r="BM1220" s="30">
        <f>ROUND(Inventory[[#This Row],[25Det]]*Inventory[[#This Row],[Det/Nbhd Adj]],-2)</f>
        <v>8300</v>
      </c>
      <c r="BN1220" s="30">
        <f>Inventory[[#This Row],[Adjusted Res]]+Inventory[[#This Row],[Adj Det ]]</f>
        <v>268500</v>
      </c>
      <c r="BO1220" s="30">
        <f>ROUND((Inventory[[#This Row],[Mdl Land Intercept]]+Inventory[[#This Row],[Mdl LnAcres]])*Inventory[[#This Row],[Det/Nbhd Adj]],-2)</f>
        <v>64500</v>
      </c>
      <c r="BP1220" s="30">
        <f>Inventory[[#This Row],[Adjusted Impr Total]]+Inventory[[#This Row],[Adjusted Land Total]]</f>
        <v>333000</v>
      </c>
      <c r="BQ1220" s="30">
        <f>IFERROR((Inventory[[#This Row],[Adjusted Impr Total]]-Inventory[[#This Row],[24Bldg]])/Inventory[[#This Row],[24Bldg]],0)</f>
        <v>0.15732758620689655</v>
      </c>
      <c r="BR1220" s="43">
        <f>(Inventory[[#This Row],[Adjusted Land Total]]-Inventory[[#This Row],[24Lnd]])/Inventory[[#This Row],[24Lnd]]</f>
        <v>-1.5479876160990713E-3</v>
      </c>
      <c r="BS1220" s="43">
        <f>(Inventory[[#This Row],[Adjusted Total]]-Inventory[[#This Row],[24Final]])/Inventory[[#This Row],[24Final]]</f>
        <v>0.1227242076871207</v>
      </c>
    </row>
    <row r="1221" spans="1:71">
      <c r="A1221" s="30">
        <v>2025</v>
      </c>
      <c r="B1221" s="31" t="s">
        <v>1738</v>
      </c>
      <c r="C1221" s="36">
        <f>LN(Inventory[[#This Row],[Acres]])</f>
        <v>-1.4271163556401458</v>
      </c>
      <c r="D1221" s="38">
        <v>0.24</v>
      </c>
      <c r="E1221" s="30">
        <v>10398</v>
      </c>
      <c r="F1221" s="31" t="s">
        <v>505</v>
      </c>
      <c r="G1221" s="31" t="s">
        <v>155</v>
      </c>
      <c r="H1221" s="31" t="s">
        <v>5</v>
      </c>
      <c r="I1221" s="31" t="s">
        <v>506</v>
      </c>
      <c r="J1221" s="31" t="s">
        <v>507</v>
      </c>
      <c r="K1221" s="31" t="s">
        <v>475</v>
      </c>
      <c r="L1221" s="31" t="s">
        <v>13</v>
      </c>
      <c r="M1221" s="31" t="s">
        <v>20</v>
      </c>
      <c r="N1221" s="31">
        <v>60</v>
      </c>
      <c r="O1221" s="31">
        <f>2024-Inventory[[#This Row],[YrBlt]]</f>
        <v>64</v>
      </c>
      <c r="P1221" s="31">
        <f>2024-Inventory[[#This Row],[EffYr]]</f>
        <v>49</v>
      </c>
      <c r="Q1221" s="30">
        <v>1960</v>
      </c>
      <c r="R1221" s="30">
        <v>1975</v>
      </c>
      <c r="S1221" s="30">
        <v>952</v>
      </c>
      <c r="T1221" s="38">
        <v>260</v>
      </c>
      <c r="U1221" s="38">
        <v>476</v>
      </c>
      <c r="V1221" s="32"/>
      <c r="W1221" s="32"/>
      <c r="X1221" s="32">
        <f>Inventory[[#This Row],[Bsmt Area]]-Inventory[[#This Row],[FnBsmt]]</f>
        <v>476</v>
      </c>
      <c r="Y1221" s="32">
        <f>Inventory[[#This Row],[MainFn]]+Inventory[[#This Row],[UpprFn]]+Inventory[[#This Row],[AddFn]]+Inventory[[#This Row],[FnBsmt]]</f>
        <v>1212</v>
      </c>
      <c r="Z1221" s="32">
        <v>1500</v>
      </c>
      <c r="AA1221" s="31" t="s">
        <v>56</v>
      </c>
      <c r="AB1221" s="32"/>
      <c r="AC1221" s="37"/>
      <c r="AD1221" s="32"/>
      <c r="AE1221" s="32"/>
      <c r="AF1221" s="32"/>
      <c r="AG1221" s="32"/>
      <c r="AH1221" s="32"/>
      <c r="AI1221" s="30">
        <v>187144</v>
      </c>
      <c r="AJ1221" s="30">
        <v>134744</v>
      </c>
      <c r="AK1221" s="30">
        <v>8032</v>
      </c>
      <c r="AL1221" s="30">
        <v>0</v>
      </c>
      <c r="AM1221" s="30">
        <v>66500</v>
      </c>
      <c r="AN1221" s="30">
        <v>201600</v>
      </c>
      <c r="AO1221" s="30">
        <v>268100</v>
      </c>
      <c r="AP1221" s="30">
        <f>Lookups!$B$58*0.6</f>
        <v>132535.48800000001</v>
      </c>
      <c r="AQ1221" s="30">
        <f>Lookups!$B$58*0.4</f>
        <v>88356.992000000013</v>
      </c>
      <c r="AR1221" s="30">
        <f>Lookups!$B$59*Inventory[[#This Row],[LnAcres]]</f>
        <v>-18729.933155771436</v>
      </c>
      <c r="AS1221" s="30">
        <f>VLOOKUP(Inventory[[#This Row],[Qlty]],Lookups!$A$66:$E$79,2,FALSE)</f>
        <v>0</v>
      </c>
      <c r="AT1221" s="30">
        <f>VLOOKUP(Inventory[[#This Row],[Cnd]],Lookups!$A$80:$E$88,2,FALSE)</f>
        <v>30300.329274</v>
      </c>
      <c r="AU1221" s="30">
        <f>Inventory[[#This Row],[EffAge]]*Lookups!$B$65</f>
        <v>-5328.3139000000001</v>
      </c>
      <c r="AV1221" s="30">
        <f>Inventory[[#This Row],[MainFn]]*Lookups!$B$90</f>
        <v>59414.681760000007</v>
      </c>
      <c r="AW1221" s="30">
        <f>Inventory[[#This Row],[UpprFn]]*Lookups!$B$91</f>
        <v>15490.899579999999</v>
      </c>
      <c r="AX1221" s="30">
        <f>Inventory[[#This Row],[Bsmt Area]]*Lookups!$B$95</f>
        <v>29791.172095999998</v>
      </c>
      <c r="AY1221" s="30">
        <f>Inventory[[#This Row],[AttGar]]*Lookups!$B$93</f>
        <v>0</v>
      </c>
      <c r="AZ1221" s="30">
        <f>ROUND(Inventory[[#This Row],[25Det]],-2)</f>
        <v>8000</v>
      </c>
      <c r="BA1221" s="30">
        <f>ROUND(SUM(Inventory[[#This Row],[Mdl Qlty]:[Mdl Garage Area]])+Inventory[[#This Row],[Mdl Res Intercept]],-2)</f>
        <v>262200</v>
      </c>
      <c r="BB1221" s="30">
        <f>ROUND(Inventory[[#This Row],[Mdl Land Intercept]]+Inventory[[#This Row],[Mdl LnAcres]],-2)</f>
        <v>69600</v>
      </c>
      <c r="BC1221" s="30">
        <f>Inventory[[#This Row],[Unadj Res Value]]+Inventory[[#This Row],[Unadj Det Value]]+Inventory[[#This Row],[Unadj Land Value]]</f>
        <v>339800</v>
      </c>
      <c r="BD1221" s="30">
        <f>(Inventory[[#This Row],[Unadj Total Value]]-Inventory[[#This Row],[24Final]])/Inventory[[#This Row],[24Final]]</f>
        <v>0.26743752331219695</v>
      </c>
      <c r="BE1221" s="30">
        <f>VLOOKUP(Inventory[[#This Row],[Nbhd]],Lookups!$M$3:$P$5,4,FALSE)</f>
        <v>0.99970000000000003</v>
      </c>
      <c r="BF1221" s="30">
        <f>VLOOKUP(Inventory[[#This Row],[Qlty]],Lookups!$M$8:$P$22,4,FALSE)</f>
        <v>1.0003</v>
      </c>
      <c r="BG1221" s="30">
        <f>VLOOKUP(Inventory[[#This Row],[Cnd]],Lookups!$R$8:$U$17,4,FALSE)</f>
        <v>0.997</v>
      </c>
      <c r="BH1221" s="30">
        <f>VLOOKUP(Inventory[[#This Row],[LivArea Range]],Lookups!$R$25:$U$43,4,FALSE)</f>
        <v>0.99519999999999997</v>
      </c>
      <c r="BI1221" s="30">
        <f>VLOOKUP(Inventory[[#This Row],[Decade]],Lookups!$M$24:$P$40,4,FALSE)</f>
        <v>1.0362</v>
      </c>
      <c r="BJ1221" s="30">
        <f>Inventory[[#This Row],[Nbhd Adj]]*0.95</f>
        <v>0.94971499999999998</v>
      </c>
      <c r="BK1221" s="30">
        <f>AVERAGE(Inventory[[#This Row],[Nbhd Adj]],Inventory[[#This Row],[Quality Adj]],Inventory[[#This Row],[Condition Adj]],Inventory[[#This Row],[Living Area Adj]],Inventory[[#This Row],[Decade Adj]])*0.95</f>
        <v>0.95539599999999991</v>
      </c>
      <c r="BL1221" s="30">
        <f>ROUND((SUM(Inventory[[#This Row],[Mdl Qlty]:[Mdl Garage Area]])+Inventory[[#This Row],[Mdl Res Intercept]])*Inventory[[#This Row],[Res Adj ]],-2)</f>
        <v>250500</v>
      </c>
      <c r="BM1221" s="30">
        <f>ROUND(Inventory[[#This Row],[25Det]]*Inventory[[#This Row],[Det/Nbhd Adj]],-2)</f>
        <v>7600</v>
      </c>
      <c r="BN1221" s="30">
        <f>Inventory[[#This Row],[Adjusted Res]]+Inventory[[#This Row],[Adj Det ]]</f>
        <v>258100</v>
      </c>
      <c r="BO1221" s="30">
        <f>ROUND((Inventory[[#This Row],[Mdl Land Intercept]]+Inventory[[#This Row],[Mdl LnAcres]])*Inventory[[#This Row],[Det/Nbhd Adj]],-2)</f>
        <v>66100</v>
      </c>
      <c r="BP1221" s="30">
        <f>Inventory[[#This Row],[Adjusted Impr Total]]+Inventory[[#This Row],[Adjusted Land Total]]</f>
        <v>324200</v>
      </c>
      <c r="BQ1221" s="30">
        <f>IFERROR((Inventory[[#This Row],[Adjusted Impr Total]]-Inventory[[#This Row],[24Bldg]])/Inventory[[#This Row],[24Bldg]],0)</f>
        <v>0.28025793650793651</v>
      </c>
      <c r="BR1221" s="43">
        <f>(Inventory[[#This Row],[Adjusted Land Total]]-Inventory[[#This Row],[24Lnd]])/Inventory[[#This Row],[24Lnd]]</f>
        <v>-6.0150375939849628E-3</v>
      </c>
      <c r="BS1221" s="43">
        <f>(Inventory[[#This Row],[Adjusted Total]]-Inventory[[#This Row],[24Final]])/Inventory[[#This Row],[24Final]]</f>
        <v>0.20925027974636329</v>
      </c>
    </row>
    <row r="1222" spans="1:71">
      <c r="A1222" s="30">
        <v>2025</v>
      </c>
      <c r="B1222" s="31" t="s">
        <v>1739</v>
      </c>
      <c r="C1222" s="36">
        <f>LN(Inventory[[#This Row],[Acres]])</f>
        <v>-1.2729656758128873</v>
      </c>
      <c r="D1222" s="38">
        <v>0.28000000000000003</v>
      </c>
      <c r="E1222" s="30">
        <v>12075</v>
      </c>
      <c r="F1222" s="31" t="s">
        <v>505</v>
      </c>
      <c r="G1222" s="31" t="s">
        <v>155</v>
      </c>
      <c r="H1222" s="31" t="s">
        <v>5</v>
      </c>
      <c r="I1222" s="31" t="s">
        <v>506</v>
      </c>
      <c r="J1222" s="31" t="s">
        <v>507</v>
      </c>
      <c r="K1222" s="31" t="s">
        <v>193</v>
      </c>
      <c r="L1222" s="31" t="s">
        <v>15</v>
      </c>
      <c r="M1222" s="31" t="s">
        <v>20</v>
      </c>
      <c r="N1222" s="31">
        <v>60</v>
      </c>
      <c r="O1222" s="31">
        <f>2024-Inventory[[#This Row],[YrBlt]]</f>
        <v>64</v>
      </c>
      <c r="P1222" s="31">
        <f>2024-Inventory[[#This Row],[EffYr]]</f>
        <v>49</v>
      </c>
      <c r="Q1222" s="30">
        <v>1960</v>
      </c>
      <c r="R1222" s="30">
        <v>1975</v>
      </c>
      <c r="S1222" s="30">
        <v>1008</v>
      </c>
      <c r="T1222" s="32"/>
      <c r="U1222" s="38">
        <v>168</v>
      </c>
      <c r="V1222" s="32"/>
      <c r="W1222" s="38">
        <v>168</v>
      </c>
      <c r="X1222" s="38">
        <f>Inventory[[#This Row],[Bsmt Area]]-Inventory[[#This Row],[FnBsmt]]</f>
        <v>0</v>
      </c>
      <c r="Y1222" s="38">
        <f>Inventory[[#This Row],[MainFn]]+Inventory[[#This Row],[UpprFn]]+Inventory[[#This Row],[AddFn]]+Inventory[[#This Row],[FnBsmt]]</f>
        <v>1176</v>
      </c>
      <c r="Z1222" s="32">
        <v>1500</v>
      </c>
      <c r="AA1222" s="31" t="s">
        <v>56</v>
      </c>
      <c r="AB1222" s="32"/>
      <c r="AC1222" s="37"/>
      <c r="AD1222" s="32"/>
      <c r="AE1222" s="32"/>
      <c r="AF1222" s="32"/>
      <c r="AG1222" s="32"/>
      <c r="AH1222" s="32"/>
      <c r="AI1222" s="30">
        <v>208416</v>
      </c>
      <c r="AJ1222" s="30">
        <v>150060</v>
      </c>
      <c r="AK1222" s="30">
        <v>20288</v>
      </c>
      <c r="AL1222" s="30">
        <v>0</v>
      </c>
      <c r="AM1222" s="30">
        <v>68700</v>
      </c>
      <c r="AN1222" s="30">
        <v>208000</v>
      </c>
      <c r="AO1222" s="30">
        <v>276700</v>
      </c>
      <c r="AP1222" s="30">
        <f>Lookups!$B$58*0.6</f>
        <v>132535.48800000001</v>
      </c>
      <c r="AQ1222" s="30">
        <f>Lookups!$B$58*0.4</f>
        <v>88356.992000000013</v>
      </c>
      <c r="AR1222" s="30">
        <f>Lookups!$B$59*Inventory[[#This Row],[LnAcres]]</f>
        <v>-16706.81015135027</v>
      </c>
      <c r="AS1222" s="30">
        <f>VLOOKUP(Inventory[[#This Row],[Qlty]],Lookups!$A$66:$E$79,2,FALSE)</f>
        <v>-1240.8083630000001</v>
      </c>
      <c r="AT1222" s="30">
        <f>VLOOKUP(Inventory[[#This Row],[Cnd]],Lookups!$A$80:$E$88,2,FALSE)</f>
        <v>30300.329274</v>
      </c>
      <c r="AU1222" s="30">
        <f>Inventory[[#This Row],[EffAge]]*Lookups!$B$65</f>
        <v>-5328.3139000000001</v>
      </c>
      <c r="AV1222" s="30">
        <f>Inventory[[#This Row],[MainFn]]*Lookups!$B$90</f>
        <v>62909.663040000007</v>
      </c>
      <c r="AW1222" s="30">
        <f>Inventory[[#This Row],[UpprFn]]*Lookups!$B$91</f>
        <v>0</v>
      </c>
      <c r="AX1222" s="30">
        <f>Inventory[[#This Row],[Bsmt Area]]*Lookups!$B$95</f>
        <v>10514.531327999999</v>
      </c>
      <c r="AY1222" s="30">
        <f>Inventory[[#This Row],[AttGar]]*Lookups!$B$93</f>
        <v>0</v>
      </c>
      <c r="AZ1222" s="30">
        <f>ROUND(Inventory[[#This Row],[25Det]],-2)</f>
        <v>20300</v>
      </c>
      <c r="BA1222" s="30">
        <f>ROUND(SUM(Inventory[[#This Row],[Mdl Qlty]:[Mdl Garage Area]])+Inventory[[#This Row],[Mdl Res Intercept]],-2)</f>
        <v>229700</v>
      </c>
      <c r="BB1222" s="30">
        <f>ROUND(Inventory[[#This Row],[Mdl Land Intercept]]+Inventory[[#This Row],[Mdl LnAcres]],-2)</f>
        <v>71700</v>
      </c>
      <c r="BC1222" s="30">
        <f>Inventory[[#This Row],[Unadj Res Value]]+Inventory[[#This Row],[Unadj Det Value]]+Inventory[[#This Row],[Unadj Land Value]]</f>
        <v>321700</v>
      </c>
      <c r="BD1222" s="30">
        <f>(Inventory[[#This Row],[Unadj Total Value]]-Inventory[[#This Row],[24Final]])/Inventory[[#This Row],[24Final]]</f>
        <v>0.16263100831225152</v>
      </c>
      <c r="BE1222" s="30">
        <f>VLOOKUP(Inventory[[#This Row],[Nbhd]],Lookups!$M$3:$P$5,4,FALSE)</f>
        <v>0.99970000000000003</v>
      </c>
      <c r="BF1222" s="30">
        <f>VLOOKUP(Inventory[[#This Row],[Qlty]],Lookups!$M$8:$P$22,4,FALSE)</f>
        <v>1.0022</v>
      </c>
      <c r="BG1222" s="30">
        <f>VLOOKUP(Inventory[[#This Row],[Cnd]],Lookups!$R$8:$U$17,4,FALSE)</f>
        <v>0.997</v>
      </c>
      <c r="BH1222" s="30">
        <f>VLOOKUP(Inventory[[#This Row],[LivArea Range]],Lookups!$R$25:$U$43,4,FALSE)</f>
        <v>0.99519999999999997</v>
      </c>
      <c r="BI1222" s="30">
        <f>VLOOKUP(Inventory[[#This Row],[Decade]],Lookups!$M$24:$P$40,4,FALSE)</f>
        <v>1.0362</v>
      </c>
      <c r="BJ1222" s="30">
        <f>Inventory[[#This Row],[Nbhd Adj]]*0.95</f>
        <v>0.94971499999999998</v>
      </c>
      <c r="BK1222" s="30">
        <f>AVERAGE(Inventory[[#This Row],[Nbhd Adj]],Inventory[[#This Row],[Quality Adj]],Inventory[[#This Row],[Condition Adj]],Inventory[[#This Row],[Living Area Adj]],Inventory[[#This Row],[Decade Adj]])*0.95</f>
        <v>0.95575700000000008</v>
      </c>
      <c r="BL1222" s="30">
        <f>ROUND((SUM(Inventory[[#This Row],[Mdl Qlty]:[Mdl Garage Area]])+Inventory[[#This Row],[Mdl Res Intercept]])*Inventory[[#This Row],[Res Adj ]],-2)</f>
        <v>219500</v>
      </c>
      <c r="BM1222" s="30">
        <f>ROUND(Inventory[[#This Row],[25Det]]*Inventory[[#This Row],[Det/Nbhd Adj]],-2)</f>
        <v>19300</v>
      </c>
      <c r="BN1222" s="30">
        <f>Inventory[[#This Row],[Adjusted Res]]+Inventory[[#This Row],[Adj Det ]]</f>
        <v>238800</v>
      </c>
      <c r="BO1222" s="30">
        <f>ROUND((Inventory[[#This Row],[Mdl Land Intercept]]+Inventory[[#This Row],[Mdl LnAcres]])*Inventory[[#This Row],[Det/Nbhd Adj]],-2)</f>
        <v>68000</v>
      </c>
      <c r="BP1222" s="30">
        <f>Inventory[[#This Row],[Adjusted Impr Total]]+Inventory[[#This Row],[Adjusted Land Total]]</f>
        <v>306800</v>
      </c>
      <c r="BQ1222" s="30">
        <f>IFERROR((Inventory[[#This Row],[Adjusted Impr Total]]-Inventory[[#This Row],[24Bldg]])/Inventory[[#This Row],[24Bldg]],0)</f>
        <v>0.14807692307692308</v>
      </c>
      <c r="BR1222" s="43">
        <f>(Inventory[[#This Row],[Adjusted Land Total]]-Inventory[[#This Row],[24Lnd]])/Inventory[[#This Row],[24Lnd]]</f>
        <v>-1.0189228529839884E-2</v>
      </c>
      <c r="BS1222" s="43">
        <f>(Inventory[[#This Row],[Adjusted Total]]-Inventory[[#This Row],[24Final]])/Inventory[[#This Row],[24Final]]</f>
        <v>0.10878207444886158</v>
      </c>
    </row>
    <row r="1223" spans="1:71">
      <c r="A1223" s="30">
        <v>2025</v>
      </c>
      <c r="B1223" s="31" t="s">
        <v>1740</v>
      </c>
      <c r="C1223" s="36">
        <f>LN(Inventory[[#This Row],[Acres]])</f>
        <v>-1.2729656758128873</v>
      </c>
      <c r="D1223" s="38">
        <v>0.28000000000000003</v>
      </c>
      <c r="E1223" s="37"/>
      <c r="F1223" s="31" t="s">
        <v>505</v>
      </c>
      <c r="G1223" s="31" t="s">
        <v>155</v>
      </c>
      <c r="H1223" s="31" t="s">
        <v>5</v>
      </c>
      <c r="I1223" s="31" t="s">
        <v>506</v>
      </c>
      <c r="J1223" s="31" t="s">
        <v>507</v>
      </c>
      <c r="K1223" s="31" t="s">
        <v>193</v>
      </c>
      <c r="L1223" s="31" t="s">
        <v>17</v>
      </c>
      <c r="M1223" s="31" t="s">
        <v>20</v>
      </c>
      <c r="N1223" s="31">
        <v>60</v>
      </c>
      <c r="O1223" s="31">
        <f>2024-Inventory[[#This Row],[YrBlt]]</f>
        <v>64</v>
      </c>
      <c r="P1223" s="31">
        <f>2024-Inventory[[#This Row],[EffYr]]</f>
        <v>49</v>
      </c>
      <c r="Q1223" s="30">
        <v>1960</v>
      </c>
      <c r="R1223" s="30">
        <v>1975</v>
      </c>
      <c r="S1223" s="30">
        <v>1204</v>
      </c>
      <c r="T1223" s="37"/>
      <c r="U1223" s="32"/>
      <c r="V1223" s="32"/>
      <c r="W1223" s="32"/>
      <c r="X1223" s="32">
        <f>Inventory[[#This Row],[Bsmt Area]]-Inventory[[#This Row],[FnBsmt]]</f>
        <v>0</v>
      </c>
      <c r="Y1223" s="32">
        <f>Inventory[[#This Row],[MainFn]]+Inventory[[#This Row],[UpprFn]]+Inventory[[#This Row],[AddFn]]+Inventory[[#This Row],[FnBsmt]]</f>
        <v>1204</v>
      </c>
      <c r="Z1223" s="32">
        <v>1500</v>
      </c>
      <c r="AA1223" s="31" t="s">
        <v>56</v>
      </c>
      <c r="AB1223" s="32"/>
      <c r="AC1223" s="32"/>
      <c r="AD1223" s="37"/>
      <c r="AE1223" s="32"/>
      <c r="AF1223" s="32"/>
      <c r="AG1223" s="32"/>
      <c r="AH1223" s="32"/>
      <c r="AI1223" s="30">
        <v>201774</v>
      </c>
      <c r="AJ1223" s="30">
        <v>145277</v>
      </c>
      <c r="AK1223" s="30">
        <v>10436</v>
      </c>
      <c r="AL1223" s="30">
        <v>0</v>
      </c>
      <c r="AM1223" s="30">
        <v>68700</v>
      </c>
      <c r="AN1223" s="30">
        <v>221200</v>
      </c>
      <c r="AO1223" s="30">
        <v>289900</v>
      </c>
      <c r="AP1223" s="30">
        <f>Lookups!$B$58*0.6</f>
        <v>132535.48800000001</v>
      </c>
      <c r="AQ1223" s="30">
        <f>Lookups!$B$58*0.4</f>
        <v>88356.992000000013</v>
      </c>
      <c r="AR1223" s="30">
        <f>Lookups!$B$59*Inventory[[#This Row],[LnAcres]]</f>
        <v>-16706.81015135027</v>
      </c>
      <c r="AS1223" s="30">
        <f>VLOOKUP(Inventory[[#This Row],[Qlty]],Lookups!$A$66:$E$79,2,FALSE)</f>
        <v>24371.765965999999</v>
      </c>
      <c r="AT1223" s="30">
        <f>VLOOKUP(Inventory[[#This Row],[Cnd]],Lookups!$A$80:$E$88,2,FALSE)</f>
        <v>30300.329274</v>
      </c>
      <c r="AU1223" s="30">
        <f>Inventory[[#This Row],[EffAge]]*Lookups!$B$65</f>
        <v>-5328.3139000000001</v>
      </c>
      <c r="AV1223" s="30">
        <f>Inventory[[#This Row],[MainFn]]*Lookups!$B$90</f>
        <v>75142.09752000001</v>
      </c>
      <c r="AW1223" s="30">
        <f>Inventory[[#This Row],[UpprFn]]*Lookups!$B$91</f>
        <v>0</v>
      </c>
      <c r="AX1223" s="30">
        <f>Inventory[[#This Row],[Bsmt Area]]*Lookups!$B$95</f>
        <v>0</v>
      </c>
      <c r="AY1223" s="30">
        <f>Inventory[[#This Row],[AttGar]]*Lookups!$B$93</f>
        <v>0</v>
      </c>
      <c r="AZ1223" s="30">
        <f>ROUND(Inventory[[#This Row],[25Det]],-2)</f>
        <v>10400</v>
      </c>
      <c r="BA1223" s="30">
        <f>ROUND(SUM(Inventory[[#This Row],[Mdl Qlty]:[Mdl Garage Area]])+Inventory[[#This Row],[Mdl Res Intercept]],-2)</f>
        <v>257000</v>
      </c>
      <c r="BB1223" s="30">
        <f>ROUND(Inventory[[#This Row],[Mdl Land Intercept]]+Inventory[[#This Row],[Mdl LnAcres]],-2)</f>
        <v>71700</v>
      </c>
      <c r="BC1223" s="30">
        <f>Inventory[[#This Row],[Unadj Res Value]]+Inventory[[#This Row],[Unadj Det Value]]+Inventory[[#This Row],[Unadj Land Value]]</f>
        <v>339100</v>
      </c>
      <c r="BD1223" s="30">
        <f>(Inventory[[#This Row],[Unadj Total Value]]-Inventory[[#This Row],[24Final]])/Inventory[[#This Row],[24Final]]</f>
        <v>0.16971369437737152</v>
      </c>
      <c r="BE1223" s="30">
        <f>VLOOKUP(Inventory[[#This Row],[Nbhd]],Lookups!$M$3:$P$5,4,FALSE)</f>
        <v>0.99970000000000003</v>
      </c>
      <c r="BF1223" s="30">
        <f>VLOOKUP(Inventory[[#This Row],[Qlty]],Lookups!$M$8:$P$22,4,FALSE)</f>
        <v>0.99199999999999999</v>
      </c>
      <c r="BG1223" s="30">
        <f>VLOOKUP(Inventory[[#This Row],[Cnd]],Lookups!$R$8:$U$17,4,FALSE)</f>
        <v>0.997</v>
      </c>
      <c r="BH1223" s="30">
        <f>VLOOKUP(Inventory[[#This Row],[LivArea Range]],Lookups!$R$25:$U$43,4,FALSE)</f>
        <v>0.99519999999999997</v>
      </c>
      <c r="BI1223" s="30">
        <f>VLOOKUP(Inventory[[#This Row],[Decade]],Lookups!$M$24:$P$40,4,FALSE)</f>
        <v>1.0362</v>
      </c>
      <c r="BJ1223" s="30">
        <f>Inventory[[#This Row],[Nbhd Adj]]*0.95</f>
        <v>0.94971499999999998</v>
      </c>
      <c r="BK1223" s="30">
        <f>AVERAGE(Inventory[[#This Row],[Nbhd Adj]],Inventory[[#This Row],[Quality Adj]],Inventory[[#This Row],[Condition Adj]],Inventory[[#This Row],[Living Area Adj]],Inventory[[#This Row],[Decade Adj]])*0.95</f>
        <v>0.95381900000000008</v>
      </c>
      <c r="BL1223" s="30">
        <f>ROUND((SUM(Inventory[[#This Row],[Mdl Qlty]:[Mdl Garage Area]])+Inventory[[#This Row],[Mdl Res Intercept]])*Inventory[[#This Row],[Res Adj ]],-2)</f>
        <v>245200</v>
      </c>
      <c r="BM1223" s="30">
        <f>ROUND(Inventory[[#This Row],[25Det]]*Inventory[[#This Row],[Det/Nbhd Adj]],-2)</f>
        <v>9900</v>
      </c>
      <c r="BN1223" s="30">
        <f>Inventory[[#This Row],[Adjusted Res]]+Inventory[[#This Row],[Adj Det ]]</f>
        <v>255100</v>
      </c>
      <c r="BO1223" s="30">
        <f>ROUND((Inventory[[#This Row],[Mdl Land Intercept]]+Inventory[[#This Row],[Mdl LnAcres]])*Inventory[[#This Row],[Det/Nbhd Adj]],-2)</f>
        <v>68000</v>
      </c>
      <c r="BP1223" s="30">
        <f>Inventory[[#This Row],[Adjusted Impr Total]]+Inventory[[#This Row],[Adjusted Land Total]]</f>
        <v>323100</v>
      </c>
      <c r="BQ1223" s="30">
        <f>IFERROR((Inventory[[#This Row],[Adjusted Impr Total]]-Inventory[[#This Row],[24Bldg]])/Inventory[[#This Row],[24Bldg]],0)</f>
        <v>0.15325497287522605</v>
      </c>
      <c r="BR1223" s="43">
        <f>(Inventory[[#This Row],[Adjusted Land Total]]-Inventory[[#This Row],[24Lnd]])/Inventory[[#This Row],[24Lnd]]</f>
        <v>-1.0189228529839884E-2</v>
      </c>
      <c r="BS1223" s="43">
        <f>(Inventory[[#This Row],[Adjusted Total]]-Inventory[[#This Row],[24Final]])/Inventory[[#This Row],[24Final]]</f>
        <v>0.11452224905139703</v>
      </c>
    </row>
    <row r="1224" spans="1:71">
      <c r="A1224" s="30">
        <v>2025</v>
      </c>
      <c r="B1224" s="31" t="s">
        <v>1741</v>
      </c>
      <c r="C1224" s="36">
        <f>LN(Inventory[[#This Row],[Acres]])</f>
        <v>-0.79850769621777162</v>
      </c>
      <c r="D1224" s="38">
        <v>0.45</v>
      </c>
      <c r="E1224" s="37"/>
      <c r="F1224" s="31" t="s">
        <v>505</v>
      </c>
      <c r="G1224" s="31" t="s">
        <v>155</v>
      </c>
      <c r="H1224" s="31" t="s">
        <v>5</v>
      </c>
      <c r="I1224" s="31" t="s">
        <v>506</v>
      </c>
      <c r="J1224" s="31" t="s">
        <v>507</v>
      </c>
      <c r="K1224" s="31" t="s">
        <v>473</v>
      </c>
      <c r="L1224" s="31" t="s">
        <v>13</v>
      </c>
      <c r="M1224" s="31" t="s">
        <v>18</v>
      </c>
      <c r="N1224" s="31">
        <v>60</v>
      </c>
      <c r="O1224" s="31">
        <f>2024-Inventory[[#This Row],[YrBlt]]</f>
        <v>64</v>
      </c>
      <c r="P1224" s="31">
        <f>2024-Inventory[[#This Row],[EffYr]]</f>
        <v>49</v>
      </c>
      <c r="Q1224" s="30">
        <v>1960</v>
      </c>
      <c r="R1224" s="30">
        <v>1975</v>
      </c>
      <c r="S1224" s="30">
        <v>991</v>
      </c>
      <c r="T1224" s="32"/>
      <c r="U1224" s="32"/>
      <c r="V1224" s="32"/>
      <c r="W1224" s="32"/>
      <c r="X1224" s="32">
        <f>Inventory[[#This Row],[Bsmt Area]]-Inventory[[#This Row],[FnBsmt]]</f>
        <v>0</v>
      </c>
      <c r="Y1224" s="32">
        <f>Inventory[[#This Row],[MainFn]]+Inventory[[#This Row],[UpprFn]]+Inventory[[#This Row],[AddFn]]+Inventory[[#This Row],[FnBsmt]]</f>
        <v>991</v>
      </c>
      <c r="Z1224" s="32">
        <v>1000</v>
      </c>
      <c r="AA1224" s="31" t="s">
        <v>56</v>
      </c>
      <c r="AB1224" s="37"/>
      <c r="AC1224" s="37"/>
      <c r="AD1224" s="32"/>
      <c r="AE1224" s="32"/>
      <c r="AF1224" s="32"/>
      <c r="AG1224" s="32"/>
      <c r="AH1224" s="32"/>
      <c r="AI1224" s="30">
        <v>187408</v>
      </c>
      <c r="AJ1224" s="30">
        <v>133060</v>
      </c>
      <c r="AK1224" s="30">
        <v>11846</v>
      </c>
      <c r="AL1224" s="30">
        <v>0</v>
      </c>
      <c r="AM1224" s="30">
        <v>75300</v>
      </c>
      <c r="AN1224" s="30">
        <v>176500</v>
      </c>
      <c r="AO1224" s="30">
        <v>251800</v>
      </c>
      <c r="AP1224" s="30">
        <f>Lookups!$B$58*0.6</f>
        <v>132535.48800000001</v>
      </c>
      <c r="AQ1224" s="30">
        <f>Lookups!$B$58*0.4</f>
        <v>88356.992000000013</v>
      </c>
      <c r="AR1224" s="30">
        <f>Lookups!$B$59*Inventory[[#This Row],[LnAcres]]</f>
        <v>-10479.871326132521</v>
      </c>
      <c r="AS1224" s="30">
        <f>VLOOKUP(Inventory[[#This Row],[Qlty]],Lookups!$A$66:$E$79,2,FALSE)</f>
        <v>0</v>
      </c>
      <c r="AT1224" s="30">
        <f>VLOOKUP(Inventory[[#This Row],[Cnd]],Lookups!$A$80:$E$88,2,FALSE)</f>
        <v>17761.121909000001</v>
      </c>
      <c r="AU1224" s="30">
        <f>Inventory[[#This Row],[EffAge]]*Lookups!$B$65</f>
        <v>-5328.3139000000001</v>
      </c>
      <c r="AV1224" s="30">
        <f>Inventory[[#This Row],[MainFn]]*Lookups!$B$90</f>
        <v>61848.686580000001</v>
      </c>
      <c r="AW1224" s="30">
        <f>Inventory[[#This Row],[UpprFn]]*Lookups!$B$91</f>
        <v>0</v>
      </c>
      <c r="AX1224" s="30">
        <f>Inventory[[#This Row],[Bsmt Area]]*Lookups!$B$95</f>
        <v>0</v>
      </c>
      <c r="AY1224" s="30">
        <f>Inventory[[#This Row],[AttGar]]*Lookups!$B$93</f>
        <v>0</v>
      </c>
      <c r="AZ1224" s="30">
        <f>ROUND(Inventory[[#This Row],[25Det]],-2)</f>
        <v>11800</v>
      </c>
      <c r="BA1224" s="30">
        <f>ROUND(SUM(Inventory[[#This Row],[Mdl Qlty]:[Mdl Garage Area]])+Inventory[[#This Row],[Mdl Res Intercept]],-2)</f>
        <v>206800</v>
      </c>
      <c r="BB1224" s="30">
        <f>ROUND(Inventory[[#This Row],[Mdl Land Intercept]]+Inventory[[#This Row],[Mdl LnAcres]],-2)</f>
        <v>77900</v>
      </c>
      <c r="BC1224" s="30">
        <f>Inventory[[#This Row],[Unadj Res Value]]+Inventory[[#This Row],[Unadj Det Value]]+Inventory[[#This Row],[Unadj Land Value]]</f>
        <v>296500</v>
      </c>
      <c r="BD1224" s="30">
        <f>(Inventory[[#This Row],[Unadj Total Value]]-Inventory[[#This Row],[24Final]])/Inventory[[#This Row],[24Final]]</f>
        <v>0.17752184273232724</v>
      </c>
      <c r="BE1224" s="30">
        <f>VLOOKUP(Inventory[[#This Row],[Nbhd]],Lookups!$M$3:$P$5,4,FALSE)</f>
        <v>0.99970000000000003</v>
      </c>
      <c r="BF1224" s="30">
        <f>VLOOKUP(Inventory[[#This Row],[Qlty]],Lookups!$M$8:$P$22,4,FALSE)</f>
        <v>1.0003</v>
      </c>
      <c r="BG1224" s="30">
        <f>VLOOKUP(Inventory[[#This Row],[Cnd]],Lookups!$R$8:$U$17,4,FALSE)</f>
        <v>0.99680000000000002</v>
      </c>
      <c r="BH1224" s="30">
        <f>VLOOKUP(Inventory[[#This Row],[LivArea Range]],Lookups!$R$25:$U$43,4,FALSE)</f>
        <v>1</v>
      </c>
      <c r="BI1224" s="30">
        <f>VLOOKUP(Inventory[[#This Row],[Decade]],Lookups!$M$24:$P$40,4,FALSE)</f>
        <v>1.0362</v>
      </c>
      <c r="BJ1224" s="30">
        <f>Inventory[[#This Row],[Nbhd Adj]]*0.95</f>
        <v>0.94971499999999998</v>
      </c>
      <c r="BK1224" s="30">
        <f>AVERAGE(Inventory[[#This Row],[Nbhd Adj]],Inventory[[#This Row],[Quality Adj]],Inventory[[#This Row],[Condition Adj]],Inventory[[#This Row],[Living Area Adj]],Inventory[[#This Row],[Decade Adj]])*0.95</f>
        <v>0.95626999999999984</v>
      </c>
      <c r="BL1224" s="30">
        <f>ROUND((SUM(Inventory[[#This Row],[Mdl Qlty]:[Mdl Garage Area]])+Inventory[[#This Row],[Mdl Res Intercept]])*Inventory[[#This Row],[Res Adj ]],-2)</f>
        <v>197800</v>
      </c>
      <c r="BM1224" s="30">
        <f>ROUND(Inventory[[#This Row],[25Det]]*Inventory[[#This Row],[Det/Nbhd Adj]],-2)</f>
        <v>11300</v>
      </c>
      <c r="BN1224" s="30">
        <f>Inventory[[#This Row],[Adjusted Res]]+Inventory[[#This Row],[Adj Det ]]</f>
        <v>209100</v>
      </c>
      <c r="BO1224" s="30">
        <f>ROUND((Inventory[[#This Row],[Mdl Land Intercept]]+Inventory[[#This Row],[Mdl LnAcres]])*Inventory[[#This Row],[Det/Nbhd Adj]],-2)</f>
        <v>74000</v>
      </c>
      <c r="BP1224" s="30">
        <f>Inventory[[#This Row],[Adjusted Impr Total]]+Inventory[[#This Row],[Adjusted Land Total]]</f>
        <v>283100</v>
      </c>
      <c r="BQ1224" s="30">
        <f>IFERROR((Inventory[[#This Row],[Adjusted Impr Total]]-Inventory[[#This Row],[24Bldg]])/Inventory[[#This Row],[24Bldg]],0)</f>
        <v>0.18470254957507082</v>
      </c>
      <c r="BR1224" s="43">
        <f>(Inventory[[#This Row],[Adjusted Land Total]]-Inventory[[#This Row],[24Lnd]])/Inventory[[#This Row],[24Lnd]]</f>
        <v>-1.7264276228419653E-2</v>
      </c>
      <c r="BS1224" s="43">
        <f>(Inventory[[#This Row],[Adjusted Total]]-Inventory[[#This Row],[24Final]])/Inventory[[#This Row],[24Final]]</f>
        <v>0.12430500397140588</v>
      </c>
    </row>
    <row r="1225" spans="1:71">
      <c r="A1225" s="30">
        <v>2025</v>
      </c>
      <c r="B1225" s="31" t="s">
        <v>1742</v>
      </c>
      <c r="C1225" s="36">
        <f>LN(Inventory[[#This Row],[Acres]])</f>
        <v>-0.69314718055994529</v>
      </c>
      <c r="D1225" s="38">
        <v>0.5</v>
      </c>
      <c r="E1225" s="30">
        <v>21948</v>
      </c>
      <c r="F1225" s="31" t="s">
        <v>505</v>
      </c>
      <c r="G1225" s="31" t="s">
        <v>155</v>
      </c>
      <c r="H1225" s="31" t="s">
        <v>5</v>
      </c>
      <c r="I1225" s="31" t="s">
        <v>506</v>
      </c>
      <c r="J1225" s="31" t="s">
        <v>507</v>
      </c>
      <c r="K1225" s="31" t="s">
        <v>193</v>
      </c>
      <c r="L1225" s="31" t="s">
        <v>15</v>
      </c>
      <c r="M1225" s="31" t="s">
        <v>16</v>
      </c>
      <c r="N1225" s="31">
        <v>60</v>
      </c>
      <c r="O1225" s="31">
        <f>2024-Inventory[[#This Row],[YrBlt]]</f>
        <v>64</v>
      </c>
      <c r="P1225" s="31">
        <f>2024-Inventory[[#This Row],[EffYr]]</f>
        <v>49</v>
      </c>
      <c r="Q1225" s="30">
        <v>1960</v>
      </c>
      <c r="R1225" s="30">
        <v>1975</v>
      </c>
      <c r="S1225" s="30">
        <v>1344</v>
      </c>
      <c r="T1225" s="37"/>
      <c r="U1225" s="32"/>
      <c r="V1225" s="32"/>
      <c r="W1225" s="32"/>
      <c r="X1225" s="32">
        <f>Inventory[[#This Row],[Bsmt Area]]-Inventory[[#This Row],[FnBsmt]]</f>
        <v>0</v>
      </c>
      <c r="Y1225" s="32">
        <f>Inventory[[#This Row],[MainFn]]+Inventory[[#This Row],[UpprFn]]+Inventory[[#This Row],[AddFn]]+Inventory[[#This Row],[FnBsmt]]</f>
        <v>1344</v>
      </c>
      <c r="Z1225" s="32">
        <v>1500</v>
      </c>
      <c r="AA1225" s="31" t="s">
        <v>56</v>
      </c>
      <c r="AB1225" s="32"/>
      <c r="AC1225" s="37"/>
      <c r="AD1225" s="37"/>
      <c r="AE1225" s="32"/>
      <c r="AF1225" s="32"/>
      <c r="AG1225" s="32"/>
      <c r="AH1225" s="32"/>
      <c r="AI1225" s="30">
        <v>209200</v>
      </c>
      <c r="AJ1225" s="30">
        <v>146440</v>
      </c>
      <c r="AK1225" s="30">
        <v>0</v>
      </c>
      <c r="AL1225" s="30">
        <v>0</v>
      </c>
      <c r="AM1225" s="30">
        <v>76800</v>
      </c>
      <c r="AN1225" s="30">
        <v>195700</v>
      </c>
      <c r="AO1225" s="30">
        <v>272500</v>
      </c>
      <c r="AP1225" s="30">
        <f>Lookups!$B$58*0.6</f>
        <v>132535.48800000001</v>
      </c>
      <c r="AQ1225" s="30">
        <f>Lookups!$B$58*0.4</f>
        <v>88356.992000000013</v>
      </c>
      <c r="AR1225" s="30">
        <f>Lookups!$B$59*Inventory[[#This Row],[LnAcres]]</f>
        <v>-9097.0860979136814</v>
      </c>
      <c r="AS1225" s="30">
        <f>VLOOKUP(Inventory[[#This Row],[Qlty]],Lookups!$A$66:$E$79,2,FALSE)</f>
        <v>-1240.8083630000001</v>
      </c>
      <c r="AT1225" s="30">
        <f>VLOOKUP(Inventory[[#This Row],[Cnd]],Lookups!$A$80:$E$88,2,FALSE)</f>
        <v>0</v>
      </c>
      <c r="AU1225" s="30">
        <f>Inventory[[#This Row],[EffAge]]*Lookups!$B$65</f>
        <v>-5328.3139000000001</v>
      </c>
      <c r="AV1225" s="30">
        <f>Inventory[[#This Row],[MainFn]]*Lookups!$B$90</f>
        <v>83879.550719999999</v>
      </c>
      <c r="AW1225" s="30">
        <f>Inventory[[#This Row],[UpprFn]]*Lookups!$B$91</f>
        <v>0</v>
      </c>
      <c r="AX1225" s="30">
        <f>Inventory[[#This Row],[Bsmt Area]]*Lookups!$B$95</f>
        <v>0</v>
      </c>
      <c r="AY1225" s="30">
        <f>Inventory[[#This Row],[AttGar]]*Lookups!$B$93</f>
        <v>0</v>
      </c>
      <c r="AZ1225" s="30">
        <f>ROUND(Inventory[[#This Row],[25Det]],-2)</f>
        <v>0</v>
      </c>
      <c r="BA1225" s="30">
        <f>ROUND(SUM(Inventory[[#This Row],[Mdl Qlty]:[Mdl Garage Area]])+Inventory[[#This Row],[Mdl Res Intercept]],-2)</f>
        <v>209800</v>
      </c>
      <c r="BB1225" s="30">
        <f>ROUND(Inventory[[#This Row],[Mdl Land Intercept]]+Inventory[[#This Row],[Mdl LnAcres]],-2)</f>
        <v>79300</v>
      </c>
      <c r="BC1225" s="30">
        <f>Inventory[[#This Row],[Unadj Res Value]]+Inventory[[#This Row],[Unadj Det Value]]+Inventory[[#This Row],[Unadj Land Value]]</f>
        <v>289100</v>
      </c>
      <c r="BD1225" s="30">
        <f>(Inventory[[#This Row],[Unadj Total Value]]-Inventory[[#This Row],[24Final]])/Inventory[[#This Row],[24Final]]</f>
        <v>6.0917431192660548E-2</v>
      </c>
      <c r="BE1225" s="30">
        <f>VLOOKUP(Inventory[[#This Row],[Nbhd]],Lookups!$M$3:$P$5,4,FALSE)</f>
        <v>0.99970000000000003</v>
      </c>
      <c r="BF1225" s="30">
        <f>VLOOKUP(Inventory[[#This Row],[Qlty]],Lookups!$M$8:$P$22,4,FALSE)</f>
        <v>1.0022</v>
      </c>
      <c r="BG1225" s="30">
        <f>VLOOKUP(Inventory[[#This Row],[Cnd]],Lookups!$R$8:$U$17,4,FALSE)</f>
        <v>1</v>
      </c>
      <c r="BH1225" s="30">
        <f>VLOOKUP(Inventory[[#This Row],[LivArea Range]],Lookups!$R$25:$U$43,4,FALSE)</f>
        <v>0.99519999999999997</v>
      </c>
      <c r="BI1225" s="30">
        <f>VLOOKUP(Inventory[[#This Row],[Decade]],Lookups!$M$24:$P$40,4,FALSE)</f>
        <v>1.0362</v>
      </c>
      <c r="BJ1225" s="30">
        <f>Inventory[[#This Row],[Nbhd Adj]]*0.95</f>
        <v>0.94971499999999998</v>
      </c>
      <c r="BK1225" s="30">
        <f>AVERAGE(Inventory[[#This Row],[Nbhd Adj]],Inventory[[#This Row],[Quality Adj]],Inventory[[#This Row],[Condition Adj]],Inventory[[#This Row],[Living Area Adj]],Inventory[[#This Row],[Decade Adj]])*0.95</f>
        <v>0.95632700000000004</v>
      </c>
      <c r="BL1225" s="30">
        <f>ROUND((SUM(Inventory[[#This Row],[Mdl Qlty]:[Mdl Garage Area]])+Inventory[[#This Row],[Mdl Res Intercept]])*Inventory[[#This Row],[Res Adj ]],-2)</f>
        <v>200700</v>
      </c>
      <c r="BM1225" s="30">
        <f>ROUND(Inventory[[#This Row],[25Det]]*Inventory[[#This Row],[Det/Nbhd Adj]],-2)</f>
        <v>0</v>
      </c>
      <c r="BN1225" s="30">
        <f>Inventory[[#This Row],[Adjusted Res]]+Inventory[[#This Row],[Adj Det ]]</f>
        <v>200700</v>
      </c>
      <c r="BO1225" s="30">
        <f>ROUND((Inventory[[#This Row],[Mdl Land Intercept]]+Inventory[[#This Row],[Mdl LnAcres]])*Inventory[[#This Row],[Det/Nbhd Adj]],-2)</f>
        <v>75300</v>
      </c>
      <c r="BP1225" s="30">
        <f>Inventory[[#This Row],[Adjusted Impr Total]]+Inventory[[#This Row],[Adjusted Land Total]]</f>
        <v>276000</v>
      </c>
      <c r="BQ1225" s="30">
        <f>IFERROR((Inventory[[#This Row],[Adjusted Impr Total]]-Inventory[[#This Row],[24Bldg]])/Inventory[[#This Row],[24Bldg]],0)</f>
        <v>2.5549310168625446E-2</v>
      </c>
      <c r="BR1225" s="43">
        <f>(Inventory[[#This Row],[Adjusted Land Total]]-Inventory[[#This Row],[24Lnd]])/Inventory[[#This Row],[24Lnd]]</f>
        <v>-1.953125E-2</v>
      </c>
      <c r="BS1225" s="43">
        <f>(Inventory[[#This Row],[Adjusted Total]]-Inventory[[#This Row],[24Final]])/Inventory[[#This Row],[24Final]]</f>
        <v>1.2844036697247707E-2</v>
      </c>
    </row>
    <row r="1226" spans="1:71">
      <c r="A1226" s="30">
        <v>2025</v>
      </c>
      <c r="B1226" s="31" t="s">
        <v>1743</v>
      </c>
      <c r="C1226" s="31">
        <f>LN(Inventory[[#This Row],[Acres]])</f>
        <v>-7.2570692834835374E-2</v>
      </c>
      <c r="D1226" s="38">
        <v>0.93</v>
      </c>
      <c r="E1226" s="38">
        <v>40599</v>
      </c>
      <c r="F1226" s="31" t="s">
        <v>505</v>
      </c>
      <c r="G1226" s="31" t="s">
        <v>155</v>
      </c>
      <c r="H1226" s="31" t="s">
        <v>5</v>
      </c>
      <c r="I1226" s="31" t="s">
        <v>506</v>
      </c>
      <c r="J1226" s="31" t="s">
        <v>773</v>
      </c>
      <c r="K1226" s="31" t="s">
        <v>157</v>
      </c>
      <c r="L1226" s="31" t="s">
        <v>19</v>
      </c>
      <c r="M1226" s="31" t="s">
        <v>18</v>
      </c>
      <c r="N1226" s="31">
        <v>60</v>
      </c>
      <c r="O1226" s="31">
        <f>2024-Inventory[[#This Row],[YrBlt]]</f>
        <v>64</v>
      </c>
      <c r="P1226" s="31">
        <f>2024-Inventory[[#This Row],[EffYr]]</f>
        <v>49</v>
      </c>
      <c r="Q1226" s="30">
        <v>1960</v>
      </c>
      <c r="R1226" s="30">
        <v>1975</v>
      </c>
      <c r="S1226" s="30">
        <v>1204</v>
      </c>
      <c r="T1226" s="38">
        <v>528</v>
      </c>
      <c r="U1226" s="38">
        <v>340</v>
      </c>
      <c r="V1226" s="32"/>
      <c r="W1226" s="32"/>
      <c r="X1226" s="32">
        <f>Inventory[[#This Row],[Bsmt Area]]-Inventory[[#This Row],[FnBsmt]]</f>
        <v>340</v>
      </c>
      <c r="Y1226" s="32">
        <f>Inventory[[#This Row],[MainFn]]+Inventory[[#This Row],[UpprFn]]+Inventory[[#This Row],[AddFn]]+Inventory[[#This Row],[FnBsmt]]</f>
        <v>1732</v>
      </c>
      <c r="Z1226" s="32">
        <v>2000</v>
      </c>
      <c r="AA1226" s="31" t="s">
        <v>57</v>
      </c>
      <c r="AB1226" s="30">
        <v>1</v>
      </c>
      <c r="AC1226" s="37"/>
      <c r="AD1226" s="32"/>
      <c r="AE1226" s="32"/>
      <c r="AF1226" s="32"/>
      <c r="AG1226" s="32"/>
      <c r="AH1226" s="32"/>
      <c r="AI1226" s="30">
        <v>330459</v>
      </c>
      <c r="AJ1226" s="30">
        <v>234626</v>
      </c>
      <c r="AK1226" s="30">
        <v>62267</v>
      </c>
      <c r="AL1226" s="30">
        <v>0</v>
      </c>
      <c r="AM1226" s="30">
        <v>85500</v>
      </c>
      <c r="AN1226" s="30">
        <v>301600</v>
      </c>
      <c r="AO1226" s="30">
        <v>387100</v>
      </c>
      <c r="AP1226" s="30">
        <f>Lookups!$B$58*0.6</f>
        <v>132535.48800000001</v>
      </c>
      <c r="AQ1226" s="30">
        <f>Lookups!$B$58*0.4</f>
        <v>88356.992000000013</v>
      </c>
      <c r="AR1226" s="30">
        <f>Lookups!$B$59*Inventory[[#This Row],[LnAcres]]</f>
        <v>-952.44106795677942</v>
      </c>
      <c r="AS1226" s="30">
        <f>VLOOKUP(Inventory[[#This Row],[Qlty]],Lookups!$A$66:$E$79,2,FALSE)</f>
        <v>37154.252388000001</v>
      </c>
      <c r="AT1226" s="30">
        <f>VLOOKUP(Inventory[[#This Row],[Cnd]],Lookups!$A$80:$E$88,2,FALSE)</f>
        <v>17761.121909000001</v>
      </c>
      <c r="AU1226" s="30">
        <f>Inventory[[#This Row],[EffAge]]*Lookups!$B$65</f>
        <v>-5328.3139000000001</v>
      </c>
      <c r="AV1226" s="30">
        <f>Inventory[[#This Row],[MainFn]]*Lookups!$B$90</f>
        <v>75142.09752000001</v>
      </c>
      <c r="AW1226" s="30">
        <f>Inventory[[#This Row],[UpprFn]]*Lookups!$B$91</f>
        <v>31458.442223999999</v>
      </c>
      <c r="AX1226" s="30">
        <f>Inventory[[#This Row],[Bsmt Area]]*Lookups!$B$95</f>
        <v>21279.408639999998</v>
      </c>
      <c r="AY1226" s="30">
        <f>Inventory[[#This Row],[AttGar]]*Lookups!$B$93</f>
        <v>0</v>
      </c>
      <c r="AZ1226" s="30">
        <f>ROUND(Inventory[[#This Row],[25Det]],-2)</f>
        <v>62300</v>
      </c>
      <c r="BA1226" s="30">
        <f>ROUND(SUM(Inventory[[#This Row],[Mdl Qlty]:[Mdl Garage Area]])+Inventory[[#This Row],[Mdl Res Intercept]],-2)</f>
        <v>310000</v>
      </c>
      <c r="BB1226" s="30">
        <f>ROUND(Inventory[[#This Row],[Mdl Land Intercept]]+Inventory[[#This Row],[Mdl LnAcres]],-2)</f>
        <v>87400</v>
      </c>
      <c r="BC1226" s="30">
        <f>Inventory[[#This Row],[Unadj Res Value]]+Inventory[[#This Row],[Unadj Det Value]]+Inventory[[#This Row],[Unadj Land Value]]</f>
        <v>459700</v>
      </c>
      <c r="BD1226" s="30">
        <f>(Inventory[[#This Row],[Unadj Total Value]]-Inventory[[#This Row],[24Final]])/Inventory[[#This Row],[24Final]]</f>
        <v>0.18754843709635752</v>
      </c>
      <c r="BE1226" s="30">
        <f>VLOOKUP(Inventory[[#This Row],[Nbhd]],Lookups!$M$3:$P$5,4,FALSE)</f>
        <v>0.99970000000000003</v>
      </c>
      <c r="BF1226" s="30">
        <f>VLOOKUP(Inventory[[#This Row],[Qlty]],Lookups!$M$8:$P$22,4,FALSE)</f>
        <v>0.99819999999999998</v>
      </c>
      <c r="BG1226" s="30">
        <f>VLOOKUP(Inventory[[#This Row],[Cnd]],Lookups!$R$8:$U$17,4,FALSE)</f>
        <v>0.99680000000000002</v>
      </c>
      <c r="BH1226" s="30">
        <f>VLOOKUP(Inventory[[#This Row],[LivArea Range]],Lookups!$R$25:$U$43,4,FALSE)</f>
        <v>1.0007999999999999</v>
      </c>
      <c r="BI1226" s="30">
        <f>VLOOKUP(Inventory[[#This Row],[Decade]],Lookups!$M$24:$P$40,4,FALSE)</f>
        <v>1.0362</v>
      </c>
      <c r="BJ1226" s="30">
        <f>Inventory[[#This Row],[Nbhd Adj]]*0.95</f>
        <v>0.94971499999999998</v>
      </c>
      <c r="BK1226" s="30">
        <f>AVERAGE(Inventory[[#This Row],[Nbhd Adj]],Inventory[[#This Row],[Quality Adj]],Inventory[[#This Row],[Condition Adj]],Inventory[[#This Row],[Living Area Adj]],Inventory[[#This Row],[Decade Adj]])*0.95</f>
        <v>0.95602299999999996</v>
      </c>
      <c r="BL1226" s="30">
        <f>ROUND((SUM(Inventory[[#This Row],[Mdl Qlty]:[Mdl Garage Area]])+Inventory[[#This Row],[Mdl Res Intercept]])*Inventory[[#This Row],[Res Adj ]],-2)</f>
        <v>296400</v>
      </c>
      <c r="BM1226" s="30">
        <f>ROUND(Inventory[[#This Row],[25Det]]*Inventory[[#This Row],[Det/Nbhd Adj]],-2)</f>
        <v>59100</v>
      </c>
      <c r="BN1226" s="30">
        <f>Inventory[[#This Row],[Adjusted Res]]+Inventory[[#This Row],[Adj Det ]]</f>
        <v>355500</v>
      </c>
      <c r="BO1226" s="30">
        <f>ROUND((Inventory[[#This Row],[Mdl Land Intercept]]+Inventory[[#This Row],[Mdl LnAcres]])*Inventory[[#This Row],[Det/Nbhd Adj]],-2)</f>
        <v>83000</v>
      </c>
      <c r="BP1226" s="30">
        <f>Inventory[[#This Row],[Adjusted Impr Total]]+Inventory[[#This Row],[Adjusted Land Total]]</f>
        <v>438500</v>
      </c>
      <c r="BQ1226" s="30">
        <f>IFERROR((Inventory[[#This Row],[Adjusted Impr Total]]-Inventory[[#This Row],[24Bldg]])/Inventory[[#This Row],[24Bldg]],0)</f>
        <v>0.17871352785145889</v>
      </c>
      <c r="BR1226" s="43">
        <f>(Inventory[[#This Row],[Adjusted Land Total]]-Inventory[[#This Row],[24Lnd]])/Inventory[[#This Row],[24Lnd]]</f>
        <v>-2.9239766081871343E-2</v>
      </c>
      <c r="BS1226" s="43">
        <f>(Inventory[[#This Row],[Adjusted Total]]-Inventory[[#This Row],[24Final]])/Inventory[[#This Row],[24Final]]</f>
        <v>0.13278222681477655</v>
      </c>
    </row>
    <row r="1227" spans="1:71">
      <c r="A1227" s="30">
        <v>2025</v>
      </c>
      <c r="B1227" s="31" t="s">
        <v>1744</v>
      </c>
      <c r="C1227" s="36">
        <f>LN(Inventory[[#This Row],[Acres]])</f>
        <v>0.28517894223366247</v>
      </c>
      <c r="D1227" s="38">
        <v>1.33</v>
      </c>
      <c r="E1227" s="30">
        <v>58033</v>
      </c>
      <c r="F1227" s="31" t="s">
        <v>505</v>
      </c>
      <c r="G1227" s="31" t="s">
        <v>155</v>
      </c>
      <c r="H1227" s="31" t="s">
        <v>5</v>
      </c>
      <c r="I1227" s="31" t="s">
        <v>506</v>
      </c>
      <c r="J1227" s="31" t="s">
        <v>507</v>
      </c>
      <c r="K1227" s="31" t="s">
        <v>193</v>
      </c>
      <c r="L1227" s="31" t="s">
        <v>17</v>
      </c>
      <c r="M1227" s="31" t="s">
        <v>18</v>
      </c>
      <c r="N1227" s="31">
        <v>60</v>
      </c>
      <c r="O1227" s="31">
        <f>2024-Inventory[[#This Row],[YrBlt]]</f>
        <v>64</v>
      </c>
      <c r="P1227" s="31">
        <f>2024-Inventory[[#This Row],[EffYr]]</f>
        <v>49</v>
      </c>
      <c r="Q1227" s="30">
        <v>1960</v>
      </c>
      <c r="R1227" s="30">
        <v>1975</v>
      </c>
      <c r="S1227" s="30">
        <v>1993</v>
      </c>
      <c r="T1227" s="32"/>
      <c r="U1227" s="38">
        <v>1253</v>
      </c>
      <c r="V1227" s="32"/>
      <c r="W1227" s="32"/>
      <c r="X1227" s="32">
        <f>Inventory[[#This Row],[Bsmt Area]]-Inventory[[#This Row],[FnBsmt]]</f>
        <v>1253</v>
      </c>
      <c r="Y1227" s="32">
        <f>Inventory[[#This Row],[MainFn]]+Inventory[[#This Row],[UpprFn]]+Inventory[[#This Row],[AddFn]]+Inventory[[#This Row],[FnBsmt]]</f>
        <v>1993</v>
      </c>
      <c r="Z1227" s="32">
        <v>2000</v>
      </c>
      <c r="AA1227" s="31" t="s">
        <v>56</v>
      </c>
      <c r="AB1227" s="32"/>
      <c r="AC1227" s="30">
        <v>780</v>
      </c>
      <c r="AD1227" s="32"/>
      <c r="AE1227" s="32"/>
      <c r="AF1227" s="32"/>
      <c r="AG1227" s="32"/>
      <c r="AH1227" s="32"/>
      <c r="AI1227" s="30">
        <v>382342</v>
      </c>
      <c r="AJ1227" s="30">
        <v>271463</v>
      </c>
      <c r="AK1227" s="30">
        <v>52527</v>
      </c>
      <c r="AL1227" s="30">
        <v>0</v>
      </c>
      <c r="AM1227" s="30">
        <v>90500</v>
      </c>
      <c r="AN1227" s="30">
        <v>341100</v>
      </c>
      <c r="AO1227" s="30">
        <v>431600</v>
      </c>
      <c r="AP1227" s="30">
        <f>Lookups!$B$58*0.6</f>
        <v>132535.48800000001</v>
      </c>
      <c r="AQ1227" s="30">
        <f>Lookups!$B$58*0.4</f>
        <v>88356.992000000013</v>
      </c>
      <c r="AR1227" s="30">
        <f>Lookups!$B$59*Inventory[[#This Row],[LnAcres]]</f>
        <v>3742.7799803150433</v>
      </c>
      <c r="AS1227" s="30">
        <f>VLOOKUP(Inventory[[#This Row],[Qlty]],Lookups!$A$66:$E$79,2,FALSE)</f>
        <v>24371.765965999999</v>
      </c>
      <c r="AT1227" s="30">
        <f>VLOOKUP(Inventory[[#This Row],[Cnd]],Lookups!$A$80:$E$88,2,FALSE)</f>
        <v>17761.121909000001</v>
      </c>
      <c r="AU1227" s="30">
        <f>Inventory[[#This Row],[EffAge]]*Lookups!$B$65</f>
        <v>-5328.3139000000001</v>
      </c>
      <c r="AV1227" s="30">
        <f>Inventory[[#This Row],[MainFn]]*Lookups!$B$90</f>
        <v>124383.88734</v>
      </c>
      <c r="AW1227" s="30">
        <f>Inventory[[#This Row],[UpprFn]]*Lookups!$B$91</f>
        <v>0</v>
      </c>
      <c r="AX1227" s="30">
        <f>Inventory[[#This Row],[Bsmt Area]]*Lookups!$B$95</f>
        <v>78420.879487999991</v>
      </c>
      <c r="AY1227" s="30">
        <f>Inventory[[#This Row],[AttGar]]*Lookups!$B$93</f>
        <v>27534.804180000003</v>
      </c>
      <c r="AZ1227" s="30">
        <f>ROUND(Inventory[[#This Row],[25Det]],-2)</f>
        <v>52500</v>
      </c>
      <c r="BA1227" s="30">
        <f>ROUND(SUM(Inventory[[#This Row],[Mdl Qlty]:[Mdl Garage Area]])+Inventory[[#This Row],[Mdl Res Intercept]],-2)</f>
        <v>399700</v>
      </c>
      <c r="BB1227" s="30">
        <f>ROUND(Inventory[[#This Row],[Mdl Land Intercept]]+Inventory[[#This Row],[Mdl LnAcres]],-2)</f>
        <v>92100</v>
      </c>
      <c r="BC1227" s="30">
        <f>Inventory[[#This Row],[Unadj Res Value]]+Inventory[[#This Row],[Unadj Det Value]]+Inventory[[#This Row],[Unadj Land Value]]</f>
        <v>544300</v>
      </c>
      <c r="BD1227" s="30">
        <f>(Inventory[[#This Row],[Unadj Total Value]]-Inventory[[#This Row],[24Final]])/Inventory[[#This Row],[24Final]]</f>
        <v>0.26112140871177014</v>
      </c>
      <c r="BE1227" s="30">
        <f>VLOOKUP(Inventory[[#This Row],[Nbhd]],Lookups!$M$3:$P$5,4,FALSE)</f>
        <v>0.99970000000000003</v>
      </c>
      <c r="BF1227" s="30">
        <f>VLOOKUP(Inventory[[#This Row],[Qlty]],Lookups!$M$8:$P$22,4,FALSE)</f>
        <v>0.99199999999999999</v>
      </c>
      <c r="BG1227" s="30">
        <f>VLOOKUP(Inventory[[#This Row],[Cnd]],Lookups!$R$8:$U$17,4,FALSE)</f>
        <v>0.99680000000000002</v>
      </c>
      <c r="BH1227" s="30">
        <f>VLOOKUP(Inventory[[#This Row],[LivArea Range]],Lookups!$R$25:$U$43,4,FALSE)</f>
        <v>1.0007999999999999</v>
      </c>
      <c r="BI1227" s="30">
        <f>VLOOKUP(Inventory[[#This Row],[Decade]],Lookups!$M$24:$P$40,4,FALSE)</f>
        <v>1.0362</v>
      </c>
      <c r="BJ1227" s="30">
        <f>Inventory[[#This Row],[Nbhd Adj]]*0.95</f>
        <v>0.94971499999999998</v>
      </c>
      <c r="BK1227" s="30">
        <f>AVERAGE(Inventory[[#This Row],[Nbhd Adj]],Inventory[[#This Row],[Quality Adj]],Inventory[[#This Row],[Condition Adj]],Inventory[[#This Row],[Living Area Adj]],Inventory[[#This Row],[Decade Adj]])*0.95</f>
        <v>0.95484500000000005</v>
      </c>
      <c r="BL1227" s="30">
        <f>ROUND((SUM(Inventory[[#This Row],[Mdl Qlty]:[Mdl Garage Area]])+Inventory[[#This Row],[Mdl Res Intercept]])*Inventory[[#This Row],[Res Adj ]],-2)</f>
        <v>381600</v>
      </c>
      <c r="BM1227" s="30">
        <f>ROUND(Inventory[[#This Row],[25Det]]*Inventory[[#This Row],[Det/Nbhd Adj]],-2)</f>
        <v>49900</v>
      </c>
      <c r="BN1227" s="30">
        <f>Inventory[[#This Row],[Adjusted Res]]+Inventory[[#This Row],[Adj Det ]]</f>
        <v>431500</v>
      </c>
      <c r="BO1227" s="30">
        <f>ROUND((Inventory[[#This Row],[Mdl Land Intercept]]+Inventory[[#This Row],[Mdl LnAcres]])*Inventory[[#This Row],[Det/Nbhd Adj]],-2)</f>
        <v>87500</v>
      </c>
      <c r="BP1227" s="30">
        <f>Inventory[[#This Row],[Adjusted Impr Total]]+Inventory[[#This Row],[Adjusted Land Total]]</f>
        <v>519000</v>
      </c>
      <c r="BQ1227" s="30">
        <f>IFERROR((Inventory[[#This Row],[Adjusted Impr Total]]-Inventory[[#This Row],[24Bldg]])/Inventory[[#This Row],[24Bldg]],0)</f>
        <v>0.26502491937848138</v>
      </c>
      <c r="BR1227" s="43">
        <f>(Inventory[[#This Row],[Adjusted Land Total]]-Inventory[[#This Row],[24Lnd]])/Inventory[[#This Row],[24Lnd]]</f>
        <v>-3.3149171270718231E-2</v>
      </c>
      <c r="BS1227" s="43">
        <f>(Inventory[[#This Row],[Adjusted Total]]-Inventory[[#This Row],[24Final]])/Inventory[[#This Row],[24Final]]</f>
        <v>0.20250231696014828</v>
      </c>
    </row>
    <row r="1228" spans="1:71">
      <c r="A1228" s="30">
        <v>2025</v>
      </c>
      <c r="B1228" s="31" t="s">
        <v>1745</v>
      </c>
      <c r="C1228" s="36">
        <f>LN(Inventory[[#This Row],[Acres]])</f>
        <v>-0.94160853985844495</v>
      </c>
      <c r="D1228" s="38">
        <v>0.39</v>
      </c>
      <c r="E1228" s="30">
        <v>16800</v>
      </c>
      <c r="F1228" s="31" t="s">
        <v>505</v>
      </c>
      <c r="G1228" s="31" t="s">
        <v>155</v>
      </c>
      <c r="H1228" s="31" t="s">
        <v>5</v>
      </c>
      <c r="I1228" s="31" t="s">
        <v>506</v>
      </c>
      <c r="J1228" s="31" t="s">
        <v>507</v>
      </c>
      <c r="K1228" s="31" t="s">
        <v>473</v>
      </c>
      <c r="L1228" s="31" t="s">
        <v>21</v>
      </c>
      <c r="M1228" s="31" t="s">
        <v>20</v>
      </c>
      <c r="N1228" s="31">
        <v>60</v>
      </c>
      <c r="O1228" s="31">
        <f>2024-Inventory[[#This Row],[YrBlt]]</f>
        <v>65</v>
      </c>
      <c r="P1228" s="31">
        <f>2024-Inventory[[#This Row],[EffYr]]</f>
        <v>50</v>
      </c>
      <c r="Q1228" s="30">
        <v>1959</v>
      </c>
      <c r="R1228" s="30">
        <v>1974</v>
      </c>
      <c r="S1228" s="30">
        <v>1531</v>
      </c>
      <c r="T1228" s="32"/>
      <c r="U1228" s="32"/>
      <c r="V1228" s="32"/>
      <c r="W1228" s="32"/>
      <c r="X1228" s="32">
        <f>Inventory[[#This Row],[Bsmt Area]]-Inventory[[#This Row],[FnBsmt]]</f>
        <v>0</v>
      </c>
      <c r="Y1228" s="32">
        <f>Inventory[[#This Row],[MainFn]]+Inventory[[#This Row],[UpprFn]]+Inventory[[#This Row],[AddFn]]+Inventory[[#This Row],[FnBsmt]]</f>
        <v>1531</v>
      </c>
      <c r="Z1228" s="32">
        <v>2000</v>
      </c>
      <c r="AA1228" s="31" t="s">
        <v>56</v>
      </c>
      <c r="AB1228" s="32"/>
      <c r="AC1228" s="37"/>
      <c r="AD1228" s="32"/>
      <c r="AE1228" s="32"/>
      <c r="AF1228" s="32"/>
      <c r="AG1228" s="32"/>
      <c r="AH1228" s="32"/>
      <c r="AI1228" s="30">
        <v>373345</v>
      </c>
      <c r="AJ1228" s="30">
        <v>268808</v>
      </c>
      <c r="AK1228" s="30">
        <v>34511</v>
      </c>
      <c r="AL1228" s="30">
        <v>0</v>
      </c>
      <c r="AM1228" s="30">
        <v>73300</v>
      </c>
      <c r="AN1228" s="30">
        <v>282900</v>
      </c>
      <c r="AO1228" s="30">
        <v>356200</v>
      </c>
      <c r="AP1228" s="30">
        <f>Lookups!$B$58*0.6</f>
        <v>132535.48800000001</v>
      </c>
      <c r="AQ1228" s="30">
        <f>Lookups!$B$58*0.4</f>
        <v>88356.992000000013</v>
      </c>
      <c r="AR1228" s="30">
        <f>Lookups!$B$59*Inventory[[#This Row],[LnAcres]]</f>
        <v>-12357.972733443527</v>
      </c>
      <c r="AS1228" s="30">
        <f>VLOOKUP(Inventory[[#This Row],[Qlty]],Lookups!$A$66:$E$79,2,FALSE)</f>
        <v>32917.849192000001</v>
      </c>
      <c r="AT1228" s="30">
        <f>VLOOKUP(Inventory[[#This Row],[Cnd]],Lookups!$A$80:$E$88,2,FALSE)</f>
        <v>30300.329274</v>
      </c>
      <c r="AU1228" s="30">
        <f>Inventory[[#This Row],[EffAge]]*Lookups!$B$65</f>
        <v>-5437.0550000000003</v>
      </c>
      <c r="AV1228" s="30">
        <f>Inventory[[#This Row],[MainFn]]*Lookups!$B$90</f>
        <v>95550.29178</v>
      </c>
      <c r="AW1228" s="30">
        <f>Inventory[[#This Row],[UpprFn]]*Lookups!$B$91</f>
        <v>0</v>
      </c>
      <c r="AX1228" s="30">
        <f>Inventory[[#This Row],[Bsmt Area]]*Lookups!$B$95</f>
        <v>0</v>
      </c>
      <c r="AY1228" s="30">
        <f>Inventory[[#This Row],[AttGar]]*Lookups!$B$93</f>
        <v>0</v>
      </c>
      <c r="AZ1228" s="30">
        <f>ROUND(Inventory[[#This Row],[25Det]],-2)</f>
        <v>34500</v>
      </c>
      <c r="BA1228" s="30">
        <f>ROUND(SUM(Inventory[[#This Row],[Mdl Qlty]:[Mdl Garage Area]])+Inventory[[#This Row],[Mdl Res Intercept]],-2)</f>
        <v>285900</v>
      </c>
      <c r="BB1228" s="30">
        <f>ROUND(Inventory[[#This Row],[Mdl Land Intercept]]+Inventory[[#This Row],[Mdl LnAcres]],-2)</f>
        <v>76000</v>
      </c>
      <c r="BC1228" s="30">
        <f>Inventory[[#This Row],[Unadj Res Value]]+Inventory[[#This Row],[Unadj Det Value]]+Inventory[[#This Row],[Unadj Land Value]]</f>
        <v>396400</v>
      </c>
      <c r="BD1228" s="30">
        <f>(Inventory[[#This Row],[Unadj Total Value]]-Inventory[[#This Row],[24Final]])/Inventory[[#This Row],[24Final]]</f>
        <v>0.1128579449747333</v>
      </c>
      <c r="BE1228" s="30">
        <f>VLOOKUP(Inventory[[#This Row],[Nbhd]],Lookups!$M$3:$P$5,4,FALSE)</f>
        <v>0.99970000000000003</v>
      </c>
      <c r="BF1228" s="30">
        <f>VLOOKUP(Inventory[[#This Row],[Qlty]],Lookups!$M$8:$P$22,4,FALSE)</f>
        <v>1.0019</v>
      </c>
      <c r="BG1228" s="30">
        <f>VLOOKUP(Inventory[[#This Row],[Cnd]],Lookups!$R$8:$U$17,4,FALSE)</f>
        <v>0.997</v>
      </c>
      <c r="BH1228" s="30">
        <f>VLOOKUP(Inventory[[#This Row],[LivArea Range]],Lookups!$R$25:$U$43,4,FALSE)</f>
        <v>1.0007999999999999</v>
      </c>
      <c r="BI1228" s="30">
        <f>VLOOKUP(Inventory[[#This Row],[Decade]],Lookups!$M$24:$P$40,4,FALSE)</f>
        <v>1.0362</v>
      </c>
      <c r="BJ1228" s="30">
        <f>Inventory[[#This Row],[Nbhd Adj]]*0.95</f>
        <v>0.94971499999999998</v>
      </c>
      <c r="BK1228" s="30">
        <f>AVERAGE(Inventory[[#This Row],[Nbhd Adj]],Inventory[[#This Row],[Quality Adj]],Inventory[[#This Row],[Condition Adj]],Inventory[[#This Row],[Living Area Adj]],Inventory[[#This Row],[Decade Adj]])*0.95</f>
        <v>0.95676399999999995</v>
      </c>
      <c r="BL1228" s="30">
        <f>ROUND((SUM(Inventory[[#This Row],[Mdl Qlty]:[Mdl Garage Area]])+Inventory[[#This Row],[Mdl Res Intercept]])*Inventory[[#This Row],[Res Adj ]],-2)</f>
        <v>273500</v>
      </c>
      <c r="BM1228" s="30">
        <f>ROUND(Inventory[[#This Row],[25Det]]*Inventory[[#This Row],[Det/Nbhd Adj]],-2)</f>
        <v>32800</v>
      </c>
      <c r="BN1228" s="30">
        <f>Inventory[[#This Row],[Adjusted Res]]+Inventory[[#This Row],[Adj Det ]]</f>
        <v>306300</v>
      </c>
      <c r="BO1228" s="30">
        <f>ROUND((Inventory[[#This Row],[Mdl Land Intercept]]+Inventory[[#This Row],[Mdl LnAcres]])*Inventory[[#This Row],[Det/Nbhd Adj]],-2)</f>
        <v>72200</v>
      </c>
      <c r="BP1228" s="30">
        <f>Inventory[[#This Row],[Adjusted Impr Total]]+Inventory[[#This Row],[Adjusted Land Total]]</f>
        <v>378500</v>
      </c>
      <c r="BQ1228" s="30">
        <f>IFERROR((Inventory[[#This Row],[Adjusted Impr Total]]-Inventory[[#This Row],[24Bldg]])/Inventory[[#This Row],[24Bldg]],0)</f>
        <v>8.2714740190880168E-2</v>
      </c>
      <c r="BR1228" s="43">
        <f>(Inventory[[#This Row],[Adjusted Land Total]]-Inventory[[#This Row],[24Lnd]])/Inventory[[#This Row],[24Lnd]]</f>
        <v>-1.5006821282401092E-2</v>
      </c>
      <c r="BS1228" s="43">
        <f>(Inventory[[#This Row],[Adjusted Total]]-Inventory[[#This Row],[24Final]])/Inventory[[#This Row],[24Final]]</f>
        <v>6.2605277933745082E-2</v>
      </c>
    </row>
    <row r="1229" spans="1:71">
      <c r="A1229" s="30">
        <v>2025</v>
      </c>
      <c r="B1229" s="31" t="s">
        <v>1746</v>
      </c>
      <c r="C1229" s="36">
        <f>LN(Inventory[[#This Row],[Acres]])</f>
        <v>-1.2729656758128873</v>
      </c>
      <c r="D1229" s="38">
        <v>0.28000000000000003</v>
      </c>
      <c r="E1229" s="30">
        <v>12018</v>
      </c>
      <c r="F1229" s="31" t="s">
        <v>505</v>
      </c>
      <c r="G1229" s="31" t="s">
        <v>155</v>
      </c>
      <c r="H1229" s="31" t="s">
        <v>5</v>
      </c>
      <c r="I1229" s="31" t="s">
        <v>506</v>
      </c>
      <c r="J1229" s="31" t="s">
        <v>507</v>
      </c>
      <c r="K1229" s="31" t="s">
        <v>473</v>
      </c>
      <c r="L1229" s="31" t="s">
        <v>17</v>
      </c>
      <c r="M1229" s="31" t="s">
        <v>20</v>
      </c>
      <c r="N1229" s="31">
        <v>60</v>
      </c>
      <c r="O1229" s="31">
        <f>2024-Inventory[[#This Row],[YrBlt]]</f>
        <v>66</v>
      </c>
      <c r="P1229" s="31">
        <f>2024-Inventory[[#This Row],[EffYr]]</f>
        <v>50</v>
      </c>
      <c r="Q1229" s="30">
        <v>1958</v>
      </c>
      <c r="R1229" s="30">
        <v>1974</v>
      </c>
      <c r="S1229" s="30">
        <v>1904</v>
      </c>
      <c r="T1229" s="32"/>
      <c r="U1229" s="32"/>
      <c r="V1229" s="32"/>
      <c r="W1229" s="32"/>
      <c r="X1229" s="32">
        <f>Inventory[[#This Row],[Bsmt Area]]-Inventory[[#This Row],[FnBsmt]]</f>
        <v>0</v>
      </c>
      <c r="Y1229" s="32">
        <f>Inventory[[#This Row],[MainFn]]+Inventory[[#This Row],[UpprFn]]+Inventory[[#This Row],[AddFn]]+Inventory[[#This Row],[FnBsmt]]</f>
        <v>1904</v>
      </c>
      <c r="Z1229" s="32">
        <v>2000</v>
      </c>
      <c r="AA1229" s="31" t="s">
        <v>55</v>
      </c>
      <c r="AB1229" s="37"/>
      <c r="AC1229" s="37"/>
      <c r="AD1229" s="32"/>
      <c r="AE1229" s="32"/>
      <c r="AF1229" s="32"/>
      <c r="AG1229" s="32"/>
      <c r="AH1229" s="32"/>
      <c r="AI1229" s="30">
        <v>310113</v>
      </c>
      <c r="AJ1229" s="30">
        <v>223281</v>
      </c>
      <c r="AK1229" s="30">
        <v>11109</v>
      </c>
      <c r="AL1229" s="30">
        <v>0</v>
      </c>
      <c r="AM1229" s="30">
        <v>68700</v>
      </c>
      <c r="AN1229" s="30">
        <v>258800</v>
      </c>
      <c r="AO1229" s="30">
        <v>327500</v>
      </c>
      <c r="AP1229" s="30">
        <f>Lookups!$B$58*0.6</f>
        <v>132535.48800000001</v>
      </c>
      <c r="AQ1229" s="30">
        <f>Lookups!$B$58*0.4</f>
        <v>88356.992000000013</v>
      </c>
      <c r="AR1229" s="30">
        <f>Lookups!$B$59*Inventory[[#This Row],[LnAcres]]</f>
        <v>-16706.81015135027</v>
      </c>
      <c r="AS1229" s="30">
        <f>VLOOKUP(Inventory[[#This Row],[Qlty]],Lookups!$A$66:$E$79,2,FALSE)</f>
        <v>24371.765965999999</v>
      </c>
      <c r="AT1229" s="30">
        <f>VLOOKUP(Inventory[[#This Row],[Cnd]],Lookups!$A$80:$E$88,2,FALSE)</f>
        <v>30300.329274</v>
      </c>
      <c r="AU1229" s="30">
        <f>Inventory[[#This Row],[EffAge]]*Lookups!$B$65</f>
        <v>-5437.0550000000003</v>
      </c>
      <c r="AV1229" s="30">
        <f>Inventory[[#This Row],[MainFn]]*Lookups!$B$90</f>
        <v>118829.36352000001</v>
      </c>
      <c r="AW1229" s="30">
        <f>Inventory[[#This Row],[UpprFn]]*Lookups!$B$91</f>
        <v>0</v>
      </c>
      <c r="AX1229" s="30">
        <f>Inventory[[#This Row],[Bsmt Area]]*Lookups!$B$95</f>
        <v>0</v>
      </c>
      <c r="AY1229" s="30">
        <f>Inventory[[#This Row],[AttGar]]*Lookups!$B$93</f>
        <v>0</v>
      </c>
      <c r="AZ1229" s="30">
        <f>ROUND(Inventory[[#This Row],[25Det]],-2)</f>
        <v>11100</v>
      </c>
      <c r="BA1229" s="30">
        <f>ROUND(SUM(Inventory[[#This Row],[Mdl Qlty]:[Mdl Garage Area]])+Inventory[[#This Row],[Mdl Res Intercept]],-2)</f>
        <v>300600</v>
      </c>
      <c r="BB1229" s="30">
        <f>ROUND(Inventory[[#This Row],[Mdl Land Intercept]]+Inventory[[#This Row],[Mdl LnAcres]],-2)</f>
        <v>71700</v>
      </c>
      <c r="BC1229" s="30">
        <f>Inventory[[#This Row],[Unadj Res Value]]+Inventory[[#This Row],[Unadj Det Value]]+Inventory[[#This Row],[Unadj Land Value]]</f>
        <v>383400</v>
      </c>
      <c r="BD1229" s="30">
        <f>(Inventory[[#This Row],[Unadj Total Value]]-Inventory[[#This Row],[24Final]])/Inventory[[#This Row],[24Final]]</f>
        <v>0.17068702290076335</v>
      </c>
      <c r="BE1229" s="30">
        <f>VLOOKUP(Inventory[[#This Row],[Nbhd]],Lookups!$M$3:$P$5,4,FALSE)</f>
        <v>0.99970000000000003</v>
      </c>
      <c r="BF1229" s="30">
        <f>VLOOKUP(Inventory[[#This Row],[Qlty]],Lookups!$M$8:$P$22,4,FALSE)</f>
        <v>0.99199999999999999</v>
      </c>
      <c r="BG1229" s="30">
        <f>VLOOKUP(Inventory[[#This Row],[Cnd]],Lookups!$R$8:$U$17,4,FALSE)</f>
        <v>0.997</v>
      </c>
      <c r="BH1229" s="30">
        <f>VLOOKUP(Inventory[[#This Row],[LivArea Range]],Lookups!$R$25:$U$43,4,FALSE)</f>
        <v>1.0007999999999999</v>
      </c>
      <c r="BI1229" s="30">
        <f>VLOOKUP(Inventory[[#This Row],[Decade]],Lookups!$M$24:$P$40,4,FALSE)</f>
        <v>1.0362</v>
      </c>
      <c r="BJ1229" s="30">
        <f>Inventory[[#This Row],[Nbhd Adj]]*0.95</f>
        <v>0.94971499999999998</v>
      </c>
      <c r="BK1229" s="30">
        <f>AVERAGE(Inventory[[#This Row],[Nbhd Adj]],Inventory[[#This Row],[Quality Adj]],Inventory[[#This Row],[Condition Adj]],Inventory[[#This Row],[Living Area Adj]],Inventory[[#This Row],[Decade Adj]])*0.95</f>
        <v>0.95488300000000004</v>
      </c>
      <c r="BL1229" s="30">
        <f>ROUND((SUM(Inventory[[#This Row],[Mdl Qlty]:[Mdl Garage Area]])+Inventory[[#This Row],[Mdl Res Intercept]])*Inventory[[#This Row],[Res Adj ]],-2)</f>
        <v>287000</v>
      </c>
      <c r="BM1229" s="30">
        <f>ROUND(Inventory[[#This Row],[25Det]]*Inventory[[#This Row],[Det/Nbhd Adj]],-2)</f>
        <v>10600</v>
      </c>
      <c r="BN1229" s="30">
        <f>Inventory[[#This Row],[Adjusted Res]]+Inventory[[#This Row],[Adj Det ]]</f>
        <v>297600</v>
      </c>
      <c r="BO1229" s="30">
        <f>ROUND((Inventory[[#This Row],[Mdl Land Intercept]]+Inventory[[#This Row],[Mdl LnAcres]])*Inventory[[#This Row],[Det/Nbhd Adj]],-2)</f>
        <v>68000</v>
      </c>
      <c r="BP1229" s="30">
        <f>Inventory[[#This Row],[Adjusted Impr Total]]+Inventory[[#This Row],[Adjusted Land Total]]</f>
        <v>365600</v>
      </c>
      <c r="BQ1229" s="30">
        <f>IFERROR((Inventory[[#This Row],[Adjusted Impr Total]]-Inventory[[#This Row],[24Bldg]])/Inventory[[#This Row],[24Bldg]],0)</f>
        <v>0.14992272024729522</v>
      </c>
      <c r="BR1229" s="43">
        <f>(Inventory[[#This Row],[Adjusted Land Total]]-Inventory[[#This Row],[24Lnd]])/Inventory[[#This Row],[24Lnd]]</f>
        <v>-1.0189228529839884E-2</v>
      </c>
      <c r="BS1229" s="43">
        <f>(Inventory[[#This Row],[Adjusted Total]]-Inventory[[#This Row],[24Final]])/Inventory[[#This Row],[24Final]]</f>
        <v>0.11633587786259542</v>
      </c>
    </row>
    <row r="1230" spans="1:71">
      <c r="A1230" s="30">
        <v>2025</v>
      </c>
      <c r="B1230" s="31" t="s">
        <v>1747</v>
      </c>
      <c r="C1230" s="31">
        <f>LN(Inventory[[#This Row],[Acres]])</f>
        <v>-1.2729656758128873</v>
      </c>
      <c r="D1230" s="38">
        <v>0.28000000000000003</v>
      </c>
      <c r="E1230" s="30">
        <v>12138</v>
      </c>
      <c r="F1230" s="31" t="s">
        <v>505</v>
      </c>
      <c r="G1230" s="31" t="s">
        <v>155</v>
      </c>
      <c r="H1230" s="31" t="s">
        <v>5</v>
      </c>
      <c r="I1230" s="31" t="s">
        <v>506</v>
      </c>
      <c r="J1230" s="31" t="s">
        <v>507</v>
      </c>
      <c r="K1230" s="31" t="s">
        <v>473</v>
      </c>
      <c r="L1230" s="31" t="s">
        <v>15</v>
      </c>
      <c r="M1230" s="31" t="s">
        <v>18</v>
      </c>
      <c r="N1230" s="31">
        <v>60</v>
      </c>
      <c r="O1230" s="31">
        <f>2024-Inventory[[#This Row],[YrBlt]]</f>
        <v>67</v>
      </c>
      <c r="P1230" s="31">
        <f>2024-Inventory[[#This Row],[EffYr]]</f>
        <v>50</v>
      </c>
      <c r="Q1230" s="30">
        <v>1957</v>
      </c>
      <c r="R1230" s="30">
        <v>1974</v>
      </c>
      <c r="S1230" s="30">
        <v>1242</v>
      </c>
      <c r="T1230" s="32"/>
      <c r="U1230" s="32"/>
      <c r="V1230" s="32"/>
      <c r="W1230" s="32"/>
      <c r="X1230" s="32">
        <f>Inventory[[#This Row],[Bsmt Area]]-Inventory[[#This Row],[FnBsmt]]</f>
        <v>0</v>
      </c>
      <c r="Y1230" s="32">
        <f>Inventory[[#This Row],[MainFn]]+Inventory[[#This Row],[UpprFn]]+Inventory[[#This Row],[AddFn]]+Inventory[[#This Row],[FnBsmt]]</f>
        <v>1242</v>
      </c>
      <c r="Z1230" s="32">
        <v>1500</v>
      </c>
      <c r="AA1230" s="31" t="s">
        <v>56</v>
      </c>
      <c r="AB1230" s="37"/>
      <c r="AC1230" s="37"/>
      <c r="AD1230" s="32"/>
      <c r="AE1230" s="32"/>
      <c r="AF1230" s="32"/>
      <c r="AG1230" s="32"/>
      <c r="AH1230" s="32"/>
      <c r="AI1230" s="30">
        <v>198569</v>
      </c>
      <c r="AJ1230" s="30">
        <v>138998</v>
      </c>
      <c r="AK1230" s="30">
        <v>6903</v>
      </c>
      <c r="AL1230" s="30">
        <v>0</v>
      </c>
      <c r="AM1230" s="30">
        <v>68700</v>
      </c>
      <c r="AN1230" s="30">
        <v>195600</v>
      </c>
      <c r="AO1230" s="30">
        <v>264300</v>
      </c>
      <c r="AP1230" s="30">
        <f>Lookups!$B$58*0.6</f>
        <v>132535.48800000001</v>
      </c>
      <c r="AQ1230" s="30">
        <f>Lookups!$B$58*0.4</f>
        <v>88356.992000000013</v>
      </c>
      <c r="AR1230" s="30">
        <f>Lookups!$B$59*Inventory[[#This Row],[LnAcres]]</f>
        <v>-16706.81015135027</v>
      </c>
      <c r="AS1230" s="30">
        <f>VLOOKUP(Inventory[[#This Row],[Qlty]],Lookups!$A$66:$E$79,2,FALSE)</f>
        <v>-1240.8083630000001</v>
      </c>
      <c r="AT1230" s="30">
        <f>VLOOKUP(Inventory[[#This Row],[Cnd]],Lookups!$A$80:$E$88,2,FALSE)</f>
        <v>17761.121909000001</v>
      </c>
      <c r="AU1230" s="30">
        <f>Inventory[[#This Row],[EffAge]]*Lookups!$B$65</f>
        <v>-5437.0550000000003</v>
      </c>
      <c r="AV1230" s="30">
        <f>Inventory[[#This Row],[MainFn]]*Lookups!$B$90</f>
        <v>77513.691960000011</v>
      </c>
      <c r="AW1230" s="30">
        <f>Inventory[[#This Row],[UpprFn]]*Lookups!$B$91</f>
        <v>0</v>
      </c>
      <c r="AX1230" s="30">
        <f>Inventory[[#This Row],[Bsmt Area]]*Lookups!$B$95</f>
        <v>0</v>
      </c>
      <c r="AY1230" s="30">
        <f>Inventory[[#This Row],[AttGar]]*Lookups!$B$93</f>
        <v>0</v>
      </c>
      <c r="AZ1230" s="30">
        <f>ROUND(Inventory[[#This Row],[25Det]],-2)</f>
        <v>6900</v>
      </c>
      <c r="BA1230" s="30">
        <f>ROUND(SUM(Inventory[[#This Row],[Mdl Qlty]:[Mdl Garage Area]])+Inventory[[#This Row],[Mdl Res Intercept]],-2)</f>
        <v>221100</v>
      </c>
      <c r="BB1230" s="30">
        <f>ROUND(Inventory[[#This Row],[Mdl Land Intercept]]+Inventory[[#This Row],[Mdl LnAcres]],-2)</f>
        <v>71700</v>
      </c>
      <c r="BC1230" s="30">
        <f>Inventory[[#This Row],[Unadj Res Value]]+Inventory[[#This Row],[Unadj Det Value]]+Inventory[[#This Row],[Unadj Land Value]]</f>
        <v>299700</v>
      </c>
      <c r="BD1230" s="30">
        <f>(Inventory[[#This Row],[Unadj Total Value]]-Inventory[[#This Row],[24Final]])/Inventory[[#This Row],[24Final]]</f>
        <v>0.13393870601589103</v>
      </c>
      <c r="BE1230" s="30">
        <f>VLOOKUP(Inventory[[#This Row],[Nbhd]],Lookups!$M$3:$P$5,4,FALSE)</f>
        <v>0.99970000000000003</v>
      </c>
      <c r="BF1230" s="30">
        <f>VLOOKUP(Inventory[[#This Row],[Qlty]],Lookups!$M$8:$P$22,4,FALSE)</f>
        <v>1.0022</v>
      </c>
      <c r="BG1230" s="30">
        <f>VLOOKUP(Inventory[[#This Row],[Cnd]],Lookups!$R$8:$U$17,4,FALSE)</f>
        <v>0.99680000000000002</v>
      </c>
      <c r="BH1230" s="30">
        <f>VLOOKUP(Inventory[[#This Row],[LivArea Range]],Lookups!$R$25:$U$43,4,FALSE)</f>
        <v>0.99519999999999997</v>
      </c>
      <c r="BI1230" s="30">
        <f>VLOOKUP(Inventory[[#This Row],[Decade]],Lookups!$M$24:$P$40,4,FALSE)</f>
        <v>1.0362</v>
      </c>
      <c r="BJ1230" s="30">
        <f>Inventory[[#This Row],[Nbhd Adj]]*0.95</f>
        <v>0.94971499999999998</v>
      </c>
      <c r="BK1230" s="30">
        <f>AVERAGE(Inventory[[#This Row],[Nbhd Adj]],Inventory[[#This Row],[Quality Adj]],Inventory[[#This Row],[Condition Adj]],Inventory[[#This Row],[Living Area Adj]],Inventory[[#This Row],[Decade Adj]])*0.95</f>
        <v>0.95571899999999987</v>
      </c>
      <c r="BL1230" s="30">
        <f>ROUND((SUM(Inventory[[#This Row],[Mdl Qlty]:[Mdl Garage Area]])+Inventory[[#This Row],[Mdl Res Intercept]])*Inventory[[#This Row],[Res Adj ]],-2)</f>
        <v>211300</v>
      </c>
      <c r="BM1230" s="30">
        <f>ROUND(Inventory[[#This Row],[25Det]]*Inventory[[#This Row],[Det/Nbhd Adj]],-2)</f>
        <v>6600</v>
      </c>
      <c r="BN1230" s="30">
        <f>Inventory[[#This Row],[Adjusted Res]]+Inventory[[#This Row],[Adj Det ]]</f>
        <v>217900</v>
      </c>
      <c r="BO1230" s="30">
        <f>ROUND((Inventory[[#This Row],[Mdl Land Intercept]]+Inventory[[#This Row],[Mdl LnAcres]])*Inventory[[#This Row],[Det/Nbhd Adj]],-2)</f>
        <v>68000</v>
      </c>
      <c r="BP1230" s="30">
        <f>Inventory[[#This Row],[Adjusted Impr Total]]+Inventory[[#This Row],[Adjusted Land Total]]</f>
        <v>285900</v>
      </c>
      <c r="BQ1230" s="30">
        <f>IFERROR((Inventory[[#This Row],[Adjusted Impr Total]]-Inventory[[#This Row],[24Bldg]])/Inventory[[#This Row],[24Bldg]],0)</f>
        <v>0.1140081799591002</v>
      </c>
      <c r="BR1230" s="43">
        <f>(Inventory[[#This Row],[Adjusted Land Total]]-Inventory[[#This Row],[24Lnd]])/Inventory[[#This Row],[24Lnd]]</f>
        <v>-1.0189228529839884E-2</v>
      </c>
      <c r="BS1230" s="43">
        <f>(Inventory[[#This Row],[Adjusted Total]]-Inventory[[#This Row],[24Final]])/Inventory[[#This Row],[24Final]]</f>
        <v>8.1725312145289442E-2</v>
      </c>
    </row>
    <row r="1231" spans="1:71">
      <c r="A1231" s="30">
        <v>2025</v>
      </c>
      <c r="B1231" s="31" t="s">
        <v>1748</v>
      </c>
      <c r="C1231" s="36">
        <f>LN(Inventory[[#This Row],[Acres]])</f>
        <v>-1.2729656758128873</v>
      </c>
      <c r="D1231" s="38">
        <v>0.28000000000000003</v>
      </c>
      <c r="E1231" s="30">
        <v>12073</v>
      </c>
      <c r="F1231" s="31" t="s">
        <v>505</v>
      </c>
      <c r="G1231" s="31" t="s">
        <v>155</v>
      </c>
      <c r="H1231" s="31" t="s">
        <v>5</v>
      </c>
      <c r="I1231" s="31" t="s">
        <v>506</v>
      </c>
      <c r="J1231" s="31" t="s">
        <v>507</v>
      </c>
      <c r="K1231" s="31" t="s">
        <v>473</v>
      </c>
      <c r="L1231" s="31" t="s">
        <v>17</v>
      </c>
      <c r="M1231" s="31" t="s">
        <v>18</v>
      </c>
      <c r="N1231" s="31">
        <v>60</v>
      </c>
      <c r="O1231" s="31">
        <f>2024-Inventory[[#This Row],[YrBlt]]</f>
        <v>69</v>
      </c>
      <c r="P1231" s="31">
        <f>2024-Inventory[[#This Row],[EffYr]]</f>
        <v>50</v>
      </c>
      <c r="Q1231" s="30">
        <v>1955</v>
      </c>
      <c r="R1231" s="30">
        <v>1974</v>
      </c>
      <c r="S1231" s="30">
        <v>1240</v>
      </c>
      <c r="T1231" s="32"/>
      <c r="U1231" s="32"/>
      <c r="V1231" s="32"/>
      <c r="W1231" s="32"/>
      <c r="X1231" s="32">
        <f>Inventory[[#This Row],[Bsmt Area]]-Inventory[[#This Row],[FnBsmt]]</f>
        <v>0</v>
      </c>
      <c r="Y1231" s="32">
        <f>Inventory[[#This Row],[MainFn]]+Inventory[[#This Row],[UpprFn]]+Inventory[[#This Row],[AddFn]]+Inventory[[#This Row],[FnBsmt]]</f>
        <v>1240</v>
      </c>
      <c r="Z1231" s="32">
        <v>1500</v>
      </c>
      <c r="AA1231" s="31" t="s">
        <v>55</v>
      </c>
      <c r="AB1231" s="32"/>
      <c r="AC1231" s="30">
        <v>320</v>
      </c>
      <c r="AD1231" s="32"/>
      <c r="AE1231" s="32"/>
      <c r="AF1231" s="32"/>
      <c r="AG1231" s="32"/>
      <c r="AH1231" s="32"/>
      <c r="AI1231" s="30">
        <v>219020</v>
      </c>
      <c r="AJ1231" s="30">
        <v>153314</v>
      </c>
      <c r="AK1231" s="30">
        <v>0</v>
      </c>
      <c r="AL1231" s="30">
        <v>0</v>
      </c>
      <c r="AM1231" s="30">
        <v>68700</v>
      </c>
      <c r="AN1231" s="30">
        <v>224600</v>
      </c>
      <c r="AO1231" s="30">
        <v>293300</v>
      </c>
      <c r="AP1231" s="30">
        <f>Lookups!$B$58*0.6</f>
        <v>132535.48800000001</v>
      </c>
      <c r="AQ1231" s="30">
        <f>Lookups!$B$58*0.4</f>
        <v>88356.992000000013</v>
      </c>
      <c r="AR1231" s="30">
        <f>Lookups!$B$59*Inventory[[#This Row],[LnAcres]]</f>
        <v>-16706.81015135027</v>
      </c>
      <c r="AS1231" s="30">
        <f>VLOOKUP(Inventory[[#This Row],[Qlty]],Lookups!$A$66:$E$79,2,FALSE)</f>
        <v>24371.765965999999</v>
      </c>
      <c r="AT1231" s="30">
        <f>VLOOKUP(Inventory[[#This Row],[Cnd]],Lookups!$A$80:$E$88,2,FALSE)</f>
        <v>17761.121909000001</v>
      </c>
      <c r="AU1231" s="30">
        <f>Inventory[[#This Row],[EffAge]]*Lookups!$B$65</f>
        <v>-5437.0550000000003</v>
      </c>
      <c r="AV1231" s="30">
        <f>Inventory[[#This Row],[MainFn]]*Lookups!$B$90</f>
        <v>77388.871200000009</v>
      </c>
      <c r="AW1231" s="30">
        <f>Inventory[[#This Row],[UpprFn]]*Lookups!$B$91</f>
        <v>0</v>
      </c>
      <c r="AX1231" s="30">
        <f>Inventory[[#This Row],[Bsmt Area]]*Lookups!$B$95</f>
        <v>0</v>
      </c>
      <c r="AY1231" s="30">
        <f>Inventory[[#This Row],[AttGar]]*Lookups!$B$93</f>
        <v>11296.32992</v>
      </c>
      <c r="AZ1231" s="30">
        <f>ROUND(Inventory[[#This Row],[25Det]],-2)</f>
        <v>0</v>
      </c>
      <c r="BA1231" s="30">
        <f>ROUND(SUM(Inventory[[#This Row],[Mdl Qlty]:[Mdl Garage Area]])+Inventory[[#This Row],[Mdl Res Intercept]],-2)</f>
        <v>257900</v>
      </c>
      <c r="BB1231" s="30">
        <f>ROUND(Inventory[[#This Row],[Mdl Land Intercept]]+Inventory[[#This Row],[Mdl LnAcres]],-2)</f>
        <v>71700</v>
      </c>
      <c r="BC1231" s="30">
        <f>Inventory[[#This Row],[Unadj Res Value]]+Inventory[[#This Row],[Unadj Det Value]]+Inventory[[#This Row],[Unadj Land Value]]</f>
        <v>329600</v>
      </c>
      <c r="BD1231" s="30">
        <f>(Inventory[[#This Row],[Unadj Total Value]]-Inventory[[#This Row],[24Final]])/Inventory[[#This Row],[24Final]]</f>
        <v>0.12376406409819297</v>
      </c>
      <c r="BE1231" s="30">
        <f>VLOOKUP(Inventory[[#This Row],[Nbhd]],Lookups!$M$3:$P$5,4,FALSE)</f>
        <v>0.99970000000000003</v>
      </c>
      <c r="BF1231" s="30">
        <f>VLOOKUP(Inventory[[#This Row],[Qlty]],Lookups!$M$8:$P$22,4,FALSE)</f>
        <v>0.99199999999999999</v>
      </c>
      <c r="BG1231" s="30">
        <f>VLOOKUP(Inventory[[#This Row],[Cnd]],Lookups!$R$8:$U$17,4,FALSE)</f>
        <v>0.99680000000000002</v>
      </c>
      <c r="BH1231" s="30">
        <f>VLOOKUP(Inventory[[#This Row],[LivArea Range]],Lookups!$R$25:$U$43,4,FALSE)</f>
        <v>0.99519999999999997</v>
      </c>
      <c r="BI1231" s="30">
        <f>VLOOKUP(Inventory[[#This Row],[Decade]],Lookups!$M$24:$P$40,4,FALSE)</f>
        <v>1.0362</v>
      </c>
      <c r="BJ1231" s="30">
        <f>Inventory[[#This Row],[Nbhd Adj]]*0.95</f>
        <v>0.94971499999999998</v>
      </c>
      <c r="BK1231" s="30">
        <f>AVERAGE(Inventory[[#This Row],[Nbhd Adj]],Inventory[[#This Row],[Quality Adj]],Inventory[[#This Row],[Condition Adj]],Inventory[[#This Row],[Living Area Adj]],Inventory[[#This Row],[Decade Adj]])*0.95</f>
        <v>0.95378099999999988</v>
      </c>
      <c r="BL1231" s="30">
        <f>ROUND((SUM(Inventory[[#This Row],[Mdl Qlty]:[Mdl Garage Area]])+Inventory[[#This Row],[Mdl Res Intercept]])*Inventory[[#This Row],[Res Adj ]],-2)</f>
        <v>246000</v>
      </c>
      <c r="BM1231" s="30">
        <f>ROUND(Inventory[[#This Row],[25Det]]*Inventory[[#This Row],[Det/Nbhd Adj]],-2)</f>
        <v>0</v>
      </c>
      <c r="BN1231" s="30">
        <f>Inventory[[#This Row],[Adjusted Res]]+Inventory[[#This Row],[Adj Det ]]</f>
        <v>246000</v>
      </c>
      <c r="BO1231" s="30">
        <f>ROUND((Inventory[[#This Row],[Mdl Land Intercept]]+Inventory[[#This Row],[Mdl LnAcres]])*Inventory[[#This Row],[Det/Nbhd Adj]],-2)</f>
        <v>68000</v>
      </c>
      <c r="BP1231" s="30">
        <f>Inventory[[#This Row],[Adjusted Impr Total]]+Inventory[[#This Row],[Adjusted Land Total]]</f>
        <v>314000</v>
      </c>
      <c r="BQ1231" s="30">
        <f>IFERROR((Inventory[[#This Row],[Adjusted Impr Total]]-Inventory[[#This Row],[24Bldg]])/Inventory[[#This Row],[24Bldg]],0)</f>
        <v>9.5280498664292071E-2</v>
      </c>
      <c r="BR1231" s="43">
        <f>(Inventory[[#This Row],[Adjusted Land Total]]-Inventory[[#This Row],[24Lnd]])/Inventory[[#This Row],[24Lnd]]</f>
        <v>-1.0189228529839884E-2</v>
      </c>
      <c r="BS1231" s="43">
        <f>(Inventory[[#This Row],[Adjusted Total]]-Inventory[[#This Row],[24Final]])/Inventory[[#This Row],[24Final]]</f>
        <v>7.0576201841118305E-2</v>
      </c>
    </row>
    <row r="1232" spans="1:71">
      <c r="A1232" s="30">
        <v>2025</v>
      </c>
      <c r="B1232" s="31" t="s">
        <v>1749</v>
      </c>
      <c r="C1232" s="31">
        <f>LN(Inventory[[#This Row],[Acres]])</f>
        <v>-1.2729656758128873</v>
      </c>
      <c r="D1232" s="32">
        <f>ROUND(Inventory[[#This Row],[Sqft]]/43560,3)</f>
        <v>0.28000000000000003</v>
      </c>
      <c r="E1232" s="30">
        <v>12197</v>
      </c>
      <c r="F1232" s="31" t="s">
        <v>505</v>
      </c>
      <c r="G1232" s="31" t="s">
        <v>155</v>
      </c>
      <c r="H1232" s="31" t="s">
        <v>5</v>
      </c>
      <c r="I1232" s="31" t="s">
        <v>506</v>
      </c>
      <c r="J1232" s="31" t="s">
        <v>507</v>
      </c>
      <c r="K1232" s="31" t="s">
        <v>473</v>
      </c>
      <c r="L1232" s="31" t="s">
        <v>15</v>
      </c>
      <c r="M1232" s="31" t="s">
        <v>20</v>
      </c>
      <c r="N1232" s="31">
        <v>60</v>
      </c>
      <c r="O1232" s="31">
        <f>2024-Inventory[[#This Row],[YrBlt]]</f>
        <v>69</v>
      </c>
      <c r="P1232" s="31">
        <f>2024-Inventory[[#This Row],[EffYr]]</f>
        <v>50</v>
      </c>
      <c r="Q1232" s="30">
        <v>1955</v>
      </c>
      <c r="R1232" s="30">
        <v>1974</v>
      </c>
      <c r="S1232" s="30">
        <v>861</v>
      </c>
      <c r="T1232" s="32"/>
      <c r="U1232" s="32"/>
      <c r="V1232" s="32"/>
      <c r="W1232" s="32"/>
      <c r="X1232" s="32">
        <f>Inventory[[#This Row],[Bsmt Area]]-Inventory[[#This Row],[FnBsmt]]</f>
        <v>0</v>
      </c>
      <c r="Y1232" s="32">
        <f>Inventory[[#This Row],[MainFn]]+Inventory[[#This Row],[UpprFn]]+Inventory[[#This Row],[AddFn]]+Inventory[[#This Row],[FnBsmt]]</f>
        <v>861</v>
      </c>
      <c r="Z1232" s="32">
        <v>1000</v>
      </c>
      <c r="AA1232" s="31" t="s">
        <v>56</v>
      </c>
      <c r="AB1232" s="37"/>
      <c r="AC1232" s="37"/>
      <c r="AD1232" s="32"/>
      <c r="AE1232" s="32"/>
      <c r="AF1232" s="32"/>
      <c r="AG1232" s="32"/>
      <c r="AH1232" s="32"/>
      <c r="AI1232" s="30">
        <v>134238</v>
      </c>
      <c r="AJ1232" s="30">
        <v>96651</v>
      </c>
      <c r="AK1232" s="30">
        <v>10125</v>
      </c>
      <c r="AL1232" s="30">
        <v>0</v>
      </c>
      <c r="AM1232" s="30">
        <v>68700</v>
      </c>
      <c r="AN1232" s="30">
        <v>191200</v>
      </c>
      <c r="AO1232" s="30">
        <v>259900</v>
      </c>
      <c r="AP1232" s="30">
        <f>Lookups!$B$58*0.6</f>
        <v>132535.48800000001</v>
      </c>
      <c r="AQ1232" s="30">
        <f>Lookups!$B$58*0.4</f>
        <v>88356.992000000013</v>
      </c>
      <c r="AR1232" s="30">
        <f>Lookups!$B$59*Inventory[[#This Row],[LnAcres]]</f>
        <v>-16706.81015135027</v>
      </c>
      <c r="AS1232" s="30">
        <f>VLOOKUP(Inventory[[#This Row],[Qlty]],Lookups!$A$66:$E$79,2,FALSE)</f>
        <v>-1240.8083630000001</v>
      </c>
      <c r="AT1232" s="30">
        <f>VLOOKUP(Inventory[[#This Row],[Cnd]],Lookups!$A$80:$E$88,2,FALSE)</f>
        <v>30300.329274</v>
      </c>
      <c r="AU1232" s="30">
        <f>Inventory[[#This Row],[EffAge]]*Lookups!$B$65</f>
        <v>-5437.0550000000003</v>
      </c>
      <c r="AV1232" s="30">
        <f>Inventory[[#This Row],[MainFn]]*Lookups!$B$90</f>
        <v>53735.337180000002</v>
      </c>
      <c r="AW1232" s="30">
        <f>Inventory[[#This Row],[UpprFn]]*Lookups!$B$91</f>
        <v>0</v>
      </c>
      <c r="AX1232" s="30">
        <f>Inventory[[#This Row],[Bsmt Area]]*Lookups!$B$95</f>
        <v>0</v>
      </c>
      <c r="AY1232" s="30">
        <f>Inventory[[#This Row],[AttGar]]*Lookups!$B$93</f>
        <v>0</v>
      </c>
      <c r="AZ1232" s="30">
        <f>ROUND(Inventory[[#This Row],[25Det]],-2)</f>
        <v>10100</v>
      </c>
      <c r="BA1232" s="30">
        <f>ROUND(SUM(Inventory[[#This Row],[Mdl Qlty]:[Mdl Garage Area]])+Inventory[[#This Row],[Mdl Res Intercept]],-2)</f>
        <v>209900</v>
      </c>
      <c r="BB1232" s="30">
        <f>ROUND(Inventory[[#This Row],[Mdl Land Intercept]]+Inventory[[#This Row],[Mdl LnAcres]],-2)</f>
        <v>71700</v>
      </c>
      <c r="BC1232" s="30">
        <f>Inventory[[#This Row],[Unadj Res Value]]+Inventory[[#This Row],[Unadj Det Value]]+Inventory[[#This Row],[Unadj Land Value]]</f>
        <v>291700</v>
      </c>
      <c r="BD1232" s="30">
        <f>(Inventory[[#This Row],[Unadj Total Value]]-Inventory[[#This Row],[24Final]])/Inventory[[#This Row],[24Final]]</f>
        <v>0.12235475182762601</v>
      </c>
      <c r="BE1232" s="30">
        <f>VLOOKUP(Inventory[[#This Row],[Nbhd]],Lookups!$M$3:$P$5,4,FALSE)</f>
        <v>0.99970000000000003</v>
      </c>
      <c r="BF1232" s="30">
        <f>VLOOKUP(Inventory[[#This Row],[Qlty]],Lookups!$M$8:$P$22,4,FALSE)</f>
        <v>1.0022</v>
      </c>
      <c r="BG1232" s="30">
        <f>VLOOKUP(Inventory[[#This Row],[Cnd]],Lookups!$R$8:$U$17,4,FALSE)</f>
        <v>0.997</v>
      </c>
      <c r="BH1232" s="30">
        <f>VLOOKUP(Inventory[[#This Row],[LivArea Range]],Lookups!$R$25:$U$43,4,FALSE)</f>
        <v>1</v>
      </c>
      <c r="BI1232" s="30">
        <f>VLOOKUP(Inventory[[#This Row],[Decade]],Lookups!$M$24:$P$40,4,FALSE)</f>
        <v>1.0362</v>
      </c>
      <c r="BJ1232" s="30">
        <f>Inventory[[#This Row],[Nbhd Adj]]*0.95</f>
        <v>0.94971499999999998</v>
      </c>
      <c r="BK1232" s="30">
        <f>AVERAGE(Inventory[[#This Row],[Nbhd Adj]],Inventory[[#This Row],[Quality Adj]],Inventory[[#This Row],[Condition Adj]],Inventory[[#This Row],[Living Area Adj]],Inventory[[#This Row],[Decade Adj]])*0.95</f>
        <v>0.95666899999999999</v>
      </c>
      <c r="BL1232" s="30">
        <f>ROUND((SUM(Inventory[[#This Row],[Mdl Qlty]:[Mdl Garage Area]])+Inventory[[#This Row],[Mdl Res Intercept]])*Inventory[[#This Row],[Res Adj ]],-2)</f>
        <v>200800</v>
      </c>
      <c r="BM1232" s="30">
        <f>ROUND(Inventory[[#This Row],[25Det]]*Inventory[[#This Row],[Det/Nbhd Adj]],-2)</f>
        <v>9600</v>
      </c>
      <c r="BN1232" s="30">
        <f>Inventory[[#This Row],[Adjusted Res]]+Inventory[[#This Row],[Adj Det ]]</f>
        <v>210400</v>
      </c>
      <c r="BO1232" s="30">
        <f>ROUND((Inventory[[#This Row],[Mdl Land Intercept]]+Inventory[[#This Row],[Mdl LnAcres]])*Inventory[[#This Row],[Det/Nbhd Adj]],-2)</f>
        <v>68000</v>
      </c>
      <c r="BP1232" s="30">
        <f>Inventory[[#This Row],[Adjusted Impr Total]]+Inventory[[#This Row],[Adjusted Land Total]]</f>
        <v>278400</v>
      </c>
      <c r="BQ1232" s="30">
        <f>IFERROR((Inventory[[#This Row],[Adjusted Impr Total]]-Inventory[[#This Row],[24Bldg]])/Inventory[[#This Row],[24Bldg]],0)</f>
        <v>0.100418410041841</v>
      </c>
      <c r="BR1232" s="43">
        <f>(Inventory[[#This Row],[Adjusted Land Total]]-Inventory[[#This Row],[24Lnd]])/Inventory[[#This Row],[24Lnd]]</f>
        <v>-1.0189228529839884E-2</v>
      </c>
      <c r="BS1232" s="43">
        <f>(Inventory[[#This Row],[Adjusted Total]]-Inventory[[#This Row],[24Final]])/Inventory[[#This Row],[24Final]]</f>
        <v>7.1181223547518283E-2</v>
      </c>
    </row>
    <row r="1233" spans="1:71">
      <c r="A1233" s="30">
        <v>2025</v>
      </c>
      <c r="B1233" s="31" t="s">
        <v>1750</v>
      </c>
      <c r="C1233" s="36">
        <f>LN(Inventory[[#This Row],[Acres]])</f>
        <v>-0.51082562376599072</v>
      </c>
      <c r="D1233" s="38">
        <v>0.6</v>
      </c>
      <c r="E1233" s="30">
        <v>26308</v>
      </c>
      <c r="F1233" s="31" t="s">
        <v>505</v>
      </c>
      <c r="G1233" s="31" t="s">
        <v>155</v>
      </c>
      <c r="H1233" s="31" t="s">
        <v>5</v>
      </c>
      <c r="I1233" s="31" t="s">
        <v>506</v>
      </c>
      <c r="J1233" s="31" t="s">
        <v>507</v>
      </c>
      <c r="K1233" s="31" t="s">
        <v>473</v>
      </c>
      <c r="L1233" s="31" t="s">
        <v>17</v>
      </c>
      <c r="M1233" s="31" t="s">
        <v>18</v>
      </c>
      <c r="N1233" s="31">
        <v>70</v>
      </c>
      <c r="O1233" s="31">
        <f>2024-Inventory[[#This Row],[YrBlt]]</f>
        <v>72</v>
      </c>
      <c r="P1233" s="31">
        <f>2024-Inventory[[#This Row],[EffYr]]</f>
        <v>51</v>
      </c>
      <c r="Q1233" s="30">
        <v>1952</v>
      </c>
      <c r="R1233" s="30">
        <v>1973</v>
      </c>
      <c r="S1233" s="30">
        <v>984</v>
      </c>
      <c r="T1233" s="32"/>
      <c r="U1233" s="32"/>
      <c r="V1233" s="32"/>
      <c r="W1233" s="32"/>
      <c r="X1233" s="32">
        <f>Inventory[[#This Row],[Bsmt Area]]-Inventory[[#This Row],[FnBsmt]]</f>
        <v>0</v>
      </c>
      <c r="Y1233" s="32">
        <f>Inventory[[#This Row],[MainFn]]+Inventory[[#This Row],[UpprFn]]+Inventory[[#This Row],[AddFn]]+Inventory[[#This Row],[FnBsmt]]</f>
        <v>984</v>
      </c>
      <c r="Z1233" s="32">
        <v>1000</v>
      </c>
      <c r="AA1233" s="31" t="s">
        <v>57</v>
      </c>
      <c r="AB1233" s="32"/>
      <c r="AC1233" s="37"/>
      <c r="AD1233" s="32"/>
      <c r="AE1233" s="32"/>
      <c r="AF1233" s="32"/>
      <c r="AG1233" s="32"/>
      <c r="AH1233" s="32"/>
      <c r="AI1233" s="30">
        <v>165839</v>
      </c>
      <c r="AJ1233" s="30">
        <v>114429</v>
      </c>
      <c r="AK1233" s="30">
        <v>10699</v>
      </c>
      <c r="AL1233" s="30">
        <v>0</v>
      </c>
      <c r="AM1233" s="30">
        <v>79400</v>
      </c>
      <c r="AN1233" s="30">
        <v>204900</v>
      </c>
      <c r="AO1233" s="30">
        <v>284300</v>
      </c>
      <c r="AP1233" s="30">
        <f>Lookups!$B$58*0.6</f>
        <v>132535.48800000001</v>
      </c>
      <c r="AQ1233" s="30">
        <f>Lookups!$B$58*0.4</f>
        <v>88356.992000000013</v>
      </c>
      <c r="AR1233" s="30">
        <f>Lookups!$B$59*Inventory[[#This Row],[LnAcres]]</f>
        <v>-6704.2394613300912</v>
      </c>
      <c r="AS1233" s="30">
        <f>VLOOKUP(Inventory[[#This Row],[Qlty]],Lookups!$A$66:$E$79,2,FALSE)</f>
        <v>24371.765965999999</v>
      </c>
      <c r="AT1233" s="30">
        <f>VLOOKUP(Inventory[[#This Row],[Cnd]],Lookups!$A$80:$E$88,2,FALSE)</f>
        <v>17761.121909000001</v>
      </c>
      <c r="AU1233" s="30">
        <f>Inventory[[#This Row],[EffAge]]*Lookups!$B$65</f>
        <v>-5545.7961000000005</v>
      </c>
      <c r="AV1233" s="30">
        <f>Inventory[[#This Row],[MainFn]]*Lookups!$B$90</f>
        <v>61411.813920000001</v>
      </c>
      <c r="AW1233" s="30">
        <f>Inventory[[#This Row],[UpprFn]]*Lookups!$B$91</f>
        <v>0</v>
      </c>
      <c r="AX1233" s="30">
        <f>Inventory[[#This Row],[Bsmt Area]]*Lookups!$B$95</f>
        <v>0</v>
      </c>
      <c r="AY1233" s="30">
        <f>Inventory[[#This Row],[AttGar]]*Lookups!$B$93</f>
        <v>0</v>
      </c>
      <c r="AZ1233" s="30">
        <f>ROUND(Inventory[[#This Row],[25Det]],-2)</f>
        <v>10700</v>
      </c>
      <c r="BA1233" s="30">
        <f>ROUND(SUM(Inventory[[#This Row],[Mdl Qlty]:[Mdl Garage Area]])+Inventory[[#This Row],[Mdl Res Intercept]],-2)</f>
        <v>230500</v>
      </c>
      <c r="BB1233" s="30">
        <f>ROUND(Inventory[[#This Row],[Mdl Land Intercept]]+Inventory[[#This Row],[Mdl LnAcres]],-2)</f>
        <v>81700</v>
      </c>
      <c r="BC1233" s="30">
        <f>Inventory[[#This Row],[Unadj Res Value]]+Inventory[[#This Row],[Unadj Det Value]]+Inventory[[#This Row],[Unadj Land Value]]</f>
        <v>322900</v>
      </c>
      <c r="BD1233" s="30">
        <f>(Inventory[[#This Row],[Unadj Total Value]]-Inventory[[#This Row],[24Final]])/Inventory[[#This Row],[24Final]]</f>
        <v>0.13577207175518818</v>
      </c>
      <c r="BE1233" s="30">
        <f>VLOOKUP(Inventory[[#This Row],[Nbhd]],Lookups!$M$3:$P$5,4,FALSE)</f>
        <v>0.99970000000000003</v>
      </c>
      <c r="BF1233" s="30">
        <f>VLOOKUP(Inventory[[#This Row],[Qlty]],Lookups!$M$8:$P$22,4,FALSE)</f>
        <v>0.99199999999999999</v>
      </c>
      <c r="BG1233" s="30">
        <f>VLOOKUP(Inventory[[#This Row],[Cnd]],Lookups!$R$8:$U$17,4,FALSE)</f>
        <v>0.99680000000000002</v>
      </c>
      <c r="BH1233" s="30">
        <f>VLOOKUP(Inventory[[#This Row],[LivArea Range]],Lookups!$R$25:$U$43,4,FALSE)</f>
        <v>1</v>
      </c>
      <c r="BI1233" s="30">
        <f>VLOOKUP(Inventory[[#This Row],[Decade]],Lookups!$M$24:$P$40,4,FALSE)</f>
        <v>1.0558000000000001</v>
      </c>
      <c r="BJ1233" s="30">
        <f>Inventory[[#This Row],[Nbhd Adj]]*0.95</f>
        <v>0.94971499999999998</v>
      </c>
      <c r="BK1233" s="30">
        <f>AVERAGE(Inventory[[#This Row],[Nbhd Adj]],Inventory[[#This Row],[Quality Adj]],Inventory[[#This Row],[Condition Adj]],Inventory[[#This Row],[Living Area Adj]],Inventory[[#This Row],[Decade Adj]])*0.95</f>
        <v>0.95841699999999985</v>
      </c>
      <c r="BL1233" s="30">
        <f>ROUND((SUM(Inventory[[#This Row],[Mdl Qlty]:[Mdl Garage Area]])+Inventory[[#This Row],[Mdl Res Intercept]])*Inventory[[#This Row],[Res Adj ]],-2)</f>
        <v>220900</v>
      </c>
      <c r="BM1233" s="30">
        <f>ROUND(Inventory[[#This Row],[25Det]]*Inventory[[#This Row],[Det/Nbhd Adj]],-2)</f>
        <v>10200</v>
      </c>
      <c r="BN1233" s="30">
        <f>Inventory[[#This Row],[Adjusted Res]]+Inventory[[#This Row],[Adj Det ]]</f>
        <v>231100</v>
      </c>
      <c r="BO1233" s="30">
        <f>ROUND((Inventory[[#This Row],[Mdl Land Intercept]]+Inventory[[#This Row],[Mdl LnAcres]])*Inventory[[#This Row],[Det/Nbhd Adj]],-2)</f>
        <v>77500</v>
      </c>
      <c r="BP1233" s="30">
        <f>Inventory[[#This Row],[Adjusted Impr Total]]+Inventory[[#This Row],[Adjusted Land Total]]</f>
        <v>308600</v>
      </c>
      <c r="BQ1233" s="30">
        <f>IFERROR((Inventory[[#This Row],[Adjusted Impr Total]]-Inventory[[#This Row],[24Bldg]])/Inventory[[#This Row],[24Bldg]],0)</f>
        <v>0.12786725231820401</v>
      </c>
      <c r="BR1233" s="43">
        <f>(Inventory[[#This Row],[Adjusted Land Total]]-Inventory[[#This Row],[24Lnd]])/Inventory[[#This Row],[24Lnd]]</f>
        <v>-2.3929471032745592E-2</v>
      </c>
      <c r="BS1233" s="43">
        <f>(Inventory[[#This Row],[Adjusted Total]]-Inventory[[#This Row],[24Final]])/Inventory[[#This Row],[24Final]]</f>
        <v>8.5473091804431939E-2</v>
      </c>
    </row>
    <row r="1234" spans="1:71">
      <c r="A1234" s="30">
        <v>2025</v>
      </c>
      <c r="B1234" s="31" t="s">
        <v>1751</v>
      </c>
      <c r="C1234" s="36">
        <f>LN(Inventory[[#This Row],[Acres]])</f>
        <v>-2.2072749131897207</v>
      </c>
      <c r="D1234" s="38">
        <v>0.11</v>
      </c>
      <c r="E1234" s="30">
        <v>4896</v>
      </c>
      <c r="F1234" s="31" t="s">
        <v>505</v>
      </c>
      <c r="G1234" s="31" t="s">
        <v>155</v>
      </c>
      <c r="H1234" s="31" t="s">
        <v>5</v>
      </c>
      <c r="I1234" s="31" t="s">
        <v>506</v>
      </c>
      <c r="J1234" s="31" t="s">
        <v>507</v>
      </c>
      <c r="K1234" s="31" t="s">
        <v>473</v>
      </c>
      <c r="L1234" s="31" t="s">
        <v>15</v>
      </c>
      <c r="M1234" s="31" t="s">
        <v>18</v>
      </c>
      <c r="N1234" s="31">
        <v>70</v>
      </c>
      <c r="O1234" s="31">
        <f>2024-Inventory[[#This Row],[YrBlt]]</f>
        <v>74</v>
      </c>
      <c r="P1234" s="31">
        <f>2024-Inventory[[#This Row],[EffYr]]</f>
        <v>51</v>
      </c>
      <c r="Q1234" s="30">
        <v>1950</v>
      </c>
      <c r="R1234" s="30">
        <v>1973</v>
      </c>
      <c r="S1234" s="30">
        <v>1061</v>
      </c>
      <c r="T1234" s="32"/>
      <c r="U1234" s="32"/>
      <c r="V1234" s="32"/>
      <c r="W1234" s="32"/>
      <c r="X1234" s="32">
        <f>Inventory[[#This Row],[Bsmt Area]]-Inventory[[#This Row],[FnBsmt]]</f>
        <v>0</v>
      </c>
      <c r="Y1234" s="32">
        <f>Inventory[[#This Row],[MainFn]]+Inventory[[#This Row],[UpprFn]]+Inventory[[#This Row],[AddFn]]+Inventory[[#This Row],[FnBsmt]]</f>
        <v>1061</v>
      </c>
      <c r="Z1234" s="32">
        <v>1500</v>
      </c>
      <c r="AA1234" s="31" t="s">
        <v>55</v>
      </c>
      <c r="AB1234" s="32"/>
      <c r="AC1234" s="37"/>
      <c r="AD1234" s="32"/>
      <c r="AE1234" s="32"/>
      <c r="AF1234" s="32"/>
      <c r="AG1234" s="32"/>
      <c r="AH1234" s="32"/>
      <c r="AI1234" s="30">
        <v>167074</v>
      </c>
      <c r="AJ1234" s="30">
        <v>115281</v>
      </c>
      <c r="AK1234" s="30">
        <v>0</v>
      </c>
      <c r="AL1234" s="30">
        <v>0</v>
      </c>
      <c r="AM1234" s="30">
        <v>55600</v>
      </c>
      <c r="AN1234" s="30">
        <v>180000</v>
      </c>
      <c r="AO1234" s="30">
        <v>235600</v>
      </c>
      <c r="AP1234" s="30">
        <f>Lookups!$B$58*0.6</f>
        <v>132535.48800000001</v>
      </c>
      <c r="AQ1234" s="30">
        <f>Lookups!$B$58*0.4</f>
        <v>88356.992000000013</v>
      </c>
      <c r="AR1234" s="30">
        <f>Lookups!$B$59*Inventory[[#This Row],[LnAcres]]</f>
        <v>-28968.984495949029</v>
      </c>
      <c r="AS1234" s="30">
        <f>VLOOKUP(Inventory[[#This Row],[Qlty]],Lookups!$A$66:$E$79,2,FALSE)</f>
        <v>-1240.8083630000001</v>
      </c>
      <c r="AT1234" s="30">
        <f>VLOOKUP(Inventory[[#This Row],[Cnd]],Lookups!$A$80:$E$88,2,FALSE)</f>
        <v>17761.121909000001</v>
      </c>
      <c r="AU1234" s="30">
        <f>Inventory[[#This Row],[EffAge]]*Lookups!$B$65</f>
        <v>-5545.7961000000005</v>
      </c>
      <c r="AV1234" s="30">
        <f>Inventory[[#This Row],[MainFn]]*Lookups!$B$90</f>
        <v>66217.413180000003</v>
      </c>
      <c r="AW1234" s="30">
        <f>Inventory[[#This Row],[UpprFn]]*Lookups!$B$91</f>
        <v>0</v>
      </c>
      <c r="AX1234" s="30">
        <f>Inventory[[#This Row],[Bsmt Area]]*Lookups!$B$95</f>
        <v>0</v>
      </c>
      <c r="AY1234" s="30">
        <f>Inventory[[#This Row],[AttGar]]*Lookups!$B$93</f>
        <v>0</v>
      </c>
      <c r="AZ1234" s="30">
        <f>ROUND(Inventory[[#This Row],[25Det]],-2)</f>
        <v>0</v>
      </c>
      <c r="BA1234" s="30">
        <f>ROUND(SUM(Inventory[[#This Row],[Mdl Qlty]:[Mdl Garage Area]])+Inventory[[#This Row],[Mdl Res Intercept]],-2)</f>
        <v>209700</v>
      </c>
      <c r="BB1234" s="30">
        <f>ROUND(Inventory[[#This Row],[Mdl Land Intercept]]+Inventory[[#This Row],[Mdl LnAcres]],-2)</f>
        <v>59400</v>
      </c>
      <c r="BC1234" s="30">
        <f>Inventory[[#This Row],[Unadj Res Value]]+Inventory[[#This Row],[Unadj Det Value]]+Inventory[[#This Row],[Unadj Land Value]]</f>
        <v>269100</v>
      </c>
      <c r="BD1234" s="30">
        <f>(Inventory[[#This Row],[Unadj Total Value]]-Inventory[[#This Row],[24Final]])/Inventory[[#This Row],[24Final]]</f>
        <v>0.14219015280135824</v>
      </c>
      <c r="BE1234" s="30">
        <f>VLOOKUP(Inventory[[#This Row],[Nbhd]],Lookups!$M$3:$P$5,4,FALSE)</f>
        <v>0.99970000000000003</v>
      </c>
      <c r="BF1234" s="30">
        <f>VLOOKUP(Inventory[[#This Row],[Qlty]],Lookups!$M$8:$P$22,4,FALSE)</f>
        <v>1.0022</v>
      </c>
      <c r="BG1234" s="30">
        <f>VLOOKUP(Inventory[[#This Row],[Cnd]],Lookups!$R$8:$U$17,4,FALSE)</f>
        <v>0.99680000000000002</v>
      </c>
      <c r="BH1234" s="30">
        <f>VLOOKUP(Inventory[[#This Row],[LivArea Range]],Lookups!$R$25:$U$43,4,FALSE)</f>
        <v>0.99519999999999997</v>
      </c>
      <c r="BI1234" s="30">
        <f>VLOOKUP(Inventory[[#This Row],[Decade]],Lookups!$M$24:$P$40,4,FALSE)</f>
        <v>1.0558000000000001</v>
      </c>
      <c r="BJ1234" s="30">
        <f>Inventory[[#This Row],[Nbhd Adj]]*0.95</f>
        <v>0.94971499999999998</v>
      </c>
      <c r="BK1234" s="30">
        <f>AVERAGE(Inventory[[#This Row],[Nbhd Adj]],Inventory[[#This Row],[Quality Adj]],Inventory[[#This Row],[Condition Adj]],Inventory[[#This Row],[Living Area Adj]],Inventory[[#This Row],[Decade Adj]])*0.95</f>
        <v>0.95944299999999982</v>
      </c>
      <c r="BL1234" s="30">
        <f>ROUND((SUM(Inventory[[#This Row],[Mdl Qlty]:[Mdl Garage Area]])+Inventory[[#This Row],[Mdl Res Intercept]])*Inventory[[#This Row],[Res Adj ]],-2)</f>
        <v>201200</v>
      </c>
      <c r="BM1234" s="30">
        <f>ROUND(Inventory[[#This Row],[25Det]]*Inventory[[#This Row],[Det/Nbhd Adj]],-2)</f>
        <v>0</v>
      </c>
      <c r="BN1234" s="30">
        <f>Inventory[[#This Row],[Adjusted Res]]+Inventory[[#This Row],[Adj Det ]]</f>
        <v>201200</v>
      </c>
      <c r="BO1234" s="30">
        <f>ROUND((Inventory[[#This Row],[Mdl Land Intercept]]+Inventory[[#This Row],[Mdl LnAcres]])*Inventory[[#This Row],[Det/Nbhd Adj]],-2)</f>
        <v>56400</v>
      </c>
      <c r="BP1234" s="30">
        <f>Inventory[[#This Row],[Adjusted Impr Total]]+Inventory[[#This Row],[Adjusted Land Total]]</f>
        <v>257600</v>
      </c>
      <c r="BQ1234" s="30">
        <f>IFERROR((Inventory[[#This Row],[Adjusted Impr Total]]-Inventory[[#This Row],[24Bldg]])/Inventory[[#This Row],[24Bldg]],0)</f>
        <v>0.11777777777777777</v>
      </c>
      <c r="BR1234" s="43">
        <f>(Inventory[[#This Row],[Adjusted Land Total]]-Inventory[[#This Row],[24Lnd]])/Inventory[[#This Row],[24Lnd]]</f>
        <v>1.4388489208633094E-2</v>
      </c>
      <c r="BS1234" s="43">
        <f>(Inventory[[#This Row],[Adjusted Total]]-Inventory[[#This Row],[24Final]])/Inventory[[#This Row],[24Final]]</f>
        <v>9.3378607809847206E-2</v>
      </c>
    </row>
    <row r="1235" spans="1:71">
      <c r="A1235" s="30">
        <v>2025</v>
      </c>
      <c r="B1235" s="31" t="s">
        <v>1752</v>
      </c>
      <c r="C1235" s="36">
        <f>LN(Inventory[[#This Row],[Acres]])</f>
        <v>-2.0402208285265546</v>
      </c>
      <c r="D1235" s="38">
        <v>0.13</v>
      </c>
      <c r="E1235" s="30">
        <v>5754</v>
      </c>
      <c r="F1235" s="31" t="s">
        <v>505</v>
      </c>
      <c r="G1235" s="31" t="s">
        <v>155</v>
      </c>
      <c r="H1235" s="31" t="s">
        <v>5</v>
      </c>
      <c r="I1235" s="31" t="s">
        <v>506</v>
      </c>
      <c r="J1235" s="31" t="s">
        <v>507</v>
      </c>
      <c r="K1235" s="31" t="s">
        <v>473</v>
      </c>
      <c r="L1235" s="31" t="s">
        <v>11</v>
      </c>
      <c r="M1235" s="31" t="s">
        <v>16</v>
      </c>
      <c r="N1235" s="31">
        <v>70</v>
      </c>
      <c r="O1235" s="31">
        <f>2024-Inventory[[#This Row],[YrBlt]]</f>
        <v>74</v>
      </c>
      <c r="P1235" s="31">
        <f>2024-Inventory[[#This Row],[EffYr]]</f>
        <v>51</v>
      </c>
      <c r="Q1235" s="30">
        <v>1950</v>
      </c>
      <c r="R1235" s="30">
        <v>1973</v>
      </c>
      <c r="S1235" s="30">
        <v>742</v>
      </c>
      <c r="T1235" s="32"/>
      <c r="U1235" s="32"/>
      <c r="V1235" s="32"/>
      <c r="W1235" s="32"/>
      <c r="X1235" s="32">
        <f>Inventory[[#This Row],[Bsmt Area]]-Inventory[[#This Row],[FnBsmt]]</f>
        <v>0</v>
      </c>
      <c r="Y1235" s="32">
        <f>Inventory[[#This Row],[MainFn]]+Inventory[[#This Row],[UpprFn]]+Inventory[[#This Row],[AddFn]]+Inventory[[#This Row],[FnBsmt]]</f>
        <v>742</v>
      </c>
      <c r="Z1235" s="32">
        <v>1000</v>
      </c>
      <c r="AA1235" s="31" t="s">
        <v>56</v>
      </c>
      <c r="AB1235" s="32"/>
      <c r="AC1235" s="37"/>
      <c r="AD1235" s="32"/>
      <c r="AE1235" s="32"/>
      <c r="AF1235" s="32"/>
      <c r="AG1235" s="32"/>
      <c r="AH1235" s="32"/>
      <c r="AI1235" s="30">
        <v>100724</v>
      </c>
      <c r="AJ1235" s="30">
        <v>67485</v>
      </c>
      <c r="AK1235" s="30">
        <v>0</v>
      </c>
      <c r="AL1235" s="30">
        <v>0</v>
      </c>
      <c r="AM1235" s="30">
        <v>57900</v>
      </c>
      <c r="AN1235" s="30">
        <v>140500</v>
      </c>
      <c r="AO1235" s="30">
        <v>198400</v>
      </c>
      <c r="AP1235" s="30">
        <f>Lookups!$B$58*0.6</f>
        <v>132535.48800000001</v>
      </c>
      <c r="AQ1235" s="30">
        <f>Lookups!$B$58*0.4</f>
        <v>88356.992000000013</v>
      </c>
      <c r="AR1235" s="30">
        <f>Lookups!$B$59*Inventory[[#This Row],[LnAcres]]</f>
        <v>-26776.513064468461</v>
      </c>
      <c r="AS1235" s="30">
        <f>VLOOKUP(Inventory[[#This Row],[Qlty]],Lookups!$A$66:$E$79,2,FALSE)</f>
        <v>-9114.1675108666695</v>
      </c>
      <c r="AT1235" s="30">
        <f>VLOOKUP(Inventory[[#This Row],[Cnd]],Lookups!$A$80:$E$88,2,FALSE)</f>
        <v>0</v>
      </c>
      <c r="AU1235" s="30">
        <f>Inventory[[#This Row],[EffAge]]*Lookups!$B$65</f>
        <v>-5545.7961000000005</v>
      </c>
      <c r="AV1235" s="30">
        <f>Inventory[[#This Row],[MainFn]]*Lookups!$B$90</f>
        <v>46308.501960000001</v>
      </c>
      <c r="AW1235" s="30">
        <f>Inventory[[#This Row],[UpprFn]]*Lookups!$B$91</f>
        <v>0</v>
      </c>
      <c r="AX1235" s="30">
        <f>Inventory[[#This Row],[Bsmt Area]]*Lookups!$B$95</f>
        <v>0</v>
      </c>
      <c r="AY1235" s="30">
        <f>Inventory[[#This Row],[AttGar]]*Lookups!$B$93</f>
        <v>0</v>
      </c>
      <c r="AZ1235" s="30">
        <f>ROUND(Inventory[[#This Row],[25Det]],-2)</f>
        <v>0</v>
      </c>
      <c r="BA1235" s="30">
        <f>ROUND(SUM(Inventory[[#This Row],[Mdl Qlty]:[Mdl Garage Area]])+Inventory[[#This Row],[Mdl Res Intercept]],-2)</f>
        <v>164200</v>
      </c>
      <c r="BB1235" s="30">
        <f>ROUND(Inventory[[#This Row],[Mdl Land Intercept]]+Inventory[[#This Row],[Mdl LnAcres]],-2)</f>
        <v>61600</v>
      </c>
      <c r="BC1235" s="30">
        <f>Inventory[[#This Row],[Unadj Res Value]]+Inventory[[#This Row],[Unadj Det Value]]+Inventory[[#This Row],[Unadj Land Value]]</f>
        <v>225800</v>
      </c>
      <c r="BD1235" s="30">
        <f>(Inventory[[#This Row],[Unadj Total Value]]-Inventory[[#This Row],[24Final]])/Inventory[[#This Row],[24Final]]</f>
        <v>0.13810483870967741</v>
      </c>
      <c r="BE1235" s="30">
        <f>VLOOKUP(Inventory[[#This Row],[Nbhd]],Lookups!$M$3:$P$5,4,FALSE)</f>
        <v>0.99970000000000003</v>
      </c>
      <c r="BF1235" s="30">
        <f>VLOOKUP(Inventory[[#This Row],[Qlty]],Lookups!$M$8:$P$22,4,FALSE)</f>
        <v>1</v>
      </c>
      <c r="BG1235" s="30">
        <f>VLOOKUP(Inventory[[#This Row],[Cnd]],Lookups!$R$8:$U$17,4,FALSE)</f>
        <v>1</v>
      </c>
      <c r="BH1235" s="30">
        <f>VLOOKUP(Inventory[[#This Row],[LivArea Range]],Lookups!$R$25:$U$43,4,FALSE)</f>
        <v>1</v>
      </c>
      <c r="BI1235" s="30">
        <f>VLOOKUP(Inventory[[#This Row],[Decade]],Lookups!$M$24:$P$40,4,FALSE)</f>
        <v>1.0558000000000001</v>
      </c>
      <c r="BJ1235" s="30">
        <f>Inventory[[#This Row],[Nbhd Adj]]*0.95</f>
        <v>0.94971499999999998</v>
      </c>
      <c r="BK1235" s="30">
        <f>AVERAGE(Inventory[[#This Row],[Nbhd Adj]],Inventory[[#This Row],[Quality Adj]],Inventory[[#This Row],[Condition Adj]],Inventory[[#This Row],[Living Area Adj]],Inventory[[#This Row],[Decade Adj]])*0.95</f>
        <v>0.96054500000000009</v>
      </c>
      <c r="BL1235" s="30">
        <f>ROUND((SUM(Inventory[[#This Row],[Mdl Qlty]:[Mdl Garage Area]])+Inventory[[#This Row],[Mdl Res Intercept]])*Inventory[[#This Row],[Res Adj ]],-2)</f>
        <v>157700</v>
      </c>
      <c r="BM1235" s="30">
        <f>ROUND(Inventory[[#This Row],[25Det]]*Inventory[[#This Row],[Det/Nbhd Adj]],-2)</f>
        <v>0</v>
      </c>
      <c r="BN1235" s="30">
        <f>Inventory[[#This Row],[Adjusted Res]]+Inventory[[#This Row],[Adj Det ]]</f>
        <v>157700</v>
      </c>
      <c r="BO1235" s="30">
        <f>ROUND((Inventory[[#This Row],[Mdl Land Intercept]]+Inventory[[#This Row],[Mdl LnAcres]])*Inventory[[#This Row],[Det/Nbhd Adj]],-2)</f>
        <v>58500</v>
      </c>
      <c r="BP1235" s="30">
        <f>Inventory[[#This Row],[Adjusted Impr Total]]+Inventory[[#This Row],[Adjusted Land Total]]</f>
        <v>216200</v>
      </c>
      <c r="BQ1235" s="30">
        <f>IFERROR((Inventory[[#This Row],[Adjusted Impr Total]]-Inventory[[#This Row],[24Bldg]])/Inventory[[#This Row],[24Bldg]],0)</f>
        <v>0.12241992882562278</v>
      </c>
      <c r="BR1235" s="43">
        <f>(Inventory[[#This Row],[Adjusted Land Total]]-Inventory[[#This Row],[24Lnd]])/Inventory[[#This Row],[24Lnd]]</f>
        <v>1.0362694300518135E-2</v>
      </c>
      <c r="BS1235" s="43">
        <f>(Inventory[[#This Row],[Adjusted Total]]-Inventory[[#This Row],[24Final]])/Inventory[[#This Row],[24Final]]</f>
        <v>8.9717741935483875E-2</v>
      </c>
    </row>
    <row r="1236" spans="1:71">
      <c r="A1236" s="30">
        <v>2025</v>
      </c>
      <c r="B1236" s="31" t="s">
        <v>1753</v>
      </c>
      <c r="C1236" s="36">
        <f>LN(Inventory[[#This Row],[Acres]])</f>
        <v>-1.7147984280919266</v>
      </c>
      <c r="D1236" s="38">
        <v>0.18</v>
      </c>
      <c r="E1236" s="30">
        <v>7818</v>
      </c>
      <c r="F1236" s="31" t="s">
        <v>505</v>
      </c>
      <c r="G1236" s="31" t="s">
        <v>155</v>
      </c>
      <c r="H1236" s="31" t="s">
        <v>5</v>
      </c>
      <c r="I1236" s="31" t="s">
        <v>506</v>
      </c>
      <c r="J1236" s="31" t="s">
        <v>507</v>
      </c>
      <c r="K1236" s="31" t="s">
        <v>473</v>
      </c>
      <c r="L1236" s="31" t="s">
        <v>11</v>
      </c>
      <c r="M1236" s="31" t="s">
        <v>18</v>
      </c>
      <c r="N1236" s="31">
        <v>70</v>
      </c>
      <c r="O1236" s="31">
        <f>2024-Inventory[[#This Row],[YrBlt]]</f>
        <v>74</v>
      </c>
      <c r="P1236" s="31">
        <f>2024-Inventory[[#This Row],[EffYr]]</f>
        <v>51</v>
      </c>
      <c r="Q1236" s="30">
        <v>1950</v>
      </c>
      <c r="R1236" s="30">
        <v>1973</v>
      </c>
      <c r="S1236" s="30">
        <v>624</v>
      </c>
      <c r="T1236" s="32"/>
      <c r="U1236" s="32"/>
      <c r="V1236" s="32"/>
      <c r="W1236" s="32"/>
      <c r="X1236" s="32">
        <f>Inventory[[#This Row],[Bsmt Area]]-Inventory[[#This Row],[FnBsmt]]</f>
        <v>0</v>
      </c>
      <c r="Y1236" s="32">
        <f>Inventory[[#This Row],[MainFn]]+Inventory[[#This Row],[UpprFn]]+Inventory[[#This Row],[AddFn]]+Inventory[[#This Row],[FnBsmt]]</f>
        <v>624</v>
      </c>
      <c r="Z1236" s="32">
        <v>1000</v>
      </c>
      <c r="AA1236" s="31" t="s">
        <v>56</v>
      </c>
      <c r="AB1236" s="37"/>
      <c r="AC1236" s="37"/>
      <c r="AD1236" s="32"/>
      <c r="AE1236" s="32"/>
      <c r="AF1236" s="32"/>
      <c r="AG1236" s="32"/>
      <c r="AH1236" s="32"/>
      <c r="AI1236" s="30">
        <v>89965</v>
      </c>
      <c r="AJ1236" s="30">
        <v>62076</v>
      </c>
      <c r="AK1236" s="30">
        <v>0</v>
      </c>
      <c r="AL1236" s="30">
        <v>0</v>
      </c>
      <c r="AM1236" s="30">
        <v>62500</v>
      </c>
      <c r="AN1236" s="30">
        <v>134700</v>
      </c>
      <c r="AO1236" s="30">
        <v>197200</v>
      </c>
      <c r="AP1236" s="30">
        <f>Lookups!$B$58*0.6</f>
        <v>132535.48800000001</v>
      </c>
      <c r="AQ1236" s="30">
        <f>Lookups!$B$58*0.4</f>
        <v>88356.992000000013</v>
      </c>
      <c r="AR1236" s="30">
        <f>Lookups!$B$59*Inventory[[#This Row],[LnAcres]]</f>
        <v>-22505.565020573864</v>
      </c>
      <c r="AS1236" s="30">
        <f>VLOOKUP(Inventory[[#This Row],[Qlty]],Lookups!$A$66:$E$79,2,FALSE)</f>
        <v>-9114.1675108666695</v>
      </c>
      <c r="AT1236" s="30">
        <f>VLOOKUP(Inventory[[#This Row],[Cnd]],Lookups!$A$80:$E$88,2,FALSE)</f>
        <v>17761.121909000001</v>
      </c>
      <c r="AU1236" s="30">
        <f>Inventory[[#This Row],[EffAge]]*Lookups!$B$65</f>
        <v>-5545.7961000000005</v>
      </c>
      <c r="AV1236" s="30">
        <f>Inventory[[#This Row],[MainFn]]*Lookups!$B$90</f>
        <v>38944.077120000002</v>
      </c>
      <c r="AW1236" s="30">
        <f>Inventory[[#This Row],[UpprFn]]*Lookups!$B$91</f>
        <v>0</v>
      </c>
      <c r="AX1236" s="30">
        <f>Inventory[[#This Row],[Bsmt Area]]*Lookups!$B$95</f>
        <v>0</v>
      </c>
      <c r="AY1236" s="30">
        <f>Inventory[[#This Row],[AttGar]]*Lookups!$B$93</f>
        <v>0</v>
      </c>
      <c r="AZ1236" s="30">
        <f>ROUND(Inventory[[#This Row],[25Det]],-2)</f>
        <v>0</v>
      </c>
      <c r="BA1236" s="30">
        <f>ROUND(SUM(Inventory[[#This Row],[Mdl Qlty]:[Mdl Garage Area]])+Inventory[[#This Row],[Mdl Res Intercept]],-2)</f>
        <v>174600</v>
      </c>
      <c r="BB1236" s="30">
        <f>ROUND(Inventory[[#This Row],[Mdl Land Intercept]]+Inventory[[#This Row],[Mdl LnAcres]],-2)</f>
        <v>65900</v>
      </c>
      <c r="BC1236" s="30">
        <f>Inventory[[#This Row],[Unadj Res Value]]+Inventory[[#This Row],[Unadj Det Value]]+Inventory[[#This Row],[Unadj Land Value]]</f>
        <v>240500</v>
      </c>
      <c r="BD1236" s="30">
        <f>(Inventory[[#This Row],[Unadj Total Value]]-Inventory[[#This Row],[24Final]])/Inventory[[#This Row],[24Final]]</f>
        <v>0.21957403651115617</v>
      </c>
      <c r="BE1236" s="30">
        <f>VLOOKUP(Inventory[[#This Row],[Nbhd]],Lookups!$M$3:$P$5,4,FALSE)</f>
        <v>0.99970000000000003</v>
      </c>
      <c r="BF1236" s="30">
        <f>VLOOKUP(Inventory[[#This Row],[Qlty]],Lookups!$M$8:$P$22,4,FALSE)</f>
        <v>1</v>
      </c>
      <c r="BG1236" s="30">
        <f>VLOOKUP(Inventory[[#This Row],[Cnd]],Lookups!$R$8:$U$17,4,FALSE)</f>
        <v>0.99680000000000002</v>
      </c>
      <c r="BH1236" s="30">
        <f>VLOOKUP(Inventory[[#This Row],[LivArea Range]],Lookups!$R$25:$U$43,4,FALSE)</f>
        <v>1</v>
      </c>
      <c r="BI1236" s="30">
        <f>VLOOKUP(Inventory[[#This Row],[Decade]],Lookups!$M$24:$P$40,4,FALSE)</f>
        <v>1.0558000000000001</v>
      </c>
      <c r="BJ1236" s="30">
        <f>Inventory[[#This Row],[Nbhd Adj]]*0.95</f>
        <v>0.94971499999999998</v>
      </c>
      <c r="BK1236" s="30">
        <f>AVERAGE(Inventory[[#This Row],[Nbhd Adj]],Inventory[[#This Row],[Quality Adj]],Inventory[[#This Row],[Condition Adj]],Inventory[[#This Row],[Living Area Adj]],Inventory[[#This Row],[Decade Adj]])*0.95</f>
        <v>0.95993700000000004</v>
      </c>
      <c r="BL1236" s="30">
        <f>ROUND((SUM(Inventory[[#This Row],[Mdl Qlty]:[Mdl Garage Area]])+Inventory[[#This Row],[Mdl Res Intercept]])*Inventory[[#This Row],[Res Adj ]],-2)</f>
        <v>167600</v>
      </c>
      <c r="BM1236" s="30">
        <f>ROUND(Inventory[[#This Row],[25Det]]*Inventory[[#This Row],[Det/Nbhd Adj]],-2)</f>
        <v>0</v>
      </c>
      <c r="BN1236" s="30">
        <f>Inventory[[#This Row],[Adjusted Res]]+Inventory[[#This Row],[Adj Det ]]</f>
        <v>167600</v>
      </c>
      <c r="BO1236" s="30">
        <f>ROUND((Inventory[[#This Row],[Mdl Land Intercept]]+Inventory[[#This Row],[Mdl LnAcres]])*Inventory[[#This Row],[Det/Nbhd Adj]],-2)</f>
        <v>62500</v>
      </c>
      <c r="BP1236" s="30">
        <f>Inventory[[#This Row],[Adjusted Impr Total]]+Inventory[[#This Row],[Adjusted Land Total]]</f>
        <v>230100</v>
      </c>
      <c r="BQ1236" s="30">
        <f>IFERROR((Inventory[[#This Row],[Adjusted Impr Total]]-Inventory[[#This Row],[24Bldg]])/Inventory[[#This Row],[24Bldg]],0)</f>
        <v>0.24424647364513735</v>
      </c>
      <c r="BR1236" s="43">
        <f>(Inventory[[#This Row],[Adjusted Land Total]]-Inventory[[#This Row],[24Lnd]])/Inventory[[#This Row],[24Lnd]]</f>
        <v>0</v>
      </c>
      <c r="BS1236" s="43">
        <f>(Inventory[[#This Row],[Adjusted Total]]-Inventory[[#This Row],[24Final]])/Inventory[[#This Row],[24Final]]</f>
        <v>0.16683569979716023</v>
      </c>
    </row>
    <row r="1237" spans="1:71">
      <c r="A1237" s="30">
        <v>2025</v>
      </c>
      <c r="B1237" s="31" t="s">
        <v>1754</v>
      </c>
      <c r="C1237" s="36">
        <f>LN(Inventory[[#This Row],[Acres]])</f>
        <v>-1.6094379124341003</v>
      </c>
      <c r="D1237" s="38">
        <v>0.2</v>
      </c>
      <c r="E1237" s="30">
        <v>8595</v>
      </c>
      <c r="F1237" s="31" t="s">
        <v>505</v>
      </c>
      <c r="G1237" s="31" t="s">
        <v>155</v>
      </c>
      <c r="H1237" s="31" t="s">
        <v>5</v>
      </c>
      <c r="I1237" s="31" t="s">
        <v>506</v>
      </c>
      <c r="J1237" s="31" t="s">
        <v>507</v>
      </c>
      <c r="K1237" s="31" t="s">
        <v>193</v>
      </c>
      <c r="L1237" s="31" t="s">
        <v>19</v>
      </c>
      <c r="M1237" s="31" t="s">
        <v>20</v>
      </c>
      <c r="N1237" s="31">
        <v>70</v>
      </c>
      <c r="O1237" s="31">
        <f>2024-Inventory[[#This Row],[YrBlt]]</f>
        <v>74</v>
      </c>
      <c r="P1237" s="31">
        <f>2024-Inventory[[#This Row],[EffYr]]</f>
        <v>51</v>
      </c>
      <c r="Q1237" s="30">
        <v>1950</v>
      </c>
      <c r="R1237" s="30">
        <v>1973</v>
      </c>
      <c r="S1237" s="30">
        <v>2076</v>
      </c>
      <c r="T1237" s="32"/>
      <c r="U1237" s="38">
        <v>960</v>
      </c>
      <c r="V1237" s="32"/>
      <c r="W1237" s="32"/>
      <c r="X1237" s="32">
        <f>Inventory[[#This Row],[Bsmt Area]]-Inventory[[#This Row],[FnBsmt]]</f>
        <v>960</v>
      </c>
      <c r="Y1237" s="32">
        <f>Inventory[[#This Row],[MainFn]]+Inventory[[#This Row],[UpprFn]]+Inventory[[#This Row],[AddFn]]+Inventory[[#This Row],[FnBsmt]]</f>
        <v>2076</v>
      </c>
      <c r="Z1237" s="32">
        <v>2500</v>
      </c>
      <c r="AA1237" s="31" t="s">
        <v>56</v>
      </c>
      <c r="AB1237" s="32"/>
      <c r="AC1237" s="30">
        <v>300</v>
      </c>
      <c r="AD1237" s="32"/>
      <c r="AE1237" s="32"/>
      <c r="AF1237" s="32"/>
      <c r="AG1237" s="32"/>
      <c r="AH1237" s="32"/>
      <c r="AI1237" s="30">
        <v>422365</v>
      </c>
      <c r="AJ1237" s="30">
        <v>299879</v>
      </c>
      <c r="AK1237" s="30">
        <v>0</v>
      </c>
      <c r="AL1237" s="30">
        <v>0</v>
      </c>
      <c r="AM1237" s="30">
        <v>64000</v>
      </c>
      <c r="AN1237" s="30">
        <v>283200</v>
      </c>
      <c r="AO1237" s="30">
        <v>347200</v>
      </c>
      <c r="AP1237" s="30">
        <f>Lookups!$B$58*0.6</f>
        <v>132535.48800000001</v>
      </c>
      <c r="AQ1237" s="30">
        <f>Lookups!$B$58*0.4</f>
        <v>88356.992000000013</v>
      </c>
      <c r="AR1237" s="30">
        <f>Lookups!$B$59*Inventory[[#This Row],[LnAcres]]</f>
        <v>-21122.779792355024</v>
      </c>
      <c r="AS1237" s="30">
        <f>VLOOKUP(Inventory[[#This Row],[Qlty]],Lookups!$A$66:$E$79,2,FALSE)</f>
        <v>37154.252388000001</v>
      </c>
      <c r="AT1237" s="30">
        <f>VLOOKUP(Inventory[[#This Row],[Cnd]],Lookups!$A$80:$E$88,2,FALSE)</f>
        <v>30300.329274</v>
      </c>
      <c r="AU1237" s="30">
        <f>Inventory[[#This Row],[EffAge]]*Lookups!$B$65</f>
        <v>-5545.7961000000005</v>
      </c>
      <c r="AV1237" s="30">
        <f>Inventory[[#This Row],[MainFn]]*Lookups!$B$90</f>
        <v>129563.94888000001</v>
      </c>
      <c r="AW1237" s="30">
        <f>Inventory[[#This Row],[UpprFn]]*Lookups!$B$91</f>
        <v>0</v>
      </c>
      <c r="AX1237" s="30">
        <f>Inventory[[#This Row],[Bsmt Area]]*Lookups!$B$95</f>
        <v>60083.036159999996</v>
      </c>
      <c r="AY1237" s="30">
        <f>Inventory[[#This Row],[AttGar]]*Lookups!$B$93</f>
        <v>10590.309300000001</v>
      </c>
      <c r="AZ1237" s="30">
        <f>ROUND(Inventory[[#This Row],[25Det]],-2)</f>
        <v>0</v>
      </c>
      <c r="BA1237" s="30">
        <f>ROUND(SUM(Inventory[[#This Row],[Mdl Qlty]:[Mdl Garage Area]])+Inventory[[#This Row],[Mdl Res Intercept]],-2)</f>
        <v>394700</v>
      </c>
      <c r="BB1237" s="30">
        <f>ROUND(Inventory[[#This Row],[Mdl Land Intercept]]+Inventory[[#This Row],[Mdl LnAcres]],-2)</f>
        <v>67200</v>
      </c>
      <c r="BC1237" s="30">
        <f>Inventory[[#This Row],[Unadj Res Value]]+Inventory[[#This Row],[Unadj Det Value]]+Inventory[[#This Row],[Unadj Land Value]]</f>
        <v>461900</v>
      </c>
      <c r="BD1237" s="30">
        <f>(Inventory[[#This Row],[Unadj Total Value]]-Inventory[[#This Row],[24Final]])/Inventory[[#This Row],[24Final]]</f>
        <v>0.33035714285714285</v>
      </c>
      <c r="BE1237" s="30">
        <f>VLOOKUP(Inventory[[#This Row],[Nbhd]],Lookups!$M$3:$P$5,4,FALSE)</f>
        <v>0.99970000000000003</v>
      </c>
      <c r="BF1237" s="30">
        <f>VLOOKUP(Inventory[[#This Row],[Qlty]],Lookups!$M$8:$P$22,4,FALSE)</f>
        <v>0.99819999999999998</v>
      </c>
      <c r="BG1237" s="30">
        <f>VLOOKUP(Inventory[[#This Row],[Cnd]],Lookups!$R$8:$U$17,4,FALSE)</f>
        <v>0.997</v>
      </c>
      <c r="BH1237" s="30">
        <f>VLOOKUP(Inventory[[#This Row],[LivArea Range]],Lookups!$R$25:$U$43,4,FALSE)</f>
        <v>1.0008999999999999</v>
      </c>
      <c r="BI1237" s="30">
        <f>VLOOKUP(Inventory[[#This Row],[Decade]],Lookups!$M$24:$P$40,4,FALSE)</f>
        <v>1.0558000000000001</v>
      </c>
      <c r="BJ1237" s="30">
        <f>Inventory[[#This Row],[Nbhd Adj]]*0.95</f>
        <v>0.94971499999999998</v>
      </c>
      <c r="BK1237" s="30">
        <f>AVERAGE(Inventory[[#This Row],[Nbhd Adj]],Inventory[[#This Row],[Quality Adj]],Inventory[[#This Row],[Condition Adj]],Inventory[[#This Row],[Living Area Adj]],Inventory[[#This Row],[Decade Adj]])*0.95</f>
        <v>0.9598040000000001</v>
      </c>
      <c r="BL1237" s="30">
        <f>ROUND((SUM(Inventory[[#This Row],[Mdl Qlty]:[Mdl Garage Area]])+Inventory[[#This Row],[Mdl Res Intercept]])*Inventory[[#This Row],[Res Adj ]],-2)</f>
        <v>378800</v>
      </c>
      <c r="BM1237" s="30">
        <f>ROUND(Inventory[[#This Row],[25Det]]*Inventory[[#This Row],[Det/Nbhd Adj]],-2)</f>
        <v>0</v>
      </c>
      <c r="BN1237" s="30">
        <f>Inventory[[#This Row],[Adjusted Res]]+Inventory[[#This Row],[Adj Det ]]</f>
        <v>378800</v>
      </c>
      <c r="BO1237" s="30">
        <f>ROUND((Inventory[[#This Row],[Mdl Land Intercept]]+Inventory[[#This Row],[Mdl LnAcres]])*Inventory[[#This Row],[Det/Nbhd Adj]],-2)</f>
        <v>63900</v>
      </c>
      <c r="BP1237" s="30">
        <f>Inventory[[#This Row],[Adjusted Impr Total]]+Inventory[[#This Row],[Adjusted Land Total]]</f>
        <v>442700</v>
      </c>
      <c r="BQ1237" s="30">
        <f>IFERROR((Inventory[[#This Row],[Adjusted Impr Total]]-Inventory[[#This Row],[24Bldg]])/Inventory[[#This Row],[24Bldg]],0)</f>
        <v>0.33757062146892658</v>
      </c>
      <c r="BR1237" s="43">
        <f>(Inventory[[#This Row],[Adjusted Land Total]]-Inventory[[#This Row],[24Lnd]])/Inventory[[#This Row],[24Lnd]]</f>
        <v>-1.5625000000000001E-3</v>
      </c>
      <c r="BS1237" s="43">
        <f>(Inventory[[#This Row],[Adjusted Total]]-Inventory[[#This Row],[24Final]])/Inventory[[#This Row],[24Final]]</f>
        <v>0.27505760368663595</v>
      </c>
    </row>
    <row r="1238" spans="1:71">
      <c r="A1238" s="30">
        <v>2025</v>
      </c>
      <c r="B1238" s="31" t="s">
        <v>1755</v>
      </c>
      <c r="C1238" s="36">
        <f>LN(Inventory[[#This Row],[Acres]])</f>
        <v>-0.89159811928378363</v>
      </c>
      <c r="D1238" s="38">
        <v>0.41</v>
      </c>
      <c r="E1238" s="30">
        <v>17771</v>
      </c>
      <c r="F1238" s="31" t="s">
        <v>505</v>
      </c>
      <c r="G1238" s="31" t="s">
        <v>155</v>
      </c>
      <c r="H1238" s="31" t="s">
        <v>5</v>
      </c>
      <c r="I1238" s="31" t="s">
        <v>506</v>
      </c>
      <c r="J1238" s="31" t="s">
        <v>507</v>
      </c>
      <c r="K1238" s="31" t="s">
        <v>473</v>
      </c>
      <c r="L1238" s="31" t="s">
        <v>13</v>
      </c>
      <c r="M1238" s="31" t="s">
        <v>18</v>
      </c>
      <c r="N1238" s="31">
        <v>70</v>
      </c>
      <c r="O1238" s="31">
        <f>2024-Inventory[[#This Row],[YrBlt]]</f>
        <v>74</v>
      </c>
      <c r="P1238" s="31">
        <f>2024-Inventory[[#This Row],[EffYr]]</f>
        <v>51</v>
      </c>
      <c r="Q1238" s="30">
        <v>1950</v>
      </c>
      <c r="R1238" s="30">
        <v>1973</v>
      </c>
      <c r="S1238" s="30">
        <v>1496</v>
      </c>
      <c r="T1238" s="32"/>
      <c r="U1238" s="32"/>
      <c r="V1238" s="32"/>
      <c r="W1238" s="32"/>
      <c r="X1238" s="32">
        <f>Inventory[[#This Row],[Bsmt Area]]-Inventory[[#This Row],[FnBsmt]]</f>
        <v>0</v>
      </c>
      <c r="Y1238" s="32">
        <f>Inventory[[#This Row],[MainFn]]+Inventory[[#This Row],[UpprFn]]+Inventory[[#This Row],[AddFn]]+Inventory[[#This Row],[FnBsmt]]</f>
        <v>1496</v>
      </c>
      <c r="Z1238" s="32">
        <v>1500</v>
      </c>
      <c r="AA1238" s="31" t="s">
        <v>56</v>
      </c>
      <c r="AB1238" s="32"/>
      <c r="AC1238" s="37"/>
      <c r="AD1238" s="32"/>
      <c r="AE1238" s="32"/>
      <c r="AF1238" s="32"/>
      <c r="AG1238" s="32"/>
      <c r="AH1238" s="32"/>
      <c r="AI1238" s="30">
        <v>200131</v>
      </c>
      <c r="AJ1238" s="30">
        <v>138090</v>
      </c>
      <c r="AK1238" s="30">
        <v>27756</v>
      </c>
      <c r="AL1238" s="30">
        <v>0</v>
      </c>
      <c r="AM1238" s="30">
        <v>74000</v>
      </c>
      <c r="AN1238" s="30">
        <v>213500</v>
      </c>
      <c r="AO1238" s="30">
        <v>287500</v>
      </c>
      <c r="AP1238" s="30">
        <f>Lookups!$B$58*0.6</f>
        <v>132535.48800000001</v>
      </c>
      <c r="AQ1238" s="30">
        <f>Lookups!$B$58*0.4</f>
        <v>88356.992000000013</v>
      </c>
      <c r="AR1238" s="30">
        <f>Lookups!$B$59*Inventory[[#This Row],[LnAcres]]</f>
        <v>-11701.619920476667</v>
      </c>
      <c r="AS1238" s="30">
        <f>VLOOKUP(Inventory[[#This Row],[Qlty]],Lookups!$A$66:$E$79,2,FALSE)</f>
        <v>0</v>
      </c>
      <c r="AT1238" s="30">
        <f>VLOOKUP(Inventory[[#This Row],[Cnd]],Lookups!$A$80:$E$88,2,FALSE)</f>
        <v>17761.121909000001</v>
      </c>
      <c r="AU1238" s="30">
        <f>Inventory[[#This Row],[EffAge]]*Lookups!$B$65</f>
        <v>-5545.7961000000005</v>
      </c>
      <c r="AV1238" s="30">
        <f>Inventory[[#This Row],[MainFn]]*Lookups!$B$90</f>
        <v>93365.928480000002</v>
      </c>
      <c r="AW1238" s="30">
        <f>Inventory[[#This Row],[UpprFn]]*Lookups!$B$91</f>
        <v>0</v>
      </c>
      <c r="AX1238" s="30">
        <f>Inventory[[#This Row],[Bsmt Area]]*Lookups!$B$95</f>
        <v>0</v>
      </c>
      <c r="AY1238" s="30">
        <f>Inventory[[#This Row],[AttGar]]*Lookups!$B$93</f>
        <v>0</v>
      </c>
      <c r="AZ1238" s="30">
        <f>ROUND(Inventory[[#This Row],[25Det]],-2)</f>
        <v>27800</v>
      </c>
      <c r="BA1238" s="30">
        <f>ROUND(SUM(Inventory[[#This Row],[Mdl Qlty]:[Mdl Garage Area]])+Inventory[[#This Row],[Mdl Res Intercept]],-2)</f>
        <v>238100</v>
      </c>
      <c r="BB1238" s="30">
        <f>ROUND(Inventory[[#This Row],[Mdl Land Intercept]]+Inventory[[#This Row],[Mdl LnAcres]],-2)</f>
        <v>76700</v>
      </c>
      <c r="BC1238" s="30">
        <f>Inventory[[#This Row],[Unadj Res Value]]+Inventory[[#This Row],[Unadj Det Value]]+Inventory[[#This Row],[Unadj Land Value]]</f>
        <v>342600</v>
      </c>
      <c r="BD1238" s="30">
        <f>(Inventory[[#This Row],[Unadj Total Value]]-Inventory[[#This Row],[24Final]])/Inventory[[#This Row],[24Final]]</f>
        <v>0.19165217391304348</v>
      </c>
      <c r="BE1238" s="30">
        <f>VLOOKUP(Inventory[[#This Row],[Nbhd]],Lookups!$M$3:$P$5,4,FALSE)</f>
        <v>0.99970000000000003</v>
      </c>
      <c r="BF1238" s="30">
        <f>VLOOKUP(Inventory[[#This Row],[Qlty]],Lookups!$M$8:$P$22,4,FALSE)</f>
        <v>1.0003</v>
      </c>
      <c r="BG1238" s="30">
        <f>VLOOKUP(Inventory[[#This Row],[Cnd]],Lookups!$R$8:$U$17,4,FALSE)</f>
        <v>0.99680000000000002</v>
      </c>
      <c r="BH1238" s="30">
        <f>VLOOKUP(Inventory[[#This Row],[LivArea Range]],Lookups!$R$25:$U$43,4,FALSE)</f>
        <v>0.99519999999999997</v>
      </c>
      <c r="BI1238" s="30">
        <f>VLOOKUP(Inventory[[#This Row],[Decade]],Lookups!$M$24:$P$40,4,FALSE)</f>
        <v>1.0558000000000001</v>
      </c>
      <c r="BJ1238" s="30">
        <f>Inventory[[#This Row],[Nbhd Adj]]*0.95</f>
        <v>0.94971499999999998</v>
      </c>
      <c r="BK1238" s="30">
        <f>AVERAGE(Inventory[[#This Row],[Nbhd Adj]],Inventory[[#This Row],[Quality Adj]],Inventory[[#This Row],[Condition Adj]],Inventory[[#This Row],[Living Area Adj]],Inventory[[#This Row],[Decade Adj]])*0.95</f>
        <v>0.95908199999999999</v>
      </c>
      <c r="BL1238" s="30">
        <f>ROUND((SUM(Inventory[[#This Row],[Mdl Qlty]:[Mdl Garage Area]])+Inventory[[#This Row],[Mdl Res Intercept]])*Inventory[[#This Row],[Res Adj ]],-2)</f>
        <v>228400</v>
      </c>
      <c r="BM1238" s="30">
        <f>ROUND(Inventory[[#This Row],[25Det]]*Inventory[[#This Row],[Det/Nbhd Adj]],-2)</f>
        <v>26400</v>
      </c>
      <c r="BN1238" s="30">
        <f>Inventory[[#This Row],[Adjusted Res]]+Inventory[[#This Row],[Adj Det ]]</f>
        <v>254800</v>
      </c>
      <c r="BO1238" s="30">
        <f>ROUND((Inventory[[#This Row],[Mdl Land Intercept]]+Inventory[[#This Row],[Mdl LnAcres]])*Inventory[[#This Row],[Det/Nbhd Adj]],-2)</f>
        <v>72800</v>
      </c>
      <c r="BP1238" s="30">
        <f>Inventory[[#This Row],[Adjusted Impr Total]]+Inventory[[#This Row],[Adjusted Land Total]]</f>
        <v>327600</v>
      </c>
      <c r="BQ1238" s="30">
        <f>IFERROR((Inventory[[#This Row],[Adjusted Impr Total]]-Inventory[[#This Row],[24Bldg]])/Inventory[[#This Row],[24Bldg]],0)</f>
        <v>0.19344262295081968</v>
      </c>
      <c r="BR1238" s="43">
        <f>(Inventory[[#This Row],[Adjusted Land Total]]-Inventory[[#This Row],[24Lnd]])/Inventory[[#This Row],[24Lnd]]</f>
        <v>-1.6216216216216217E-2</v>
      </c>
      <c r="BS1238" s="43">
        <f>(Inventory[[#This Row],[Adjusted Total]]-Inventory[[#This Row],[24Final]])/Inventory[[#This Row],[24Final]]</f>
        <v>0.13947826086956522</v>
      </c>
    </row>
    <row r="1239" spans="1:71">
      <c r="A1239" s="30">
        <v>2025</v>
      </c>
      <c r="B1239" s="31" t="s">
        <v>1756</v>
      </c>
      <c r="C1239" s="36">
        <f>LN(Inventory[[#This Row],[Acres]])</f>
        <v>-0.86750056770472306</v>
      </c>
      <c r="D1239" s="38">
        <v>0.42</v>
      </c>
      <c r="E1239" s="30">
        <v>18097</v>
      </c>
      <c r="F1239" s="31" t="s">
        <v>505</v>
      </c>
      <c r="G1239" s="31" t="s">
        <v>155</v>
      </c>
      <c r="H1239" s="31" t="s">
        <v>5</v>
      </c>
      <c r="I1239" s="31" t="s">
        <v>506</v>
      </c>
      <c r="J1239" s="31" t="s">
        <v>507</v>
      </c>
      <c r="K1239" s="31" t="s">
        <v>157</v>
      </c>
      <c r="L1239" s="31" t="s">
        <v>17</v>
      </c>
      <c r="M1239" s="31" t="s">
        <v>18</v>
      </c>
      <c r="N1239" s="31">
        <v>70</v>
      </c>
      <c r="O1239" s="31">
        <f>2024-Inventory[[#This Row],[YrBlt]]</f>
        <v>74</v>
      </c>
      <c r="P1239" s="31">
        <f>2024-Inventory[[#This Row],[EffYr]]</f>
        <v>51</v>
      </c>
      <c r="Q1239" s="30">
        <v>1950</v>
      </c>
      <c r="R1239" s="30">
        <v>1973</v>
      </c>
      <c r="S1239" s="30">
        <v>812</v>
      </c>
      <c r="T1239" s="30">
        <v>336</v>
      </c>
      <c r="U1239" s="38">
        <v>609</v>
      </c>
      <c r="V1239" s="32"/>
      <c r="W1239" s="32"/>
      <c r="X1239" s="32">
        <f>Inventory[[#This Row],[Bsmt Area]]-Inventory[[#This Row],[FnBsmt]]</f>
        <v>609</v>
      </c>
      <c r="Y1239" s="32">
        <f>Inventory[[#This Row],[MainFn]]+Inventory[[#This Row],[UpprFn]]+Inventory[[#This Row],[AddFn]]+Inventory[[#This Row],[FnBsmt]]</f>
        <v>1148</v>
      </c>
      <c r="Z1239" s="32">
        <v>1500</v>
      </c>
      <c r="AA1239" s="31" t="s">
        <v>56</v>
      </c>
      <c r="AB1239" s="32"/>
      <c r="AC1239" s="32"/>
      <c r="AD1239" s="37"/>
      <c r="AE1239" s="32"/>
      <c r="AF1239" s="32"/>
      <c r="AG1239" s="32"/>
      <c r="AH1239" s="32"/>
      <c r="AI1239" s="30">
        <v>202467</v>
      </c>
      <c r="AJ1239" s="30">
        <v>139702</v>
      </c>
      <c r="AK1239" s="30">
        <v>32393</v>
      </c>
      <c r="AL1239" s="30">
        <v>0</v>
      </c>
      <c r="AM1239" s="30">
        <v>74400</v>
      </c>
      <c r="AN1239" s="30">
        <v>225900</v>
      </c>
      <c r="AO1239" s="30">
        <v>300300</v>
      </c>
      <c r="AP1239" s="30">
        <f>Lookups!$B$58*0.6</f>
        <v>132535.48800000001</v>
      </c>
      <c r="AQ1239" s="30">
        <f>Lookups!$B$58*0.4</f>
        <v>88356.992000000013</v>
      </c>
      <c r="AR1239" s="30">
        <f>Lookups!$B$59*Inventory[[#This Row],[LnAcres]]</f>
        <v>-11385.355918239018</v>
      </c>
      <c r="AS1239" s="30">
        <f>VLOOKUP(Inventory[[#This Row],[Qlty]],Lookups!$A$66:$E$79,2,FALSE)</f>
        <v>24371.765965999999</v>
      </c>
      <c r="AT1239" s="30">
        <f>VLOOKUP(Inventory[[#This Row],[Cnd]],Lookups!$A$80:$E$88,2,FALSE)</f>
        <v>17761.121909000001</v>
      </c>
      <c r="AU1239" s="30">
        <f>Inventory[[#This Row],[EffAge]]*Lookups!$B$65</f>
        <v>-5545.7961000000005</v>
      </c>
      <c r="AV1239" s="30">
        <f>Inventory[[#This Row],[MainFn]]*Lookups!$B$90</f>
        <v>50677.228560000003</v>
      </c>
      <c r="AW1239" s="30">
        <f>Inventory[[#This Row],[UpprFn]]*Lookups!$B$91</f>
        <v>20019.008687999998</v>
      </c>
      <c r="AX1239" s="30">
        <f>Inventory[[#This Row],[Bsmt Area]]*Lookups!$B$95</f>
        <v>38115.176063999999</v>
      </c>
      <c r="AY1239" s="30">
        <f>Inventory[[#This Row],[AttGar]]*Lookups!$B$93</f>
        <v>0</v>
      </c>
      <c r="AZ1239" s="30">
        <f>ROUND(Inventory[[#This Row],[25Det]],-2)</f>
        <v>32400</v>
      </c>
      <c r="BA1239" s="30">
        <f>ROUND(SUM(Inventory[[#This Row],[Mdl Qlty]:[Mdl Garage Area]])+Inventory[[#This Row],[Mdl Res Intercept]],-2)</f>
        <v>277900</v>
      </c>
      <c r="BB1239" s="30">
        <f>ROUND(Inventory[[#This Row],[Mdl Land Intercept]]+Inventory[[#This Row],[Mdl LnAcres]],-2)</f>
        <v>77000</v>
      </c>
      <c r="BC1239" s="30">
        <f>Inventory[[#This Row],[Unadj Res Value]]+Inventory[[#This Row],[Unadj Det Value]]+Inventory[[#This Row],[Unadj Land Value]]</f>
        <v>387300</v>
      </c>
      <c r="BD1239" s="30">
        <f>(Inventory[[#This Row],[Unadj Total Value]]-Inventory[[#This Row],[24Final]])/Inventory[[#This Row],[24Final]]</f>
        <v>0.28971028971028973</v>
      </c>
      <c r="BE1239" s="30">
        <f>VLOOKUP(Inventory[[#This Row],[Nbhd]],Lookups!$M$3:$P$5,4,FALSE)</f>
        <v>0.99970000000000003</v>
      </c>
      <c r="BF1239" s="30">
        <f>VLOOKUP(Inventory[[#This Row],[Qlty]],Lookups!$M$8:$P$22,4,FALSE)</f>
        <v>0.99199999999999999</v>
      </c>
      <c r="BG1239" s="30">
        <f>VLOOKUP(Inventory[[#This Row],[Cnd]],Lookups!$R$8:$U$17,4,FALSE)</f>
        <v>0.99680000000000002</v>
      </c>
      <c r="BH1239" s="30">
        <f>VLOOKUP(Inventory[[#This Row],[LivArea Range]],Lookups!$R$25:$U$43,4,FALSE)</f>
        <v>0.99519999999999997</v>
      </c>
      <c r="BI1239" s="30">
        <f>VLOOKUP(Inventory[[#This Row],[Decade]],Lookups!$M$24:$P$40,4,FALSE)</f>
        <v>1.0558000000000001</v>
      </c>
      <c r="BJ1239" s="30">
        <f>Inventory[[#This Row],[Nbhd Adj]]*0.95</f>
        <v>0.94971499999999998</v>
      </c>
      <c r="BK1239" s="30">
        <f>AVERAGE(Inventory[[#This Row],[Nbhd Adj]],Inventory[[#This Row],[Quality Adj]],Inventory[[#This Row],[Condition Adj]],Inventory[[#This Row],[Living Area Adj]],Inventory[[#This Row],[Decade Adj]])*0.95</f>
        <v>0.95750499999999994</v>
      </c>
      <c r="BL1239" s="30">
        <f>ROUND((SUM(Inventory[[#This Row],[Mdl Qlty]:[Mdl Garage Area]])+Inventory[[#This Row],[Mdl Res Intercept]])*Inventory[[#This Row],[Res Adj ]],-2)</f>
        <v>266100</v>
      </c>
      <c r="BM1239" s="30">
        <f>ROUND(Inventory[[#This Row],[25Det]]*Inventory[[#This Row],[Det/Nbhd Adj]],-2)</f>
        <v>30800</v>
      </c>
      <c r="BN1239" s="30">
        <f>Inventory[[#This Row],[Adjusted Res]]+Inventory[[#This Row],[Adj Det ]]</f>
        <v>296900</v>
      </c>
      <c r="BO1239" s="30">
        <f>ROUND((Inventory[[#This Row],[Mdl Land Intercept]]+Inventory[[#This Row],[Mdl LnAcres]])*Inventory[[#This Row],[Det/Nbhd Adj]],-2)</f>
        <v>73100</v>
      </c>
      <c r="BP1239" s="30">
        <f>Inventory[[#This Row],[Adjusted Impr Total]]+Inventory[[#This Row],[Adjusted Land Total]]</f>
        <v>370000</v>
      </c>
      <c r="BQ1239" s="30">
        <f>IFERROR((Inventory[[#This Row],[Adjusted Impr Total]]-Inventory[[#This Row],[24Bldg]])/Inventory[[#This Row],[24Bldg]],0)</f>
        <v>0.31429836210712703</v>
      </c>
      <c r="BR1239" s="43">
        <f>(Inventory[[#This Row],[Adjusted Land Total]]-Inventory[[#This Row],[24Lnd]])/Inventory[[#This Row],[24Lnd]]</f>
        <v>-1.7473118279569891E-2</v>
      </c>
      <c r="BS1239" s="43">
        <f>(Inventory[[#This Row],[Adjusted Total]]-Inventory[[#This Row],[24Final]])/Inventory[[#This Row],[24Final]]</f>
        <v>0.2321012321012321</v>
      </c>
    </row>
    <row r="1240" spans="1:71">
      <c r="A1240" s="30">
        <v>2025</v>
      </c>
      <c r="B1240" s="31" t="s">
        <v>1757</v>
      </c>
      <c r="C1240" s="36">
        <f>LN(Inventory[[#This Row],[Acres]])</f>
        <v>-0.46203545959655867</v>
      </c>
      <c r="D1240" s="38">
        <v>0.63</v>
      </c>
      <c r="E1240" s="30">
        <v>27514</v>
      </c>
      <c r="F1240" s="31" t="s">
        <v>505</v>
      </c>
      <c r="G1240" s="31" t="s">
        <v>155</v>
      </c>
      <c r="H1240" s="31" t="s">
        <v>5</v>
      </c>
      <c r="I1240" s="31" t="s">
        <v>506</v>
      </c>
      <c r="J1240" s="31" t="s">
        <v>507</v>
      </c>
      <c r="K1240" s="31" t="s">
        <v>473</v>
      </c>
      <c r="L1240" s="31" t="s">
        <v>17</v>
      </c>
      <c r="M1240" s="31" t="s">
        <v>18</v>
      </c>
      <c r="N1240" s="31">
        <v>70</v>
      </c>
      <c r="O1240" s="31">
        <f>2024-Inventory[[#This Row],[YrBlt]]</f>
        <v>75</v>
      </c>
      <c r="P1240" s="31">
        <f>2024-Inventory[[#This Row],[EffYr]]</f>
        <v>51</v>
      </c>
      <c r="Q1240" s="30">
        <v>1949</v>
      </c>
      <c r="R1240" s="30">
        <v>1973</v>
      </c>
      <c r="S1240" s="30">
        <v>777</v>
      </c>
      <c r="T1240" s="32"/>
      <c r="U1240" s="32"/>
      <c r="V1240" s="32"/>
      <c r="W1240" s="32"/>
      <c r="X1240" s="32">
        <f>Inventory[[#This Row],[Bsmt Area]]-Inventory[[#This Row],[FnBsmt]]</f>
        <v>0</v>
      </c>
      <c r="Y1240" s="32">
        <f>Inventory[[#This Row],[MainFn]]+Inventory[[#This Row],[UpprFn]]+Inventory[[#This Row],[AddFn]]+Inventory[[#This Row],[FnBsmt]]</f>
        <v>777</v>
      </c>
      <c r="Z1240" s="32">
        <v>1000</v>
      </c>
      <c r="AA1240" s="31" t="s">
        <v>56</v>
      </c>
      <c r="AB1240" s="37"/>
      <c r="AC1240" s="37"/>
      <c r="AD1240" s="32"/>
      <c r="AE1240" s="32"/>
      <c r="AF1240" s="32"/>
      <c r="AG1240" s="32"/>
      <c r="AH1240" s="32"/>
      <c r="AI1240" s="30">
        <v>141675</v>
      </c>
      <c r="AJ1240" s="30">
        <v>97756</v>
      </c>
      <c r="AK1240" s="30">
        <v>4766</v>
      </c>
      <c r="AL1240" s="30">
        <v>0</v>
      </c>
      <c r="AM1240" s="30">
        <v>80000</v>
      </c>
      <c r="AN1240" s="30">
        <v>184000</v>
      </c>
      <c r="AO1240" s="30">
        <v>264000</v>
      </c>
      <c r="AP1240" s="30">
        <f>Lookups!$B$58*0.6</f>
        <v>132535.48800000001</v>
      </c>
      <c r="AQ1240" s="30">
        <f>Lookups!$B$58*0.4</f>
        <v>88356.992000000013</v>
      </c>
      <c r="AR1240" s="30">
        <f>Lookups!$B$59*Inventory[[#This Row],[LnAcres]]</f>
        <v>-6063.9016851277665</v>
      </c>
      <c r="AS1240" s="30">
        <f>VLOOKUP(Inventory[[#This Row],[Qlty]],Lookups!$A$66:$E$79,2,FALSE)</f>
        <v>24371.765965999999</v>
      </c>
      <c r="AT1240" s="30">
        <f>VLOOKUP(Inventory[[#This Row],[Cnd]],Lookups!$A$80:$E$88,2,FALSE)</f>
        <v>17761.121909000001</v>
      </c>
      <c r="AU1240" s="30">
        <f>Inventory[[#This Row],[EffAge]]*Lookups!$B$65</f>
        <v>-5545.7961000000005</v>
      </c>
      <c r="AV1240" s="30">
        <f>Inventory[[#This Row],[MainFn]]*Lookups!$B$90</f>
        <v>48492.865260000006</v>
      </c>
      <c r="AW1240" s="30">
        <f>Inventory[[#This Row],[UpprFn]]*Lookups!$B$91</f>
        <v>0</v>
      </c>
      <c r="AX1240" s="30">
        <f>Inventory[[#This Row],[Bsmt Area]]*Lookups!$B$95</f>
        <v>0</v>
      </c>
      <c r="AY1240" s="30">
        <f>Inventory[[#This Row],[AttGar]]*Lookups!$B$93</f>
        <v>0</v>
      </c>
      <c r="AZ1240" s="30">
        <f>ROUND(Inventory[[#This Row],[25Det]],-2)</f>
        <v>4800</v>
      </c>
      <c r="BA1240" s="30">
        <f>ROUND(SUM(Inventory[[#This Row],[Mdl Qlty]:[Mdl Garage Area]])+Inventory[[#This Row],[Mdl Res Intercept]],-2)</f>
        <v>217600</v>
      </c>
      <c r="BB1240" s="30">
        <f>ROUND(Inventory[[#This Row],[Mdl Land Intercept]]+Inventory[[#This Row],[Mdl LnAcres]],-2)</f>
        <v>82300</v>
      </c>
      <c r="BC1240" s="30">
        <f>Inventory[[#This Row],[Unadj Res Value]]+Inventory[[#This Row],[Unadj Det Value]]+Inventory[[#This Row],[Unadj Land Value]]</f>
        <v>304700</v>
      </c>
      <c r="BD1240" s="30">
        <f>(Inventory[[#This Row],[Unadj Total Value]]-Inventory[[#This Row],[24Final]])/Inventory[[#This Row],[24Final]]</f>
        <v>0.15416666666666667</v>
      </c>
      <c r="BE1240" s="30">
        <f>VLOOKUP(Inventory[[#This Row],[Nbhd]],Lookups!$M$3:$P$5,4,FALSE)</f>
        <v>0.99970000000000003</v>
      </c>
      <c r="BF1240" s="30">
        <f>VLOOKUP(Inventory[[#This Row],[Qlty]],Lookups!$M$8:$P$22,4,FALSE)</f>
        <v>0.99199999999999999</v>
      </c>
      <c r="BG1240" s="30">
        <f>VLOOKUP(Inventory[[#This Row],[Cnd]],Lookups!$R$8:$U$17,4,FALSE)</f>
        <v>0.99680000000000002</v>
      </c>
      <c r="BH1240" s="30">
        <f>VLOOKUP(Inventory[[#This Row],[LivArea Range]],Lookups!$R$25:$U$43,4,FALSE)</f>
        <v>1</v>
      </c>
      <c r="BI1240" s="30">
        <f>VLOOKUP(Inventory[[#This Row],[Decade]],Lookups!$M$24:$P$40,4,FALSE)</f>
        <v>1.0558000000000001</v>
      </c>
      <c r="BJ1240" s="30">
        <f>Inventory[[#This Row],[Nbhd Adj]]*0.95</f>
        <v>0.94971499999999998</v>
      </c>
      <c r="BK1240" s="30">
        <f>AVERAGE(Inventory[[#This Row],[Nbhd Adj]],Inventory[[#This Row],[Quality Adj]],Inventory[[#This Row],[Condition Adj]],Inventory[[#This Row],[Living Area Adj]],Inventory[[#This Row],[Decade Adj]])*0.95</f>
        <v>0.95841699999999985</v>
      </c>
      <c r="BL1240" s="30">
        <f>ROUND((SUM(Inventory[[#This Row],[Mdl Qlty]:[Mdl Garage Area]])+Inventory[[#This Row],[Mdl Res Intercept]])*Inventory[[#This Row],[Res Adj ]],-2)</f>
        <v>208600</v>
      </c>
      <c r="BM1240" s="30">
        <f>ROUND(Inventory[[#This Row],[25Det]]*Inventory[[#This Row],[Det/Nbhd Adj]],-2)</f>
        <v>4500</v>
      </c>
      <c r="BN1240" s="30">
        <f>Inventory[[#This Row],[Adjusted Res]]+Inventory[[#This Row],[Adj Det ]]</f>
        <v>213100</v>
      </c>
      <c r="BO1240" s="30">
        <f>ROUND((Inventory[[#This Row],[Mdl Land Intercept]]+Inventory[[#This Row],[Mdl LnAcres]])*Inventory[[#This Row],[Det/Nbhd Adj]],-2)</f>
        <v>78200</v>
      </c>
      <c r="BP1240" s="30">
        <f>Inventory[[#This Row],[Adjusted Impr Total]]+Inventory[[#This Row],[Adjusted Land Total]]</f>
        <v>291300</v>
      </c>
      <c r="BQ1240" s="30">
        <f>IFERROR((Inventory[[#This Row],[Adjusted Impr Total]]-Inventory[[#This Row],[24Bldg]])/Inventory[[#This Row],[24Bldg]],0)</f>
        <v>0.15815217391304348</v>
      </c>
      <c r="BR1240" s="43">
        <f>(Inventory[[#This Row],[Adjusted Land Total]]-Inventory[[#This Row],[24Lnd]])/Inventory[[#This Row],[24Lnd]]</f>
        <v>-2.2499999999999999E-2</v>
      </c>
      <c r="BS1240" s="43">
        <f>(Inventory[[#This Row],[Adjusted Total]]-Inventory[[#This Row],[24Final]])/Inventory[[#This Row],[24Final]]</f>
        <v>0.10340909090909091</v>
      </c>
    </row>
    <row r="1241" spans="1:71">
      <c r="A1241" s="30">
        <v>2025</v>
      </c>
      <c r="B1241" s="31" t="s">
        <v>1758</v>
      </c>
      <c r="C1241" s="36">
        <f>LN(Inventory[[#This Row],[Acres]])</f>
        <v>-1.5606477482646683</v>
      </c>
      <c r="D1241" s="38">
        <v>0.21</v>
      </c>
      <c r="E1241" s="30">
        <v>9215</v>
      </c>
      <c r="F1241" s="31" t="s">
        <v>505</v>
      </c>
      <c r="G1241" s="31" t="s">
        <v>155</v>
      </c>
      <c r="H1241" s="31" t="s">
        <v>5</v>
      </c>
      <c r="I1241" s="31" t="s">
        <v>506</v>
      </c>
      <c r="J1241" s="31" t="s">
        <v>507</v>
      </c>
      <c r="K1241" s="31" t="s">
        <v>473</v>
      </c>
      <c r="L1241" s="31" t="s">
        <v>13</v>
      </c>
      <c r="M1241" s="31" t="s">
        <v>20</v>
      </c>
      <c r="N1241" s="31">
        <v>70</v>
      </c>
      <c r="O1241" s="31">
        <f>2024-Inventory[[#This Row],[YrBlt]]</f>
        <v>76</v>
      </c>
      <c r="P1241" s="31">
        <f>2024-Inventory[[#This Row],[EffYr]]</f>
        <v>51</v>
      </c>
      <c r="Q1241" s="30">
        <v>1948</v>
      </c>
      <c r="R1241" s="30">
        <v>1973</v>
      </c>
      <c r="S1241" s="30">
        <v>1248</v>
      </c>
      <c r="T1241" s="32"/>
      <c r="U1241" s="32"/>
      <c r="V1241" s="32"/>
      <c r="W1241" s="32"/>
      <c r="X1241" s="32">
        <f>Inventory[[#This Row],[Bsmt Area]]-Inventory[[#This Row],[FnBsmt]]</f>
        <v>0</v>
      </c>
      <c r="Y1241" s="32">
        <f>Inventory[[#This Row],[MainFn]]+Inventory[[#This Row],[UpprFn]]+Inventory[[#This Row],[AddFn]]+Inventory[[#This Row],[FnBsmt]]</f>
        <v>1248</v>
      </c>
      <c r="Z1241" s="32">
        <v>1500</v>
      </c>
      <c r="AA1241" s="31" t="s">
        <v>56</v>
      </c>
      <c r="AB1241" s="37"/>
      <c r="AC1241" s="37"/>
      <c r="AD1241" s="32"/>
      <c r="AE1241" s="32"/>
      <c r="AF1241" s="32"/>
      <c r="AG1241" s="32"/>
      <c r="AH1241" s="32"/>
      <c r="AI1241" s="30">
        <v>171371</v>
      </c>
      <c r="AJ1241" s="30">
        <v>121673</v>
      </c>
      <c r="AK1241" s="30">
        <v>7015</v>
      </c>
      <c r="AL1241" s="30">
        <v>0</v>
      </c>
      <c r="AM1241" s="30">
        <v>64600</v>
      </c>
      <c r="AN1241" s="30">
        <v>198600</v>
      </c>
      <c r="AO1241" s="30">
        <v>263200</v>
      </c>
      <c r="AP1241" s="30">
        <f>Lookups!$B$58*0.6</f>
        <v>132535.48800000001</v>
      </c>
      <c r="AQ1241" s="30">
        <f>Lookups!$B$58*0.4</f>
        <v>88356.992000000013</v>
      </c>
      <c r="AR1241" s="30">
        <f>Lookups!$B$59*Inventory[[#This Row],[LnAcres]]</f>
        <v>-20482.442016152701</v>
      </c>
      <c r="AS1241" s="30">
        <f>VLOOKUP(Inventory[[#This Row],[Qlty]],Lookups!$A$66:$E$79,2,FALSE)</f>
        <v>0</v>
      </c>
      <c r="AT1241" s="30">
        <f>VLOOKUP(Inventory[[#This Row],[Cnd]],Lookups!$A$80:$E$88,2,FALSE)</f>
        <v>30300.329274</v>
      </c>
      <c r="AU1241" s="30">
        <f>Inventory[[#This Row],[EffAge]]*Lookups!$B$65</f>
        <v>-5545.7961000000005</v>
      </c>
      <c r="AV1241" s="30">
        <f>Inventory[[#This Row],[MainFn]]*Lookups!$B$90</f>
        <v>77888.154240000003</v>
      </c>
      <c r="AW1241" s="30">
        <f>Inventory[[#This Row],[UpprFn]]*Lookups!$B$91</f>
        <v>0</v>
      </c>
      <c r="AX1241" s="30">
        <f>Inventory[[#This Row],[Bsmt Area]]*Lookups!$B$95</f>
        <v>0</v>
      </c>
      <c r="AY1241" s="30">
        <f>Inventory[[#This Row],[AttGar]]*Lookups!$B$93</f>
        <v>0</v>
      </c>
      <c r="AZ1241" s="30">
        <f>ROUND(Inventory[[#This Row],[25Det]],-2)</f>
        <v>7000</v>
      </c>
      <c r="BA1241" s="30">
        <f>ROUND(SUM(Inventory[[#This Row],[Mdl Qlty]:[Mdl Garage Area]])+Inventory[[#This Row],[Mdl Res Intercept]],-2)</f>
        <v>235200</v>
      </c>
      <c r="BB1241" s="30">
        <f>ROUND(Inventory[[#This Row],[Mdl Land Intercept]]+Inventory[[#This Row],[Mdl LnAcres]],-2)</f>
        <v>67900</v>
      </c>
      <c r="BC1241" s="30">
        <f>Inventory[[#This Row],[Unadj Res Value]]+Inventory[[#This Row],[Unadj Det Value]]+Inventory[[#This Row],[Unadj Land Value]]</f>
        <v>310100</v>
      </c>
      <c r="BD1241" s="30">
        <f>(Inventory[[#This Row],[Unadj Total Value]]-Inventory[[#This Row],[24Final]])/Inventory[[#This Row],[24Final]]</f>
        <v>0.17819148936170212</v>
      </c>
      <c r="BE1241" s="30">
        <f>VLOOKUP(Inventory[[#This Row],[Nbhd]],Lookups!$M$3:$P$5,4,FALSE)</f>
        <v>0.99970000000000003</v>
      </c>
      <c r="BF1241" s="30">
        <f>VLOOKUP(Inventory[[#This Row],[Qlty]],Lookups!$M$8:$P$22,4,FALSE)</f>
        <v>1.0003</v>
      </c>
      <c r="BG1241" s="30">
        <f>VLOOKUP(Inventory[[#This Row],[Cnd]],Lookups!$R$8:$U$17,4,FALSE)</f>
        <v>0.997</v>
      </c>
      <c r="BH1241" s="30">
        <f>VLOOKUP(Inventory[[#This Row],[LivArea Range]],Lookups!$R$25:$U$43,4,FALSE)</f>
        <v>0.99519999999999997</v>
      </c>
      <c r="BI1241" s="30">
        <f>VLOOKUP(Inventory[[#This Row],[Decade]],Lookups!$M$24:$P$40,4,FALSE)</f>
        <v>1.0558000000000001</v>
      </c>
      <c r="BJ1241" s="30">
        <f>Inventory[[#This Row],[Nbhd Adj]]*0.95</f>
        <v>0.94971499999999998</v>
      </c>
      <c r="BK1241" s="30">
        <f>AVERAGE(Inventory[[#This Row],[Nbhd Adj]],Inventory[[#This Row],[Quality Adj]],Inventory[[#This Row],[Condition Adj]],Inventory[[#This Row],[Living Area Adj]],Inventory[[#This Row],[Decade Adj]])*0.95</f>
        <v>0.95911999999999997</v>
      </c>
      <c r="BL1241" s="30">
        <f>ROUND((SUM(Inventory[[#This Row],[Mdl Qlty]:[Mdl Garage Area]])+Inventory[[#This Row],[Mdl Res Intercept]])*Inventory[[#This Row],[Res Adj ]],-2)</f>
        <v>225600</v>
      </c>
      <c r="BM1241" s="30">
        <f>ROUND(Inventory[[#This Row],[25Det]]*Inventory[[#This Row],[Det/Nbhd Adj]],-2)</f>
        <v>6700</v>
      </c>
      <c r="BN1241" s="30">
        <f>Inventory[[#This Row],[Adjusted Res]]+Inventory[[#This Row],[Adj Det ]]</f>
        <v>232300</v>
      </c>
      <c r="BO1241" s="30">
        <f>ROUND((Inventory[[#This Row],[Mdl Land Intercept]]+Inventory[[#This Row],[Mdl LnAcres]])*Inventory[[#This Row],[Det/Nbhd Adj]],-2)</f>
        <v>64500</v>
      </c>
      <c r="BP1241" s="30">
        <f>Inventory[[#This Row],[Adjusted Impr Total]]+Inventory[[#This Row],[Adjusted Land Total]]</f>
        <v>296800</v>
      </c>
      <c r="BQ1241" s="30">
        <f>IFERROR((Inventory[[#This Row],[Adjusted Impr Total]]-Inventory[[#This Row],[24Bldg]])/Inventory[[#This Row],[24Bldg]],0)</f>
        <v>0.16968781470292044</v>
      </c>
      <c r="BR1241" s="43">
        <f>(Inventory[[#This Row],[Adjusted Land Total]]-Inventory[[#This Row],[24Lnd]])/Inventory[[#This Row],[24Lnd]]</f>
        <v>-1.5479876160990713E-3</v>
      </c>
      <c r="BS1241" s="43">
        <f>(Inventory[[#This Row],[Adjusted Total]]-Inventory[[#This Row],[24Final]])/Inventory[[#This Row],[24Final]]</f>
        <v>0.1276595744680851</v>
      </c>
    </row>
    <row r="1242" spans="1:71">
      <c r="A1242" s="30">
        <v>2025</v>
      </c>
      <c r="B1242" s="31" t="s">
        <v>1759</v>
      </c>
      <c r="C1242" s="36">
        <f>LN(Inventory[[#This Row],[Acres]])</f>
        <v>-2.2072749131897207</v>
      </c>
      <c r="D1242" s="38">
        <v>0.11</v>
      </c>
      <c r="E1242" s="30">
        <v>4979</v>
      </c>
      <c r="F1242" s="31" t="s">
        <v>505</v>
      </c>
      <c r="G1242" s="31" t="s">
        <v>155</v>
      </c>
      <c r="H1242" s="31" t="s">
        <v>5</v>
      </c>
      <c r="I1242" s="31" t="s">
        <v>506</v>
      </c>
      <c r="J1242" s="31" t="s">
        <v>507</v>
      </c>
      <c r="K1242" s="31" t="s">
        <v>473</v>
      </c>
      <c r="L1242" s="31" t="s">
        <v>13</v>
      </c>
      <c r="M1242" s="31" t="s">
        <v>18</v>
      </c>
      <c r="N1242" s="31">
        <v>70</v>
      </c>
      <c r="O1242" s="31">
        <f>2024-Inventory[[#This Row],[YrBlt]]</f>
        <v>78</v>
      </c>
      <c r="P1242" s="31">
        <f>2024-Inventory[[#This Row],[EffYr]]</f>
        <v>52</v>
      </c>
      <c r="Q1242" s="30">
        <v>1946</v>
      </c>
      <c r="R1242" s="30">
        <v>1972</v>
      </c>
      <c r="S1242" s="30">
        <v>1440</v>
      </c>
      <c r="T1242" s="37"/>
      <c r="U1242" s="32"/>
      <c r="V1242" s="32"/>
      <c r="W1242" s="32"/>
      <c r="X1242" s="32">
        <f>Inventory[[#This Row],[Bsmt Area]]-Inventory[[#This Row],[FnBsmt]]</f>
        <v>0</v>
      </c>
      <c r="Y1242" s="32">
        <f>Inventory[[#This Row],[MainFn]]+Inventory[[#This Row],[UpprFn]]+Inventory[[#This Row],[AddFn]]+Inventory[[#This Row],[FnBsmt]]</f>
        <v>1440</v>
      </c>
      <c r="Z1242" s="32">
        <v>1500</v>
      </c>
      <c r="AA1242" s="31" t="s">
        <v>56</v>
      </c>
      <c r="AB1242" s="32"/>
      <c r="AC1242" s="37"/>
      <c r="AD1242" s="32"/>
      <c r="AE1242" s="32"/>
      <c r="AF1242" s="32"/>
      <c r="AG1242" s="32"/>
      <c r="AH1242" s="32"/>
      <c r="AI1242" s="30">
        <v>211912</v>
      </c>
      <c r="AJ1242" s="30">
        <v>144100</v>
      </c>
      <c r="AK1242" s="30">
        <v>0</v>
      </c>
      <c r="AL1242" s="30">
        <v>0</v>
      </c>
      <c r="AM1242" s="30">
        <v>55600</v>
      </c>
      <c r="AN1242" s="30">
        <v>200400</v>
      </c>
      <c r="AO1242" s="30">
        <v>256000</v>
      </c>
      <c r="AP1242" s="30">
        <f>Lookups!$B$58*0.6</f>
        <v>132535.48800000001</v>
      </c>
      <c r="AQ1242" s="30">
        <f>Lookups!$B$58*0.4</f>
        <v>88356.992000000013</v>
      </c>
      <c r="AR1242" s="30">
        <f>Lookups!$B$59*Inventory[[#This Row],[LnAcres]]</f>
        <v>-28968.984495949029</v>
      </c>
      <c r="AS1242" s="30">
        <f>VLOOKUP(Inventory[[#This Row],[Qlty]],Lookups!$A$66:$E$79,2,FALSE)</f>
        <v>0</v>
      </c>
      <c r="AT1242" s="30">
        <f>VLOOKUP(Inventory[[#This Row],[Cnd]],Lookups!$A$80:$E$88,2,FALSE)</f>
        <v>17761.121909000001</v>
      </c>
      <c r="AU1242" s="30">
        <f>Inventory[[#This Row],[EffAge]]*Lookups!$B$65</f>
        <v>-5654.5371999999998</v>
      </c>
      <c r="AV1242" s="30">
        <f>Inventory[[#This Row],[MainFn]]*Lookups!$B$90</f>
        <v>89870.94720000001</v>
      </c>
      <c r="AW1242" s="30">
        <f>Inventory[[#This Row],[UpprFn]]*Lookups!$B$91</f>
        <v>0</v>
      </c>
      <c r="AX1242" s="30">
        <f>Inventory[[#This Row],[Bsmt Area]]*Lookups!$B$95</f>
        <v>0</v>
      </c>
      <c r="AY1242" s="30">
        <f>Inventory[[#This Row],[AttGar]]*Lookups!$B$93</f>
        <v>0</v>
      </c>
      <c r="AZ1242" s="30">
        <f>ROUND(Inventory[[#This Row],[25Det]],-2)</f>
        <v>0</v>
      </c>
      <c r="BA1242" s="30">
        <f>ROUND(SUM(Inventory[[#This Row],[Mdl Qlty]:[Mdl Garage Area]])+Inventory[[#This Row],[Mdl Res Intercept]],-2)</f>
        <v>234500</v>
      </c>
      <c r="BB1242" s="30">
        <f>ROUND(Inventory[[#This Row],[Mdl Land Intercept]]+Inventory[[#This Row],[Mdl LnAcres]],-2)</f>
        <v>59400</v>
      </c>
      <c r="BC1242" s="30">
        <f>Inventory[[#This Row],[Unadj Res Value]]+Inventory[[#This Row],[Unadj Det Value]]+Inventory[[#This Row],[Unadj Land Value]]</f>
        <v>293900</v>
      </c>
      <c r="BD1242" s="30">
        <f>(Inventory[[#This Row],[Unadj Total Value]]-Inventory[[#This Row],[24Final]])/Inventory[[#This Row],[24Final]]</f>
        <v>0.14804687499999999</v>
      </c>
      <c r="BE1242" s="30">
        <f>VLOOKUP(Inventory[[#This Row],[Nbhd]],Lookups!$M$3:$P$5,4,FALSE)</f>
        <v>0.99970000000000003</v>
      </c>
      <c r="BF1242" s="30">
        <f>VLOOKUP(Inventory[[#This Row],[Qlty]],Lookups!$M$8:$P$22,4,FALSE)</f>
        <v>1.0003</v>
      </c>
      <c r="BG1242" s="30">
        <f>VLOOKUP(Inventory[[#This Row],[Cnd]],Lookups!$R$8:$U$17,4,FALSE)</f>
        <v>0.99680000000000002</v>
      </c>
      <c r="BH1242" s="30">
        <f>VLOOKUP(Inventory[[#This Row],[LivArea Range]],Lookups!$R$25:$U$43,4,FALSE)</f>
        <v>0.99519999999999997</v>
      </c>
      <c r="BI1242" s="30">
        <f>VLOOKUP(Inventory[[#This Row],[Decade]],Lookups!$M$24:$P$40,4,FALSE)</f>
        <v>1.0558000000000001</v>
      </c>
      <c r="BJ1242" s="30">
        <f>Inventory[[#This Row],[Nbhd Adj]]*0.95</f>
        <v>0.94971499999999998</v>
      </c>
      <c r="BK1242" s="30">
        <f>AVERAGE(Inventory[[#This Row],[Nbhd Adj]],Inventory[[#This Row],[Quality Adj]],Inventory[[#This Row],[Condition Adj]],Inventory[[#This Row],[Living Area Adj]],Inventory[[#This Row],[Decade Adj]])*0.95</f>
        <v>0.95908199999999999</v>
      </c>
      <c r="BL1242" s="30">
        <f>ROUND((SUM(Inventory[[#This Row],[Mdl Qlty]:[Mdl Garage Area]])+Inventory[[#This Row],[Mdl Res Intercept]])*Inventory[[#This Row],[Res Adj ]],-2)</f>
        <v>224900</v>
      </c>
      <c r="BM1242" s="30">
        <f>ROUND(Inventory[[#This Row],[25Det]]*Inventory[[#This Row],[Det/Nbhd Adj]],-2)</f>
        <v>0</v>
      </c>
      <c r="BN1242" s="30">
        <f>Inventory[[#This Row],[Adjusted Res]]+Inventory[[#This Row],[Adj Det ]]</f>
        <v>224900</v>
      </c>
      <c r="BO1242" s="30">
        <f>ROUND((Inventory[[#This Row],[Mdl Land Intercept]]+Inventory[[#This Row],[Mdl LnAcres]])*Inventory[[#This Row],[Det/Nbhd Adj]],-2)</f>
        <v>56400</v>
      </c>
      <c r="BP1242" s="30">
        <f>Inventory[[#This Row],[Adjusted Impr Total]]+Inventory[[#This Row],[Adjusted Land Total]]</f>
        <v>281300</v>
      </c>
      <c r="BQ1242" s="30">
        <f>IFERROR((Inventory[[#This Row],[Adjusted Impr Total]]-Inventory[[#This Row],[24Bldg]])/Inventory[[#This Row],[24Bldg]],0)</f>
        <v>0.12225548902195608</v>
      </c>
      <c r="BR1242" s="43">
        <f>(Inventory[[#This Row],[Adjusted Land Total]]-Inventory[[#This Row],[24Lnd]])/Inventory[[#This Row],[24Lnd]]</f>
        <v>1.4388489208633094E-2</v>
      </c>
      <c r="BS1242" s="43">
        <f>(Inventory[[#This Row],[Adjusted Total]]-Inventory[[#This Row],[24Final]])/Inventory[[#This Row],[24Final]]</f>
        <v>9.8828125000000003E-2</v>
      </c>
    </row>
    <row r="1243" spans="1:71">
      <c r="A1243" s="30">
        <v>2025</v>
      </c>
      <c r="B1243" s="31" t="s">
        <v>1760</v>
      </c>
      <c r="C1243" s="36">
        <f>LN(Inventory[[#This Row],[Acres]])</f>
        <v>0.37156355643248301</v>
      </c>
      <c r="D1243" s="38">
        <v>1.45</v>
      </c>
      <c r="E1243" s="37"/>
      <c r="F1243" s="31" t="s">
        <v>505</v>
      </c>
      <c r="G1243" s="31" t="s">
        <v>155</v>
      </c>
      <c r="H1243" s="31" t="s">
        <v>5</v>
      </c>
      <c r="I1243" s="31" t="s">
        <v>506</v>
      </c>
      <c r="J1243" s="31" t="s">
        <v>507</v>
      </c>
      <c r="K1243" s="31" t="s">
        <v>475</v>
      </c>
      <c r="L1243" s="31" t="s">
        <v>17</v>
      </c>
      <c r="M1243" s="31" t="s">
        <v>20</v>
      </c>
      <c r="N1243" s="31">
        <v>70</v>
      </c>
      <c r="O1243" s="31">
        <f>2024-Inventory[[#This Row],[YrBlt]]</f>
        <v>78</v>
      </c>
      <c r="P1243" s="31">
        <f>2024-Inventory[[#This Row],[EffYr]]</f>
        <v>52</v>
      </c>
      <c r="Q1243" s="30">
        <v>1946</v>
      </c>
      <c r="R1243" s="30">
        <v>1972</v>
      </c>
      <c r="S1243" s="30">
        <v>1650</v>
      </c>
      <c r="T1243" s="32"/>
      <c r="U1243" s="32"/>
      <c r="V1243" s="32"/>
      <c r="W1243" s="32"/>
      <c r="X1243" s="32">
        <f>Inventory[[#This Row],[Bsmt Area]]-Inventory[[#This Row],[FnBsmt]]</f>
        <v>0</v>
      </c>
      <c r="Y1243" s="32">
        <f>Inventory[[#This Row],[MainFn]]+Inventory[[#This Row],[UpprFn]]+Inventory[[#This Row],[AddFn]]+Inventory[[#This Row],[FnBsmt]]</f>
        <v>1650</v>
      </c>
      <c r="Z1243" s="32">
        <v>2000</v>
      </c>
      <c r="AA1243" s="31" t="s">
        <v>56</v>
      </c>
      <c r="AB1243" s="38">
        <v>1</v>
      </c>
      <c r="AC1243" s="37"/>
      <c r="AD1243" s="32"/>
      <c r="AE1243" s="32"/>
      <c r="AF1243" s="32"/>
      <c r="AG1243" s="32"/>
      <c r="AH1243" s="32"/>
      <c r="AI1243" s="30">
        <v>262342</v>
      </c>
      <c r="AJ1243" s="30">
        <v>183639</v>
      </c>
      <c r="AK1243" s="30">
        <v>38270</v>
      </c>
      <c r="AL1243" s="30">
        <v>0</v>
      </c>
      <c r="AM1243" s="30">
        <v>91700</v>
      </c>
      <c r="AN1243" s="30">
        <v>263800</v>
      </c>
      <c r="AO1243" s="30">
        <v>355500</v>
      </c>
      <c r="AP1243" s="30">
        <f>Lookups!$B$58*0.6</f>
        <v>132535.48800000001</v>
      </c>
      <c r="AQ1243" s="30">
        <f>Lookups!$B$58*0.4</f>
        <v>88356.992000000013</v>
      </c>
      <c r="AR1243" s="30">
        <f>Lookups!$B$59*Inventory[[#This Row],[LnAcres]]</f>
        <v>4876.5193865215215</v>
      </c>
      <c r="AS1243" s="30">
        <f>VLOOKUP(Inventory[[#This Row],[Qlty]],Lookups!$A$66:$E$79,2,FALSE)</f>
        <v>24371.765965999999</v>
      </c>
      <c r="AT1243" s="30">
        <f>VLOOKUP(Inventory[[#This Row],[Cnd]],Lookups!$A$80:$E$88,2,FALSE)</f>
        <v>30300.329274</v>
      </c>
      <c r="AU1243" s="30">
        <f>Inventory[[#This Row],[EffAge]]*Lookups!$B$65</f>
        <v>-5654.5371999999998</v>
      </c>
      <c r="AV1243" s="30">
        <f>Inventory[[#This Row],[MainFn]]*Lookups!$B$90</f>
        <v>102977.12700000001</v>
      </c>
      <c r="AW1243" s="30">
        <f>Inventory[[#This Row],[UpprFn]]*Lookups!$B$91</f>
        <v>0</v>
      </c>
      <c r="AX1243" s="30">
        <f>Inventory[[#This Row],[Bsmt Area]]*Lookups!$B$95</f>
        <v>0</v>
      </c>
      <c r="AY1243" s="30">
        <f>Inventory[[#This Row],[AttGar]]*Lookups!$B$93</f>
        <v>0</v>
      </c>
      <c r="AZ1243" s="30">
        <f>ROUND(Inventory[[#This Row],[25Det]],-2)</f>
        <v>38300</v>
      </c>
      <c r="BA1243" s="30">
        <f>ROUND(SUM(Inventory[[#This Row],[Mdl Qlty]:[Mdl Garage Area]])+Inventory[[#This Row],[Mdl Res Intercept]],-2)</f>
        <v>284500</v>
      </c>
      <c r="BB1243" s="30">
        <f>ROUND(Inventory[[#This Row],[Mdl Land Intercept]]+Inventory[[#This Row],[Mdl LnAcres]],-2)</f>
        <v>93200</v>
      </c>
      <c r="BC1243" s="30">
        <f>Inventory[[#This Row],[Unadj Res Value]]+Inventory[[#This Row],[Unadj Det Value]]+Inventory[[#This Row],[Unadj Land Value]]</f>
        <v>416000</v>
      </c>
      <c r="BD1243" s="30">
        <f>(Inventory[[#This Row],[Unadj Total Value]]-Inventory[[#This Row],[24Final]])/Inventory[[#This Row],[24Final]]</f>
        <v>0.17018284106891701</v>
      </c>
      <c r="BE1243" s="30">
        <f>VLOOKUP(Inventory[[#This Row],[Nbhd]],Lookups!$M$3:$P$5,4,FALSE)</f>
        <v>0.99970000000000003</v>
      </c>
      <c r="BF1243" s="30">
        <f>VLOOKUP(Inventory[[#This Row],[Qlty]],Lookups!$M$8:$P$22,4,FALSE)</f>
        <v>0.99199999999999999</v>
      </c>
      <c r="BG1243" s="30">
        <f>VLOOKUP(Inventory[[#This Row],[Cnd]],Lookups!$R$8:$U$17,4,FALSE)</f>
        <v>0.997</v>
      </c>
      <c r="BH1243" s="30">
        <f>VLOOKUP(Inventory[[#This Row],[LivArea Range]],Lookups!$R$25:$U$43,4,FALSE)</f>
        <v>1.0007999999999999</v>
      </c>
      <c r="BI1243" s="30">
        <f>VLOOKUP(Inventory[[#This Row],[Decade]],Lookups!$M$24:$P$40,4,FALSE)</f>
        <v>1.0558000000000001</v>
      </c>
      <c r="BJ1243" s="30">
        <f>Inventory[[#This Row],[Nbhd Adj]]*0.95</f>
        <v>0.94971499999999998</v>
      </c>
      <c r="BK1243" s="30">
        <f>AVERAGE(Inventory[[#This Row],[Nbhd Adj]],Inventory[[#This Row],[Quality Adj]],Inventory[[#This Row],[Condition Adj]],Inventory[[#This Row],[Living Area Adj]],Inventory[[#This Row],[Decade Adj]])*0.95</f>
        <v>0.95860699999999999</v>
      </c>
      <c r="BL1243" s="30">
        <f>ROUND((SUM(Inventory[[#This Row],[Mdl Qlty]:[Mdl Garage Area]])+Inventory[[#This Row],[Mdl Res Intercept]])*Inventory[[#This Row],[Res Adj ]],-2)</f>
        <v>272800</v>
      </c>
      <c r="BM1243" s="30">
        <f>ROUND(Inventory[[#This Row],[25Det]]*Inventory[[#This Row],[Det/Nbhd Adj]],-2)</f>
        <v>36300</v>
      </c>
      <c r="BN1243" s="30">
        <f>Inventory[[#This Row],[Adjusted Res]]+Inventory[[#This Row],[Adj Det ]]</f>
        <v>309100</v>
      </c>
      <c r="BO1243" s="30">
        <f>ROUND((Inventory[[#This Row],[Mdl Land Intercept]]+Inventory[[#This Row],[Mdl LnAcres]])*Inventory[[#This Row],[Det/Nbhd Adj]],-2)</f>
        <v>88500</v>
      </c>
      <c r="BP1243" s="30">
        <f>Inventory[[#This Row],[Adjusted Impr Total]]+Inventory[[#This Row],[Adjusted Land Total]]</f>
        <v>397600</v>
      </c>
      <c r="BQ1243" s="30">
        <f>IFERROR((Inventory[[#This Row],[Adjusted Impr Total]]-Inventory[[#This Row],[24Bldg]])/Inventory[[#This Row],[24Bldg]],0)</f>
        <v>0.17172100075815011</v>
      </c>
      <c r="BR1243" s="43">
        <f>(Inventory[[#This Row],[Adjusted Land Total]]-Inventory[[#This Row],[24Lnd]])/Inventory[[#This Row],[24Lnd]]</f>
        <v>-3.4896401308615051E-2</v>
      </c>
      <c r="BS1243" s="43">
        <f>(Inventory[[#This Row],[Adjusted Total]]-Inventory[[#This Row],[24Final]])/Inventory[[#This Row],[24Final]]</f>
        <v>0.11842475386779185</v>
      </c>
    </row>
    <row r="1244" spans="1:71">
      <c r="A1244" s="30">
        <v>2025</v>
      </c>
      <c r="B1244" s="31" t="s">
        <v>1761</v>
      </c>
      <c r="C1244" s="36">
        <f>LN(Inventory[[#This Row],[Acres]])</f>
        <v>-1.9661128563728327</v>
      </c>
      <c r="D1244" s="38">
        <v>0.14000000000000001</v>
      </c>
      <c r="E1244" s="30">
        <v>6023</v>
      </c>
      <c r="F1244" s="31" t="s">
        <v>505</v>
      </c>
      <c r="G1244" s="31" t="s">
        <v>155</v>
      </c>
      <c r="H1244" s="31" t="s">
        <v>5</v>
      </c>
      <c r="I1244" s="31" t="s">
        <v>506</v>
      </c>
      <c r="J1244" s="31" t="s">
        <v>507</v>
      </c>
      <c r="K1244" s="31" t="s">
        <v>473</v>
      </c>
      <c r="L1244" s="31" t="s">
        <v>13</v>
      </c>
      <c r="M1244" s="31" t="s">
        <v>20</v>
      </c>
      <c r="N1244" s="31">
        <v>70</v>
      </c>
      <c r="O1244" s="31">
        <f>2024-Inventory[[#This Row],[YrBlt]]</f>
        <v>79</v>
      </c>
      <c r="P1244" s="31">
        <f>2024-Inventory[[#This Row],[EffYr]]</f>
        <v>52</v>
      </c>
      <c r="Q1244" s="30">
        <v>1945</v>
      </c>
      <c r="R1244" s="30">
        <v>1972</v>
      </c>
      <c r="S1244" s="30">
        <v>1100</v>
      </c>
      <c r="T1244" s="32"/>
      <c r="U1244" s="38">
        <v>300</v>
      </c>
      <c r="V1244" s="32"/>
      <c r="W1244" s="32"/>
      <c r="X1244" s="32">
        <f>Inventory[[#This Row],[Bsmt Area]]-Inventory[[#This Row],[FnBsmt]]</f>
        <v>300</v>
      </c>
      <c r="Y1244" s="32">
        <f>Inventory[[#This Row],[MainFn]]+Inventory[[#This Row],[UpprFn]]+Inventory[[#This Row],[AddFn]]+Inventory[[#This Row],[FnBsmt]]</f>
        <v>1100</v>
      </c>
      <c r="Z1244" s="32">
        <v>1500</v>
      </c>
      <c r="AA1244" s="31" t="s">
        <v>56</v>
      </c>
      <c r="AB1244" s="37"/>
      <c r="AC1244" s="37"/>
      <c r="AD1244" s="32"/>
      <c r="AE1244" s="32"/>
      <c r="AF1244" s="32"/>
      <c r="AG1244" s="32"/>
      <c r="AH1244" s="32"/>
      <c r="AI1244" s="30">
        <v>169553</v>
      </c>
      <c r="AJ1244" s="30">
        <v>118687</v>
      </c>
      <c r="AK1244" s="30">
        <v>3296</v>
      </c>
      <c r="AL1244" s="30">
        <v>0</v>
      </c>
      <c r="AM1244" s="30">
        <v>59000</v>
      </c>
      <c r="AN1244" s="30">
        <v>183100</v>
      </c>
      <c r="AO1244" s="30">
        <v>242100</v>
      </c>
      <c r="AP1244" s="30">
        <f>Lookups!$B$58*0.6</f>
        <v>132535.48800000001</v>
      </c>
      <c r="AQ1244" s="30">
        <f>Lookups!$B$58*0.4</f>
        <v>88356.992000000013</v>
      </c>
      <c r="AR1244" s="30">
        <f>Lookups!$B$59*Inventory[[#This Row],[LnAcres]]</f>
        <v>-25803.896249263951</v>
      </c>
      <c r="AS1244" s="30">
        <f>VLOOKUP(Inventory[[#This Row],[Qlty]],Lookups!$A$66:$E$79,2,FALSE)</f>
        <v>0</v>
      </c>
      <c r="AT1244" s="30">
        <f>VLOOKUP(Inventory[[#This Row],[Cnd]],Lookups!$A$80:$E$88,2,FALSE)</f>
        <v>30300.329274</v>
      </c>
      <c r="AU1244" s="30">
        <f>Inventory[[#This Row],[EffAge]]*Lookups!$B$65</f>
        <v>-5654.5371999999998</v>
      </c>
      <c r="AV1244" s="30">
        <f>Inventory[[#This Row],[MainFn]]*Lookups!$B$90</f>
        <v>68651.418000000005</v>
      </c>
      <c r="AW1244" s="30">
        <f>Inventory[[#This Row],[UpprFn]]*Lookups!$B$91</f>
        <v>0</v>
      </c>
      <c r="AX1244" s="30">
        <f>Inventory[[#This Row],[Bsmt Area]]*Lookups!$B$95</f>
        <v>18775.948799999998</v>
      </c>
      <c r="AY1244" s="30">
        <f>Inventory[[#This Row],[AttGar]]*Lookups!$B$93</f>
        <v>0</v>
      </c>
      <c r="AZ1244" s="30">
        <f>ROUND(Inventory[[#This Row],[25Det]],-2)</f>
        <v>3300</v>
      </c>
      <c r="BA1244" s="30">
        <f>ROUND(SUM(Inventory[[#This Row],[Mdl Qlty]:[Mdl Garage Area]])+Inventory[[#This Row],[Mdl Res Intercept]],-2)</f>
        <v>244600</v>
      </c>
      <c r="BB1244" s="30">
        <f>ROUND(Inventory[[#This Row],[Mdl Land Intercept]]+Inventory[[#This Row],[Mdl LnAcres]],-2)</f>
        <v>62600</v>
      </c>
      <c r="BC1244" s="30">
        <f>Inventory[[#This Row],[Unadj Res Value]]+Inventory[[#This Row],[Unadj Det Value]]+Inventory[[#This Row],[Unadj Land Value]]</f>
        <v>310500</v>
      </c>
      <c r="BD1244" s="30">
        <f>(Inventory[[#This Row],[Unadj Total Value]]-Inventory[[#This Row],[24Final]])/Inventory[[#This Row],[24Final]]</f>
        <v>0.28252788104089221</v>
      </c>
      <c r="BE1244" s="30">
        <f>VLOOKUP(Inventory[[#This Row],[Nbhd]],Lookups!$M$3:$P$5,4,FALSE)</f>
        <v>0.99970000000000003</v>
      </c>
      <c r="BF1244" s="30">
        <f>VLOOKUP(Inventory[[#This Row],[Qlty]],Lookups!$M$8:$P$22,4,FALSE)</f>
        <v>1.0003</v>
      </c>
      <c r="BG1244" s="30">
        <f>VLOOKUP(Inventory[[#This Row],[Cnd]],Lookups!$R$8:$U$17,4,FALSE)</f>
        <v>0.997</v>
      </c>
      <c r="BH1244" s="30">
        <f>VLOOKUP(Inventory[[#This Row],[LivArea Range]],Lookups!$R$25:$U$43,4,FALSE)</f>
        <v>0.99519999999999997</v>
      </c>
      <c r="BI1244" s="30">
        <f>VLOOKUP(Inventory[[#This Row],[Decade]],Lookups!$M$24:$P$40,4,FALSE)</f>
        <v>1.0558000000000001</v>
      </c>
      <c r="BJ1244" s="30">
        <f>Inventory[[#This Row],[Nbhd Adj]]*0.95</f>
        <v>0.94971499999999998</v>
      </c>
      <c r="BK1244" s="30">
        <f>AVERAGE(Inventory[[#This Row],[Nbhd Adj]],Inventory[[#This Row],[Quality Adj]],Inventory[[#This Row],[Condition Adj]],Inventory[[#This Row],[Living Area Adj]],Inventory[[#This Row],[Decade Adj]])*0.95</f>
        <v>0.95911999999999997</v>
      </c>
      <c r="BL1244" s="30">
        <f>ROUND((SUM(Inventory[[#This Row],[Mdl Qlty]:[Mdl Garage Area]])+Inventory[[#This Row],[Mdl Res Intercept]])*Inventory[[#This Row],[Res Adj ]],-2)</f>
        <v>234600</v>
      </c>
      <c r="BM1244" s="30">
        <f>ROUND(Inventory[[#This Row],[25Det]]*Inventory[[#This Row],[Det/Nbhd Adj]],-2)</f>
        <v>3100</v>
      </c>
      <c r="BN1244" s="30">
        <f>Inventory[[#This Row],[Adjusted Res]]+Inventory[[#This Row],[Adj Det ]]</f>
        <v>237700</v>
      </c>
      <c r="BO1244" s="30">
        <f>ROUND((Inventory[[#This Row],[Mdl Land Intercept]]+Inventory[[#This Row],[Mdl LnAcres]])*Inventory[[#This Row],[Det/Nbhd Adj]],-2)</f>
        <v>59400</v>
      </c>
      <c r="BP1244" s="30">
        <f>Inventory[[#This Row],[Adjusted Impr Total]]+Inventory[[#This Row],[Adjusted Land Total]]</f>
        <v>297100</v>
      </c>
      <c r="BQ1244" s="30">
        <f>IFERROR((Inventory[[#This Row],[Adjusted Impr Total]]-Inventory[[#This Row],[24Bldg]])/Inventory[[#This Row],[24Bldg]],0)</f>
        <v>0.29819770617149099</v>
      </c>
      <c r="BR1244" s="43">
        <f>(Inventory[[#This Row],[Adjusted Land Total]]-Inventory[[#This Row],[24Lnd]])/Inventory[[#This Row],[24Lnd]]</f>
        <v>6.7796610169491523E-3</v>
      </c>
      <c r="BS1244" s="43">
        <f>(Inventory[[#This Row],[Adjusted Total]]-Inventory[[#This Row],[24Final]])/Inventory[[#This Row],[24Final]]</f>
        <v>0.22717885171416771</v>
      </c>
    </row>
    <row r="1245" spans="1:71">
      <c r="A1245" s="30">
        <v>2025</v>
      </c>
      <c r="B1245" s="31" t="s">
        <v>1762</v>
      </c>
      <c r="C1245" s="36">
        <f>LN(Inventory[[#This Row],[Acres]])</f>
        <v>-1.9661128563728327</v>
      </c>
      <c r="D1245" s="38">
        <v>0.14000000000000001</v>
      </c>
      <c r="E1245" s="30">
        <v>6250</v>
      </c>
      <c r="F1245" s="31" t="s">
        <v>505</v>
      </c>
      <c r="G1245" s="31" t="s">
        <v>155</v>
      </c>
      <c r="H1245" s="31" t="s">
        <v>5</v>
      </c>
      <c r="I1245" s="31" t="s">
        <v>506</v>
      </c>
      <c r="J1245" s="31" t="s">
        <v>507</v>
      </c>
      <c r="K1245" s="31" t="s">
        <v>473</v>
      </c>
      <c r="L1245" s="31" t="s">
        <v>19</v>
      </c>
      <c r="M1245" s="31" t="s">
        <v>18</v>
      </c>
      <c r="N1245" s="31">
        <v>70</v>
      </c>
      <c r="O1245" s="31">
        <f>2024-Inventory[[#This Row],[YrBlt]]</f>
        <v>79</v>
      </c>
      <c r="P1245" s="31">
        <f>2024-Inventory[[#This Row],[EffYr]]</f>
        <v>52</v>
      </c>
      <c r="Q1245" s="30">
        <v>1945</v>
      </c>
      <c r="R1245" s="30">
        <v>1972</v>
      </c>
      <c r="S1245" s="30">
        <v>1011</v>
      </c>
      <c r="T1245" s="37"/>
      <c r="U1245" s="32"/>
      <c r="V1245" s="32"/>
      <c r="W1245" s="32"/>
      <c r="X1245" s="32">
        <f>Inventory[[#This Row],[Bsmt Area]]-Inventory[[#This Row],[FnBsmt]]</f>
        <v>0</v>
      </c>
      <c r="Y1245" s="32">
        <f>Inventory[[#This Row],[MainFn]]+Inventory[[#This Row],[UpprFn]]+Inventory[[#This Row],[AddFn]]+Inventory[[#This Row],[FnBsmt]]</f>
        <v>1011</v>
      </c>
      <c r="Z1245" s="32">
        <v>1500</v>
      </c>
      <c r="AA1245" s="31" t="s">
        <v>56</v>
      </c>
      <c r="AB1245" s="32"/>
      <c r="AC1245" s="37"/>
      <c r="AD1245" s="37"/>
      <c r="AE1245" s="32"/>
      <c r="AF1245" s="32"/>
      <c r="AG1245" s="32"/>
      <c r="AH1245" s="32"/>
      <c r="AI1245" s="30">
        <v>218638</v>
      </c>
      <c r="AJ1245" s="30">
        <v>148674</v>
      </c>
      <c r="AK1245" s="30">
        <v>21526</v>
      </c>
      <c r="AL1245" s="30">
        <v>0</v>
      </c>
      <c r="AM1245" s="30">
        <v>59000</v>
      </c>
      <c r="AN1245" s="30">
        <v>223300</v>
      </c>
      <c r="AO1245" s="30">
        <v>282300</v>
      </c>
      <c r="AP1245" s="30">
        <f>Lookups!$B$58*0.6</f>
        <v>132535.48800000001</v>
      </c>
      <c r="AQ1245" s="30">
        <f>Lookups!$B$58*0.4</f>
        <v>88356.992000000013</v>
      </c>
      <c r="AR1245" s="30">
        <f>Lookups!$B$59*Inventory[[#This Row],[LnAcres]]</f>
        <v>-25803.896249263951</v>
      </c>
      <c r="AS1245" s="30">
        <f>VLOOKUP(Inventory[[#This Row],[Qlty]],Lookups!$A$66:$E$79,2,FALSE)</f>
        <v>37154.252388000001</v>
      </c>
      <c r="AT1245" s="30">
        <f>VLOOKUP(Inventory[[#This Row],[Cnd]],Lookups!$A$80:$E$88,2,FALSE)</f>
        <v>17761.121909000001</v>
      </c>
      <c r="AU1245" s="30">
        <f>Inventory[[#This Row],[EffAge]]*Lookups!$B$65</f>
        <v>-5654.5371999999998</v>
      </c>
      <c r="AV1245" s="30">
        <f>Inventory[[#This Row],[MainFn]]*Lookups!$B$90</f>
        <v>63096.894180000003</v>
      </c>
      <c r="AW1245" s="30">
        <f>Inventory[[#This Row],[UpprFn]]*Lookups!$B$91</f>
        <v>0</v>
      </c>
      <c r="AX1245" s="30">
        <f>Inventory[[#This Row],[Bsmt Area]]*Lookups!$B$95</f>
        <v>0</v>
      </c>
      <c r="AY1245" s="30">
        <f>Inventory[[#This Row],[AttGar]]*Lookups!$B$93</f>
        <v>0</v>
      </c>
      <c r="AZ1245" s="30">
        <f>ROUND(Inventory[[#This Row],[25Det]],-2)</f>
        <v>21500</v>
      </c>
      <c r="BA1245" s="30">
        <f>ROUND(SUM(Inventory[[#This Row],[Mdl Qlty]:[Mdl Garage Area]])+Inventory[[#This Row],[Mdl Res Intercept]],-2)</f>
        <v>244900</v>
      </c>
      <c r="BB1245" s="30">
        <f>ROUND(Inventory[[#This Row],[Mdl Land Intercept]]+Inventory[[#This Row],[Mdl LnAcres]],-2)</f>
        <v>62600</v>
      </c>
      <c r="BC1245" s="30">
        <f>Inventory[[#This Row],[Unadj Res Value]]+Inventory[[#This Row],[Unadj Det Value]]+Inventory[[#This Row],[Unadj Land Value]]</f>
        <v>329000</v>
      </c>
      <c r="BD1245" s="30">
        <f>(Inventory[[#This Row],[Unadj Total Value]]-Inventory[[#This Row],[24Final]])/Inventory[[#This Row],[24Final]]</f>
        <v>0.16542685086787107</v>
      </c>
      <c r="BE1245" s="30">
        <f>VLOOKUP(Inventory[[#This Row],[Nbhd]],Lookups!$M$3:$P$5,4,FALSE)</f>
        <v>0.99970000000000003</v>
      </c>
      <c r="BF1245" s="30">
        <f>VLOOKUP(Inventory[[#This Row],[Qlty]],Lookups!$M$8:$P$22,4,FALSE)</f>
        <v>0.99819999999999998</v>
      </c>
      <c r="BG1245" s="30">
        <f>VLOOKUP(Inventory[[#This Row],[Cnd]],Lookups!$R$8:$U$17,4,FALSE)</f>
        <v>0.99680000000000002</v>
      </c>
      <c r="BH1245" s="30">
        <f>VLOOKUP(Inventory[[#This Row],[LivArea Range]],Lookups!$R$25:$U$43,4,FALSE)</f>
        <v>0.99519999999999997</v>
      </c>
      <c r="BI1245" s="30">
        <f>VLOOKUP(Inventory[[#This Row],[Decade]],Lookups!$M$24:$P$40,4,FALSE)</f>
        <v>1.0558000000000001</v>
      </c>
      <c r="BJ1245" s="30">
        <f>Inventory[[#This Row],[Nbhd Adj]]*0.95</f>
        <v>0.94971499999999998</v>
      </c>
      <c r="BK1245" s="30">
        <f>AVERAGE(Inventory[[#This Row],[Nbhd Adj]],Inventory[[#This Row],[Quality Adj]],Inventory[[#This Row],[Condition Adj]],Inventory[[#This Row],[Living Area Adj]],Inventory[[#This Row],[Decade Adj]])*0.95</f>
        <v>0.95868299999999984</v>
      </c>
      <c r="BL1245" s="30">
        <f>ROUND((SUM(Inventory[[#This Row],[Mdl Qlty]:[Mdl Garage Area]])+Inventory[[#This Row],[Mdl Res Intercept]])*Inventory[[#This Row],[Res Adj ]],-2)</f>
        <v>234800</v>
      </c>
      <c r="BM1245" s="30">
        <f>ROUND(Inventory[[#This Row],[25Det]]*Inventory[[#This Row],[Det/Nbhd Adj]],-2)</f>
        <v>20400</v>
      </c>
      <c r="BN1245" s="30">
        <f>Inventory[[#This Row],[Adjusted Res]]+Inventory[[#This Row],[Adj Det ]]</f>
        <v>255200</v>
      </c>
      <c r="BO1245" s="30">
        <f>ROUND((Inventory[[#This Row],[Mdl Land Intercept]]+Inventory[[#This Row],[Mdl LnAcres]])*Inventory[[#This Row],[Det/Nbhd Adj]],-2)</f>
        <v>59400</v>
      </c>
      <c r="BP1245" s="30">
        <f>Inventory[[#This Row],[Adjusted Impr Total]]+Inventory[[#This Row],[Adjusted Land Total]]</f>
        <v>314600</v>
      </c>
      <c r="BQ1245" s="30">
        <f>IFERROR((Inventory[[#This Row],[Adjusted Impr Total]]-Inventory[[#This Row],[24Bldg]])/Inventory[[#This Row],[24Bldg]],0)</f>
        <v>0.14285714285714285</v>
      </c>
      <c r="BR1245" s="43">
        <f>(Inventory[[#This Row],[Adjusted Land Total]]-Inventory[[#This Row],[24Lnd]])/Inventory[[#This Row],[24Lnd]]</f>
        <v>6.7796610169491523E-3</v>
      </c>
      <c r="BS1245" s="43">
        <f>(Inventory[[#This Row],[Adjusted Total]]-Inventory[[#This Row],[24Final]])/Inventory[[#This Row],[24Final]]</f>
        <v>0.11441728657456607</v>
      </c>
    </row>
    <row r="1246" spans="1:71">
      <c r="A1246" s="30">
        <v>2025</v>
      </c>
      <c r="B1246" s="31" t="s">
        <v>1763</v>
      </c>
      <c r="C1246" s="36">
        <f>LN(Inventory[[#This Row],[Acres]])</f>
        <v>-1.5141277326297755</v>
      </c>
      <c r="D1246" s="38">
        <v>0.22</v>
      </c>
      <c r="E1246" s="30">
        <v>9374</v>
      </c>
      <c r="F1246" s="31" t="s">
        <v>505</v>
      </c>
      <c r="G1246" s="31" t="s">
        <v>155</v>
      </c>
      <c r="H1246" s="31" t="s">
        <v>5</v>
      </c>
      <c r="I1246" s="31" t="s">
        <v>506</v>
      </c>
      <c r="J1246" s="31" t="s">
        <v>507</v>
      </c>
      <c r="K1246" s="31" t="s">
        <v>473</v>
      </c>
      <c r="L1246" s="31" t="s">
        <v>13</v>
      </c>
      <c r="M1246" s="31" t="s">
        <v>16</v>
      </c>
      <c r="N1246" s="31">
        <v>70</v>
      </c>
      <c r="O1246" s="31">
        <f>2024-Inventory[[#This Row],[YrBlt]]</f>
        <v>79</v>
      </c>
      <c r="P1246" s="31">
        <f>2024-Inventory[[#This Row],[EffYr]]</f>
        <v>52</v>
      </c>
      <c r="Q1246" s="30">
        <v>1945</v>
      </c>
      <c r="R1246" s="30">
        <v>1972</v>
      </c>
      <c r="S1246" s="30">
        <v>1330</v>
      </c>
      <c r="T1246" s="32"/>
      <c r="U1246" s="32"/>
      <c r="V1246" s="32"/>
      <c r="W1246" s="32"/>
      <c r="X1246" s="32">
        <f>Inventory[[#This Row],[Bsmt Area]]-Inventory[[#This Row],[FnBsmt]]</f>
        <v>0</v>
      </c>
      <c r="Y1246" s="32">
        <f>Inventory[[#This Row],[MainFn]]+Inventory[[#This Row],[UpprFn]]+Inventory[[#This Row],[AddFn]]+Inventory[[#This Row],[FnBsmt]]</f>
        <v>1330</v>
      </c>
      <c r="Z1246" s="32">
        <v>1500</v>
      </c>
      <c r="AA1246" s="31" t="s">
        <v>56</v>
      </c>
      <c r="AB1246" s="32"/>
      <c r="AC1246" s="30">
        <v>299</v>
      </c>
      <c r="AD1246" s="32"/>
      <c r="AE1246" s="32"/>
      <c r="AF1246" s="32"/>
      <c r="AG1246" s="32"/>
      <c r="AH1246" s="32"/>
      <c r="AI1246" s="30">
        <v>194190</v>
      </c>
      <c r="AJ1246" s="30">
        <v>128165</v>
      </c>
      <c r="AK1246" s="30">
        <v>0</v>
      </c>
      <c r="AL1246" s="30">
        <v>0</v>
      </c>
      <c r="AM1246" s="30">
        <v>65300</v>
      </c>
      <c r="AN1246" s="30">
        <v>193300</v>
      </c>
      <c r="AO1246" s="30">
        <v>258600</v>
      </c>
      <c r="AP1246" s="30">
        <f>Lookups!$B$58*0.6</f>
        <v>132535.48800000001</v>
      </c>
      <c r="AQ1246" s="30">
        <f>Lookups!$B$58*0.4</f>
        <v>88356.992000000013</v>
      </c>
      <c r="AR1246" s="30">
        <f>Lookups!$B$59*Inventory[[#This Row],[LnAcres]]</f>
        <v>-19871.898398035348</v>
      </c>
      <c r="AS1246" s="30">
        <f>VLOOKUP(Inventory[[#This Row],[Qlty]],Lookups!$A$66:$E$79,2,FALSE)</f>
        <v>0</v>
      </c>
      <c r="AT1246" s="30">
        <f>VLOOKUP(Inventory[[#This Row],[Cnd]],Lookups!$A$80:$E$88,2,FALSE)</f>
        <v>0</v>
      </c>
      <c r="AU1246" s="30">
        <f>Inventory[[#This Row],[EffAge]]*Lookups!$B$65</f>
        <v>-5654.5371999999998</v>
      </c>
      <c r="AV1246" s="30">
        <f>Inventory[[#This Row],[MainFn]]*Lookups!$B$90</f>
        <v>83005.805399999997</v>
      </c>
      <c r="AW1246" s="30">
        <f>Inventory[[#This Row],[UpprFn]]*Lookups!$B$91</f>
        <v>0</v>
      </c>
      <c r="AX1246" s="30">
        <f>Inventory[[#This Row],[Bsmt Area]]*Lookups!$B$95</f>
        <v>0</v>
      </c>
      <c r="AY1246" s="30">
        <f>Inventory[[#This Row],[AttGar]]*Lookups!$B$93</f>
        <v>10555.008269</v>
      </c>
      <c r="AZ1246" s="30">
        <f>ROUND(Inventory[[#This Row],[25Det]],-2)</f>
        <v>0</v>
      </c>
      <c r="BA1246" s="30">
        <f>ROUND(SUM(Inventory[[#This Row],[Mdl Qlty]:[Mdl Garage Area]])+Inventory[[#This Row],[Mdl Res Intercept]],-2)</f>
        <v>220400</v>
      </c>
      <c r="BB1246" s="30">
        <f>ROUND(Inventory[[#This Row],[Mdl Land Intercept]]+Inventory[[#This Row],[Mdl LnAcres]],-2)</f>
        <v>68500</v>
      </c>
      <c r="BC1246" s="30">
        <f>Inventory[[#This Row],[Unadj Res Value]]+Inventory[[#This Row],[Unadj Det Value]]+Inventory[[#This Row],[Unadj Land Value]]</f>
        <v>288900</v>
      </c>
      <c r="BD1246" s="30">
        <f>(Inventory[[#This Row],[Unadj Total Value]]-Inventory[[#This Row],[24Final]])/Inventory[[#This Row],[24Final]]</f>
        <v>0.11716937354988399</v>
      </c>
      <c r="BE1246" s="30">
        <f>VLOOKUP(Inventory[[#This Row],[Nbhd]],Lookups!$M$3:$P$5,4,FALSE)</f>
        <v>0.99970000000000003</v>
      </c>
      <c r="BF1246" s="30">
        <f>VLOOKUP(Inventory[[#This Row],[Qlty]],Lookups!$M$8:$P$22,4,FALSE)</f>
        <v>1.0003</v>
      </c>
      <c r="BG1246" s="30">
        <f>VLOOKUP(Inventory[[#This Row],[Cnd]],Lookups!$R$8:$U$17,4,FALSE)</f>
        <v>1</v>
      </c>
      <c r="BH1246" s="30">
        <f>VLOOKUP(Inventory[[#This Row],[LivArea Range]],Lookups!$R$25:$U$43,4,FALSE)</f>
        <v>0.99519999999999997</v>
      </c>
      <c r="BI1246" s="30">
        <f>VLOOKUP(Inventory[[#This Row],[Decade]],Lookups!$M$24:$P$40,4,FALSE)</f>
        <v>1.0558000000000001</v>
      </c>
      <c r="BJ1246" s="30">
        <f>Inventory[[#This Row],[Nbhd Adj]]*0.95</f>
        <v>0.94971499999999998</v>
      </c>
      <c r="BK1246" s="30">
        <f>AVERAGE(Inventory[[#This Row],[Nbhd Adj]],Inventory[[#This Row],[Quality Adj]],Inventory[[#This Row],[Condition Adj]],Inventory[[#This Row],[Living Area Adj]],Inventory[[#This Row],[Decade Adj]])*0.95</f>
        <v>0.95968999999999993</v>
      </c>
      <c r="BL1246" s="30">
        <f>ROUND((SUM(Inventory[[#This Row],[Mdl Qlty]:[Mdl Garage Area]])+Inventory[[#This Row],[Mdl Res Intercept]])*Inventory[[#This Row],[Res Adj ]],-2)</f>
        <v>211600</v>
      </c>
      <c r="BM1246" s="30">
        <f>ROUND(Inventory[[#This Row],[25Det]]*Inventory[[#This Row],[Det/Nbhd Adj]],-2)</f>
        <v>0</v>
      </c>
      <c r="BN1246" s="30">
        <f>Inventory[[#This Row],[Adjusted Res]]+Inventory[[#This Row],[Adj Det ]]</f>
        <v>211600</v>
      </c>
      <c r="BO1246" s="30">
        <f>ROUND((Inventory[[#This Row],[Mdl Land Intercept]]+Inventory[[#This Row],[Mdl LnAcres]])*Inventory[[#This Row],[Det/Nbhd Adj]],-2)</f>
        <v>65000</v>
      </c>
      <c r="BP1246" s="30">
        <f>Inventory[[#This Row],[Adjusted Impr Total]]+Inventory[[#This Row],[Adjusted Land Total]]</f>
        <v>276600</v>
      </c>
      <c r="BQ1246" s="30">
        <f>IFERROR((Inventory[[#This Row],[Adjusted Impr Total]]-Inventory[[#This Row],[24Bldg]])/Inventory[[#This Row],[24Bldg]],0)</f>
        <v>9.4671495085359547E-2</v>
      </c>
      <c r="BR1246" s="43">
        <f>(Inventory[[#This Row],[Adjusted Land Total]]-Inventory[[#This Row],[24Lnd]])/Inventory[[#This Row],[24Lnd]]</f>
        <v>-4.5941807044410417E-3</v>
      </c>
      <c r="BS1246" s="43">
        <f>(Inventory[[#This Row],[Adjusted Total]]-Inventory[[#This Row],[24Final]])/Inventory[[#This Row],[24Final]]</f>
        <v>6.9605568445475635E-2</v>
      </c>
    </row>
    <row r="1247" spans="1:71">
      <c r="A1247" s="30">
        <v>2025</v>
      </c>
      <c r="B1247" s="31" t="s">
        <v>1764</v>
      </c>
      <c r="C1247" s="36">
        <f>LN(Inventory[[#This Row],[Acres]])</f>
        <v>-1.4696759700589417</v>
      </c>
      <c r="D1247" s="38">
        <v>0.23</v>
      </c>
      <c r="E1247" s="30">
        <v>10137</v>
      </c>
      <c r="F1247" s="31" t="s">
        <v>505</v>
      </c>
      <c r="G1247" s="31" t="s">
        <v>155</v>
      </c>
      <c r="H1247" s="31" t="s">
        <v>5</v>
      </c>
      <c r="I1247" s="31" t="s">
        <v>506</v>
      </c>
      <c r="J1247" s="31" t="s">
        <v>507</v>
      </c>
      <c r="K1247" s="31" t="s">
        <v>193</v>
      </c>
      <c r="L1247" s="31" t="s">
        <v>13</v>
      </c>
      <c r="M1247" s="31" t="s">
        <v>18</v>
      </c>
      <c r="N1247" s="31">
        <v>70</v>
      </c>
      <c r="O1247" s="31">
        <f>2024-Inventory[[#This Row],[YrBlt]]</f>
        <v>79</v>
      </c>
      <c r="P1247" s="31">
        <f>2024-Inventory[[#This Row],[EffYr]]</f>
        <v>52</v>
      </c>
      <c r="Q1247" s="30">
        <v>1945</v>
      </c>
      <c r="R1247" s="30">
        <v>1972</v>
      </c>
      <c r="S1247" s="30">
        <v>1208</v>
      </c>
      <c r="T1247" s="32"/>
      <c r="U1247" s="32"/>
      <c r="V1247" s="32"/>
      <c r="W1247" s="32"/>
      <c r="X1247" s="32">
        <f>Inventory[[#This Row],[Bsmt Area]]-Inventory[[#This Row],[FnBsmt]]</f>
        <v>0</v>
      </c>
      <c r="Y1247" s="32">
        <f>Inventory[[#This Row],[MainFn]]+Inventory[[#This Row],[UpprFn]]+Inventory[[#This Row],[AddFn]]+Inventory[[#This Row],[FnBsmt]]</f>
        <v>1208</v>
      </c>
      <c r="Z1247" s="32">
        <v>1500</v>
      </c>
      <c r="AA1247" s="31" t="s">
        <v>56</v>
      </c>
      <c r="AB1247" s="32"/>
      <c r="AC1247" s="37"/>
      <c r="AD1247" s="32"/>
      <c r="AE1247" s="32"/>
      <c r="AF1247" s="32"/>
      <c r="AG1247" s="32"/>
      <c r="AH1247" s="32"/>
      <c r="AI1247" s="30">
        <v>167367</v>
      </c>
      <c r="AJ1247" s="30">
        <v>113810</v>
      </c>
      <c r="AK1247" s="30">
        <v>0</v>
      </c>
      <c r="AL1247" s="30">
        <v>0</v>
      </c>
      <c r="AM1247" s="30">
        <v>65900</v>
      </c>
      <c r="AN1247" s="30">
        <v>174300</v>
      </c>
      <c r="AO1247" s="30">
        <v>240200</v>
      </c>
      <c r="AP1247" s="30">
        <f>Lookups!$B$58*0.6</f>
        <v>132535.48800000001</v>
      </c>
      <c r="AQ1247" s="30">
        <f>Lookups!$B$58*0.4</f>
        <v>88356.992000000013</v>
      </c>
      <c r="AR1247" s="30">
        <f>Lookups!$B$59*Inventory[[#This Row],[LnAcres]]</f>
        <v>-19288.499197039939</v>
      </c>
      <c r="AS1247" s="30">
        <f>VLOOKUP(Inventory[[#This Row],[Qlty]],Lookups!$A$66:$E$79,2,FALSE)</f>
        <v>0</v>
      </c>
      <c r="AT1247" s="30">
        <f>VLOOKUP(Inventory[[#This Row],[Cnd]],Lookups!$A$80:$E$88,2,FALSE)</f>
        <v>17761.121909000001</v>
      </c>
      <c r="AU1247" s="30">
        <f>Inventory[[#This Row],[EffAge]]*Lookups!$B$65</f>
        <v>-5654.5371999999998</v>
      </c>
      <c r="AV1247" s="30">
        <f>Inventory[[#This Row],[MainFn]]*Lookups!$B$90</f>
        <v>75391.73904</v>
      </c>
      <c r="AW1247" s="30">
        <f>Inventory[[#This Row],[UpprFn]]*Lookups!$B$91</f>
        <v>0</v>
      </c>
      <c r="AX1247" s="30">
        <f>Inventory[[#This Row],[Bsmt Area]]*Lookups!$B$95</f>
        <v>0</v>
      </c>
      <c r="AY1247" s="30">
        <f>Inventory[[#This Row],[AttGar]]*Lookups!$B$93</f>
        <v>0</v>
      </c>
      <c r="AZ1247" s="30">
        <f>ROUND(Inventory[[#This Row],[25Det]],-2)</f>
        <v>0</v>
      </c>
      <c r="BA1247" s="30">
        <f>ROUND(SUM(Inventory[[#This Row],[Mdl Qlty]:[Mdl Garage Area]])+Inventory[[#This Row],[Mdl Res Intercept]],-2)</f>
        <v>220000</v>
      </c>
      <c r="BB1247" s="30">
        <f>ROUND(Inventory[[#This Row],[Mdl Land Intercept]]+Inventory[[#This Row],[Mdl LnAcres]],-2)</f>
        <v>69100</v>
      </c>
      <c r="BC1247" s="30">
        <f>Inventory[[#This Row],[Unadj Res Value]]+Inventory[[#This Row],[Unadj Det Value]]+Inventory[[#This Row],[Unadj Land Value]]</f>
        <v>289100</v>
      </c>
      <c r="BD1247" s="30">
        <f>(Inventory[[#This Row],[Unadj Total Value]]-Inventory[[#This Row],[24Final]])/Inventory[[#This Row],[24Final]]</f>
        <v>0.20358034970857619</v>
      </c>
      <c r="BE1247" s="30">
        <f>VLOOKUP(Inventory[[#This Row],[Nbhd]],Lookups!$M$3:$P$5,4,FALSE)</f>
        <v>0.99970000000000003</v>
      </c>
      <c r="BF1247" s="30">
        <f>VLOOKUP(Inventory[[#This Row],[Qlty]],Lookups!$M$8:$P$22,4,FALSE)</f>
        <v>1.0003</v>
      </c>
      <c r="BG1247" s="30">
        <f>VLOOKUP(Inventory[[#This Row],[Cnd]],Lookups!$R$8:$U$17,4,FALSE)</f>
        <v>0.99680000000000002</v>
      </c>
      <c r="BH1247" s="30">
        <f>VLOOKUP(Inventory[[#This Row],[LivArea Range]],Lookups!$R$25:$U$43,4,FALSE)</f>
        <v>0.99519999999999997</v>
      </c>
      <c r="BI1247" s="30">
        <f>VLOOKUP(Inventory[[#This Row],[Decade]],Lookups!$M$24:$P$40,4,FALSE)</f>
        <v>1.0558000000000001</v>
      </c>
      <c r="BJ1247" s="30">
        <f>Inventory[[#This Row],[Nbhd Adj]]*0.95</f>
        <v>0.94971499999999998</v>
      </c>
      <c r="BK1247" s="30">
        <f>AVERAGE(Inventory[[#This Row],[Nbhd Adj]],Inventory[[#This Row],[Quality Adj]],Inventory[[#This Row],[Condition Adj]],Inventory[[#This Row],[Living Area Adj]],Inventory[[#This Row],[Decade Adj]])*0.95</f>
        <v>0.95908199999999999</v>
      </c>
      <c r="BL1247" s="30">
        <f>ROUND((SUM(Inventory[[#This Row],[Mdl Qlty]:[Mdl Garage Area]])+Inventory[[#This Row],[Mdl Res Intercept]])*Inventory[[#This Row],[Res Adj ]],-2)</f>
        <v>211000</v>
      </c>
      <c r="BM1247" s="30">
        <f>ROUND(Inventory[[#This Row],[25Det]]*Inventory[[#This Row],[Det/Nbhd Adj]],-2)</f>
        <v>0</v>
      </c>
      <c r="BN1247" s="30">
        <f>Inventory[[#This Row],[Adjusted Res]]+Inventory[[#This Row],[Adj Det ]]</f>
        <v>211000</v>
      </c>
      <c r="BO1247" s="30">
        <f>ROUND((Inventory[[#This Row],[Mdl Land Intercept]]+Inventory[[#This Row],[Mdl LnAcres]])*Inventory[[#This Row],[Det/Nbhd Adj]],-2)</f>
        <v>65600</v>
      </c>
      <c r="BP1247" s="30">
        <f>Inventory[[#This Row],[Adjusted Impr Total]]+Inventory[[#This Row],[Adjusted Land Total]]</f>
        <v>276600</v>
      </c>
      <c r="BQ1247" s="30">
        <f>IFERROR((Inventory[[#This Row],[Adjusted Impr Total]]-Inventory[[#This Row],[24Bldg]])/Inventory[[#This Row],[24Bldg]],0)</f>
        <v>0.21055651176133103</v>
      </c>
      <c r="BR1247" s="43">
        <f>(Inventory[[#This Row],[Adjusted Land Total]]-Inventory[[#This Row],[24Lnd]])/Inventory[[#This Row],[24Lnd]]</f>
        <v>-4.552352048558422E-3</v>
      </c>
      <c r="BS1247" s="43">
        <f>(Inventory[[#This Row],[Adjusted Total]]-Inventory[[#This Row],[24Final]])/Inventory[[#This Row],[24Final]]</f>
        <v>0.15154038301415487</v>
      </c>
    </row>
    <row r="1248" spans="1:71">
      <c r="A1248" s="30">
        <v>2025</v>
      </c>
      <c r="B1248" s="31" t="s">
        <v>1765</v>
      </c>
      <c r="C1248" s="36">
        <f>LN(Inventory[[#This Row],[Acres]])</f>
        <v>-1.4271163556401458</v>
      </c>
      <c r="D1248" s="38">
        <v>0.24</v>
      </c>
      <c r="E1248" s="37"/>
      <c r="F1248" s="31" t="s">
        <v>505</v>
      </c>
      <c r="G1248" s="31" t="s">
        <v>155</v>
      </c>
      <c r="H1248" s="31" t="s">
        <v>5</v>
      </c>
      <c r="I1248" s="31" t="s">
        <v>506</v>
      </c>
      <c r="J1248" s="31" t="s">
        <v>507</v>
      </c>
      <c r="K1248" s="31" t="s">
        <v>473</v>
      </c>
      <c r="L1248" s="31" t="s">
        <v>19</v>
      </c>
      <c r="M1248" s="31" t="s">
        <v>18</v>
      </c>
      <c r="N1248" s="31">
        <v>70</v>
      </c>
      <c r="O1248" s="31">
        <f>2024-Inventory[[#This Row],[YrBlt]]</f>
        <v>79</v>
      </c>
      <c r="P1248" s="31">
        <f>2024-Inventory[[#This Row],[EffYr]]</f>
        <v>52</v>
      </c>
      <c r="Q1248" s="30">
        <v>1945</v>
      </c>
      <c r="R1248" s="30">
        <v>1972</v>
      </c>
      <c r="S1248" s="30">
        <v>1158</v>
      </c>
      <c r="T1248" s="37"/>
      <c r="U1248" s="38">
        <v>1158</v>
      </c>
      <c r="V1248" s="32"/>
      <c r="W1248" s="38">
        <v>1158</v>
      </c>
      <c r="X1248" s="38">
        <f>Inventory[[#This Row],[Bsmt Area]]-Inventory[[#This Row],[FnBsmt]]</f>
        <v>0</v>
      </c>
      <c r="Y1248" s="38">
        <f>Inventory[[#This Row],[MainFn]]+Inventory[[#This Row],[UpprFn]]+Inventory[[#This Row],[AddFn]]+Inventory[[#This Row],[FnBsmt]]</f>
        <v>2316</v>
      </c>
      <c r="Z1248" s="32">
        <v>2500</v>
      </c>
      <c r="AA1248" s="31" t="s">
        <v>56</v>
      </c>
      <c r="AB1248" s="32"/>
      <c r="AC1248" s="32"/>
      <c r="AD1248" s="37"/>
      <c r="AE1248" s="32"/>
      <c r="AF1248" s="32"/>
      <c r="AG1248" s="32"/>
      <c r="AH1248" s="32"/>
      <c r="AI1248" s="30">
        <v>343595</v>
      </c>
      <c r="AJ1248" s="30">
        <v>233645</v>
      </c>
      <c r="AK1248" s="30">
        <v>24455</v>
      </c>
      <c r="AL1248" s="30">
        <v>0</v>
      </c>
      <c r="AM1248" s="30">
        <v>66500</v>
      </c>
      <c r="AN1248" s="30">
        <v>241300</v>
      </c>
      <c r="AO1248" s="30">
        <v>307800</v>
      </c>
      <c r="AP1248" s="30">
        <f>Lookups!$B$58*0.6</f>
        <v>132535.48800000001</v>
      </c>
      <c r="AQ1248" s="30">
        <f>Lookups!$B$58*0.4</f>
        <v>88356.992000000013</v>
      </c>
      <c r="AR1248" s="30">
        <f>Lookups!$B$59*Inventory[[#This Row],[LnAcres]]</f>
        <v>-18729.933155771436</v>
      </c>
      <c r="AS1248" s="30">
        <f>VLOOKUP(Inventory[[#This Row],[Qlty]],Lookups!$A$66:$E$79,2,FALSE)</f>
        <v>37154.252388000001</v>
      </c>
      <c r="AT1248" s="30">
        <f>VLOOKUP(Inventory[[#This Row],[Cnd]],Lookups!$A$80:$E$88,2,FALSE)</f>
        <v>17761.121909000001</v>
      </c>
      <c r="AU1248" s="30">
        <f>Inventory[[#This Row],[EffAge]]*Lookups!$B$65</f>
        <v>-5654.5371999999998</v>
      </c>
      <c r="AV1248" s="30">
        <f>Inventory[[#This Row],[MainFn]]*Lookups!$B$90</f>
        <v>72271.22004</v>
      </c>
      <c r="AW1248" s="30">
        <f>Inventory[[#This Row],[UpprFn]]*Lookups!$B$91</f>
        <v>0</v>
      </c>
      <c r="AX1248" s="30">
        <f>Inventory[[#This Row],[Bsmt Area]]*Lookups!$B$95</f>
        <v>72475.16236799999</v>
      </c>
      <c r="AY1248" s="30">
        <f>Inventory[[#This Row],[AttGar]]*Lookups!$B$93</f>
        <v>0</v>
      </c>
      <c r="AZ1248" s="30">
        <f>ROUND(Inventory[[#This Row],[25Det]],-2)</f>
        <v>24500</v>
      </c>
      <c r="BA1248" s="30">
        <f>ROUND(SUM(Inventory[[#This Row],[Mdl Qlty]:[Mdl Garage Area]])+Inventory[[#This Row],[Mdl Res Intercept]],-2)</f>
        <v>326500</v>
      </c>
      <c r="BB1248" s="30">
        <f>ROUND(Inventory[[#This Row],[Mdl Land Intercept]]+Inventory[[#This Row],[Mdl LnAcres]],-2)</f>
        <v>69600</v>
      </c>
      <c r="BC1248" s="30">
        <f>Inventory[[#This Row],[Unadj Res Value]]+Inventory[[#This Row],[Unadj Det Value]]+Inventory[[#This Row],[Unadj Land Value]]</f>
        <v>420600</v>
      </c>
      <c r="BD1248" s="30">
        <f>(Inventory[[#This Row],[Unadj Total Value]]-Inventory[[#This Row],[24Final]])/Inventory[[#This Row],[24Final]]</f>
        <v>0.3664717348927875</v>
      </c>
      <c r="BE1248" s="30">
        <f>VLOOKUP(Inventory[[#This Row],[Nbhd]],Lookups!$M$3:$P$5,4,FALSE)</f>
        <v>0.99970000000000003</v>
      </c>
      <c r="BF1248" s="30">
        <f>VLOOKUP(Inventory[[#This Row],[Qlty]],Lookups!$M$8:$P$22,4,FALSE)</f>
        <v>0.99819999999999998</v>
      </c>
      <c r="BG1248" s="30">
        <f>VLOOKUP(Inventory[[#This Row],[Cnd]],Lookups!$R$8:$U$17,4,FALSE)</f>
        <v>0.99680000000000002</v>
      </c>
      <c r="BH1248" s="30">
        <f>VLOOKUP(Inventory[[#This Row],[LivArea Range]],Lookups!$R$25:$U$43,4,FALSE)</f>
        <v>1.0008999999999999</v>
      </c>
      <c r="BI1248" s="30">
        <f>VLOOKUP(Inventory[[#This Row],[Decade]],Lookups!$M$24:$P$40,4,FALSE)</f>
        <v>1.0558000000000001</v>
      </c>
      <c r="BJ1248" s="30">
        <f>Inventory[[#This Row],[Nbhd Adj]]*0.95</f>
        <v>0.94971499999999998</v>
      </c>
      <c r="BK1248" s="30">
        <f>AVERAGE(Inventory[[#This Row],[Nbhd Adj]],Inventory[[#This Row],[Quality Adj]],Inventory[[#This Row],[Condition Adj]],Inventory[[#This Row],[Living Area Adj]],Inventory[[#This Row],[Decade Adj]])*0.95</f>
        <v>0.95976599999999979</v>
      </c>
      <c r="BL1248" s="30">
        <f>ROUND((SUM(Inventory[[#This Row],[Mdl Qlty]:[Mdl Garage Area]])+Inventory[[#This Row],[Mdl Res Intercept]])*Inventory[[#This Row],[Res Adj ]],-2)</f>
        <v>313400</v>
      </c>
      <c r="BM1248" s="30">
        <f>ROUND(Inventory[[#This Row],[25Det]]*Inventory[[#This Row],[Det/Nbhd Adj]],-2)</f>
        <v>23200</v>
      </c>
      <c r="BN1248" s="30">
        <f>Inventory[[#This Row],[Adjusted Res]]+Inventory[[#This Row],[Adj Det ]]</f>
        <v>336600</v>
      </c>
      <c r="BO1248" s="30">
        <f>ROUND((Inventory[[#This Row],[Mdl Land Intercept]]+Inventory[[#This Row],[Mdl LnAcres]])*Inventory[[#This Row],[Det/Nbhd Adj]],-2)</f>
        <v>66100</v>
      </c>
      <c r="BP1248" s="30">
        <f>Inventory[[#This Row],[Adjusted Impr Total]]+Inventory[[#This Row],[Adjusted Land Total]]</f>
        <v>402700</v>
      </c>
      <c r="BQ1248" s="30">
        <f>IFERROR((Inventory[[#This Row],[Adjusted Impr Total]]-Inventory[[#This Row],[24Bldg]])/Inventory[[#This Row],[24Bldg]],0)</f>
        <v>0.39494405304600083</v>
      </c>
      <c r="BR1248" s="43">
        <f>(Inventory[[#This Row],[Adjusted Land Total]]-Inventory[[#This Row],[24Lnd]])/Inventory[[#This Row],[24Lnd]]</f>
        <v>-6.0150375939849628E-3</v>
      </c>
      <c r="BS1248" s="43">
        <f>(Inventory[[#This Row],[Adjusted Total]]-Inventory[[#This Row],[24Final]])/Inventory[[#This Row],[24Final]]</f>
        <v>0.30831708901884342</v>
      </c>
    </row>
    <row r="1249" spans="1:71">
      <c r="A1249" s="30">
        <v>2025</v>
      </c>
      <c r="B1249" s="31" t="s">
        <v>1766</v>
      </c>
      <c r="C1249" s="36">
        <f>LN(Inventory[[#This Row],[Acres]])</f>
        <v>-1.2729656758128873</v>
      </c>
      <c r="D1249" s="38">
        <v>0.28000000000000003</v>
      </c>
      <c r="E1249" s="37"/>
      <c r="F1249" s="31" t="s">
        <v>505</v>
      </c>
      <c r="G1249" s="31" t="s">
        <v>155</v>
      </c>
      <c r="H1249" s="31" t="s">
        <v>5</v>
      </c>
      <c r="I1249" s="31" t="s">
        <v>506</v>
      </c>
      <c r="J1249" s="31" t="s">
        <v>507</v>
      </c>
      <c r="K1249" s="31" t="s">
        <v>473</v>
      </c>
      <c r="L1249" s="31" t="s">
        <v>15</v>
      </c>
      <c r="M1249" s="31" t="s">
        <v>22</v>
      </c>
      <c r="N1249" s="31">
        <v>70</v>
      </c>
      <c r="O1249" s="31">
        <f>2024-Inventory[[#This Row],[YrBlt]]</f>
        <v>79</v>
      </c>
      <c r="P1249" s="31">
        <f>2024-Inventory[[#This Row],[EffYr]]</f>
        <v>52</v>
      </c>
      <c r="Q1249" s="30">
        <v>1945</v>
      </c>
      <c r="R1249" s="30">
        <v>1972</v>
      </c>
      <c r="S1249" s="30">
        <v>1352</v>
      </c>
      <c r="T1249" s="32"/>
      <c r="U1249" s="32"/>
      <c r="V1249" s="32"/>
      <c r="W1249" s="32"/>
      <c r="X1249" s="32">
        <f>Inventory[[#This Row],[Bsmt Area]]-Inventory[[#This Row],[FnBsmt]]</f>
        <v>0</v>
      </c>
      <c r="Y1249" s="32">
        <f>Inventory[[#This Row],[MainFn]]+Inventory[[#This Row],[UpprFn]]+Inventory[[#This Row],[AddFn]]+Inventory[[#This Row],[FnBsmt]]</f>
        <v>1352</v>
      </c>
      <c r="Z1249" s="32">
        <v>1500</v>
      </c>
      <c r="AA1249" s="31" t="s">
        <v>56</v>
      </c>
      <c r="AB1249" s="32"/>
      <c r="AC1249" s="37"/>
      <c r="AD1249" s="32"/>
      <c r="AE1249" s="32"/>
      <c r="AF1249" s="32"/>
      <c r="AG1249" s="32"/>
      <c r="AH1249" s="32"/>
      <c r="AI1249" s="30">
        <v>205294</v>
      </c>
      <c r="AJ1249" s="30">
        <v>145759</v>
      </c>
      <c r="AK1249" s="30">
        <v>45695</v>
      </c>
      <c r="AL1249" s="30">
        <v>0</v>
      </c>
      <c r="AM1249" s="30">
        <v>68700</v>
      </c>
      <c r="AN1249" s="30">
        <v>266600</v>
      </c>
      <c r="AO1249" s="30">
        <v>335300</v>
      </c>
      <c r="AP1249" s="30">
        <f>Lookups!$B$58*0.6</f>
        <v>132535.48800000001</v>
      </c>
      <c r="AQ1249" s="30">
        <f>Lookups!$B$58*0.4</f>
        <v>88356.992000000013</v>
      </c>
      <c r="AR1249" s="30">
        <f>Lookups!$B$59*Inventory[[#This Row],[LnAcres]]</f>
        <v>-16706.81015135027</v>
      </c>
      <c r="AS1249" s="30">
        <f>VLOOKUP(Inventory[[#This Row],[Qlty]],Lookups!$A$66:$E$79,2,FALSE)</f>
        <v>-1240.8083630000001</v>
      </c>
      <c r="AT1249" s="30">
        <f>VLOOKUP(Inventory[[#This Row],[Cnd]],Lookups!$A$80:$E$88,2,FALSE)</f>
        <v>50438.379078999998</v>
      </c>
      <c r="AU1249" s="30">
        <f>Inventory[[#This Row],[EffAge]]*Lookups!$B$65</f>
        <v>-5654.5371999999998</v>
      </c>
      <c r="AV1249" s="30">
        <f>Inventory[[#This Row],[MainFn]]*Lookups!$B$90</f>
        <v>84378.833760000009</v>
      </c>
      <c r="AW1249" s="30">
        <f>Inventory[[#This Row],[UpprFn]]*Lookups!$B$91</f>
        <v>0</v>
      </c>
      <c r="AX1249" s="30">
        <f>Inventory[[#This Row],[Bsmt Area]]*Lookups!$B$95</f>
        <v>0</v>
      </c>
      <c r="AY1249" s="30">
        <f>Inventory[[#This Row],[AttGar]]*Lookups!$B$93</f>
        <v>0</v>
      </c>
      <c r="AZ1249" s="30">
        <f>ROUND(Inventory[[#This Row],[25Det]],-2)</f>
        <v>45700</v>
      </c>
      <c r="BA1249" s="30">
        <f>ROUND(SUM(Inventory[[#This Row],[Mdl Qlty]:[Mdl Garage Area]])+Inventory[[#This Row],[Mdl Res Intercept]],-2)</f>
        <v>260500</v>
      </c>
      <c r="BB1249" s="30">
        <f>ROUND(Inventory[[#This Row],[Mdl Land Intercept]]+Inventory[[#This Row],[Mdl LnAcres]],-2)</f>
        <v>71700</v>
      </c>
      <c r="BC1249" s="30">
        <f>Inventory[[#This Row],[Unadj Res Value]]+Inventory[[#This Row],[Unadj Det Value]]+Inventory[[#This Row],[Unadj Land Value]]</f>
        <v>377900</v>
      </c>
      <c r="BD1249" s="30">
        <f>(Inventory[[#This Row],[Unadj Total Value]]-Inventory[[#This Row],[24Final]])/Inventory[[#This Row],[24Final]]</f>
        <v>0.12705040262451536</v>
      </c>
      <c r="BE1249" s="30">
        <f>VLOOKUP(Inventory[[#This Row],[Nbhd]],Lookups!$M$3:$P$5,4,FALSE)</f>
        <v>0.99970000000000003</v>
      </c>
      <c r="BF1249" s="30">
        <f>VLOOKUP(Inventory[[#This Row],[Qlty]],Lookups!$M$8:$P$22,4,FALSE)</f>
        <v>1.0022</v>
      </c>
      <c r="BG1249" s="30">
        <f>VLOOKUP(Inventory[[#This Row],[Cnd]],Lookups!$R$8:$U$17,4,FALSE)</f>
        <v>1.0007999999999999</v>
      </c>
      <c r="BH1249" s="30">
        <f>VLOOKUP(Inventory[[#This Row],[LivArea Range]],Lookups!$R$25:$U$43,4,FALSE)</f>
        <v>0.99519999999999997</v>
      </c>
      <c r="BI1249" s="30">
        <f>VLOOKUP(Inventory[[#This Row],[Decade]],Lookups!$M$24:$P$40,4,FALSE)</f>
        <v>1.0558000000000001</v>
      </c>
      <c r="BJ1249" s="30">
        <f>Inventory[[#This Row],[Nbhd Adj]]*0.95</f>
        <v>0.94971499999999998</v>
      </c>
      <c r="BK1249" s="30">
        <f>AVERAGE(Inventory[[#This Row],[Nbhd Adj]],Inventory[[#This Row],[Quality Adj]],Inventory[[#This Row],[Condition Adj]],Inventory[[#This Row],[Living Area Adj]],Inventory[[#This Row],[Decade Adj]])*0.95</f>
        <v>0.96020299999999992</v>
      </c>
      <c r="BL1249" s="30">
        <f>ROUND((SUM(Inventory[[#This Row],[Mdl Qlty]:[Mdl Garage Area]])+Inventory[[#This Row],[Mdl Res Intercept]])*Inventory[[#This Row],[Res Adj ]],-2)</f>
        <v>250100</v>
      </c>
      <c r="BM1249" s="30">
        <f>ROUND(Inventory[[#This Row],[25Det]]*Inventory[[#This Row],[Det/Nbhd Adj]],-2)</f>
        <v>43400</v>
      </c>
      <c r="BN1249" s="30">
        <f>Inventory[[#This Row],[Adjusted Res]]+Inventory[[#This Row],[Adj Det ]]</f>
        <v>293500</v>
      </c>
      <c r="BO1249" s="30">
        <f>ROUND((Inventory[[#This Row],[Mdl Land Intercept]]+Inventory[[#This Row],[Mdl LnAcres]])*Inventory[[#This Row],[Det/Nbhd Adj]],-2)</f>
        <v>68000</v>
      </c>
      <c r="BP1249" s="30">
        <f>Inventory[[#This Row],[Adjusted Impr Total]]+Inventory[[#This Row],[Adjusted Land Total]]</f>
        <v>361500</v>
      </c>
      <c r="BQ1249" s="30">
        <f>IFERROR((Inventory[[#This Row],[Adjusted Impr Total]]-Inventory[[#This Row],[24Bldg]])/Inventory[[#This Row],[24Bldg]],0)</f>
        <v>0.10090022505626407</v>
      </c>
      <c r="BR1249" s="43">
        <f>(Inventory[[#This Row],[Adjusted Land Total]]-Inventory[[#This Row],[24Lnd]])/Inventory[[#This Row],[24Lnd]]</f>
        <v>-1.0189228529839884E-2</v>
      </c>
      <c r="BS1249" s="43">
        <f>(Inventory[[#This Row],[Adjusted Total]]-Inventory[[#This Row],[24Final]])/Inventory[[#This Row],[24Final]]</f>
        <v>7.8138980017894419E-2</v>
      </c>
    </row>
    <row r="1250" spans="1:71">
      <c r="A1250" s="30">
        <v>2025</v>
      </c>
      <c r="B1250" s="31" t="s">
        <v>1767</v>
      </c>
      <c r="C1250" s="36">
        <f>LN(Inventory[[#This Row],[Acres]])</f>
        <v>-1.4696759700589417</v>
      </c>
      <c r="D1250" s="38">
        <v>0.23</v>
      </c>
      <c r="E1250" s="30">
        <v>10008</v>
      </c>
      <c r="F1250" s="31" t="s">
        <v>505</v>
      </c>
      <c r="G1250" s="31" t="s">
        <v>155</v>
      </c>
      <c r="H1250" s="31" t="s">
        <v>5</v>
      </c>
      <c r="I1250" s="31" t="s">
        <v>506</v>
      </c>
      <c r="J1250" s="31" t="s">
        <v>507</v>
      </c>
      <c r="K1250" s="31" t="s">
        <v>473</v>
      </c>
      <c r="L1250" s="31" t="s">
        <v>13</v>
      </c>
      <c r="M1250" s="31" t="s">
        <v>18</v>
      </c>
      <c r="N1250" s="31">
        <v>80</v>
      </c>
      <c r="O1250" s="31">
        <f>2024-Inventory[[#This Row],[YrBlt]]</f>
        <v>83</v>
      </c>
      <c r="P1250" s="31">
        <f>2024-Inventory[[#This Row],[EffYr]]</f>
        <v>52</v>
      </c>
      <c r="Q1250" s="30">
        <v>1941</v>
      </c>
      <c r="R1250" s="30">
        <v>1972</v>
      </c>
      <c r="S1250" s="30">
        <v>968</v>
      </c>
      <c r="T1250" s="32"/>
      <c r="U1250" s="38">
        <v>100</v>
      </c>
      <c r="V1250" s="32"/>
      <c r="W1250" s="32"/>
      <c r="X1250" s="32">
        <f>Inventory[[#This Row],[Bsmt Area]]-Inventory[[#This Row],[FnBsmt]]</f>
        <v>100</v>
      </c>
      <c r="Y1250" s="32">
        <f>Inventory[[#This Row],[MainFn]]+Inventory[[#This Row],[UpprFn]]+Inventory[[#This Row],[AddFn]]+Inventory[[#This Row],[FnBsmt]]</f>
        <v>968</v>
      </c>
      <c r="Z1250" s="32">
        <v>1000</v>
      </c>
      <c r="AA1250" s="31" t="s">
        <v>56</v>
      </c>
      <c r="AB1250" s="32"/>
      <c r="AC1250" s="37"/>
      <c r="AD1250" s="32"/>
      <c r="AE1250" s="32"/>
      <c r="AF1250" s="32"/>
      <c r="AG1250" s="32"/>
      <c r="AH1250" s="32"/>
      <c r="AI1250" s="30">
        <v>142489</v>
      </c>
      <c r="AJ1250" s="30">
        <v>96893</v>
      </c>
      <c r="AK1250" s="30">
        <v>10254</v>
      </c>
      <c r="AL1250" s="30">
        <v>0</v>
      </c>
      <c r="AM1250" s="30">
        <v>65900</v>
      </c>
      <c r="AN1250" s="30">
        <v>171300</v>
      </c>
      <c r="AO1250" s="30">
        <v>237200</v>
      </c>
      <c r="AP1250" s="30">
        <f>Lookups!$B$58*0.6</f>
        <v>132535.48800000001</v>
      </c>
      <c r="AQ1250" s="30">
        <f>Lookups!$B$58*0.4</f>
        <v>88356.992000000013</v>
      </c>
      <c r="AR1250" s="30">
        <f>Lookups!$B$59*Inventory[[#This Row],[LnAcres]]</f>
        <v>-19288.499197039939</v>
      </c>
      <c r="AS1250" s="30">
        <f>VLOOKUP(Inventory[[#This Row],[Qlty]],Lookups!$A$66:$E$79,2,FALSE)</f>
        <v>0</v>
      </c>
      <c r="AT1250" s="30">
        <f>VLOOKUP(Inventory[[#This Row],[Cnd]],Lookups!$A$80:$E$88,2,FALSE)</f>
        <v>17761.121909000001</v>
      </c>
      <c r="AU1250" s="30">
        <f>Inventory[[#This Row],[EffAge]]*Lookups!$B$65</f>
        <v>-5654.5371999999998</v>
      </c>
      <c r="AV1250" s="30">
        <f>Inventory[[#This Row],[MainFn]]*Lookups!$B$90</f>
        <v>60413.247840000004</v>
      </c>
      <c r="AW1250" s="30">
        <f>Inventory[[#This Row],[UpprFn]]*Lookups!$B$91</f>
        <v>0</v>
      </c>
      <c r="AX1250" s="30">
        <f>Inventory[[#This Row],[Bsmt Area]]*Lookups!$B$95</f>
        <v>6258.6495999999997</v>
      </c>
      <c r="AY1250" s="30">
        <f>Inventory[[#This Row],[AttGar]]*Lookups!$B$93</f>
        <v>0</v>
      </c>
      <c r="AZ1250" s="30">
        <f>ROUND(Inventory[[#This Row],[25Det]],-2)</f>
        <v>10300</v>
      </c>
      <c r="BA1250" s="30">
        <f>ROUND(SUM(Inventory[[#This Row],[Mdl Qlty]:[Mdl Garage Area]])+Inventory[[#This Row],[Mdl Res Intercept]],-2)</f>
        <v>211300</v>
      </c>
      <c r="BB1250" s="30">
        <f>ROUND(Inventory[[#This Row],[Mdl Land Intercept]]+Inventory[[#This Row],[Mdl LnAcres]],-2)</f>
        <v>69100</v>
      </c>
      <c r="BC1250" s="30">
        <f>Inventory[[#This Row],[Unadj Res Value]]+Inventory[[#This Row],[Unadj Det Value]]+Inventory[[#This Row],[Unadj Land Value]]</f>
        <v>290700</v>
      </c>
      <c r="BD1250" s="30">
        <f>(Inventory[[#This Row],[Unadj Total Value]]-Inventory[[#This Row],[24Final]])/Inventory[[#This Row],[24Final]]</f>
        <v>0.22554806070826308</v>
      </c>
      <c r="BE1250" s="30">
        <f>VLOOKUP(Inventory[[#This Row],[Nbhd]],Lookups!$M$3:$P$5,4,FALSE)</f>
        <v>0.99970000000000003</v>
      </c>
      <c r="BF1250" s="30">
        <f>VLOOKUP(Inventory[[#This Row],[Qlty]],Lookups!$M$8:$P$22,4,FALSE)</f>
        <v>1.0003</v>
      </c>
      <c r="BG1250" s="30">
        <f>VLOOKUP(Inventory[[#This Row],[Cnd]],Lookups!$R$8:$U$17,4,FALSE)</f>
        <v>0.99680000000000002</v>
      </c>
      <c r="BH1250" s="30">
        <f>VLOOKUP(Inventory[[#This Row],[LivArea Range]],Lookups!$R$25:$U$43,4,FALSE)</f>
        <v>1</v>
      </c>
      <c r="BI1250" s="30">
        <f>VLOOKUP(Inventory[[#This Row],[Decade]],Lookups!$M$24:$P$40,4,FALSE)</f>
        <v>1</v>
      </c>
      <c r="BJ1250" s="30">
        <f>Inventory[[#This Row],[Nbhd Adj]]*0.95</f>
        <v>0.94971499999999998</v>
      </c>
      <c r="BK1250" s="30">
        <f>AVERAGE(Inventory[[#This Row],[Nbhd Adj]],Inventory[[#This Row],[Quality Adj]],Inventory[[#This Row],[Condition Adj]],Inventory[[#This Row],[Living Area Adj]],Inventory[[#This Row],[Decade Adj]])*0.95</f>
        <v>0.94939200000000001</v>
      </c>
      <c r="BL1250" s="30">
        <f>ROUND((SUM(Inventory[[#This Row],[Mdl Qlty]:[Mdl Garage Area]])+Inventory[[#This Row],[Mdl Res Intercept]])*Inventory[[#This Row],[Res Adj ]],-2)</f>
        <v>200600</v>
      </c>
      <c r="BM1250" s="30">
        <f>ROUND(Inventory[[#This Row],[25Det]]*Inventory[[#This Row],[Det/Nbhd Adj]],-2)</f>
        <v>9700</v>
      </c>
      <c r="BN1250" s="30">
        <f>Inventory[[#This Row],[Adjusted Res]]+Inventory[[#This Row],[Adj Det ]]</f>
        <v>210300</v>
      </c>
      <c r="BO1250" s="30">
        <f>ROUND((Inventory[[#This Row],[Mdl Land Intercept]]+Inventory[[#This Row],[Mdl LnAcres]])*Inventory[[#This Row],[Det/Nbhd Adj]],-2)</f>
        <v>65600</v>
      </c>
      <c r="BP1250" s="30">
        <f>Inventory[[#This Row],[Adjusted Impr Total]]+Inventory[[#This Row],[Adjusted Land Total]]</f>
        <v>275900</v>
      </c>
      <c r="BQ1250" s="30">
        <f>IFERROR((Inventory[[#This Row],[Adjusted Impr Total]]-Inventory[[#This Row],[24Bldg]])/Inventory[[#This Row],[24Bldg]],0)</f>
        <v>0.22767075306479859</v>
      </c>
      <c r="BR1250" s="43">
        <f>(Inventory[[#This Row],[Adjusted Land Total]]-Inventory[[#This Row],[24Lnd]])/Inventory[[#This Row],[24Lnd]]</f>
        <v>-4.552352048558422E-3</v>
      </c>
      <c r="BS1250" s="43">
        <f>(Inventory[[#This Row],[Adjusted Total]]-Inventory[[#This Row],[24Final]])/Inventory[[#This Row],[24Final]]</f>
        <v>0.16315345699831366</v>
      </c>
    </row>
    <row r="1251" spans="1:71">
      <c r="A1251" s="30">
        <v>2025</v>
      </c>
      <c r="B1251" s="31" t="s">
        <v>1768</v>
      </c>
      <c r="C1251" s="36">
        <f>LN(Inventory[[#This Row],[Acres]])</f>
        <v>-1.3862943611198906</v>
      </c>
      <c r="D1251" s="38">
        <v>0.25</v>
      </c>
      <c r="E1251" s="30">
        <v>10869</v>
      </c>
      <c r="F1251" s="31" t="s">
        <v>505</v>
      </c>
      <c r="G1251" s="31" t="s">
        <v>155</v>
      </c>
      <c r="H1251" s="31" t="s">
        <v>5</v>
      </c>
      <c r="I1251" s="31" t="s">
        <v>506</v>
      </c>
      <c r="J1251" s="31" t="s">
        <v>507</v>
      </c>
      <c r="K1251" s="31" t="s">
        <v>473</v>
      </c>
      <c r="L1251" s="31" t="s">
        <v>11</v>
      </c>
      <c r="M1251" s="31" t="s">
        <v>20</v>
      </c>
      <c r="N1251" s="31">
        <v>80</v>
      </c>
      <c r="O1251" s="31">
        <f>2024-Inventory[[#This Row],[YrBlt]]</f>
        <v>83</v>
      </c>
      <c r="P1251" s="31">
        <f>2024-Inventory[[#This Row],[EffYr]]</f>
        <v>52</v>
      </c>
      <c r="Q1251" s="30">
        <v>1941</v>
      </c>
      <c r="R1251" s="30">
        <v>1972</v>
      </c>
      <c r="S1251" s="30">
        <v>1242</v>
      </c>
      <c r="T1251" s="37"/>
      <c r="U1251" s="32"/>
      <c r="V1251" s="32"/>
      <c r="W1251" s="32"/>
      <c r="X1251" s="32">
        <f>Inventory[[#This Row],[Bsmt Area]]-Inventory[[#This Row],[FnBsmt]]</f>
        <v>0</v>
      </c>
      <c r="Y1251" s="32">
        <f>Inventory[[#This Row],[MainFn]]+Inventory[[#This Row],[UpprFn]]+Inventory[[#This Row],[AddFn]]+Inventory[[#This Row],[FnBsmt]]</f>
        <v>1242</v>
      </c>
      <c r="Z1251" s="32">
        <v>1500</v>
      </c>
      <c r="AA1251" s="31" t="s">
        <v>56</v>
      </c>
      <c r="AB1251" s="32"/>
      <c r="AC1251" s="37"/>
      <c r="AD1251" s="32"/>
      <c r="AE1251" s="32"/>
      <c r="AF1251" s="32"/>
      <c r="AG1251" s="32"/>
      <c r="AH1251" s="32"/>
      <c r="AI1251" s="30">
        <v>156399</v>
      </c>
      <c r="AJ1251" s="30">
        <v>109479</v>
      </c>
      <c r="AK1251" s="30">
        <v>5158</v>
      </c>
      <c r="AL1251" s="30">
        <v>0</v>
      </c>
      <c r="AM1251" s="30">
        <v>67100</v>
      </c>
      <c r="AN1251" s="30">
        <v>179700</v>
      </c>
      <c r="AO1251" s="30">
        <v>246800</v>
      </c>
      <c r="AP1251" s="30">
        <f>Lookups!$B$58*0.6</f>
        <v>132535.48800000001</v>
      </c>
      <c r="AQ1251" s="30">
        <f>Lookups!$B$58*0.4</f>
        <v>88356.992000000013</v>
      </c>
      <c r="AR1251" s="30">
        <f>Lookups!$B$59*Inventory[[#This Row],[LnAcres]]</f>
        <v>-18194.172195827363</v>
      </c>
      <c r="AS1251" s="30">
        <f>VLOOKUP(Inventory[[#This Row],[Qlty]],Lookups!$A$66:$E$79,2,FALSE)</f>
        <v>-9114.1675108666695</v>
      </c>
      <c r="AT1251" s="30">
        <f>VLOOKUP(Inventory[[#This Row],[Cnd]],Lookups!$A$80:$E$88,2,FALSE)</f>
        <v>30300.329274</v>
      </c>
      <c r="AU1251" s="30">
        <f>Inventory[[#This Row],[EffAge]]*Lookups!$B$65</f>
        <v>-5654.5371999999998</v>
      </c>
      <c r="AV1251" s="30">
        <f>Inventory[[#This Row],[MainFn]]*Lookups!$B$90</f>
        <v>77513.691960000011</v>
      </c>
      <c r="AW1251" s="30">
        <f>Inventory[[#This Row],[UpprFn]]*Lookups!$B$91</f>
        <v>0</v>
      </c>
      <c r="AX1251" s="30">
        <f>Inventory[[#This Row],[Bsmt Area]]*Lookups!$B$95</f>
        <v>0</v>
      </c>
      <c r="AY1251" s="30">
        <f>Inventory[[#This Row],[AttGar]]*Lookups!$B$93</f>
        <v>0</v>
      </c>
      <c r="AZ1251" s="30">
        <f>ROUND(Inventory[[#This Row],[25Det]],-2)</f>
        <v>5200</v>
      </c>
      <c r="BA1251" s="30">
        <f>ROUND(SUM(Inventory[[#This Row],[Mdl Qlty]:[Mdl Garage Area]])+Inventory[[#This Row],[Mdl Res Intercept]],-2)</f>
        <v>225600</v>
      </c>
      <c r="BB1251" s="30">
        <f>ROUND(Inventory[[#This Row],[Mdl Land Intercept]]+Inventory[[#This Row],[Mdl LnAcres]],-2)</f>
        <v>70200</v>
      </c>
      <c r="BC1251" s="30">
        <f>Inventory[[#This Row],[Unadj Res Value]]+Inventory[[#This Row],[Unadj Det Value]]+Inventory[[#This Row],[Unadj Land Value]]</f>
        <v>301000</v>
      </c>
      <c r="BD1251" s="30">
        <f>(Inventory[[#This Row],[Unadj Total Value]]-Inventory[[#This Row],[24Final]])/Inventory[[#This Row],[24Final]]</f>
        <v>0.21961102106969205</v>
      </c>
      <c r="BE1251" s="30">
        <f>VLOOKUP(Inventory[[#This Row],[Nbhd]],Lookups!$M$3:$P$5,4,FALSE)</f>
        <v>0.99970000000000003</v>
      </c>
      <c r="BF1251" s="30">
        <f>VLOOKUP(Inventory[[#This Row],[Qlty]],Lookups!$M$8:$P$22,4,FALSE)</f>
        <v>1</v>
      </c>
      <c r="BG1251" s="30">
        <f>VLOOKUP(Inventory[[#This Row],[Cnd]],Lookups!$R$8:$U$17,4,FALSE)</f>
        <v>0.997</v>
      </c>
      <c r="BH1251" s="30">
        <f>VLOOKUP(Inventory[[#This Row],[LivArea Range]],Lookups!$R$25:$U$43,4,FALSE)</f>
        <v>0.99519999999999997</v>
      </c>
      <c r="BI1251" s="30">
        <f>VLOOKUP(Inventory[[#This Row],[Decade]],Lookups!$M$24:$P$40,4,FALSE)</f>
        <v>1</v>
      </c>
      <c r="BJ1251" s="30">
        <f>Inventory[[#This Row],[Nbhd Adj]]*0.95</f>
        <v>0.94971499999999998</v>
      </c>
      <c r="BK1251" s="30">
        <f>AVERAGE(Inventory[[#This Row],[Nbhd Adj]],Inventory[[#This Row],[Quality Adj]],Inventory[[#This Row],[Condition Adj]],Inventory[[#This Row],[Living Area Adj]],Inventory[[#This Row],[Decade Adj]])*0.95</f>
        <v>0.948461</v>
      </c>
      <c r="BL1251" s="30">
        <f>ROUND((SUM(Inventory[[#This Row],[Mdl Qlty]:[Mdl Garage Area]])+Inventory[[#This Row],[Mdl Res Intercept]])*Inventory[[#This Row],[Res Adj ]],-2)</f>
        <v>214000</v>
      </c>
      <c r="BM1251" s="30">
        <f>ROUND(Inventory[[#This Row],[25Det]]*Inventory[[#This Row],[Det/Nbhd Adj]],-2)</f>
        <v>4900</v>
      </c>
      <c r="BN1251" s="30">
        <f>Inventory[[#This Row],[Adjusted Res]]+Inventory[[#This Row],[Adj Det ]]</f>
        <v>218900</v>
      </c>
      <c r="BO1251" s="30">
        <f>ROUND((Inventory[[#This Row],[Mdl Land Intercept]]+Inventory[[#This Row],[Mdl LnAcres]])*Inventory[[#This Row],[Det/Nbhd Adj]],-2)</f>
        <v>66600</v>
      </c>
      <c r="BP1251" s="30">
        <f>Inventory[[#This Row],[Adjusted Impr Total]]+Inventory[[#This Row],[Adjusted Land Total]]</f>
        <v>285500</v>
      </c>
      <c r="BQ1251" s="30">
        <f>IFERROR((Inventory[[#This Row],[Adjusted Impr Total]]-Inventory[[#This Row],[24Bldg]])/Inventory[[#This Row],[24Bldg]],0)</f>
        <v>0.21814134668892599</v>
      </c>
      <c r="BR1251" s="43">
        <f>(Inventory[[#This Row],[Adjusted Land Total]]-Inventory[[#This Row],[24Lnd]])/Inventory[[#This Row],[24Lnd]]</f>
        <v>-7.4515648286140089E-3</v>
      </c>
      <c r="BS1251" s="43">
        <f>(Inventory[[#This Row],[Adjusted Total]]-Inventory[[#This Row],[24Final]])/Inventory[[#This Row],[24Final]]</f>
        <v>0.15680713128038898</v>
      </c>
    </row>
    <row r="1252" spans="1:71">
      <c r="A1252" s="30">
        <v>2025</v>
      </c>
      <c r="B1252" s="31" t="s">
        <v>1769</v>
      </c>
      <c r="C1252" s="36">
        <f>LN(Inventory[[#This Row],[Acres]])</f>
        <v>-2.2072749131897207</v>
      </c>
      <c r="D1252" s="38">
        <v>0.11</v>
      </c>
      <c r="E1252" s="30">
        <v>4814</v>
      </c>
      <c r="F1252" s="31" t="s">
        <v>505</v>
      </c>
      <c r="G1252" s="31" t="s">
        <v>155</v>
      </c>
      <c r="H1252" s="31" t="s">
        <v>5</v>
      </c>
      <c r="I1252" s="31" t="s">
        <v>506</v>
      </c>
      <c r="J1252" s="31" t="s">
        <v>507</v>
      </c>
      <c r="K1252" s="31" t="s">
        <v>475</v>
      </c>
      <c r="L1252" s="31" t="s">
        <v>15</v>
      </c>
      <c r="M1252" s="31" t="s">
        <v>20</v>
      </c>
      <c r="N1252" s="31">
        <v>80</v>
      </c>
      <c r="O1252" s="31">
        <f>2024-Inventory[[#This Row],[YrBlt]]</f>
        <v>84</v>
      </c>
      <c r="P1252" s="31">
        <f>2024-Inventory[[#This Row],[EffYr]]</f>
        <v>52</v>
      </c>
      <c r="Q1252" s="30">
        <v>1940</v>
      </c>
      <c r="R1252" s="30">
        <v>1972</v>
      </c>
      <c r="S1252" s="30">
        <v>1072</v>
      </c>
      <c r="T1252" s="32"/>
      <c r="U1252" s="32"/>
      <c r="V1252" s="32"/>
      <c r="W1252" s="32"/>
      <c r="X1252" s="32">
        <f>Inventory[[#This Row],[Bsmt Area]]-Inventory[[#This Row],[FnBsmt]]</f>
        <v>0</v>
      </c>
      <c r="Y1252" s="32">
        <f>Inventory[[#This Row],[MainFn]]+Inventory[[#This Row],[UpprFn]]+Inventory[[#This Row],[AddFn]]+Inventory[[#This Row],[FnBsmt]]</f>
        <v>1072</v>
      </c>
      <c r="Z1252" s="32">
        <v>1500</v>
      </c>
      <c r="AA1252" s="31" t="s">
        <v>56</v>
      </c>
      <c r="AB1252" s="32"/>
      <c r="AC1252" s="30">
        <v>666</v>
      </c>
      <c r="AD1252" s="32"/>
      <c r="AE1252" s="32"/>
      <c r="AF1252" s="32"/>
      <c r="AG1252" s="32"/>
      <c r="AH1252" s="32"/>
      <c r="AI1252" s="30">
        <v>196867</v>
      </c>
      <c r="AJ1252" s="30">
        <v>137807</v>
      </c>
      <c r="AK1252" s="30">
        <v>2630</v>
      </c>
      <c r="AL1252" s="30">
        <v>0</v>
      </c>
      <c r="AM1252" s="30">
        <v>55600</v>
      </c>
      <c r="AN1252" s="30">
        <v>224400</v>
      </c>
      <c r="AO1252" s="30">
        <v>280000</v>
      </c>
      <c r="AP1252" s="30">
        <f>Lookups!$B$58*0.6</f>
        <v>132535.48800000001</v>
      </c>
      <c r="AQ1252" s="30">
        <f>Lookups!$B$58*0.4</f>
        <v>88356.992000000013</v>
      </c>
      <c r="AR1252" s="30">
        <f>Lookups!$B$59*Inventory[[#This Row],[LnAcres]]</f>
        <v>-28968.984495949029</v>
      </c>
      <c r="AS1252" s="30">
        <f>VLOOKUP(Inventory[[#This Row],[Qlty]],Lookups!$A$66:$E$79,2,FALSE)</f>
        <v>-1240.8083630000001</v>
      </c>
      <c r="AT1252" s="30">
        <f>VLOOKUP(Inventory[[#This Row],[Cnd]],Lookups!$A$80:$E$88,2,FALSE)</f>
        <v>30300.329274</v>
      </c>
      <c r="AU1252" s="30">
        <f>Inventory[[#This Row],[EffAge]]*Lookups!$B$65</f>
        <v>-5654.5371999999998</v>
      </c>
      <c r="AV1252" s="30">
        <f>Inventory[[#This Row],[MainFn]]*Lookups!$B$90</f>
        <v>66903.927360000001</v>
      </c>
      <c r="AW1252" s="30">
        <f>Inventory[[#This Row],[UpprFn]]*Lookups!$B$91</f>
        <v>0</v>
      </c>
      <c r="AX1252" s="30">
        <f>Inventory[[#This Row],[Bsmt Area]]*Lookups!$B$95</f>
        <v>0</v>
      </c>
      <c r="AY1252" s="30">
        <f>Inventory[[#This Row],[AttGar]]*Lookups!$B$93</f>
        <v>23510.486646000001</v>
      </c>
      <c r="AZ1252" s="30">
        <f>ROUND(Inventory[[#This Row],[25Det]],-2)</f>
        <v>2600</v>
      </c>
      <c r="BA1252" s="30">
        <f>ROUND(SUM(Inventory[[#This Row],[Mdl Qlty]:[Mdl Garage Area]])+Inventory[[#This Row],[Mdl Res Intercept]],-2)</f>
        <v>246400</v>
      </c>
      <c r="BB1252" s="30">
        <f>ROUND(Inventory[[#This Row],[Mdl Land Intercept]]+Inventory[[#This Row],[Mdl LnAcres]],-2)</f>
        <v>59400</v>
      </c>
      <c r="BC1252" s="30">
        <f>Inventory[[#This Row],[Unadj Res Value]]+Inventory[[#This Row],[Unadj Det Value]]+Inventory[[#This Row],[Unadj Land Value]]</f>
        <v>308400</v>
      </c>
      <c r="BD1252" s="30">
        <f>(Inventory[[#This Row],[Unadj Total Value]]-Inventory[[#This Row],[24Final]])/Inventory[[#This Row],[24Final]]</f>
        <v>0.10142857142857142</v>
      </c>
      <c r="BE1252" s="30">
        <f>VLOOKUP(Inventory[[#This Row],[Nbhd]],Lookups!$M$3:$P$5,4,FALSE)</f>
        <v>0.99970000000000003</v>
      </c>
      <c r="BF1252" s="30">
        <f>VLOOKUP(Inventory[[#This Row],[Qlty]],Lookups!$M$8:$P$22,4,FALSE)</f>
        <v>1.0022</v>
      </c>
      <c r="BG1252" s="30">
        <f>VLOOKUP(Inventory[[#This Row],[Cnd]],Lookups!$R$8:$U$17,4,FALSE)</f>
        <v>0.997</v>
      </c>
      <c r="BH1252" s="30">
        <f>VLOOKUP(Inventory[[#This Row],[LivArea Range]],Lookups!$R$25:$U$43,4,FALSE)</f>
        <v>0.99519999999999997</v>
      </c>
      <c r="BI1252" s="30">
        <f>VLOOKUP(Inventory[[#This Row],[Decade]],Lookups!$M$24:$P$40,4,FALSE)</f>
        <v>1</v>
      </c>
      <c r="BJ1252" s="30">
        <f>Inventory[[#This Row],[Nbhd Adj]]*0.95</f>
        <v>0.94971499999999998</v>
      </c>
      <c r="BK1252" s="30">
        <f>AVERAGE(Inventory[[#This Row],[Nbhd Adj]],Inventory[[#This Row],[Quality Adj]],Inventory[[#This Row],[Condition Adj]],Inventory[[#This Row],[Living Area Adj]],Inventory[[#This Row],[Decade Adj]])*0.95</f>
        <v>0.94887899999999992</v>
      </c>
      <c r="BL1252" s="30">
        <f>ROUND((SUM(Inventory[[#This Row],[Mdl Qlty]:[Mdl Garage Area]])+Inventory[[#This Row],[Mdl Res Intercept]])*Inventory[[#This Row],[Res Adj ]],-2)</f>
        <v>233800</v>
      </c>
      <c r="BM1252" s="30">
        <f>ROUND(Inventory[[#This Row],[25Det]]*Inventory[[#This Row],[Det/Nbhd Adj]],-2)</f>
        <v>2500</v>
      </c>
      <c r="BN1252" s="30">
        <f>Inventory[[#This Row],[Adjusted Res]]+Inventory[[#This Row],[Adj Det ]]</f>
        <v>236300</v>
      </c>
      <c r="BO1252" s="30">
        <f>ROUND((Inventory[[#This Row],[Mdl Land Intercept]]+Inventory[[#This Row],[Mdl LnAcres]])*Inventory[[#This Row],[Det/Nbhd Adj]],-2)</f>
        <v>56400</v>
      </c>
      <c r="BP1252" s="30">
        <f>Inventory[[#This Row],[Adjusted Impr Total]]+Inventory[[#This Row],[Adjusted Land Total]]</f>
        <v>292700</v>
      </c>
      <c r="BQ1252" s="30">
        <f>IFERROR((Inventory[[#This Row],[Adjusted Impr Total]]-Inventory[[#This Row],[24Bldg]])/Inventory[[#This Row],[24Bldg]],0)</f>
        <v>5.3030303030303032E-2</v>
      </c>
      <c r="BR1252" s="43">
        <f>(Inventory[[#This Row],[Adjusted Land Total]]-Inventory[[#This Row],[24Lnd]])/Inventory[[#This Row],[24Lnd]]</f>
        <v>1.4388489208633094E-2</v>
      </c>
      <c r="BS1252" s="43">
        <f>(Inventory[[#This Row],[Adjusted Total]]-Inventory[[#This Row],[24Final]])/Inventory[[#This Row],[24Final]]</f>
        <v>4.535714285714286E-2</v>
      </c>
    </row>
    <row r="1253" spans="1:71">
      <c r="A1253" s="30">
        <v>2025</v>
      </c>
      <c r="B1253" s="31" t="s">
        <v>1770</v>
      </c>
      <c r="C1253" s="36">
        <f>LN(Inventory[[#This Row],[Acres]])</f>
        <v>-2.0402208285265546</v>
      </c>
      <c r="D1253" s="38">
        <v>0.13</v>
      </c>
      <c r="E1253" s="30">
        <v>5770</v>
      </c>
      <c r="F1253" s="31" t="s">
        <v>505</v>
      </c>
      <c r="G1253" s="31" t="s">
        <v>155</v>
      </c>
      <c r="H1253" s="31" t="s">
        <v>5</v>
      </c>
      <c r="I1253" s="31" t="s">
        <v>506</v>
      </c>
      <c r="J1253" s="31" t="s">
        <v>507</v>
      </c>
      <c r="K1253" s="31" t="s">
        <v>473</v>
      </c>
      <c r="L1253" s="31" t="s">
        <v>19</v>
      </c>
      <c r="M1253" s="31" t="s">
        <v>20</v>
      </c>
      <c r="N1253" s="31">
        <v>80</v>
      </c>
      <c r="O1253" s="31">
        <f>2024-Inventory[[#This Row],[YrBlt]]</f>
        <v>84</v>
      </c>
      <c r="P1253" s="31">
        <f>2024-Inventory[[#This Row],[EffYr]]</f>
        <v>33</v>
      </c>
      <c r="Q1253" s="30">
        <v>1940</v>
      </c>
      <c r="R1253" s="30">
        <v>1991</v>
      </c>
      <c r="S1253" s="30">
        <v>1782</v>
      </c>
      <c r="T1253" s="38">
        <v>432</v>
      </c>
      <c r="U1253" s="32"/>
      <c r="V1253" s="32"/>
      <c r="W1253" s="32"/>
      <c r="X1253" s="32">
        <f>Inventory[[#This Row],[Bsmt Area]]-Inventory[[#This Row],[FnBsmt]]</f>
        <v>0</v>
      </c>
      <c r="Y1253" s="32">
        <f>Inventory[[#This Row],[MainFn]]+Inventory[[#This Row],[UpprFn]]+Inventory[[#This Row],[AddFn]]+Inventory[[#This Row],[FnBsmt]]</f>
        <v>2214</v>
      </c>
      <c r="Z1253" s="32">
        <v>2500</v>
      </c>
      <c r="AA1253" s="31" t="s">
        <v>55</v>
      </c>
      <c r="AB1253" s="32"/>
      <c r="AC1253" s="37"/>
      <c r="AD1253" s="32"/>
      <c r="AE1253" s="32"/>
      <c r="AF1253" s="32"/>
      <c r="AG1253" s="32"/>
      <c r="AH1253" s="38">
        <v>84</v>
      </c>
      <c r="AI1253" s="30">
        <v>243994</v>
      </c>
      <c r="AJ1253" s="30">
        <v>170796</v>
      </c>
      <c r="AK1253" s="30">
        <v>0</v>
      </c>
      <c r="AL1253" s="30">
        <v>0</v>
      </c>
      <c r="AM1253" s="30">
        <v>57900</v>
      </c>
      <c r="AN1253" s="30">
        <v>241200</v>
      </c>
      <c r="AO1253" s="30">
        <v>299100</v>
      </c>
      <c r="AP1253" s="30">
        <f>Lookups!$B$58*0.6</f>
        <v>132535.48800000001</v>
      </c>
      <c r="AQ1253" s="30">
        <f>Lookups!$B$58*0.4</f>
        <v>88356.992000000013</v>
      </c>
      <c r="AR1253" s="30">
        <f>Lookups!$B$59*Inventory[[#This Row],[LnAcres]]</f>
        <v>-26776.513064468461</v>
      </c>
      <c r="AS1253" s="30">
        <f>VLOOKUP(Inventory[[#This Row],[Qlty]],Lookups!$A$66:$E$79,2,FALSE)</f>
        <v>37154.252388000001</v>
      </c>
      <c r="AT1253" s="30">
        <f>VLOOKUP(Inventory[[#This Row],[Cnd]],Lookups!$A$80:$E$88,2,FALSE)</f>
        <v>30300.329274</v>
      </c>
      <c r="AU1253" s="30">
        <f>Inventory[[#This Row],[EffAge]]*Lookups!$B$65</f>
        <v>-3588.4563000000003</v>
      </c>
      <c r="AV1253" s="30">
        <f>Inventory[[#This Row],[MainFn]]*Lookups!$B$90</f>
        <v>111215.29716</v>
      </c>
      <c r="AW1253" s="30">
        <f>Inventory[[#This Row],[UpprFn]]*Lookups!$B$91</f>
        <v>25738.725456</v>
      </c>
      <c r="AX1253" s="30">
        <f>Inventory[[#This Row],[Bsmt Area]]*Lookups!$B$95</f>
        <v>0</v>
      </c>
      <c r="AY1253" s="30">
        <f>Inventory[[#This Row],[AttGar]]*Lookups!$B$93</f>
        <v>0</v>
      </c>
      <c r="AZ1253" s="30">
        <f>ROUND(Inventory[[#This Row],[25Det]],-2)</f>
        <v>0</v>
      </c>
      <c r="BA1253" s="30">
        <f>ROUND(SUM(Inventory[[#This Row],[Mdl Qlty]:[Mdl Garage Area]])+Inventory[[#This Row],[Mdl Res Intercept]],-2)</f>
        <v>333400</v>
      </c>
      <c r="BB1253" s="30">
        <f>ROUND(Inventory[[#This Row],[Mdl Land Intercept]]+Inventory[[#This Row],[Mdl LnAcres]],-2)</f>
        <v>61600</v>
      </c>
      <c r="BC1253" s="30">
        <f>Inventory[[#This Row],[Unadj Res Value]]+Inventory[[#This Row],[Unadj Det Value]]+Inventory[[#This Row],[Unadj Land Value]]</f>
        <v>395000</v>
      </c>
      <c r="BD1253" s="30">
        <f>(Inventory[[#This Row],[Unadj Total Value]]-Inventory[[#This Row],[24Final]])/Inventory[[#This Row],[24Final]]</f>
        <v>0.32062855232363757</v>
      </c>
      <c r="BE1253" s="30">
        <f>VLOOKUP(Inventory[[#This Row],[Nbhd]],Lookups!$M$3:$P$5,4,FALSE)</f>
        <v>0.99970000000000003</v>
      </c>
      <c r="BF1253" s="30">
        <f>VLOOKUP(Inventory[[#This Row],[Qlty]],Lookups!$M$8:$P$22,4,FALSE)</f>
        <v>0.99819999999999998</v>
      </c>
      <c r="BG1253" s="30">
        <f>VLOOKUP(Inventory[[#This Row],[Cnd]],Lookups!$R$8:$U$17,4,FALSE)</f>
        <v>0.997</v>
      </c>
      <c r="BH1253" s="30">
        <f>VLOOKUP(Inventory[[#This Row],[LivArea Range]],Lookups!$R$25:$U$43,4,FALSE)</f>
        <v>1.0008999999999999</v>
      </c>
      <c r="BI1253" s="30">
        <f>VLOOKUP(Inventory[[#This Row],[Decade]],Lookups!$M$24:$P$40,4,FALSE)</f>
        <v>1</v>
      </c>
      <c r="BJ1253" s="30">
        <f>Inventory[[#This Row],[Nbhd Adj]]*0.95</f>
        <v>0.94971499999999998</v>
      </c>
      <c r="BK1253" s="30">
        <f>AVERAGE(Inventory[[#This Row],[Nbhd Adj]],Inventory[[#This Row],[Quality Adj]],Inventory[[#This Row],[Condition Adj]],Inventory[[#This Row],[Living Area Adj]],Inventory[[#This Row],[Decade Adj]])*0.95</f>
        <v>0.94920199999999999</v>
      </c>
      <c r="BL1253" s="30">
        <f>ROUND((SUM(Inventory[[#This Row],[Mdl Qlty]:[Mdl Garage Area]])+Inventory[[#This Row],[Mdl Res Intercept]])*Inventory[[#This Row],[Res Adj ]],-2)</f>
        <v>316400</v>
      </c>
      <c r="BM1253" s="30">
        <f>ROUND(Inventory[[#This Row],[25Det]]*Inventory[[#This Row],[Det/Nbhd Adj]],-2)</f>
        <v>0</v>
      </c>
      <c r="BN1253" s="30">
        <f>Inventory[[#This Row],[Adjusted Res]]+Inventory[[#This Row],[Adj Det ]]</f>
        <v>316400</v>
      </c>
      <c r="BO1253" s="30">
        <f>ROUND((Inventory[[#This Row],[Mdl Land Intercept]]+Inventory[[#This Row],[Mdl LnAcres]])*Inventory[[#This Row],[Det/Nbhd Adj]],-2)</f>
        <v>58500</v>
      </c>
      <c r="BP1253" s="30">
        <f>Inventory[[#This Row],[Adjusted Impr Total]]+Inventory[[#This Row],[Adjusted Land Total]]</f>
        <v>374900</v>
      </c>
      <c r="BQ1253" s="30">
        <f>IFERROR((Inventory[[#This Row],[Adjusted Impr Total]]-Inventory[[#This Row],[24Bldg]])/Inventory[[#This Row],[24Bldg]],0)</f>
        <v>0.3117744610281924</v>
      </c>
      <c r="BR1253" s="43">
        <f>(Inventory[[#This Row],[Adjusted Land Total]]-Inventory[[#This Row],[24Lnd]])/Inventory[[#This Row],[24Lnd]]</f>
        <v>1.0362694300518135E-2</v>
      </c>
      <c r="BS1253" s="43">
        <f>(Inventory[[#This Row],[Adjusted Total]]-Inventory[[#This Row],[24Final]])/Inventory[[#This Row],[24Final]]</f>
        <v>0.25342694750919426</v>
      </c>
    </row>
    <row r="1254" spans="1:71">
      <c r="A1254" s="30">
        <v>2025</v>
      </c>
      <c r="B1254" s="31" t="s">
        <v>1771</v>
      </c>
      <c r="C1254" s="36">
        <f>LN(Inventory[[#This Row],[Acres]])</f>
        <v>-2.0402208285265546</v>
      </c>
      <c r="D1254" s="38">
        <v>0.13</v>
      </c>
      <c r="E1254" s="30">
        <v>5782</v>
      </c>
      <c r="F1254" s="31" t="s">
        <v>505</v>
      </c>
      <c r="G1254" s="31" t="s">
        <v>155</v>
      </c>
      <c r="H1254" s="31" t="s">
        <v>5</v>
      </c>
      <c r="I1254" s="31" t="s">
        <v>506</v>
      </c>
      <c r="J1254" s="31" t="s">
        <v>507</v>
      </c>
      <c r="K1254" s="31" t="s">
        <v>473</v>
      </c>
      <c r="L1254" s="31" t="s">
        <v>11</v>
      </c>
      <c r="M1254" s="31" t="s">
        <v>16</v>
      </c>
      <c r="N1254" s="31">
        <v>80</v>
      </c>
      <c r="O1254" s="31">
        <f>2024-Inventory[[#This Row],[YrBlt]]</f>
        <v>84</v>
      </c>
      <c r="P1254" s="31">
        <f>2024-Inventory[[#This Row],[EffYr]]</f>
        <v>52</v>
      </c>
      <c r="Q1254" s="30">
        <v>1940</v>
      </c>
      <c r="R1254" s="30">
        <v>1972</v>
      </c>
      <c r="S1254" s="30">
        <v>672</v>
      </c>
      <c r="T1254" s="32"/>
      <c r="U1254" s="32"/>
      <c r="V1254" s="32"/>
      <c r="W1254" s="32"/>
      <c r="X1254" s="32">
        <f>Inventory[[#This Row],[Bsmt Area]]-Inventory[[#This Row],[FnBsmt]]</f>
        <v>0</v>
      </c>
      <c r="Y1254" s="32">
        <f>Inventory[[#This Row],[MainFn]]+Inventory[[#This Row],[UpprFn]]+Inventory[[#This Row],[AddFn]]+Inventory[[#This Row],[FnBsmt]]</f>
        <v>672</v>
      </c>
      <c r="Z1254" s="32">
        <v>1000</v>
      </c>
      <c r="AA1254" s="31" t="s">
        <v>56</v>
      </c>
      <c r="AB1254" s="32"/>
      <c r="AC1254" s="37"/>
      <c r="AD1254" s="32"/>
      <c r="AE1254" s="32"/>
      <c r="AF1254" s="32"/>
      <c r="AG1254" s="32"/>
      <c r="AH1254" s="32"/>
      <c r="AI1254" s="30">
        <v>93845</v>
      </c>
      <c r="AJ1254" s="30">
        <v>61938</v>
      </c>
      <c r="AK1254" s="30">
        <v>0</v>
      </c>
      <c r="AL1254" s="30">
        <v>0</v>
      </c>
      <c r="AM1254" s="30">
        <v>57900</v>
      </c>
      <c r="AN1254" s="30">
        <v>136200</v>
      </c>
      <c r="AO1254" s="30">
        <v>194100</v>
      </c>
      <c r="AP1254" s="30">
        <f>Lookups!$B$58*0.6</f>
        <v>132535.48800000001</v>
      </c>
      <c r="AQ1254" s="30">
        <f>Lookups!$B$58*0.4</f>
        <v>88356.992000000013</v>
      </c>
      <c r="AR1254" s="30">
        <f>Lookups!$B$59*Inventory[[#This Row],[LnAcres]]</f>
        <v>-26776.513064468461</v>
      </c>
      <c r="AS1254" s="30">
        <f>VLOOKUP(Inventory[[#This Row],[Qlty]],Lookups!$A$66:$E$79,2,FALSE)</f>
        <v>-9114.1675108666695</v>
      </c>
      <c r="AT1254" s="30">
        <f>VLOOKUP(Inventory[[#This Row],[Cnd]],Lookups!$A$80:$E$88,2,FALSE)</f>
        <v>0</v>
      </c>
      <c r="AU1254" s="30">
        <f>Inventory[[#This Row],[EffAge]]*Lookups!$B$65</f>
        <v>-5654.5371999999998</v>
      </c>
      <c r="AV1254" s="30">
        <f>Inventory[[#This Row],[MainFn]]*Lookups!$B$90</f>
        <v>41939.77536</v>
      </c>
      <c r="AW1254" s="30">
        <f>Inventory[[#This Row],[UpprFn]]*Lookups!$B$91</f>
        <v>0</v>
      </c>
      <c r="AX1254" s="30">
        <f>Inventory[[#This Row],[Bsmt Area]]*Lookups!$B$95</f>
        <v>0</v>
      </c>
      <c r="AY1254" s="30">
        <f>Inventory[[#This Row],[AttGar]]*Lookups!$B$93</f>
        <v>0</v>
      </c>
      <c r="AZ1254" s="30">
        <f>ROUND(Inventory[[#This Row],[25Det]],-2)</f>
        <v>0</v>
      </c>
      <c r="BA1254" s="30">
        <f>ROUND(SUM(Inventory[[#This Row],[Mdl Qlty]:[Mdl Garage Area]])+Inventory[[#This Row],[Mdl Res Intercept]],-2)</f>
        <v>159700</v>
      </c>
      <c r="BB1254" s="30">
        <f>ROUND(Inventory[[#This Row],[Mdl Land Intercept]]+Inventory[[#This Row],[Mdl LnAcres]],-2)</f>
        <v>61600</v>
      </c>
      <c r="BC1254" s="30">
        <f>Inventory[[#This Row],[Unadj Res Value]]+Inventory[[#This Row],[Unadj Det Value]]+Inventory[[#This Row],[Unadj Land Value]]</f>
        <v>221300</v>
      </c>
      <c r="BD1254" s="30">
        <f>(Inventory[[#This Row],[Unadj Total Value]]-Inventory[[#This Row],[24Final]])/Inventory[[#This Row],[24Final]]</f>
        <v>0.14013395157135497</v>
      </c>
      <c r="BE1254" s="30">
        <f>VLOOKUP(Inventory[[#This Row],[Nbhd]],Lookups!$M$3:$P$5,4,FALSE)</f>
        <v>0.99970000000000003</v>
      </c>
      <c r="BF1254" s="30">
        <f>VLOOKUP(Inventory[[#This Row],[Qlty]],Lookups!$M$8:$P$22,4,FALSE)</f>
        <v>1</v>
      </c>
      <c r="BG1254" s="30">
        <f>VLOOKUP(Inventory[[#This Row],[Cnd]],Lookups!$R$8:$U$17,4,FALSE)</f>
        <v>1</v>
      </c>
      <c r="BH1254" s="30">
        <f>VLOOKUP(Inventory[[#This Row],[LivArea Range]],Lookups!$R$25:$U$43,4,FALSE)</f>
        <v>1</v>
      </c>
      <c r="BI1254" s="30">
        <f>VLOOKUP(Inventory[[#This Row],[Decade]],Lookups!$M$24:$P$40,4,FALSE)</f>
        <v>1</v>
      </c>
      <c r="BJ1254" s="30">
        <f>Inventory[[#This Row],[Nbhd Adj]]*0.95</f>
        <v>0.94971499999999998</v>
      </c>
      <c r="BK1254" s="30">
        <f>AVERAGE(Inventory[[#This Row],[Nbhd Adj]],Inventory[[#This Row],[Quality Adj]],Inventory[[#This Row],[Condition Adj]],Inventory[[#This Row],[Living Area Adj]],Inventory[[#This Row],[Decade Adj]])*0.95</f>
        <v>0.94994299999999987</v>
      </c>
      <c r="BL1254" s="30">
        <f>ROUND((SUM(Inventory[[#This Row],[Mdl Qlty]:[Mdl Garage Area]])+Inventory[[#This Row],[Mdl Res Intercept]])*Inventory[[#This Row],[Res Adj ]],-2)</f>
        <v>151700</v>
      </c>
      <c r="BM1254" s="30">
        <f>ROUND(Inventory[[#This Row],[25Det]]*Inventory[[#This Row],[Det/Nbhd Adj]],-2)</f>
        <v>0</v>
      </c>
      <c r="BN1254" s="30">
        <f>Inventory[[#This Row],[Adjusted Res]]+Inventory[[#This Row],[Adj Det ]]</f>
        <v>151700</v>
      </c>
      <c r="BO1254" s="30">
        <f>ROUND((Inventory[[#This Row],[Mdl Land Intercept]]+Inventory[[#This Row],[Mdl LnAcres]])*Inventory[[#This Row],[Det/Nbhd Adj]],-2)</f>
        <v>58500</v>
      </c>
      <c r="BP1254" s="30">
        <f>Inventory[[#This Row],[Adjusted Impr Total]]+Inventory[[#This Row],[Adjusted Land Total]]</f>
        <v>210200</v>
      </c>
      <c r="BQ1254" s="30">
        <f>IFERROR((Inventory[[#This Row],[Adjusted Impr Total]]-Inventory[[#This Row],[24Bldg]])/Inventory[[#This Row],[24Bldg]],0)</f>
        <v>0.11380323054331865</v>
      </c>
      <c r="BR1254" s="43">
        <f>(Inventory[[#This Row],[Adjusted Land Total]]-Inventory[[#This Row],[24Lnd]])/Inventory[[#This Row],[24Lnd]]</f>
        <v>1.0362694300518135E-2</v>
      </c>
      <c r="BS1254" s="43">
        <f>(Inventory[[#This Row],[Adjusted Total]]-Inventory[[#This Row],[24Final]])/Inventory[[#This Row],[24Final]]</f>
        <v>8.294693456980938E-2</v>
      </c>
    </row>
    <row r="1255" spans="1:71">
      <c r="A1255" s="30">
        <v>2025</v>
      </c>
      <c r="B1255" s="31" t="s">
        <v>1772</v>
      </c>
      <c r="C1255" s="36">
        <f>LN(Inventory[[#This Row],[Acres]])</f>
        <v>-2.0402208285265546</v>
      </c>
      <c r="D1255" s="38">
        <v>0.13</v>
      </c>
      <c r="E1255" s="30">
        <v>5694</v>
      </c>
      <c r="F1255" s="31" t="s">
        <v>505</v>
      </c>
      <c r="G1255" s="31" t="s">
        <v>155</v>
      </c>
      <c r="H1255" s="31" t="s">
        <v>5</v>
      </c>
      <c r="I1255" s="31" t="s">
        <v>506</v>
      </c>
      <c r="J1255" s="31" t="s">
        <v>507</v>
      </c>
      <c r="K1255" s="31" t="s">
        <v>473</v>
      </c>
      <c r="L1255" s="31" t="s">
        <v>13</v>
      </c>
      <c r="M1255" s="31" t="s">
        <v>20</v>
      </c>
      <c r="N1255" s="31">
        <v>80</v>
      </c>
      <c r="O1255" s="31">
        <f>2024-Inventory[[#This Row],[YrBlt]]</f>
        <v>84</v>
      </c>
      <c r="P1255" s="31">
        <f>2024-Inventory[[#This Row],[EffYr]]</f>
        <v>52</v>
      </c>
      <c r="Q1255" s="30">
        <v>1940</v>
      </c>
      <c r="R1255" s="30">
        <v>1972</v>
      </c>
      <c r="S1255" s="30">
        <v>779</v>
      </c>
      <c r="T1255" s="37"/>
      <c r="U1255" s="32"/>
      <c r="V1255" s="32"/>
      <c r="W1255" s="32"/>
      <c r="X1255" s="32">
        <f>Inventory[[#This Row],[Bsmt Area]]-Inventory[[#This Row],[FnBsmt]]</f>
        <v>0</v>
      </c>
      <c r="Y1255" s="32">
        <f>Inventory[[#This Row],[MainFn]]+Inventory[[#This Row],[UpprFn]]+Inventory[[#This Row],[AddFn]]+Inventory[[#This Row],[FnBsmt]]</f>
        <v>779</v>
      </c>
      <c r="Z1255" s="32">
        <v>1000</v>
      </c>
      <c r="AA1255" s="31" t="s">
        <v>56</v>
      </c>
      <c r="AB1255" s="32"/>
      <c r="AC1255" s="32"/>
      <c r="AD1255" s="37"/>
      <c r="AE1255" s="32"/>
      <c r="AF1255" s="32"/>
      <c r="AG1255" s="32"/>
      <c r="AH1255" s="32"/>
      <c r="AI1255" s="30">
        <v>115876</v>
      </c>
      <c r="AJ1255" s="30">
        <v>81113</v>
      </c>
      <c r="AK1255" s="30">
        <v>0</v>
      </c>
      <c r="AL1255" s="30">
        <v>0</v>
      </c>
      <c r="AM1255" s="30">
        <v>57900</v>
      </c>
      <c r="AN1255" s="30">
        <v>166900</v>
      </c>
      <c r="AO1255" s="30">
        <v>224800</v>
      </c>
      <c r="AP1255" s="30">
        <f>Lookups!$B$58*0.6</f>
        <v>132535.48800000001</v>
      </c>
      <c r="AQ1255" s="30">
        <f>Lookups!$B$58*0.4</f>
        <v>88356.992000000013</v>
      </c>
      <c r="AR1255" s="30">
        <f>Lookups!$B$59*Inventory[[#This Row],[LnAcres]]</f>
        <v>-26776.513064468461</v>
      </c>
      <c r="AS1255" s="30">
        <f>VLOOKUP(Inventory[[#This Row],[Qlty]],Lookups!$A$66:$E$79,2,FALSE)</f>
        <v>0</v>
      </c>
      <c r="AT1255" s="30">
        <f>VLOOKUP(Inventory[[#This Row],[Cnd]],Lookups!$A$80:$E$88,2,FALSE)</f>
        <v>30300.329274</v>
      </c>
      <c r="AU1255" s="30">
        <f>Inventory[[#This Row],[EffAge]]*Lookups!$B$65</f>
        <v>-5654.5371999999998</v>
      </c>
      <c r="AV1255" s="30">
        <f>Inventory[[#This Row],[MainFn]]*Lookups!$B$90</f>
        <v>48617.686020000001</v>
      </c>
      <c r="AW1255" s="30">
        <f>Inventory[[#This Row],[UpprFn]]*Lookups!$B$91</f>
        <v>0</v>
      </c>
      <c r="AX1255" s="30">
        <f>Inventory[[#This Row],[Bsmt Area]]*Lookups!$B$95</f>
        <v>0</v>
      </c>
      <c r="AY1255" s="30">
        <f>Inventory[[#This Row],[AttGar]]*Lookups!$B$93</f>
        <v>0</v>
      </c>
      <c r="AZ1255" s="30">
        <f>ROUND(Inventory[[#This Row],[25Det]],-2)</f>
        <v>0</v>
      </c>
      <c r="BA1255" s="30">
        <f>ROUND(SUM(Inventory[[#This Row],[Mdl Qlty]:[Mdl Garage Area]])+Inventory[[#This Row],[Mdl Res Intercept]],-2)</f>
        <v>205800</v>
      </c>
      <c r="BB1255" s="30">
        <f>ROUND(Inventory[[#This Row],[Mdl Land Intercept]]+Inventory[[#This Row],[Mdl LnAcres]],-2)</f>
        <v>61600</v>
      </c>
      <c r="BC1255" s="30">
        <f>Inventory[[#This Row],[Unadj Res Value]]+Inventory[[#This Row],[Unadj Det Value]]+Inventory[[#This Row],[Unadj Land Value]]</f>
        <v>267400</v>
      </c>
      <c r="BD1255" s="30">
        <f>(Inventory[[#This Row],[Unadj Total Value]]-Inventory[[#This Row],[24Final]])/Inventory[[#This Row],[24Final]]</f>
        <v>0.18950177935943061</v>
      </c>
      <c r="BE1255" s="30">
        <f>VLOOKUP(Inventory[[#This Row],[Nbhd]],Lookups!$M$3:$P$5,4,FALSE)</f>
        <v>0.99970000000000003</v>
      </c>
      <c r="BF1255" s="30">
        <f>VLOOKUP(Inventory[[#This Row],[Qlty]],Lookups!$M$8:$P$22,4,FALSE)</f>
        <v>1.0003</v>
      </c>
      <c r="BG1255" s="30">
        <f>VLOOKUP(Inventory[[#This Row],[Cnd]],Lookups!$R$8:$U$17,4,FALSE)</f>
        <v>0.997</v>
      </c>
      <c r="BH1255" s="30">
        <f>VLOOKUP(Inventory[[#This Row],[LivArea Range]],Lookups!$R$25:$U$43,4,FALSE)</f>
        <v>1</v>
      </c>
      <c r="BI1255" s="30">
        <f>VLOOKUP(Inventory[[#This Row],[Decade]],Lookups!$M$24:$P$40,4,FALSE)</f>
        <v>1</v>
      </c>
      <c r="BJ1255" s="30">
        <f>Inventory[[#This Row],[Nbhd Adj]]*0.95</f>
        <v>0.94971499999999998</v>
      </c>
      <c r="BK1255" s="30">
        <f>AVERAGE(Inventory[[#This Row],[Nbhd Adj]],Inventory[[#This Row],[Quality Adj]],Inventory[[#This Row],[Condition Adj]],Inventory[[#This Row],[Living Area Adj]],Inventory[[#This Row],[Decade Adj]])*0.95</f>
        <v>0.94942999999999989</v>
      </c>
      <c r="BL1255" s="30">
        <f>ROUND((SUM(Inventory[[#This Row],[Mdl Qlty]:[Mdl Garage Area]])+Inventory[[#This Row],[Mdl Res Intercept]])*Inventory[[#This Row],[Res Adj ]],-2)</f>
        <v>195400</v>
      </c>
      <c r="BM1255" s="30">
        <f>ROUND(Inventory[[#This Row],[25Det]]*Inventory[[#This Row],[Det/Nbhd Adj]],-2)</f>
        <v>0</v>
      </c>
      <c r="BN1255" s="30">
        <f>Inventory[[#This Row],[Adjusted Res]]+Inventory[[#This Row],[Adj Det ]]</f>
        <v>195400</v>
      </c>
      <c r="BO1255" s="30">
        <f>ROUND((Inventory[[#This Row],[Mdl Land Intercept]]+Inventory[[#This Row],[Mdl LnAcres]])*Inventory[[#This Row],[Det/Nbhd Adj]],-2)</f>
        <v>58500</v>
      </c>
      <c r="BP1255" s="30">
        <f>Inventory[[#This Row],[Adjusted Impr Total]]+Inventory[[#This Row],[Adjusted Land Total]]</f>
        <v>253900</v>
      </c>
      <c r="BQ1255" s="30">
        <f>IFERROR((Inventory[[#This Row],[Adjusted Impr Total]]-Inventory[[#This Row],[24Bldg]])/Inventory[[#This Row],[24Bldg]],0)</f>
        <v>0.170760934691432</v>
      </c>
      <c r="BR1255" s="43">
        <f>(Inventory[[#This Row],[Adjusted Land Total]]-Inventory[[#This Row],[24Lnd]])/Inventory[[#This Row],[24Lnd]]</f>
        <v>1.0362694300518135E-2</v>
      </c>
      <c r="BS1255" s="43">
        <f>(Inventory[[#This Row],[Adjusted Total]]-Inventory[[#This Row],[24Final]])/Inventory[[#This Row],[24Final]]</f>
        <v>0.12944839857651247</v>
      </c>
    </row>
    <row r="1256" spans="1:71">
      <c r="A1256" s="30">
        <v>2025</v>
      </c>
      <c r="B1256" s="31" t="s">
        <v>1773</v>
      </c>
      <c r="C1256" s="36">
        <f>LN(Inventory[[#This Row],[Acres]])</f>
        <v>-2.0402208285265546</v>
      </c>
      <c r="D1256" s="38">
        <v>0.13</v>
      </c>
      <c r="E1256" s="30">
        <v>5634</v>
      </c>
      <c r="F1256" s="31" t="s">
        <v>505</v>
      </c>
      <c r="G1256" s="31" t="s">
        <v>155</v>
      </c>
      <c r="H1256" s="31" t="s">
        <v>5</v>
      </c>
      <c r="I1256" s="31" t="s">
        <v>506</v>
      </c>
      <c r="J1256" s="31" t="s">
        <v>507</v>
      </c>
      <c r="K1256" s="31" t="s">
        <v>473</v>
      </c>
      <c r="L1256" s="31" t="s">
        <v>13</v>
      </c>
      <c r="M1256" s="31" t="s">
        <v>20</v>
      </c>
      <c r="N1256" s="31">
        <v>80</v>
      </c>
      <c r="O1256" s="31">
        <f>2024-Inventory[[#This Row],[YrBlt]]</f>
        <v>84</v>
      </c>
      <c r="P1256" s="31">
        <f>2024-Inventory[[#This Row],[EffYr]]</f>
        <v>52</v>
      </c>
      <c r="Q1256" s="30">
        <v>1940</v>
      </c>
      <c r="R1256" s="30">
        <v>1972</v>
      </c>
      <c r="S1256" s="30">
        <v>660</v>
      </c>
      <c r="T1256" s="32"/>
      <c r="U1256" s="32"/>
      <c r="V1256" s="32"/>
      <c r="W1256" s="32"/>
      <c r="X1256" s="32">
        <f>Inventory[[#This Row],[Bsmt Area]]-Inventory[[#This Row],[FnBsmt]]</f>
        <v>0</v>
      </c>
      <c r="Y1256" s="32">
        <f>Inventory[[#This Row],[MainFn]]+Inventory[[#This Row],[UpprFn]]+Inventory[[#This Row],[AddFn]]+Inventory[[#This Row],[FnBsmt]]</f>
        <v>660</v>
      </c>
      <c r="Z1256" s="32">
        <v>1000</v>
      </c>
      <c r="AA1256" s="31" t="s">
        <v>56</v>
      </c>
      <c r="AB1256" s="32"/>
      <c r="AC1256" s="37"/>
      <c r="AD1256" s="32"/>
      <c r="AE1256" s="32"/>
      <c r="AF1256" s="32"/>
      <c r="AG1256" s="32"/>
      <c r="AH1256" s="32"/>
      <c r="AI1256" s="30">
        <v>96351</v>
      </c>
      <c r="AJ1256" s="30">
        <v>67446</v>
      </c>
      <c r="AK1256" s="30">
        <v>3597</v>
      </c>
      <c r="AL1256" s="30">
        <v>0</v>
      </c>
      <c r="AM1256" s="30">
        <v>57900</v>
      </c>
      <c r="AN1256" s="30">
        <v>161700</v>
      </c>
      <c r="AO1256" s="30">
        <v>219600</v>
      </c>
      <c r="AP1256" s="30">
        <f>Lookups!$B$58*0.6</f>
        <v>132535.48800000001</v>
      </c>
      <c r="AQ1256" s="30">
        <f>Lookups!$B$58*0.4</f>
        <v>88356.992000000013</v>
      </c>
      <c r="AR1256" s="30">
        <f>Lookups!$B$59*Inventory[[#This Row],[LnAcres]]</f>
        <v>-26776.513064468461</v>
      </c>
      <c r="AS1256" s="30">
        <f>VLOOKUP(Inventory[[#This Row],[Qlty]],Lookups!$A$66:$E$79,2,FALSE)</f>
        <v>0</v>
      </c>
      <c r="AT1256" s="30">
        <f>VLOOKUP(Inventory[[#This Row],[Cnd]],Lookups!$A$80:$E$88,2,FALSE)</f>
        <v>30300.329274</v>
      </c>
      <c r="AU1256" s="30">
        <f>Inventory[[#This Row],[EffAge]]*Lookups!$B$65</f>
        <v>-5654.5371999999998</v>
      </c>
      <c r="AV1256" s="30">
        <f>Inventory[[#This Row],[MainFn]]*Lookups!$B$90</f>
        <v>41190.8508</v>
      </c>
      <c r="AW1256" s="30">
        <f>Inventory[[#This Row],[UpprFn]]*Lookups!$B$91</f>
        <v>0</v>
      </c>
      <c r="AX1256" s="30">
        <f>Inventory[[#This Row],[Bsmt Area]]*Lookups!$B$95</f>
        <v>0</v>
      </c>
      <c r="AY1256" s="30">
        <f>Inventory[[#This Row],[AttGar]]*Lookups!$B$93</f>
        <v>0</v>
      </c>
      <c r="AZ1256" s="30">
        <f>ROUND(Inventory[[#This Row],[25Det]],-2)</f>
        <v>3600</v>
      </c>
      <c r="BA1256" s="30">
        <f>ROUND(SUM(Inventory[[#This Row],[Mdl Qlty]:[Mdl Garage Area]])+Inventory[[#This Row],[Mdl Res Intercept]],-2)</f>
        <v>198400</v>
      </c>
      <c r="BB1256" s="30">
        <f>ROUND(Inventory[[#This Row],[Mdl Land Intercept]]+Inventory[[#This Row],[Mdl LnAcres]],-2)</f>
        <v>61600</v>
      </c>
      <c r="BC1256" s="30">
        <f>Inventory[[#This Row],[Unadj Res Value]]+Inventory[[#This Row],[Unadj Det Value]]+Inventory[[#This Row],[Unadj Land Value]]</f>
        <v>263600</v>
      </c>
      <c r="BD1256" s="30">
        <f>(Inventory[[#This Row],[Unadj Total Value]]-Inventory[[#This Row],[24Final]])/Inventory[[#This Row],[24Final]]</f>
        <v>0.20036429872495445</v>
      </c>
      <c r="BE1256" s="30">
        <f>VLOOKUP(Inventory[[#This Row],[Nbhd]],Lookups!$M$3:$P$5,4,FALSE)</f>
        <v>0.99970000000000003</v>
      </c>
      <c r="BF1256" s="30">
        <f>VLOOKUP(Inventory[[#This Row],[Qlty]],Lookups!$M$8:$P$22,4,FALSE)</f>
        <v>1.0003</v>
      </c>
      <c r="BG1256" s="30">
        <f>VLOOKUP(Inventory[[#This Row],[Cnd]],Lookups!$R$8:$U$17,4,FALSE)</f>
        <v>0.997</v>
      </c>
      <c r="BH1256" s="30">
        <f>VLOOKUP(Inventory[[#This Row],[LivArea Range]],Lookups!$R$25:$U$43,4,FALSE)</f>
        <v>1</v>
      </c>
      <c r="BI1256" s="30">
        <f>VLOOKUP(Inventory[[#This Row],[Decade]],Lookups!$M$24:$P$40,4,FALSE)</f>
        <v>1</v>
      </c>
      <c r="BJ1256" s="30">
        <f>Inventory[[#This Row],[Nbhd Adj]]*0.95</f>
        <v>0.94971499999999998</v>
      </c>
      <c r="BK1256" s="30">
        <f>AVERAGE(Inventory[[#This Row],[Nbhd Adj]],Inventory[[#This Row],[Quality Adj]],Inventory[[#This Row],[Condition Adj]],Inventory[[#This Row],[Living Area Adj]],Inventory[[#This Row],[Decade Adj]])*0.95</f>
        <v>0.94942999999999989</v>
      </c>
      <c r="BL1256" s="30">
        <f>ROUND((SUM(Inventory[[#This Row],[Mdl Qlty]:[Mdl Garage Area]])+Inventory[[#This Row],[Mdl Res Intercept]])*Inventory[[#This Row],[Res Adj ]],-2)</f>
        <v>188300</v>
      </c>
      <c r="BM1256" s="30">
        <f>ROUND(Inventory[[#This Row],[25Det]]*Inventory[[#This Row],[Det/Nbhd Adj]],-2)</f>
        <v>3400</v>
      </c>
      <c r="BN1256" s="30">
        <f>Inventory[[#This Row],[Adjusted Res]]+Inventory[[#This Row],[Adj Det ]]</f>
        <v>191700</v>
      </c>
      <c r="BO1256" s="30">
        <f>ROUND((Inventory[[#This Row],[Mdl Land Intercept]]+Inventory[[#This Row],[Mdl LnAcres]])*Inventory[[#This Row],[Det/Nbhd Adj]],-2)</f>
        <v>58500</v>
      </c>
      <c r="BP1256" s="30">
        <f>Inventory[[#This Row],[Adjusted Impr Total]]+Inventory[[#This Row],[Adjusted Land Total]]</f>
        <v>250200</v>
      </c>
      <c r="BQ1256" s="30">
        <f>IFERROR((Inventory[[#This Row],[Adjusted Impr Total]]-Inventory[[#This Row],[24Bldg]])/Inventory[[#This Row],[24Bldg]],0)</f>
        <v>0.18552875695732837</v>
      </c>
      <c r="BR1256" s="43">
        <f>(Inventory[[#This Row],[Adjusted Land Total]]-Inventory[[#This Row],[24Lnd]])/Inventory[[#This Row],[24Lnd]]</f>
        <v>1.0362694300518135E-2</v>
      </c>
      <c r="BS1256" s="43">
        <f>(Inventory[[#This Row],[Adjusted Total]]-Inventory[[#This Row],[24Final]])/Inventory[[#This Row],[24Final]]</f>
        <v>0.13934426229508196</v>
      </c>
    </row>
    <row r="1257" spans="1:71">
      <c r="A1257" s="30">
        <v>2025</v>
      </c>
      <c r="B1257" s="31" t="s">
        <v>1774</v>
      </c>
      <c r="C1257" s="36">
        <f>LN(Inventory[[#This Row],[Acres]])</f>
        <v>-1.9661128563728327</v>
      </c>
      <c r="D1257" s="38">
        <v>0.14000000000000001</v>
      </c>
      <c r="E1257" s="30">
        <v>6250</v>
      </c>
      <c r="F1257" s="31" t="s">
        <v>505</v>
      </c>
      <c r="G1257" s="31" t="s">
        <v>155</v>
      </c>
      <c r="H1257" s="31" t="s">
        <v>5</v>
      </c>
      <c r="I1257" s="31" t="s">
        <v>506</v>
      </c>
      <c r="J1257" s="31" t="s">
        <v>507</v>
      </c>
      <c r="K1257" s="31" t="s">
        <v>475</v>
      </c>
      <c r="L1257" s="31" t="s">
        <v>13</v>
      </c>
      <c r="M1257" s="31" t="s">
        <v>16</v>
      </c>
      <c r="N1257" s="31">
        <v>80</v>
      </c>
      <c r="O1257" s="31">
        <f>2024-Inventory[[#This Row],[YrBlt]]</f>
        <v>84</v>
      </c>
      <c r="P1257" s="31">
        <f>2024-Inventory[[#This Row],[EffYr]]</f>
        <v>52</v>
      </c>
      <c r="Q1257" s="30">
        <v>1940</v>
      </c>
      <c r="R1257" s="30">
        <v>1972</v>
      </c>
      <c r="S1257" s="30">
        <v>694</v>
      </c>
      <c r="T1257" s="32"/>
      <c r="U1257" s="32"/>
      <c r="V1257" s="32"/>
      <c r="W1257" s="32"/>
      <c r="X1257" s="32">
        <f>Inventory[[#This Row],[Bsmt Area]]-Inventory[[#This Row],[FnBsmt]]</f>
        <v>0</v>
      </c>
      <c r="Y1257" s="32">
        <f>Inventory[[#This Row],[MainFn]]+Inventory[[#This Row],[UpprFn]]+Inventory[[#This Row],[AddFn]]+Inventory[[#This Row],[FnBsmt]]</f>
        <v>694</v>
      </c>
      <c r="Z1257" s="32">
        <v>1000</v>
      </c>
      <c r="AA1257" s="31" t="s">
        <v>56</v>
      </c>
      <c r="AB1257" s="37"/>
      <c r="AC1257" s="37"/>
      <c r="AD1257" s="32"/>
      <c r="AE1257" s="32"/>
      <c r="AF1257" s="32"/>
      <c r="AG1257" s="32"/>
      <c r="AH1257" s="32"/>
      <c r="AI1257" s="30">
        <v>100909</v>
      </c>
      <c r="AJ1257" s="30">
        <v>66600</v>
      </c>
      <c r="AK1257" s="30">
        <v>3095</v>
      </c>
      <c r="AL1257" s="30">
        <v>0</v>
      </c>
      <c r="AM1257" s="30">
        <v>59000</v>
      </c>
      <c r="AN1257" s="30">
        <v>152000</v>
      </c>
      <c r="AO1257" s="30">
        <v>211000</v>
      </c>
      <c r="AP1257" s="30">
        <f>Lookups!$B$58*0.6</f>
        <v>132535.48800000001</v>
      </c>
      <c r="AQ1257" s="30">
        <f>Lookups!$B$58*0.4</f>
        <v>88356.992000000013</v>
      </c>
      <c r="AR1257" s="30">
        <f>Lookups!$B$59*Inventory[[#This Row],[LnAcres]]</f>
        <v>-25803.896249263951</v>
      </c>
      <c r="AS1257" s="30">
        <f>VLOOKUP(Inventory[[#This Row],[Qlty]],Lookups!$A$66:$E$79,2,FALSE)</f>
        <v>0</v>
      </c>
      <c r="AT1257" s="30">
        <f>VLOOKUP(Inventory[[#This Row],[Cnd]],Lookups!$A$80:$E$88,2,FALSE)</f>
        <v>0</v>
      </c>
      <c r="AU1257" s="30">
        <f>Inventory[[#This Row],[EffAge]]*Lookups!$B$65</f>
        <v>-5654.5371999999998</v>
      </c>
      <c r="AV1257" s="30">
        <f>Inventory[[#This Row],[MainFn]]*Lookups!$B$90</f>
        <v>43312.803720000004</v>
      </c>
      <c r="AW1257" s="30">
        <f>Inventory[[#This Row],[UpprFn]]*Lookups!$B$91</f>
        <v>0</v>
      </c>
      <c r="AX1257" s="30">
        <f>Inventory[[#This Row],[Bsmt Area]]*Lookups!$B$95</f>
        <v>0</v>
      </c>
      <c r="AY1257" s="30">
        <f>Inventory[[#This Row],[AttGar]]*Lookups!$B$93</f>
        <v>0</v>
      </c>
      <c r="AZ1257" s="30">
        <f>ROUND(Inventory[[#This Row],[25Det]],-2)</f>
        <v>3100</v>
      </c>
      <c r="BA1257" s="30">
        <f>ROUND(SUM(Inventory[[#This Row],[Mdl Qlty]:[Mdl Garage Area]])+Inventory[[#This Row],[Mdl Res Intercept]],-2)</f>
        <v>170200</v>
      </c>
      <c r="BB1257" s="30">
        <f>ROUND(Inventory[[#This Row],[Mdl Land Intercept]]+Inventory[[#This Row],[Mdl LnAcres]],-2)</f>
        <v>62600</v>
      </c>
      <c r="BC1257" s="30">
        <f>Inventory[[#This Row],[Unadj Res Value]]+Inventory[[#This Row],[Unadj Det Value]]+Inventory[[#This Row],[Unadj Land Value]]</f>
        <v>235900</v>
      </c>
      <c r="BD1257" s="30">
        <f>(Inventory[[#This Row],[Unadj Total Value]]-Inventory[[#This Row],[24Final]])/Inventory[[#This Row],[24Final]]</f>
        <v>0.11800947867298578</v>
      </c>
      <c r="BE1257" s="30">
        <f>VLOOKUP(Inventory[[#This Row],[Nbhd]],Lookups!$M$3:$P$5,4,FALSE)</f>
        <v>0.99970000000000003</v>
      </c>
      <c r="BF1257" s="30">
        <f>VLOOKUP(Inventory[[#This Row],[Qlty]],Lookups!$M$8:$P$22,4,FALSE)</f>
        <v>1.0003</v>
      </c>
      <c r="BG1257" s="30">
        <f>VLOOKUP(Inventory[[#This Row],[Cnd]],Lookups!$R$8:$U$17,4,FALSE)</f>
        <v>1</v>
      </c>
      <c r="BH1257" s="30">
        <f>VLOOKUP(Inventory[[#This Row],[LivArea Range]],Lookups!$R$25:$U$43,4,FALSE)</f>
        <v>1</v>
      </c>
      <c r="BI1257" s="30">
        <f>VLOOKUP(Inventory[[#This Row],[Decade]],Lookups!$M$24:$P$40,4,FALSE)</f>
        <v>1</v>
      </c>
      <c r="BJ1257" s="30">
        <f>Inventory[[#This Row],[Nbhd Adj]]*0.95</f>
        <v>0.94971499999999998</v>
      </c>
      <c r="BK1257" s="30">
        <f>AVERAGE(Inventory[[#This Row],[Nbhd Adj]],Inventory[[#This Row],[Quality Adj]],Inventory[[#This Row],[Condition Adj]],Inventory[[#This Row],[Living Area Adj]],Inventory[[#This Row],[Decade Adj]])*0.95</f>
        <v>0.95</v>
      </c>
      <c r="BL1257" s="30">
        <f>ROUND((SUM(Inventory[[#This Row],[Mdl Qlty]:[Mdl Garage Area]])+Inventory[[#This Row],[Mdl Res Intercept]])*Inventory[[#This Row],[Res Adj ]],-2)</f>
        <v>161700</v>
      </c>
      <c r="BM1257" s="30">
        <f>ROUND(Inventory[[#This Row],[25Det]]*Inventory[[#This Row],[Det/Nbhd Adj]],-2)</f>
        <v>2900</v>
      </c>
      <c r="BN1257" s="30">
        <f>Inventory[[#This Row],[Adjusted Res]]+Inventory[[#This Row],[Adj Det ]]</f>
        <v>164600</v>
      </c>
      <c r="BO1257" s="30">
        <f>ROUND((Inventory[[#This Row],[Mdl Land Intercept]]+Inventory[[#This Row],[Mdl LnAcres]])*Inventory[[#This Row],[Det/Nbhd Adj]],-2)</f>
        <v>59400</v>
      </c>
      <c r="BP1257" s="30">
        <f>Inventory[[#This Row],[Adjusted Impr Total]]+Inventory[[#This Row],[Adjusted Land Total]]</f>
        <v>224000</v>
      </c>
      <c r="BQ1257" s="30">
        <f>IFERROR((Inventory[[#This Row],[Adjusted Impr Total]]-Inventory[[#This Row],[24Bldg]])/Inventory[[#This Row],[24Bldg]],0)</f>
        <v>8.2894736842105257E-2</v>
      </c>
      <c r="BR1257" s="43">
        <f>(Inventory[[#This Row],[Adjusted Land Total]]-Inventory[[#This Row],[24Lnd]])/Inventory[[#This Row],[24Lnd]]</f>
        <v>6.7796610169491523E-3</v>
      </c>
      <c r="BS1257" s="43">
        <f>(Inventory[[#This Row],[Adjusted Total]]-Inventory[[#This Row],[24Final]])/Inventory[[#This Row],[24Final]]</f>
        <v>6.1611374407582936E-2</v>
      </c>
    </row>
    <row r="1258" spans="1:71">
      <c r="A1258" s="30">
        <v>2025</v>
      </c>
      <c r="B1258" s="31" t="s">
        <v>1775</v>
      </c>
      <c r="C1258" s="36">
        <f>LN(Inventory[[#This Row],[Acres]])</f>
        <v>-1.9661128563728327</v>
      </c>
      <c r="D1258" s="38">
        <v>0.14000000000000001</v>
      </c>
      <c r="E1258" s="30">
        <v>6250</v>
      </c>
      <c r="F1258" s="31" t="s">
        <v>505</v>
      </c>
      <c r="G1258" s="31" t="s">
        <v>155</v>
      </c>
      <c r="H1258" s="31" t="s">
        <v>5</v>
      </c>
      <c r="I1258" s="31" t="s">
        <v>506</v>
      </c>
      <c r="J1258" s="31" t="s">
        <v>507</v>
      </c>
      <c r="K1258" s="31" t="s">
        <v>475</v>
      </c>
      <c r="L1258" s="31" t="s">
        <v>15</v>
      </c>
      <c r="M1258" s="31" t="s">
        <v>18</v>
      </c>
      <c r="N1258" s="31">
        <v>80</v>
      </c>
      <c r="O1258" s="31">
        <f>2024-Inventory[[#This Row],[YrBlt]]</f>
        <v>84</v>
      </c>
      <c r="P1258" s="31">
        <f>2024-Inventory[[#This Row],[EffYr]]</f>
        <v>52</v>
      </c>
      <c r="Q1258" s="30">
        <v>1940</v>
      </c>
      <c r="R1258" s="30">
        <v>1972</v>
      </c>
      <c r="S1258" s="30">
        <v>576</v>
      </c>
      <c r="T1258" s="32"/>
      <c r="U1258" s="32"/>
      <c r="V1258" s="32"/>
      <c r="W1258" s="32"/>
      <c r="X1258" s="32">
        <f>Inventory[[#This Row],[Bsmt Area]]-Inventory[[#This Row],[FnBsmt]]</f>
        <v>0</v>
      </c>
      <c r="Y1258" s="32">
        <f>Inventory[[#This Row],[MainFn]]+Inventory[[#This Row],[UpprFn]]+Inventory[[#This Row],[AddFn]]+Inventory[[#This Row],[FnBsmt]]</f>
        <v>576</v>
      </c>
      <c r="Z1258" s="32">
        <v>1000</v>
      </c>
      <c r="AA1258" s="31" t="s">
        <v>56</v>
      </c>
      <c r="AB1258" s="32"/>
      <c r="AC1258" s="37"/>
      <c r="AD1258" s="32"/>
      <c r="AE1258" s="32"/>
      <c r="AF1258" s="32"/>
      <c r="AG1258" s="32"/>
      <c r="AH1258" s="32"/>
      <c r="AI1258" s="30">
        <v>92520</v>
      </c>
      <c r="AJ1258" s="30">
        <v>62914</v>
      </c>
      <c r="AK1258" s="30">
        <v>0</v>
      </c>
      <c r="AL1258" s="30">
        <v>0</v>
      </c>
      <c r="AM1258" s="30">
        <v>59000</v>
      </c>
      <c r="AN1258" s="30">
        <v>155300</v>
      </c>
      <c r="AO1258" s="30">
        <v>214300</v>
      </c>
      <c r="AP1258" s="30">
        <f>Lookups!$B$58*0.6</f>
        <v>132535.48800000001</v>
      </c>
      <c r="AQ1258" s="30">
        <f>Lookups!$B$58*0.4</f>
        <v>88356.992000000013</v>
      </c>
      <c r="AR1258" s="30">
        <f>Lookups!$B$59*Inventory[[#This Row],[LnAcres]]</f>
        <v>-25803.896249263951</v>
      </c>
      <c r="AS1258" s="30">
        <f>VLOOKUP(Inventory[[#This Row],[Qlty]],Lookups!$A$66:$E$79,2,FALSE)</f>
        <v>-1240.8083630000001</v>
      </c>
      <c r="AT1258" s="30">
        <f>VLOOKUP(Inventory[[#This Row],[Cnd]],Lookups!$A$80:$E$88,2,FALSE)</f>
        <v>17761.121909000001</v>
      </c>
      <c r="AU1258" s="30">
        <f>Inventory[[#This Row],[EffAge]]*Lookups!$B$65</f>
        <v>-5654.5371999999998</v>
      </c>
      <c r="AV1258" s="30">
        <f>Inventory[[#This Row],[MainFn]]*Lookups!$B$90</f>
        <v>35948.378880000004</v>
      </c>
      <c r="AW1258" s="30">
        <f>Inventory[[#This Row],[UpprFn]]*Lookups!$B$91</f>
        <v>0</v>
      </c>
      <c r="AX1258" s="30">
        <f>Inventory[[#This Row],[Bsmt Area]]*Lookups!$B$95</f>
        <v>0</v>
      </c>
      <c r="AY1258" s="30">
        <f>Inventory[[#This Row],[AttGar]]*Lookups!$B$93</f>
        <v>0</v>
      </c>
      <c r="AZ1258" s="30">
        <f>ROUND(Inventory[[#This Row],[25Det]],-2)</f>
        <v>0</v>
      </c>
      <c r="BA1258" s="30">
        <f>ROUND(SUM(Inventory[[#This Row],[Mdl Qlty]:[Mdl Garage Area]])+Inventory[[#This Row],[Mdl Res Intercept]],-2)</f>
        <v>179300</v>
      </c>
      <c r="BB1258" s="30">
        <f>ROUND(Inventory[[#This Row],[Mdl Land Intercept]]+Inventory[[#This Row],[Mdl LnAcres]],-2)</f>
        <v>62600</v>
      </c>
      <c r="BC1258" s="30">
        <f>Inventory[[#This Row],[Unadj Res Value]]+Inventory[[#This Row],[Unadj Det Value]]+Inventory[[#This Row],[Unadj Land Value]]</f>
        <v>241900</v>
      </c>
      <c r="BD1258" s="30">
        <f>(Inventory[[#This Row],[Unadj Total Value]]-Inventory[[#This Row],[24Final]])/Inventory[[#This Row],[24Final]]</f>
        <v>0.12879141390573962</v>
      </c>
      <c r="BE1258" s="30">
        <f>VLOOKUP(Inventory[[#This Row],[Nbhd]],Lookups!$M$3:$P$5,4,FALSE)</f>
        <v>0.99970000000000003</v>
      </c>
      <c r="BF1258" s="30">
        <f>VLOOKUP(Inventory[[#This Row],[Qlty]],Lookups!$M$8:$P$22,4,FALSE)</f>
        <v>1.0022</v>
      </c>
      <c r="BG1258" s="30">
        <f>VLOOKUP(Inventory[[#This Row],[Cnd]],Lookups!$R$8:$U$17,4,FALSE)</f>
        <v>0.99680000000000002</v>
      </c>
      <c r="BH1258" s="30">
        <f>VLOOKUP(Inventory[[#This Row],[LivArea Range]],Lookups!$R$25:$U$43,4,FALSE)</f>
        <v>1</v>
      </c>
      <c r="BI1258" s="30">
        <f>VLOOKUP(Inventory[[#This Row],[Decade]],Lookups!$M$24:$P$40,4,FALSE)</f>
        <v>1</v>
      </c>
      <c r="BJ1258" s="30">
        <f>Inventory[[#This Row],[Nbhd Adj]]*0.95</f>
        <v>0.94971499999999998</v>
      </c>
      <c r="BK1258" s="30">
        <f>AVERAGE(Inventory[[#This Row],[Nbhd Adj]],Inventory[[#This Row],[Quality Adj]],Inventory[[#This Row],[Condition Adj]],Inventory[[#This Row],[Living Area Adj]],Inventory[[#This Row],[Decade Adj]])*0.95</f>
        <v>0.94975299999999985</v>
      </c>
      <c r="BL1258" s="30">
        <f>ROUND((SUM(Inventory[[#This Row],[Mdl Qlty]:[Mdl Garage Area]])+Inventory[[#This Row],[Mdl Res Intercept]])*Inventory[[#This Row],[Res Adj ]],-2)</f>
        <v>170300</v>
      </c>
      <c r="BM1258" s="30">
        <f>ROUND(Inventory[[#This Row],[25Det]]*Inventory[[#This Row],[Det/Nbhd Adj]],-2)</f>
        <v>0</v>
      </c>
      <c r="BN1258" s="30">
        <f>Inventory[[#This Row],[Adjusted Res]]+Inventory[[#This Row],[Adj Det ]]</f>
        <v>170300</v>
      </c>
      <c r="BO1258" s="30">
        <f>ROUND((Inventory[[#This Row],[Mdl Land Intercept]]+Inventory[[#This Row],[Mdl LnAcres]])*Inventory[[#This Row],[Det/Nbhd Adj]],-2)</f>
        <v>59400</v>
      </c>
      <c r="BP1258" s="30">
        <f>Inventory[[#This Row],[Adjusted Impr Total]]+Inventory[[#This Row],[Adjusted Land Total]]</f>
        <v>229700</v>
      </c>
      <c r="BQ1258" s="30">
        <f>IFERROR((Inventory[[#This Row],[Adjusted Impr Total]]-Inventory[[#This Row],[24Bldg]])/Inventory[[#This Row],[24Bldg]],0)</f>
        <v>9.6587250482936246E-2</v>
      </c>
      <c r="BR1258" s="43">
        <f>(Inventory[[#This Row],[Adjusted Land Total]]-Inventory[[#This Row],[24Lnd]])/Inventory[[#This Row],[24Lnd]]</f>
        <v>6.7796610169491523E-3</v>
      </c>
      <c r="BS1258" s="43">
        <f>(Inventory[[#This Row],[Adjusted Total]]-Inventory[[#This Row],[24Final]])/Inventory[[#This Row],[24Final]]</f>
        <v>7.1861875874941666E-2</v>
      </c>
    </row>
    <row r="1259" spans="1:71">
      <c r="A1259" s="30">
        <v>2025</v>
      </c>
      <c r="B1259" s="31" t="s">
        <v>1776</v>
      </c>
      <c r="C1259" s="36">
        <f>LN(Inventory[[#This Row],[Acres]])</f>
        <v>-1.9661128563728327</v>
      </c>
      <c r="D1259" s="38">
        <v>0.14000000000000001</v>
      </c>
      <c r="E1259" s="30">
        <v>5911</v>
      </c>
      <c r="F1259" s="31" t="s">
        <v>505</v>
      </c>
      <c r="G1259" s="31" t="s">
        <v>155</v>
      </c>
      <c r="H1259" s="31" t="s">
        <v>5</v>
      </c>
      <c r="I1259" s="31" t="s">
        <v>506</v>
      </c>
      <c r="J1259" s="31" t="s">
        <v>507</v>
      </c>
      <c r="K1259" s="31" t="s">
        <v>473</v>
      </c>
      <c r="L1259" s="31" t="s">
        <v>13</v>
      </c>
      <c r="M1259" s="31" t="s">
        <v>18</v>
      </c>
      <c r="N1259" s="31">
        <v>80</v>
      </c>
      <c r="O1259" s="31">
        <f>2024-Inventory[[#This Row],[YrBlt]]</f>
        <v>84</v>
      </c>
      <c r="P1259" s="31">
        <f>2024-Inventory[[#This Row],[EffYr]]</f>
        <v>52</v>
      </c>
      <c r="Q1259" s="30">
        <v>1940</v>
      </c>
      <c r="R1259" s="30">
        <v>1972</v>
      </c>
      <c r="S1259" s="30">
        <v>1298</v>
      </c>
      <c r="T1259" s="38">
        <v>496</v>
      </c>
      <c r="U1259" s="32"/>
      <c r="V1259" s="32"/>
      <c r="W1259" s="32"/>
      <c r="X1259" s="32">
        <f>Inventory[[#This Row],[Bsmt Area]]-Inventory[[#This Row],[FnBsmt]]</f>
        <v>0</v>
      </c>
      <c r="Y1259" s="32">
        <f>Inventory[[#This Row],[MainFn]]+Inventory[[#This Row],[UpprFn]]+Inventory[[#This Row],[AddFn]]+Inventory[[#This Row],[FnBsmt]]</f>
        <v>1794</v>
      </c>
      <c r="Z1259" s="32">
        <v>2000</v>
      </c>
      <c r="AA1259" s="31" t="s">
        <v>56</v>
      </c>
      <c r="AB1259" s="32"/>
      <c r="AC1259" s="37"/>
      <c r="AD1259" s="32"/>
      <c r="AE1259" s="32"/>
      <c r="AF1259" s="32"/>
      <c r="AG1259" s="32"/>
      <c r="AH1259" s="32"/>
      <c r="AI1259" s="30">
        <v>227469</v>
      </c>
      <c r="AJ1259" s="30">
        <v>154679</v>
      </c>
      <c r="AK1259" s="30">
        <v>8348</v>
      </c>
      <c r="AL1259" s="30">
        <v>0</v>
      </c>
      <c r="AM1259" s="30">
        <v>59000</v>
      </c>
      <c r="AN1259" s="30">
        <v>222700</v>
      </c>
      <c r="AO1259" s="30">
        <v>281700</v>
      </c>
      <c r="AP1259" s="30">
        <f>Lookups!$B$58*0.6</f>
        <v>132535.48800000001</v>
      </c>
      <c r="AQ1259" s="30">
        <f>Lookups!$B$58*0.4</f>
        <v>88356.992000000013</v>
      </c>
      <c r="AR1259" s="30">
        <f>Lookups!$B$59*Inventory[[#This Row],[LnAcres]]</f>
        <v>-25803.896249263951</v>
      </c>
      <c r="AS1259" s="30">
        <f>VLOOKUP(Inventory[[#This Row],[Qlty]],Lookups!$A$66:$E$79,2,FALSE)</f>
        <v>0</v>
      </c>
      <c r="AT1259" s="30">
        <f>VLOOKUP(Inventory[[#This Row],[Cnd]],Lookups!$A$80:$E$88,2,FALSE)</f>
        <v>17761.121909000001</v>
      </c>
      <c r="AU1259" s="30">
        <f>Inventory[[#This Row],[EffAge]]*Lookups!$B$65</f>
        <v>-5654.5371999999998</v>
      </c>
      <c r="AV1259" s="30">
        <f>Inventory[[#This Row],[MainFn]]*Lookups!$B$90</f>
        <v>81008.673240000004</v>
      </c>
      <c r="AW1259" s="30">
        <f>Inventory[[#This Row],[UpprFn]]*Lookups!$B$91</f>
        <v>29551.869967999999</v>
      </c>
      <c r="AX1259" s="30">
        <f>Inventory[[#This Row],[Bsmt Area]]*Lookups!$B$95</f>
        <v>0</v>
      </c>
      <c r="AY1259" s="30">
        <f>Inventory[[#This Row],[AttGar]]*Lookups!$B$93</f>
        <v>0</v>
      </c>
      <c r="AZ1259" s="30">
        <f>ROUND(Inventory[[#This Row],[25Det]],-2)</f>
        <v>8300</v>
      </c>
      <c r="BA1259" s="30">
        <f>ROUND(SUM(Inventory[[#This Row],[Mdl Qlty]:[Mdl Garage Area]])+Inventory[[#This Row],[Mdl Res Intercept]],-2)</f>
        <v>255200</v>
      </c>
      <c r="BB1259" s="30">
        <f>ROUND(Inventory[[#This Row],[Mdl Land Intercept]]+Inventory[[#This Row],[Mdl LnAcres]],-2)</f>
        <v>62600</v>
      </c>
      <c r="BC1259" s="30">
        <f>Inventory[[#This Row],[Unadj Res Value]]+Inventory[[#This Row],[Unadj Det Value]]+Inventory[[#This Row],[Unadj Land Value]]</f>
        <v>326100</v>
      </c>
      <c r="BD1259" s="30">
        <f>(Inventory[[#This Row],[Unadj Total Value]]-Inventory[[#This Row],[24Final]])/Inventory[[#This Row],[24Final]]</f>
        <v>0.15761448349307774</v>
      </c>
      <c r="BE1259" s="30">
        <f>VLOOKUP(Inventory[[#This Row],[Nbhd]],Lookups!$M$3:$P$5,4,FALSE)</f>
        <v>0.99970000000000003</v>
      </c>
      <c r="BF1259" s="30">
        <f>VLOOKUP(Inventory[[#This Row],[Qlty]],Lookups!$M$8:$P$22,4,FALSE)</f>
        <v>1.0003</v>
      </c>
      <c r="BG1259" s="30">
        <f>VLOOKUP(Inventory[[#This Row],[Cnd]],Lookups!$R$8:$U$17,4,FALSE)</f>
        <v>0.99680000000000002</v>
      </c>
      <c r="BH1259" s="30">
        <f>VLOOKUP(Inventory[[#This Row],[LivArea Range]],Lookups!$R$25:$U$43,4,FALSE)</f>
        <v>1.0007999999999999</v>
      </c>
      <c r="BI1259" s="30">
        <f>VLOOKUP(Inventory[[#This Row],[Decade]],Lookups!$M$24:$P$40,4,FALSE)</f>
        <v>1</v>
      </c>
      <c r="BJ1259" s="30">
        <f>Inventory[[#This Row],[Nbhd Adj]]*0.95</f>
        <v>0.94971499999999998</v>
      </c>
      <c r="BK1259" s="30">
        <f>AVERAGE(Inventory[[#This Row],[Nbhd Adj]],Inventory[[#This Row],[Quality Adj]],Inventory[[#This Row],[Condition Adj]],Inventory[[#This Row],[Living Area Adj]],Inventory[[#This Row],[Decade Adj]])*0.95</f>
        <v>0.94954400000000005</v>
      </c>
      <c r="BL1259" s="30">
        <f>ROUND((SUM(Inventory[[#This Row],[Mdl Qlty]:[Mdl Garage Area]])+Inventory[[#This Row],[Mdl Res Intercept]])*Inventory[[#This Row],[Res Adj ]],-2)</f>
        <v>242300</v>
      </c>
      <c r="BM1259" s="30">
        <f>ROUND(Inventory[[#This Row],[25Det]]*Inventory[[#This Row],[Det/Nbhd Adj]],-2)</f>
        <v>7900</v>
      </c>
      <c r="BN1259" s="30">
        <f>Inventory[[#This Row],[Adjusted Res]]+Inventory[[#This Row],[Adj Det ]]</f>
        <v>250200</v>
      </c>
      <c r="BO1259" s="30">
        <f>ROUND((Inventory[[#This Row],[Mdl Land Intercept]]+Inventory[[#This Row],[Mdl LnAcres]])*Inventory[[#This Row],[Det/Nbhd Adj]],-2)</f>
        <v>59400</v>
      </c>
      <c r="BP1259" s="30">
        <f>Inventory[[#This Row],[Adjusted Impr Total]]+Inventory[[#This Row],[Adjusted Land Total]]</f>
        <v>309600</v>
      </c>
      <c r="BQ1259" s="30">
        <f>IFERROR((Inventory[[#This Row],[Adjusted Impr Total]]-Inventory[[#This Row],[24Bldg]])/Inventory[[#This Row],[24Bldg]],0)</f>
        <v>0.12348450830713965</v>
      </c>
      <c r="BR1259" s="43">
        <f>(Inventory[[#This Row],[Adjusted Land Total]]-Inventory[[#This Row],[24Lnd]])/Inventory[[#This Row],[24Lnd]]</f>
        <v>6.7796610169491523E-3</v>
      </c>
      <c r="BS1259" s="43">
        <f>(Inventory[[#This Row],[Adjusted Total]]-Inventory[[#This Row],[24Final]])/Inventory[[#This Row],[24Final]]</f>
        <v>9.9041533546325874E-2</v>
      </c>
    </row>
    <row r="1260" spans="1:71">
      <c r="A1260" s="30">
        <v>2025</v>
      </c>
      <c r="B1260" s="31" t="s">
        <v>1777</v>
      </c>
      <c r="C1260" s="36">
        <f>LN(Inventory[[#This Row],[Acres]])</f>
        <v>-1.9661128563728327</v>
      </c>
      <c r="D1260" s="38">
        <v>0.14000000000000001</v>
      </c>
      <c r="E1260" s="30">
        <v>5986</v>
      </c>
      <c r="F1260" s="31" t="s">
        <v>505</v>
      </c>
      <c r="G1260" s="31" t="s">
        <v>155</v>
      </c>
      <c r="H1260" s="31" t="s">
        <v>5</v>
      </c>
      <c r="I1260" s="31" t="s">
        <v>506</v>
      </c>
      <c r="J1260" s="31" t="s">
        <v>507</v>
      </c>
      <c r="K1260" s="31" t="s">
        <v>473</v>
      </c>
      <c r="L1260" s="31" t="s">
        <v>13</v>
      </c>
      <c r="M1260" s="31" t="s">
        <v>18</v>
      </c>
      <c r="N1260" s="31">
        <v>80</v>
      </c>
      <c r="O1260" s="31">
        <f>2024-Inventory[[#This Row],[YrBlt]]</f>
        <v>84</v>
      </c>
      <c r="P1260" s="31">
        <f>2024-Inventory[[#This Row],[EffYr]]</f>
        <v>52</v>
      </c>
      <c r="Q1260" s="30">
        <v>1940</v>
      </c>
      <c r="R1260" s="30">
        <v>1972</v>
      </c>
      <c r="S1260" s="30">
        <v>1104</v>
      </c>
      <c r="T1260" s="32"/>
      <c r="U1260" s="32"/>
      <c r="V1260" s="32"/>
      <c r="W1260" s="32"/>
      <c r="X1260" s="32">
        <f>Inventory[[#This Row],[Bsmt Area]]-Inventory[[#This Row],[FnBsmt]]</f>
        <v>0</v>
      </c>
      <c r="Y1260" s="32">
        <f>Inventory[[#This Row],[MainFn]]+Inventory[[#This Row],[UpprFn]]+Inventory[[#This Row],[AddFn]]+Inventory[[#This Row],[FnBsmt]]</f>
        <v>1104</v>
      </c>
      <c r="Z1260" s="32">
        <v>1500</v>
      </c>
      <c r="AA1260" s="31" t="s">
        <v>56</v>
      </c>
      <c r="AB1260" s="38">
        <v>1</v>
      </c>
      <c r="AC1260" s="37"/>
      <c r="AD1260" s="32"/>
      <c r="AE1260" s="32"/>
      <c r="AF1260" s="32"/>
      <c r="AG1260" s="32"/>
      <c r="AH1260" s="32"/>
      <c r="AI1260" s="30">
        <v>158318</v>
      </c>
      <c r="AJ1260" s="30">
        <v>107656</v>
      </c>
      <c r="AK1260" s="30">
        <v>5934</v>
      </c>
      <c r="AL1260" s="30">
        <v>0</v>
      </c>
      <c r="AM1260" s="30">
        <v>59000</v>
      </c>
      <c r="AN1260" s="30">
        <v>174200</v>
      </c>
      <c r="AO1260" s="30">
        <v>233200</v>
      </c>
      <c r="AP1260" s="30">
        <f>Lookups!$B$58*0.6</f>
        <v>132535.48800000001</v>
      </c>
      <c r="AQ1260" s="30">
        <f>Lookups!$B$58*0.4</f>
        <v>88356.992000000013</v>
      </c>
      <c r="AR1260" s="30">
        <f>Lookups!$B$59*Inventory[[#This Row],[LnAcres]]</f>
        <v>-25803.896249263951</v>
      </c>
      <c r="AS1260" s="30">
        <f>VLOOKUP(Inventory[[#This Row],[Qlty]],Lookups!$A$66:$E$79,2,FALSE)</f>
        <v>0</v>
      </c>
      <c r="AT1260" s="30">
        <f>VLOOKUP(Inventory[[#This Row],[Cnd]],Lookups!$A$80:$E$88,2,FALSE)</f>
        <v>17761.121909000001</v>
      </c>
      <c r="AU1260" s="30">
        <f>Inventory[[#This Row],[EffAge]]*Lookups!$B$65</f>
        <v>-5654.5371999999998</v>
      </c>
      <c r="AV1260" s="30">
        <f>Inventory[[#This Row],[MainFn]]*Lookups!$B$90</f>
        <v>68901.05952000001</v>
      </c>
      <c r="AW1260" s="30">
        <f>Inventory[[#This Row],[UpprFn]]*Lookups!$B$91</f>
        <v>0</v>
      </c>
      <c r="AX1260" s="30">
        <f>Inventory[[#This Row],[Bsmt Area]]*Lookups!$B$95</f>
        <v>0</v>
      </c>
      <c r="AY1260" s="30">
        <f>Inventory[[#This Row],[AttGar]]*Lookups!$B$93</f>
        <v>0</v>
      </c>
      <c r="AZ1260" s="30">
        <f>ROUND(Inventory[[#This Row],[25Det]],-2)</f>
        <v>5900</v>
      </c>
      <c r="BA1260" s="30">
        <f>ROUND(SUM(Inventory[[#This Row],[Mdl Qlty]:[Mdl Garage Area]])+Inventory[[#This Row],[Mdl Res Intercept]],-2)</f>
        <v>213500</v>
      </c>
      <c r="BB1260" s="30">
        <f>ROUND(Inventory[[#This Row],[Mdl Land Intercept]]+Inventory[[#This Row],[Mdl LnAcres]],-2)</f>
        <v>62600</v>
      </c>
      <c r="BC1260" s="30">
        <f>Inventory[[#This Row],[Unadj Res Value]]+Inventory[[#This Row],[Unadj Det Value]]+Inventory[[#This Row],[Unadj Land Value]]</f>
        <v>282000</v>
      </c>
      <c r="BD1260" s="30">
        <f>(Inventory[[#This Row],[Unadj Total Value]]-Inventory[[#This Row],[24Final]])/Inventory[[#This Row],[24Final]]</f>
        <v>0.20926243567753003</v>
      </c>
      <c r="BE1260" s="30">
        <f>VLOOKUP(Inventory[[#This Row],[Nbhd]],Lookups!$M$3:$P$5,4,FALSE)</f>
        <v>0.99970000000000003</v>
      </c>
      <c r="BF1260" s="30">
        <f>VLOOKUP(Inventory[[#This Row],[Qlty]],Lookups!$M$8:$P$22,4,FALSE)</f>
        <v>1.0003</v>
      </c>
      <c r="BG1260" s="30">
        <f>VLOOKUP(Inventory[[#This Row],[Cnd]],Lookups!$R$8:$U$17,4,FALSE)</f>
        <v>0.99680000000000002</v>
      </c>
      <c r="BH1260" s="30">
        <f>VLOOKUP(Inventory[[#This Row],[LivArea Range]],Lookups!$R$25:$U$43,4,FALSE)</f>
        <v>0.99519999999999997</v>
      </c>
      <c r="BI1260" s="30">
        <f>VLOOKUP(Inventory[[#This Row],[Decade]],Lookups!$M$24:$P$40,4,FALSE)</f>
        <v>1</v>
      </c>
      <c r="BJ1260" s="30">
        <f>Inventory[[#This Row],[Nbhd Adj]]*0.95</f>
        <v>0.94971499999999998</v>
      </c>
      <c r="BK1260" s="30">
        <f>AVERAGE(Inventory[[#This Row],[Nbhd Adj]],Inventory[[#This Row],[Quality Adj]],Inventory[[#This Row],[Condition Adj]],Inventory[[#This Row],[Living Area Adj]],Inventory[[#This Row],[Decade Adj]])*0.95</f>
        <v>0.94847999999999988</v>
      </c>
      <c r="BL1260" s="30">
        <f>ROUND((SUM(Inventory[[#This Row],[Mdl Qlty]:[Mdl Garage Area]])+Inventory[[#This Row],[Mdl Res Intercept]])*Inventory[[#This Row],[Res Adj ]],-2)</f>
        <v>202500</v>
      </c>
      <c r="BM1260" s="30">
        <f>ROUND(Inventory[[#This Row],[25Det]]*Inventory[[#This Row],[Det/Nbhd Adj]],-2)</f>
        <v>5600</v>
      </c>
      <c r="BN1260" s="30">
        <f>Inventory[[#This Row],[Adjusted Res]]+Inventory[[#This Row],[Adj Det ]]</f>
        <v>208100</v>
      </c>
      <c r="BO1260" s="30">
        <f>ROUND((Inventory[[#This Row],[Mdl Land Intercept]]+Inventory[[#This Row],[Mdl LnAcres]])*Inventory[[#This Row],[Det/Nbhd Adj]],-2)</f>
        <v>59400</v>
      </c>
      <c r="BP1260" s="30">
        <f>Inventory[[#This Row],[Adjusted Impr Total]]+Inventory[[#This Row],[Adjusted Land Total]]</f>
        <v>267500</v>
      </c>
      <c r="BQ1260" s="30">
        <f>IFERROR((Inventory[[#This Row],[Adjusted Impr Total]]-Inventory[[#This Row],[24Bldg]])/Inventory[[#This Row],[24Bldg]],0)</f>
        <v>0.19460390355912743</v>
      </c>
      <c r="BR1260" s="43">
        <f>(Inventory[[#This Row],[Adjusted Land Total]]-Inventory[[#This Row],[24Lnd]])/Inventory[[#This Row],[24Lnd]]</f>
        <v>6.7796610169491523E-3</v>
      </c>
      <c r="BS1260" s="43">
        <f>(Inventory[[#This Row],[Adjusted Total]]-Inventory[[#This Row],[24Final]])/Inventory[[#This Row],[24Final]]</f>
        <v>0.14708404802744426</v>
      </c>
    </row>
    <row r="1261" spans="1:71">
      <c r="A1261" s="30">
        <v>2025</v>
      </c>
      <c r="B1261" s="31" t="s">
        <v>1778</v>
      </c>
      <c r="C1261" s="36">
        <f>LN(Inventory[[#This Row],[Acres]])</f>
        <v>-1.9661128563728327</v>
      </c>
      <c r="D1261" s="38">
        <v>0.14000000000000001</v>
      </c>
      <c r="E1261" s="30">
        <v>6250</v>
      </c>
      <c r="F1261" s="31" t="s">
        <v>505</v>
      </c>
      <c r="G1261" s="31" t="s">
        <v>155</v>
      </c>
      <c r="H1261" s="31" t="s">
        <v>5</v>
      </c>
      <c r="I1261" s="31" t="s">
        <v>506</v>
      </c>
      <c r="J1261" s="31" t="s">
        <v>507</v>
      </c>
      <c r="K1261" s="31" t="s">
        <v>475</v>
      </c>
      <c r="L1261" s="31" t="s">
        <v>13</v>
      </c>
      <c r="M1261" s="31" t="s">
        <v>18</v>
      </c>
      <c r="N1261" s="31">
        <v>80</v>
      </c>
      <c r="O1261" s="31">
        <f>2024-Inventory[[#This Row],[YrBlt]]</f>
        <v>84</v>
      </c>
      <c r="P1261" s="31">
        <f>2024-Inventory[[#This Row],[EffYr]]</f>
        <v>52</v>
      </c>
      <c r="Q1261" s="30">
        <v>1940</v>
      </c>
      <c r="R1261" s="30">
        <v>1972</v>
      </c>
      <c r="S1261" s="30">
        <v>624</v>
      </c>
      <c r="T1261" s="32"/>
      <c r="U1261" s="32"/>
      <c r="V1261" s="32"/>
      <c r="W1261" s="32"/>
      <c r="X1261" s="32">
        <f>Inventory[[#This Row],[Bsmt Area]]-Inventory[[#This Row],[FnBsmt]]</f>
        <v>0</v>
      </c>
      <c r="Y1261" s="32">
        <f>Inventory[[#This Row],[MainFn]]+Inventory[[#This Row],[UpprFn]]+Inventory[[#This Row],[AddFn]]+Inventory[[#This Row],[FnBsmt]]</f>
        <v>624</v>
      </c>
      <c r="Z1261" s="32">
        <v>1000</v>
      </c>
      <c r="AA1261" s="31" t="s">
        <v>56</v>
      </c>
      <c r="AB1261" s="32"/>
      <c r="AC1261" s="37"/>
      <c r="AD1261" s="32"/>
      <c r="AE1261" s="32"/>
      <c r="AF1261" s="32"/>
      <c r="AG1261" s="32"/>
      <c r="AH1261" s="32"/>
      <c r="AI1261" s="30">
        <v>92308</v>
      </c>
      <c r="AJ1261" s="30">
        <v>62769</v>
      </c>
      <c r="AK1261" s="30">
        <v>2563</v>
      </c>
      <c r="AL1261" s="30">
        <v>0</v>
      </c>
      <c r="AM1261" s="30">
        <v>59000</v>
      </c>
      <c r="AN1261" s="30">
        <v>147900</v>
      </c>
      <c r="AO1261" s="30">
        <v>206900</v>
      </c>
      <c r="AP1261" s="30">
        <f>Lookups!$B$58*0.6</f>
        <v>132535.48800000001</v>
      </c>
      <c r="AQ1261" s="30">
        <f>Lookups!$B$58*0.4</f>
        <v>88356.992000000013</v>
      </c>
      <c r="AR1261" s="30">
        <f>Lookups!$B$59*Inventory[[#This Row],[LnAcres]]</f>
        <v>-25803.896249263951</v>
      </c>
      <c r="AS1261" s="30">
        <f>VLOOKUP(Inventory[[#This Row],[Qlty]],Lookups!$A$66:$E$79,2,FALSE)</f>
        <v>0</v>
      </c>
      <c r="AT1261" s="30">
        <f>VLOOKUP(Inventory[[#This Row],[Cnd]],Lookups!$A$80:$E$88,2,FALSE)</f>
        <v>17761.121909000001</v>
      </c>
      <c r="AU1261" s="30">
        <f>Inventory[[#This Row],[EffAge]]*Lookups!$B$65</f>
        <v>-5654.5371999999998</v>
      </c>
      <c r="AV1261" s="30">
        <f>Inventory[[#This Row],[MainFn]]*Lookups!$B$90</f>
        <v>38944.077120000002</v>
      </c>
      <c r="AW1261" s="30">
        <f>Inventory[[#This Row],[UpprFn]]*Lookups!$B$91</f>
        <v>0</v>
      </c>
      <c r="AX1261" s="30">
        <f>Inventory[[#This Row],[Bsmt Area]]*Lookups!$B$95</f>
        <v>0</v>
      </c>
      <c r="AY1261" s="30">
        <f>Inventory[[#This Row],[AttGar]]*Lookups!$B$93</f>
        <v>0</v>
      </c>
      <c r="AZ1261" s="30">
        <f>ROUND(Inventory[[#This Row],[25Det]],-2)</f>
        <v>2600</v>
      </c>
      <c r="BA1261" s="30">
        <f>ROUND(SUM(Inventory[[#This Row],[Mdl Qlty]:[Mdl Garage Area]])+Inventory[[#This Row],[Mdl Res Intercept]],-2)</f>
        <v>183600</v>
      </c>
      <c r="BB1261" s="30">
        <f>ROUND(Inventory[[#This Row],[Mdl Land Intercept]]+Inventory[[#This Row],[Mdl LnAcres]],-2)</f>
        <v>62600</v>
      </c>
      <c r="BC1261" s="30">
        <f>Inventory[[#This Row],[Unadj Res Value]]+Inventory[[#This Row],[Unadj Det Value]]+Inventory[[#This Row],[Unadj Land Value]]</f>
        <v>248800</v>
      </c>
      <c r="BD1261" s="30">
        <f>(Inventory[[#This Row],[Unadj Total Value]]-Inventory[[#This Row],[24Final]])/Inventory[[#This Row],[24Final]]</f>
        <v>0.20251329144514257</v>
      </c>
      <c r="BE1261" s="30">
        <f>VLOOKUP(Inventory[[#This Row],[Nbhd]],Lookups!$M$3:$P$5,4,FALSE)</f>
        <v>0.99970000000000003</v>
      </c>
      <c r="BF1261" s="30">
        <f>VLOOKUP(Inventory[[#This Row],[Qlty]],Lookups!$M$8:$P$22,4,FALSE)</f>
        <v>1.0003</v>
      </c>
      <c r="BG1261" s="30">
        <f>VLOOKUP(Inventory[[#This Row],[Cnd]],Lookups!$R$8:$U$17,4,FALSE)</f>
        <v>0.99680000000000002</v>
      </c>
      <c r="BH1261" s="30">
        <f>VLOOKUP(Inventory[[#This Row],[LivArea Range]],Lookups!$R$25:$U$43,4,FALSE)</f>
        <v>1</v>
      </c>
      <c r="BI1261" s="30">
        <f>VLOOKUP(Inventory[[#This Row],[Decade]],Lookups!$M$24:$P$40,4,FALSE)</f>
        <v>1</v>
      </c>
      <c r="BJ1261" s="30">
        <f>Inventory[[#This Row],[Nbhd Adj]]*0.95</f>
        <v>0.94971499999999998</v>
      </c>
      <c r="BK1261" s="30">
        <f>AVERAGE(Inventory[[#This Row],[Nbhd Adj]],Inventory[[#This Row],[Quality Adj]],Inventory[[#This Row],[Condition Adj]],Inventory[[#This Row],[Living Area Adj]],Inventory[[#This Row],[Decade Adj]])*0.95</f>
        <v>0.94939200000000001</v>
      </c>
      <c r="BL1261" s="30">
        <f>ROUND((SUM(Inventory[[#This Row],[Mdl Qlty]:[Mdl Garage Area]])+Inventory[[#This Row],[Mdl Res Intercept]])*Inventory[[#This Row],[Res Adj ]],-2)</f>
        <v>174300</v>
      </c>
      <c r="BM1261" s="30">
        <f>ROUND(Inventory[[#This Row],[25Det]]*Inventory[[#This Row],[Det/Nbhd Adj]],-2)</f>
        <v>2400</v>
      </c>
      <c r="BN1261" s="30">
        <f>Inventory[[#This Row],[Adjusted Res]]+Inventory[[#This Row],[Adj Det ]]</f>
        <v>176700</v>
      </c>
      <c r="BO1261" s="30">
        <f>ROUND((Inventory[[#This Row],[Mdl Land Intercept]]+Inventory[[#This Row],[Mdl LnAcres]])*Inventory[[#This Row],[Det/Nbhd Adj]],-2)</f>
        <v>59400</v>
      </c>
      <c r="BP1261" s="30">
        <f>Inventory[[#This Row],[Adjusted Impr Total]]+Inventory[[#This Row],[Adjusted Land Total]]</f>
        <v>236100</v>
      </c>
      <c r="BQ1261" s="30">
        <f>IFERROR((Inventory[[#This Row],[Adjusted Impr Total]]-Inventory[[#This Row],[24Bldg]])/Inventory[[#This Row],[24Bldg]],0)</f>
        <v>0.1947261663286004</v>
      </c>
      <c r="BR1261" s="43">
        <f>(Inventory[[#This Row],[Adjusted Land Total]]-Inventory[[#This Row],[24Lnd]])/Inventory[[#This Row],[24Lnd]]</f>
        <v>6.7796610169491523E-3</v>
      </c>
      <c r="BS1261" s="43">
        <f>(Inventory[[#This Row],[Adjusted Total]]-Inventory[[#This Row],[24Final]])/Inventory[[#This Row],[24Final]]</f>
        <v>0.14113098115031417</v>
      </c>
    </row>
    <row r="1262" spans="1:71">
      <c r="A1262" s="30">
        <v>2025</v>
      </c>
      <c r="B1262" s="31" t="s">
        <v>1779</v>
      </c>
      <c r="C1262" s="36">
        <f>LN(Inventory[[#This Row],[Acres]])</f>
        <v>-1.9661128563728327</v>
      </c>
      <c r="D1262" s="38">
        <v>0.14000000000000001</v>
      </c>
      <c r="E1262" s="30">
        <v>6250</v>
      </c>
      <c r="F1262" s="31" t="s">
        <v>505</v>
      </c>
      <c r="G1262" s="31" t="s">
        <v>155</v>
      </c>
      <c r="H1262" s="31" t="s">
        <v>5</v>
      </c>
      <c r="I1262" s="31" t="s">
        <v>506</v>
      </c>
      <c r="J1262" s="31" t="s">
        <v>507</v>
      </c>
      <c r="K1262" s="31" t="s">
        <v>475</v>
      </c>
      <c r="L1262" s="31" t="s">
        <v>13</v>
      </c>
      <c r="M1262" s="31" t="s">
        <v>18</v>
      </c>
      <c r="N1262" s="31">
        <v>80</v>
      </c>
      <c r="O1262" s="31">
        <f>2024-Inventory[[#This Row],[YrBlt]]</f>
        <v>84</v>
      </c>
      <c r="P1262" s="31">
        <f>2024-Inventory[[#This Row],[EffYr]]</f>
        <v>52</v>
      </c>
      <c r="Q1262" s="30">
        <v>1940</v>
      </c>
      <c r="R1262" s="30">
        <v>1972</v>
      </c>
      <c r="S1262" s="30">
        <v>816</v>
      </c>
      <c r="T1262" s="32"/>
      <c r="U1262" s="32"/>
      <c r="V1262" s="32"/>
      <c r="W1262" s="32"/>
      <c r="X1262" s="32">
        <f>Inventory[[#This Row],[Bsmt Area]]-Inventory[[#This Row],[FnBsmt]]</f>
        <v>0</v>
      </c>
      <c r="Y1262" s="32">
        <f>Inventory[[#This Row],[MainFn]]+Inventory[[#This Row],[UpprFn]]+Inventory[[#This Row],[AddFn]]+Inventory[[#This Row],[FnBsmt]]</f>
        <v>816</v>
      </c>
      <c r="Z1262" s="32">
        <v>1000</v>
      </c>
      <c r="AA1262" s="31" t="s">
        <v>56</v>
      </c>
      <c r="AB1262" s="37"/>
      <c r="AC1262" s="37"/>
      <c r="AD1262" s="32"/>
      <c r="AE1262" s="32"/>
      <c r="AF1262" s="32"/>
      <c r="AG1262" s="32"/>
      <c r="AH1262" s="32"/>
      <c r="AI1262" s="30">
        <v>113772</v>
      </c>
      <c r="AJ1262" s="30">
        <v>77365</v>
      </c>
      <c r="AK1262" s="30">
        <v>6885</v>
      </c>
      <c r="AL1262" s="30">
        <v>0</v>
      </c>
      <c r="AM1262" s="30">
        <v>59000</v>
      </c>
      <c r="AN1262" s="30">
        <v>161000</v>
      </c>
      <c r="AO1262" s="30">
        <v>220000</v>
      </c>
      <c r="AP1262" s="30">
        <f>Lookups!$B$58*0.6</f>
        <v>132535.48800000001</v>
      </c>
      <c r="AQ1262" s="30">
        <f>Lookups!$B$58*0.4</f>
        <v>88356.992000000013</v>
      </c>
      <c r="AR1262" s="30">
        <f>Lookups!$B$59*Inventory[[#This Row],[LnAcres]]</f>
        <v>-25803.896249263951</v>
      </c>
      <c r="AS1262" s="30">
        <f>VLOOKUP(Inventory[[#This Row],[Qlty]],Lookups!$A$66:$E$79,2,FALSE)</f>
        <v>0</v>
      </c>
      <c r="AT1262" s="30">
        <f>VLOOKUP(Inventory[[#This Row],[Cnd]],Lookups!$A$80:$E$88,2,FALSE)</f>
        <v>17761.121909000001</v>
      </c>
      <c r="AU1262" s="30">
        <f>Inventory[[#This Row],[EffAge]]*Lookups!$B$65</f>
        <v>-5654.5371999999998</v>
      </c>
      <c r="AV1262" s="30">
        <f>Inventory[[#This Row],[MainFn]]*Lookups!$B$90</f>
        <v>50926.870080000001</v>
      </c>
      <c r="AW1262" s="30">
        <f>Inventory[[#This Row],[UpprFn]]*Lookups!$B$91</f>
        <v>0</v>
      </c>
      <c r="AX1262" s="30">
        <f>Inventory[[#This Row],[Bsmt Area]]*Lookups!$B$95</f>
        <v>0</v>
      </c>
      <c r="AY1262" s="30">
        <f>Inventory[[#This Row],[AttGar]]*Lookups!$B$93</f>
        <v>0</v>
      </c>
      <c r="AZ1262" s="30">
        <f>ROUND(Inventory[[#This Row],[25Det]],-2)</f>
        <v>6900</v>
      </c>
      <c r="BA1262" s="30">
        <f>ROUND(SUM(Inventory[[#This Row],[Mdl Qlty]:[Mdl Garage Area]])+Inventory[[#This Row],[Mdl Res Intercept]],-2)</f>
        <v>195600</v>
      </c>
      <c r="BB1262" s="30">
        <f>ROUND(Inventory[[#This Row],[Mdl Land Intercept]]+Inventory[[#This Row],[Mdl LnAcres]],-2)</f>
        <v>62600</v>
      </c>
      <c r="BC1262" s="30">
        <f>Inventory[[#This Row],[Unadj Res Value]]+Inventory[[#This Row],[Unadj Det Value]]+Inventory[[#This Row],[Unadj Land Value]]</f>
        <v>265100</v>
      </c>
      <c r="BD1262" s="30">
        <f>(Inventory[[#This Row],[Unadj Total Value]]-Inventory[[#This Row],[24Final]])/Inventory[[#This Row],[24Final]]</f>
        <v>0.20499999999999999</v>
      </c>
      <c r="BE1262" s="30">
        <f>VLOOKUP(Inventory[[#This Row],[Nbhd]],Lookups!$M$3:$P$5,4,FALSE)</f>
        <v>0.99970000000000003</v>
      </c>
      <c r="BF1262" s="30">
        <f>VLOOKUP(Inventory[[#This Row],[Qlty]],Lookups!$M$8:$P$22,4,FALSE)</f>
        <v>1.0003</v>
      </c>
      <c r="BG1262" s="30">
        <f>VLOOKUP(Inventory[[#This Row],[Cnd]],Lookups!$R$8:$U$17,4,FALSE)</f>
        <v>0.99680000000000002</v>
      </c>
      <c r="BH1262" s="30">
        <f>VLOOKUP(Inventory[[#This Row],[LivArea Range]],Lookups!$R$25:$U$43,4,FALSE)</f>
        <v>1</v>
      </c>
      <c r="BI1262" s="30">
        <f>VLOOKUP(Inventory[[#This Row],[Decade]],Lookups!$M$24:$P$40,4,FALSE)</f>
        <v>1</v>
      </c>
      <c r="BJ1262" s="30">
        <f>Inventory[[#This Row],[Nbhd Adj]]*0.95</f>
        <v>0.94971499999999998</v>
      </c>
      <c r="BK1262" s="30">
        <f>AVERAGE(Inventory[[#This Row],[Nbhd Adj]],Inventory[[#This Row],[Quality Adj]],Inventory[[#This Row],[Condition Adj]],Inventory[[#This Row],[Living Area Adj]],Inventory[[#This Row],[Decade Adj]])*0.95</f>
        <v>0.94939200000000001</v>
      </c>
      <c r="BL1262" s="30">
        <f>ROUND((SUM(Inventory[[#This Row],[Mdl Qlty]:[Mdl Garage Area]])+Inventory[[#This Row],[Mdl Res Intercept]])*Inventory[[#This Row],[Res Adj ]],-2)</f>
        <v>185700</v>
      </c>
      <c r="BM1262" s="30">
        <f>ROUND(Inventory[[#This Row],[25Det]]*Inventory[[#This Row],[Det/Nbhd Adj]],-2)</f>
        <v>6500</v>
      </c>
      <c r="BN1262" s="30">
        <f>Inventory[[#This Row],[Adjusted Res]]+Inventory[[#This Row],[Adj Det ]]</f>
        <v>192200</v>
      </c>
      <c r="BO1262" s="30">
        <f>ROUND((Inventory[[#This Row],[Mdl Land Intercept]]+Inventory[[#This Row],[Mdl LnAcres]])*Inventory[[#This Row],[Det/Nbhd Adj]],-2)</f>
        <v>59400</v>
      </c>
      <c r="BP1262" s="30">
        <f>Inventory[[#This Row],[Adjusted Impr Total]]+Inventory[[#This Row],[Adjusted Land Total]]</f>
        <v>251600</v>
      </c>
      <c r="BQ1262" s="30">
        <f>IFERROR((Inventory[[#This Row],[Adjusted Impr Total]]-Inventory[[#This Row],[24Bldg]])/Inventory[[#This Row],[24Bldg]],0)</f>
        <v>0.1937888198757764</v>
      </c>
      <c r="BR1262" s="43">
        <f>(Inventory[[#This Row],[Adjusted Land Total]]-Inventory[[#This Row],[24Lnd]])/Inventory[[#This Row],[24Lnd]]</f>
        <v>6.7796610169491523E-3</v>
      </c>
      <c r="BS1262" s="43">
        <f>(Inventory[[#This Row],[Adjusted Total]]-Inventory[[#This Row],[24Final]])/Inventory[[#This Row],[24Final]]</f>
        <v>0.14363636363636365</v>
      </c>
    </row>
    <row r="1263" spans="1:71">
      <c r="A1263" s="30">
        <v>2025</v>
      </c>
      <c r="B1263" s="31" t="s">
        <v>1780</v>
      </c>
      <c r="C1263" s="36">
        <f>LN(Inventory[[#This Row],[Acres]])</f>
        <v>-1.9661128563728327</v>
      </c>
      <c r="D1263" s="38">
        <v>0.14000000000000001</v>
      </c>
      <c r="E1263" s="30">
        <v>6209</v>
      </c>
      <c r="F1263" s="31" t="s">
        <v>505</v>
      </c>
      <c r="G1263" s="31" t="s">
        <v>155</v>
      </c>
      <c r="H1263" s="31" t="s">
        <v>5</v>
      </c>
      <c r="I1263" s="31" t="s">
        <v>506</v>
      </c>
      <c r="J1263" s="31" t="s">
        <v>507</v>
      </c>
      <c r="K1263" s="31" t="s">
        <v>473</v>
      </c>
      <c r="L1263" s="31" t="s">
        <v>11</v>
      </c>
      <c r="M1263" s="31" t="s">
        <v>18</v>
      </c>
      <c r="N1263" s="31">
        <v>80</v>
      </c>
      <c r="O1263" s="31">
        <f>2024-Inventory[[#This Row],[YrBlt]]</f>
        <v>84</v>
      </c>
      <c r="P1263" s="31">
        <f>2024-Inventory[[#This Row],[EffYr]]</f>
        <v>52</v>
      </c>
      <c r="Q1263" s="30">
        <v>1940</v>
      </c>
      <c r="R1263" s="30">
        <v>1972</v>
      </c>
      <c r="S1263" s="30">
        <v>690</v>
      </c>
      <c r="T1263" s="32"/>
      <c r="U1263" s="32"/>
      <c r="V1263" s="32"/>
      <c r="W1263" s="32"/>
      <c r="X1263" s="32">
        <f>Inventory[[#This Row],[Bsmt Area]]-Inventory[[#This Row],[FnBsmt]]</f>
        <v>0</v>
      </c>
      <c r="Y1263" s="32">
        <f>Inventory[[#This Row],[MainFn]]+Inventory[[#This Row],[UpprFn]]+Inventory[[#This Row],[AddFn]]+Inventory[[#This Row],[FnBsmt]]</f>
        <v>690</v>
      </c>
      <c r="Z1263" s="32">
        <v>1000</v>
      </c>
      <c r="AA1263" s="31" t="s">
        <v>56</v>
      </c>
      <c r="AB1263" s="32"/>
      <c r="AC1263" s="37"/>
      <c r="AD1263" s="32"/>
      <c r="AE1263" s="32"/>
      <c r="AF1263" s="32"/>
      <c r="AG1263" s="32"/>
      <c r="AH1263" s="32"/>
      <c r="AI1263" s="30">
        <v>95818</v>
      </c>
      <c r="AJ1263" s="30">
        <v>65156</v>
      </c>
      <c r="AK1263" s="30">
        <v>0</v>
      </c>
      <c r="AL1263" s="30">
        <v>0</v>
      </c>
      <c r="AM1263" s="30">
        <v>59000</v>
      </c>
      <c r="AN1263" s="30">
        <v>137000</v>
      </c>
      <c r="AO1263" s="30">
        <v>196000</v>
      </c>
      <c r="AP1263" s="30">
        <f>Lookups!$B$58*0.6</f>
        <v>132535.48800000001</v>
      </c>
      <c r="AQ1263" s="30">
        <f>Lookups!$B$58*0.4</f>
        <v>88356.992000000013</v>
      </c>
      <c r="AR1263" s="30">
        <f>Lookups!$B$59*Inventory[[#This Row],[LnAcres]]</f>
        <v>-25803.896249263951</v>
      </c>
      <c r="AS1263" s="30">
        <f>VLOOKUP(Inventory[[#This Row],[Qlty]],Lookups!$A$66:$E$79,2,FALSE)</f>
        <v>-9114.1675108666695</v>
      </c>
      <c r="AT1263" s="30">
        <f>VLOOKUP(Inventory[[#This Row],[Cnd]],Lookups!$A$80:$E$88,2,FALSE)</f>
        <v>17761.121909000001</v>
      </c>
      <c r="AU1263" s="30">
        <f>Inventory[[#This Row],[EffAge]]*Lookups!$B$65</f>
        <v>-5654.5371999999998</v>
      </c>
      <c r="AV1263" s="30">
        <f>Inventory[[#This Row],[MainFn]]*Lookups!$B$90</f>
        <v>43063.162199999999</v>
      </c>
      <c r="AW1263" s="30">
        <f>Inventory[[#This Row],[UpprFn]]*Lookups!$B$91</f>
        <v>0</v>
      </c>
      <c r="AX1263" s="30">
        <f>Inventory[[#This Row],[Bsmt Area]]*Lookups!$B$95</f>
        <v>0</v>
      </c>
      <c r="AY1263" s="30">
        <f>Inventory[[#This Row],[AttGar]]*Lookups!$B$93</f>
        <v>0</v>
      </c>
      <c r="AZ1263" s="30">
        <f>ROUND(Inventory[[#This Row],[25Det]],-2)</f>
        <v>0</v>
      </c>
      <c r="BA1263" s="30">
        <f>ROUND(SUM(Inventory[[#This Row],[Mdl Qlty]:[Mdl Garage Area]])+Inventory[[#This Row],[Mdl Res Intercept]],-2)</f>
        <v>178600</v>
      </c>
      <c r="BB1263" s="30">
        <f>ROUND(Inventory[[#This Row],[Mdl Land Intercept]]+Inventory[[#This Row],[Mdl LnAcres]],-2)</f>
        <v>62600</v>
      </c>
      <c r="BC1263" s="30">
        <f>Inventory[[#This Row],[Unadj Res Value]]+Inventory[[#This Row],[Unadj Det Value]]+Inventory[[#This Row],[Unadj Land Value]]</f>
        <v>241200</v>
      </c>
      <c r="BD1263" s="30">
        <f>(Inventory[[#This Row],[Unadj Total Value]]-Inventory[[#This Row],[24Final]])/Inventory[[#This Row],[24Final]]</f>
        <v>0.23061224489795917</v>
      </c>
      <c r="BE1263" s="30">
        <f>VLOOKUP(Inventory[[#This Row],[Nbhd]],Lookups!$M$3:$P$5,4,FALSE)</f>
        <v>0.99970000000000003</v>
      </c>
      <c r="BF1263" s="30">
        <f>VLOOKUP(Inventory[[#This Row],[Qlty]],Lookups!$M$8:$P$22,4,FALSE)</f>
        <v>1</v>
      </c>
      <c r="BG1263" s="30">
        <f>VLOOKUP(Inventory[[#This Row],[Cnd]],Lookups!$R$8:$U$17,4,FALSE)</f>
        <v>0.99680000000000002</v>
      </c>
      <c r="BH1263" s="30">
        <f>VLOOKUP(Inventory[[#This Row],[LivArea Range]],Lookups!$R$25:$U$43,4,FALSE)</f>
        <v>1</v>
      </c>
      <c r="BI1263" s="30">
        <f>VLOOKUP(Inventory[[#This Row],[Decade]],Lookups!$M$24:$P$40,4,FALSE)</f>
        <v>1</v>
      </c>
      <c r="BJ1263" s="30">
        <f>Inventory[[#This Row],[Nbhd Adj]]*0.95</f>
        <v>0.94971499999999998</v>
      </c>
      <c r="BK1263" s="30">
        <f>AVERAGE(Inventory[[#This Row],[Nbhd Adj]],Inventory[[#This Row],[Quality Adj]],Inventory[[#This Row],[Condition Adj]],Inventory[[#This Row],[Living Area Adj]],Inventory[[#This Row],[Decade Adj]])*0.95</f>
        <v>0.94933500000000004</v>
      </c>
      <c r="BL1263" s="30">
        <f>ROUND((SUM(Inventory[[#This Row],[Mdl Qlty]:[Mdl Garage Area]])+Inventory[[#This Row],[Mdl Res Intercept]])*Inventory[[#This Row],[Res Adj ]],-2)</f>
        <v>169500</v>
      </c>
      <c r="BM1263" s="30">
        <f>ROUND(Inventory[[#This Row],[25Det]]*Inventory[[#This Row],[Det/Nbhd Adj]],-2)</f>
        <v>0</v>
      </c>
      <c r="BN1263" s="30">
        <f>Inventory[[#This Row],[Adjusted Res]]+Inventory[[#This Row],[Adj Det ]]</f>
        <v>169500</v>
      </c>
      <c r="BO1263" s="30">
        <f>ROUND((Inventory[[#This Row],[Mdl Land Intercept]]+Inventory[[#This Row],[Mdl LnAcres]])*Inventory[[#This Row],[Det/Nbhd Adj]],-2)</f>
        <v>59400</v>
      </c>
      <c r="BP1263" s="30">
        <f>Inventory[[#This Row],[Adjusted Impr Total]]+Inventory[[#This Row],[Adjusted Land Total]]</f>
        <v>228900</v>
      </c>
      <c r="BQ1263" s="30">
        <f>IFERROR((Inventory[[#This Row],[Adjusted Impr Total]]-Inventory[[#This Row],[24Bldg]])/Inventory[[#This Row],[24Bldg]],0)</f>
        <v>0.23722627737226276</v>
      </c>
      <c r="BR1263" s="43">
        <f>(Inventory[[#This Row],[Adjusted Land Total]]-Inventory[[#This Row],[24Lnd]])/Inventory[[#This Row],[24Lnd]]</f>
        <v>6.7796610169491523E-3</v>
      </c>
      <c r="BS1263" s="43">
        <f>(Inventory[[#This Row],[Adjusted Total]]-Inventory[[#This Row],[24Final]])/Inventory[[#This Row],[24Final]]</f>
        <v>0.16785714285714284</v>
      </c>
    </row>
    <row r="1264" spans="1:71">
      <c r="A1264" s="30">
        <v>2025</v>
      </c>
      <c r="B1264" s="31" t="s">
        <v>1781</v>
      </c>
      <c r="C1264" s="36">
        <f>LN(Inventory[[#This Row],[Acres]])</f>
        <v>-1.9310215365615626</v>
      </c>
      <c r="D1264" s="32">
        <f>ROUND(Inventory[[#This Row],[Sqft]]/43560,3)</f>
        <v>0.14499999999999999</v>
      </c>
      <c r="E1264" s="30">
        <v>6337</v>
      </c>
      <c r="F1264" s="31" t="s">
        <v>505</v>
      </c>
      <c r="G1264" s="31" t="s">
        <v>155</v>
      </c>
      <c r="H1264" s="31" t="s">
        <v>5</v>
      </c>
      <c r="I1264" s="31" t="s">
        <v>506</v>
      </c>
      <c r="J1264" s="31" t="s">
        <v>507</v>
      </c>
      <c r="K1264" s="31" t="s">
        <v>473</v>
      </c>
      <c r="L1264" s="31" t="s">
        <v>11</v>
      </c>
      <c r="M1264" s="31" t="s">
        <v>18</v>
      </c>
      <c r="N1264" s="31">
        <v>80</v>
      </c>
      <c r="O1264" s="31">
        <f>2024-Inventory[[#This Row],[YrBlt]]</f>
        <v>84</v>
      </c>
      <c r="P1264" s="31">
        <f>2024-Inventory[[#This Row],[EffYr]]</f>
        <v>52</v>
      </c>
      <c r="Q1264" s="30">
        <v>1940</v>
      </c>
      <c r="R1264" s="30">
        <v>1972</v>
      </c>
      <c r="S1264" s="30">
        <v>1312</v>
      </c>
      <c r="T1264" s="32"/>
      <c r="U1264" s="32"/>
      <c r="V1264" s="32"/>
      <c r="W1264" s="32"/>
      <c r="X1264" s="32">
        <f>Inventory[[#This Row],[Bsmt Area]]-Inventory[[#This Row],[FnBsmt]]</f>
        <v>0</v>
      </c>
      <c r="Y1264" s="32">
        <f>Inventory[[#This Row],[MainFn]]+Inventory[[#This Row],[UpprFn]]+Inventory[[#This Row],[AddFn]]+Inventory[[#This Row],[FnBsmt]]</f>
        <v>1312</v>
      </c>
      <c r="Z1264" s="32">
        <v>1500</v>
      </c>
      <c r="AA1264" s="31" t="s">
        <v>56</v>
      </c>
      <c r="AB1264" s="32"/>
      <c r="AC1264" s="37"/>
      <c r="AD1264" s="32"/>
      <c r="AE1264" s="32"/>
      <c r="AF1264" s="32"/>
      <c r="AG1264" s="32"/>
      <c r="AH1264" s="32"/>
      <c r="AI1264" s="30">
        <v>173424</v>
      </c>
      <c r="AJ1264" s="30">
        <v>117928</v>
      </c>
      <c r="AK1264" s="30">
        <v>0</v>
      </c>
      <c r="AL1264" s="30">
        <v>0</v>
      </c>
      <c r="AM1264" s="30">
        <v>59900</v>
      </c>
      <c r="AN1264" s="30">
        <v>167500</v>
      </c>
      <c r="AO1264" s="30">
        <v>227400</v>
      </c>
      <c r="AP1264" s="30">
        <f>Lookups!$B$58*0.6</f>
        <v>132535.48800000001</v>
      </c>
      <c r="AQ1264" s="30">
        <f>Lookups!$B$58*0.4</f>
        <v>88356.992000000013</v>
      </c>
      <c r="AR1264" s="30">
        <f>Lookups!$B$59*Inventory[[#This Row],[LnAcres]]</f>
        <v>-25343.346503747183</v>
      </c>
      <c r="AS1264" s="30">
        <f>VLOOKUP(Inventory[[#This Row],[Qlty]],Lookups!$A$66:$E$79,2,FALSE)</f>
        <v>-9114.1675108666695</v>
      </c>
      <c r="AT1264" s="30">
        <f>VLOOKUP(Inventory[[#This Row],[Cnd]],Lookups!$A$80:$E$88,2,FALSE)</f>
        <v>17761.121909000001</v>
      </c>
      <c r="AU1264" s="30">
        <f>Inventory[[#This Row],[EffAge]]*Lookups!$B$65</f>
        <v>-5654.5371999999998</v>
      </c>
      <c r="AV1264" s="30">
        <f>Inventory[[#This Row],[MainFn]]*Lookups!$B$90</f>
        <v>81882.418560000006</v>
      </c>
      <c r="AW1264" s="30">
        <f>Inventory[[#This Row],[UpprFn]]*Lookups!$B$91</f>
        <v>0</v>
      </c>
      <c r="AX1264" s="30">
        <f>Inventory[[#This Row],[Bsmt Area]]*Lookups!$B$95</f>
        <v>0</v>
      </c>
      <c r="AY1264" s="30">
        <f>Inventory[[#This Row],[AttGar]]*Lookups!$B$93</f>
        <v>0</v>
      </c>
      <c r="AZ1264" s="30">
        <f>ROUND(Inventory[[#This Row],[25Det]],-2)</f>
        <v>0</v>
      </c>
      <c r="BA1264" s="30">
        <f>ROUND(SUM(Inventory[[#This Row],[Mdl Qlty]:[Mdl Garage Area]])+Inventory[[#This Row],[Mdl Res Intercept]],-2)</f>
        <v>217400</v>
      </c>
      <c r="BB1264" s="30">
        <f>ROUND(Inventory[[#This Row],[Mdl Land Intercept]]+Inventory[[#This Row],[Mdl LnAcres]],-2)</f>
        <v>63000</v>
      </c>
      <c r="BC1264" s="30">
        <f>Inventory[[#This Row],[Unadj Res Value]]+Inventory[[#This Row],[Unadj Det Value]]+Inventory[[#This Row],[Unadj Land Value]]</f>
        <v>280400</v>
      </c>
      <c r="BD1264" s="30">
        <f>(Inventory[[#This Row],[Unadj Total Value]]-Inventory[[#This Row],[24Final]])/Inventory[[#This Row],[24Final]]</f>
        <v>0.23306948109058928</v>
      </c>
      <c r="BE1264" s="30">
        <f>VLOOKUP(Inventory[[#This Row],[Nbhd]],Lookups!$M$3:$P$5,4,FALSE)</f>
        <v>0.99970000000000003</v>
      </c>
      <c r="BF1264" s="30">
        <f>VLOOKUP(Inventory[[#This Row],[Qlty]],Lookups!$M$8:$P$22,4,FALSE)</f>
        <v>1</v>
      </c>
      <c r="BG1264" s="30">
        <f>VLOOKUP(Inventory[[#This Row],[Cnd]],Lookups!$R$8:$U$17,4,FALSE)</f>
        <v>0.99680000000000002</v>
      </c>
      <c r="BH1264" s="30">
        <f>VLOOKUP(Inventory[[#This Row],[LivArea Range]],Lookups!$R$25:$U$43,4,FALSE)</f>
        <v>0.99519999999999997</v>
      </c>
      <c r="BI1264" s="30">
        <f>VLOOKUP(Inventory[[#This Row],[Decade]],Lookups!$M$24:$P$40,4,FALSE)</f>
        <v>1</v>
      </c>
      <c r="BJ1264" s="30">
        <f>Inventory[[#This Row],[Nbhd Adj]]*0.95</f>
        <v>0.94971499999999998</v>
      </c>
      <c r="BK1264" s="30">
        <f>AVERAGE(Inventory[[#This Row],[Nbhd Adj]],Inventory[[#This Row],[Quality Adj]],Inventory[[#This Row],[Condition Adj]],Inventory[[#This Row],[Living Area Adj]],Inventory[[#This Row],[Decade Adj]])*0.95</f>
        <v>0.94842300000000002</v>
      </c>
      <c r="BL1264" s="30">
        <f>ROUND((SUM(Inventory[[#This Row],[Mdl Qlty]:[Mdl Garage Area]])+Inventory[[#This Row],[Mdl Res Intercept]])*Inventory[[#This Row],[Res Adj ]],-2)</f>
        <v>206200</v>
      </c>
      <c r="BM1264" s="30">
        <f>ROUND(Inventory[[#This Row],[25Det]]*Inventory[[#This Row],[Det/Nbhd Adj]],-2)</f>
        <v>0</v>
      </c>
      <c r="BN1264" s="30">
        <f>Inventory[[#This Row],[Adjusted Res]]+Inventory[[#This Row],[Adj Det ]]</f>
        <v>206200</v>
      </c>
      <c r="BO1264" s="30">
        <f>ROUND((Inventory[[#This Row],[Mdl Land Intercept]]+Inventory[[#This Row],[Mdl LnAcres]])*Inventory[[#This Row],[Det/Nbhd Adj]],-2)</f>
        <v>59800</v>
      </c>
      <c r="BP1264" s="30">
        <f>Inventory[[#This Row],[Adjusted Impr Total]]+Inventory[[#This Row],[Adjusted Land Total]]</f>
        <v>266000</v>
      </c>
      <c r="BQ1264" s="30">
        <f>IFERROR((Inventory[[#This Row],[Adjusted Impr Total]]-Inventory[[#This Row],[24Bldg]])/Inventory[[#This Row],[24Bldg]],0)</f>
        <v>0.23104477611940299</v>
      </c>
      <c r="BR1264" s="43">
        <f>(Inventory[[#This Row],[Adjusted Land Total]]-Inventory[[#This Row],[24Lnd]])/Inventory[[#This Row],[24Lnd]]</f>
        <v>-1.6694490818030051E-3</v>
      </c>
      <c r="BS1264" s="43">
        <f>(Inventory[[#This Row],[Adjusted Total]]-Inventory[[#This Row],[24Final]])/Inventory[[#This Row],[24Final]]</f>
        <v>0.16974494283201408</v>
      </c>
    </row>
    <row r="1265" spans="1:71">
      <c r="A1265" s="30">
        <v>2025</v>
      </c>
      <c r="B1265" s="31" t="s">
        <v>1782</v>
      </c>
      <c r="C1265" s="36">
        <f>LN(Inventory[[#This Row],[Acres]])</f>
        <v>-1.8325814637483102</v>
      </c>
      <c r="D1265" s="38">
        <v>0.16</v>
      </c>
      <c r="E1265" s="30">
        <v>7133</v>
      </c>
      <c r="F1265" s="31" t="s">
        <v>505</v>
      </c>
      <c r="G1265" s="31" t="s">
        <v>155</v>
      </c>
      <c r="H1265" s="31" t="s">
        <v>5</v>
      </c>
      <c r="I1265" s="31" t="s">
        <v>506</v>
      </c>
      <c r="J1265" s="31" t="s">
        <v>507</v>
      </c>
      <c r="K1265" s="31" t="s">
        <v>193</v>
      </c>
      <c r="L1265" s="31" t="s">
        <v>19</v>
      </c>
      <c r="M1265" s="31" t="s">
        <v>20</v>
      </c>
      <c r="N1265" s="31">
        <v>80</v>
      </c>
      <c r="O1265" s="31">
        <f>2024-Inventory[[#This Row],[YrBlt]]</f>
        <v>84</v>
      </c>
      <c r="P1265" s="31">
        <f>2024-Inventory[[#This Row],[EffYr]]</f>
        <v>44</v>
      </c>
      <c r="Q1265" s="30">
        <v>1940</v>
      </c>
      <c r="R1265" s="30">
        <v>1980</v>
      </c>
      <c r="S1265" s="30">
        <v>1672</v>
      </c>
      <c r="T1265" s="32"/>
      <c r="U1265" s="32"/>
      <c r="V1265" s="32"/>
      <c r="W1265" s="32"/>
      <c r="X1265" s="32">
        <f>Inventory[[#This Row],[Bsmt Area]]-Inventory[[#This Row],[FnBsmt]]</f>
        <v>0</v>
      </c>
      <c r="Y1265" s="32">
        <f>Inventory[[#This Row],[MainFn]]+Inventory[[#This Row],[UpprFn]]+Inventory[[#This Row],[AddFn]]+Inventory[[#This Row],[FnBsmt]]</f>
        <v>1672</v>
      </c>
      <c r="Z1265" s="32">
        <v>2000</v>
      </c>
      <c r="AA1265" s="31" t="s">
        <v>55</v>
      </c>
      <c r="AB1265" s="32"/>
      <c r="AC1265" s="30">
        <v>625</v>
      </c>
      <c r="AD1265" s="32"/>
      <c r="AE1265" s="32"/>
      <c r="AF1265" s="32"/>
      <c r="AG1265" s="32"/>
      <c r="AH1265" s="32"/>
      <c r="AI1265" s="30">
        <v>332481</v>
      </c>
      <c r="AJ1265" s="30">
        <v>262660</v>
      </c>
      <c r="AK1265" s="30">
        <v>0</v>
      </c>
      <c r="AL1265" s="30">
        <v>0</v>
      </c>
      <c r="AM1265" s="30">
        <v>60800</v>
      </c>
      <c r="AN1265" s="30">
        <v>283700</v>
      </c>
      <c r="AO1265" s="30">
        <v>344500</v>
      </c>
      <c r="AP1265" s="30">
        <f>Lookups!$B$58*0.6</f>
        <v>132535.48800000001</v>
      </c>
      <c r="AQ1265" s="30">
        <f>Lookups!$B$58*0.4</f>
        <v>88356.992000000013</v>
      </c>
      <c r="AR1265" s="30">
        <f>Lookups!$B$59*Inventory[[#This Row],[LnAcres]]</f>
        <v>-24051.387388882686</v>
      </c>
      <c r="AS1265" s="30">
        <f>VLOOKUP(Inventory[[#This Row],[Qlty]],Lookups!$A$66:$E$79,2,FALSE)</f>
        <v>37154.252388000001</v>
      </c>
      <c r="AT1265" s="30">
        <f>VLOOKUP(Inventory[[#This Row],[Cnd]],Lookups!$A$80:$E$88,2,FALSE)</f>
        <v>30300.329274</v>
      </c>
      <c r="AU1265" s="30">
        <f>Inventory[[#This Row],[EffAge]]*Lookups!$B$65</f>
        <v>-4784.6084000000001</v>
      </c>
      <c r="AV1265" s="30">
        <f>Inventory[[#This Row],[MainFn]]*Lookups!$B$90</f>
        <v>104350.15536</v>
      </c>
      <c r="AW1265" s="30">
        <f>Inventory[[#This Row],[UpprFn]]*Lookups!$B$91</f>
        <v>0</v>
      </c>
      <c r="AX1265" s="30">
        <f>Inventory[[#This Row],[Bsmt Area]]*Lookups!$B$95</f>
        <v>0</v>
      </c>
      <c r="AY1265" s="30">
        <f>Inventory[[#This Row],[AttGar]]*Lookups!$B$93</f>
        <v>22063.144375</v>
      </c>
      <c r="AZ1265" s="30">
        <f>ROUND(Inventory[[#This Row],[25Det]],-2)</f>
        <v>0</v>
      </c>
      <c r="BA1265" s="30">
        <f>ROUND(SUM(Inventory[[#This Row],[Mdl Qlty]:[Mdl Garage Area]])+Inventory[[#This Row],[Mdl Res Intercept]],-2)</f>
        <v>321600</v>
      </c>
      <c r="BB1265" s="30">
        <f>ROUND(Inventory[[#This Row],[Mdl Land Intercept]]+Inventory[[#This Row],[Mdl LnAcres]],-2)</f>
        <v>64300</v>
      </c>
      <c r="BC1265" s="30">
        <f>Inventory[[#This Row],[Unadj Res Value]]+Inventory[[#This Row],[Unadj Det Value]]+Inventory[[#This Row],[Unadj Land Value]]</f>
        <v>385900</v>
      </c>
      <c r="BD1265" s="30">
        <f>(Inventory[[#This Row],[Unadj Total Value]]-Inventory[[#This Row],[24Final]])/Inventory[[#This Row],[24Final]]</f>
        <v>0.12017416545718433</v>
      </c>
      <c r="BE1265" s="30">
        <f>VLOOKUP(Inventory[[#This Row],[Nbhd]],Lookups!$M$3:$P$5,4,FALSE)</f>
        <v>0.99970000000000003</v>
      </c>
      <c r="BF1265" s="30">
        <f>VLOOKUP(Inventory[[#This Row],[Qlty]],Lookups!$M$8:$P$22,4,FALSE)</f>
        <v>0.99819999999999998</v>
      </c>
      <c r="BG1265" s="30">
        <f>VLOOKUP(Inventory[[#This Row],[Cnd]],Lookups!$R$8:$U$17,4,FALSE)</f>
        <v>0.997</v>
      </c>
      <c r="BH1265" s="30">
        <f>VLOOKUP(Inventory[[#This Row],[LivArea Range]],Lookups!$R$25:$U$43,4,FALSE)</f>
        <v>1.0007999999999999</v>
      </c>
      <c r="BI1265" s="30">
        <f>VLOOKUP(Inventory[[#This Row],[Decade]],Lookups!$M$24:$P$40,4,FALSE)</f>
        <v>1</v>
      </c>
      <c r="BJ1265" s="30">
        <f>Inventory[[#This Row],[Nbhd Adj]]*0.95</f>
        <v>0.94971499999999998</v>
      </c>
      <c r="BK1265" s="30">
        <f>AVERAGE(Inventory[[#This Row],[Nbhd Adj]],Inventory[[#This Row],[Quality Adj]],Inventory[[#This Row],[Condition Adj]],Inventory[[#This Row],[Living Area Adj]],Inventory[[#This Row],[Decade Adj]])*0.95</f>
        <v>0.94918299999999989</v>
      </c>
      <c r="BL1265" s="30">
        <f>ROUND((SUM(Inventory[[#This Row],[Mdl Qlty]:[Mdl Garage Area]])+Inventory[[#This Row],[Mdl Res Intercept]])*Inventory[[#This Row],[Res Adj ]],-2)</f>
        <v>305300</v>
      </c>
      <c r="BM1265" s="30">
        <f>ROUND(Inventory[[#This Row],[25Det]]*Inventory[[#This Row],[Det/Nbhd Adj]],-2)</f>
        <v>0</v>
      </c>
      <c r="BN1265" s="30">
        <f>Inventory[[#This Row],[Adjusted Res]]+Inventory[[#This Row],[Adj Det ]]</f>
        <v>305300</v>
      </c>
      <c r="BO1265" s="30">
        <f>ROUND((Inventory[[#This Row],[Mdl Land Intercept]]+Inventory[[#This Row],[Mdl LnAcres]])*Inventory[[#This Row],[Det/Nbhd Adj]],-2)</f>
        <v>61100</v>
      </c>
      <c r="BP1265" s="30">
        <f>Inventory[[#This Row],[Adjusted Impr Total]]+Inventory[[#This Row],[Adjusted Land Total]]</f>
        <v>366400</v>
      </c>
      <c r="BQ1265" s="30">
        <f>IFERROR((Inventory[[#This Row],[Adjusted Impr Total]]-Inventory[[#This Row],[24Bldg]])/Inventory[[#This Row],[24Bldg]],0)</f>
        <v>7.6136764187522035E-2</v>
      </c>
      <c r="BR1265" s="43">
        <f>(Inventory[[#This Row],[Adjusted Land Total]]-Inventory[[#This Row],[24Lnd]])/Inventory[[#This Row],[24Lnd]]</f>
        <v>4.9342105263157892E-3</v>
      </c>
      <c r="BS1265" s="43">
        <f>(Inventory[[#This Row],[Adjusted Total]]-Inventory[[#This Row],[24Final]])/Inventory[[#This Row],[24Final]]</f>
        <v>6.357039187227867E-2</v>
      </c>
    </row>
    <row r="1266" spans="1:71">
      <c r="A1266" s="30">
        <v>2025</v>
      </c>
      <c r="B1266" s="31" t="s">
        <v>1783</v>
      </c>
      <c r="C1266" s="36">
        <f>LN(Inventory[[#This Row],[Acres]])</f>
        <v>-1.7719568419318752</v>
      </c>
      <c r="D1266" s="38">
        <v>0.17</v>
      </c>
      <c r="E1266" s="30">
        <v>7431</v>
      </c>
      <c r="F1266" s="31" t="s">
        <v>505</v>
      </c>
      <c r="G1266" s="31" t="s">
        <v>155</v>
      </c>
      <c r="H1266" s="31" t="s">
        <v>5</v>
      </c>
      <c r="I1266" s="31" t="s">
        <v>506</v>
      </c>
      <c r="J1266" s="31" t="s">
        <v>507</v>
      </c>
      <c r="K1266" s="31" t="s">
        <v>193</v>
      </c>
      <c r="L1266" s="31" t="s">
        <v>15</v>
      </c>
      <c r="M1266" s="31" t="s">
        <v>16</v>
      </c>
      <c r="N1266" s="31">
        <v>80</v>
      </c>
      <c r="O1266" s="31">
        <f>2024-Inventory[[#This Row],[YrBlt]]</f>
        <v>84</v>
      </c>
      <c r="P1266" s="31">
        <f>2024-Inventory[[#This Row],[EffYr]]</f>
        <v>52</v>
      </c>
      <c r="Q1266" s="30">
        <v>1940</v>
      </c>
      <c r="R1266" s="30">
        <v>1972</v>
      </c>
      <c r="S1266" s="30">
        <v>1752</v>
      </c>
      <c r="T1266" s="32"/>
      <c r="U1266" s="32"/>
      <c r="V1266" s="32"/>
      <c r="W1266" s="32"/>
      <c r="X1266" s="32">
        <f>Inventory[[#This Row],[Bsmt Area]]-Inventory[[#This Row],[FnBsmt]]</f>
        <v>0</v>
      </c>
      <c r="Y1266" s="32">
        <f>Inventory[[#This Row],[MainFn]]+Inventory[[#This Row],[UpprFn]]+Inventory[[#This Row],[AddFn]]+Inventory[[#This Row],[FnBsmt]]</f>
        <v>1752</v>
      </c>
      <c r="Z1266" s="32">
        <v>2000</v>
      </c>
      <c r="AA1266" s="31" t="s">
        <v>56</v>
      </c>
      <c r="AB1266" s="32"/>
      <c r="AC1266" s="37"/>
      <c r="AD1266" s="32"/>
      <c r="AE1266" s="32"/>
      <c r="AF1266" s="32"/>
      <c r="AG1266" s="32"/>
      <c r="AH1266" s="32"/>
      <c r="AI1266" s="30">
        <v>254517</v>
      </c>
      <c r="AJ1266" s="30">
        <v>167981</v>
      </c>
      <c r="AK1266" s="30">
        <v>0</v>
      </c>
      <c r="AL1266" s="30">
        <v>0</v>
      </c>
      <c r="AM1266" s="30">
        <v>61700</v>
      </c>
      <c r="AN1266" s="30">
        <v>213000</v>
      </c>
      <c r="AO1266" s="30">
        <v>274700</v>
      </c>
      <c r="AP1266" s="30">
        <f>Lookups!$B$58*0.6</f>
        <v>132535.48800000001</v>
      </c>
      <c r="AQ1266" s="30">
        <f>Lookups!$B$58*0.4</f>
        <v>88356.992000000013</v>
      </c>
      <c r="AR1266" s="30">
        <f>Lookups!$B$59*Inventory[[#This Row],[LnAcres]]</f>
        <v>-23255.730391660189</v>
      </c>
      <c r="AS1266" s="30">
        <f>VLOOKUP(Inventory[[#This Row],[Qlty]],Lookups!$A$66:$E$79,2,FALSE)</f>
        <v>-1240.8083630000001</v>
      </c>
      <c r="AT1266" s="30">
        <f>VLOOKUP(Inventory[[#This Row],[Cnd]],Lookups!$A$80:$E$88,2,FALSE)</f>
        <v>0</v>
      </c>
      <c r="AU1266" s="30">
        <f>Inventory[[#This Row],[EffAge]]*Lookups!$B$65</f>
        <v>-5654.5371999999998</v>
      </c>
      <c r="AV1266" s="30">
        <f>Inventory[[#This Row],[MainFn]]*Lookups!$B$90</f>
        <v>109342.98576000001</v>
      </c>
      <c r="AW1266" s="30">
        <f>Inventory[[#This Row],[UpprFn]]*Lookups!$B$91</f>
        <v>0</v>
      </c>
      <c r="AX1266" s="30">
        <f>Inventory[[#This Row],[Bsmt Area]]*Lookups!$B$95</f>
        <v>0</v>
      </c>
      <c r="AY1266" s="30">
        <f>Inventory[[#This Row],[AttGar]]*Lookups!$B$93</f>
        <v>0</v>
      </c>
      <c r="AZ1266" s="30">
        <f>ROUND(Inventory[[#This Row],[25Det]],-2)</f>
        <v>0</v>
      </c>
      <c r="BA1266" s="30">
        <f>ROUND(SUM(Inventory[[#This Row],[Mdl Qlty]:[Mdl Garage Area]])+Inventory[[#This Row],[Mdl Res Intercept]],-2)</f>
        <v>235000</v>
      </c>
      <c r="BB1266" s="30">
        <f>ROUND(Inventory[[#This Row],[Mdl Land Intercept]]+Inventory[[#This Row],[Mdl LnAcres]],-2)</f>
        <v>65100</v>
      </c>
      <c r="BC1266" s="30">
        <f>Inventory[[#This Row],[Unadj Res Value]]+Inventory[[#This Row],[Unadj Det Value]]+Inventory[[#This Row],[Unadj Land Value]]</f>
        <v>300100</v>
      </c>
      <c r="BD1266" s="30">
        <f>(Inventory[[#This Row],[Unadj Total Value]]-Inventory[[#This Row],[24Final]])/Inventory[[#This Row],[24Final]]</f>
        <v>9.2464506734619589E-2</v>
      </c>
      <c r="BE1266" s="30">
        <f>VLOOKUP(Inventory[[#This Row],[Nbhd]],Lookups!$M$3:$P$5,4,FALSE)</f>
        <v>0.99970000000000003</v>
      </c>
      <c r="BF1266" s="30">
        <f>VLOOKUP(Inventory[[#This Row],[Qlty]],Lookups!$M$8:$P$22,4,FALSE)</f>
        <v>1.0022</v>
      </c>
      <c r="BG1266" s="30">
        <f>VLOOKUP(Inventory[[#This Row],[Cnd]],Lookups!$R$8:$U$17,4,FALSE)</f>
        <v>1</v>
      </c>
      <c r="BH1266" s="30">
        <f>VLOOKUP(Inventory[[#This Row],[LivArea Range]],Lookups!$R$25:$U$43,4,FALSE)</f>
        <v>1.0007999999999999</v>
      </c>
      <c r="BI1266" s="30">
        <f>VLOOKUP(Inventory[[#This Row],[Decade]],Lookups!$M$24:$P$40,4,FALSE)</f>
        <v>1</v>
      </c>
      <c r="BJ1266" s="30">
        <f>Inventory[[#This Row],[Nbhd Adj]]*0.95</f>
        <v>0.94971499999999998</v>
      </c>
      <c r="BK1266" s="30">
        <f>AVERAGE(Inventory[[#This Row],[Nbhd Adj]],Inventory[[#This Row],[Quality Adj]],Inventory[[#This Row],[Condition Adj]],Inventory[[#This Row],[Living Area Adj]],Inventory[[#This Row],[Decade Adj]])*0.95</f>
        <v>0.95051299999999994</v>
      </c>
      <c r="BL1266" s="30">
        <f>ROUND((SUM(Inventory[[#This Row],[Mdl Qlty]:[Mdl Garage Area]])+Inventory[[#This Row],[Mdl Res Intercept]])*Inventory[[#This Row],[Res Adj ]],-2)</f>
        <v>223400</v>
      </c>
      <c r="BM1266" s="30">
        <f>ROUND(Inventory[[#This Row],[25Det]]*Inventory[[#This Row],[Det/Nbhd Adj]],-2)</f>
        <v>0</v>
      </c>
      <c r="BN1266" s="30">
        <f>Inventory[[#This Row],[Adjusted Res]]+Inventory[[#This Row],[Adj Det ]]</f>
        <v>223400</v>
      </c>
      <c r="BO1266" s="30">
        <f>ROUND((Inventory[[#This Row],[Mdl Land Intercept]]+Inventory[[#This Row],[Mdl LnAcres]])*Inventory[[#This Row],[Det/Nbhd Adj]],-2)</f>
        <v>61800</v>
      </c>
      <c r="BP1266" s="30">
        <f>Inventory[[#This Row],[Adjusted Impr Total]]+Inventory[[#This Row],[Adjusted Land Total]]</f>
        <v>285200</v>
      </c>
      <c r="BQ1266" s="30">
        <f>IFERROR((Inventory[[#This Row],[Adjusted Impr Total]]-Inventory[[#This Row],[24Bldg]])/Inventory[[#This Row],[24Bldg]],0)</f>
        <v>4.8826291079812206E-2</v>
      </c>
      <c r="BR1266" s="43">
        <f>(Inventory[[#This Row],[Adjusted Land Total]]-Inventory[[#This Row],[24Lnd]])/Inventory[[#This Row],[24Lnd]]</f>
        <v>1.6207455429497568E-3</v>
      </c>
      <c r="BS1266" s="43">
        <f>(Inventory[[#This Row],[Adjusted Total]]-Inventory[[#This Row],[24Final]])/Inventory[[#This Row],[24Final]]</f>
        <v>3.8223516563523845E-2</v>
      </c>
    </row>
    <row r="1267" spans="1:71">
      <c r="A1267" s="30">
        <v>2025</v>
      </c>
      <c r="B1267" s="31" t="s">
        <v>1784</v>
      </c>
      <c r="C1267" s="36">
        <f>LN(Inventory[[#This Row],[Acres]])</f>
        <v>-1.7719568419318752</v>
      </c>
      <c r="D1267" s="38">
        <v>0.17</v>
      </c>
      <c r="E1267" s="30">
        <v>7195</v>
      </c>
      <c r="F1267" s="31" t="s">
        <v>505</v>
      </c>
      <c r="G1267" s="31" t="s">
        <v>155</v>
      </c>
      <c r="H1267" s="31" t="s">
        <v>5</v>
      </c>
      <c r="I1267" s="31" t="s">
        <v>506</v>
      </c>
      <c r="J1267" s="31" t="s">
        <v>507</v>
      </c>
      <c r="K1267" s="31" t="s">
        <v>475</v>
      </c>
      <c r="L1267" s="31" t="s">
        <v>11</v>
      </c>
      <c r="M1267" s="31" t="s">
        <v>20</v>
      </c>
      <c r="N1267" s="31">
        <v>80</v>
      </c>
      <c r="O1267" s="31">
        <f>2024-Inventory[[#This Row],[YrBlt]]</f>
        <v>84</v>
      </c>
      <c r="P1267" s="31">
        <f>2024-Inventory[[#This Row],[EffYr]]</f>
        <v>52</v>
      </c>
      <c r="Q1267" s="30">
        <v>1940</v>
      </c>
      <c r="R1267" s="30">
        <v>1972</v>
      </c>
      <c r="S1267" s="30">
        <v>773</v>
      </c>
      <c r="T1267" s="32"/>
      <c r="U1267" s="32"/>
      <c r="V1267" s="32"/>
      <c r="W1267" s="32"/>
      <c r="X1267" s="32">
        <f>Inventory[[#This Row],[Bsmt Area]]-Inventory[[#This Row],[FnBsmt]]</f>
        <v>0</v>
      </c>
      <c r="Y1267" s="32">
        <f>Inventory[[#This Row],[MainFn]]+Inventory[[#This Row],[UpprFn]]+Inventory[[#This Row],[AddFn]]+Inventory[[#This Row],[FnBsmt]]</f>
        <v>773</v>
      </c>
      <c r="Z1267" s="32">
        <v>1000</v>
      </c>
      <c r="AA1267" s="31" t="s">
        <v>56</v>
      </c>
      <c r="AB1267" s="32"/>
      <c r="AC1267" s="37"/>
      <c r="AD1267" s="32"/>
      <c r="AE1267" s="32"/>
      <c r="AF1267" s="32"/>
      <c r="AG1267" s="32"/>
      <c r="AH1267" s="32"/>
      <c r="AI1267" s="30">
        <v>107992</v>
      </c>
      <c r="AJ1267" s="30">
        <v>75594</v>
      </c>
      <c r="AK1267" s="30">
        <v>0</v>
      </c>
      <c r="AL1267" s="30">
        <v>0</v>
      </c>
      <c r="AM1267" s="30">
        <v>61700</v>
      </c>
      <c r="AN1267" s="30">
        <v>156000</v>
      </c>
      <c r="AO1267" s="30">
        <v>217700</v>
      </c>
      <c r="AP1267" s="30">
        <f>Lookups!$B$58*0.6</f>
        <v>132535.48800000001</v>
      </c>
      <c r="AQ1267" s="30">
        <f>Lookups!$B$58*0.4</f>
        <v>88356.992000000013</v>
      </c>
      <c r="AR1267" s="30">
        <f>Lookups!$B$59*Inventory[[#This Row],[LnAcres]]</f>
        <v>-23255.730391660189</v>
      </c>
      <c r="AS1267" s="30">
        <f>VLOOKUP(Inventory[[#This Row],[Qlty]],Lookups!$A$66:$E$79,2,FALSE)</f>
        <v>-9114.1675108666695</v>
      </c>
      <c r="AT1267" s="30">
        <f>VLOOKUP(Inventory[[#This Row],[Cnd]],Lookups!$A$80:$E$88,2,FALSE)</f>
        <v>30300.329274</v>
      </c>
      <c r="AU1267" s="30">
        <f>Inventory[[#This Row],[EffAge]]*Lookups!$B$65</f>
        <v>-5654.5371999999998</v>
      </c>
      <c r="AV1267" s="30">
        <f>Inventory[[#This Row],[MainFn]]*Lookups!$B$90</f>
        <v>48243.223740000001</v>
      </c>
      <c r="AW1267" s="30">
        <f>Inventory[[#This Row],[UpprFn]]*Lookups!$B$91</f>
        <v>0</v>
      </c>
      <c r="AX1267" s="30">
        <f>Inventory[[#This Row],[Bsmt Area]]*Lookups!$B$95</f>
        <v>0</v>
      </c>
      <c r="AY1267" s="30">
        <f>Inventory[[#This Row],[AttGar]]*Lookups!$B$93</f>
        <v>0</v>
      </c>
      <c r="AZ1267" s="30">
        <f>ROUND(Inventory[[#This Row],[25Det]],-2)</f>
        <v>0</v>
      </c>
      <c r="BA1267" s="30">
        <f>ROUND(SUM(Inventory[[#This Row],[Mdl Qlty]:[Mdl Garage Area]])+Inventory[[#This Row],[Mdl Res Intercept]],-2)</f>
        <v>196300</v>
      </c>
      <c r="BB1267" s="30">
        <f>ROUND(Inventory[[#This Row],[Mdl Land Intercept]]+Inventory[[#This Row],[Mdl LnAcres]],-2)</f>
        <v>65100</v>
      </c>
      <c r="BC1267" s="30">
        <f>Inventory[[#This Row],[Unadj Res Value]]+Inventory[[#This Row],[Unadj Det Value]]+Inventory[[#This Row],[Unadj Land Value]]</f>
        <v>261400</v>
      </c>
      <c r="BD1267" s="30">
        <f>(Inventory[[#This Row],[Unadj Total Value]]-Inventory[[#This Row],[24Final]])/Inventory[[#This Row],[24Final]]</f>
        <v>0.200734956361966</v>
      </c>
      <c r="BE1267" s="30">
        <f>VLOOKUP(Inventory[[#This Row],[Nbhd]],Lookups!$M$3:$P$5,4,FALSE)</f>
        <v>0.99970000000000003</v>
      </c>
      <c r="BF1267" s="30">
        <f>VLOOKUP(Inventory[[#This Row],[Qlty]],Lookups!$M$8:$P$22,4,FALSE)</f>
        <v>1</v>
      </c>
      <c r="BG1267" s="30">
        <f>VLOOKUP(Inventory[[#This Row],[Cnd]],Lookups!$R$8:$U$17,4,FALSE)</f>
        <v>0.997</v>
      </c>
      <c r="BH1267" s="30">
        <f>VLOOKUP(Inventory[[#This Row],[LivArea Range]],Lookups!$R$25:$U$43,4,FALSE)</f>
        <v>1</v>
      </c>
      <c r="BI1267" s="30">
        <f>VLOOKUP(Inventory[[#This Row],[Decade]],Lookups!$M$24:$P$40,4,FALSE)</f>
        <v>1</v>
      </c>
      <c r="BJ1267" s="30">
        <f>Inventory[[#This Row],[Nbhd Adj]]*0.95</f>
        <v>0.94971499999999998</v>
      </c>
      <c r="BK1267" s="30">
        <f>AVERAGE(Inventory[[#This Row],[Nbhd Adj]],Inventory[[#This Row],[Quality Adj]],Inventory[[#This Row],[Condition Adj]],Inventory[[#This Row],[Living Area Adj]],Inventory[[#This Row],[Decade Adj]])*0.95</f>
        <v>0.94937300000000002</v>
      </c>
      <c r="BL1267" s="30">
        <f>ROUND((SUM(Inventory[[#This Row],[Mdl Qlty]:[Mdl Garage Area]])+Inventory[[#This Row],[Mdl Res Intercept]])*Inventory[[#This Row],[Res Adj ]],-2)</f>
        <v>186400</v>
      </c>
      <c r="BM1267" s="30">
        <f>ROUND(Inventory[[#This Row],[25Det]]*Inventory[[#This Row],[Det/Nbhd Adj]],-2)</f>
        <v>0</v>
      </c>
      <c r="BN1267" s="30">
        <f>Inventory[[#This Row],[Adjusted Res]]+Inventory[[#This Row],[Adj Det ]]</f>
        <v>186400</v>
      </c>
      <c r="BO1267" s="30">
        <f>ROUND((Inventory[[#This Row],[Mdl Land Intercept]]+Inventory[[#This Row],[Mdl LnAcres]])*Inventory[[#This Row],[Det/Nbhd Adj]],-2)</f>
        <v>61800</v>
      </c>
      <c r="BP1267" s="30">
        <f>Inventory[[#This Row],[Adjusted Impr Total]]+Inventory[[#This Row],[Adjusted Land Total]]</f>
        <v>248200</v>
      </c>
      <c r="BQ1267" s="30">
        <f>IFERROR((Inventory[[#This Row],[Adjusted Impr Total]]-Inventory[[#This Row],[24Bldg]])/Inventory[[#This Row],[24Bldg]],0)</f>
        <v>0.19487179487179487</v>
      </c>
      <c r="BR1267" s="43">
        <f>(Inventory[[#This Row],[Adjusted Land Total]]-Inventory[[#This Row],[24Lnd]])/Inventory[[#This Row],[24Lnd]]</f>
        <v>1.6207455429497568E-3</v>
      </c>
      <c r="BS1267" s="43">
        <f>(Inventory[[#This Row],[Adjusted Total]]-Inventory[[#This Row],[24Final]])/Inventory[[#This Row],[24Final]]</f>
        <v>0.14010105649977034</v>
      </c>
    </row>
    <row r="1268" spans="1:71">
      <c r="A1268" s="30">
        <v>2025</v>
      </c>
      <c r="B1268" s="31" t="s">
        <v>1785</v>
      </c>
      <c r="C1268" s="36">
        <f>LN(Inventory[[#This Row],[Acres]])</f>
        <v>-1.7719568419318752</v>
      </c>
      <c r="D1268" s="38">
        <v>0.17</v>
      </c>
      <c r="E1268" s="30">
        <v>7232</v>
      </c>
      <c r="F1268" s="31" t="s">
        <v>505</v>
      </c>
      <c r="G1268" s="31" t="s">
        <v>155</v>
      </c>
      <c r="H1268" s="31" t="s">
        <v>5</v>
      </c>
      <c r="I1268" s="31" t="s">
        <v>506</v>
      </c>
      <c r="J1268" s="31" t="s">
        <v>507</v>
      </c>
      <c r="K1268" s="31" t="s">
        <v>1786</v>
      </c>
      <c r="L1268" s="31" t="s">
        <v>9</v>
      </c>
      <c r="M1268" s="31" t="s">
        <v>14</v>
      </c>
      <c r="N1268" s="31">
        <v>80</v>
      </c>
      <c r="O1268" s="31">
        <f>2024-Inventory[[#This Row],[YrBlt]]</f>
        <v>84</v>
      </c>
      <c r="P1268" s="31">
        <f>2024-Inventory[[#This Row],[EffYr]]</f>
        <v>64</v>
      </c>
      <c r="Q1268" s="30">
        <v>1940</v>
      </c>
      <c r="R1268" s="30">
        <v>1960</v>
      </c>
      <c r="S1268" s="30">
        <v>462</v>
      </c>
      <c r="T1268" s="32"/>
      <c r="U1268" s="32"/>
      <c r="V1268" s="32"/>
      <c r="W1268" s="32"/>
      <c r="X1268" s="32">
        <f>Inventory[[#This Row],[Bsmt Area]]-Inventory[[#This Row],[FnBsmt]]</f>
        <v>0</v>
      </c>
      <c r="Y1268" s="32">
        <f>Inventory[[#This Row],[MainFn]]+Inventory[[#This Row],[UpprFn]]+Inventory[[#This Row],[AddFn]]+Inventory[[#This Row],[FnBsmt]]</f>
        <v>462</v>
      </c>
      <c r="Z1268" s="32">
        <v>500</v>
      </c>
      <c r="AA1268" s="31" t="s">
        <v>56</v>
      </c>
      <c r="AB1268" s="32"/>
      <c r="AC1268" s="37"/>
      <c r="AD1268" s="32"/>
      <c r="AE1268" s="32"/>
      <c r="AF1268" s="32"/>
      <c r="AG1268" s="32"/>
      <c r="AH1268" s="32"/>
      <c r="AI1268" s="30">
        <v>57274</v>
      </c>
      <c r="AJ1268" s="30">
        <v>29210</v>
      </c>
      <c r="AK1268" s="30">
        <v>0</v>
      </c>
      <c r="AL1268" s="30">
        <v>0</v>
      </c>
      <c r="AM1268" s="30">
        <v>61700</v>
      </c>
      <c r="AN1268" s="30">
        <v>82500</v>
      </c>
      <c r="AO1268" s="30">
        <v>144200</v>
      </c>
      <c r="AP1268" s="30">
        <f>Lookups!$B$58*0.6</f>
        <v>132535.48800000001</v>
      </c>
      <c r="AQ1268" s="30">
        <f>Lookups!$B$58*0.4</f>
        <v>88356.992000000013</v>
      </c>
      <c r="AR1268" s="30">
        <f>Lookups!$B$59*Inventory[[#This Row],[LnAcres]]</f>
        <v>-23255.730391660189</v>
      </c>
      <c r="AS1268" s="30">
        <f>VLOOKUP(Inventory[[#This Row],[Qlty]],Lookups!$A$66:$E$79,2,FALSE)</f>
        <v>-18031.051255923801</v>
      </c>
      <c r="AT1268" s="30">
        <f>VLOOKUP(Inventory[[#This Row],[Cnd]],Lookups!$A$80:$E$88,2,FALSE)</f>
        <v>-9051.7226098799892</v>
      </c>
      <c r="AU1268" s="30">
        <f>Inventory[[#This Row],[EffAge]]*Lookups!$B$65</f>
        <v>-6959.4304000000002</v>
      </c>
      <c r="AV1268" s="30">
        <f>Inventory[[#This Row],[MainFn]]*Lookups!$B$90</f>
        <v>28833.595560000002</v>
      </c>
      <c r="AW1268" s="30">
        <f>Inventory[[#This Row],[UpprFn]]*Lookups!$B$91</f>
        <v>0</v>
      </c>
      <c r="AX1268" s="30">
        <f>Inventory[[#This Row],[Bsmt Area]]*Lookups!$B$95</f>
        <v>0</v>
      </c>
      <c r="AY1268" s="30">
        <f>Inventory[[#This Row],[AttGar]]*Lookups!$B$93</f>
        <v>0</v>
      </c>
      <c r="AZ1268" s="30">
        <f>ROUND(Inventory[[#This Row],[25Det]],-2)</f>
        <v>0</v>
      </c>
      <c r="BA1268" s="30">
        <f>ROUND(SUM(Inventory[[#This Row],[Mdl Qlty]:[Mdl Garage Area]])+Inventory[[#This Row],[Mdl Res Intercept]],-2)</f>
        <v>127300</v>
      </c>
      <c r="BB1268" s="30">
        <f>ROUND(Inventory[[#This Row],[Mdl Land Intercept]]+Inventory[[#This Row],[Mdl LnAcres]],-2)</f>
        <v>65100</v>
      </c>
      <c r="BC1268" s="30">
        <f>Inventory[[#This Row],[Unadj Res Value]]+Inventory[[#This Row],[Unadj Det Value]]+Inventory[[#This Row],[Unadj Land Value]]</f>
        <v>192400</v>
      </c>
      <c r="BD1268" s="30">
        <f>(Inventory[[#This Row],[Unadj Total Value]]-Inventory[[#This Row],[24Final]])/Inventory[[#This Row],[24Final]]</f>
        <v>0.33425797503467408</v>
      </c>
      <c r="BE1268" s="30">
        <f>VLOOKUP(Inventory[[#This Row],[Nbhd]],Lookups!$M$3:$P$5,4,FALSE)</f>
        <v>0.99970000000000003</v>
      </c>
      <c r="BF1268" s="30">
        <f>VLOOKUP(Inventory[[#This Row],[Qlty]],Lookups!$M$8:$P$22,4,FALSE)</f>
        <v>1</v>
      </c>
      <c r="BG1268" s="30">
        <f>VLOOKUP(Inventory[[#This Row],[Cnd]],Lookups!$R$8:$U$17,4,FALSE)</f>
        <v>1</v>
      </c>
      <c r="BH1268" s="30">
        <f>VLOOKUP(Inventory[[#This Row],[LivArea Range]],Lookups!$R$25:$U$43,4,FALSE)</f>
        <v>1</v>
      </c>
      <c r="BI1268" s="30">
        <f>VLOOKUP(Inventory[[#This Row],[Decade]],Lookups!$M$24:$P$40,4,FALSE)</f>
        <v>1</v>
      </c>
      <c r="BJ1268" s="30">
        <f>Inventory[[#This Row],[Nbhd Adj]]*0.95</f>
        <v>0.94971499999999998</v>
      </c>
      <c r="BK1268" s="30">
        <f>AVERAGE(Inventory[[#This Row],[Nbhd Adj]],Inventory[[#This Row],[Quality Adj]],Inventory[[#This Row],[Condition Adj]],Inventory[[#This Row],[Living Area Adj]],Inventory[[#This Row],[Decade Adj]])*0.95</f>
        <v>0.94994299999999987</v>
      </c>
      <c r="BL1268" s="30">
        <f>ROUND((SUM(Inventory[[#This Row],[Mdl Qlty]:[Mdl Garage Area]])+Inventory[[#This Row],[Mdl Res Intercept]])*Inventory[[#This Row],[Res Adj ]],-2)</f>
        <v>121000</v>
      </c>
      <c r="BM1268" s="30">
        <f>ROUND(Inventory[[#This Row],[25Det]]*Inventory[[#This Row],[Det/Nbhd Adj]],-2)</f>
        <v>0</v>
      </c>
      <c r="BN1268" s="30">
        <f>Inventory[[#This Row],[Adjusted Res]]+Inventory[[#This Row],[Adj Det ]]</f>
        <v>121000</v>
      </c>
      <c r="BO1268" s="30">
        <f>ROUND((Inventory[[#This Row],[Mdl Land Intercept]]+Inventory[[#This Row],[Mdl LnAcres]])*Inventory[[#This Row],[Det/Nbhd Adj]],-2)</f>
        <v>61800</v>
      </c>
      <c r="BP1268" s="30">
        <f>Inventory[[#This Row],[Adjusted Impr Total]]+Inventory[[#This Row],[Adjusted Land Total]]</f>
        <v>182800</v>
      </c>
      <c r="BQ1268" s="30">
        <f>IFERROR((Inventory[[#This Row],[Adjusted Impr Total]]-Inventory[[#This Row],[24Bldg]])/Inventory[[#This Row],[24Bldg]],0)</f>
        <v>0.46666666666666667</v>
      </c>
      <c r="BR1268" s="43">
        <f>(Inventory[[#This Row],[Adjusted Land Total]]-Inventory[[#This Row],[24Lnd]])/Inventory[[#This Row],[24Lnd]]</f>
        <v>1.6207455429497568E-3</v>
      </c>
      <c r="BS1268" s="43">
        <f>(Inventory[[#This Row],[Adjusted Total]]-Inventory[[#This Row],[24Final]])/Inventory[[#This Row],[24Final]]</f>
        <v>0.26768377253814146</v>
      </c>
    </row>
    <row r="1269" spans="1:71">
      <c r="A1269" s="30">
        <v>2025</v>
      </c>
      <c r="B1269" s="31" t="s">
        <v>1787</v>
      </c>
      <c r="C1269" s="36">
        <f>LN(Inventory[[#This Row],[Acres]])</f>
        <v>-1.6607312068216509</v>
      </c>
      <c r="D1269" s="38">
        <v>0.19</v>
      </c>
      <c r="E1269" s="37"/>
      <c r="F1269" s="31" t="s">
        <v>505</v>
      </c>
      <c r="G1269" s="31" t="s">
        <v>155</v>
      </c>
      <c r="H1269" s="31" t="s">
        <v>5</v>
      </c>
      <c r="I1269" s="31" t="s">
        <v>506</v>
      </c>
      <c r="J1269" s="31" t="s">
        <v>507</v>
      </c>
      <c r="K1269" s="31" t="s">
        <v>473</v>
      </c>
      <c r="L1269" s="31" t="s">
        <v>15</v>
      </c>
      <c r="M1269" s="31" t="s">
        <v>20</v>
      </c>
      <c r="N1269" s="31">
        <v>80</v>
      </c>
      <c r="O1269" s="31">
        <f>2024-Inventory[[#This Row],[YrBlt]]</f>
        <v>84</v>
      </c>
      <c r="P1269" s="31">
        <f>2024-Inventory[[#This Row],[EffYr]]</f>
        <v>52</v>
      </c>
      <c r="Q1269" s="30">
        <v>1940</v>
      </c>
      <c r="R1269" s="30">
        <v>1972</v>
      </c>
      <c r="S1269" s="30">
        <v>1446</v>
      </c>
      <c r="T1269" s="37"/>
      <c r="U1269" s="32"/>
      <c r="V1269" s="32"/>
      <c r="W1269" s="32"/>
      <c r="X1269" s="32">
        <f>Inventory[[#This Row],[Bsmt Area]]-Inventory[[#This Row],[FnBsmt]]</f>
        <v>0</v>
      </c>
      <c r="Y1269" s="32">
        <f>Inventory[[#This Row],[MainFn]]+Inventory[[#This Row],[UpprFn]]+Inventory[[#This Row],[AddFn]]+Inventory[[#This Row],[FnBsmt]]</f>
        <v>1446</v>
      </c>
      <c r="Z1269" s="32">
        <v>1500</v>
      </c>
      <c r="AA1269" s="31" t="s">
        <v>56</v>
      </c>
      <c r="AB1269" s="32"/>
      <c r="AC1269" s="32"/>
      <c r="AD1269" s="37"/>
      <c r="AE1269" s="32"/>
      <c r="AF1269" s="32"/>
      <c r="AG1269" s="32"/>
      <c r="AH1269" s="32"/>
      <c r="AI1269" s="30">
        <v>206672</v>
      </c>
      <c r="AJ1269" s="30">
        <v>144670</v>
      </c>
      <c r="AK1269" s="30">
        <v>5854</v>
      </c>
      <c r="AL1269" s="30">
        <v>0</v>
      </c>
      <c r="AM1269" s="30">
        <v>63200</v>
      </c>
      <c r="AN1269" s="30">
        <v>216600</v>
      </c>
      <c r="AO1269" s="30">
        <v>279800</v>
      </c>
      <c r="AP1269" s="30">
        <f>Lookups!$B$58*0.6</f>
        <v>132535.48800000001</v>
      </c>
      <c r="AQ1269" s="30">
        <f>Lookups!$B$58*0.4</f>
        <v>88356.992000000013</v>
      </c>
      <c r="AR1269" s="30">
        <f>Lookups!$B$59*Inventory[[#This Row],[LnAcres]]</f>
        <v>-21795.969453044734</v>
      </c>
      <c r="AS1269" s="30">
        <f>VLOOKUP(Inventory[[#This Row],[Qlty]],Lookups!$A$66:$E$79,2,FALSE)</f>
        <v>-1240.8083630000001</v>
      </c>
      <c r="AT1269" s="30">
        <f>VLOOKUP(Inventory[[#This Row],[Cnd]],Lookups!$A$80:$E$88,2,FALSE)</f>
        <v>30300.329274</v>
      </c>
      <c r="AU1269" s="30">
        <f>Inventory[[#This Row],[EffAge]]*Lookups!$B$65</f>
        <v>-5654.5371999999998</v>
      </c>
      <c r="AV1269" s="30">
        <f>Inventory[[#This Row],[MainFn]]*Lookups!$B$90</f>
        <v>90245.409480000002</v>
      </c>
      <c r="AW1269" s="30">
        <f>Inventory[[#This Row],[UpprFn]]*Lookups!$B$91</f>
        <v>0</v>
      </c>
      <c r="AX1269" s="30">
        <f>Inventory[[#This Row],[Bsmt Area]]*Lookups!$B$95</f>
        <v>0</v>
      </c>
      <c r="AY1269" s="30">
        <f>Inventory[[#This Row],[AttGar]]*Lookups!$B$93</f>
        <v>0</v>
      </c>
      <c r="AZ1269" s="30">
        <f>ROUND(Inventory[[#This Row],[25Det]],-2)</f>
        <v>5900</v>
      </c>
      <c r="BA1269" s="30">
        <f>ROUND(SUM(Inventory[[#This Row],[Mdl Qlty]:[Mdl Garage Area]])+Inventory[[#This Row],[Mdl Res Intercept]],-2)</f>
        <v>246200</v>
      </c>
      <c r="BB1269" s="30">
        <f>ROUND(Inventory[[#This Row],[Mdl Land Intercept]]+Inventory[[#This Row],[Mdl LnAcres]],-2)</f>
        <v>66600</v>
      </c>
      <c r="BC1269" s="30">
        <f>Inventory[[#This Row],[Unadj Res Value]]+Inventory[[#This Row],[Unadj Det Value]]+Inventory[[#This Row],[Unadj Land Value]]</f>
        <v>318700</v>
      </c>
      <c r="BD1269" s="30">
        <f>(Inventory[[#This Row],[Unadj Total Value]]-Inventory[[#This Row],[24Final]])/Inventory[[#This Row],[24Final]]</f>
        <v>0.1390278770550393</v>
      </c>
      <c r="BE1269" s="30">
        <f>VLOOKUP(Inventory[[#This Row],[Nbhd]],Lookups!$M$3:$P$5,4,FALSE)</f>
        <v>0.99970000000000003</v>
      </c>
      <c r="BF1269" s="30">
        <f>VLOOKUP(Inventory[[#This Row],[Qlty]],Lookups!$M$8:$P$22,4,FALSE)</f>
        <v>1.0022</v>
      </c>
      <c r="BG1269" s="30">
        <f>VLOOKUP(Inventory[[#This Row],[Cnd]],Lookups!$R$8:$U$17,4,FALSE)</f>
        <v>0.997</v>
      </c>
      <c r="BH1269" s="30">
        <f>VLOOKUP(Inventory[[#This Row],[LivArea Range]],Lookups!$R$25:$U$43,4,FALSE)</f>
        <v>0.99519999999999997</v>
      </c>
      <c r="BI1269" s="30">
        <f>VLOOKUP(Inventory[[#This Row],[Decade]],Lookups!$M$24:$P$40,4,FALSE)</f>
        <v>1</v>
      </c>
      <c r="BJ1269" s="30">
        <f>Inventory[[#This Row],[Nbhd Adj]]*0.95</f>
        <v>0.94971499999999998</v>
      </c>
      <c r="BK1269" s="30">
        <f>AVERAGE(Inventory[[#This Row],[Nbhd Adj]],Inventory[[#This Row],[Quality Adj]],Inventory[[#This Row],[Condition Adj]],Inventory[[#This Row],[Living Area Adj]],Inventory[[#This Row],[Decade Adj]])*0.95</f>
        <v>0.94887899999999992</v>
      </c>
      <c r="BL1269" s="30">
        <f>ROUND((SUM(Inventory[[#This Row],[Mdl Qlty]:[Mdl Garage Area]])+Inventory[[#This Row],[Mdl Res Intercept]])*Inventory[[#This Row],[Res Adj ]],-2)</f>
        <v>233600</v>
      </c>
      <c r="BM1269" s="30">
        <f>ROUND(Inventory[[#This Row],[25Det]]*Inventory[[#This Row],[Det/Nbhd Adj]],-2)</f>
        <v>5600</v>
      </c>
      <c r="BN1269" s="30">
        <f>Inventory[[#This Row],[Adjusted Res]]+Inventory[[#This Row],[Adj Det ]]</f>
        <v>239200</v>
      </c>
      <c r="BO1269" s="30">
        <f>ROUND((Inventory[[#This Row],[Mdl Land Intercept]]+Inventory[[#This Row],[Mdl LnAcres]])*Inventory[[#This Row],[Det/Nbhd Adj]],-2)</f>
        <v>63200</v>
      </c>
      <c r="BP1269" s="30">
        <f>Inventory[[#This Row],[Adjusted Impr Total]]+Inventory[[#This Row],[Adjusted Land Total]]</f>
        <v>302400</v>
      </c>
      <c r="BQ1269" s="30">
        <f>IFERROR((Inventory[[#This Row],[Adjusted Impr Total]]-Inventory[[#This Row],[24Bldg]])/Inventory[[#This Row],[24Bldg]],0)</f>
        <v>0.10433979686057249</v>
      </c>
      <c r="BR1269" s="43">
        <f>(Inventory[[#This Row],[Adjusted Land Total]]-Inventory[[#This Row],[24Lnd]])/Inventory[[#This Row],[24Lnd]]</f>
        <v>0</v>
      </c>
      <c r="BS1269" s="43">
        <f>(Inventory[[#This Row],[Adjusted Total]]-Inventory[[#This Row],[24Final]])/Inventory[[#This Row],[24Final]]</f>
        <v>8.0771979985704068E-2</v>
      </c>
    </row>
    <row r="1270" spans="1:71">
      <c r="A1270" s="30">
        <v>2025</v>
      </c>
      <c r="B1270" s="31" t="s">
        <v>1788</v>
      </c>
      <c r="C1270" s="36">
        <f>LN(Inventory[[#This Row],[Acres]])</f>
        <v>-1.5606477482646683</v>
      </c>
      <c r="D1270" s="38">
        <v>0.21</v>
      </c>
      <c r="E1270" s="30">
        <v>9028</v>
      </c>
      <c r="F1270" s="31" t="s">
        <v>505</v>
      </c>
      <c r="G1270" s="31" t="s">
        <v>155</v>
      </c>
      <c r="H1270" s="31" t="s">
        <v>5</v>
      </c>
      <c r="I1270" s="31" t="s">
        <v>506</v>
      </c>
      <c r="J1270" s="31" t="s">
        <v>507</v>
      </c>
      <c r="K1270" s="31" t="s">
        <v>473</v>
      </c>
      <c r="L1270" s="31" t="s">
        <v>13</v>
      </c>
      <c r="M1270" s="31" t="s">
        <v>20</v>
      </c>
      <c r="N1270" s="31">
        <v>80</v>
      </c>
      <c r="O1270" s="31">
        <f>2024-Inventory[[#This Row],[YrBlt]]</f>
        <v>84</v>
      </c>
      <c r="P1270" s="31">
        <f>2024-Inventory[[#This Row],[EffYr]]</f>
        <v>52</v>
      </c>
      <c r="Q1270" s="30">
        <v>1940</v>
      </c>
      <c r="R1270" s="30">
        <v>1972</v>
      </c>
      <c r="S1270" s="30">
        <v>984</v>
      </c>
      <c r="T1270" s="37"/>
      <c r="U1270" s="32"/>
      <c r="V1270" s="32"/>
      <c r="W1270" s="32"/>
      <c r="X1270" s="32">
        <f>Inventory[[#This Row],[Bsmt Area]]-Inventory[[#This Row],[FnBsmt]]</f>
        <v>0</v>
      </c>
      <c r="Y1270" s="32">
        <f>Inventory[[#This Row],[MainFn]]+Inventory[[#This Row],[UpprFn]]+Inventory[[#This Row],[AddFn]]+Inventory[[#This Row],[FnBsmt]]</f>
        <v>984</v>
      </c>
      <c r="Z1270" s="32">
        <v>1000</v>
      </c>
      <c r="AA1270" s="31" t="s">
        <v>56</v>
      </c>
      <c r="AB1270" s="32"/>
      <c r="AC1270" s="37"/>
      <c r="AD1270" s="32"/>
      <c r="AE1270" s="32"/>
      <c r="AF1270" s="32"/>
      <c r="AG1270" s="32"/>
      <c r="AH1270" s="32"/>
      <c r="AI1270" s="30">
        <v>140597</v>
      </c>
      <c r="AJ1270" s="30">
        <v>98418</v>
      </c>
      <c r="AK1270" s="30">
        <v>2514</v>
      </c>
      <c r="AL1270" s="30">
        <v>0</v>
      </c>
      <c r="AM1270" s="30">
        <v>64600</v>
      </c>
      <c r="AN1270" s="30">
        <v>182200</v>
      </c>
      <c r="AO1270" s="30">
        <v>246800</v>
      </c>
      <c r="AP1270" s="30">
        <f>Lookups!$B$58*0.6</f>
        <v>132535.48800000001</v>
      </c>
      <c r="AQ1270" s="30">
        <f>Lookups!$B$58*0.4</f>
        <v>88356.992000000013</v>
      </c>
      <c r="AR1270" s="30">
        <f>Lookups!$B$59*Inventory[[#This Row],[LnAcres]]</f>
        <v>-20482.442016152701</v>
      </c>
      <c r="AS1270" s="30">
        <f>VLOOKUP(Inventory[[#This Row],[Qlty]],Lookups!$A$66:$E$79,2,FALSE)</f>
        <v>0</v>
      </c>
      <c r="AT1270" s="30">
        <f>VLOOKUP(Inventory[[#This Row],[Cnd]],Lookups!$A$80:$E$88,2,FALSE)</f>
        <v>30300.329274</v>
      </c>
      <c r="AU1270" s="30">
        <f>Inventory[[#This Row],[EffAge]]*Lookups!$B$65</f>
        <v>-5654.5371999999998</v>
      </c>
      <c r="AV1270" s="30">
        <f>Inventory[[#This Row],[MainFn]]*Lookups!$B$90</f>
        <v>61411.813920000001</v>
      </c>
      <c r="AW1270" s="30">
        <f>Inventory[[#This Row],[UpprFn]]*Lookups!$B$91</f>
        <v>0</v>
      </c>
      <c r="AX1270" s="30">
        <f>Inventory[[#This Row],[Bsmt Area]]*Lookups!$B$95</f>
        <v>0</v>
      </c>
      <c r="AY1270" s="30">
        <f>Inventory[[#This Row],[AttGar]]*Lookups!$B$93</f>
        <v>0</v>
      </c>
      <c r="AZ1270" s="30">
        <f>ROUND(Inventory[[#This Row],[25Det]],-2)</f>
        <v>2500</v>
      </c>
      <c r="BA1270" s="30">
        <f>ROUND(SUM(Inventory[[#This Row],[Mdl Qlty]:[Mdl Garage Area]])+Inventory[[#This Row],[Mdl Res Intercept]],-2)</f>
        <v>218600</v>
      </c>
      <c r="BB1270" s="30">
        <f>ROUND(Inventory[[#This Row],[Mdl Land Intercept]]+Inventory[[#This Row],[Mdl LnAcres]],-2)</f>
        <v>67900</v>
      </c>
      <c r="BC1270" s="30">
        <f>Inventory[[#This Row],[Unadj Res Value]]+Inventory[[#This Row],[Unadj Det Value]]+Inventory[[#This Row],[Unadj Land Value]]</f>
        <v>289000</v>
      </c>
      <c r="BD1270" s="30">
        <f>(Inventory[[#This Row],[Unadj Total Value]]-Inventory[[#This Row],[24Final]])/Inventory[[#This Row],[24Final]]</f>
        <v>0.17098865478119935</v>
      </c>
      <c r="BE1270" s="30">
        <f>VLOOKUP(Inventory[[#This Row],[Nbhd]],Lookups!$M$3:$P$5,4,FALSE)</f>
        <v>0.99970000000000003</v>
      </c>
      <c r="BF1270" s="30">
        <f>VLOOKUP(Inventory[[#This Row],[Qlty]],Lookups!$M$8:$P$22,4,FALSE)</f>
        <v>1.0003</v>
      </c>
      <c r="BG1270" s="30">
        <f>VLOOKUP(Inventory[[#This Row],[Cnd]],Lookups!$R$8:$U$17,4,FALSE)</f>
        <v>0.997</v>
      </c>
      <c r="BH1270" s="30">
        <f>VLOOKUP(Inventory[[#This Row],[LivArea Range]],Lookups!$R$25:$U$43,4,FALSE)</f>
        <v>1</v>
      </c>
      <c r="BI1270" s="30">
        <f>VLOOKUP(Inventory[[#This Row],[Decade]],Lookups!$M$24:$P$40,4,FALSE)</f>
        <v>1</v>
      </c>
      <c r="BJ1270" s="30">
        <f>Inventory[[#This Row],[Nbhd Adj]]*0.95</f>
        <v>0.94971499999999998</v>
      </c>
      <c r="BK1270" s="30">
        <f>AVERAGE(Inventory[[#This Row],[Nbhd Adj]],Inventory[[#This Row],[Quality Adj]],Inventory[[#This Row],[Condition Adj]],Inventory[[#This Row],[Living Area Adj]],Inventory[[#This Row],[Decade Adj]])*0.95</f>
        <v>0.94942999999999989</v>
      </c>
      <c r="BL1270" s="30">
        <f>ROUND((SUM(Inventory[[#This Row],[Mdl Qlty]:[Mdl Garage Area]])+Inventory[[#This Row],[Mdl Res Intercept]])*Inventory[[#This Row],[Res Adj ]],-2)</f>
        <v>207500</v>
      </c>
      <c r="BM1270" s="30">
        <f>ROUND(Inventory[[#This Row],[25Det]]*Inventory[[#This Row],[Det/Nbhd Adj]],-2)</f>
        <v>2400</v>
      </c>
      <c r="BN1270" s="30">
        <f>Inventory[[#This Row],[Adjusted Res]]+Inventory[[#This Row],[Adj Det ]]</f>
        <v>209900</v>
      </c>
      <c r="BO1270" s="30">
        <f>ROUND((Inventory[[#This Row],[Mdl Land Intercept]]+Inventory[[#This Row],[Mdl LnAcres]])*Inventory[[#This Row],[Det/Nbhd Adj]],-2)</f>
        <v>64500</v>
      </c>
      <c r="BP1270" s="30">
        <f>Inventory[[#This Row],[Adjusted Impr Total]]+Inventory[[#This Row],[Adjusted Land Total]]</f>
        <v>274400</v>
      </c>
      <c r="BQ1270" s="30">
        <f>IFERROR((Inventory[[#This Row],[Adjusted Impr Total]]-Inventory[[#This Row],[24Bldg]])/Inventory[[#This Row],[24Bldg]],0)</f>
        <v>0.15203073545554335</v>
      </c>
      <c r="BR1270" s="43">
        <f>(Inventory[[#This Row],[Adjusted Land Total]]-Inventory[[#This Row],[24Lnd]])/Inventory[[#This Row],[24Lnd]]</f>
        <v>-1.5479876160990713E-3</v>
      </c>
      <c r="BS1270" s="43">
        <f>(Inventory[[#This Row],[Adjusted Total]]-Inventory[[#This Row],[24Final]])/Inventory[[#This Row],[24Final]]</f>
        <v>0.11183144246353323</v>
      </c>
    </row>
    <row r="1271" spans="1:71">
      <c r="A1271" s="30">
        <v>2025</v>
      </c>
      <c r="B1271" s="31" t="s">
        <v>1789</v>
      </c>
      <c r="C1271" s="36">
        <f>LN(Inventory[[#This Row],[Acres]])</f>
        <v>-1.5606477482646683</v>
      </c>
      <c r="D1271" s="38">
        <v>0.21</v>
      </c>
      <c r="E1271" s="30">
        <v>9051</v>
      </c>
      <c r="F1271" s="31" t="s">
        <v>505</v>
      </c>
      <c r="G1271" s="31" t="s">
        <v>155</v>
      </c>
      <c r="H1271" s="31" t="s">
        <v>5</v>
      </c>
      <c r="I1271" s="31" t="s">
        <v>506</v>
      </c>
      <c r="J1271" s="31" t="s">
        <v>507</v>
      </c>
      <c r="K1271" s="31" t="s">
        <v>473</v>
      </c>
      <c r="L1271" s="31" t="s">
        <v>17</v>
      </c>
      <c r="M1271" s="31" t="s">
        <v>18</v>
      </c>
      <c r="N1271" s="31">
        <v>80</v>
      </c>
      <c r="O1271" s="31">
        <f>2024-Inventory[[#This Row],[YrBlt]]</f>
        <v>84</v>
      </c>
      <c r="P1271" s="31">
        <f>2024-Inventory[[#This Row],[EffYr]]</f>
        <v>52</v>
      </c>
      <c r="Q1271" s="30">
        <v>1940</v>
      </c>
      <c r="R1271" s="30">
        <v>1972</v>
      </c>
      <c r="S1271" s="30">
        <v>1702</v>
      </c>
      <c r="T1271" s="37"/>
      <c r="U1271" s="32"/>
      <c r="V1271" s="32"/>
      <c r="W1271" s="32"/>
      <c r="X1271" s="32">
        <f>Inventory[[#This Row],[Bsmt Area]]-Inventory[[#This Row],[FnBsmt]]</f>
        <v>0</v>
      </c>
      <c r="Y1271" s="32">
        <f>Inventory[[#This Row],[MainFn]]+Inventory[[#This Row],[UpprFn]]+Inventory[[#This Row],[AddFn]]+Inventory[[#This Row],[FnBsmt]]</f>
        <v>1702</v>
      </c>
      <c r="Z1271" s="32">
        <v>2000</v>
      </c>
      <c r="AA1271" s="31" t="s">
        <v>56</v>
      </c>
      <c r="AB1271" s="32"/>
      <c r="AC1271" s="37"/>
      <c r="AD1271" s="32"/>
      <c r="AE1271" s="32"/>
      <c r="AF1271" s="32"/>
      <c r="AG1271" s="32"/>
      <c r="AH1271" s="32"/>
      <c r="AI1271" s="30">
        <v>283519</v>
      </c>
      <c r="AJ1271" s="30">
        <v>192793</v>
      </c>
      <c r="AK1271" s="30">
        <v>0</v>
      </c>
      <c r="AL1271" s="30">
        <v>0</v>
      </c>
      <c r="AM1271" s="30">
        <v>64600</v>
      </c>
      <c r="AN1271" s="30">
        <v>222400</v>
      </c>
      <c r="AO1271" s="30">
        <v>287000</v>
      </c>
      <c r="AP1271" s="30">
        <f>Lookups!$B$58*0.6</f>
        <v>132535.48800000001</v>
      </c>
      <c r="AQ1271" s="30">
        <f>Lookups!$B$58*0.4</f>
        <v>88356.992000000013</v>
      </c>
      <c r="AR1271" s="30">
        <f>Lookups!$B$59*Inventory[[#This Row],[LnAcres]]</f>
        <v>-20482.442016152701</v>
      </c>
      <c r="AS1271" s="30">
        <f>VLOOKUP(Inventory[[#This Row],[Qlty]],Lookups!$A$66:$E$79,2,FALSE)</f>
        <v>24371.765965999999</v>
      </c>
      <c r="AT1271" s="30">
        <f>VLOOKUP(Inventory[[#This Row],[Cnd]],Lookups!$A$80:$E$88,2,FALSE)</f>
        <v>17761.121909000001</v>
      </c>
      <c r="AU1271" s="30">
        <f>Inventory[[#This Row],[EffAge]]*Lookups!$B$65</f>
        <v>-5654.5371999999998</v>
      </c>
      <c r="AV1271" s="30">
        <f>Inventory[[#This Row],[MainFn]]*Lookups!$B$90</f>
        <v>106222.46676000001</v>
      </c>
      <c r="AW1271" s="30">
        <f>Inventory[[#This Row],[UpprFn]]*Lookups!$B$91</f>
        <v>0</v>
      </c>
      <c r="AX1271" s="30">
        <f>Inventory[[#This Row],[Bsmt Area]]*Lookups!$B$95</f>
        <v>0</v>
      </c>
      <c r="AY1271" s="30">
        <f>Inventory[[#This Row],[AttGar]]*Lookups!$B$93</f>
        <v>0</v>
      </c>
      <c r="AZ1271" s="30">
        <f>ROUND(Inventory[[#This Row],[25Det]],-2)</f>
        <v>0</v>
      </c>
      <c r="BA1271" s="30">
        <f>ROUND(SUM(Inventory[[#This Row],[Mdl Qlty]:[Mdl Garage Area]])+Inventory[[#This Row],[Mdl Res Intercept]],-2)</f>
        <v>275200</v>
      </c>
      <c r="BB1271" s="30">
        <f>ROUND(Inventory[[#This Row],[Mdl Land Intercept]]+Inventory[[#This Row],[Mdl LnAcres]],-2)</f>
        <v>67900</v>
      </c>
      <c r="BC1271" s="30">
        <f>Inventory[[#This Row],[Unadj Res Value]]+Inventory[[#This Row],[Unadj Det Value]]+Inventory[[#This Row],[Unadj Land Value]]</f>
        <v>343100</v>
      </c>
      <c r="BD1271" s="30">
        <f>(Inventory[[#This Row],[Unadj Total Value]]-Inventory[[#This Row],[24Final]])/Inventory[[#This Row],[24Final]]</f>
        <v>0.19547038327526131</v>
      </c>
      <c r="BE1271" s="30">
        <f>VLOOKUP(Inventory[[#This Row],[Nbhd]],Lookups!$M$3:$P$5,4,FALSE)</f>
        <v>0.99970000000000003</v>
      </c>
      <c r="BF1271" s="30">
        <f>VLOOKUP(Inventory[[#This Row],[Qlty]],Lookups!$M$8:$P$22,4,FALSE)</f>
        <v>0.99199999999999999</v>
      </c>
      <c r="BG1271" s="30">
        <f>VLOOKUP(Inventory[[#This Row],[Cnd]],Lookups!$R$8:$U$17,4,FALSE)</f>
        <v>0.99680000000000002</v>
      </c>
      <c r="BH1271" s="30">
        <f>VLOOKUP(Inventory[[#This Row],[LivArea Range]],Lookups!$R$25:$U$43,4,FALSE)</f>
        <v>1.0007999999999999</v>
      </c>
      <c r="BI1271" s="30">
        <f>VLOOKUP(Inventory[[#This Row],[Decade]],Lookups!$M$24:$P$40,4,FALSE)</f>
        <v>1</v>
      </c>
      <c r="BJ1271" s="30">
        <f>Inventory[[#This Row],[Nbhd Adj]]*0.95</f>
        <v>0.94971499999999998</v>
      </c>
      <c r="BK1271" s="30">
        <f>AVERAGE(Inventory[[#This Row],[Nbhd Adj]],Inventory[[#This Row],[Quality Adj]],Inventory[[#This Row],[Condition Adj]],Inventory[[#This Row],[Living Area Adj]],Inventory[[#This Row],[Decade Adj]])*0.95</f>
        <v>0.94796699999999989</v>
      </c>
      <c r="BL1271" s="30">
        <f>ROUND((SUM(Inventory[[#This Row],[Mdl Qlty]:[Mdl Garage Area]])+Inventory[[#This Row],[Mdl Res Intercept]])*Inventory[[#This Row],[Res Adj ]],-2)</f>
        <v>260900</v>
      </c>
      <c r="BM1271" s="30">
        <f>ROUND(Inventory[[#This Row],[25Det]]*Inventory[[#This Row],[Det/Nbhd Adj]],-2)</f>
        <v>0</v>
      </c>
      <c r="BN1271" s="30">
        <f>Inventory[[#This Row],[Adjusted Res]]+Inventory[[#This Row],[Adj Det ]]</f>
        <v>260900</v>
      </c>
      <c r="BO1271" s="30">
        <f>ROUND((Inventory[[#This Row],[Mdl Land Intercept]]+Inventory[[#This Row],[Mdl LnAcres]])*Inventory[[#This Row],[Det/Nbhd Adj]],-2)</f>
        <v>64500</v>
      </c>
      <c r="BP1271" s="30">
        <f>Inventory[[#This Row],[Adjusted Impr Total]]+Inventory[[#This Row],[Adjusted Land Total]]</f>
        <v>325400</v>
      </c>
      <c r="BQ1271" s="30">
        <f>IFERROR((Inventory[[#This Row],[Adjusted Impr Total]]-Inventory[[#This Row],[24Bldg]])/Inventory[[#This Row],[24Bldg]],0)</f>
        <v>0.17311151079136691</v>
      </c>
      <c r="BR1271" s="43">
        <f>(Inventory[[#This Row],[Adjusted Land Total]]-Inventory[[#This Row],[24Lnd]])/Inventory[[#This Row],[24Lnd]]</f>
        <v>-1.5479876160990713E-3</v>
      </c>
      <c r="BS1271" s="43">
        <f>(Inventory[[#This Row],[Adjusted Total]]-Inventory[[#This Row],[24Final]])/Inventory[[#This Row],[24Final]]</f>
        <v>0.13379790940766551</v>
      </c>
    </row>
    <row r="1272" spans="1:71">
      <c r="A1272" s="30">
        <v>2025</v>
      </c>
      <c r="B1272" s="31" t="s">
        <v>1790</v>
      </c>
      <c r="C1272" s="36">
        <f>LN(Inventory[[#This Row],[Acres]])</f>
        <v>-1.0788096613719298</v>
      </c>
      <c r="D1272" s="38">
        <v>0.34</v>
      </c>
      <c r="E1272" s="30">
        <v>14626</v>
      </c>
      <c r="F1272" s="31" t="s">
        <v>505</v>
      </c>
      <c r="G1272" s="31" t="s">
        <v>155</v>
      </c>
      <c r="H1272" s="31" t="s">
        <v>5</v>
      </c>
      <c r="I1272" s="31" t="s">
        <v>506</v>
      </c>
      <c r="J1272" s="31" t="s">
        <v>507</v>
      </c>
      <c r="K1272" s="31" t="s">
        <v>475</v>
      </c>
      <c r="L1272" s="31" t="s">
        <v>15</v>
      </c>
      <c r="M1272" s="31" t="s">
        <v>14</v>
      </c>
      <c r="N1272" s="31">
        <v>80</v>
      </c>
      <c r="O1272" s="31">
        <f>2024-Inventory[[#This Row],[YrBlt]]</f>
        <v>84</v>
      </c>
      <c r="P1272" s="31">
        <f>2024-Inventory[[#This Row],[EffYr]]</f>
        <v>52</v>
      </c>
      <c r="Q1272" s="30">
        <v>1940</v>
      </c>
      <c r="R1272" s="30">
        <v>1972</v>
      </c>
      <c r="S1272" s="30">
        <v>936</v>
      </c>
      <c r="T1272" s="30">
        <v>340</v>
      </c>
      <c r="U1272" s="38">
        <v>864</v>
      </c>
      <c r="V1272" s="32"/>
      <c r="W1272" s="38">
        <v>432</v>
      </c>
      <c r="X1272" s="38">
        <f>Inventory[[#This Row],[Bsmt Area]]-Inventory[[#This Row],[FnBsmt]]</f>
        <v>432</v>
      </c>
      <c r="Y1272" s="38">
        <f>Inventory[[#This Row],[MainFn]]+Inventory[[#This Row],[UpprFn]]+Inventory[[#This Row],[AddFn]]+Inventory[[#This Row],[FnBsmt]]</f>
        <v>1708</v>
      </c>
      <c r="Z1272" s="32">
        <v>2000</v>
      </c>
      <c r="AA1272" s="31" t="s">
        <v>56</v>
      </c>
      <c r="AB1272" s="32"/>
      <c r="AC1272" s="32"/>
      <c r="AD1272" s="37"/>
      <c r="AE1272" s="32"/>
      <c r="AF1272" s="32"/>
      <c r="AG1272" s="32"/>
      <c r="AH1272" s="32"/>
      <c r="AI1272" s="30">
        <v>228026</v>
      </c>
      <c r="AJ1272" s="30">
        <v>148217</v>
      </c>
      <c r="AK1272" s="30">
        <v>7987</v>
      </c>
      <c r="AL1272" s="30">
        <v>0</v>
      </c>
      <c r="AM1272" s="30">
        <v>71400</v>
      </c>
      <c r="AN1272" s="30">
        <v>181100</v>
      </c>
      <c r="AO1272" s="30">
        <v>252500</v>
      </c>
      <c r="AP1272" s="30">
        <f>Lookups!$B$58*0.6</f>
        <v>132535.48800000001</v>
      </c>
      <c r="AQ1272" s="30">
        <f>Lookups!$B$58*0.4</f>
        <v>88356.992000000013</v>
      </c>
      <c r="AR1272" s="30">
        <f>Lookups!$B$59*Inventory[[#This Row],[LnAcres]]</f>
        <v>-14158.644293746507</v>
      </c>
      <c r="AS1272" s="30">
        <f>VLOOKUP(Inventory[[#This Row],[Qlty]],Lookups!$A$66:$E$79,2,FALSE)</f>
        <v>-1240.8083630000001</v>
      </c>
      <c r="AT1272" s="30">
        <f>VLOOKUP(Inventory[[#This Row],[Cnd]],Lookups!$A$80:$E$88,2,FALSE)</f>
        <v>-9051.7226098799892</v>
      </c>
      <c r="AU1272" s="30">
        <f>Inventory[[#This Row],[EffAge]]*Lookups!$B$65</f>
        <v>-5654.5371999999998</v>
      </c>
      <c r="AV1272" s="30">
        <f>Inventory[[#This Row],[MainFn]]*Lookups!$B$90</f>
        <v>58416.115680000003</v>
      </c>
      <c r="AW1272" s="30">
        <f>Inventory[[#This Row],[UpprFn]]*Lookups!$B$91</f>
        <v>20257.33022</v>
      </c>
      <c r="AX1272" s="30">
        <f>Inventory[[#This Row],[Bsmt Area]]*Lookups!$B$95</f>
        <v>54074.732543999999</v>
      </c>
      <c r="AY1272" s="30">
        <f>Inventory[[#This Row],[AttGar]]*Lookups!$B$93</f>
        <v>0</v>
      </c>
      <c r="AZ1272" s="30">
        <f>ROUND(Inventory[[#This Row],[25Det]],-2)</f>
        <v>8000</v>
      </c>
      <c r="BA1272" s="30">
        <f>ROUND(SUM(Inventory[[#This Row],[Mdl Qlty]:[Mdl Garage Area]])+Inventory[[#This Row],[Mdl Res Intercept]],-2)</f>
        <v>249300</v>
      </c>
      <c r="BB1272" s="30">
        <f>ROUND(Inventory[[#This Row],[Mdl Land Intercept]]+Inventory[[#This Row],[Mdl LnAcres]],-2)</f>
        <v>74200</v>
      </c>
      <c r="BC1272" s="30">
        <f>Inventory[[#This Row],[Unadj Res Value]]+Inventory[[#This Row],[Unadj Det Value]]+Inventory[[#This Row],[Unadj Land Value]]</f>
        <v>331500</v>
      </c>
      <c r="BD1272" s="30">
        <f>(Inventory[[#This Row],[Unadj Total Value]]-Inventory[[#This Row],[24Final]])/Inventory[[#This Row],[24Final]]</f>
        <v>0.31287128712871287</v>
      </c>
      <c r="BE1272" s="30">
        <f>VLOOKUP(Inventory[[#This Row],[Nbhd]],Lookups!$M$3:$P$5,4,FALSE)</f>
        <v>0.99970000000000003</v>
      </c>
      <c r="BF1272" s="30">
        <f>VLOOKUP(Inventory[[#This Row],[Qlty]],Lookups!$M$8:$P$22,4,FALSE)</f>
        <v>1.0022</v>
      </c>
      <c r="BG1272" s="30">
        <f>VLOOKUP(Inventory[[#This Row],[Cnd]],Lookups!$R$8:$U$17,4,FALSE)</f>
        <v>1</v>
      </c>
      <c r="BH1272" s="30">
        <f>VLOOKUP(Inventory[[#This Row],[LivArea Range]],Lookups!$R$25:$U$43,4,FALSE)</f>
        <v>1.0007999999999999</v>
      </c>
      <c r="BI1272" s="30">
        <f>VLOOKUP(Inventory[[#This Row],[Decade]],Lookups!$M$24:$P$40,4,FALSE)</f>
        <v>1</v>
      </c>
      <c r="BJ1272" s="30">
        <f>Inventory[[#This Row],[Nbhd Adj]]*0.95</f>
        <v>0.94971499999999998</v>
      </c>
      <c r="BK1272" s="30">
        <f>AVERAGE(Inventory[[#This Row],[Nbhd Adj]],Inventory[[#This Row],[Quality Adj]],Inventory[[#This Row],[Condition Adj]],Inventory[[#This Row],[Living Area Adj]],Inventory[[#This Row],[Decade Adj]])*0.95</f>
        <v>0.95051299999999994</v>
      </c>
      <c r="BL1272" s="30">
        <f>ROUND((SUM(Inventory[[#This Row],[Mdl Qlty]:[Mdl Garage Area]])+Inventory[[#This Row],[Mdl Res Intercept]])*Inventory[[#This Row],[Res Adj ]],-2)</f>
        <v>237000</v>
      </c>
      <c r="BM1272" s="30">
        <f>ROUND(Inventory[[#This Row],[25Det]]*Inventory[[#This Row],[Det/Nbhd Adj]],-2)</f>
        <v>7600</v>
      </c>
      <c r="BN1272" s="30">
        <f>Inventory[[#This Row],[Adjusted Res]]+Inventory[[#This Row],[Adj Det ]]</f>
        <v>244600</v>
      </c>
      <c r="BO1272" s="30">
        <f>ROUND((Inventory[[#This Row],[Mdl Land Intercept]]+Inventory[[#This Row],[Mdl LnAcres]])*Inventory[[#This Row],[Det/Nbhd Adj]],-2)</f>
        <v>70500</v>
      </c>
      <c r="BP1272" s="30">
        <f>Inventory[[#This Row],[Adjusted Impr Total]]+Inventory[[#This Row],[Adjusted Land Total]]</f>
        <v>315100</v>
      </c>
      <c r="BQ1272" s="30">
        <f>IFERROR((Inventory[[#This Row],[Adjusted Impr Total]]-Inventory[[#This Row],[24Bldg]])/Inventory[[#This Row],[24Bldg]],0)</f>
        <v>0.35063500828271671</v>
      </c>
      <c r="BR1272" s="43">
        <f>(Inventory[[#This Row],[Adjusted Land Total]]-Inventory[[#This Row],[24Lnd]])/Inventory[[#This Row],[24Lnd]]</f>
        <v>-1.2605042016806723E-2</v>
      </c>
      <c r="BS1272" s="43">
        <f>(Inventory[[#This Row],[Adjusted Total]]-Inventory[[#This Row],[24Final]])/Inventory[[#This Row],[24Final]]</f>
        <v>0.24792079207920792</v>
      </c>
    </row>
    <row r="1273" spans="1:71">
      <c r="A1273" s="30">
        <v>2025</v>
      </c>
      <c r="B1273" s="31" t="s">
        <v>1791</v>
      </c>
      <c r="C1273" s="36">
        <f>LN(Inventory[[#This Row],[Acres]])</f>
        <v>9.5310179804324935E-2</v>
      </c>
      <c r="D1273" s="38">
        <v>1.1000000000000001</v>
      </c>
      <c r="E1273" s="30">
        <v>48040</v>
      </c>
      <c r="F1273" s="31" t="s">
        <v>505</v>
      </c>
      <c r="G1273" s="31" t="s">
        <v>155</v>
      </c>
      <c r="H1273" s="31" t="s">
        <v>5</v>
      </c>
      <c r="I1273" s="31" t="s">
        <v>506</v>
      </c>
      <c r="J1273" s="31" t="s">
        <v>507</v>
      </c>
      <c r="K1273" s="31" t="s">
        <v>157</v>
      </c>
      <c r="L1273" s="31" t="s">
        <v>15</v>
      </c>
      <c r="M1273" s="31" t="s">
        <v>16</v>
      </c>
      <c r="N1273" s="31">
        <v>80</v>
      </c>
      <c r="O1273" s="31">
        <f>2024-Inventory[[#This Row],[YrBlt]]</f>
        <v>84</v>
      </c>
      <c r="P1273" s="31">
        <f>2024-Inventory[[#This Row],[EffYr]]</f>
        <v>52</v>
      </c>
      <c r="Q1273" s="30">
        <v>1940</v>
      </c>
      <c r="R1273" s="30">
        <v>1972</v>
      </c>
      <c r="S1273" s="30">
        <v>1968</v>
      </c>
      <c r="T1273" s="30">
        <v>378</v>
      </c>
      <c r="U1273" s="32"/>
      <c r="V1273" s="32"/>
      <c r="W1273" s="32"/>
      <c r="X1273" s="32">
        <f>Inventory[[#This Row],[Bsmt Area]]-Inventory[[#This Row],[FnBsmt]]</f>
        <v>0</v>
      </c>
      <c r="Y1273" s="32">
        <f>Inventory[[#This Row],[MainFn]]+Inventory[[#This Row],[UpprFn]]+Inventory[[#This Row],[AddFn]]+Inventory[[#This Row],[FnBsmt]]</f>
        <v>2346</v>
      </c>
      <c r="Z1273" s="32">
        <v>2500</v>
      </c>
      <c r="AA1273" s="31" t="s">
        <v>56</v>
      </c>
      <c r="AB1273" s="32"/>
      <c r="AC1273" s="37"/>
      <c r="AD1273" s="32"/>
      <c r="AE1273" s="32"/>
      <c r="AF1273" s="32"/>
      <c r="AG1273" s="32"/>
      <c r="AH1273" s="32"/>
      <c r="AI1273" s="30">
        <v>290166</v>
      </c>
      <c r="AJ1273" s="30">
        <v>191510</v>
      </c>
      <c r="AK1273" s="30">
        <v>33873</v>
      </c>
      <c r="AL1273" s="30">
        <v>0</v>
      </c>
      <c r="AM1273" s="30">
        <v>87800</v>
      </c>
      <c r="AN1273" s="30">
        <v>286000</v>
      </c>
      <c r="AO1273" s="30">
        <v>373800</v>
      </c>
      <c r="AP1273" s="30">
        <f>Lookups!$B$58*0.6</f>
        <v>132535.48800000001</v>
      </c>
      <c r="AQ1273" s="30">
        <f>Lookups!$B$58*0.4</f>
        <v>88356.992000000013</v>
      </c>
      <c r="AR1273" s="30">
        <f>Lookups!$B$59*Inventory[[#This Row],[LnAcres]]</f>
        <v>1250.8813943196776</v>
      </c>
      <c r="AS1273" s="30">
        <f>VLOOKUP(Inventory[[#This Row],[Qlty]],Lookups!$A$66:$E$79,2,FALSE)</f>
        <v>-1240.8083630000001</v>
      </c>
      <c r="AT1273" s="30">
        <f>VLOOKUP(Inventory[[#This Row],[Cnd]],Lookups!$A$80:$E$88,2,FALSE)</f>
        <v>0</v>
      </c>
      <c r="AU1273" s="30">
        <f>Inventory[[#This Row],[EffAge]]*Lookups!$B$65</f>
        <v>-5654.5371999999998</v>
      </c>
      <c r="AV1273" s="30">
        <f>Inventory[[#This Row],[MainFn]]*Lookups!$B$90</f>
        <v>122823.62784</v>
      </c>
      <c r="AW1273" s="30">
        <f>Inventory[[#This Row],[UpprFn]]*Lookups!$B$91</f>
        <v>22521.384773999998</v>
      </c>
      <c r="AX1273" s="30">
        <f>Inventory[[#This Row],[Bsmt Area]]*Lookups!$B$95</f>
        <v>0</v>
      </c>
      <c r="AY1273" s="30">
        <f>Inventory[[#This Row],[AttGar]]*Lookups!$B$93</f>
        <v>0</v>
      </c>
      <c r="AZ1273" s="30">
        <f>ROUND(Inventory[[#This Row],[25Det]],-2)</f>
        <v>33900</v>
      </c>
      <c r="BA1273" s="30">
        <f>ROUND(SUM(Inventory[[#This Row],[Mdl Qlty]:[Mdl Garage Area]])+Inventory[[#This Row],[Mdl Res Intercept]],-2)</f>
        <v>271000</v>
      </c>
      <c r="BB1273" s="30">
        <f>ROUND(Inventory[[#This Row],[Mdl Land Intercept]]+Inventory[[#This Row],[Mdl LnAcres]],-2)</f>
        <v>89600</v>
      </c>
      <c r="BC1273" s="30">
        <f>Inventory[[#This Row],[Unadj Res Value]]+Inventory[[#This Row],[Unadj Det Value]]+Inventory[[#This Row],[Unadj Land Value]]</f>
        <v>394500</v>
      </c>
      <c r="BD1273" s="30">
        <f>(Inventory[[#This Row],[Unadj Total Value]]-Inventory[[#This Row],[24Final]])/Inventory[[#This Row],[24Final]]</f>
        <v>5.5377207062600318E-2</v>
      </c>
      <c r="BE1273" s="30">
        <f>VLOOKUP(Inventory[[#This Row],[Nbhd]],Lookups!$M$3:$P$5,4,FALSE)</f>
        <v>0.99970000000000003</v>
      </c>
      <c r="BF1273" s="30">
        <f>VLOOKUP(Inventory[[#This Row],[Qlty]],Lookups!$M$8:$P$22,4,FALSE)</f>
        <v>1.0022</v>
      </c>
      <c r="BG1273" s="30">
        <f>VLOOKUP(Inventory[[#This Row],[Cnd]],Lookups!$R$8:$U$17,4,FALSE)</f>
        <v>1</v>
      </c>
      <c r="BH1273" s="30">
        <f>VLOOKUP(Inventory[[#This Row],[LivArea Range]],Lookups!$R$25:$U$43,4,FALSE)</f>
        <v>1.0008999999999999</v>
      </c>
      <c r="BI1273" s="30">
        <f>VLOOKUP(Inventory[[#This Row],[Decade]],Lookups!$M$24:$P$40,4,FALSE)</f>
        <v>1</v>
      </c>
      <c r="BJ1273" s="30">
        <f>Inventory[[#This Row],[Nbhd Adj]]*0.95</f>
        <v>0.94971499999999998</v>
      </c>
      <c r="BK1273" s="30">
        <f>AVERAGE(Inventory[[#This Row],[Nbhd Adj]],Inventory[[#This Row],[Quality Adj]],Inventory[[#This Row],[Condition Adj]],Inventory[[#This Row],[Living Area Adj]],Inventory[[#This Row],[Decade Adj]])*0.95</f>
        <v>0.95053199999999982</v>
      </c>
      <c r="BL1273" s="30">
        <f>ROUND((SUM(Inventory[[#This Row],[Mdl Qlty]:[Mdl Garage Area]])+Inventory[[#This Row],[Mdl Res Intercept]])*Inventory[[#This Row],[Res Adj ]],-2)</f>
        <v>257600</v>
      </c>
      <c r="BM1273" s="30">
        <f>ROUND(Inventory[[#This Row],[25Det]]*Inventory[[#This Row],[Det/Nbhd Adj]],-2)</f>
        <v>32200</v>
      </c>
      <c r="BN1273" s="30">
        <f>Inventory[[#This Row],[Adjusted Res]]+Inventory[[#This Row],[Adj Det ]]</f>
        <v>289800</v>
      </c>
      <c r="BO1273" s="30">
        <f>ROUND((Inventory[[#This Row],[Mdl Land Intercept]]+Inventory[[#This Row],[Mdl LnAcres]])*Inventory[[#This Row],[Det/Nbhd Adj]],-2)</f>
        <v>85100</v>
      </c>
      <c r="BP1273" s="30">
        <f>Inventory[[#This Row],[Adjusted Impr Total]]+Inventory[[#This Row],[Adjusted Land Total]]</f>
        <v>374900</v>
      </c>
      <c r="BQ1273" s="30">
        <f>IFERROR((Inventory[[#This Row],[Adjusted Impr Total]]-Inventory[[#This Row],[24Bldg]])/Inventory[[#This Row],[24Bldg]],0)</f>
        <v>1.3286713286713287E-2</v>
      </c>
      <c r="BR1273" s="43">
        <f>(Inventory[[#This Row],[Adjusted Land Total]]-Inventory[[#This Row],[24Lnd]])/Inventory[[#This Row],[24Lnd]]</f>
        <v>-3.0751708428246014E-2</v>
      </c>
      <c r="BS1273" s="43">
        <f>(Inventory[[#This Row],[Adjusted Total]]-Inventory[[#This Row],[24Final]])/Inventory[[#This Row],[24Final]]</f>
        <v>2.9427501337613697E-3</v>
      </c>
    </row>
    <row r="1274" spans="1:71">
      <c r="A1274" s="30">
        <v>2025</v>
      </c>
      <c r="B1274" s="31" t="s">
        <v>1792</v>
      </c>
      <c r="C1274" s="36">
        <f>LN(Inventory[[#This Row],[Acres]])</f>
        <v>0.18232155679395459</v>
      </c>
      <c r="D1274" s="38">
        <v>1.2</v>
      </c>
      <c r="E1274" s="30">
        <v>52437</v>
      </c>
      <c r="F1274" s="31" t="s">
        <v>505</v>
      </c>
      <c r="G1274" s="31" t="s">
        <v>155</v>
      </c>
      <c r="H1274" s="31" t="s">
        <v>5</v>
      </c>
      <c r="I1274" s="31" t="s">
        <v>506</v>
      </c>
      <c r="J1274" s="31" t="s">
        <v>507</v>
      </c>
      <c r="K1274" s="31" t="s">
        <v>473</v>
      </c>
      <c r="L1274" s="31" t="s">
        <v>15</v>
      </c>
      <c r="M1274" s="31" t="s">
        <v>18</v>
      </c>
      <c r="N1274" s="31">
        <v>80</v>
      </c>
      <c r="O1274" s="31">
        <f>2024-Inventory[[#This Row],[YrBlt]]</f>
        <v>84</v>
      </c>
      <c r="P1274" s="31">
        <f>2024-Inventory[[#This Row],[EffYr]]</f>
        <v>52</v>
      </c>
      <c r="Q1274" s="30">
        <v>1940</v>
      </c>
      <c r="R1274" s="30">
        <v>1972</v>
      </c>
      <c r="S1274" s="30">
        <v>1500</v>
      </c>
      <c r="T1274" s="37"/>
      <c r="U1274" s="32"/>
      <c r="V1274" s="32"/>
      <c r="W1274" s="32"/>
      <c r="X1274" s="32">
        <f>Inventory[[#This Row],[Bsmt Area]]-Inventory[[#This Row],[FnBsmt]]</f>
        <v>0</v>
      </c>
      <c r="Y1274" s="32">
        <f>Inventory[[#This Row],[MainFn]]+Inventory[[#This Row],[UpprFn]]+Inventory[[#This Row],[AddFn]]+Inventory[[#This Row],[FnBsmt]]</f>
        <v>1500</v>
      </c>
      <c r="Z1274" s="32">
        <v>2000</v>
      </c>
      <c r="AA1274" s="31" t="s">
        <v>56</v>
      </c>
      <c r="AB1274" s="32"/>
      <c r="AC1274" s="32"/>
      <c r="AD1274" s="37"/>
      <c r="AE1274" s="32"/>
      <c r="AF1274" s="32"/>
      <c r="AG1274" s="32"/>
      <c r="AH1274" s="32"/>
      <c r="AI1274" s="30">
        <v>212765</v>
      </c>
      <c r="AJ1274" s="30">
        <v>144680</v>
      </c>
      <c r="AK1274" s="30">
        <v>40982</v>
      </c>
      <c r="AL1274" s="30">
        <v>0</v>
      </c>
      <c r="AM1274" s="30">
        <v>89100</v>
      </c>
      <c r="AN1274" s="30">
        <v>235700</v>
      </c>
      <c r="AO1274" s="30">
        <v>324800</v>
      </c>
      <c r="AP1274" s="30">
        <f>Lookups!$B$58*0.6</f>
        <v>132535.48800000001</v>
      </c>
      <c r="AQ1274" s="30">
        <f>Lookups!$B$58*0.4</f>
        <v>88356.992000000013</v>
      </c>
      <c r="AR1274" s="30">
        <f>Lookups!$B$59*Inventory[[#This Row],[LnAcres]]</f>
        <v>2392.8466365835911</v>
      </c>
      <c r="AS1274" s="30">
        <f>VLOOKUP(Inventory[[#This Row],[Qlty]],Lookups!$A$66:$E$79,2,FALSE)</f>
        <v>-1240.8083630000001</v>
      </c>
      <c r="AT1274" s="30">
        <f>VLOOKUP(Inventory[[#This Row],[Cnd]],Lookups!$A$80:$E$88,2,FALSE)</f>
        <v>17761.121909000001</v>
      </c>
      <c r="AU1274" s="30">
        <f>Inventory[[#This Row],[EffAge]]*Lookups!$B$65</f>
        <v>-5654.5371999999998</v>
      </c>
      <c r="AV1274" s="30">
        <f>Inventory[[#This Row],[MainFn]]*Lookups!$B$90</f>
        <v>93615.57</v>
      </c>
      <c r="AW1274" s="30">
        <f>Inventory[[#This Row],[UpprFn]]*Lookups!$B$91</f>
        <v>0</v>
      </c>
      <c r="AX1274" s="30">
        <f>Inventory[[#This Row],[Bsmt Area]]*Lookups!$B$95</f>
        <v>0</v>
      </c>
      <c r="AY1274" s="30">
        <f>Inventory[[#This Row],[AttGar]]*Lookups!$B$93</f>
        <v>0</v>
      </c>
      <c r="AZ1274" s="30">
        <f>ROUND(Inventory[[#This Row],[25Det]],-2)</f>
        <v>41000</v>
      </c>
      <c r="BA1274" s="30">
        <f>ROUND(SUM(Inventory[[#This Row],[Mdl Qlty]:[Mdl Garage Area]])+Inventory[[#This Row],[Mdl Res Intercept]],-2)</f>
        <v>237000</v>
      </c>
      <c r="BB1274" s="30">
        <f>ROUND(Inventory[[#This Row],[Mdl Land Intercept]]+Inventory[[#This Row],[Mdl LnAcres]],-2)</f>
        <v>90700</v>
      </c>
      <c r="BC1274" s="30">
        <f>Inventory[[#This Row],[Unadj Res Value]]+Inventory[[#This Row],[Unadj Det Value]]+Inventory[[#This Row],[Unadj Land Value]]</f>
        <v>368700</v>
      </c>
      <c r="BD1274" s="30">
        <f>(Inventory[[#This Row],[Unadj Total Value]]-Inventory[[#This Row],[24Final]])/Inventory[[#This Row],[24Final]]</f>
        <v>0.13516009852216748</v>
      </c>
      <c r="BE1274" s="30">
        <f>VLOOKUP(Inventory[[#This Row],[Nbhd]],Lookups!$M$3:$P$5,4,FALSE)</f>
        <v>0.99970000000000003</v>
      </c>
      <c r="BF1274" s="30">
        <f>VLOOKUP(Inventory[[#This Row],[Qlty]],Lookups!$M$8:$P$22,4,FALSE)</f>
        <v>1.0022</v>
      </c>
      <c r="BG1274" s="30">
        <f>VLOOKUP(Inventory[[#This Row],[Cnd]],Lookups!$R$8:$U$17,4,FALSE)</f>
        <v>0.99680000000000002</v>
      </c>
      <c r="BH1274" s="30">
        <f>VLOOKUP(Inventory[[#This Row],[LivArea Range]],Lookups!$R$25:$U$43,4,FALSE)</f>
        <v>1.0007999999999999</v>
      </c>
      <c r="BI1274" s="30">
        <f>VLOOKUP(Inventory[[#This Row],[Decade]],Lookups!$M$24:$P$40,4,FALSE)</f>
        <v>1</v>
      </c>
      <c r="BJ1274" s="30">
        <f>Inventory[[#This Row],[Nbhd Adj]]*0.95</f>
        <v>0.94971499999999998</v>
      </c>
      <c r="BK1274" s="30">
        <f>AVERAGE(Inventory[[#This Row],[Nbhd Adj]],Inventory[[#This Row],[Quality Adj]],Inventory[[#This Row],[Condition Adj]],Inventory[[#This Row],[Living Area Adj]],Inventory[[#This Row],[Decade Adj]])*0.95</f>
        <v>0.94990499999999989</v>
      </c>
      <c r="BL1274" s="30">
        <f>ROUND((SUM(Inventory[[#This Row],[Mdl Qlty]:[Mdl Garage Area]])+Inventory[[#This Row],[Mdl Res Intercept]])*Inventory[[#This Row],[Res Adj ]],-2)</f>
        <v>225100</v>
      </c>
      <c r="BM1274" s="30">
        <f>ROUND(Inventory[[#This Row],[25Det]]*Inventory[[#This Row],[Det/Nbhd Adj]],-2)</f>
        <v>38900</v>
      </c>
      <c r="BN1274" s="30">
        <f>Inventory[[#This Row],[Adjusted Res]]+Inventory[[#This Row],[Adj Det ]]</f>
        <v>264000</v>
      </c>
      <c r="BO1274" s="30">
        <f>ROUND((Inventory[[#This Row],[Mdl Land Intercept]]+Inventory[[#This Row],[Mdl LnAcres]])*Inventory[[#This Row],[Det/Nbhd Adj]],-2)</f>
        <v>86200</v>
      </c>
      <c r="BP1274" s="30">
        <f>Inventory[[#This Row],[Adjusted Impr Total]]+Inventory[[#This Row],[Adjusted Land Total]]</f>
        <v>350200</v>
      </c>
      <c r="BQ1274" s="30">
        <f>IFERROR((Inventory[[#This Row],[Adjusted Impr Total]]-Inventory[[#This Row],[24Bldg]])/Inventory[[#This Row],[24Bldg]],0)</f>
        <v>0.12006788290199406</v>
      </c>
      <c r="BR1274" s="43">
        <f>(Inventory[[#This Row],[Adjusted Land Total]]-Inventory[[#This Row],[24Lnd]])/Inventory[[#This Row],[24Lnd]]</f>
        <v>-3.2547699214365879E-2</v>
      </c>
      <c r="BS1274" s="43">
        <f>(Inventory[[#This Row],[Adjusted Total]]-Inventory[[#This Row],[24Final]])/Inventory[[#This Row],[24Final]]</f>
        <v>7.8201970443349755E-2</v>
      </c>
    </row>
    <row r="1275" spans="1:71">
      <c r="A1275" s="30">
        <v>2025</v>
      </c>
      <c r="B1275" s="31" t="s">
        <v>1793</v>
      </c>
      <c r="C1275" s="36">
        <f>LN(Inventory[[#This Row],[Acres]])</f>
        <v>1.0152306797290584</v>
      </c>
      <c r="D1275" s="38">
        <v>2.76</v>
      </c>
      <c r="E1275" s="37"/>
      <c r="F1275" s="31" t="s">
        <v>505</v>
      </c>
      <c r="G1275" s="31" t="s">
        <v>155</v>
      </c>
      <c r="H1275" s="31" t="s">
        <v>5</v>
      </c>
      <c r="I1275" s="31" t="s">
        <v>506</v>
      </c>
      <c r="J1275" s="31" t="s">
        <v>507</v>
      </c>
      <c r="K1275" s="31" t="s">
        <v>157</v>
      </c>
      <c r="L1275" s="31" t="s">
        <v>13</v>
      </c>
      <c r="M1275" s="31" t="s">
        <v>20</v>
      </c>
      <c r="N1275" s="31">
        <v>80</v>
      </c>
      <c r="O1275" s="31">
        <f>2024-Inventory[[#This Row],[YrBlt]]</f>
        <v>84</v>
      </c>
      <c r="P1275" s="31">
        <f>2024-Inventory[[#This Row],[EffYr]]</f>
        <v>52</v>
      </c>
      <c r="Q1275" s="30">
        <v>1940</v>
      </c>
      <c r="R1275" s="30">
        <v>1972</v>
      </c>
      <c r="S1275" s="30">
        <v>1008</v>
      </c>
      <c r="T1275" s="30">
        <v>1088</v>
      </c>
      <c r="U1275" s="32"/>
      <c r="V1275" s="32"/>
      <c r="W1275" s="32"/>
      <c r="X1275" s="32">
        <f>Inventory[[#This Row],[Bsmt Area]]-Inventory[[#This Row],[FnBsmt]]</f>
        <v>0</v>
      </c>
      <c r="Y1275" s="32">
        <f>Inventory[[#This Row],[MainFn]]+Inventory[[#This Row],[UpprFn]]+Inventory[[#This Row],[AddFn]]+Inventory[[#This Row],[FnBsmt]]</f>
        <v>2096</v>
      </c>
      <c r="Z1275" s="32">
        <v>2500</v>
      </c>
      <c r="AA1275" s="31" t="s">
        <v>56</v>
      </c>
      <c r="AB1275" s="37"/>
      <c r="AC1275" s="32"/>
      <c r="AD1275" s="37"/>
      <c r="AE1275" s="32"/>
      <c r="AF1275" s="32"/>
      <c r="AG1275" s="32"/>
      <c r="AH1275" s="32"/>
      <c r="AI1275" s="30">
        <v>257991</v>
      </c>
      <c r="AJ1275" s="30">
        <v>180594</v>
      </c>
      <c r="AK1275" s="30">
        <v>54260</v>
      </c>
      <c r="AL1275" s="30">
        <v>0</v>
      </c>
      <c r="AM1275" s="30">
        <v>100700</v>
      </c>
      <c r="AN1275" s="30">
        <v>281500</v>
      </c>
      <c r="AO1275" s="30">
        <v>382200</v>
      </c>
      <c r="AP1275" s="30">
        <f>Lookups!$B$58*0.6</f>
        <v>132535.48800000001</v>
      </c>
      <c r="AQ1275" s="30">
        <f>Lookups!$B$58*0.4</f>
        <v>88356.992000000013</v>
      </c>
      <c r="AR1275" s="30">
        <f>Lookups!$B$59*Inventory[[#This Row],[LnAcres]]</f>
        <v>13324.213329812355</v>
      </c>
      <c r="AS1275" s="30">
        <f>VLOOKUP(Inventory[[#This Row],[Qlty]],Lookups!$A$66:$E$79,2,FALSE)</f>
        <v>0</v>
      </c>
      <c r="AT1275" s="30">
        <f>VLOOKUP(Inventory[[#This Row],[Cnd]],Lookups!$A$80:$E$88,2,FALSE)</f>
        <v>30300.329274</v>
      </c>
      <c r="AU1275" s="30">
        <f>Inventory[[#This Row],[EffAge]]*Lookups!$B$65</f>
        <v>-5654.5371999999998</v>
      </c>
      <c r="AV1275" s="30">
        <f>Inventory[[#This Row],[MainFn]]*Lookups!$B$90</f>
        <v>62909.663040000007</v>
      </c>
      <c r="AW1275" s="30">
        <f>Inventory[[#This Row],[UpprFn]]*Lookups!$B$91</f>
        <v>64823.456703999997</v>
      </c>
      <c r="AX1275" s="30">
        <f>Inventory[[#This Row],[Bsmt Area]]*Lookups!$B$95</f>
        <v>0</v>
      </c>
      <c r="AY1275" s="30">
        <f>Inventory[[#This Row],[AttGar]]*Lookups!$B$93</f>
        <v>0</v>
      </c>
      <c r="AZ1275" s="30">
        <f>ROUND(Inventory[[#This Row],[25Det]],-2)</f>
        <v>54300</v>
      </c>
      <c r="BA1275" s="30">
        <f>ROUND(SUM(Inventory[[#This Row],[Mdl Qlty]:[Mdl Garage Area]])+Inventory[[#This Row],[Mdl Res Intercept]],-2)</f>
        <v>284900</v>
      </c>
      <c r="BB1275" s="30">
        <f>ROUND(Inventory[[#This Row],[Mdl Land Intercept]]+Inventory[[#This Row],[Mdl LnAcres]],-2)</f>
        <v>101700</v>
      </c>
      <c r="BC1275" s="30">
        <f>Inventory[[#This Row],[Unadj Res Value]]+Inventory[[#This Row],[Unadj Det Value]]+Inventory[[#This Row],[Unadj Land Value]]</f>
        <v>440900</v>
      </c>
      <c r="BD1275" s="30">
        <f>(Inventory[[#This Row],[Unadj Total Value]]-Inventory[[#This Row],[24Final]])/Inventory[[#This Row],[24Final]]</f>
        <v>0.15358451072736787</v>
      </c>
      <c r="BE1275" s="30">
        <f>VLOOKUP(Inventory[[#This Row],[Nbhd]],Lookups!$M$3:$P$5,4,FALSE)</f>
        <v>0.99970000000000003</v>
      </c>
      <c r="BF1275" s="30">
        <f>VLOOKUP(Inventory[[#This Row],[Qlty]],Lookups!$M$8:$P$22,4,FALSE)</f>
        <v>1.0003</v>
      </c>
      <c r="BG1275" s="30">
        <f>VLOOKUP(Inventory[[#This Row],[Cnd]],Lookups!$R$8:$U$17,4,FALSE)</f>
        <v>0.997</v>
      </c>
      <c r="BH1275" s="30">
        <f>VLOOKUP(Inventory[[#This Row],[LivArea Range]],Lookups!$R$25:$U$43,4,FALSE)</f>
        <v>1.0008999999999999</v>
      </c>
      <c r="BI1275" s="30">
        <f>VLOOKUP(Inventory[[#This Row],[Decade]],Lookups!$M$24:$P$40,4,FALSE)</f>
        <v>1</v>
      </c>
      <c r="BJ1275" s="30">
        <f>Inventory[[#This Row],[Nbhd Adj]]*0.95</f>
        <v>0.94971499999999998</v>
      </c>
      <c r="BK1275" s="30">
        <f>AVERAGE(Inventory[[#This Row],[Nbhd Adj]],Inventory[[#This Row],[Quality Adj]],Inventory[[#This Row],[Condition Adj]],Inventory[[#This Row],[Living Area Adj]],Inventory[[#This Row],[Decade Adj]])*0.95</f>
        <v>0.94960099999999992</v>
      </c>
      <c r="BL1275" s="30">
        <f>ROUND((SUM(Inventory[[#This Row],[Mdl Qlty]:[Mdl Garage Area]])+Inventory[[#This Row],[Mdl Res Intercept]])*Inventory[[#This Row],[Res Adj ]],-2)</f>
        <v>270600</v>
      </c>
      <c r="BM1275" s="30">
        <f>ROUND(Inventory[[#This Row],[25Det]]*Inventory[[#This Row],[Det/Nbhd Adj]],-2)</f>
        <v>51500</v>
      </c>
      <c r="BN1275" s="30">
        <f>Inventory[[#This Row],[Adjusted Res]]+Inventory[[#This Row],[Adj Det ]]</f>
        <v>322100</v>
      </c>
      <c r="BO1275" s="30">
        <f>ROUND((Inventory[[#This Row],[Mdl Land Intercept]]+Inventory[[#This Row],[Mdl LnAcres]])*Inventory[[#This Row],[Det/Nbhd Adj]],-2)</f>
        <v>96600</v>
      </c>
      <c r="BP1275" s="30">
        <f>Inventory[[#This Row],[Adjusted Impr Total]]+Inventory[[#This Row],[Adjusted Land Total]]</f>
        <v>418700</v>
      </c>
      <c r="BQ1275" s="30">
        <f>IFERROR((Inventory[[#This Row],[Adjusted Impr Total]]-Inventory[[#This Row],[24Bldg]])/Inventory[[#This Row],[24Bldg]],0)</f>
        <v>0.14422735346358792</v>
      </c>
      <c r="BR1275" s="43">
        <f>(Inventory[[#This Row],[Adjusted Land Total]]-Inventory[[#This Row],[24Lnd]])/Inventory[[#This Row],[24Lnd]]</f>
        <v>-4.0714995034756701E-2</v>
      </c>
      <c r="BS1275" s="43">
        <f>(Inventory[[#This Row],[Adjusted Total]]-Inventory[[#This Row],[24Final]])/Inventory[[#This Row],[24Final]]</f>
        <v>9.549973835688122E-2</v>
      </c>
    </row>
    <row r="1276" spans="1:71">
      <c r="A1276" s="30">
        <v>2025</v>
      </c>
      <c r="B1276" s="31" t="s">
        <v>1794</v>
      </c>
      <c r="C1276" s="36">
        <f>LN(Inventory[[#This Row],[Acres]])</f>
        <v>-0.86750056770472306</v>
      </c>
      <c r="D1276" s="38">
        <v>0.42</v>
      </c>
      <c r="E1276" s="30">
        <v>18211</v>
      </c>
      <c r="F1276" s="31" t="s">
        <v>505</v>
      </c>
      <c r="G1276" s="31" t="s">
        <v>155</v>
      </c>
      <c r="H1276" s="31" t="s">
        <v>5</v>
      </c>
      <c r="I1276" s="31" t="s">
        <v>506</v>
      </c>
      <c r="J1276" s="31" t="s">
        <v>507</v>
      </c>
      <c r="K1276" s="31" t="s">
        <v>473</v>
      </c>
      <c r="L1276" s="31" t="s">
        <v>17</v>
      </c>
      <c r="M1276" s="31" t="s">
        <v>20</v>
      </c>
      <c r="N1276" s="31">
        <v>80</v>
      </c>
      <c r="O1276" s="31">
        <f>2024-Inventory[[#This Row],[YrBlt]]</f>
        <v>85</v>
      </c>
      <c r="P1276" s="31">
        <f>2024-Inventory[[#This Row],[EffYr]]</f>
        <v>53</v>
      </c>
      <c r="Q1276" s="30">
        <v>1939</v>
      </c>
      <c r="R1276" s="30">
        <v>1971</v>
      </c>
      <c r="S1276" s="30">
        <v>754</v>
      </c>
      <c r="T1276" s="32"/>
      <c r="U1276" s="38">
        <v>754</v>
      </c>
      <c r="V1276" s="32"/>
      <c r="W1276" s="38">
        <v>226</v>
      </c>
      <c r="X1276" s="38">
        <f>Inventory[[#This Row],[Bsmt Area]]-Inventory[[#This Row],[FnBsmt]]</f>
        <v>528</v>
      </c>
      <c r="Y1276" s="38">
        <f>Inventory[[#This Row],[MainFn]]+Inventory[[#This Row],[UpprFn]]+Inventory[[#This Row],[AddFn]]+Inventory[[#This Row],[FnBsmt]]</f>
        <v>980</v>
      </c>
      <c r="Z1276" s="32">
        <v>1000</v>
      </c>
      <c r="AA1276" s="31" t="s">
        <v>56</v>
      </c>
      <c r="AB1276" s="32"/>
      <c r="AC1276" s="37"/>
      <c r="AD1276" s="32"/>
      <c r="AE1276" s="32"/>
      <c r="AF1276" s="32"/>
      <c r="AG1276" s="32"/>
      <c r="AH1276" s="32"/>
      <c r="AI1276" s="30">
        <v>178318</v>
      </c>
      <c r="AJ1276" s="30">
        <v>123039</v>
      </c>
      <c r="AK1276" s="30">
        <v>6873</v>
      </c>
      <c r="AL1276" s="30">
        <v>0</v>
      </c>
      <c r="AM1276" s="30">
        <v>74400</v>
      </c>
      <c r="AN1276" s="30">
        <v>193800</v>
      </c>
      <c r="AO1276" s="30">
        <v>268200</v>
      </c>
      <c r="AP1276" s="30">
        <f>Lookups!$B$58*0.6</f>
        <v>132535.48800000001</v>
      </c>
      <c r="AQ1276" s="30">
        <f>Lookups!$B$58*0.4</f>
        <v>88356.992000000013</v>
      </c>
      <c r="AR1276" s="30">
        <f>Lookups!$B$59*Inventory[[#This Row],[LnAcres]]</f>
        <v>-11385.355918239018</v>
      </c>
      <c r="AS1276" s="30">
        <f>VLOOKUP(Inventory[[#This Row],[Qlty]],Lookups!$A$66:$E$79,2,FALSE)</f>
        <v>24371.765965999999</v>
      </c>
      <c r="AT1276" s="30">
        <f>VLOOKUP(Inventory[[#This Row],[Cnd]],Lookups!$A$80:$E$88,2,FALSE)</f>
        <v>30300.329274</v>
      </c>
      <c r="AU1276" s="30">
        <f>Inventory[[#This Row],[EffAge]]*Lookups!$B$65</f>
        <v>-5763.2782999999999</v>
      </c>
      <c r="AV1276" s="30">
        <f>Inventory[[#This Row],[MainFn]]*Lookups!$B$90</f>
        <v>47057.426520000001</v>
      </c>
      <c r="AW1276" s="30">
        <f>Inventory[[#This Row],[UpprFn]]*Lookups!$B$91</f>
        <v>0</v>
      </c>
      <c r="AX1276" s="30">
        <f>Inventory[[#This Row],[Bsmt Area]]*Lookups!$B$95</f>
        <v>47190.217983999995</v>
      </c>
      <c r="AY1276" s="30">
        <f>Inventory[[#This Row],[AttGar]]*Lookups!$B$93</f>
        <v>0</v>
      </c>
      <c r="AZ1276" s="30">
        <f>ROUND(Inventory[[#This Row],[25Det]],-2)</f>
        <v>6900</v>
      </c>
      <c r="BA1276" s="30">
        <f>ROUND(SUM(Inventory[[#This Row],[Mdl Qlty]:[Mdl Garage Area]])+Inventory[[#This Row],[Mdl Res Intercept]],-2)</f>
        <v>275700</v>
      </c>
      <c r="BB1276" s="30">
        <f>ROUND(Inventory[[#This Row],[Mdl Land Intercept]]+Inventory[[#This Row],[Mdl LnAcres]],-2)</f>
        <v>77000</v>
      </c>
      <c r="BC1276" s="30">
        <f>Inventory[[#This Row],[Unadj Res Value]]+Inventory[[#This Row],[Unadj Det Value]]+Inventory[[#This Row],[Unadj Land Value]]</f>
        <v>359600</v>
      </c>
      <c r="BD1276" s="30">
        <f>(Inventory[[#This Row],[Unadj Total Value]]-Inventory[[#This Row],[24Final]])/Inventory[[#This Row],[24Final]]</f>
        <v>0.34079045488441462</v>
      </c>
      <c r="BE1276" s="30">
        <f>VLOOKUP(Inventory[[#This Row],[Nbhd]],Lookups!$M$3:$P$5,4,FALSE)</f>
        <v>0.99970000000000003</v>
      </c>
      <c r="BF1276" s="30">
        <f>VLOOKUP(Inventory[[#This Row],[Qlty]],Lookups!$M$8:$P$22,4,FALSE)</f>
        <v>0.99199999999999999</v>
      </c>
      <c r="BG1276" s="30">
        <f>VLOOKUP(Inventory[[#This Row],[Cnd]],Lookups!$R$8:$U$17,4,FALSE)</f>
        <v>0.997</v>
      </c>
      <c r="BH1276" s="30">
        <f>VLOOKUP(Inventory[[#This Row],[LivArea Range]],Lookups!$R$25:$U$43,4,FALSE)</f>
        <v>1</v>
      </c>
      <c r="BI1276" s="30">
        <f>VLOOKUP(Inventory[[#This Row],[Decade]],Lookups!$M$24:$P$40,4,FALSE)</f>
        <v>1</v>
      </c>
      <c r="BJ1276" s="30">
        <f>Inventory[[#This Row],[Nbhd Adj]]*0.95</f>
        <v>0.94971499999999998</v>
      </c>
      <c r="BK1276" s="30">
        <f>AVERAGE(Inventory[[#This Row],[Nbhd Adj]],Inventory[[#This Row],[Quality Adj]],Inventory[[#This Row],[Condition Adj]],Inventory[[#This Row],[Living Area Adj]],Inventory[[#This Row],[Decade Adj]])*0.95</f>
        <v>0.94785299999999995</v>
      </c>
      <c r="BL1276" s="30">
        <f>ROUND((SUM(Inventory[[#This Row],[Mdl Qlty]:[Mdl Garage Area]])+Inventory[[#This Row],[Mdl Res Intercept]])*Inventory[[#This Row],[Res Adj ]],-2)</f>
        <v>261300</v>
      </c>
      <c r="BM1276" s="30">
        <f>ROUND(Inventory[[#This Row],[25Det]]*Inventory[[#This Row],[Det/Nbhd Adj]],-2)</f>
        <v>6500</v>
      </c>
      <c r="BN1276" s="30">
        <f>Inventory[[#This Row],[Adjusted Res]]+Inventory[[#This Row],[Adj Det ]]</f>
        <v>267800</v>
      </c>
      <c r="BO1276" s="30">
        <f>ROUND((Inventory[[#This Row],[Mdl Land Intercept]]+Inventory[[#This Row],[Mdl LnAcres]])*Inventory[[#This Row],[Det/Nbhd Adj]],-2)</f>
        <v>73100</v>
      </c>
      <c r="BP1276" s="30">
        <f>Inventory[[#This Row],[Adjusted Impr Total]]+Inventory[[#This Row],[Adjusted Land Total]]</f>
        <v>340900</v>
      </c>
      <c r="BQ1276" s="30">
        <f>IFERROR((Inventory[[#This Row],[Adjusted Impr Total]]-Inventory[[#This Row],[24Bldg]])/Inventory[[#This Row],[24Bldg]],0)</f>
        <v>0.38183694530443757</v>
      </c>
      <c r="BR1276" s="43">
        <f>(Inventory[[#This Row],[Adjusted Land Total]]-Inventory[[#This Row],[24Lnd]])/Inventory[[#This Row],[24Lnd]]</f>
        <v>-1.7473118279569891E-2</v>
      </c>
      <c r="BS1276" s="43">
        <f>(Inventory[[#This Row],[Adjusted Total]]-Inventory[[#This Row],[24Final]])/Inventory[[#This Row],[24Final]]</f>
        <v>0.27106636838180465</v>
      </c>
    </row>
    <row r="1277" spans="1:71">
      <c r="A1277" s="30">
        <v>2025</v>
      </c>
      <c r="B1277" s="31" t="s">
        <v>1795</v>
      </c>
      <c r="C1277" s="36">
        <f>LN(Inventory[[#This Row],[Acres]])</f>
        <v>-1.5141277326297755</v>
      </c>
      <c r="D1277" s="38">
        <v>0.22</v>
      </c>
      <c r="E1277" s="30">
        <v>9515</v>
      </c>
      <c r="F1277" s="31" t="s">
        <v>505</v>
      </c>
      <c r="G1277" s="31" t="s">
        <v>155</v>
      </c>
      <c r="H1277" s="31" t="s">
        <v>5</v>
      </c>
      <c r="I1277" s="31" t="s">
        <v>506</v>
      </c>
      <c r="J1277" s="31" t="s">
        <v>507</v>
      </c>
      <c r="K1277" s="31" t="s">
        <v>1786</v>
      </c>
      <c r="L1277" s="31" t="s">
        <v>11</v>
      </c>
      <c r="M1277" s="31" t="s">
        <v>16</v>
      </c>
      <c r="N1277" s="31">
        <v>80</v>
      </c>
      <c r="O1277" s="31">
        <f>2024-Inventory[[#This Row],[YrBlt]]</f>
        <v>86</v>
      </c>
      <c r="P1277" s="31">
        <f>2024-Inventory[[#This Row],[EffYr]]</f>
        <v>86</v>
      </c>
      <c r="Q1277" s="30">
        <v>1938</v>
      </c>
      <c r="R1277" s="30">
        <v>1938</v>
      </c>
      <c r="S1277" s="30">
        <v>1280</v>
      </c>
      <c r="T1277" s="32"/>
      <c r="U1277" s="32"/>
      <c r="V1277" s="32"/>
      <c r="W1277" s="32"/>
      <c r="X1277" s="32">
        <f>Inventory[[#This Row],[Bsmt Area]]-Inventory[[#This Row],[FnBsmt]]</f>
        <v>0</v>
      </c>
      <c r="Y1277" s="32">
        <f>Inventory[[#This Row],[MainFn]]+Inventory[[#This Row],[UpprFn]]+Inventory[[#This Row],[AddFn]]+Inventory[[#This Row],[FnBsmt]]</f>
        <v>1280</v>
      </c>
      <c r="Z1277" s="32">
        <v>1500</v>
      </c>
      <c r="AA1277" s="31" t="s">
        <v>56</v>
      </c>
      <c r="AB1277" s="32"/>
      <c r="AC1277" s="37"/>
      <c r="AD1277" s="32"/>
      <c r="AE1277" s="32"/>
      <c r="AF1277" s="32"/>
      <c r="AG1277" s="32"/>
      <c r="AH1277" s="32"/>
      <c r="AI1277" s="30">
        <v>137279</v>
      </c>
      <c r="AJ1277" s="30">
        <v>72758</v>
      </c>
      <c r="AK1277" s="30">
        <v>0</v>
      </c>
      <c r="AL1277" s="30">
        <v>0</v>
      </c>
      <c r="AM1277" s="30">
        <v>65300</v>
      </c>
      <c r="AN1277" s="30">
        <v>141100</v>
      </c>
      <c r="AO1277" s="30">
        <v>206400</v>
      </c>
      <c r="AP1277" s="30">
        <f>Lookups!$B$58*0.6</f>
        <v>132535.48800000001</v>
      </c>
      <c r="AQ1277" s="30">
        <f>Lookups!$B$58*0.4</f>
        <v>88356.992000000013</v>
      </c>
      <c r="AR1277" s="30">
        <f>Lookups!$B$59*Inventory[[#This Row],[LnAcres]]</f>
        <v>-19871.898398035348</v>
      </c>
      <c r="AS1277" s="30">
        <f>VLOOKUP(Inventory[[#This Row],[Qlty]],Lookups!$A$66:$E$79,2,FALSE)</f>
        <v>-9114.1675108666695</v>
      </c>
      <c r="AT1277" s="30">
        <f>VLOOKUP(Inventory[[#This Row],[Cnd]],Lookups!$A$80:$E$88,2,FALSE)</f>
        <v>0</v>
      </c>
      <c r="AU1277" s="30">
        <f>Inventory[[#This Row],[EffAge]]*Lookups!$B$65</f>
        <v>-9351.7345999999998</v>
      </c>
      <c r="AV1277" s="30">
        <f>Inventory[[#This Row],[MainFn]]*Lookups!$B$90</f>
        <v>79885.286400000012</v>
      </c>
      <c r="AW1277" s="30">
        <f>Inventory[[#This Row],[UpprFn]]*Lookups!$B$91</f>
        <v>0</v>
      </c>
      <c r="AX1277" s="30">
        <f>Inventory[[#This Row],[Bsmt Area]]*Lookups!$B$95</f>
        <v>0</v>
      </c>
      <c r="AY1277" s="30">
        <f>Inventory[[#This Row],[AttGar]]*Lookups!$B$93</f>
        <v>0</v>
      </c>
      <c r="AZ1277" s="30">
        <f>ROUND(Inventory[[#This Row],[25Det]],-2)</f>
        <v>0</v>
      </c>
      <c r="BA1277" s="30">
        <f>ROUND(SUM(Inventory[[#This Row],[Mdl Qlty]:[Mdl Garage Area]])+Inventory[[#This Row],[Mdl Res Intercept]],-2)</f>
        <v>194000</v>
      </c>
      <c r="BB1277" s="30">
        <f>ROUND(Inventory[[#This Row],[Mdl Land Intercept]]+Inventory[[#This Row],[Mdl LnAcres]],-2)</f>
        <v>68500</v>
      </c>
      <c r="BC1277" s="30">
        <f>Inventory[[#This Row],[Unadj Res Value]]+Inventory[[#This Row],[Unadj Det Value]]+Inventory[[#This Row],[Unadj Land Value]]</f>
        <v>262500</v>
      </c>
      <c r="BD1277" s="30">
        <f>(Inventory[[#This Row],[Unadj Total Value]]-Inventory[[#This Row],[24Final]])/Inventory[[#This Row],[24Final]]</f>
        <v>0.27180232558139533</v>
      </c>
      <c r="BE1277" s="30">
        <f>VLOOKUP(Inventory[[#This Row],[Nbhd]],Lookups!$M$3:$P$5,4,FALSE)</f>
        <v>0.99970000000000003</v>
      </c>
      <c r="BF1277" s="30">
        <f>VLOOKUP(Inventory[[#This Row],[Qlty]],Lookups!$M$8:$P$22,4,FALSE)</f>
        <v>1</v>
      </c>
      <c r="BG1277" s="30">
        <f>VLOOKUP(Inventory[[#This Row],[Cnd]],Lookups!$R$8:$U$17,4,FALSE)</f>
        <v>1</v>
      </c>
      <c r="BH1277" s="30">
        <f>VLOOKUP(Inventory[[#This Row],[LivArea Range]],Lookups!$R$25:$U$43,4,FALSE)</f>
        <v>0.99519999999999997</v>
      </c>
      <c r="BI1277" s="30">
        <f>VLOOKUP(Inventory[[#This Row],[Decade]],Lookups!$M$24:$P$40,4,FALSE)</f>
        <v>1</v>
      </c>
      <c r="BJ1277" s="30">
        <f>Inventory[[#This Row],[Nbhd Adj]]*0.95</f>
        <v>0.94971499999999998</v>
      </c>
      <c r="BK1277" s="30">
        <f>AVERAGE(Inventory[[#This Row],[Nbhd Adj]],Inventory[[#This Row],[Quality Adj]],Inventory[[#This Row],[Condition Adj]],Inventory[[#This Row],[Living Area Adj]],Inventory[[#This Row],[Decade Adj]])*0.95</f>
        <v>0.94903099999999985</v>
      </c>
      <c r="BL1277" s="30">
        <f>ROUND((SUM(Inventory[[#This Row],[Mdl Qlty]:[Mdl Garage Area]])+Inventory[[#This Row],[Mdl Res Intercept]])*Inventory[[#This Row],[Res Adj ]],-2)</f>
        <v>184100</v>
      </c>
      <c r="BM1277" s="30">
        <f>ROUND(Inventory[[#This Row],[25Det]]*Inventory[[#This Row],[Det/Nbhd Adj]],-2)</f>
        <v>0</v>
      </c>
      <c r="BN1277" s="30">
        <f>Inventory[[#This Row],[Adjusted Res]]+Inventory[[#This Row],[Adj Det ]]</f>
        <v>184100</v>
      </c>
      <c r="BO1277" s="30">
        <f>ROUND((Inventory[[#This Row],[Mdl Land Intercept]]+Inventory[[#This Row],[Mdl LnAcres]])*Inventory[[#This Row],[Det/Nbhd Adj]],-2)</f>
        <v>65000</v>
      </c>
      <c r="BP1277" s="30">
        <f>Inventory[[#This Row],[Adjusted Impr Total]]+Inventory[[#This Row],[Adjusted Land Total]]</f>
        <v>249100</v>
      </c>
      <c r="BQ1277" s="30">
        <f>IFERROR((Inventory[[#This Row],[Adjusted Impr Total]]-Inventory[[#This Row],[24Bldg]])/Inventory[[#This Row],[24Bldg]],0)</f>
        <v>0.30474840538625086</v>
      </c>
      <c r="BR1277" s="43">
        <f>(Inventory[[#This Row],[Adjusted Land Total]]-Inventory[[#This Row],[24Lnd]])/Inventory[[#This Row],[24Lnd]]</f>
        <v>-4.5941807044410417E-3</v>
      </c>
      <c r="BS1277" s="43">
        <f>(Inventory[[#This Row],[Adjusted Total]]-Inventory[[#This Row],[24Final]])/Inventory[[#This Row],[24Final]]</f>
        <v>0.20687984496124032</v>
      </c>
    </row>
    <row r="1278" spans="1:71">
      <c r="A1278" s="30">
        <v>2025</v>
      </c>
      <c r="B1278" s="31" t="s">
        <v>1796</v>
      </c>
      <c r="C1278" s="36">
        <f>LN(Inventory[[#This Row],[Acres]])</f>
        <v>-0.43078291609245423</v>
      </c>
      <c r="D1278" s="38">
        <v>0.65</v>
      </c>
      <c r="E1278" s="37"/>
      <c r="F1278" s="31" t="s">
        <v>505</v>
      </c>
      <c r="G1278" s="31" t="s">
        <v>155</v>
      </c>
      <c r="H1278" s="31" t="s">
        <v>5</v>
      </c>
      <c r="I1278" s="31" t="s">
        <v>506</v>
      </c>
      <c r="J1278" s="31" t="s">
        <v>507</v>
      </c>
      <c r="K1278" s="31" t="s">
        <v>193</v>
      </c>
      <c r="L1278" s="31" t="s">
        <v>13</v>
      </c>
      <c r="M1278" s="31" t="s">
        <v>18</v>
      </c>
      <c r="N1278" s="31">
        <v>80</v>
      </c>
      <c r="O1278" s="31">
        <f>2024-Inventory[[#This Row],[YrBlt]]</f>
        <v>86</v>
      </c>
      <c r="P1278" s="31">
        <f>2024-Inventory[[#This Row],[EffYr]]</f>
        <v>53</v>
      </c>
      <c r="Q1278" s="30">
        <v>1938</v>
      </c>
      <c r="R1278" s="30">
        <v>1971</v>
      </c>
      <c r="S1278" s="30">
        <v>1242</v>
      </c>
      <c r="T1278" s="32"/>
      <c r="U1278" s="32"/>
      <c r="V1278" s="32"/>
      <c r="W1278" s="32"/>
      <c r="X1278" s="32">
        <f>Inventory[[#This Row],[Bsmt Area]]-Inventory[[#This Row],[FnBsmt]]</f>
        <v>0</v>
      </c>
      <c r="Y1278" s="32">
        <f>Inventory[[#This Row],[MainFn]]+Inventory[[#This Row],[UpprFn]]+Inventory[[#This Row],[AddFn]]+Inventory[[#This Row],[FnBsmt]]</f>
        <v>1242</v>
      </c>
      <c r="Z1278" s="32">
        <v>1500</v>
      </c>
      <c r="AA1278" s="31" t="s">
        <v>56</v>
      </c>
      <c r="AB1278" s="37"/>
      <c r="AC1278" s="37"/>
      <c r="AD1278" s="32"/>
      <c r="AE1278" s="32"/>
      <c r="AF1278" s="32"/>
      <c r="AG1278" s="32"/>
      <c r="AH1278" s="32"/>
      <c r="AI1278" s="30">
        <v>177217</v>
      </c>
      <c r="AJ1278" s="30">
        <v>118735</v>
      </c>
      <c r="AK1278" s="30">
        <v>16502</v>
      </c>
      <c r="AL1278" s="30">
        <v>0</v>
      </c>
      <c r="AM1278" s="30">
        <v>80500</v>
      </c>
      <c r="AN1278" s="30">
        <v>189300</v>
      </c>
      <c r="AO1278" s="30">
        <v>269800</v>
      </c>
      <c r="AP1278" s="30">
        <f>Lookups!$B$58*0.6</f>
        <v>132535.48800000001</v>
      </c>
      <c r="AQ1278" s="30">
        <f>Lookups!$B$58*0.4</f>
        <v>88356.992000000013</v>
      </c>
      <c r="AR1278" s="30">
        <f>Lookups!$B$59*Inventory[[#This Row],[LnAcres]]</f>
        <v>-5653.7332721134353</v>
      </c>
      <c r="AS1278" s="30">
        <f>VLOOKUP(Inventory[[#This Row],[Qlty]],Lookups!$A$66:$E$79,2,FALSE)</f>
        <v>0</v>
      </c>
      <c r="AT1278" s="30">
        <f>VLOOKUP(Inventory[[#This Row],[Cnd]],Lookups!$A$80:$E$88,2,FALSE)</f>
        <v>17761.121909000001</v>
      </c>
      <c r="AU1278" s="30">
        <f>Inventory[[#This Row],[EffAge]]*Lookups!$B$65</f>
        <v>-5763.2782999999999</v>
      </c>
      <c r="AV1278" s="30">
        <f>Inventory[[#This Row],[MainFn]]*Lookups!$B$90</f>
        <v>77513.691960000011</v>
      </c>
      <c r="AW1278" s="30">
        <f>Inventory[[#This Row],[UpprFn]]*Lookups!$B$91</f>
        <v>0</v>
      </c>
      <c r="AX1278" s="30">
        <f>Inventory[[#This Row],[Bsmt Area]]*Lookups!$B$95</f>
        <v>0</v>
      </c>
      <c r="AY1278" s="30">
        <f>Inventory[[#This Row],[AttGar]]*Lookups!$B$93</f>
        <v>0</v>
      </c>
      <c r="AZ1278" s="30">
        <f>ROUND(Inventory[[#This Row],[25Det]],-2)</f>
        <v>16500</v>
      </c>
      <c r="BA1278" s="30">
        <f>ROUND(SUM(Inventory[[#This Row],[Mdl Qlty]:[Mdl Garage Area]])+Inventory[[#This Row],[Mdl Res Intercept]],-2)</f>
        <v>222000</v>
      </c>
      <c r="BB1278" s="30">
        <f>ROUND(Inventory[[#This Row],[Mdl Land Intercept]]+Inventory[[#This Row],[Mdl LnAcres]],-2)</f>
        <v>82700</v>
      </c>
      <c r="BC1278" s="30">
        <f>Inventory[[#This Row],[Unadj Res Value]]+Inventory[[#This Row],[Unadj Det Value]]+Inventory[[#This Row],[Unadj Land Value]]</f>
        <v>321200</v>
      </c>
      <c r="BD1278" s="30">
        <f>(Inventory[[#This Row],[Unadj Total Value]]-Inventory[[#This Row],[24Final]])/Inventory[[#This Row],[24Final]]</f>
        <v>0.1905114899925871</v>
      </c>
      <c r="BE1278" s="30">
        <f>VLOOKUP(Inventory[[#This Row],[Nbhd]],Lookups!$M$3:$P$5,4,FALSE)</f>
        <v>0.99970000000000003</v>
      </c>
      <c r="BF1278" s="30">
        <f>VLOOKUP(Inventory[[#This Row],[Qlty]],Lookups!$M$8:$P$22,4,FALSE)</f>
        <v>1.0003</v>
      </c>
      <c r="BG1278" s="30">
        <f>VLOOKUP(Inventory[[#This Row],[Cnd]],Lookups!$R$8:$U$17,4,FALSE)</f>
        <v>0.99680000000000002</v>
      </c>
      <c r="BH1278" s="30">
        <f>VLOOKUP(Inventory[[#This Row],[LivArea Range]],Lookups!$R$25:$U$43,4,FALSE)</f>
        <v>0.99519999999999997</v>
      </c>
      <c r="BI1278" s="30">
        <f>VLOOKUP(Inventory[[#This Row],[Decade]],Lookups!$M$24:$P$40,4,FALSE)</f>
        <v>1</v>
      </c>
      <c r="BJ1278" s="30">
        <f>Inventory[[#This Row],[Nbhd Adj]]*0.95</f>
        <v>0.94971499999999998</v>
      </c>
      <c r="BK1278" s="30">
        <f>AVERAGE(Inventory[[#This Row],[Nbhd Adj]],Inventory[[#This Row],[Quality Adj]],Inventory[[#This Row],[Condition Adj]],Inventory[[#This Row],[Living Area Adj]],Inventory[[#This Row],[Decade Adj]])*0.95</f>
        <v>0.94847999999999988</v>
      </c>
      <c r="BL1278" s="30">
        <f>ROUND((SUM(Inventory[[#This Row],[Mdl Qlty]:[Mdl Garage Area]])+Inventory[[#This Row],[Mdl Res Intercept]])*Inventory[[#This Row],[Res Adj ]],-2)</f>
        <v>210600</v>
      </c>
      <c r="BM1278" s="30">
        <f>ROUND(Inventory[[#This Row],[25Det]]*Inventory[[#This Row],[Det/Nbhd Adj]],-2)</f>
        <v>15700</v>
      </c>
      <c r="BN1278" s="30">
        <f>Inventory[[#This Row],[Adjusted Res]]+Inventory[[#This Row],[Adj Det ]]</f>
        <v>226300</v>
      </c>
      <c r="BO1278" s="30">
        <f>ROUND((Inventory[[#This Row],[Mdl Land Intercept]]+Inventory[[#This Row],[Mdl LnAcres]])*Inventory[[#This Row],[Det/Nbhd Adj]],-2)</f>
        <v>78500</v>
      </c>
      <c r="BP1278" s="30">
        <f>Inventory[[#This Row],[Adjusted Impr Total]]+Inventory[[#This Row],[Adjusted Land Total]]</f>
        <v>304800</v>
      </c>
      <c r="BQ1278" s="30">
        <f>IFERROR((Inventory[[#This Row],[Adjusted Impr Total]]-Inventory[[#This Row],[24Bldg]])/Inventory[[#This Row],[24Bldg]],0)</f>
        <v>0.19545694664553617</v>
      </c>
      <c r="BR1278" s="43">
        <f>(Inventory[[#This Row],[Adjusted Land Total]]-Inventory[[#This Row],[24Lnd]])/Inventory[[#This Row],[24Lnd]]</f>
        <v>-2.4844720496894408E-2</v>
      </c>
      <c r="BS1278" s="43">
        <f>(Inventory[[#This Row],[Adjusted Total]]-Inventory[[#This Row],[24Final]])/Inventory[[#This Row],[24Final]]</f>
        <v>0.12972572275759822</v>
      </c>
    </row>
    <row r="1279" spans="1:71">
      <c r="A1279" s="30">
        <v>2025</v>
      </c>
      <c r="B1279" s="31" t="s">
        <v>1797</v>
      </c>
      <c r="C1279" s="36">
        <f>LN(Inventory[[#This Row],[Acres]])</f>
        <v>-2.2072749131897207</v>
      </c>
      <c r="D1279" s="38">
        <v>0.11</v>
      </c>
      <c r="E1279" s="30">
        <v>4773</v>
      </c>
      <c r="F1279" s="31" t="s">
        <v>505</v>
      </c>
      <c r="G1279" s="31" t="s">
        <v>155</v>
      </c>
      <c r="H1279" s="31" t="s">
        <v>5</v>
      </c>
      <c r="I1279" s="31" t="s">
        <v>506</v>
      </c>
      <c r="J1279" s="31" t="s">
        <v>507</v>
      </c>
      <c r="K1279" s="31" t="s">
        <v>157</v>
      </c>
      <c r="L1279" s="31" t="s">
        <v>13</v>
      </c>
      <c r="M1279" s="31" t="s">
        <v>20</v>
      </c>
      <c r="N1279" s="31">
        <v>80</v>
      </c>
      <c r="O1279" s="31">
        <f>2024-Inventory[[#This Row],[YrBlt]]</f>
        <v>89</v>
      </c>
      <c r="P1279" s="31">
        <f>2024-Inventory[[#This Row],[EffYr]]</f>
        <v>53</v>
      </c>
      <c r="Q1279" s="30">
        <v>1935</v>
      </c>
      <c r="R1279" s="30">
        <v>1971</v>
      </c>
      <c r="S1279" s="30">
        <v>900</v>
      </c>
      <c r="T1279" s="30">
        <v>288</v>
      </c>
      <c r="U1279" s="32"/>
      <c r="V1279" s="32"/>
      <c r="W1279" s="32"/>
      <c r="X1279" s="32">
        <f>Inventory[[#This Row],[Bsmt Area]]-Inventory[[#This Row],[FnBsmt]]</f>
        <v>0</v>
      </c>
      <c r="Y1279" s="32">
        <f>Inventory[[#This Row],[MainFn]]+Inventory[[#This Row],[UpprFn]]+Inventory[[#This Row],[AddFn]]+Inventory[[#This Row],[FnBsmt]]</f>
        <v>1188</v>
      </c>
      <c r="Z1279" s="32">
        <v>1500</v>
      </c>
      <c r="AA1279" s="31" t="s">
        <v>56</v>
      </c>
      <c r="AB1279" s="32"/>
      <c r="AC1279" s="37"/>
      <c r="AD1279" s="32"/>
      <c r="AE1279" s="32"/>
      <c r="AF1279" s="32"/>
      <c r="AG1279" s="32"/>
      <c r="AH1279" s="32"/>
      <c r="AI1279" s="30">
        <v>152052</v>
      </c>
      <c r="AJ1279" s="30">
        <v>104916</v>
      </c>
      <c r="AK1279" s="30">
        <v>4161</v>
      </c>
      <c r="AL1279" s="30">
        <v>0</v>
      </c>
      <c r="AM1279" s="30">
        <v>55600</v>
      </c>
      <c r="AN1279" s="30">
        <v>188800</v>
      </c>
      <c r="AO1279" s="30">
        <v>244400</v>
      </c>
      <c r="AP1279" s="30">
        <f>Lookups!$B$58*0.6</f>
        <v>132535.48800000001</v>
      </c>
      <c r="AQ1279" s="30">
        <f>Lookups!$B$58*0.4</f>
        <v>88356.992000000013</v>
      </c>
      <c r="AR1279" s="30">
        <f>Lookups!$B$59*Inventory[[#This Row],[LnAcres]]</f>
        <v>-28968.984495949029</v>
      </c>
      <c r="AS1279" s="30">
        <f>VLOOKUP(Inventory[[#This Row],[Qlty]],Lookups!$A$66:$E$79,2,FALSE)</f>
        <v>0</v>
      </c>
      <c r="AT1279" s="30">
        <f>VLOOKUP(Inventory[[#This Row],[Cnd]],Lookups!$A$80:$E$88,2,FALSE)</f>
        <v>30300.329274</v>
      </c>
      <c r="AU1279" s="30">
        <f>Inventory[[#This Row],[EffAge]]*Lookups!$B$65</f>
        <v>-5763.2782999999999</v>
      </c>
      <c r="AV1279" s="30">
        <f>Inventory[[#This Row],[MainFn]]*Lookups!$B$90</f>
        <v>56169.342000000004</v>
      </c>
      <c r="AW1279" s="30">
        <f>Inventory[[#This Row],[UpprFn]]*Lookups!$B$91</f>
        <v>17159.150303999999</v>
      </c>
      <c r="AX1279" s="30">
        <f>Inventory[[#This Row],[Bsmt Area]]*Lookups!$B$95</f>
        <v>0</v>
      </c>
      <c r="AY1279" s="30">
        <f>Inventory[[#This Row],[AttGar]]*Lookups!$B$93</f>
        <v>0</v>
      </c>
      <c r="AZ1279" s="30">
        <f>ROUND(Inventory[[#This Row],[25Det]],-2)</f>
        <v>4200</v>
      </c>
      <c r="BA1279" s="30">
        <f>ROUND(SUM(Inventory[[#This Row],[Mdl Qlty]:[Mdl Garage Area]])+Inventory[[#This Row],[Mdl Res Intercept]],-2)</f>
        <v>230400</v>
      </c>
      <c r="BB1279" s="30">
        <f>ROUND(Inventory[[#This Row],[Mdl Land Intercept]]+Inventory[[#This Row],[Mdl LnAcres]],-2)</f>
        <v>59400</v>
      </c>
      <c r="BC1279" s="30">
        <f>Inventory[[#This Row],[Unadj Res Value]]+Inventory[[#This Row],[Unadj Det Value]]+Inventory[[#This Row],[Unadj Land Value]]</f>
        <v>294000</v>
      </c>
      <c r="BD1279" s="30">
        <f>(Inventory[[#This Row],[Unadj Total Value]]-Inventory[[#This Row],[24Final]])/Inventory[[#This Row],[24Final]]</f>
        <v>0.20294599018003273</v>
      </c>
      <c r="BE1279" s="30">
        <f>VLOOKUP(Inventory[[#This Row],[Nbhd]],Lookups!$M$3:$P$5,4,FALSE)</f>
        <v>0.99970000000000003</v>
      </c>
      <c r="BF1279" s="30">
        <f>VLOOKUP(Inventory[[#This Row],[Qlty]],Lookups!$M$8:$P$22,4,FALSE)</f>
        <v>1.0003</v>
      </c>
      <c r="BG1279" s="30">
        <f>VLOOKUP(Inventory[[#This Row],[Cnd]],Lookups!$R$8:$U$17,4,FALSE)</f>
        <v>0.997</v>
      </c>
      <c r="BH1279" s="30">
        <f>VLOOKUP(Inventory[[#This Row],[LivArea Range]],Lookups!$R$25:$U$43,4,FALSE)</f>
        <v>0.99519999999999997</v>
      </c>
      <c r="BI1279" s="30">
        <f>VLOOKUP(Inventory[[#This Row],[Decade]],Lookups!$M$24:$P$40,4,FALSE)</f>
        <v>1</v>
      </c>
      <c r="BJ1279" s="30">
        <f>Inventory[[#This Row],[Nbhd Adj]]*0.95</f>
        <v>0.94971499999999998</v>
      </c>
      <c r="BK1279" s="30">
        <f>AVERAGE(Inventory[[#This Row],[Nbhd Adj]],Inventory[[#This Row],[Quality Adj]],Inventory[[#This Row],[Condition Adj]],Inventory[[#This Row],[Living Area Adj]],Inventory[[#This Row],[Decade Adj]])*0.95</f>
        <v>0.94851800000000008</v>
      </c>
      <c r="BL1279" s="30">
        <f>ROUND((SUM(Inventory[[#This Row],[Mdl Qlty]:[Mdl Garage Area]])+Inventory[[#This Row],[Mdl Res Intercept]])*Inventory[[#This Row],[Res Adj ]],-2)</f>
        <v>218500</v>
      </c>
      <c r="BM1279" s="30">
        <f>ROUND(Inventory[[#This Row],[25Det]]*Inventory[[#This Row],[Det/Nbhd Adj]],-2)</f>
        <v>4000</v>
      </c>
      <c r="BN1279" s="30">
        <f>Inventory[[#This Row],[Adjusted Res]]+Inventory[[#This Row],[Adj Det ]]</f>
        <v>222500</v>
      </c>
      <c r="BO1279" s="30">
        <f>ROUND((Inventory[[#This Row],[Mdl Land Intercept]]+Inventory[[#This Row],[Mdl LnAcres]])*Inventory[[#This Row],[Det/Nbhd Adj]],-2)</f>
        <v>56400</v>
      </c>
      <c r="BP1279" s="30">
        <f>Inventory[[#This Row],[Adjusted Impr Total]]+Inventory[[#This Row],[Adjusted Land Total]]</f>
        <v>278900</v>
      </c>
      <c r="BQ1279" s="30">
        <f>IFERROR((Inventory[[#This Row],[Adjusted Impr Total]]-Inventory[[#This Row],[24Bldg]])/Inventory[[#This Row],[24Bldg]],0)</f>
        <v>0.1784957627118644</v>
      </c>
      <c r="BR1279" s="43">
        <f>(Inventory[[#This Row],[Adjusted Land Total]]-Inventory[[#This Row],[24Lnd]])/Inventory[[#This Row],[24Lnd]]</f>
        <v>1.4388489208633094E-2</v>
      </c>
      <c r="BS1279" s="43">
        <f>(Inventory[[#This Row],[Adjusted Total]]-Inventory[[#This Row],[24Final]])/Inventory[[#This Row],[24Final]]</f>
        <v>0.14116202945990181</v>
      </c>
    </row>
    <row r="1280" spans="1:71">
      <c r="A1280" s="30">
        <v>2025</v>
      </c>
      <c r="B1280" s="31" t="s">
        <v>1798</v>
      </c>
      <c r="C1280" s="36">
        <f>LN(Inventory[[#This Row],[Acres]])</f>
        <v>-2.2072749131897207</v>
      </c>
      <c r="D1280" s="38">
        <v>0.11</v>
      </c>
      <c r="E1280" s="30">
        <v>4938</v>
      </c>
      <c r="F1280" s="31" t="s">
        <v>505</v>
      </c>
      <c r="G1280" s="31" t="s">
        <v>155</v>
      </c>
      <c r="H1280" s="31" t="s">
        <v>5</v>
      </c>
      <c r="I1280" s="31" t="s">
        <v>506</v>
      </c>
      <c r="J1280" s="31" t="s">
        <v>507</v>
      </c>
      <c r="K1280" s="31" t="s">
        <v>473</v>
      </c>
      <c r="L1280" s="31" t="s">
        <v>13</v>
      </c>
      <c r="M1280" s="31" t="s">
        <v>20</v>
      </c>
      <c r="N1280" s="31">
        <v>80</v>
      </c>
      <c r="O1280" s="31">
        <f>2024-Inventory[[#This Row],[YrBlt]]</f>
        <v>89</v>
      </c>
      <c r="P1280" s="31">
        <f>2024-Inventory[[#This Row],[EffYr]]</f>
        <v>53</v>
      </c>
      <c r="Q1280" s="30">
        <v>1935</v>
      </c>
      <c r="R1280" s="30">
        <v>1971</v>
      </c>
      <c r="S1280" s="30">
        <v>648</v>
      </c>
      <c r="T1280" s="32"/>
      <c r="U1280" s="32"/>
      <c r="V1280" s="32"/>
      <c r="W1280" s="32"/>
      <c r="X1280" s="32">
        <f>Inventory[[#This Row],[Bsmt Area]]-Inventory[[#This Row],[FnBsmt]]</f>
        <v>0</v>
      </c>
      <c r="Y1280" s="32">
        <f>Inventory[[#This Row],[MainFn]]+Inventory[[#This Row],[UpprFn]]+Inventory[[#This Row],[AddFn]]+Inventory[[#This Row],[FnBsmt]]</f>
        <v>648</v>
      </c>
      <c r="Z1280" s="32">
        <v>1000</v>
      </c>
      <c r="AA1280" s="31" t="s">
        <v>56</v>
      </c>
      <c r="AB1280" s="37"/>
      <c r="AC1280" s="37"/>
      <c r="AD1280" s="32"/>
      <c r="AE1280" s="32"/>
      <c r="AF1280" s="32"/>
      <c r="AG1280" s="32"/>
      <c r="AH1280" s="32"/>
      <c r="AI1280" s="30">
        <v>100632</v>
      </c>
      <c r="AJ1280" s="30">
        <v>69436</v>
      </c>
      <c r="AK1280" s="30">
        <v>6094</v>
      </c>
      <c r="AL1280" s="30">
        <v>0</v>
      </c>
      <c r="AM1280" s="30">
        <v>55600</v>
      </c>
      <c r="AN1280" s="30">
        <v>162400</v>
      </c>
      <c r="AO1280" s="30">
        <v>218000</v>
      </c>
      <c r="AP1280" s="30">
        <f>Lookups!$B$58*0.6</f>
        <v>132535.48800000001</v>
      </c>
      <c r="AQ1280" s="30">
        <f>Lookups!$B$58*0.4</f>
        <v>88356.992000000013</v>
      </c>
      <c r="AR1280" s="30">
        <f>Lookups!$B$59*Inventory[[#This Row],[LnAcres]]</f>
        <v>-28968.984495949029</v>
      </c>
      <c r="AS1280" s="30">
        <f>VLOOKUP(Inventory[[#This Row],[Qlty]],Lookups!$A$66:$E$79,2,FALSE)</f>
        <v>0</v>
      </c>
      <c r="AT1280" s="30">
        <f>VLOOKUP(Inventory[[#This Row],[Cnd]],Lookups!$A$80:$E$88,2,FALSE)</f>
        <v>30300.329274</v>
      </c>
      <c r="AU1280" s="30">
        <f>Inventory[[#This Row],[EffAge]]*Lookups!$B$65</f>
        <v>-5763.2782999999999</v>
      </c>
      <c r="AV1280" s="30">
        <f>Inventory[[#This Row],[MainFn]]*Lookups!$B$90</f>
        <v>40441.926240000001</v>
      </c>
      <c r="AW1280" s="30">
        <f>Inventory[[#This Row],[UpprFn]]*Lookups!$B$91</f>
        <v>0</v>
      </c>
      <c r="AX1280" s="30">
        <f>Inventory[[#This Row],[Bsmt Area]]*Lookups!$B$95</f>
        <v>0</v>
      </c>
      <c r="AY1280" s="30">
        <f>Inventory[[#This Row],[AttGar]]*Lookups!$B$93</f>
        <v>0</v>
      </c>
      <c r="AZ1280" s="30">
        <f>ROUND(Inventory[[#This Row],[25Det]],-2)</f>
        <v>6100</v>
      </c>
      <c r="BA1280" s="30">
        <f>ROUND(SUM(Inventory[[#This Row],[Mdl Qlty]:[Mdl Garage Area]])+Inventory[[#This Row],[Mdl Res Intercept]],-2)</f>
        <v>197500</v>
      </c>
      <c r="BB1280" s="30">
        <f>ROUND(Inventory[[#This Row],[Mdl Land Intercept]]+Inventory[[#This Row],[Mdl LnAcres]],-2)</f>
        <v>59400</v>
      </c>
      <c r="BC1280" s="30">
        <f>Inventory[[#This Row],[Unadj Res Value]]+Inventory[[#This Row],[Unadj Det Value]]+Inventory[[#This Row],[Unadj Land Value]]</f>
        <v>263000</v>
      </c>
      <c r="BD1280" s="30">
        <f>(Inventory[[#This Row],[Unadj Total Value]]-Inventory[[#This Row],[24Final]])/Inventory[[#This Row],[24Final]]</f>
        <v>0.20642201834862386</v>
      </c>
      <c r="BE1280" s="30">
        <f>VLOOKUP(Inventory[[#This Row],[Nbhd]],Lookups!$M$3:$P$5,4,FALSE)</f>
        <v>0.99970000000000003</v>
      </c>
      <c r="BF1280" s="30">
        <f>VLOOKUP(Inventory[[#This Row],[Qlty]],Lookups!$M$8:$P$22,4,FALSE)</f>
        <v>1.0003</v>
      </c>
      <c r="BG1280" s="30">
        <f>VLOOKUP(Inventory[[#This Row],[Cnd]],Lookups!$R$8:$U$17,4,FALSE)</f>
        <v>0.997</v>
      </c>
      <c r="BH1280" s="30">
        <f>VLOOKUP(Inventory[[#This Row],[LivArea Range]],Lookups!$R$25:$U$43,4,FALSE)</f>
        <v>1</v>
      </c>
      <c r="BI1280" s="30">
        <f>VLOOKUP(Inventory[[#This Row],[Decade]],Lookups!$M$24:$P$40,4,FALSE)</f>
        <v>1</v>
      </c>
      <c r="BJ1280" s="30">
        <f>Inventory[[#This Row],[Nbhd Adj]]*0.95</f>
        <v>0.94971499999999998</v>
      </c>
      <c r="BK1280" s="30">
        <f>AVERAGE(Inventory[[#This Row],[Nbhd Adj]],Inventory[[#This Row],[Quality Adj]],Inventory[[#This Row],[Condition Adj]],Inventory[[#This Row],[Living Area Adj]],Inventory[[#This Row],[Decade Adj]])*0.95</f>
        <v>0.94942999999999989</v>
      </c>
      <c r="BL1280" s="30">
        <f>ROUND((SUM(Inventory[[#This Row],[Mdl Qlty]:[Mdl Garage Area]])+Inventory[[#This Row],[Mdl Res Intercept]])*Inventory[[#This Row],[Res Adj ]],-2)</f>
        <v>187500</v>
      </c>
      <c r="BM1280" s="30">
        <f>ROUND(Inventory[[#This Row],[25Det]]*Inventory[[#This Row],[Det/Nbhd Adj]],-2)</f>
        <v>5800</v>
      </c>
      <c r="BN1280" s="30">
        <f>Inventory[[#This Row],[Adjusted Res]]+Inventory[[#This Row],[Adj Det ]]</f>
        <v>193300</v>
      </c>
      <c r="BO1280" s="30">
        <f>ROUND((Inventory[[#This Row],[Mdl Land Intercept]]+Inventory[[#This Row],[Mdl LnAcres]])*Inventory[[#This Row],[Det/Nbhd Adj]],-2)</f>
        <v>56400</v>
      </c>
      <c r="BP1280" s="30">
        <f>Inventory[[#This Row],[Adjusted Impr Total]]+Inventory[[#This Row],[Adjusted Land Total]]</f>
        <v>249700</v>
      </c>
      <c r="BQ1280" s="30">
        <f>IFERROR((Inventory[[#This Row],[Adjusted Impr Total]]-Inventory[[#This Row],[24Bldg]])/Inventory[[#This Row],[24Bldg]],0)</f>
        <v>0.19027093596059114</v>
      </c>
      <c r="BR1280" s="43">
        <f>(Inventory[[#This Row],[Adjusted Land Total]]-Inventory[[#This Row],[24Lnd]])/Inventory[[#This Row],[24Lnd]]</f>
        <v>1.4388489208633094E-2</v>
      </c>
      <c r="BS1280" s="43">
        <f>(Inventory[[#This Row],[Adjusted Total]]-Inventory[[#This Row],[24Final]])/Inventory[[#This Row],[24Final]]</f>
        <v>0.14541284403669724</v>
      </c>
    </row>
    <row r="1281" spans="1:71">
      <c r="A1281" s="30">
        <v>2025</v>
      </c>
      <c r="B1281" s="31" t="s">
        <v>1799</v>
      </c>
      <c r="C1281" s="36">
        <f>LN(Inventory[[#This Row],[Acres]])</f>
        <v>-2.120263536200091</v>
      </c>
      <c r="D1281" s="38">
        <v>0.12</v>
      </c>
      <c r="E1281" s="30">
        <v>5115</v>
      </c>
      <c r="F1281" s="31" t="s">
        <v>505</v>
      </c>
      <c r="G1281" s="31" t="s">
        <v>155</v>
      </c>
      <c r="H1281" s="31" t="s">
        <v>5</v>
      </c>
      <c r="I1281" s="31" t="s">
        <v>506</v>
      </c>
      <c r="J1281" s="31" t="s">
        <v>507</v>
      </c>
      <c r="K1281" s="31" t="s">
        <v>473</v>
      </c>
      <c r="L1281" s="31" t="s">
        <v>17</v>
      </c>
      <c r="M1281" s="31" t="s">
        <v>18</v>
      </c>
      <c r="N1281" s="31">
        <v>80</v>
      </c>
      <c r="O1281" s="31">
        <f>2024-Inventory[[#This Row],[YrBlt]]</f>
        <v>89</v>
      </c>
      <c r="P1281" s="31">
        <f>2024-Inventory[[#This Row],[EffYr]]</f>
        <v>53</v>
      </c>
      <c r="Q1281" s="30">
        <v>1935</v>
      </c>
      <c r="R1281" s="30">
        <v>1971</v>
      </c>
      <c r="S1281" s="30">
        <v>1158</v>
      </c>
      <c r="T1281" s="32"/>
      <c r="U1281" s="32"/>
      <c r="V1281" s="32"/>
      <c r="W1281" s="32"/>
      <c r="X1281" s="32">
        <f>Inventory[[#This Row],[Bsmt Area]]-Inventory[[#This Row],[FnBsmt]]</f>
        <v>0</v>
      </c>
      <c r="Y1281" s="32">
        <f>Inventory[[#This Row],[MainFn]]+Inventory[[#This Row],[UpprFn]]+Inventory[[#This Row],[AddFn]]+Inventory[[#This Row],[FnBsmt]]</f>
        <v>1158</v>
      </c>
      <c r="Z1281" s="32">
        <v>1500</v>
      </c>
      <c r="AA1281" s="31" t="s">
        <v>56</v>
      </c>
      <c r="AB1281" s="32"/>
      <c r="AC1281" s="37"/>
      <c r="AD1281" s="32"/>
      <c r="AE1281" s="32"/>
      <c r="AF1281" s="32"/>
      <c r="AG1281" s="32"/>
      <c r="AH1281" s="32"/>
      <c r="AI1281" s="30">
        <v>214130</v>
      </c>
      <c r="AJ1281" s="30">
        <v>143467</v>
      </c>
      <c r="AK1281" s="30">
        <v>0</v>
      </c>
      <c r="AL1281" s="30">
        <v>0</v>
      </c>
      <c r="AM1281" s="30">
        <v>56800</v>
      </c>
      <c r="AN1281" s="30">
        <v>194900</v>
      </c>
      <c r="AO1281" s="30">
        <v>251700</v>
      </c>
      <c r="AP1281" s="30">
        <f>Lookups!$B$58*0.6</f>
        <v>132535.48800000001</v>
      </c>
      <c r="AQ1281" s="30">
        <f>Lookups!$B$58*0.4</f>
        <v>88356.992000000013</v>
      </c>
      <c r="AR1281" s="30">
        <f>Lookups!$B$59*Inventory[[#This Row],[LnAcres]]</f>
        <v>-27827.019253685114</v>
      </c>
      <c r="AS1281" s="30">
        <f>VLOOKUP(Inventory[[#This Row],[Qlty]],Lookups!$A$66:$E$79,2,FALSE)</f>
        <v>24371.765965999999</v>
      </c>
      <c r="AT1281" s="30">
        <f>VLOOKUP(Inventory[[#This Row],[Cnd]],Lookups!$A$80:$E$88,2,FALSE)</f>
        <v>17761.121909000001</v>
      </c>
      <c r="AU1281" s="30">
        <f>Inventory[[#This Row],[EffAge]]*Lookups!$B$65</f>
        <v>-5763.2782999999999</v>
      </c>
      <c r="AV1281" s="30">
        <f>Inventory[[#This Row],[MainFn]]*Lookups!$B$90</f>
        <v>72271.22004</v>
      </c>
      <c r="AW1281" s="30">
        <f>Inventory[[#This Row],[UpprFn]]*Lookups!$B$91</f>
        <v>0</v>
      </c>
      <c r="AX1281" s="30">
        <f>Inventory[[#This Row],[Bsmt Area]]*Lookups!$B$95</f>
        <v>0</v>
      </c>
      <c r="AY1281" s="30">
        <f>Inventory[[#This Row],[AttGar]]*Lookups!$B$93</f>
        <v>0</v>
      </c>
      <c r="AZ1281" s="30">
        <f>ROUND(Inventory[[#This Row],[25Det]],-2)</f>
        <v>0</v>
      </c>
      <c r="BA1281" s="30">
        <f>ROUND(SUM(Inventory[[#This Row],[Mdl Qlty]:[Mdl Garage Area]])+Inventory[[#This Row],[Mdl Res Intercept]],-2)</f>
        <v>241200</v>
      </c>
      <c r="BB1281" s="30">
        <f>ROUND(Inventory[[#This Row],[Mdl Land Intercept]]+Inventory[[#This Row],[Mdl LnAcres]],-2)</f>
        <v>60500</v>
      </c>
      <c r="BC1281" s="30">
        <f>Inventory[[#This Row],[Unadj Res Value]]+Inventory[[#This Row],[Unadj Det Value]]+Inventory[[#This Row],[Unadj Land Value]]</f>
        <v>301700</v>
      </c>
      <c r="BD1281" s="30">
        <f>(Inventory[[#This Row],[Unadj Total Value]]-Inventory[[#This Row],[24Final]])/Inventory[[#This Row],[24Final]]</f>
        <v>0.1986491855383393</v>
      </c>
      <c r="BE1281" s="30">
        <f>VLOOKUP(Inventory[[#This Row],[Nbhd]],Lookups!$M$3:$P$5,4,FALSE)</f>
        <v>0.99970000000000003</v>
      </c>
      <c r="BF1281" s="30">
        <f>VLOOKUP(Inventory[[#This Row],[Qlty]],Lookups!$M$8:$P$22,4,FALSE)</f>
        <v>0.99199999999999999</v>
      </c>
      <c r="BG1281" s="30">
        <f>VLOOKUP(Inventory[[#This Row],[Cnd]],Lookups!$R$8:$U$17,4,FALSE)</f>
        <v>0.99680000000000002</v>
      </c>
      <c r="BH1281" s="30">
        <f>VLOOKUP(Inventory[[#This Row],[LivArea Range]],Lookups!$R$25:$U$43,4,FALSE)</f>
        <v>0.99519999999999997</v>
      </c>
      <c r="BI1281" s="30">
        <f>VLOOKUP(Inventory[[#This Row],[Decade]],Lookups!$M$24:$P$40,4,FALSE)</f>
        <v>1</v>
      </c>
      <c r="BJ1281" s="30">
        <f>Inventory[[#This Row],[Nbhd Adj]]*0.95</f>
        <v>0.94971499999999998</v>
      </c>
      <c r="BK1281" s="30">
        <f>AVERAGE(Inventory[[#This Row],[Nbhd Adj]],Inventory[[#This Row],[Quality Adj]],Inventory[[#This Row],[Condition Adj]],Inventory[[#This Row],[Living Area Adj]],Inventory[[#This Row],[Decade Adj]])*0.95</f>
        <v>0.94690300000000016</v>
      </c>
      <c r="BL1281" s="30">
        <f>ROUND((SUM(Inventory[[#This Row],[Mdl Qlty]:[Mdl Garage Area]])+Inventory[[#This Row],[Mdl Res Intercept]])*Inventory[[#This Row],[Res Adj ]],-2)</f>
        <v>228400</v>
      </c>
      <c r="BM1281" s="30">
        <f>ROUND(Inventory[[#This Row],[25Det]]*Inventory[[#This Row],[Det/Nbhd Adj]],-2)</f>
        <v>0</v>
      </c>
      <c r="BN1281" s="30">
        <f>Inventory[[#This Row],[Adjusted Res]]+Inventory[[#This Row],[Adj Det ]]</f>
        <v>228400</v>
      </c>
      <c r="BO1281" s="30">
        <f>ROUND((Inventory[[#This Row],[Mdl Land Intercept]]+Inventory[[#This Row],[Mdl LnAcres]])*Inventory[[#This Row],[Det/Nbhd Adj]],-2)</f>
        <v>57500</v>
      </c>
      <c r="BP1281" s="30">
        <f>Inventory[[#This Row],[Adjusted Impr Total]]+Inventory[[#This Row],[Adjusted Land Total]]</f>
        <v>285900</v>
      </c>
      <c r="BQ1281" s="30">
        <f>IFERROR((Inventory[[#This Row],[Adjusted Impr Total]]-Inventory[[#This Row],[24Bldg]])/Inventory[[#This Row],[24Bldg]],0)</f>
        <v>0.17188301693175986</v>
      </c>
      <c r="BR1281" s="43">
        <f>(Inventory[[#This Row],[Adjusted Land Total]]-Inventory[[#This Row],[24Lnd]])/Inventory[[#This Row],[24Lnd]]</f>
        <v>1.232394366197183E-2</v>
      </c>
      <c r="BS1281" s="43">
        <f>(Inventory[[#This Row],[Adjusted Total]]-Inventory[[#This Row],[24Final]])/Inventory[[#This Row],[24Final]]</f>
        <v>0.13587604290822408</v>
      </c>
    </row>
    <row r="1282" spans="1:71">
      <c r="A1282" s="30">
        <v>2025</v>
      </c>
      <c r="B1282" s="31" t="s">
        <v>1800</v>
      </c>
      <c r="C1282" s="36">
        <f>LN(Inventory[[#This Row],[Acres]])</f>
        <v>-2.0402208285265546</v>
      </c>
      <c r="D1282" s="38">
        <v>0.13</v>
      </c>
      <c r="E1282" s="30">
        <v>5490</v>
      </c>
      <c r="F1282" s="31" t="s">
        <v>505</v>
      </c>
      <c r="G1282" s="31" t="s">
        <v>155</v>
      </c>
      <c r="H1282" s="31" t="s">
        <v>5</v>
      </c>
      <c r="I1282" s="31" t="s">
        <v>506</v>
      </c>
      <c r="J1282" s="31" t="s">
        <v>507</v>
      </c>
      <c r="K1282" s="31" t="s">
        <v>157</v>
      </c>
      <c r="L1282" s="31" t="s">
        <v>17</v>
      </c>
      <c r="M1282" s="31" t="s">
        <v>20</v>
      </c>
      <c r="N1282" s="31">
        <v>80</v>
      </c>
      <c r="O1282" s="31">
        <f>2024-Inventory[[#This Row],[YrBlt]]</f>
        <v>89</v>
      </c>
      <c r="P1282" s="31">
        <f>2024-Inventory[[#This Row],[EffYr]]</f>
        <v>53</v>
      </c>
      <c r="Q1282" s="30">
        <v>1935</v>
      </c>
      <c r="R1282" s="30">
        <v>1971</v>
      </c>
      <c r="S1282" s="30">
        <v>784</v>
      </c>
      <c r="T1282" s="38">
        <v>784</v>
      </c>
      <c r="U1282" s="32"/>
      <c r="V1282" s="32"/>
      <c r="W1282" s="32"/>
      <c r="X1282" s="32">
        <f>Inventory[[#This Row],[Bsmt Area]]-Inventory[[#This Row],[FnBsmt]]</f>
        <v>0</v>
      </c>
      <c r="Y1282" s="32">
        <f>Inventory[[#This Row],[MainFn]]+Inventory[[#This Row],[UpprFn]]+Inventory[[#This Row],[AddFn]]+Inventory[[#This Row],[FnBsmt]]</f>
        <v>1568</v>
      </c>
      <c r="Z1282" s="32">
        <v>2000</v>
      </c>
      <c r="AA1282" s="31" t="s">
        <v>56</v>
      </c>
      <c r="AB1282" s="32"/>
      <c r="AC1282" s="37"/>
      <c r="AD1282" s="32"/>
      <c r="AE1282" s="32"/>
      <c r="AF1282" s="32"/>
      <c r="AG1282" s="32"/>
      <c r="AH1282" s="32"/>
      <c r="AI1282" s="30">
        <v>235772</v>
      </c>
      <c r="AJ1282" s="30">
        <v>162683</v>
      </c>
      <c r="AK1282" s="30">
        <v>3764</v>
      </c>
      <c r="AL1282" s="30">
        <v>0</v>
      </c>
      <c r="AM1282" s="30">
        <v>57900</v>
      </c>
      <c r="AN1282" s="30">
        <v>247900</v>
      </c>
      <c r="AO1282" s="30">
        <v>305800</v>
      </c>
      <c r="AP1282" s="30">
        <f>Lookups!$B$58*0.6</f>
        <v>132535.48800000001</v>
      </c>
      <c r="AQ1282" s="30">
        <f>Lookups!$B$58*0.4</f>
        <v>88356.992000000013</v>
      </c>
      <c r="AR1282" s="30">
        <f>Lookups!$B$59*Inventory[[#This Row],[LnAcres]]</f>
        <v>-26776.513064468461</v>
      </c>
      <c r="AS1282" s="30">
        <f>VLOOKUP(Inventory[[#This Row],[Qlty]],Lookups!$A$66:$E$79,2,FALSE)</f>
        <v>24371.765965999999</v>
      </c>
      <c r="AT1282" s="30">
        <f>VLOOKUP(Inventory[[#This Row],[Cnd]],Lookups!$A$80:$E$88,2,FALSE)</f>
        <v>30300.329274</v>
      </c>
      <c r="AU1282" s="30">
        <f>Inventory[[#This Row],[EffAge]]*Lookups!$B$65</f>
        <v>-5763.2782999999999</v>
      </c>
      <c r="AV1282" s="30">
        <f>Inventory[[#This Row],[MainFn]]*Lookups!$B$90</f>
        <v>48929.73792</v>
      </c>
      <c r="AW1282" s="30">
        <f>Inventory[[#This Row],[UpprFn]]*Lookups!$B$91</f>
        <v>46711.020272000002</v>
      </c>
      <c r="AX1282" s="30">
        <f>Inventory[[#This Row],[Bsmt Area]]*Lookups!$B$95</f>
        <v>0</v>
      </c>
      <c r="AY1282" s="30">
        <f>Inventory[[#This Row],[AttGar]]*Lookups!$B$93</f>
        <v>0</v>
      </c>
      <c r="AZ1282" s="30">
        <f>ROUND(Inventory[[#This Row],[25Det]],-2)</f>
        <v>3800</v>
      </c>
      <c r="BA1282" s="30">
        <f>ROUND(SUM(Inventory[[#This Row],[Mdl Qlty]:[Mdl Garage Area]])+Inventory[[#This Row],[Mdl Res Intercept]],-2)</f>
        <v>277100</v>
      </c>
      <c r="BB1282" s="30">
        <f>ROUND(Inventory[[#This Row],[Mdl Land Intercept]]+Inventory[[#This Row],[Mdl LnAcres]],-2)</f>
        <v>61600</v>
      </c>
      <c r="BC1282" s="30">
        <f>Inventory[[#This Row],[Unadj Res Value]]+Inventory[[#This Row],[Unadj Det Value]]+Inventory[[#This Row],[Unadj Land Value]]</f>
        <v>342500</v>
      </c>
      <c r="BD1282" s="30">
        <f>(Inventory[[#This Row],[Unadj Total Value]]-Inventory[[#This Row],[24Final]])/Inventory[[#This Row],[24Final]]</f>
        <v>0.12001308044473512</v>
      </c>
      <c r="BE1282" s="30">
        <f>VLOOKUP(Inventory[[#This Row],[Nbhd]],Lookups!$M$3:$P$5,4,FALSE)</f>
        <v>0.99970000000000003</v>
      </c>
      <c r="BF1282" s="30">
        <f>VLOOKUP(Inventory[[#This Row],[Qlty]],Lookups!$M$8:$P$22,4,FALSE)</f>
        <v>0.99199999999999999</v>
      </c>
      <c r="BG1282" s="30">
        <f>VLOOKUP(Inventory[[#This Row],[Cnd]],Lookups!$R$8:$U$17,4,FALSE)</f>
        <v>0.997</v>
      </c>
      <c r="BH1282" s="30">
        <f>VLOOKUP(Inventory[[#This Row],[LivArea Range]],Lookups!$R$25:$U$43,4,FALSE)</f>
        <v>1.0007999999999999</v>
      </c>
      <c r="BI1282" s="30">
        <f>VLOOKUP(Inventory[[#This Row],[Decade]],Lookups!$M$24:$P$40,4,FALSE)</f>
        <v>1</v>
      </c>
      <c r="BJ1282" s="30">
        <f>Inventory[[#This Row],[Nbhd Adj]]*0.95</f>
        <v>0.94971499999999998</v>
      </c>
      <c r="BK1282" s="30">
        <f>AVERAGE(Inventory[[#This Row],[Nbhd Adj]],Inventory[[#This Row],[Quality Adj]],Inventory[[#This Row],[Condition Adj]],Inventory[[#This Row],[Living Area Adj]],Inventory[[#This Row],[Decade Adj]])*0.95</f>
        <v>0.94800499999999988</v>
      </c>
      <c r="BL1282" s="30">
        <f>ROUND((SUM(Inventory[[#This Row],[Mdl Qlty]:[Mdl Garage Area]])+Inventory[[#This Row],[Mdl Res Intercept]])*Inventory[[#This Row],[Res Adj ]],-2)</f>
        <v>262700</v>
      </c>
      <c r="BM1282" s="30">
        <f>ROUND(Inventory[[#This Row],[25Det]]*Inventory[[#This Row],[Det/Nbhd Adj]],-2)</f>
        <v>3600</v>
      </c>
      <c r="BN1282" s="30">
        <f>Inventory[[#This Row],[Adjusted Res]]+Inventory[[#This Row],[Adj Det ]]</f>
        <v>266300</v>
      </c>
      <c r="BO1282" s="30">
        <f>ROUND((Inventory[[#This Row],[Mdl Land Intercept]]+Inventory[[#This Row],[Mdl LnAcres]])*Inventory[[#This Row],[Det/Nbhd Adj]],-2)</f>
        <v>58500</v>
      </c>
      <c r="BP1282" s="30">
        <f>Inventory[[#This Row],[Adjusted Impr Total]]+Inventory[[#This Row],[Adjusted Land Total]]</f>
        <v>324800</v>
      </c>
      <c r="BQ1282" s="30">
        <f>IFERROR((Inventory[[#This Row],[Adjusted Impr Total]]-Inventory[[#This Row],[24Bldg]])/Inventory[[#This Row],[24Bldg]],0)</f>
        <v>7.4223477208551839E-2</v>
      </c>
      <c r="BR1282" s="43">
        <f>(Inventory[[#This Row],[Adjusted Land Total]]-Inventory[[#This Row],[24Lnd]])/Inventory[[#This Row],[24Lnd]]</f>
        <v>1.0362694300518135E-2</v>
      </c>
      <c r="BS1282" s="43">
        <f>(Inventory[[#This Row],[Adjusted Total]]-Inventory[[#This Row],[24Final]])/Inventory[[#This Row],[24Final]]</f>
        <v>6.2132112491824723E-2</v>
      </c>
    </row>
    <row r="1283" spans="1:71">
      <c r="A1283" s="30">
        <v>2025</v>
      </c>
      <c r="B1283" s="31" t="s">
        <v>1801</v>
      </c>
      <c r="C1283" s="36">
        <f>LN(Inventory[[#This Row],[Acres]])</f>
        <v>-2.0402208285265546</v>
      </c>
      <c r="D1283" s="38">
        <v>0.13</v>
      </c>
      <c r="E1283" s="30">
        <v>5805</v>
      </c>
      <c r="F1283" s="31" t="s">
        <v>505</v>
      </c>
      <c r="G1283" s="31" t="s">
        <v>155</v>
      </c>
      <c r="H1283" s="31" t="s">
        <v>5</v>
      </c>
      <c r="I1283" s="31" t="s">
        <v>506</v>
      </c>
      <c r="J1283" s="31" t="s">
        <v>507</v>
      </c>
      <c r="K1283" s="31" t="s">
        <v>473</v>
      </c>
      <c r="L1283" s="31" t="s">
        <v>15</v>
      </c>
      <c r="M1283" s="31" t="s">
        <v>18</v>
      </c>
      <c r="N1283" s="31">
        <v>80</v>
      </c>
      <c r="O1283" s="31">
        <f>2024-Inventory[[#This Row],[YrBlt]]</f>
        <v>89</v>
      </c>
      <c r="P1283" s="31">
        <f>2024-Inventory[[#This Row],[EffYr]]</f>
        <v>53</v>
      </c>
      <c r="Q1283" s="30">
        <v>1935</v>
      </c>
      <c r="R1283" s="30">
        <v>1971</v>
      </c>
      <c r="S1283" s="30">
        <v>1380</v>
      </c>
      <c r="T1283" s="32"/>
      <c r="U1283" s="32"/>
      <c r="V1283" s="32"/>
      <c r="W1283" s="32"/>
      <c r="X1283" s="32">
        <f>Inventory[[#This Row],[Bsmt Area]]-Inventory[[#This Row],[FnBsmt]]</f>
        <v>0</v>
      </c>
      <c r="Y1283" s="32">
        <f>Inventory[[#This Row],[MainFn]]+Inventory[[#This Row],[UpprFn]]+Inventory[[#This Row],[AddFn]]+Inventory[[#This Row],[FnBsmt]]</f>
        <v>1380</v>
      </c>
      <c r="Z1283" s="32">
        <v>1500</v>
      </c>
      <c r="AA1283" s="31" t="s">
        <v>56</v>
      </c>
      <c r="AB1283" s="32"/>
      <c r="AC1283" s="37"/>
      <c r="AD1283" s="32"/>
      <c r="AE1283" s="32"/>
      <c r="AF1283" s="32"/>
      <c r="AG1283" s="32"/>
      <c r="AH1283" s="32"/>
      <c r="AI1283" s="30">
        <v>193554</v>
      </c>
      <c r="AJ1283" s="30">
        <v>129681</v>
      </c>
      <c r="AK1283" s="30">
        <v>4087</v>
      </c>
      <c r="AL1283" s="30">
        <v>0</v>
      </c>
      <c r="AM1283" s="30">
        <v>57900</v>
      </c>
      <c r="AN1283" s="30">
        <v>201000</v>
      </c>
      <c r="AO1283" s="30">
        <v>258900</v>
      </c>
      <c r="AP1283" s="30">
        <f>Lookups!$B$58*0.6</f>
        <v>132535.48800000001</v>
      </c>
      <c r="AQ1283" s="30">
        <f>Lookups!$B$58*0.4</f>
        <v>88356.992000000013</v>
      </c>
      <c r="AR1283" s="30">
        <f>Lookups!$B$59*Inventory[[#This Row],[LnAcres]]</f>
        <v>-26776.513064468461</v>
      </c>
      <c r="AS1283" s="30">
        <f>VLOOKUP(Inventory[[#This Row],[Qlty]],Lookups!$A$66:$E$79,2,FALSE)</f>
        <v>-1240.8083630000001</v>
      </c>
      <c r="AT1283" s="30">
        <f>VLOOKUP(Inventory[[#This Row],[Cnd]],Lookups!$A$80:$E$88,2,FALSE)</f>
        <v>17761.121909000001</v>
      </c>
      <c r="AU1283" s="30">
        <f>Inventory[[#This Row],[EffAge]]*Lookups!$B$65</f>
        <v>-5763.2782999999999</v>
      </c>
      <c r="AV1283" s="30">
        <f>Inventory[[#This Row],[MainFn]]*Lookups!$B$90</f>
        <v>86126.324399999998</v>
      </c>
      <c r="AW1283" s="30">
        <f>Inventory[[#This Row],[UpprFn]]*Lookups!$B$91</f>
        <v>0</v>
      </c>
      <c r="AX1283" s="30">
        <f>Inventory[[#This Row],[Bsmt Area]]*Lookups!$B$95</f>
        <v>0</v>
      </c>
      <c r="AY1283" s="30">
        <f>Inventory[[#This Row],[AttGar]]*Lookups!$B$93</f>
        <v>0</v>
      </c>
      <c r="AZ1283" s="30">
        <f>ROUND(Inventory[[#This Row],[25Det]],-2)</f>
        <v>4100</v>
      </c>
      <c r="BA1283" s="30">
        <f>ROUND(SUM(Inventory[[#This Row],[Mdl Qlty]:[Mdl Garage Area]])+Inventory[[#This Row],[Mdl Res Intercept]],-2)</f>
        <v>229400</v>
      </c>
      <c r="BB1283" s="30">
        <f>ROUND(Inventory[[#This Row],[Mdl Land Intercept]]+Inventory[[#This Row],[Mdl LnAcres]],-2)</f>
        <v>61600</v>
      </c>
      <c r="BC1283" s="30">
        <f>Inventory[[#This Row],[Unadj Res Value]]+Inventory[[#This Row],[Unadj Det Value]]+Inventory[[#This Row],[Unadj Land Value]]</f>
        <v>295100</v>
      </c>
      <c r="BD1283" s="30">
        <f>(Inventory[[#This Row],[Unadj Total Value]]-Inventory[[#This Row],[24Final]])/Inventory[[#This Row],[24Final]]</f>
        <v>0.13982232522209348</v>
      </c>
      <c r="BE1283" s="30">
        <f>VLOOKUP(Inventory[[#This Row],[Nbhd]],Lookups!$M$3:$P$5,4,FALSE)</f>
        <v>0.99970000000000003</v>
      </c>
      <c r="BF1283" s="30">
        <f>VLOOKUP(Inventory[[#This Row],[Qlty]],Lookups!$M$8:$P$22,4,FALSE)</f>
        <v>1.0022</v>
      </c>
      <c r="BG1283" s="30">
        <f>VLOOKUP(Inventory[[#This Row],[Cnd]],Lookups!$R$8:$U$17,4,FALSE)</f>
        <v>0.99680000000000002</v>
      </c>
      <c r="BH1283" s="30">
        <f>VLOOKUP(Inventory[[#This Row],[LivArea Range]],Lookups!$R$25:$U$43,4,FALSE)</f>
        <v>0.99519999999999997</v>
      </c>
      <c r="BI1283" s="30">
        <f>VLOOKUP(Inventory[[#This Row],[Decade]],Lookups!$M$24:$P$40,4,FALSE)</f>
        <v>1</v>
      </c>
      <c r="BJ1283" s="30">
        <f>Inventory[[#This Row],[Nbhd Adj]]*0.95</f>
        <v>0.94971499999999998</v>
      </c>
      <c r="BK1283" s="30">
        <f>AVERAGE(Inventory[[#This Row],[Nbhd Adj]],Inventory[[#This Row],[Quality Adj]],Inventory[[#This Row],[Condition Adj]],Inventory[[#This Row],[Living Area Adj]],Inventory[[#This Row],[Decade Adj]])*0.95</f>
        <v>0.94884099999999993</v>
      </c>
      <c r="BL1283" s="30">
        <f>ROUND((SUM(Inventory[[#This Row],[Mdl Qlty]:[Mdl Garage Area]])+Inventory[[#This Row],[Mdl Res Intercept]])*Inventory[[#This Row],[Res Adj ]],-2)</f>
        <v>217700</v>
      </c>
      <c r="BM1283" s="30">
        <f>ROUND(Inventory[[#This Row],[25Det]]*Inventory[[#This Row],[Det/Nbhd Adj]],-2)</f>
        <v>3900</v>
      </c>
      <c r="BN1283" s="30">
        <f>Inventory[[#This Row],[Adjusted Res]]+Inventory[[#This Row],[Adj Det ]]</f>
        <v>221600</v>
      </c>
      <c r="BO1283" s="30">
        <f>ROUND((Inventory[[#This Row],[Mdl Land Intercept]]+Inventory[[#This Row],[Mdl LnAcres]])*Inventory[[#This Row],[Det/Nbhd Adj]],-2)</f>
        <v>58500</v>
      </c>
      <c r="BP1283" s="30">
        <f>Inventory[[#This Row],[Adjusted Impr Total]]+Inventory[[#This Row],[Adjusted Land Total]]</f>
        <v>280100</v>
      </c>
      <c r="BQ1283" s="30">
        <f>IFERROR((Inventory[[#This Row],[Adjusted Impr Total]]-Inventory[[#This Row],[24Bldg]])/Inventory[[#This Row],[24Bldg]],0)</f>
        <v>0.10248756218905472</v>
      </c>
      <c r="BR1283" s="43">
        <f>(Inventory[[#This Row],[Adjusted Land Total]]-Inventory[[#This Row],[24Lnd]])/Inventory[[#This Row],[24Lnd]]</f>
        <v>1.0362694300518135E-2</v>
      </c>
      <c r="BS1283" s="43">
        <f>(Inventory[[#This Row],[Adjusted Total]]-Inventory[[#This Row],[24Final]])/Inventory[[#This Row],[24Final]]</f>
        <v>8.1884897643877949E-2</v>
      </c>
    </row>
    <row r="1284" spans="1:71">
      <c r="A1284" s="30">
        <v>2025</v>
      </c>
      <c r="B1284" s="31" t="s">
        <v>1802</v>
      </c>
      <c r="C1284" s="36">
        <f>LN(Inventory[[#This Row],[Acres]])</f>
        <v>-2.0402208285265546</v>
      </c>
      <c r="D1284" s="38">
        <v>0.13</v>
      </c>
      <c r="E1284" s="30">
        <v>5833</v>
      </c>
      <c r="F1284" s="31" t="s">
        <v>505</v>
      </c>
      <c r="G1284" s="31" t="s">
        <v>155</v>
      </c>
      <c r="H1284" s="31" t="s">
        <v>5</v>
      </c>
      <c r="I1284" s="31" t="s">
        <v>506</v>
      </c>
      <c r="J1284" s="31" t="s">
        <v>507</v>
      </c>
      <c r="K1284" s="31" t="s">
        <v>475</v>
      </c>
      <c r="L1284" s="31" t="s">
        <v>15</v>
      </c>
      <c r="M1284" s="31" t="s">
        <v>18</v>
      </c>
      <c r="N1284" s="31">
        <v>80</v>
      </c>
      <c r="O1284" s="31">
        <f>2024-Inventory[[#This Row],[YrBlt]]</f>
        <v>89</v>
      </c>
      <c r="P1284" s="31">
        <f>2024-Inventory[[#This Row],[EffYr]]</f>
        <v>53</v>
      </c>
      <c r="Q1284" s="30">
        <v>1935</v>
      </c>
      <c r="R1284" s="30">
        <v>1971</v>
      </c>
      <c r="S1284" s="30">
        <v>811</v>
      </c>
      <c r="T1284" s="32"/>
      <c r="U1284" s="32"/>
      <c r="V1284" s="32"/>
      <c r="W1284" s="32"/>
      <c r="X1284" s="32">
        <f>Inventory[[#This Row],[Bsmt Area]]-Inventory[[#This Row],[FnBsmt]]</f>
        <v>0</v>
      </c>
      <c r="Y1284" s="32">
        <f>Inventory[[#This Row],[MainFn]]+Inventory[[#This Row],[UpprFn]]+Inventory[[#This Row],[AddFn]]+Inventory[[#This Row],[FnBsmt]]</f>
        <v>811</v>
      </c>
      <c r="Z1284" s="32">
        <v>1000</v>
      </c>
      <c r="AA1284" s="31" t="s">
        <v>56</v>
      </c>
      <c r="AB1284" s="32"/>
      <c r="AC1284" s="37"/>
      <c r="AD1284" s="32"/>
      <c r="AE1284" s="32"/>
      <c r="AF1284" s="32"/>
      <c r="AG1284" s="32"/>
      <c r="AH1284" s="32"/>
      <c r="AI1284" s="30">
        <v>125371</v>
      </c>
      <c r="AJ1284" s="30">
        <v>83999</v>
      </c>
      <c r="AK1284" s="30">
        <v>8032</v>
      </c>
      <c r="AL1284" s="30">
        <v>0</v>
      </c>
      <c r="AM1284" s="30">
        <v>57900</v>
      </c>
      <c r="AN1284" s="30">
        <v>172800</v>
      </c>
      <c r="AO1284" s="30">
        <v>230700</v>
      </c>
      <c r="AP1284" s="30">
        <f>Lookups!$B$58*0.6</f>
        <v>132535.48800000001</v>
      </c>
      <c r="AQ1284" s="30">
        <f>Lookups!$B$58*0.4</f>
        <v>88356.992000000013</v>
      </c>
      <c r="AR1284" s="30">
        <f>Lookups!$B$59*Inventory[[#This Row],[LnAcres]]</f>
        <v>-26776.513064468461</v>
      </c>
      <c r="AS1284" s="30">
        <f>VLOOKUP(Inventory[[#This Row],[Qlty]],Lookups!$A$66:$E$79,2,FALSE)</f>
        <v>-1240.8083630000001</v>
      </c>
      <c r="AT1284" s="30">
        <f>VLOOKUP(Inventory[[#This Row],[Cnd]],Lookups!$A$80:$E$88,2,FALSE)</f>
        <v>17761.121909000001</v>
      </c>
      <c r="AU1284" s="30">
        <f>Inventory[[#This Row],[EffAge]]*Lookups!$B$65</f>
        <v>-5763.2782999999999</v>
      </c>
      <c r="AV1284" s="30">
        <f>Inventory[[#This Row],[MainFn]]*Lookups!$B$90</f>
        <v>50614.818180000002</v>
      </c>
      <c r="AW1284" s="30">
        <f>Inventory[[#This Row],[UpprFn]]*Lookups!$B$91</f>
        <v>0</v>
      </c>
      <c r="AX1284" s="30">
        <f>Inventory[[#This Row],[Bsmt Area]]*Lookups!$B$95</f>
        <v>0</v>
      </c>
      <c r="AY1284" s="30">
        <f>Inventory[[#This Row],[AttGar]]*Lookups!$B$93</f>
        <v>0</v>
      </c>
      <c r="AZ1284" s="30">
        <f>ROUND(Inventory[[#This Row],[25Det]],-2)</f>
        <v>8000</v>
      </c>
      <c r="BA1284" s="30">
        <f>ROUND(SUM(Inventory[[#This Row],[Mdl Qlty]:[Mdl Garage Area]])+Inventory[[#This Row],[Mdl Res Intercept]],-2)</f>
        <v>193900</v>
      </c>
      <c r="BB1284" s="30">
        <f>ROUND(Inventory[[#This Row],[Mdl Land Intercept]]+Inventory[[#This Row],[Mdl LnAcres]],-2)</f>
        <v>61600</v>
      </c>
      <c r="BC1284" s="30">
        <f>Inventory[[#This Row],[Unadj Res Value]]+Inventory[[#This Row],[Unadj Det Value]]+Inventory[[#This Row],[Unadj Land Value]]</f>
        <v>263500</v>
      </c>
      <c r="BD1284" s="30">
        <f>(Inventory[[#This Row],[Unadj Total Value]]-Inventory[[#This Row],[24Final]])/Inventory[[#This Row],[24Final]]</f>
        <v>0.14217598612917209</v>
      </c>
      <c r="BE1284" s="30">
        <f>VLOOKUP(Inventory[[#This Row],[Nbhd]],Lookups!$M$3:$P$5,4,FALSE)</f>
        <v>0.99970000000000003</v>
      </c>
      <c r="BF1284" s="30">
        <f>VLOOKUP(Inventory[[#This Row],[Qlty]],Lookups!$M$8:$P$22,4,FALSE)</f>
        <v>1.0022</v>
      </c>
      <c r="BG1284" s="30">
        <f>VLOOKUP(Inventory[[#This Row],[Cnd]],Lookups!$R$8:$U$17,4,FALSE)</f>
        <v>0.99680000000000002</v>
      </c>
      <c r="BH1284" s="30">
        <f>VLOOKUP(Inventory[[#This Row],[LivArea Range]],Lookups!$R$25:$U$43,4,FALSE)</f>
        <v>1</v>
      </c>
      <c r="BI1284" s="30">
        <f>VLOOKUP(Inventory[[#This Row],[Decade]],Lookups!$M$24:$P$40,4,FALSE)</f>
        <v>1</v>
      </c>
      <c r="BJ1284" s="30">
        <f>Inventory[[#This Row],[Nbhd Adj]]*0.95</f>
        <v>0.94971499999999998</v>
      </c>
      <c r="BK1284" s="30">
        <f>AVERAGE(Inventory[[#This Row],[Nbhd Adj]],Inventory[[#This Row],[Quality Adj]],Inventory[[#This Row],[Condition Adj]],Inventory[[#This Row],[Living Area Adj]],Inventory[[#This Row],[Decade Adj]])*0.95</f>
        <v>0.94975299999999985</v>
      </c>
      <c r="BL1284" s="30">
        <f>ROUND((SUM(Inventory[[#This Row],[Mdl Qlty]:[Mdl Garage Area]])+Inventory[[#This Row],[Mdl Res Intercept]])*Inventory[[#This Row],[Res Adj ]],-2)</f>
        <v>184200</v>
      </c>
      <c r="BM1284" s="30">
        <f>ROUND(Inventory[[#This Row],[25Det]]*Inventory[[#This Row],[Det/Nbhd Adj]],-2)</f>
        <v>7600</v>
      </c>
      <c r="BN1284" s="30">
        <f>Inventory[[#This Row],[Adjusted Res]]+Inventory[[#This Row],[Adj Det ]]</f>
        <v>191800</v>
      </c>
      <c r="BO1284" s="30">
        <f>ROUND((Inventory[[#This Row],[Mdl Land Intercept]]+Inventory[[#This Row],[Mdl LnAcres]])*Inventory[[#This Row],[Det/Nbhd Adj]],-2)</f>
        <v>58500</v>
      </c>
      <c r="BP1284" s="30">
        <f>Inventory[[#This Row],[Adjusted Impr Total]]+Inventory[[#This Row],[Adjusted Land Total]]</f>
        <v>250300</v>
      </c>
      <c r="BQ1284" s="30">
        <f>IFERROR((Inventory[[#This Row],[Adjusted Impr Total]]-Inventory[[#This Row],[24Bldg]])/Inventory[[#This Row],[24Bldg]],0)</f>
        <v>0.10995370370370371</v>
      </c>
      <c r="BR1284" s="43">
        <f>(Inventory[[#This Row],[Adjusted Land Total]]-Inventory[[#This Row],[24Lnd]])/Inventory[[#This Row],[24Lnd]]</f>
        <v>1.0362694300518135E-2</v>
      </c>
      <c r="BS1284" s="43">
        <f>(Inventory[[#This Row],[Adjusted Total]]-Inventory[[#This Row],[24Final]])/Inventory[[#This Row],[24Final]]</f>
        <v>8.4958820979627217E-2</v>
      </c>
    </row>
    <row r="1285" spans="1:71">
      <c r="A1285" s="30">
        <v>2025</v>
      </c>
      <c r="B1285" s="31" t="s">
        <v>1803</v>
      </c>
      <c r="C1285" s="36">
        <f>LN(Inventory[[#This Row],[Acres]])</f>
        <v>-1.9661128563728327</v>
      </c>
      <c r="D1285" s="38">
        <v>0.14000000000000001</v>
      </c>
      <c r="E1285" s="30">
        <v>6250</v>
      </c>
      <c r="F1285" s="31" t="s">
        <v>505</v>
      </c>
      <c r="G1285" s="31" t="s">
        <v>155</v>
      </c>
      <c r="H1285" s="31" t="s">
        <v>5</v>
      </c>
      <c r="I1285" s="31" t="s">
        <v>506</v>
      </c>
      <c r="J1285" s="31" t="s">
        <v>507</v>
      </c>
      <c r="K1285" s="31" t="s">
        <v>473</v>
      </c>
      <c r="L1285" s="31" t="s">
        <v>17</v>
      </c>
      <c r="M1285" s="31" t="s">
        <v>18</v>
      </c>
      <c r="N1285" s="31">
        <v>80</v>
      </c>
      <c r="O1285" s="31">
        <f>2024-Inventory[[#This Row],[YrBlt]]</f>
        <v>89</v>
      </c>
      <c r="P1285" s="31">
        <f>2024-Inventory[[#This Row],[EffYr]]</f>
        <v>53</v>
      </c>
      <c r="Q1285" s="30">
        <v>1935</v>
      </c>
      <c r="R1285" s="30">
        <v>1971</v>
      </c>
      <c r="S1285" s="30">
        <v>1350</v>
      </c>
      <c r="T1285" s="32"/>
      <c r="U1285" s="38">
        <v>504</v>
      </c>
      <c r="V1285" s="32"/>
      <c r="W1285" s="32"/>
      <c r="X1285" s="32">
        <f>Inventory[[#This Row],[Bsmt Area]]-Inventory[[#This Row],[FnBsmt]]</f>
        <v>504</v>
      </c>
      <c r="Y1285" s="32">
        <f>Inventory[[#This Row],[MainFn]]+Inventory[[#This Row],[UpprFn]]+Inventory[[#This Row],[AddFn]]+Inventory[[#This Row],[FnBsmt]]</f>
        <v>1350</v>
      </c>
      <c r="Z1285" s="32">
        <v>1500</v>
      </c>
      <c r="AA1285" s="31" t="s">
        <v>56</v>
      </c>
      <c r="AB1285" s="32"/>
      <c r="AC1285" s="37"/>
      <c r="AD1285" s="32"/>
      <c r="AE1285" s="32"/>
      <c r="AF1285" s="32"/>
      <c r="AG1285" s="32"/>
      <c r="AH1285" s="32"/>
      <c r="AI1285" s="30">
        <v>278271</v>
      </c>
      <c r="AJ1285" s="30">
        <v>186442</v>
      </c>
      <c r="AK1285" s="30">
        <v>11730</v>
      </c>
      <c r="AL1285" s="30">
        <v>0</v>
      </c>
      <c r="AM1285" s="30">
        <v>59000</v>
      </c>
      <c r="AN1285" s="30">
        <v>221100</v>
      </c>
      <c r="AO1285" s="30">
        <v>280100</v>
      </c>
      <c r="AP1285" s="30">
        <f>Lookups!$B$58*0.6</f>
        <v>132535.48800000001</v>
      </c>
      <c r="AQ1285" s="30">
        <f>Lookups!$B$58*0.4</f>
        <v>88356.992000000013</v>
      </c>
      <c r="AR1285" s="30">
        <f>Lookups!$B$59*Inventory[[#This Row],[LnAcres]]</f>
        <v>-25803.896249263951</v>
      </c>
      <c r="AS1285" s="30">
        <f>VLOOKUP(Inventory[[#This Row],[Qlty]],Lookups!$A$66:$E$79,2,FALSE)</f>
        <v>24371.765965999999</v>
      </c>
      <c r="AT1285" s="30">
        <f>VLOOKUP(Inventory[[#This Row],[Cnd]],Lookups!$A$80:$E$88,2,FALSE)</f>
        <v>17761.121909000001</v>
      </c>
      <c r="AU1285" s="30">
        <f>Inventory[[#This Row],[EffAge]]*Lookups!$B$65</f>
        <v>-5763.2782999999999</v>
      </c>
      <c r="AV1285" s="30">
        <f>Inventory[[#This Row],[MainFn]]*Lookups!$B$90</f>
        <v>84254.013000000006</v>
      </c>
      <c r="AW1285" s="30">
        <f>Inventory[[#This Row],[UpprFn]]*Lookups!$B$91</f>
        <v>0</v>
      </c>
      <c r="AX1285" s="30">
        <f>Inventory[[#This Row],[Bsmt Area]]*Lookups!$B$95</f>
        <v>31543.593983999999</v>
      </c>
      <c r="AY1285" s="30">
        <f>Inventory[[#This Row],[AttGar]]*Lookups!$B$93</f>
        <v>0</v>
      </c>
      <c r="AZ1285" s="30">
        <f>ROUND(Inventory[[#This Row],[25Det]],-2)</f>
        <v>11700</v>
      </c>
      <c r="BA1285" s="30">
        <f>ROUND(SUM(Inventory[[#This Row],[Mdl Qlty]:[Mdl Garage Area]])+Inventory[[#This Row],[Mdl Res Intercept]],-2)</f>
        <v>284700</v>
      </c>
      <c r="BB1285" s="30">
        <f>ROUND(Inventory[[#This Row],[Mdl Land Intercept]]+Inventory[[#This Row],[Mdl LnAcres]],-2)</f>
        <v>62600</v>
      </c>
      <c r="BC1285" s="30">
        <f>Inventory[[#This Row],[Unadj Res Value]]+Inventory[[#This Row],[Unadj Det Value]]+Inventory[[#This Row],[Unadj Land Value]]</f>
        <v>359000</v>
      </c>
      <c r="BD1285" s="30">
        <f>(Inventory[[#This Row],[Unadj Total Value]]-Inventory[[#This Row],[24Final]])/Inventory[[#This Row],[24Final]]</f>
        <v>0.2816851124598358</v>
      </c>
      <c r="BE1285" s="30">
        <f>VLOOKUP(Inventory[[#This Row],[Nbhd]],Lookups!$M$3:$P$5,4,FALSE)</f>
        <v>0.99970000000000003</v>
      </c>
      <c r="BF1285" s="30">
        <f>VLOOKUP(Inventory[[#This Row],[Qlty]],Lookups!$M$8:$P$22,4,FALSE)</f>
        <v>0.99199999999999999</v>
      </c>
      <c r="BG1285" s="30">
        <f>VLOOKUP(Inventory[[#This Row],[Cnd]],Lookups!$R$8:$U$17,4,FALSE)</f>
        <v>0.99680000000000002</v>
      </c>
      <c r="BH1285" s="30">
        <f>VLOOKUP(Inventory[[#This Row],[LivArea Range]],Lookups!$R$25:$U$43,4,FALSE)</f>
        <v>0.99519999999999997</v>
      </c>
      <c r="BI1285" s="30">
        <f>VLOOKUP(Inventory[[#This Row],[Decade]],Lookups!$M$24:$P$40,4,FALSE)</f>
        <v>1</v>
      </c>
      <c r="BJ1285" s="30">
        <f>Inventory[[#This Row],[Nbhd Adj]]*0.95</f>
        <v>0.94971499999999998</v>
      </c>
      <c r="BK1285" s="30">
        <f>AVERAGE(Inventory[[#This Row],[Nbhd Adj]],Inventory[[#This Row],[Quality Adj]],Inventory[[#This Row],[Condition Adj]],Inventory[[#This Row],[Living Area Adj]],Inventory[[#This Row],[Decade Adj]])*0.95</f>
        <v>0.94690300000000016</v>
      </c>
      <c r="BL1285" s="30">
        <f>ROUND((SUM(Inventory[[#This Row],[Mdl Qlty]:[Mdl Garage Area]])+Inventory[[#This Row],[Mdl Res Intercept]])*Inventory[[#This Row],[Res Adj ]],-2)</f>
        <v>269600</v>
      </c>
      <c r="BM1285" s="30">
        <f>ROUND(Inventory[[#This Row],[25Det]]*Inventory[[#This Row],[Det/Nbhd Adj]],-2)</f>
        <v>11100</v>
      </c>
      <c r="BN1285" s="30">
        <f>Inventory[[#This Row],[Adjusted Res]]+Inventory[[#This Row],[Adj Det ]]</f>
        <v>280700</v>
      </c>
      <c r="BO1285" s="30">
        <f>ROUND((Inventory[[#This Row],[Mdl Land Intercept]]+Inventory[[#This Row],[Mdl LnAcres]])*Inventory[[#This Row],[Det/Nbhd Adj]],-2)</f>
        <v>59400</v>
      </c>
      <c r="BP1285" s="30">
        <f>Inventory[[#This Row],[Adjusted Impr Total]]+Inventory[[#This Row],[Adjusted Land Total]]</f>
        <v>340100</v>
      </c>
      <c r="BQ1285" s="30">
        <f>IFERROR((Inventory[[#This Row],[Adjusted Impr Total]]-Inventory[[#This Row],[24Bldg]])/Inventory[[#This Row],[24Bldg]],0)</f>
        <v>0.26956128448665762</v>
      </c>
      <c r="BR1285" s="43">
        <f>(Inventory[[#This Row],[Adjusted Land Total]]-Inventory[[#This Row],[24Lnd]])/Inventory[[#This Row],[24Lnd]]</f>
        <v>6.7796610169491523E-3</v>
      </c>
      <c r="BS1285" s="43">
        <f>(Inventory[[#This Row],[Adjusted Total]]-Inventory[[#This Row],[24Final]])/Inventory[[#This Row],[24Final]]</f>
        <v>0.21420921099607282</v>
      </c>
    </row>
    <row r="1286" spans="1:71">
      <c r="A1286" s="30">
        <v>2025</v>
      </c>
      <c r="B1286" s="31" t="s">
        <v>1804</v>
      </c>
      <c r="C1286" s="36">
        <f>LN(Inventory[[#This Row],[Acres]])</f>
        <v>-1.9661128563728327</v>
      </c>
      <c r="D1286" s="38">
        <v>0.14000000000000001</v>
      </c>
      <c r="E1286" s="30">
        <v>6250</v>
      </c>
      <c r="F1286" s="31" t="s">
        <v>505</v>
      </c>
      <c r="G1286" s="31" t="s">
        <v>155</v>
      </c>
      <c r="H1286" s="31" t="s">
        <v>5</v>
      </c>
      <c r="I1286" s="31" t="s">
        <v>506</v>
      </c>
      <c r="J1286" s="31" t="s">
        <v>507</v>
      </c>
      <c r="K1286" s="31" t="s">
        <v>475</v>
      </c>
      <c r="L1286" s="31" t="s">
        <v>13</v>
      </c>
      <c r="M1286" s="31" t="s">
        <v>18</v>
      </c>
      <c r="N1286" s="31">
        <v>80</v>
      </c>
      <c r="O1286" s="31">
        <f>2024-Inventory[[#This Row],[YrBlt]]</f>
        <v>89</v>
      </c>
      <c r="P1286" s="31">
        <f>2024-Inventory[[#This Row],[EffYr]]</f>
        <v>53</v>
      </c>
      <c r="Q1286" s="30">
        <v>1935</v>
      </c>
      <c r="R1286" s="30">
        <v>1971</v>
      </c>
      <c r="S1286" s="30">
        <v>752</v>
      </c>
      <c r="T1286" s="32"/>
      <c r="U1286" s="32"/>
      <c r="V1286" s="32"/>
      <c r="W1286" s="32"/>
      <c r="X1286" s="32">
        <f>Inventory[[#This Row],[Bsmt Area]]-Inventory[[#This Row],[FnBsmt]]</f>
        <v>0</v>
      </c>
      <c r="Y1286" s="32">
        <f>Inventory[[#This Row],[MainFn]]+Inventory[[#This Row],[UpprFn]]+Inventory[[#This Row],[AddFn]]+Inventory[[#This Row],[FnBsmt]]</f>
        <v>752</v>
      </c>
      <c r="Z1286" s="32">
        <v>1000</v>
      </c>
      <c r="AA1286" s="31" t="s">
        <v>56</v>
      </c>
      <c r="AB1286" s="32"/>
      <c r="AC1286" s="37"/>
      <c r="AD1286" s="32"/>
      <c r="AE1286" s="32"/>
      <c r="AF1286" s="32"/>
      <c r="AG1286" s="32"/>
      <c r="AH1286" s="32"/>
      <c r="AI1286" s="30">
        <v>108720</v>
      </c>
      <c r="AJ1286" s="30">
        <v>72842</v>
      </c>
      <c r="AK1286" s="30">
        <v>0</v>
      </c>
      <c r="AL1286" s="30">
        <v>0</v>
      </c>
      <c r="AM1286" s="30">
        <v>59000</v>
      </c>
      <c r="AN1286" s="30">
        <v>157200</v>
      </c>
      <c r="AO1286" s="30">
        <v>216200</v>
      </c>
      <c r="AP1286" s="30">
        <f>Lookups!$B$58*0.6</f>
        <v>132535.48800000001</v>
      </c>
      <c r="AQ1286" s="30">
        <f>Lookups!$B$58*0.4</f>
        <v>88356.992000000013</v>
      </c>
      <c r="AR1286" s="30">
        <f>Lookups!$B$59*Inventory[[#This Row],[LnAcres]]</f>
        <v>-25803.896249263951</v>
      </c>
      <c r="AS1286" s="30">
        <f>VLOOKUP(Inventory[[#This Row],[Qlty]],Lookups!$A$66:$E$79,2,FALSE)</f>
        <v>0</v>
      </c>
      <c r="AT1286" s="30">
        <f>VLOOKUP(Inventory[[#This Row],[Cnd]],Lookups!$A$80:$E$88,2,FALSE)</f>
        <v>17761.121909000001</v>
      </c>
      <c r="AU1286" s="30">
        <f>Inventory[[#This Row],[EffAge]]*Lookups!$B$65</f>
        <v>-5763.2782999999999</v>
      </c>
      <c r="AV1286" s="30">
        <f>Inventory[[#This Row],[MainFn]]*Lookups!$B$90</f>
        <v>46932.605760000006</v>
      </c>
      <c r="AW1286" s="30">
        <f>Inventory[[#This Row],[UpprFn]]*Lookups!$B$91</f>
        <v>0</v>
      </c>
      <c r="AX1286" s="30">
        <f>Inventory[[#This Row],[Bsmt Area]]*Lookups!$B$95</f>
        <v>0</v>
      </c>
      <c r="AY1286" s="30">
        <f>Inventory[[#This Row],[AttGar]]*Lookups!$B$93</f>
        <v>0</v>
      </c>
      <c r="AZ1286" s="30">
        <f>ROUND(Inventory[[#This Row],[25Det]],-2)</f>
        <v>0</v>
      </c>
      <c r="BA1286" s="30">
        <f>ROUND(SUM(Inventory[[#This Row],[Mdl Qlty]:[Mdl Garage Area]])+Inventory[[#This Row],[Mdl Res Intercept]],-2)</f>
        <v>191500</v>
      </c>
      <c r="BB1286" s="30">
        <f>ROUND(Inventory[[#This Row],[Mdl Land Intercept]]+Inventory[[#This Row],[Mdl LnAcres]],-2)</f>
        <v>62600</v>
      </c>
      <c r="BC1286" s="30">
        <f>Inventory[[#This Row],[Unadj Res Value]]+Inventory[[#This Row],[Unadj Det Value]]+Inventory[[#This Row],[Unadj Land Value]]</f>
        <v>254100</v>
      </c>
      <c r="BD1286" s="30">
        <f>(Inventory[[#This Row],[Unadj Total Value]]-Inventory[[#This Row],[24Final]])/Inventory[[#This Row],[24Final]]</f>
        <v>0.17530064754856614</v>
      </c>
      <c r="BE1286" s="30">
        <f>VLOOKUP(Inventory[[#This Row],[Nbhd]],Lookups!$M$3:$P$5,4,FALSE)</f>
        <v>0.99970000000000003</v>
      </c>
      <c r="BF1286" s="30">
        <f>VLOOKUP(Inventory[[#This Row],[Qlty]],Lookups!$M$8:$P$22,4,FALSE)</f>
        <v>1.0003</v>
      </c>
      <c r="BG1286" s="30">
        <f>VLOOKUP(Inventory[[#This Row],[Cnd]],Lookups!$R$8:$U$17,4,FALSE)</f>
        <v>0.99680000000000002</v>
      </c>
      <c r="BH1286" s="30">
        <f>VLOOKUP(Inventory[[#This Row],[LivArea Range]],Lookups!$R$25:$U$43,4,FALSE)</f>
        <v>1</v>
      </c>
      <c r="BI1286" s="30">
        <f>VLOOKUP(Inventory[[#This Row],[Decade]],Lookups!$M$24:$P$40,4,FALSE)</f>
        <v>1</v>
      </c>
      <c r="BJ1286" s="30">
        <f>Inventory[[#This Row],[Nbhd Adj]]*0.95</f>
        <v>0.94971499999999998</v>
      </c>
      <c r="BK1286" s="30">
        <f>AVERAGE(Inventory[[#This Row],[Nbhd Adj]],Inventory[[#This Row],[Quality Adj]],Inventory[[#This Row],[Condition Adj]],Inventory[[#This Row],[Living Area Adj]],Inventory[[#This Row],[Decade Adj]])*0.95</f>
        <v>0.94939200000000001</v>
      </c>
      <c r="BL1286" s="30">
        <f>ROUND((SUM(Inventory[[#This Row],[Mdl Qlty]:[Mdl Garage Area]])+Inventory[[#This Row],[Mdl Res Intercept]])*Inventory[[#This Row],[Res Adj ]],-2)</f>
        <v>181800</v>
      </c>
      <c r="BM1286" s="30">
        <f>ROUND(Inventory[[#This Row],[25Det]]*Inventory[[#This Row],[Det/Nbhd Adj]],-2)</f>
        <v>0</v>
      </c>
      <c r="BN1286" s="30">
        <f>Inventory[[#This Row],[Adjusted Res]]+Inventory[[#This Row],[Adj Det ]]</f>
        <v>181800</v>
      </c>
      <c r="BO1286" s="30">
        <f>ROUND((Inventory[[#This Row],[Mdl Land Intercept]]+Inventory[[#This Row],[Mdl LnAcres]])*Inventory[[#This Row],[Det/Nbhd Adj]],-2)</f>
        <v>59400</v>
      </c>
      <c r="BP1286" s="30">
        <f>Inventory[[#This Row],[Adjusted Impr Total]]+Inventory[[#This Row],[Adjusted Land Total]]</f>
        <v>241200</v>
      </c>
      <c r="BQ1286" s="30">
        <f>IFERROR((Inventory[[#This Row],[Adjusted Impr Total]]-Inventory[[#This Row],[24Bldg]])/Inventory[[#This Row],[24Bldg]],0)</f>
        <v>0.15648854961832062</v>
      </c>
      <c r="BR1286" s="43">
        <f>(Inventory[[#This Row],[Adjusted Land Total]]-Inventory[[#This Row],[24Lnd]])/Inventory[[#This Row],[24Lnd]]</f>
        <v>6.7796610169491523E-3</v>
      </c>
      <c r="BS1286" s="43">
        <f>(Inventory[[#This Row],[Adjusted Total]]-Inventory[[#This Row],[24Final]])/Inventory[[#This Row],[24Final]]</f>
        <v>0.11563367252543941</v>
      </c>
    </row>
    <row r="1287" spans="1:71">
      <c r="A1287" s="30">
        <v>2025</v>
      </c>
      <c r="B1287" s="31" t="s">
        <v>1805</v>
      </c>
      <c r="C1287" s="36">
        <f>LN(Inventory[[#This Row],[Acres]])</f>
        <v>-1.6094379124341003</v>
      </c>
      <c r="D1287" s="38">
        <v>0.2</v>
      </c>
      <c r="E1287" s="30">
        <v>8673</v>
      </c>
      <c r="F1287" s="31" t="s">
        <v>505</v>
      </c>
      <c r="G1287" s="31" t="s">
        <v>155</v>
      </c>
      <c r="H1287" s="31" t="s">
        <v>5</v>
      </c>
      <c r="I1287" s="31" t="s">
        <v>506</v>
      </c>
      <c r="J1287" s="31" t="s">
        <v>507</v>
      </c>
      <c r="K1287" s="31" t="s">
        <v>473</v>
      </c>
      <c r="L1287" s="31" t="s">
        <v>15</v>
      </c>
      <c r="M1287" s="31" t="s">
        <v>20</v>
      </c>
      <c r="N1287" s="31">
        <v>80</v>
      </c>
      <c r="O1287" s="31">
        <f>2024-Inventory[[#This Row],[YrBlt]]</f>
        <v>89</v>
      </c>
      <c r="P1287" s="31">
        <f>2024-Inventory[[#This Row],[EffYr]]</f>
        <v>53</v>
      </c>
      <c r="Q1287" s="30">
        <v>1935</v>
      </c>
      <c r="R1287" s="30">
        <v>1971</v>
      </c>
      <c r="S1287" s="30">
        <v>1539</v>
      </c>
      <c r="T1287" s="32"/>
      <c r="U1287" s="32"/>
      <c r="V1287" s="32"/>
      <c r="W1287" s="32"/>
      <c r="X1287" s="32">
        <f>Inventory[[#This Row],[Bsmt Area]]-Inventory[[#This Row],[FnBsmt]]</f>
        <v>0</v>
      </c>
      <c r="Y1287" s="32">
        <f>Inventory[[#This Row],[MainFn]]+Inventory[[#This Row],[UpprFn]]+Inventory[[#This Row],[AddFn]]+Inventory[[#This Row],[FnBsmt]]</f>
        <v>1539</v>
      </c>
      <c r="Z1287" s="32">
        <v>2000</v>
      </c>
      <c r="AA1287" s="31" t="s">
        <v>56</v>
      </c>
      <c r="AB1287" s="32"/>
      <c r="AC1287" s="37"/>
      <c r="AD1287" s="32"/>
      <c r="AE1287" s="32"/>
      <c r="AF1287" s="32"/>
      <c r="AG1287" s="32"/>
      <c r="AH1287" s="32"/>
      <c r="AI1287" s="30">
        <v>232468</v>
      </c>
      <c r="AJ1287" s="30">
        <v>160403</v>
      </c>
      <c r="AK1287" s="30">
        <v>13143</v>
      </c>
      <c r="AL1287" s="30">
        <v>0</v>
      </c>
      <c r="AM1287" s="30">
        <v>64000</v>
      </c>
      <c r="AN1287" s="30">
        <v>231000</v>
      </c>
      <c r="AO1287" s="30">
        <v>295000</v>
      </c>
      <c r="AP1287" s="30">
        <f>Lookups!$B$58*0.6</f>
        <v>132535.48800000001</v>
      </c>
      <c r="AQ1287" s="30">
        <f>Lookups!$B$58*0.4</f>
        <v>88356.992000000013</v>
      </c>
      <c r="AR1287" s="30">
        <f>Lookups!$B$59*Inventory[[#This Row],[LnAcres]]</f>
        <v>-21122.779792355024</v>
      </c>
      <c r="AS1287" s="30">
        <f>VLOOKUP(Inventory[[#This Row],[Qlty]],Lookups!$A$66:$E$79,2,FALSE)</f>
        <v>-1240.8083630000001</v>
      </c>
      <c r="AT1287" s="30">
        <f>VLOOKUP(Inventory[[#This Row],[Cnd]],Lookups!$A$80:$E$88,2,FALSE)</f>
        <v>30300.329274</v>
      </c>
      <c r="AU1287" s="30">
        <f>Inventory[[#This Row],[EffAge]]*Lookups!$B$65</f>
        <v>-5763.2782999999999</v>
      </c>
      <c r="AV1287" s="30">
        <f>Inventory[[#This Row],[MainFn]]*Lookups!$B$90</f>
        <v>96049.574820000009</v>
      </c>
      <c r="AW1287" s="30">
        <f>Inventory[[#This Row],[UpprFn]]*Lookups!$B$91</f>
        <v>0</v>
      </c>
      <c r="AX1287" s="30">
        <f>Inventory[[#This Row],[Bsmt Area]]*Lookups!$B$95</f>
        <v>0</v>
      </c>
      <c r="AY1287" s="30">
        <f>Inventory[[#This Row],[AttGar]]*Lookups!$B$93</f>
        <v>0</v>
      </c>
      <c r="AZ1287" s="30">
        <f>ROUND(Inventory[[#This Row],[25Det]],-2)</f>
        <v>13100</v>
      </c>
      <c r="BA1287" s="30">
        <f>ROUND(SUM(Inventory[[#This Row],[Mdl Qlty]:[Mdl Garage Area]])+Inventory[[#This Row],[Mdl Res Intercept]],-2)</f>
        <v>251900</v>
      </c>
      <c r="BB1287" s="30">
        <f>ROUND(Inventory[[#This Row],[Mdl Land Intercept]]+Inventory[[#This Row],[Mdl LnAcres]],-2)</f>
        <v>67200</v>
      </c>
      <c r="BC1287" s="30">
        <f>Inventory[[#This Row],[Unadj Res Value]]+Inventory[[#This Row],[Unadj Det Value]]+Inventory[[#This Row],[Unadj Land Value]]</f>
        <v>332200</v>
      </c>
      <c r="BD1287" s="30">
        <f>(Inventory[[#This Row],[Unadj Total Value]]-Inventory[[#This Row],[24Final]])/Inventory[[#This Row],[24Final]]</f>
        <v>0.12610169491525425</v>
      </c>
      <c r="BE1287" s="30">
        <f>VLOOKUP(Inventory[[#This Row],[Nbhd]],Lookups!$M$3:$P$5,4,FALSE)</f>
        <v>0.99970000000000003</v>
      </c>
      <c r="BF1287" s="30">
        <f>VLOOKUP(Inventory[[#This Row],[Qlty]],Lookups!$M$8:$P$22,4,FALSE)</f>
        <v>1.0022</v>
      </c>
      <c r="BG1287" s="30">
        <f>VLOOKUP(Inventory[[#This Row],[Cnd]],Lookups!$R$8:$U$17,4,FALSE)</f>
        <v>0.997</v>
      </c>
      <c r="BH1287" s="30">
        <f>VLOOKUP(Inventory[[#This Row],[LivArea Range]],Lookups!$R$25:$U$43,4,FALSE)</f>
        <v>1.0007999999999999</v>
      </c>
      <c r="BI1287" s="30">
        <f>VLOOKUP(Inventory[[#This Row],[Decade]],Lookups!$M$24:$P$40,4,FALSE)</f>
        <v>1</v>
      </c>
      <c r="BJ1287" s="30">
        <f>Inventory[[#This Row],[Nbhd Adj]]*0.95</f>
        <v>0.94971499999999998</v>
      </c>
      <c r="BK1287" s="30">
        <f>AVERAGE(Inventory[[#This Row],[Nbhd Adj]],Inventory[[#This Row],[Quality Adj]],Inventory[[#This Row],[Condition Adj]],Inventory[[#This Row],[Living Area Adj]],Inventory[[#This Row],[Decade Adj]])*0.95</f>
        <v>0.94994299999999987</v>
      </c>
      <c r="BL1287" s="30">
        <f>ROUND((SUM(Inventory[[#This Row],[Mdl Qlty]:[Mdl Garage Area]])+Inventory[[#This Row],[Mdl Res Intercept]])*Inventory[[#This Row],[Res Adj ]],-2)</f>
        <v>239300</v>
      </c>
      <c r="BM1287" s="30">
        <f>ROUND(Inventory[[#This Row],[25Det]]*Inventory[[#This Row],[Det/Nbhd Adj]],-2)</f>
        <v>12500</v>
      </c>
      <c r="BN1287" s="30">
        <f>Inventory[[#This Row],[Adjusted Res]]+Inventory[[#This Row],[Adj Det ]]</f>
        <v>251800</v>
      </c>
      <c r="BO1287" s="30">
        <f>ROUND((Inventory[[#This Row],[Mdl Land Intercept]]+Inventory[[#This Row],[Mdl LnAcres]])*Inventory[[#This Row],[Det/Nbhd Adj]],-2)</f>
        <v>63900</v>
      </c>
      <c r="BP1287" s="30">
        <f>Inventory[[#This Row],[Adjusted Impr Total]]+Inventory[[#This Row],[Adjusted Land Total]]</f>
        <v>315700</v>
      </c>
      <c r="BQ1287" s="30">
        <f>IFERROR((Inventory[[#This Row],[Adjusted Impr Total]]-Inventory[[#This Row],[24Bldg]])/Inventory[[#This Row],[24Bldg]],0)</f>
        <v>9.004329004329005E-2</v>
      </c>
      <c r="BR1287" s="43">
        <f>(Inventory[[#This Row],[Adjusted Land Total]]-Inventory[[#This Row],[24Lnd]])/Inventory[[#This Row],[24Lnd]]</f>
        <v>-1.5625000000000001E-3</v>
      </c>
      <c r="BS1287" s="43">
        <f>(Inventory[[#This Row],[Adjusted Total]]-Inventory[[#This Row],[24Final]])/Inventory[[#This Row],[24Final]]</f>
        <v>7.0169491525423733E-2</v>
      </c>
    </row>
    <row r="1288" spans="1:71">
      <c r="A1288" s="30">
        <v>2025</v>
      </c>
      <c r="B1288" s="31" t="s">
        <v>1806</v>
      </c>
      <c r="C1288" s="36">
        <f>LN(Inventory[[#This Row],[Acres]])</f>
        <v>-1.0498221244986778</v>
      </c>
      <c r="D1288" s="38">
        <v>0.35</v>
      </c>
      <c r="E1288" s="30">
        <v>15172</v>
      </c>
      <c r="F1288" s="31" t="s">
        <v>505</v>
      </c>
      <c r="G1288" s="31" t="s">
        <v>155</v>
      </c>
      <c r="H1288" s="31" t="s">
        <v>5</v>
      </c>
      <c r="I1288" s="31" t="s">
        <v>506</v>
      </c>
      <c r="J1288" s="31" t="s">
        <v>507</v>
      </c>
      <c r="K1288" s="31" t="s">
        <v>475</v>
      </c>
      <c r="L1288" s="31" t="s">
        <v>11</v>
      </c>
      <c r="M1288" s="31" t="s">
        <v>18</v>
      </c>
      <c r="N1288" s="31">
        <v>80</v>
      </c>
      <c r="O1288" s="31">
        <f>2024-Inventory[[#This Row],[YrBlt]]</f>
        <v>89</v>
      </c>
      <c r="P1288" s="31">
        <f>2024-Inventory[[#This Row],[EffYr]]</f>
        <v>53</v>
      </c>
      <c r="Q1288" s="30">
        <v>1935</v>
      </c>
      <c r="R1288" s="30">
        <v>1971</v>
      </c>
      <c r="S1288" s="30">
        <v>739</v>
      </c>
      <c r="T1288" s="32"/>
      <c r="U1288" s="32"/>
      <c r="V1288" s="32"/>
      <c r="W1288" s="32"/>
      <c r="X1288" s="32">
        <f>Inventory[[#This Row],[Bsmt Area]]-Inventory[[#This Row],[FnBsmt]]</f>
        <v>0</v>
      </c>
      <c r="Y1288" s="32">
        <f>Inventory[[#This Row],[MainFn]]+Inventory[[#This Row],[UpprFn]]+Inventory[[#This Row],[AddFn]]+Inventory[[#This Row],[FnBsmt]]</f>
        <v>739</v>
      </c>
      <c r="Z1288" s="32">
        <v>1000</v>
      </c>
      <c r="AA1288" s="31" t="s">
        <v>56</v>
      </c>
      <c r="AB1288" s="32"/>
      <c r="AC1288" s="37"/>
      <c r="AD1288" s="32"/>
      <c r="AE1288" s="32"/>
      <c r="AF1288" s="32"/>
      <c r="AG1288" s="32"/>
      <c r="AH1288" s="32"/>
      <c r="AI1288" s="30">
        <v>104376</v>
      </c>
      <c r="AJ1288" s="30">
        <v>69932</v>
      </c>
      <c r="AK1288" s="30">
        <v>2244</v>
      </c>
      <c r="AL1288" s="30">
        <v>0</v>
      </c>
      <c r="AM1288" s="30">
        <v>71800</v>
      </c>
      <c r="AN1288" s="30">
        <v>140400</v>
      </c>
      <c r="AO1288" s="30">
        <v>212200</v>
      </c>
      <c r="AP1288" s="30">
        <f>Lookups!$B$58*0.6</f>
        <v>132535.48800000001</v>
      </c>
      <c r="AQ1288" s="30">
        <f>Lookups!$B$58*0.4</f>
        <v>88356.992000000013</v>
      </c>
      <c r="AR1288" s="30">
        <f>Lookups!$B$59*Inventory[[#This Row],[LnAcres]]</f>
        <v>-13778.202554822612</v>
      </c>
      <c r="AS1288" s="30">
        <f>VLOOKUP(Inventory[[#This Row],[Qlty]],Lookups!$A$66:$E$79,2,FALSE)</f>
        <v>-9114.1675108666695</v>
      </c>
      <c r="AT1288" s="30">
        <f>VLOOKUP(Inventory[[#This Row],[Cnd]],Lookups!$A$80:$E$88,2,FALSE)</f>
        <v>17761.121909000001</v>
      </c>
      <c r="AU1288" s="30">
        <f>Inventory[[#This Row],[EffAge]]*Lookups!$B$65</f>
        <v>-5763.2782999999999</v>
      </c>
      <c r="AV1288" s="30">
        <f>Inventory[[#This Row],[MainFn]]*Lookups!$B$90</f>
        <v>46121.270820000005</v>
      </c>
      <c r="AW1288" s="30">
        <f>Inventory[[#This Row],[UpprFn]]*Lookups!$B$91</f>
        <v>0</v>
      </c>
      <c r="AX1288" s="30">
        <f>Inventory[[#This Row],[Bsmt Area]]*Lookups!$B$95</f>
        <v>0</v>
      </c>
      <c r="AY1288" s="30">
        <f>Inventory[[#This Row],[AttGar]]*Lookups!$B$93</f>
        <v>0</v>
      </c>
      <c r="AZ1288" s="30">
        <f>ROUND(Inventory[[#This Row],[25Det]],-2)</f>
        <v>2200</v>
      </c>
      <c r="BA1288" s="30">
        <f>ROUND(SUM(Inventory[[#This Row],[Mdl Qlty]:[Mdl Garage Area]])+Inventory[[#This Row],[Mdl Res Intercept]],-2)</f>
        <v>181500</v>
      </c>
      <c r="BB1288" s="30">
        <f>ROUND(Inventory[[#This Row],[Mdl Land Intercept]]+Inventory[[#This Row],[Mdl LnAcres]],-2)</f>
        <v>74600</v>
      </c>
      <c r="BC1288" s="30">
        <f>Inventory[[#This Row],[Unadj Res Value]]+Inventory[[#This Row],[Unadj Det Value]]+Inventory[[#This Row],[Unadj Land Value]]</f>
        <v>258300</v>
      </c>
      <c r="BD1288" s="30">
        <f>(Inventory[[#This Row],[Unadj Total Value]]-Inventory[[#This Row],[24Final]])/Inventory[[#This Row],[24Final]]</f>
        <v>0.2172478793590952</v>
      </c>
      <c r="BE1288" s="30">
        <f>VLOOKUP(Inventory[[#This Row],[Nbhd]],Lookups!$M$3:$P$5,4,FALSE)</f>
        <v>0.99970000000000003</v>
      </c>
      <c r="BF1288" s="30">
        <f>VLOOKUP(Inventory[[#This Row],[Qlty]],Lookups!$M$8:$P$22,4,FALSE)</f>
        <v>1</v>
      </c>
      <c r="BG1288" s="30">
        <f>VLOOKUP(Inventory[[#This Row],[Cnd]],Lookups!$R$8:$U$17,4,FALSE)</f>
        <v>0.99680000000000002</v>
      </c>
      <c r="BH1288" s="30">
        <f>VLOOKUP(Inventory[[#This Row],[LivArea Range]],Lookups!$R$25:$U$43,4,FALSE)</f>
        <v>1</v>
      </c>
      <c r="BI1288" s="30">
        <f>VLOOKUP(Inventory[[#This Row],[Decade]],Lookups!$M$24:$P$40,4,FALSE)</f>
        <v>1</v>
      </c>
      <c r="BJ1288" s="30">
        <f>Inventory[[#This Row],[Nbhd Adj]]*0.95</f>
        <v>0.94971499999999998</v>
      </c>
      <c r="BK1288" s="30">
        <f>AVERAGE(Inventory[[#This Row],[Nbhd Adj]],Inventory[[#This Row],[Quality Adj]],Inventory[[#This Row],[Condition Adj]],Inventory[[#This Row],[Living Area Adj]],Inventory[[#This Row],[Decade Adj]])*0.95</f>
        <v>0.94933500000000004</v>
      </c>
      <c r="BL1288" s="30">
        <f>ROUND((SUM(Inventory[[#This Row],[Mdl Qlty]:[Mdl Garage Area]])+Inventory[[#This Row],[Mdl Res Intercept]])*Inventory[[#This Row],[Res Adj ]],-2)</f>
        <v>172300</v>
      </c>
      <c r="BM1288" s="30">
        <f>ROUND(Inventory[[#This Row],[25Det]]*Inventory[[#This Row],[Det/Nbhd Adj]],-2)</f>
        <v>2100</v>
      </c>
      <c r="BN1288" s="30">
        <f>Inventory[[#This Row],[Adjusted Res]]+Inventory[[#This Row],[Adj Det ]]</f>
        <v>174400</v>
      </c>
      <c r="BO1288" s="30">
        <f>ROUND((Inventory[[#This Row],[Mdl Land Intercept]]+Inventory[[#This Row],[Mdl LnAcres]])*Inventory[[#This Row],[Det/Nbhd Adj]],-2)</f>
        <v>70800</v>
      </c>
      <c r="BP1288" s="30">
        <f>Inventory[[#This Row],[Adjusted Impr Total]]+Inventory[[#This Row],[Adjusted Land Total]]</f>
        <v>245200</v>
      </c>
      <c r="BQ1288" s="30">
        <f>IFERROR((Inventory[[#This Row],[Adjusted Impr Total]]-Inventory[[#This Row],[24Bldg]])/Inventory[[#This Row],[24Bldg]],0)</f>
        <v>0.24216524216524216</v>
      </c>
      <c r="BR1288" s="43">
        <f>(Inventory[[#This Row],[Adjusted Land Total]]-Inventory[[#This Row],[24Lnd]])/Inventory[[#This Row],[24Lnd]]</f>
        <v>-1.3927576601671309E-2</v>
      </c>
      <c r="BS1288" s="43">
        <f>(Inventory[[#This Row],[Adjusted Total]]-Inventory[[#This Row],[24Final]])/Inventory[[#This Row],[24Final]]</f>
        <v>0.15551366635249764</v>
      </c>
    </row>
    <row r="1289" spans="1:71">
      <c r="A1289" s="30">
        <v>2025</v>
      </c>
      <c r="B1289" s="31" t="s">
        <v>1807</v>
      </c>
      <c r="C1289" s="36">
        <f>LN(Inventory[[#This Row],[Acres]])</f>
        <v>0.69314718055994529</v>
      </c>
      <c r="D1289" s="38">
        <v>2</v>
      </c>
      <c r="E1289" s="37"/>
      <c r="F1289" s="31" t="s">
        <v>505</v>
      </c>
      <c r="G1289" s="31" t="s">
        <v>155</v>
      </c>
      <c r="H1289" s="31" t="s">
        <v>5</v>
      </c>
      <c r="I1289" s="31" t="s">
        <v>506</v>
      </c>
      <c r="J1289" s="31" t="s">
        <v>507</v>
      </c>
      <c r="K1289" s="31" t="s">
        <v>485</v>
      </c>
      <c r="L1289" s="31" t="s">
        <v>17</v>
      </c>
      <c r="M1289" s="31" t="s">
        <v>18</v>
      </c>
      <c r="N1289" s="31">
        <v>80</v>
      </c>
      <c r="O1289" s="31">
        <f>2024-Inventory[[#This Row],[YrBlt]]</f>
        <v>89</v>
      </c>
      <c r="P1289" s="31">
        <f>2024-Inventory[[#This Row],[EffYr]]</f>
        <v>53</v>
      </c>
      <c r="Q1289" s="30">
        <v>1935</v>
      </c>
      <c r="R1289" s="30">
        <v>1971</v>
      </c>
      <c r="S1289" s="30">
        <v>1120</v>
      </c>
      <c r="T1289" s="30">
        <v>746</v>
      </c>
      <c r="U1289" s="32"/>
      <c r="V1289" s="32"/>
      <c r="W1289" s="32"/>
      <c r="X1289" s="32">
        <f>Inventory[[#This Row],[Bsmt Area]]-Inventory[[#This Row],[FnBsmt]]</f>
        <v>0</v>
      </c>
      <c r="Y1289" s="32">
        <f>Inventory[[#This Row],[MainFn]]+Inventory[[#This Row],[UpprFn]]+Inventory[[#This Row],[AddFn]]+Inventory[[#This Row],[FnBsmt]]</f>
        <v>1866</v>
      </c>
      <c r="Z1289" s="32">
        <v>2000</v>
      </c>
      <c r="AA1289" s="31" t="s">
        <v>56</v>
      </c>
      <c r="AB1289" s="37"/>
      <c r="AC1289" s="32"/>
      <c r="AD1289" s="37"/>
      <c r="AE1289" s="32"/>
      <c r="AF1289" s="32"/>
      <c r="AG1289" s="32"/>
      <c r="AH1289" s="32"/>
      <c r="AI1289" s="30">
        <v>279461</v>
      </c>
      <c r="AJ1289" s="30">
        <v>187239</v>
      </c>
      <c r="AK1289" s="30">
        <v>13428</v>
      </c>
      <c r="AL1289" s="30">
        <v>0</v>
      </c>
      <c r="AM1289" s="30">
        <v>96200</v>
      </c>
      <c r="AN1289" s="30">
        <v>258600</v>
      </c>
      <c r="AO1289" s="30">
        <v>354800</v>
      </c>
      <c r="AP1289" s="30">
        <f>Lookups!$B$58*0.6</f>
        <v>132535.48800000001</v>
      </c>
      <c r="AQ1289" s="30">
        <f>Lookups!$B$58*0.4</f>
        <v>88356.992000000013</v>
      </c>
      <c r="AR1289" s="30">
        <f>Lookups!$B$59*Inventory[[#This Row],[LnAcres]]</f>
        <v>9097.0860979136814</v>
      </c>
      <c r="AS1289" s="30">
        <f>VLOOKUP(Inventory[[#This Row],[Qlty]],Lookups!$A$66:$E$79,2,FALSE)</f>
        <v>24371.765965999999</v>
      </c>
      <c r="AT1289" s="30">
        <f>VLOOKUP(Inventory[[#This Row],[Cnd]],Lookups!$A$80:$E$88,2,FALSE)</f>
        <v>17761.121909000001</v>
      </c>
      <c r="AU1289" s="30">
        <f>Inventory[[#This Row],[EffAge]]*Lookups!$B$65</f>
        <v>-5763.2782999999999</v>
      </c>
      <c r="AV1289" s="30">
        <f>Inventory[[#This Row],[MainFn]]*Lookups!$B$90</f>
        <v>69899.625599999999</v>
      </c>
      <c r="AW1289" s="30">
        <f>Inventory[[#This Row],[UpprFn]]*Lookups!$B$91</f>
        <v>44446.965717999999</v>
      </c>
      <c r="AX1289" s="30">
        <f>Inventory[[#This Row],[Bsmt Area]]*Lookups!$B$95</f>
        <v>0</v>
      </c>
      <c r="AY1289" s="30">
        <f>Inventory[[#This Row],[AttGar]]*Lookups!$B$93</f>
        <v>0</v>
      </c>
      <c r="AZ1289" s="30">
        <f>ROUND(Inventory[[#This Row],[25Det]],-2)</f>
        <v>13400</v>
      </c>
      <c r="BA1289" s="30">
        <f>ROUND(SUM(Inventory[[#This Row],[Mdl Qlty]:[Mdl Garage Area]])+Inventory[[#This Row],[Mdl Res Intercept]],-2)</f>
        <v>283300</v>
      </c>
      <c r="BB1289" s="30">
        <f>ROUND(Inventory[[#This Row],[Mdl Land Intercept]]+Inventory[[#This Row],[Mdl LnAcres]],-2)</f>
        <v>97500</v>
      </c>
      <c r="BC1289" s="30">
        <f>Inventory[[#This Row],[Unadj Res Value]]+Inventory[[#This Row],[Unadj Det Value]]+Inventory[[#This Row],[Unadj Land Value]]</f>
        <v>394200</v>
      </c>
      <c r="BD1289" s="30">
        <f>(Inventory[[#This Row],[Unadj Total Value]]-Inventory[[#This Row],[24Final]])/Inventory[[#This Row],[24Final]]</f>
        <v>0.11104847801578353</v>
      </c>
      <c r="BE1289" s="30">
        <f>VLOOKUP(Inventory[[#This Row],[Nbhd]],Lookups!$M$3:$P$5,4,FALSE)</f>
        <v>0.99970000000000003</v>
      </c>
      <c r="BF1289" s="30">
        <f>VLOOKUP(Inventory[[#This Row],[Qlty]],Lookups!$M$8:$P$22,4,FALSE)</f>
        <v>0.99199999999999999</v>
      </c>
      <c r="BG1289" s="30">
        <f>VLOOKUP(Inventory[[#This Row],[Cnd]],Lookups!$R$8:$U$17,4,FALSE)</f>
        <v>0.99680000000000002</v>
      </c>
      <c r="BH1289" s="30">
        <f>VLOOKUP(Inventory[[#This Row],[LivArea Range]],Lookups!$R$25:$U$43,4,FALSE)</f>
        <v>1.0007999999999999</v>
      </c>
      <c r="BI1289" s="30">
        <f>VLOOKUP(Inventory[[#This Row],[Decade]],Lookups!$M$24:$P$40,4,FALSE)</f>
        <v>1</v>
      </c>
      <c r="BJ1289" s="30">
        <f>Inventory[[#This Row],[Nbhd Adj]]*0.95</f>
        <v>0.94971499999999998</v>
      </c>
      <c r="BK1289" s="30">
        <f>AVERAGE(Inventory[[#This Row],[Nbhd Adj]],Inventory[[#This Row],[Quality Adj]],Inventory[[#This Row],[Condition Adj]],Inventory[[#This Row],[Living Area Adj]],Inventory[[#This Row],[Decade Adj]])*0.95</f>
        <v>0.94796699999999989</v>
      </c>
      <c r="BL1289" s="30">
        <f>ROUND((SUM(Inventory[[#This Row],[Mdl Qlty]:[Mdl Garage Area]])+Inventory[[#This Row],[Mdl Res Intercept]])*Inventory[[#This Row],[Res Adj ]],-2)</f>
        <v>268500</v>
      </c>
      <c r="BM1289" s="30">
        <f>ROUND(Inventory[[#This Row],[25Det]]*Inventory[[#This Row],[Det/Nbhd Adj]],-2)</f>
        <v>12800</v>
      </c>
      <c r="BN1289" s="30">
        <f>Inventory[[#This Row],[Adjusted Res]]+Inventory[[#This Row],[Adj Det ]]</f>
        <v>281300</v>
      </c>
      <c r="BO1289" s="30">
        <f>ROUND((Inventory[[#This Row],[Mdl Land Intercept]]+Inventory[[#This Row],[Mdl LnAcres]])*Inventory[[#This Row],[Det/Nbhd Adj]],-2)</f>
        <v>92600</v>
      </c>
      <c r="BP1289" s="30">
        <f>Inventory[[#This Row],[Adjusted Impr Total]]+Inventory[[#This Row],[Adjusted Land Total]]</f>
        <v>373900</v>
      </c>
      <c r="BQ1289" s="30">
        <f>IFERROR((Inventory[[#This Row],[Adjusted Impr Total]]-Inventory[[#This Row],[24Bldg]])/Inventory[[#This Row],[24Bldg]],0)</f>
        <v>8.7780355761794271E-2</v>
      </c>
      <c r="BR1289" s="43">
        <f>(Inventory[[#This Row],[Adjusted Land Total]]-Inventory[[#This Row],[24Lnd]])/Inventory[[#This Row],[24Lnd]]</f>
        <v>-3.7422037422037424E-2</v>
      </c>
      <c r="BS1289" s="43">
        <f>(Inventory[[#This Row],[Adjusted Total]]-Inventory[[#This Row],[24Final]])/Inventory[[#This Row],[24Final]]</f>
        <v>5.3833145434047353E-2</v>
      </c>
    </row>
    <row r="1290" spans="1:71">
      <c r="A1290" s="30">
        <v>2025</v>
      </c>
      <c r="B1290" s="31" t="s">
        <v>1808</v>
      </c>
      <c r="C1290" s="36">
        <f>LN(Inventory[[#This Row],[Acres]])</f>
        <v>3.9220713153281329E-2</v>
      </c>
      <c r="D1290" s="38">
        <v>1.04</v>
      </c>
      <c r="E1290" s="30">
        <v>45259</v>
      </c>
      <c r="F1290" s="31" t="s">
        <v>505</v>
      </c>
      <c r="G1290" s="31" t="s">
        <v>155</v>
      </c>
      <c r="H1290" s="31" t="s">
        <v>5</v>
      </c>
      <c r="I1290" s="31" t="s">
        <v>506</v>
      </c>
      <c r="J1290" s="31" t="s">
        <v>507</v>
      </c>
      <c r="K1290" s="31" t="s">
        <v>473</v>
      </c>
      <c r="L1290" s="31" t="s">
        <v>15</v>
      </c>
      <c r="M1290" s="31" t="s">
        <v>18</v>
      </c>
      <c r="N1290" s="31">
        <v>90</v>
      </c>
      <c r="O1290" s="31">
        <f>2024-Inventory[[#This Row],[YrBlt]]</f>
        <v>93</v>
      </c>
      <c r="P1290" s="31">
        <f>2024-Inventory[[#This Row],[EffYr]]</f>
        <v>54</v>
      </c>
      <c r="Q1290" s="30">
        <v>1931</v>
      </c>
      <c r="R1290" s="30">
        <v>1970</v>
      </c>
      <c r="S1290" s="30">
        <v>1240</v>
      </c>
      <c r="T1290" s="30">
        <v>230</v>
      </c>
      <c r="U1290" s="32"/>
      <c r="V1290" s="32"/>
      <c r="W1290" s="32"/>
      <c r="X1290" s="32">
        <f>Inventory[[#This Row],[Bsmt Area]]-Inventory[[#This Row],[FnBsmt]]</f>
        <v>0</v>
      </c>
      <c r="Y1290" s="32">
        <f>Inventory[[#This Row],[MainFn]]+Inventory[[#This Row],[UpprFn]]+Inventory[[#This Row],[AddFn]]+Inventory[[#This Row],[FnBsmt]]</f>
        <v>1470</v>
      </c>
      <c r="Z1290" s="32">
        <v>1500</v>
      </c>
      <c r="AA1290" s="31" t="s">
        <v>56</v>
      </c>
      <c r="AB1290" s="32"/>
      <c r="AC1290" s="37"/>
      <c r="AD1290" s="32"/>
      <c r="AE1290" s="32"/>
      <c r="AF1290" s="32"/>
      <c r="AG1290" s="32"/>
      <c r="AH1290" s="32"/>
      <c r="AI1290" s="30">
        <v>207509</v>
      </c>
      <c r="AJ1290" s="30">
        <v>136956</v>
      </c>
      <c r="AK1290" s="30">
        <v>1567</v>
      </c>
      <c r="AL1290" s="30">
        <v>0</v>
      </c>
      <c r="AM1290" s="30">
        <v>87100</v>
      </c>
      <c r="AN1290" s="30">
        <v>207200</v>
      </c>
      <c r="AO1290" s="30">
        <v>294300</v>
      </c>
      <c r="AP1290" s="30">
        <f>Lookups!$B$58*0.6</f>
        <v>132535.48800000001</v>
      </c>
      <c r="AQ1290" s="30">
        <f>Lookups!$B$58*0.4</f>
        <v>88356.992000000013</v>
      </c>
      <c r="AR1290" s="30">
        <f>Lookups!$B$59*Inventory[[#This Row],[LnAcres]]</f>
        <v>514.74522927258636</v>
      </c>
      <c r="AS1290" s="30">
        <f>VLOOKUP(Inventory[[#This Row],[Qlty]],Lookups!$A$66:$E$79,2,FALSE)</f>
        <v>-1240.8083630000001</v>
      </c>
      <c r="AT1290" s="30">
        <f>VLOOKUP(Inventory[[#This Row],[Cnd]],Lookups!$A$80:$E$88,2,FALSE)</f>
        <v>17761.121909000001</v>
      </c>
      <c r="AU1290" s="30">
        <f>Inventory[[#This Row],[EffAge]]*Lookups!$B$65</f>
        <v>-5872.0194000000001</v>
      </c>
      <c r="AV1290" s="30">
        <f>Inventory[[#This Row],[MainFn]]*Lookups!$B$90</f>
        <v>77388.871200000009</v>
      </c>
      <c r="AW1290" s="30">
        <f>Inventory[[#This Row],[UpprFn]]*Lookups!$B$91</f>
        <v>13703.488089999999</v>
      </c>
      <c r="AX1290" s="30">
        <f>Inventory[[#This Row],[Bsmt Area]]*Lookups!$B$95</f>
        <v>0</v>
      </c>
      <c r="AY1290" s="30">
        <f>Inventory[[#This Row],[AttGar]]*Lookups!$B$93</f>
        <v>0</v>
      </c>
      <c r="AZ1290" s="30">
        <f>ROUND(Inventory[[#This Row],[25Det]],-2)</f>
        <v>1600</v>
      </c>
      <c r="BA1290" s="30">
        <f>ROUND(SUM(Inventory[[#This Row],[Mdl Qlty]:[Mdl Garage Area]])+Inventory[[#This Row],[Mdl Res Intercept]],-2)</f>
        <v>234300</v>
      </c>
      <c r="BB1290" s="30">
        <f>ROUND(Inventory[[#This Row],[Mdl Land Intercept]]+Inventory[[#This Row],[Mdl LnAcres]],-2)</f>
        <v>88900</v>
      </c>
      <c r="BC1290" s="30">
        <f>Inventory[[#This Row],[Unadj Res Value]]+Inventory[[#This Row],[Unadj Det Value]]+Inventory[[#This Row],[Unadj Land Value]]</f>
        <v>324800</v>
      </c>
      <c r="BD1290" s="30">
        <f>(Inventory[[#This Row],[Unadj Total Value]]-Inventory[[#This Row],[24Final]])/Inventory[[#This Row],[24Final]]</f>
        <v>0.1036357458375807</v>
      </c>
      <c r="BE1290" s="30">
        <f>VLOOKUP(Inventory[[#This Row],[Nbhd]],Lookups!$M$3:$P$5,4,FALSE)</f>
        <v>0.99970000000000003</v>
      </c>
      <c r="BF1290" s="30">
        <f>VLOOKUP(Inventory[[#This Row],[Qlty]],Lookups!$M$8:$P$22,4,FALSE)</f>
        <v>1.0022</v>
      </c>
      <c r="BG1290" s="30">
        <f>VLOOKUP(Inventory[[#This Row],[Cnd]],Lookups!$R$8:$U$17,4,FALSE)</f>
        <v>0.99680000000000002</v>
      </c>
      <c r="BH1290" s="30">
        <f>VLOOKUP(Inventory[[#This Row],[LivArea Range]],Lookups!$R$25:$U$43,4,FALSE)</f>
        <v>0.99519999999999997</v>
      </c>
      <c r="BI1290" s="30">
        <f>VLOOKUP(Inventory[[#This Row],[Decade]],Lookups!$M$24:$P$40,4,FALSE)</f>
        <v>0.99960000000000004</v>
      </c>
      <c r="BJ1290" s="30">
        <f>Inventory[[#This Row],[Nbhd Adj]]*0.95</f>
        <v>0.94971499999999998</v>
      </c>
      <c r="BK1290" s="30">
        <f>AVERAGE(Inventory[[#This Row],[Nbhd Adj]],Inventory[[#This Row],[Quality Adj]],Inventory[[#This Row],[Condition Adj]],Inventory[[#This Row],[Living Area Adj]],Inventory[[#This Row],[Decade Adj]])*0.95</f>
        <v>0.94876499999999997</v>
      </c>
      <c r="BL1290" s="30">
        <f>ROUND((SUM(Inventory[[#This Row],[Mdl Qlty]:[Mdl Garage Area]])+Inventory[[#This Row],[Mdl Res Intercept]])*Inventory[[#This Row],[Res Adj ]],-2)</f>
        <v>222300</v>
      </c>
      <c r="BM1290" s="30">
        <f>ROUND(Inventory[[#This Row],[25Det]]*Inventory[[#This Row],[Det/Nbhd Adj]],-2)</f>
        <v>1500</v>
      </c>
      <c r="BN1290" s="30">
        <f>Inventory[[#This Row],[Adjusted Res]]+Inventory[[#This Row],[Adj Det ]]</f>
        <v>223800</v>
      </c>
      <c r="BO1290" s="30">
        <f>ROUND((Inventory[[#This Row],[Mdl Land Intercept]]+Inventory[[#This Row],[Mdl LnAcres]])*Inventory[[#This Row],[Det/Nbhd Adj]],-2)</f>
        <v>84400</v>
      </c>
      <c r="BP1290" s="30">
        <f>Inventory[[#This Row],[Adjusted Impr Total]]+Inventory[[#This Row],[Adjusted Land Total]]</f>
        <v>308200</v>
      </c>
      <c r="BQ1290" s="30">
        <f>IFERROR((Inventory[[#This Row],[Adjusted Impr Total]]-Inventory[[#This Row],[24Bldg]])/Inventory[[#This Row],[24Bldg]],0)</f>
        <v>8.0115830115830122E-2</v>
      </c>
      <c r="BR1290" s="43">
        <f>(Inventory[[#This Row],[Adjusted Land Total]]-Inventory[[#This Row],[24Lnd]])/Inventory[[#This Row],[24Lnd]]</f>
        <v>-3.0998851894374284E-2</v>
      </c>
      <c r="BS1290" s="43">
        <f>(Inventory[[#This Row],[Adjusted Total]]-Inventory[[#This Row],[24Final]])/Inventory[[#This Row],[24Final]]</f>
        <v>4.7230716955487598E-2</v>
      </c>
    </row>
    <row r="1291" spans="1:71">
      <c r="A1291" s="30">
        <v>2025</v>
      </c>
      <c r="B1291" s="31" t="s">
        <v>1809</v>
      </c>
      <c r="C1291" s="36">
        <f>LN(Inventory[[#This Row],[Acres]])</f>
        <v>-2.4079456086518722</v>
      </c>
      <c r="D1291" s="38">
        <v>0.09</v>
      </c>
      <c r="E1291" s="30">
        <v>3729</v>
      </c>
      <c r="F1291" s="31" t="s">
        <v>505</v>
      </c>
      <c r="G1291" s="31" t="s">
        <v>155</v>
      </c>
      <c r="H1291" s="31" t="s">
        <v>5</v>
      </c>
      <c r="I1291" s="31" t="s">
        <v>506</v>
      </c>
      <c r="J1291" s="31" t="s">
        <v>507</v>
      </c>
      <c r="K1291" s="31" t="s">
        <v>475</v>
      </c>
      <c r="L1291" s="31" t="s">
        <v>15</v>
      </c>
      <c r="M1291" s="31" t="s">
        <v>18</v>
      </c>
      <c r="N1291" s="31">
        <v>90</v>
      </c>
      <c r="O1291" s="31">
        <f>2024-Inventory[[#This Row],[YrBlt]]</f>
        <v>94</v>
      </c>
      <c r="P1291" s="31">
        <f>2024-Inventory[[#This Row],[EffYr]]</f>
        <v>54</v>
      </c>
      <c r="Q1291" s="30">
        <v>1930</v>
      </c>
      <c r="R1291" s="30">
        <v>1970</v>
      </c>
      <c r="S1291" s="30">
        <v>980</v>
      </c>
      <c r="T1291" s="32"/>
      <c r="U1291" s="32"/>
      <c r="V1291" s="32"/>
      <c r="W1291" s="32"/>
      <c r="X1291" s="32">
        <f>Inventory[[#This Row],[Bsmt Area]]-Inventory[[#This Row],[FnBsmt]]</f>
        <v>0</v>
      </c>
      <c r="Y1291" s="32">
        <f>Inventory[[#This Row],[MainFn]]+Inventory[[#This Row],[UpprFn]]+Inventory[[#This Row],[AddFn]]+Inventory[[#This Row],[FnBsmt]]</f>
        <v>980</v>
      </c>
      <c r="Z1291" s="32">
        <v>1000</v>
      </c>
      <c r="AA1291" s="31" t="s">
        <v>56</v>
      </c>
      <c r="AB1291" s="32"/>
      <c r="AC1291" s="37"/>
      <c r="AD1291" s="32"/>
      <c r="AE1291" s="32"/>
      <c r="AF1291" s="32"/>
      <c r="AG1291" s="32"/>
      <c r="AH1291" s="32"/>
      <c r="AI1291" s="30">
        <v>149270</v>
      </c>
      <c r="AJ1291" s="30">
        <v>98518</v>
      </c>
      <c r="AK1291" s="30">
        <v>0</v>
      </c>
      <c r="AL1291" s="30">
        <v>0</v>
      </c>
      <c r="AM1291" s="30">
        <v>52800</v>
      </c>
      <c r="AN1291" s="30">
        <v>173300</v>
      </c>
      <c r="AO1291" s="30">
        <v>226100</v>
      </c>
      <c r="AP1291" s="30">
        <f>Lookups!$B$58*0.6</f>
        <v>132535.48800000001</v>
      </c>
      <c r="AQ1291" s="30">
        <f>Lookups!$B$58*0.4</f>
        <v>88356.992000000013</v>
      </c>
      <c r="AR1291" s="30">
        <f>Lookups!$B$59*Inventory[[#This Row],[LnAcres]]</f>
        <v>-31602.651118487549</v>
      </c>
      <c r="AS1291" s="30">
        <f>VLOOKUP(Inventory[[#This Row],[Qlty]],Lookups!$A$66:$E$79,2,FALSE)</f>
        <v>-1240.8083630000001</v>
      </c>
      <c r="AT1291" s="30">
        <f>VLOOKUP(Inventory[[#This Row],[Cnd]],Lookups!$A$80:$E$88,2,FALSE)</f>
        <v>17761.121909000001</v>
      </c>
      <c r="AU1291" s="30">
        <f>Inventory[[#This Row],[EffAge]]*Lookups!$B$65</f>
        <v>-5872.0194000000001</v>
      </c>
      <c r="AV1291" s="30">
        <f>Inventory[[#This Row],[MainFn]]*Lookups!$B$90</f>
        <v>61162.172400000003</v>
      </c>
      <c r="AW1291" s="30">
        <f>Inventory[[#This Row],[UpprFn]]*Lookups!$B$91</f>
        <v>0</v>
      </c>
      <c r="AX1291" s="30">
        <f>Inventory[[#This Row],[Bsmt Area]]*Lookups!$B$95</f>
        <v>0</v>
      </c>
      <c r="AY1291" s="30">
        <f>Inventory[[#This Row],[AttGar]]*Lookups!$B$93</f>
        <v>0</v>
      </c>
      <c r="AZ1291" s="30">
        <f>ROUND(Inventory[[#This Row],[25Det]],-2)</f>
        <v>0</v>
      </c>
      <c r="BA1291" s="30">
        <f>ROUND(SUM(Inventory[[#This Row],[Mdl Qlty]:[Mdl Garage Area]])+Inventory[[#This Row],[Mdl Res Intercept]],-2)</f>
        <v>204300</v>
      </c>
      <c r="BB1291" s="30">
        <f>ROUND(Inventory[[#This Row],[Mdl Land Intercept]]+Inventory[[#This Row],[Mdl LnAcres]],-2)</f>
        <v>56800</v>
      </c>
      <c r="BC1291" s="30">
        <f>Inventory[[#This Row],[Unadj Res Value]]+Inventory[[#This Row],[Unadj Det Value]]+Inventory[[#This Row],[Unadj Land Value]]</f>
        <v>261100</v>
      </c>
      <c r="BD1291" s="30">
        <f>(Inventory[[#This Row],[Unadj Total Value]]-Inventory[[#This Row],[24Final]])/Inventory[[#This Row],[24Final]]</f>
        <v>0.15479876160990713</v>
      </c>
      <c r="BE1291" s="30">
        <f>VLOOKUP(Inventory[[#This Row],[Nbhd]],Lookups!$M$3:$P$5,4,FALSE)</f>
        <v>0.99970000000000003</v>
      </c>
      <c r="BF1291" s="30">
        <f>VLOOKUP(Inventory[[#This Row],[Qlty]],Lookups!$M$8:$P$22,4,FALSE)</f>
        <v>1.0022</v>
      </c>
      <c r="BG1291" s="30">
        <f>VLOOKUP(Inventory[[#This Row],[Cnd]],Lookups!$R$8:$U$17,4,FALSE)</f>
        <v>0.99680000000000002</v>
      </c>
      <c r="BH1291" s="30">
        <f>VLOOKUP(Inventory[[#This Row],[LivArea Range]],Lookups!$R$25:$U$43,4,FALSE)</f>
        <v>1</v>
      </c>
      <c r="BI1291" s="30">
        <f>VLOOKUP(Inventory[[#This Row],[Decade]],Lookups!$M$24:$P$40,4,FALSE)</f>
        <v>0.99960000000000004</v>
      </c>
      <c r="BJ1291" s="30">
        <f>Inventory[[#This Row],[Nbhd Adj]]*0.95</f>
        <v>0.94971499999999998</v>
      </c>
      <c r="BK1291" s="30">
        <f>AVERAGE(Inventory[[#This Row],[Nbhd Adj]],Inventory[[#This Row],[Quality Adj]],Inventory[[#This Row],[Condition Adj]],Inventory[[#This Row],[Living Area Adj]],Inventory[[#This Row],[Decade Adj]])*0.95</f>
        <v>0.9496770000000001</v>
      </c>
      <c r="BL1291" s="30">
        <f>ROUND((SUM(Inventory[[#This Row],[Mdl Qlty]:[Mdl Garage Area]])+Inventory[[#This Row],[Mdl Res Intercept]])*Inventory[[#This Row],[Res Adj ]],-2)</f>
        <v>194100</v>
      </c>
      <c r="BM1291" s="30">
        <f>ROUND(Inventory[[#This Row],[25Det]]*Inventory[[#This Row],[Det/Nbhd Adj]],-2)</f>
        <v>0</v>
      </c>
      <c r="BN1291" s="30">
        <f>Inventory[[#This Row],[Adjusted Res]]+Inventory[[#This Row],[Adj Det ]]</f>
        <v>194100</v>
      </c>
      <c r="BO1291" s="30">
        <f>ROUND((Inventory[[#This Row],[Mdl Land Intercept]]+Inventory[[#This Row],[Mdl LnAcres]])*Inventory[[#This Row],[Det/Nbhd Adj]],-2)</f>
        <v>53900</v>
      </c>
      <c r="BP1291" s="30">
        <f>Inventory[[#This Row],[Adjusted Impr Total]]+Inventory[[#This Row],[Adjusted Land Total]]</f>
        <v>248000</v>
      </c>
      <c r="BQ1291" s="30">
        <f>IFERROR((Inventory[[#This Row],[Adjusted Impr Total]]-Inventory[[#This Row],[24Bldg]])/Inventory[[#This Row],[24Bldg]],0)</f>
        <v>0.12002308136180034</v>
      </c>
      <c r="BR1291" s="43">
        <f>(Inventory[[#This Row],[Adjusted Land Total]]-Inventory[[#This Row],[24Lnd]])/Inventory[[#This Row],[24Lnd]]</f>
        <v>2.0833333333333332E-2</v>
      </c>
      <c r="BS1291" s="43">
        <f>(Inventory[[#This Row],[Adjusted Total]]-Inventory[[#This Row],[24Final]])/Inventory[[#This Row],[24Final]]</f>
        <v>9.6859796550199023E-2</v>
      </c>
    </row>
    <row r="1292" spans="1:71">
      <c r="A1292" s="30">
        <v>2025</v>
      </c>
      <c r="B1292" s="31" t="s">
        <v>1810</v>
      </c>
      <c r="C1292" s="36">
        <f>LN(Inventory[[#This Row],[Acres]])</f>
        <v>-2.0402208285265546</v>
      </c>
      <c r="D1292" s="38">
        <v>0.13</v>
      </c>
      <c r="E1292" s="30">
        <v>5583</v>
      </c>
      <c r="F1292" s="31" t="s">
        <v>505</v>
      </c>
      <c r="G1292" s="31" t="s">
        <v>155</v>
      </c>
      <c r="H1292" s="31" t="s">
        <v>5</v>
      </c>
      <c r="I1292" s="31" t="s">
        <v>506</v>
      </c>
      <c r="J1292" s="31" t="s">
        <v>507</v>
      </c>
      <c r="K1292" s="31" t="s">
        <v>475</v>
      </c>
      <c r="L1292" s="31" t="s">
        <v>15</v>
      </c>
      <c r="M1292" s="31" t="s">
        <v>18</v>
      </c>
      <c r="N1292" s="31">
        <v>90</v>
      </c>
      <c r="O1292" s="31">
        <f>2024-Inventory[[#This Row],[YrBlt]]</f>
        <v>94</v>
      </c>
      <c r="P1292" s="31">
        <f>2024-Inventory[[#This Row],[EffYr]]</f>
        <v>54</v>
      </c>
      <c r="Q1292" s="30">
        <v>1930</v>
      </c>
      <c r="R1292" s="30">
        <v>1970</v>
      </c>
      <c r="S1292" s="30">
        <v>734</v>
      </c>
      <c r="T1292" s="38">
        <v>300</v>
      </c>
      <c r="U1292" s="38">
        <v>64</v>
      </c>
      <c r="V1292" s="32"/>
      <c r="W1292" s="32"/>
      <c r="X1292" s="32">
        <f>Inventory[[#This Row],[Bsmt Area]]-Inventory[[#This Row],[FnBsmt]]</f>
        <v>64</v>
      </c>
      <c r="Y1292" s="32">
        <f>Inventory[[#This Row],[MainFn]]+Inventory[[#This Row],[UpprFn]]+Inventory[[#This Row],[AddFn]]+Inventory[[#This Row],[FnBsmt]]</f>
        <v>1034</v>
      </c>
      <c r="Z1292" s="32">
        <v>1500</v>
      </c>
      <c r="AA1292" s="31" t="s">
        <v>56</v>
      </c>
      <c r="AB1292" s="32"/>
      <c r="AC1292" s="37"/>
      <c r="AD1292" s="32"/>
      <c r="AE1292" s="32"/>
      <c r="AF1292" s="32"/>
      <c r="AG1292" s="32"/>
      <c r="AH1292" s="32"/>
      <c r="AI1292" s="30">
        <v>151539</v>
      </c>
      <c r="AJ1292" s="30">
        <v>100016</v>
      </c>
      <c r="AK1292" s="30">
        <v>0</v>
      </c>
      <c r="AL1292" s="30">
        <v>0</v>
      </c>
      <c r="AM1292" s="30">
        <v>57900</v>
      </c>
      <c r="AN1292" s="30">
        <v>179500</v>
      </c>
      <c r="AO1292" s="30">
        <v>237400</v>
      </c>
      <c r="AP1292" s="30">
        <f>Lookups!$B$58*0.6</f>
        <v>132535.48800000001</v>
      </c>
      <c r="AQ1292" s="30">
        <f>Lookups!$B$58*0.4</f>
        <v>88356.992000000013</v>
      </c>
      <c r="AR1292" s="30">
        <f>Lookups!$B$59*Inventory[[#This Row],[LnAcres]]</f>
        <v>-26776.513064468461</v>
      </c>
      <c r="AS1292" s="30">
        <f>VLOOKUP(Inventory[[#This Row],[Qlty]],Lookups!$A$66:$E$79,2,FALSE)</f>
        <v>-1240.8083630000001</v>
      </c>
      <c r="AT1292" s="30">
        <f>VLOOKUP(Inventory[[#This Row],[Cnd]],Lookups!$A$80:$E$88,2,FALSE)</f>
        <v>17761.121909000001</v>
      </c>
      <c r="AU1292" s="30">
        <f>Inventory[[#This Row],[EffAge]]*Lookups!$B$65</f>
        <v>-5872.0194000000001</v>
      </c>
      <c r="AV1292" s="30">
        <f>Inventory[[#This Row],[MainFn]]*Lookups!$B$90</f>
        <v>45809.218919999999</v>
      </c>
      <c r="AW1292" s="30">
        <f>Inventory[[#This Row],[UpprFn]]*Lookups!$B$91</f>
        <v>17874.1149</v>
      </c>
      <c r="AX1292" s="30">
        <f>Inventory[[#This Row],[Bsmt Area]]*Lookups!$B$95</f>
        <v>4005.5357439999998</v>
      </c>
      <c r="AY1292" s="30">
        <f>Inventory[[#This Row],[AttGar]]*Lookups!$B$93</f>
        <v>0</v>
      </c>
      <c r="AZ1292" s="30">
        <f>ROUND(Inventory[[#This Row],[25Det]],-2)</f>
        <v>0</v>
      </c>
      <c r="BA1292" s="30">
        <f>ROUND(SUM(Inventory[[#This Row],[Mdl Qlty]:[Mdl Garage Area]])+Inventory[[#This Row],[Mdl Res Intercept]],-2)</f>
        <v>210900</v>
      </c>
      <c r="BB1292" s="30">
        <f>ROUND(Inventory[[#This Row],[Mdl Land Intercept]]+Inventory[[#This Row],[Mdl LnAcres]],-2)</f>
        <v>61600</v>
      </c>
      <c r="BC1292" s="30">
        <f>Inventory[[#This Row],[Unadj Res Value]]+Inventory[[#This Row],[Unadj Det Value]]+Inventory[[#This Row],[Unadj Land Value]]</f>
        <v>272500</v>
      </c>
      <c r="BD1292" s="30">
        <f>(Inventory[[#This Row],[Unadj Total Value]]-Inventory[[#This Row],[24Final]])/Inventory[[#This Row],[24Final]]</f>
        <v>0.14785172704296545</v>
      </c>
      <c r="BE1292" s="30">
        <f>VLOOKUP(Inventory[[#This Row],[Nbhd]],Lookups!$M$3:$P$5,4,FALSE)</f>
        <v>0.99970000000000003</v>
      </c>
      <c r="BF1292" s="30">
        <f>VLOOKUP(Inventory[[#This Row],[Qlty]],Lookups!$M$8:$P$22,4,FALSE)</f>
        <v>1.0022</v>
      </c>
      <c r="BG1292" s="30">
        <f>VLOOKUP(Inventory[[#This Row],[Cnd]],Lookups!$R$8:$U$17,4,FALSE)</f>
        <v>0.99680000000000002</v>
      </c>
      <c r="BH1292" s="30">
        <f>VLOOKUP(Inventory[[#This Row],[LivArea Range]],Lookups!$R$25:$U$43,4,FALSE)</f>
        <v>0.99519999999999997</v>
      </c>
      <c r="BI1292" s="30">
        <f>VLOOKUP(Inventory[[#This Row],[Decade]],Lookups!$M$24:$P$40,4,FALSE)</f>
        <v>0.99960000000000004</v>
      </c>
      <c r="BJ1292" s="30">
        <f>Inventory[[#This Row],[Nbhd Adj]]*0.95</f>
        <v>0.94971499999999998</v>
      </c>
      <c r="BK1292" s="30">
        <f>AVERAGE(Inventory[[#This Row],[Nbhd Adj]],Inventory[[#This Row],[Quality Adj]],Inventory[[#This Row],[Condition Adj]],Inventory[[#This Row],[Living Area Adj]],Inventory[[#This Row],[Decade Adj]])*0.95</f>
        <v>0.94876499999999997</v>
      </c>
      <c r="BL1292" s="30">
        <f>ROUND((SUM(Inventory[[#This Row],[Mdl Qlty]:[Mdl Garage Area]])+Inventory[[#This Row],[Mdl Res Intercept]])*Inventory[[#This Row],[Res Adj ]],-2)</f>
        <v>200100</v>
      </c>
      <c r="BM1292" s="30">
        <f>ROUND(Inventory[[#This Row],[25Det]]*Inventory[[#This Row],[Det/Nbhd Adj]],-2)</f>
        <v>0</v>
      </c>
      <c r="BN1292" s="30">
        <f>Inventory[[#This Row],[Adjusted Res]]+Inventory[[#This Row],[Adj Det ]]</f>
        <v>200100</v>
      </c>
      <c r="BO1292" s="30">
        <f>ROUND((Inventory[[#This Row],[Mdl Land Intercept]]+Inventory[[#This Row],[Mdl LnAcres]])*Inventory[[#This Row],[Det/Nbhd Adj]],-2)</f>
        <v>58500</v>
      </c>
      <c r="BP1292" s="30">
        <f>Inventory[[#This Row],[Adjusted Impr Total]]+Inventory[[#This Row],[Adjusted Land Total]]</f>
        <v>258600</v>
      </c>
      <c r="BQ1292" s="30">
        <f>IFERROR((Inventory[[#This Row],[Adjusted Impr Total]]-Inventory[[#This Row],[24Bldg]])/Inventory[[#This Row],[24Bldg]],0)</f>
        <v>0.11476323119777158</v>
      </c>
      <c r="BR1292" s="43">
        <f>(Inventory[[#This Row],[Adjusted Land Total]]-Inventory[[#This Row],[24Lnd]])/Inventory[[#This Row],[24Lnd]]</f>
        <v>1.0362694300518135E-2</v>
      </c>
      <c r="BS1292" s="43">
        <f>(Inventory[[#This Row],[Adjusted Total]]-Inventory[[#This Row],[24Final]])/Inventory[[#This Row],[24Final]]</f>
        <v>8.9300758213984838E-2</v>
      </c>
    </row>
    <row r="1293" spans="1:71">
      <c r="A1293" s="30">
        <v>2025</v>
      </c>
      <c r="B1293" s="31" t="s">
        <v>1811</v>
      </c>
      <c r="C1293" s="36">
        <f>LN(Inventory[[#This Row],[Acres]])</f>
        <v>-2.0402208285265546</v>
      </c>
      <c r="D1293" s="38">
        <v>0.13</v>
      </c>
      <c r="E1293" s="30">
        <v>5771</v>
      </c>
      <c r="F1293" s="31" t="s">
        <v>505</v>
      </c>
      <c r="G1293" s="31" t="s">
        <v>155</v>
      </c>
      <c r="H1293" s="31" t="s">
        <v>5</v>
      </c>
      <c r="I1293" s="31" t="s">
        <v>506</v>
      </c>
      <c r="J1293" s="31" t="s">
        <v>507</v>
      </c>
      <c r="K1293" s="31" t="s">
        <v>475</v>
      </c>
      <c r="L1293" s="31" t="s">
        <v>13</v>
      </c>
      <c r="M1293" s="31" t="s">
        <v>16</v>
      </c>
      <c r="N1293" s="31">
        <v>90</v>
      </c>
      <c r="O1293" s="31">
        <f>2024-Inventory[[#This Row],[YrBlt]]</f>
        <v>94</v>
      </c>
      <c r="P1293" s="31">
        <f>2024-Inventory[[#This Row],[EffYr]]</f>
        <v>54</v>
      </c>
      <c r="Q1293" s="30">
        <v>1930</v>
      </c>
      <c r="R1293" s="30">
        <v>1970</v>
      </c>
      <c r="S1293" s="30">
        <v>826</v>
      </c>
      <c r="T1293" s="32"/>
      <c r="U1293" s="32"/>
      <c r="V1293" s="32"/>
      <c r="W1293" s="32"/>
      <c r="X1293" s="32">
        <f>Inventory[[#This Row],[Bsmt Area]]-Inventory[[#This Row],[FnBsmt]]</f>
        <v>0</v>
      </c>
      <c r="Y1293" s="32">
        <f>Inventory[[#This Row],[MainFn]]+Inventory[[#This Row],[UpprFn]]+Inventory[[#This Row],[AddFn]]+Inventory[[#This Row],[FnBsmt]]</f>
        <v>826</v>
      </c>
      <c r="Z1293" s="32">
        <v>1000</v>
      </c>
      <c r="AA1293" s="31" t="s">
        <v>56</v>
      </c>
      <c r="AB1293" s="32"/>
      <c r="AC1293" s="37"/>
      <c r="AD1293" s="32"/>
      <c r="AE1293" s="32"/>
      <c r="AF1293" s="32"/>
      <c r="AG1293" s="32"/>
      <c r="AH1293" s="32"/>
      <c r="AI1293" s="30">
        <v>114955</v>
      </c>
      <c r="AJ1293" s="30">
        <v>73571</v>
      </c>
      <c r="AK1293" s="30">
        <v>7109</v>
      </c>
      <c r="AL1293" s="30">
        <v>0</v>
      </c>
      <c r="AM1293" s="30">
        <v>57900</v>
      </c>
      <c r="AN1293" s="30">
        <v>160000</v>
      </c>
      <c r="AO1293" s="30">
        <v>217900</v>
      </c>
      <c r="AP1293" s="30">
        <f>Lookups!$B$58*0.6</f>
        <v>132535.48800000001</v>
      </c>
      <c r="AQ1293" s="30">
        <f>Lookups!$B$58*0.4</f>
        <v>88356.992000000013</v>
      </c>
      <c r="AR1293" s="30">
        <f>Lookups!$B$59*Inventory[[#This Row],[LnAcres]]</f>
        <v>-26776.513064468461</v>
      </c>
      <c r="AS1293" s="30">
        <f>VLOOKUP(Inventory[[#This Row],[Qlty]],Lookups!$A$66:$E$79,2,FALSE)</f>
        <v>0</v>
      </c>
      <c r="AT1293" s="30">
        <f>VLOOKUP(Inventory[[#This Row],[Cnd]],Lookups!$A$80:$E$88,2,FALSE)</f>
        <v>0</v>
      </c>
      <c r="AU1293" s="30">
        <f>Inventory[[#This Row],[EffAge]]*Lookups!$B$65</f>
        <v>-5872.0194000000001</v>
      </c>
      <c r="AV1293" s="30">
        <f>Inventory[[#This Row],[MainFn]]*Lookups!$B$90</f>
        <v>51550.973880000005</v>
      </c>
      <c r="AW1293" s="30">
        <f>Inventory[[#This Row],[UpprFn]]*Lookups!$B$91</f>
        <v>0</v>
      </c>
      <c r="AX1293" s="30">
        <f>Inventory[[#This Row],[Bsmt Area]]*Lookups!$B$95</f>
        <v>0</v>
      </c>
      <c r="AY1293" s="30">
        <f>Inventory[[#This Row],[AttGar]]*Lookups!$B$93</f>
        <v>0</v>
      </c>
      <c r="AZ1293" s="30">
        <f>ROUND(Inventory[[#This Row],[25Det]],-2)</f>
        <v>7100</v>
      </c>
      <c r="BA1293" s="30">
        <f>ROUND(SUM(Inventory[[#This Row],[Mdl Qlty]:[Mdl Garage Area]])+Inventory[[#This Row],[Mdl Res Intercept]],-2)</f>
        <v>178200</v>
      </c>
      <c r="BB1293" s="30">
        <f>ROUND(Inventory[[#This Row],[Mdl Land Intercept]]+Inventory[[#This Row],[Mdl LnAcres]],-2)</f>
        <v>61600</v>
      </c>
      <c r="BC1293" s="30">
        <f>Inventory[[#This Row],[Unadj Res Value]]+Inventory[[#This Row],[Unadj Det Value]]+Inventory[[#This Row],[Unadj Land Value]]</f>
        <v>246900</v>
      </c>
      <c r="BD1293" s="30">
        <f>(Inventory[[#This Row],[Unadj Total Value]]-Inventory[[#This Row],[24Final]])/Inventory[[#This Row],[24Final]]</f>
        <v>0.13308857273978889</v>
      </c>
      <c r="BE1293" s="30">
        <f>VLOOKUP(Inventory[[#This Row],[Nbhd]],Lookups!$M$3:$P$5,4,FALSE)</f>
        <v>0.99970000000000003</v>
      </c>
      <c r="BF1293" s="30">
        <f>VLOOKUP(Inventory[[#This Row],[Qlty]],Lookups!$M$8:$P$22,4,FALSE)</f>
        <v>1.0003</v>
      </c>
      <c r="BG1293" s="30">
        <f>VLOOKUP(Inventory[[#This Row],[Cnd]],Lookups!$R$8:$U$17,4,FALSE)</f>
        <v>1</v>
      </c>
      <c r="BH1293" s="30">
        <f>VLOOKUP(Inventory[[#This Row],[LivArea Range]],Lookups!$R$25:$U$43,4,FALSE)</f>
        <v>1</v>
      </c>
      <c r="BI1293" s="30">
        <f>VLOOKUP(Inventory[[#This Row],[Decade]],Lookups!$M$24:$P$40,4,FALSE)</f>
        <v>0.99960000000000004</v>
      </c>
      <c r="BJ1293" s="30">
        <f>Inventory[[#This Row],[Nbhd Adj]]*0.95</f>
        <v>0.94971499999999998</v>
      </c>
      <c r="BK1293" s="30">
        <f>AVERAGE(Inventory[[#This Row],[Nbhd Adj]],Inventory[[#This Row],[Quality Adj]],Inventory[[#This Row],[Condition Adj]],Inventory[[#This Row],[Living Area Adj]],Inventory[[#This Row],[Decade Adj]])*0.95</f>
        <v>0.94992399999999999</v>
      </c>
      <c r="BL1293" s="30">
        <f>ROUND((SUM(Inventory[[#This Row],[Mdl Qlty]:[Mdl Garage Area]])+Inventory[[#This Row],[Mdl Res Intercept]])*Inventory[[#This Row],[Res Adj ]],-2)</f>
        <v>169300</v>
      </c>
      <c r="BM1293" s="30">
        <f>ROUND(Inventory[[#This Row],[25Det]]*Inventory[[#This Row],[Det/Nbhd Adj]],-2)</f>
        <v>6800</v>
      </c>
      <c r="BN1293" s="30">
        <f>Inventory[[#This Row],[Adjusted Res]]+Inventory[[#This Row],[Adj Det ]]</f>
        <v>176100</v>
      </c>
      <c r="BO1293" s="30">
        <f>ROUND((Inventory[[#This Row],[Mdl Land Intercept]]+Inventory[[#This Row],[Mdl LnAcres]])*Inventory[[#This Row],[Det/Nbhd Adj]],-2)</f>
        <v>58500</v>
      </c>
      <c r="BP1293" s="30">
        <f>Inventory[[#This Row],[Adjusted Impr Total]]+Inventory[[#This Row],[Adjusted Land Total]]</f>
        <v>234600</v>
      </c>
      <c r="BQ1293" s="30">
        <f>IFERROR((Inventory[[#This Row],[Adjusted Impr Total]]-Inventory[[#This Row],[24Bldg]])/Inventory[[#This Row],[24Bldg]],0)</f>
        <v>0.10062500000000001</v>
      </c>
      <c r="BR1293" s="43">
        <f>(Inventory[[#This Row],[Adjusted Land Total]]-Inventory[[#This Row],[24Lnd]])/Inventory[[#This Row],[24Lnd]]</f>
        <v>1.0362694300518135E-2</v>
      </c>
      <c r="BS1293" s="43">
        <f>(Inventory[[#This Row],[Adjusted Total]]-Inventory[[#This Row],[24Final]])/Inventory[[#This Row],[24Final]]</f>
        <v>7.6640660853602577E-2</v>
      </c>
    </row>
    <row r="1294" spans="1:71">
      <c r="A1294" s="30">
        <v>2025</v>
      </c>
      <c r="B1294" s="31" t="s">
        <v>1812</v>
      </c>
      <c r="C1294" s="36">
        <f>LN(Inventory[[#This Row],[Acres]])</f>
        <v>-1.9661128563728327</v>
      </c>
      <c r="D1294" s="38">
        <v>0.14000000000000001</v>
      </c>
      <c r="E1294" s="30">
        <v>6108</v>
      </c>
      <c r="F1294" s="31" t="s">
        <v>505</v>
      </c>
      <c r="G1294" s="31" t="s">
        <v>155</v>
      </c>
      <c r="H1294" s="31" t="s">
        <v>5</v>
      </c>
      <c r="I1294" s="31" t="s">
        <v>506</v>
      </c>
      <c r="J1294" s="31" t="s">
        <v>507</v>
      </c>
      <c r="K1294" s="31" t="s">
        <v>157</v>
      </c>
      <c r="L1294" s="31" t="s">
        <v>17</v>
      </c>
      <c r="M1294" s="31" t="s">
        <v>18</v>
      </c>
      <c r="N1294" s="31">
        <v>90</v>
      </c>
      <c r="O1294" s="31">
        <f>2024-Inventory[[#This Row],[YrBlt]]</f>
        <v>94</v>
      </c>
      <c r="P1294" s="31">
        <f>2024-Inventory[[#This Row],[EffYr]]</f>
        <v>54</v>
      </c>
      <c r="Q1294" s="30">
        <v>1930</v>
      </c>
      <c r="R1294" s="30">
        <v>1970</v>
      </c>
      <c r="S1294" s="30">
        <v>1360</v>
      </c>
      <c r="T1294" s="30">
        <v>400</v>
      </c>
      <c r="U1294" s="32"/>
      <c r="V1294" s="32"/>
      <c r="W1294" s="32"/>
      <c r="X1294" s="32">
        <f>Inventory[[#This Row],[Bsmt Area]]-Inventory[[#This Row],[FnBsmt]]</f>
        <v>0</v>
      </c>
      <c r="Y1294" s="32">
        <f>Inventory[[#This Row],[MainFn]]+Inventory[[#This Row],[UpprFn]]+Inventory[[#This Row],[AddFn]]+Inventory[[#This Row],[FnBsmt]]</f>
        <v>1760</v>
      </c>
      <c r="Z1294" s="32">
        <v>2000</v>
      </c>
      <c r="AA1294" s="31" t="s">
        <v>55</v>
      </c>
      <c r="AB1294" s="32"/>
      <c r="AC1294" s="32"/>
      <c r="AD1294" s="37"/>
      <c r="AE1294" s="32"/>
      <c r="AF1294" s="32"/>
      <c r="AG1294" s="32"/>
      <c r="AH1294" s="32"/>
      <c r="AI1294" s="30">
        <v>251951</v>
      </c>
      <c r="AJ1294" s="30">
        <v>166288</v>
      </c>
      <c r="AK1294" s="30">
        <v>10475</v>
      </c>
      <c r="AL1294" s="30">
        <v>0</v>
      </c>
      <c r="AM1294" s="30">
        <v>59000</v>
      </c>
      <c r="AN1294" s="30">
        <v>234600</v>
      </c>
      <c r="AO1294" s="30">
        <v>293600</v>
      </c>
      <c r="AP1294" s="30">
        <f>Lookups!$B$58*0.6</f>
        <v>132535.48800000001</v>
      </c>
      <c r="AQ1294" s="30">
        <f>Lookups!$B$58*0.4</f>
        <v>88356.992000000013</v>
      </c>
      <c r="AR1294" s="30">
        <f>Lookups!$B$59*Inventory[[#This Row],[LnAcres]]</f>
        <v>-25803.896249263951</v>
      </c>
      <c r="AS1294" s="30">
        <f>VLOOKUP(Inventory[[#This Row],[Qlty]],Lookups!$A$66:$E$79,2,FALSE)</f>
        <v>24371.765965999999</v>
      </c>
      <c r="AT1294" s="30">
        <f>VLOOKUP(Inventory[[#This Row],[Cnd]],Lookups!$A$80:$E$88,2,FALSE)</f>
        <v>17761.121909000001</v>
      </c>
      <c r="AU1294" s="30">
        <f>Inventory[[#This Row],[EffAge]]*Lookups!$B$65</f>
        <v>-5872.0194000000001</v>
      </c>
      <c r="AV1294" s="30">
        <f>Inventory[[#This Row],[MainFn]]*Lookups!$B$90</f>
        <v>84878.116800000003</v>
      </c>
      <c r="AW1294" s="30">
        <f>Inventory[[#This Row],[UpprFn]]*Lookups!$B$91</f>
        <v>23832.153200000001</v>
      </c>
      <c r="AX1294" s="30">
        <f>Inventory[[#This Row],[Bsmt Area]]*Lookups!$B$95</f>
        <v>0</v>
      </c>
      <c r="AY1294" s="30">
        <f>Inventory[[#This Row],[AttGar]]*Lookups!$B$93</f>
        <v>0</v>
      </c>
      <c r="AZ1294" s="30">
        <f>ROUND(Inventory[[#This Row],[25Det]],-2)</f>
        <v>10500</v>
      </c>
      <c r="BA1294" s="30">
        <f>ROUND(SUM(Inventory[[#This Row],[Mdl Qlty]:[Mdl Garage Area]])+Inventory[[#This Row],[Mdl Res Intercept]],-2)</f>
        <v>277500</v>
      </c>
      <c r="BB1294" s="30">
        <f>ROUND(Inventory[[#This Row],[Mdl Land Intercept]]+Inventory[[#This Row],[Mdl LnAcres]],-2)</f>
        <v>62600</v>
      </c>
      <c r="BC1294" s="30">
        <f>Inventory[[#This Row],[Unadj Res Value]]+Inventory[[#This Row],[Unadj Det Value]]+Inventory[[#This Row],[Unadj Land Value]]</f>
        <v>350600</v>
      </c>
      <c r="BD1294" s="30">
        <f>(Inventory[[#This Row],[Unadj Total Value]]-Inventory[[#This Row],[24Final]])/Inventory[[#This Row],[24Final]]</f>
        <v>0.19414168937329701</v>
      </c>
      <c r="BE1294" s="30">
        <f>VLOOKUP(Inventory[[#This Row],[Nbhd]],Lookups!$M$3:$P$5,4,FALSE)</f>
        <v>0.99970000000000003</v>
      </c>
      <c r="BF1294" s="30">
        <f>VLOOKUP(Inventory[[#This Row],[Qlty]],Lookups!$M$8:$P$22,4,FALSE)</f>
        <v>0.99199999999999999</v>
      </c>
      <c r="BG1294" s="30">
        <f>VLOOKUP(Inventory[[#This Row],[Cnd]],Lookups!$R$8:$U$17,4,FALSE)</f>
        <v>0.99680000000000002</v>
      </c>
      <c r="BH1294" s="30">
        <f>VLOOKUP(Inventory[[#This Row],[LivArea Range]],Lookups!$R$25:$U$43,4,FALSE)</f>
        <v>1.0007999999999999</v>
      </c>
      <c r="BI1294" s="30">
        <f>VLOOKUP(Inventory[[#This Row],[Decade]],Lookups!$M$24:$P$40,4,FALSE)</f>
        <v>0.99960000000000004</v>
      </c>
      <c r="BJ1294" s="30">
        <f>Inventory[[#This Row],[Nbhd Adj]]*0.95</f>
        <v>0.94971499999999998</v>
      </c>
      <c r="BK1294" s="30">
        <f>AVERAGE(Inventory[[#This Row],[Nbhd Adj]],Inventory[[#This Row],[Quality Adj]],Inventory[[#This Row],[Condition Adj]],Inventory[[#This Row],[Living Area Adj]],Inventory[[#This Row],[Decade Adj]])*0.95</f>
        <v>0.94789099999999993</v>
      </c>
      <c r="BL1294" s="30">
        <f>ROUND((SUM(Inventory[[#This Row],[Mdl Qlty]:[Mdl Garage Area]])+Inventory[[#This Row],[Mdl Res Intercept]])*Inventory[[#This Row],[Res Adj ]],-2)</f>
        <v>263000</v>
      </c>
      <c r="BM1294" s="30">
        <f>ROUND(Inventory[[#This Row],[25Det]]*Inventory[[#This Row],[Det/Nbhd Adj]],-2)</f>
        <v>9900</v>
      </c>
      <c r="BN1294" s="30">
        <f>Inventory[[#This Row],[Adjusted Res]]+Inventory[[#This Row],[Adj Det ]]</f>
        <v>272900</v>
      </c>
      <c r="BO1294" s="30">
        <f>ROUND((Inventory[[#This Row],[Mdl Land Intercept]]+Inventory[[#This Row],[Mdl LnAcres]])*Inventory[[#This Row],[Det/Nbhd Adj]],-2)</f>
        <v>59400</v>
      </c>
      <c r="BP1294" s="30">
        <f>Inventory[[#This Row],[Adjusted Impr Total]]+Inventory[[#This Row],[Adjusted Land Total]]</f>
        <v>332300</v>
      </c>
      <c r="BQ1294" s="30">
        <f>IFERROR((Inventory[[#This Row],[Adjusted Impr Total]]-Inventory[[#This Row],[24Bldg]])/Inventory[[#This Row],[24Bldg]],0)</f>
        <v>0.16325660699062233</v>
      </c>
      <c r="BR1294" s="43">
        <f>(Inventory[[#This Row],[Adjusted Land Total]]-Inventory[[#This Row],[24Lnd]])/Inventory[[#This Row],[24Lnd]]</f>
        <v>6.7796610169491523E-3</v>
      </c>
      <c r="BS1294" s="43">
        <f>(Inventory[[#This Row],[Adjusted Total]]-Inventory[[#This Row],[24Final]])/Inventory[[#This Row],[24Final]]</f>
        <v>0.13181198910081743</v>
      </c>
    </row>
    <row r="1295" spans="1:71">
      <c r="A1295" s="30">
        <v>2025</v>
      </c>
      <c r="B1295" s="31" t="s">
        <v>1813</v>
      </c>
      <c r="C1295" s="36">
        <f>LN(Inventory[[#This Row],[Acres]])</f>
        <v>-1.9661128563728327</v>
      </c>
      <c r="D1295" s="38">
        <v>0.14000000000000001</v>
      </c>
      <c r="E1295" s="30">
        <v>6009</v>
      </c>
      <c r="F1295" s="31" t="s">
        <v>505</v>
      </c>
      <c r="G1295" s="31" t="s">
        <v>155</v>
      </c>
      <c r="H1295" s="31" t="s">
        <v>5</v>
      </c>
      <c r="I1295" s="31" t="s">
        <v>506</v>
      </c>
      <c r="J1295" s="31" t="s">
        <v>507</v>
      </c>
      <c r="K1295" s="31" t="s">
        <v>473</v>
      </c>
      <c r="L1295" s="31" t="s">
        <v>17</v>
      </c>
      <c r="M1295" s="31" t="s">
        <v>18</v>
      </c>
      <c r="N1295" s="31">
        <v>90</v>
      </c>
      <c r="O1295" s="31">
        <f>2024-Inventory[[#This Row],[YrBlt]]</f>
        <v>94</v>
      </c>
      <c r="P1295" s="31">
        <f>2024-Inventory[[#This Row],[EffYr]]</f>
        <v>54</v>
      </c>
      <c r="Q1295" s="30">
        <v>1930</v>
      </c>
      <c r="R1295" s="30">
        <v>1970</v>
      </c>
      <c r="S1295" s="30">
        <v>1350</v>
      </c>
      <c r="T1295" s="32"/>
      <c r="U1295" s="32"/>
      <c r="V1295" s="32"/>
      <c r="W1295" s="32"/>
      <c r="X1295" s="32">
        <f>Inventory[[#This Row],[Bsmt Area]]-Inventory[[#This Row],[FnBsmt]]</f>
        <v>0</v>
      </c>
      <c r="Y1295" s="32">
        <f>Inventory[[#This Row],[MainFn]]+Inventory[[#This Row],[UpprFn]]+Inventory[[#This Row],[AddFn]]+Inventory[[#This Row],[FnBsmt]]</f>
        <v>1350</v>
      </c>
      <c r="Z1295" s="32">
        <v>1500</v>
      </c>
      <c r="AA1295" s="31" t="s">
        <v>56</v>
      </c>
      <c r="AB1295" s="32"/>
      <c r="AC1295" s="37"/>
      <c r="AD1295" s="32"/>
      <c r="AE1295" s="32"/>
      <c r="AF1295" s="32"/>
      <c r="AG1295" s="32"/>
      <c r="AH1295" s="32"/>
      <c r="AI1295" s="30">
        <v>205162</v>
      </c>
      <c r="AJ1295" s="30">
        <v>135407</v>
      </c>
      <c r="AK1295" s="30">
        <v>29635</v>
      </c>
      <c r="AL1295" s="30">
        <v>0</v>
      </c>
      <c r="AM1295" s="30">
        <v>59000</v>
      </c>
      <c r="AN1295" s="30">
        <v>228600</v>
      </c>
      <c r="AO1295" s="30">
        <v>287600</v>
      </c>
      <c r="AP1295" s="30">
        <f>Lookups!$B$58*0.6</f>
        <v>132535.48800000001</v>
      </c>
      <c r="AQ1295" s="30">
        <f>Lookups!$B$58*0.4</f>
        <v>88356.992000000013</v>
      </c>
      <c r="AR1295" s="30">
        <f>Lookups!$B$59*Inventory[[#This Row],[LnAcres]]</f>
        <v>-25803.896249263951</v>
      </c>
      <c r="AS1295" s="30">
        <f>VLOOKUP(Inventory[[#This Row],[Qlty]],Lookups!$A$66:$E$79,2,FALSE)</f>
        <v>24371.765965999999</v>
      </c>
      <c r="AT1295" s="30">
        <f>VLOOKUP(Inventory[[#This Row],[Cnd]],Lookups!$A$80:$E$88,2,FALSE)</f>
        <v>17761.121909000001</v>
      </c>
      <c r="AU1295" s="30">
        <f>Inventory[[#This Row],[EffAge]]*Lookups!$B$65</f>
        <v>-5872.0194000000001</v>
      </c>
      <c r="AV1295" s="30">
        <f>Inventory[[#This Row],[MainFn]]*Lookups!$B$90</f>
        <v>84254.013000000006</v>
      </c>
      <c r="AW1295" s="30">
        <f>Inventory[[#This Row],[UpprFn]]*Lookups!$B$91</f>
        <v>0</v>
      </c>
      <c r="AX1295" s="30">
        <f>Inventory[[#This Row],[Bsmt Area]]*Lookups!$B$95</f>
        <v>0</v>
      </c>
      <c r="AY1295" s="30">
        <f>Inventory[[#This Row],[AttGar]]*Lookups!$B$93</f>
        <v>0</v>
      </c>
      <c r="AZ1295" s="30">
        <f>ROUND(Inventory[[#This Row],[25Det]],-2)</f>
        <v>29600</v>
      </c>
      <c r="BA1295" s="30">
        <f>ROUND(SUM(Inventory[[#This Row],[Mdl Qlty]:[Mdl Garage Area]])+Inventory[[#This Row],[Mdl Res Intercept]],-2)</f>
        <v>253100</v>
      </c>
      <c r="BB1295" s="30">
        <f>ROUND(Inventory[[#This Row],[Mdl Land Intercept]]+Inventory[[#This Row],[Mdl LnAcres]],-2)</f>
        <v>62600</v>
      </c>
      <c r="BC1295" s="30">
        <f>Inventory[[#This Row],[Unadj Res Value]]+Inventory[[#This Row],[Unadj Det Value]]+Inventory[[#This Row],[Unadj Land Value]]</f>
        <v>345300</v>
      </c>
      <c r="BD1295" s="30">
        <f>(Inventory[[#This Row],[Unadj Total Value]]-Inventory[[#This Row],[24Final]])/Inventory[[#This Row],[24Final]]</f>
        <v>0.2006258692628651</v>
      </c>
      <c r="BE1295" s="30">
        <f>VLOOKUP(Inventory[[#This Row],[Nbhd]],Lookups!$M$3:$P$5,4,FALSE)</f>
        <v>0.99970000000000003</v>
      </c>
      <c r="BF1295" s="30">
        <f>VLOOKUP(Inventory[[#This Row],[Qlty]],Lookups!$M$8:$P$22,4,FALSE)</f>
        <v>0.99199999999999999</v>
      </c>
      <c r="BG1295" s="30">
        <f>VLOOKUP(Inventory[[#This Row],[Cnd]],Lookups!$R$8:$U$17,4,FALSE)</f>
        <v>0.99680000000000002</v>
      </c>
      <c r="BH1295" s="30">
        <f>VLOOKUP(Inventory[[#This Row],[LivArea Range]],Lookups!$R$25:$U$43,4,FALSE)</f>
        <v>0.99519999999999997</v>
      </c>
      <c r="BI1295" s="30">
        <f>VLOOKUP(Inventory[[#This Row],[Decade]],Lookups!$M$24:$P$40,4,FALSE)</f>
        <v>0.99960000000000004</v>
      </c>
      <c r="BJ1295" s="30">
        <f>Inventory[[#This Row],[Nbhd Adj]]*0.95</f>
        <v>0.94971499999999998</v>
      </c>
      <c r="BK1295" s="30">
        <f>AVERAGE(Inventory[[#This Row],[Nbhd Adj]],Inventory[[#This Row],[Quality Adj]],Inventory[[#This Row],[Condition Adj]],Inventory[[#This Row],[Living Area Adj]],Inventory[[#This Row],[Decade Adj]])*0.95</f>
        <v>0.94682699999999997</v>
      </c>
      <c r="BL1295" s="30">
        <f>ROUND((SUM(Inventory[[#This Row],[Mdl Qlty]:[Mdl Garage Area]])+Inventory[[#This Row],[Mdl Res Intercept]])*Inventory[[#This Row],[Res Adj ]],-2)</f>
        <v>239600</v>
      </c>
      <c r="BM1295" s="30">
        <f>ROUND(Inventory[[#This Row],[25Det]]*Inventory[[#This Row],[Det/Nbhd Adj]],-2)</f>
        <v>28100</v>
      </c>
      <c r="BN1295" s="30">
        <f>Inventory[[#This Row],[Adjusted Res]]+Inventory[[#This Row],[Adj Det ]]</f>
        <v>267700</v>
      </c>
      <c r="BO1295" s="30">
        <f>ROUND((Inventory[[#This Row],[Mdl Land Intercept]]+Inventory[[#This Row],[Mdl LnAcres]])*Inventory[[#This Row],[Det/Nbhd Adj]],-2)</f>
        <v>59400</v>
      </c>
      <c r="BP1295" s="30">
        <f>Inventory[[#This Row],[Adjusted Impr Total]]+Inventory[[#This Row],[Adjusted Land Total]]</f>
        <v>327100</v>
      </c>
      <c r="BQ1295" s="30">
        <f>IFERROR((Inventory[[#This Row],[Adjusted Impr Total]]-Inventory[[#This Row],[24Bldg]])/Inventory[[#This Row],[24Bldg]],0)</f>
        <v>0.17104111986001749</v>
      </c>
      <c r="BR1295" s="43">
        <f>(Inventory[[#This Row],[Adjusted Land Total]]-Inventory[[#This Row],[24Lnd]])/Inventory[[#This Row],[24Lnd]]</f>
        <v>6.7796610169491523E-3</v>
      </c>
      <c r="BS1295" s="43">
        <f>(Inventory[[#This Row],[Adjusted Total]]-Inventory[[#This Row],[24Final]])/Inventory[[#This Row],[24Final]]</f>
        <v>0.13734353268428373</v>
      </c>
    </row>
    <row r="1296" spans="1:71">
      <c r="A1296" s="30">
        <v>2025</v>
      </c>
      <c r="B1296" s="31" t="s">
        <v>1814</v>
      </c>
      <c r="C1296" s="36">
        <f>LN(Inventory[[#This Row],[Acres]])</f>
        <v>-1.9661128563728327</v>
      </c>
      <c r="D1296" s="38">
        <v>0.14000000000000001</v>
      </c>
      <c r="E1296" s="30">
        <v>6132</v>
      </c>
      <c r="F1296" s="31" t="s">
        <v>505</v>
      </c>
      <c r="G1296" s="31" t="s">
        <v>155</v>
      </c>
      <c r="H1296" s="31" t="s">
        <v>5</v>
      </c>
      <c r="I1296" s="31" t="s">
        <v>506</v>
      </c>
      <c r="J1296" s="31" t="s">
        <v>507</v>
      </c>
      <c r="K1296" s="31" t="s">
        <v>1815</v>
      </c>
      <c r="L1296" s="31" t="s">
        <v>11</v>
      </c>
      <c r="M1296" s="31" t="s">
        <v>20</v>
      </c>
      <c r="N1296" s="31">
        <v>90</v>
      </c>
      <c r="O1296" s="31">
        <f>2024-Inventory[[#This Row],[YrBlt]]</f>
        <v>94</v>
      </c>
      <c r="P1296" s="31">
        <f>2024-Inventory[[#This Row],[EffYr]]</f>
        <v>54</v>
      </c>
      <c r="Q1296" s="30">
        <v>1930</v>
      </c>
      <c r="R1296" s="30">
        <v>1970</v>
      </c>
      <c r="S1296" s="30">
        <v>888</v>
      </c>
      <c r="T1296" s="38">
        <v>400</v>
      </c>
      <c r="U1296" s="32"/>
      <c r="V1296" s="32"/>
      <c r="W1296" s="32"/>
      <c r="X1296" s="32">
        <f>Inventory[[#This Row],[Bsmt Area]]-Inventory[[#This Row],[FnBsmt]]</f>
        <v>0</v>
      </c>
      <c r="Y1296" s="32">
        <f>Inventory[[#This Row],[MainFn]]+Inventory[[#This Row],[UpprFn]]+Inventory[[#This Row],[AddFn]]+Inventory[[#This Row],[FnBsmt]]</f>
        <v>1288</v>
      </c>
      <c r="Z1296" s="32">
        <v>1500</v>
      </c>
      <c r="AA1296" s="31" t="s">
        <v>56</v>
      </c>
      <c r="AB1296" s="32"/>
      <c r="AC1296" s="37"/>
      <c r="AD1296" s="32"/>
      <c r="AE1296" s="32"/>
      <c r="AF1296" s="32"/>
      <c r="AG1296" s="32"/>
      <c r="AH1296" s="32"/>
      <c r="AI1296" s="30">
        <v>157482</v>
      </c>
      <c r="AJ1296" s="30">
        <v>107088</v>
      </c>
      <c r="AK1296" s="30">
        <v>13878</v>
      </c>
      <c r="AL1296" s="30">
        <v>0</v>
      </c>
      <c r="AM1296" s="30">
        <v>59000</v>
      </c>
      <c r="AN1296" s="30">
        <v>189700</v>
      </c>
      <c r="AO1296" s="30">
        <v>248700</v>
      </c>
      <c r="AP1296" s="30">
        <f>Lookups!$B$58*0.6</f>
        <v>132535.48800000001</v>
      </c>
      <c r="AQ1296" s="30">
        <f>Lookups!$B$58*0.4</f>
        <v>88356.992000000013</v>
      </c>
      <c r="AR1296" s="30">
        <f>Lookups!$B$59*Inventory[[#This Row],[LnAcres]]</f>
        <v>-25803.896249263951</v>
      </c>
      <c r="AS1296" s="30">
        <f>VLOOKUP(Inventory[[#This Row],[Qlty]],Lookups!$A$66:$E$79,2,FALSE)</f>
        <v>-9114.1675108666695</v>
      </c>
      <c r="AT1296" s="30">
        <f>VLOOKUP(Inventory[[#This Row],[Cnd]],Lookups!$A$80:$E$88,2,FALSE)</f>
        <v>30300.329274</v>
      </c>
      <c r="AU1296" s="30">
        <f>Inventory[[#This Row],[EffAge]]*Lookups!$B$65</f>
        <v>-5872.0194000000001</v>
      </c>
      <c r="AV1296" s="30">
        <f>Inventory[[#This Row],[MainFn]]*Lookups!$B$90</f>
        <v>55420.417440000005</v>
      </c>
      <c r="AW1296" s="30">
        <f>Inventory[[#This Row],[UpprFn]]*Lookups!$B$91</f>
        <v>23832.153200000001</v>
      </c>
      <c r="AX1296" s="30">
        <f>Inventory[[#This Row],[Bsmt Area]]*Lookups!$B$95</f>
        <v>0</v>
      </c>
      <c r="AY1296" s="30">
        <f>Inventory[[#This Row],[AttGar]]*Lookups!$B$93</f>
        <v>0</v>
      </c>
      <c r="AZ1296" s="30">
        <f>ROUND(Inventory[[#This Row],[25Det]],-2)</f>
        <v>13900</v>
      </c>
      <c r="BA1296" s="30">
        <f>ROUND(SUM(Inventory[[#This Row],[Mdl Qlty]:[Mdl Garage Area]])+Inventory[[#This Row],[Mdl Res Intercept]],-2)</f>
        <v>227100</v>
      </c>
      <c r="BB1296" s="30">
        <f>ROUND(Inventory[[#This Row],[Mdl Land Intercept]]+Inventory[[#This Row],[Mdl LnAcres]],-2)</f>
        <v>62600</v>
      </c>
      <c r="BC1296" s="30">
        <f>Inventory[[#This Row],[Unadj Res Value]]+Inventory[[#This Row],[Unadj Det Value]]+Inventory[[#This Row],[Unadj Land Value]]</f>
        <v>303600</v>
      </c>
      <c r="BD1296" s="30">
        <f>(Inventory[[#This Row],[Unadj Total Value]]-Inventory[[#This Row],[24Final]])/Inventory[[#This Row],[24Final]]</f>
        <v>0.22074788902291917</v>
      </c>
      <c r="BE1296" s="30">
        <f>VLOOKUP(Inventory[[#This Row],[Nbhd]],Lookups!$M$3:$P$5,4,FALSE)</f>
        <v>0.99970000000000003</v>
      </c>
      <c r="BF1296" s="30">
        <f>VLOOKUP(Inventory[[#This Row],[Qlty]],Lookups!$M$8:$P$22,4,FALSE)</f>
        <v>1</v>
      </c>
      <c r="BG1296" s="30">
        <f>VLOOKUP(Inventory[[#This Row],[Cnd]],Lookups!$R$8:$U$17,4,FALSE)</f>
        <v>0.997</v>
      </c>
      <c r="BH1296" s="30">
        <f>VLOOKUP(Inventory[[#This Row],[LivArea Range]],Lookups!$R$25:$U$43,4,FALSE)</f>
        <v>0.99519999999999997</v>
      </c>
      <c r="BI1296" s="30">
        <f>VLOOKUP(Inventory[[#This Row],[Decade]],Lookups!$M$24:$P$40,4,FALSE)</f>
        <v>0.99960000000000004</v>
      </c>
      <c r="BJ1296" s="30">
        <f>Inventory[[#This Row],[Nbhd Adj]]*0.95</f>
        <v>0.94971499999999998</v>
      </c>
      <c r="BK1296" s="30">
        <f>AVERAGE(Inventory[[#This Row],[Nbhd Adj]],Inventory[[#This Row],[Quality Adj]],Inventory[[#This Row],[Condition Adj]],Inventory[[#This Row],[Living Area Adj]],Inventory[[#This Row],[Decade Adj]])*0.95</f>
        <v>0.94838500000000003</v>
      </c>
      <c r="BL1296" s="30">
        <f>ROUND((SUM(Inventory[[#This Row],[Mdl Qlty]:[Mdl Garage Area]])+Inventory[[#This Row],[Mdl Res Intercept]])*Inventory[[#This Row],[Res Adj ]],-2)</f>
        <v>215400</v>
      </c>
      <c r="BM1296" s="30">
        <f>ROUND(Inventory[[#This Row],[25Det]]*Inventory[[#This Row],[Det/Nbhd Adj]],-2)</f>
        <v>13200</v>
      </c>
      <c r="BN1296" s="30">
        <f>Inventory[[#This Row],[Adjusted Res]]+Inventory[[#This Row],[Adj Det ]]</f>
        <v>228600</v>
      </c>
      <c r="BO1296" s="30">
        <f>ROUND((Inventory[[#This Row],[Mdl Land Intercept]]+Inventory[[#This Row],[Mdl LnAcres]])*Inventory[[#This Row],[Det/Nbhd Adj]],-2)</f>
        <v>59400</v>
      </c>
      <c r="BP1296" s="30">
        <f>Inventory[[#This Row],[Adjusted Impr Total]]+Inventory[[#This Row],[Adjusted Land Total]]</f>
        <v>288000</v>
      </c>
      <c r="BQ1296" s="30">
        <f>IFERROR((Inventory[[#This Row],[Adjusted Impr Total]]-Inventory[[#This Row],[24Bldg]])/Inventory[[#This Row],[24Bldg]],0)</f>
        <v>0.20506062203479178</v>
      </c>
      <c r="BR1296" s="43">
        <f>(Inventory[[#This Row],[Adjusted Land Total]]-Inventory[[#This Row],[24Lnd]])/Inventory[[#This Row],[24Lnd]]</f>
        <v>6.7796610169491523E-3</v>
      </c>
      <c r="BS1296" s="43">
        <f>(Inventory[[#This Row],[Adjusted Total]]-Inventory[[#This Row],[24Final]])/Inventory[[#This Row],[24Final]]</f>
        <v>0.158021712907117</v>
      </c>
    </row>
    <row r="1297" spans="1:71">
      <c r="A1297" s="30">
        <v>2025</v>
      </c>
      <c r="B1297" s="31" t="s">
        <v>1816</v>
      </c>
      <c r="C1297" s="36">
        <f>LN(Inventory[[#This Row],[Acres]])</f>
        <v>-1.9661128563728327</v>
      </c>
      <c r="D1297" s="38">
        <v>0.14000000000000001</v>
      </c>
      <c r="E1297" s="30">
        <v>6002</v>
      </c>
      <c r="F1297" s="31" t="s">
        <v>505</v>
      </c>
      <c r="G1297" s="31" t="s">
        <v>155</v>
      </c>
      <c r="H1297" s="31" t="s">
        <v>5</v>
      </c>
      <c r="I1297" s="31" t="s">
        <v>506</v>
      </c>
      <c r="J1297" s="31" t="s">
        <v>507</v>
      </c>
      <c r="K1297" s="31" t="s">
        <v>475</v>
      </c>
      <c r="L1297" s="31" t="s">
        <v>11</v>
      </c>
      <c r="M1297" s="31" t="s">
        <v>20</v>
      </c>
      <c r="N1297" s="31">
        <v>90</v>
      </c>
      <c r="O1297" s="31">
        <f>2024-Inventory[[#This Row],[YrBlt]]</f>
        <v>94</v>
      </c>
      <c r="P1297" s="31">
        <f>2024-Inventory[[#This Row],[EffYr]]</f>
        <v>54</v>
      </c>
      <c r="Q1297" s="30">
        <v>1930</v>
      </c>
      <c r="R1297" s="30">
        <v>1970</v>
      </c>
      <c r="S1297" s="30">
        <v>856</v>
      </c>
      <c r="T1297" s="37"/>
      <c r="U1297" s="32"/>
      <c r="V1297" s="32"/>
      <c r="W1297" s="32"/>
      <c r="X1297" s="32">
        <f>Inventory[[#This Row],[Bsmt Area]]-Inventory[[#This Row],[FnBsmt]]</f>
        <v>0</v>
      </c>
      <c r="Y1297" s="32">
        <f>Inventory[[#This Row],[MainFn]]+Inventory[[#This Row],[UpprFn]]+Inventory[[#This Row],[AddFn]]+Inventory[[#This Row],[FnBsmt]]</f>
        <v>856</v>
      </c>
      <c r="Z1297" s="32">
        <v>1000</v>
      </c>
      <c r="AA1297" s="31" t="s">
        <v>56</v>
      </c>
      <c r="AB1297" s="32"/>
      <c r="AC1297" s="32"/>
      <c r="AD1297" s="37"/>
      <c r="AE1297" s="32"/>
      <c r="AF1297" s="32"/>
      <c r="AG1297" s="32"/>
      <c r="AH1297" s="32"/>
      <c r="AI1297" s="30">
        <v>114672</v>
      </c>
      <c r="AJ1297" s="30">
        <v>77977</v>
      </c>
      <c r="AK1297" s="30">
        <v>0</v>
      </c>
      <c r="AL1297" s="30">
        <v>0</v>
      </c>
      <c r="AM1297" s="30">
        <v>59000</v>
      </c>
      <c r="AN1297" s="30">
        <v>156400</v>
      </c>
      <c r="AO1297" s="30">
        <v>215400</v>
      </c>
      <c r="AP1297" s="30">
        <f>Lookups!$B$58*0.6</f>
        <v>132535.48800000001</v>
      </c>
      <c r="AQ1297" s="30">
        <f>Lookups!$B$58*0.4</f>
        <v>88356.992000000013</v>
      </c>
      <c r="AR1297" s="30">
        <f>Lookups!$B$59*Inventory[[#This Row],[LnAcres]]</f>
        <v>-25803.896249263951</v>
      </c>
      <c r="AS1297" s="30">
        <f>VLOOKUP(Inventory[[#This Row],[Qlty]],Lookups!$A$66:$E$79,2,FALSE)</f>
        <v>-9114.1675108666695</v>
      </c>
      <c r="AT1297" s="30">
        <f>VLOOKUP(Inventory[[#This Row],[Cnd]],Lookups!$A$80:$E$88,2,FALSE)</f>
        <v>30300.329274</v>
      </c>
      <c r="AU1297" s="30">
        <f>Inventory[[#This Row],[EffAge]]*Lookups!$B$65</f>
        <v>-5872.0194000000001</v>
      </c>
      <c r="AV1297" s="30">
        <f>Inventory[[#This Row],[MainFn]]*Lookups!$B$90</f>
        <v>53423.285280000004</v>
      </c>
      <c r="AW1297" s="30">
        <f>Inventory[[#This Row],[UpprFn]]*Lookups!$B$91</f>
        <v>0</v>
      </c>
      <c r="AX1297" s="30">
        <f>Inventory[[#This Row],[Bsmt Area]]*Lookups!$B$95</f>
        <v>0</v>
      </c>
      <c r="AY1297" s="30">
        <f>Inventory[[#This Row],[AttGar]]*Lookups!$B$93</f>
        <v>0</v>
      </c>
      <c r="AZ1297" s="30">
        <f>ROUND(Inventory[[#This Row],[25Det]],-2)</f>
        <v>0</v>
      </c>
      <c r="BA1297" s="30">
        <f>ROUND(SUM(Inventory[[#This Row],[Mdl Qlty]:[Mdl Garage Area]])+Inventory[[#This Row],[Mdl Res Intercept]],-2)</f>
        <v>201300</v>
      </c>
      <c r="BB1297" s="30">
        <f>ROUND(Inventory[[#This Row],[Mdl Land Intercept]]+Inventory[[#This Row],[Mdl LnAcres]],-2)</f>
        <v>62600</v>
      </c>
      <c r="BC1297" s="30">
        <f>Inventory[[#This Row],[Unadj Res Value]]+Inventory[[#This Row],[Unadj Det Value]]+Inventory[[#This Row],[Unadj Land Value]]</f>
        <v>263900</v>
      </c>
      <c r="BD1297" s="30">
        <f>(Inventory[[#This Row],[Unadj Total Value]]-Inventory[[#This Row],[24Final]])/Inventory[[#This Row],[24Final]]</f>
        <v>0.22516248839368616</v>
      </c>
      <c r="BE1297" s="30">
        <f>VLOOKUP(Inventory[[#This Row],[Nbhd]],Lookups!$M$3:$P$5,4,FALSE)</f>
        <v>0.99970000000000003</v>
      </c>
      <c r="BF1297" s="30">
        <f>VLOOKUP(Inventory[[#This Row],[Qlty]],Lookups!$M$8:$P$22,4,FALSE)</f>
        <v>1</v>
      </c>
      <c r="BG1297" s="30">
        <f>VLOOKUP(Inventory[[#This Row],[Cnd]],Lookups!$R$8:$U$17,4,FALSE)</f>
        <v>0.997</v>
      </c>
      <c r="BH1297" s="30">
        <f>VLOOKUP(Inventory[[#This Row],[LivArea Range]],Lookups!$R$25:$U$43,4,FALSE)</f>
        <v>1</v>
      </c>
      <c r="BI1297" s="30">
        <f>VLOOKUP(Inventory[[#This Row],[Decade]],Lookups!$M$24:$P$40,4,FALSE)</f>
        <v>0.99960000000000004</v>
      </c>
      <c r="BJ1297" s="30">
        <f>Inventory[[#This Row],[Nbhd Adj]]*0.95</f>
        <v>0.94971499999999998</v>
      </c>
      <c r="BK1297" s="30">
        <f>AVERAGE(Inventory[[#This Row],[Nbhd Adj]],Inventory[[#This Row],[Quality Adj]],Inventory[[#This Row],[Condition Adj]],Inventory[[#This Row],[Living Area Adj]],Inventory[[#This Row],[Decade Adj]])*0.95</f>
        <v>0.94929699999999984</v>
      </c>
      <c r="BL1297" s="30">
        <f>ROUND((SUM(Inventory[[#This Row],[Mdl Qlty]:[Mdl Garage Area]])+Inventory[[#This Row],[Mdl Res Intercept]])*Inventory[[#This Row],[Res Adj ]],-2)</f>
        <v>191100</v>
      </c>
      <c r="BM1297" s="30">
        <f>ROUND(Inventory[[#This Row],[25Det]]*Inventory[[#This Row],[Det/Nbhd Adj]],-2)</f>
        <v>0</v>
      </c>
      <c r="BN1297" s="30">
        <f>Inventory[[#This Row],[Adjusted Res]]+Inventory[[#This Row],[Adj Det ]]</f>
        <v>191100</v>
      </c>
      <c r="BO1297" s="30">
        <f>ROUND((Inventory[[#This Row],[Mdl Land Intercept]]+Inventory[[#This Row],[Mdl LnAcres]])*Inventory[[#This Row],[Det/Nbhd Adj]],-2)</f>
        <v>59400</v>
      </c>
      <c r="BP1297" s="30">
        <f>Inventory[[#This Row],[Adjusted Impr Total]]+Inventory[[#This Row],[Adjusted Land Total]]</f>
        <v>250500</v>
      </c>
      <c r="BQ1297" s="30">
        <f>IFERROR((Inventory[[#This Row],[Adjusted Impr Total]]-Inventory[[#This Row],[24Bldg]])/Inventory[[#This Row],[24Bldg]],0)</f>
        <v>0.22186700767263426</v>
      </c>
      <c r="BR1297" s="43">
        <f>(Inventory[[#This Row],[Adjusted Land Total]]-Inventory[[#This Row],[24Lnd]])/Inventory[[#This Row],[24Lnd]]</f>
        <v>6.7796610169491523E-3</v>
      </c>
      <c r="BS1297" s="43">
        <f>(Inventory[[#This Row],[Adjusted Total]]-Inventory[[#This Row],[24Final]])/Inventory[[#This Row],[24Final]]</f>
        <v>0.16295264623955433</v>
      </c>
    </row>
    <row r="1298" spans="1:71">
      <c r="A1298" s="30">
        <v>2025</v>
      </c>
      <c r="B1298" s="31" t="s">
        <v>1817</v>
      </c>
      <c r="C1298" s="36">
        <f>LN(Inventory[[#This Row],[Acres]])</f>
        <v>-1.8325814637483102</v>
      </c>
      <c r="D1298" s="38">
        <v>0.16</v>
      </c>
      <c r="E1298" s="30">
        <v>7170</v>
      </c>
      <c r="F1298" s="31" t="s">
        <v>505</v>
      </c>
      <c r="G1298" s="31" t="s">
        <v>155</v>
      </c>
      <c r="H1298" s="31" t="s">
        <v>5</v>
      </c>
      <c r="I1298" s="31" t="s">
        <v>506</v>
      </c>
      <c r="J1298" s="31" t="s">
        <v>507</v>
      </c>
      <c r="K1298" s="31" t="s">
        <v>1786</v>
      </c>
      <c r="L1298" s="31" t="s">
        <v>9</v>
      </c>
      <c r="M1298" s="31" t="s">
        <v>16</v>
      </c>
      <c r="N1298" s="31">
        <v>90</v>
      </c>
      <c r="O1298" s="31">
        <f>2024-Inventory[[#This Row],[YrBlt]]</f>
        <v>94</v>
      </c>
      <c r="P1298" s="31">
        <f>2024-Inventory[[#This Row],[EffYr]]</f>
        <v>94</v>
      </c>
      <c r="Q1298" s="30">
        <v>1930</v>
      </c>
      <c r="R1298" s="30">
        <v>1930</v>
      </c>
      <c r="S1298" s="30">
        <v>944</v>
      </c>
      <c r="T1298" s="32"/>
      <c r="U1298" s="32"/>
      <c r="V1298" s="32"/>
      <c r="W1298" s="32"/>
      <c r="X1298" s="32">
        <f>Inventory[[#This Row],[Bsmt Area]]-Inventory[[#This Row],[FnBsmt]]</f>
        <v>0</v>
      </c>
      <c r="Y1298" s="32">
        <f>Inventory[[#This Row],[MainFn]]+Inventory[[#This Row],[UpprFn]]+Inventory[[#This Row],[AddFn]]+Inventory[[#This Row],[FnBsmt]]</f>
        <v>944</v>
      </c>
      <c r="Z1298" s="32">
        <v>1000</v>
      </c>
      <c r="AA1298" s="31" t="s">
        <v>56</v>
      </c>
      <c r="AB1298" s="37"/>
      <c r="AC1298" s="37"/>
      <c r="AD1298" s="32"/>
      <c r="AE1298" s="32"/>
      <c r="AF1298" s="32"/>
      <c r="AG1298" s="32"/>
      <c r="AH1298" s="32"/>
      <c r="AI1298" s="30">
        <v>117658</v>
      </c>
      <c r="AJ1298" s="30">
        <v>61182</v>
      </c>
      <c r="AK1298" s="30">
        <v>0</v>
      </c>
      <c r="AL1298" s="30">
        <v>0</v>
      </c>
      <c r="AM1298" s="30">
        <v>60800</v>
      </c>
      <c r="AN1298" s="30">
        <v>100000</v>
      </c>
      <c r="AO1298" s="30">
        <v>160800</v>
      </c>
      <c r="AP1298" s="30">
        <f>Lookups!$B$58*0.6</f>
        <v>132535.48800000001</v>
      </c>
      <c r="AQ1298" s="30">
        <f>Lookups!$B$58*0.4</f>
        <v>88356.992000000013</v>
      </c>
      <c r="AR1298" s="30">
        <f>Lookups!$B$59*Inventory[[#This Row],[LnAcres]]</f>
        <v>-24051.387388882686</v>
      </c>
      <c r="AS1298" s="30">
        <f>VLOOKUP(Inventory[[#This Row],[Qlty]],Lookups!$A$66:$E$79,2,FALSE)</f>
        <v>-18031.051255923801</v>
      </c>
      <c r="AT1298" s="30">
        <f>VLOOKUP(Inventory[[#This Row],[Cnd]],Lookups!$A$80:$E$88,2,FALSE)</f>
        <v>0</v>
      </c>
      <c r="AU1298" s="30">
        <f>Inventory[[#This Row],[EffAge]]*Lookups!$B$65</f>
        <v>-10221.663399999999</v>
      </c>
      <c r="AV1298" s="30">
        <f>Inventory[[#This Row],[MainFn]]*Lookups!$B$90</f>
        <v>58915.398720000005</v>
      </c>
      <c r="AW1298" s="30">
        <f>Inventory[[#This Row],[UpprFn]]*Lookups!$B$91</f>
        <v>0</v>
      </c>
      <c r="AX1298" s="30">
        <f>Inventory[[#This Row],[Bsmt Area]]*Lookups!$B$95</f>
        <v>0</v>
      </c>
      <c r="AY1298" s="30">
        <f>Inventory[[#This Row],[AttGar]]*Lookups!$B$93</f>
        <v>0</v>
      </c>
      <c r="AZ1298" s="30">
        <f>ROUND(Inventory[[#This Row],[25Det]],-2)</f>
        <v>0</v>
      </c>
      <c r="BA1298" s="30">
        <f>ROUND(SUM(Inventory[[#This Row],[Mdl Qlty]:[Mdl Garage Area]])+Inventory[[#This Row],[Mdl Res Intercept]],-2)</f>
        <v>163200</v>
      </c>
      <c r="BB1298" s="30">
        <f>ROUND(Inventory[[#This Row],[Mdl Land Intercept]]+Inventory[[#This Row],[Mdl LnAcres]],-2)</f>
        <v>64300</v>
      </c>
      <c r="BC1298" s="30">
        <f>Inventory[[#This Row],[Unadj Res Value]]+Inventory[[#This Row],[Unadj Det Value]]+Inventory[[#This Row],[Unadj Land Value]]</f>
        <v>227500</v>
      </c>
      <c r="BD1298" s="30">
        <f>(Inventory[[#This Row],[Unadj Total Value]]-Inventory[[#This Row],[24Final]])/Inventory[[#This Row],[24Final]]</f>
        <v>0.41480099502487561</v>
      </c>
      <c r="BE1298" s="30">
        <f>VLOOKUP(Inventory[[#This Row],[Nbhd]],Lookups!$M$3:$P$5,4,FALSE)</f>
        <v>0.99970000000000003</v>
      </c>
      <c r="BF1298" s="30">
        <f>VLOOKUP(Inventory[[#This Row],[Qlty]],Lookups!$M$8:$P$22,4,FALSE)</f>
        <v>1</v>
      </c>
      <c r="BG1298" s="30">
        <f>VLOOKUP(Inventory[[#This Row],[Cnd]],Lookups!$R$8:$U$17,4,FALSE)</f>
        <v>1</v>
      </c>
      <c r="BH1298" s="30">
        <f>VLOOKUP(Inventory[[#This Row],[LivArea Range]],Lookups!$R$25:$U$43,4,FALSE)</f>
        <v>1</v>
      </c>
      <c r="BI1298" s="30">
        <f>VLOOKUP(Inventory[[#This Row],[Decade]],Lookups!$M$24:$P$40,4,FALSE)</f>
        <v>0.99960000000000004</v>
      </c>
      <c r="BJ1298" s="30">
        <f>Inventory[[#This Row],[Nbhd Adj]]*0.95</f>
        <v>0.94971499999999998</v>
      </c>
      <c r="BK1298" s="30">
        <f>AVERAGE(Inventory[[#This Row],[Nbhd Adj]],Inventory[[#This Row],[Quality Adj]],Inventory[[#This Row],[Condition Adj]],Inventory[[#This Row],[Living Area Adj]],Inventory[[#This Row],[Decade Adj]])*0.95</f>
        <v>0.94986699999999991</v>
      </c>
      <c r="BL1298" s="30">
        <f>ROUND((SUM(Inventory[[#This Row],[Mdl Qlty]:[Mdl Garage Area]])+Inventory[[#This Row],[Mdl Res Intercept]])*Inventory[[#This Row],[Res Adj ]],-2)</f>
        <v>155000</v>
      </c>
      <c r="BM1298" s="30">
        <f>ROUND(Inventory[[#This Row],[25Det]]*Inventory[[#This Row],[Det/Nbhd Adj]],-2)</f>
        <v>0</v>
      </c>
      <c r="BN1298" s="30">
        <f>Inventory[[#This Row],[Adjusted Res]]+Inventory[[#This Row],[Adj Det ]]</f>
        <v>155000</v>
      </c>
      <c r="BO1298" s="30">
        <f>ROUND((Inventory[[#This Row],[Mdl Land Intercept]]+Inventory[[#This Row],[Mdl LnAcres]])*Inventory[[#This Row],[Det/Nbhd Adj]],-2)</f>
        <v>61100</v>
      </c>
      <c r="BP1298" s="30">
        <f>Inventory[[#This Row],[Adjusted Impr Total]]+Inventory[[#This Row],[Adjusted Land Total]]</f>
        <v>216100</v>
      </c>
      <c r="BQ1298" s="30">
        <f>IFERROR((Inventory[[#This Row],[Adjusted Impr Total]]-Inventory[[#This Row],[24Bldg]])/Inventory[[#This Row],[24Bldg]],0)</f>
        <v>0.55000000000000004</v>
      </c>
      <c r="BR1298" s="43">
        <f>(Inventory[[#This Row],[Adjusted Land Total]]-Inventory[[#This Row],[24Lnd]])/Inventory[[#This Row],[24Lnd]]</f>
        <v>4.9342105263157892E-3</v>
      </c>
      <c r="BS1298" s="43">
        <f>(Inventory[[#This Row],[Adjusted Total]]-Inventory[[#This Row],[24Final]])/Inventory[[#This Row],[24Final]]</f>
        <v>0.34390547263681592</v>
      </c>
    </row>
    <row r="1299" spans="1:71">
      <c r="A1299" s="30">
        <v>2025</v>
      </c>
      <c r="B1299" s="31" t="s">
        <v>1818</v>
      </c>
      <c r="C1299" s="36">
        <f>LN(Inventory[[#This Row],[Acres]])</f>
        <v>-1.7719568419318752</v>
      </c>
      <c r="D1299" s="38">
        <v>0.17</v>
      </c>
      <c r="E1299" s="30">
        <v>7500</v>
      </c>
      <c r="F1299" s="31" t="s">
        <v>505</v>
      </c>
      <c r="G1299" s="31" t="s">
        <v>155</v>
      </c>
      <c r="H1299" s="31" t="s">
        <v>5</v>
      </c>
      <c r="I1299" s="31" t="s">
        <v>506</v>
      </c>
      <c r="J1299" s="31" t="s">
        <v>507</v>
      </c>
      <c r="K1299" s="31" t="s">
        <v>473</v>
      </c>
      <c r="L1299" s="31" t="s">
        <v>17</v>
      </c>
      <c r="M1299" s="31" t="s">
        <v>18</v>
      </c>
      <c r="N1299" s="31">
        <v>90</v>
      </c>
      <c r="O1299" s="31">
        <f>2024-Inventory[[#This Row],[YrBlt]]</f>
        <v>94</v>
      </c>
      <c r="P1299" s="31">
        <f>2024-Inventory[[#This Row],[EffYr]]</f>
        <v>54</v>
      </c>
      <c r="Q1299" s="30">
        <v>1930</v>
      </c>
      <c r="R1299" s="30">
        <v>1970</v>
      </c>
      <c r="S1299" s="30">
        <v>660</v>
      </c>
      <c r="T1299" s="32"/>
      <c r="U1299" s="32"/>
      <c r="V1299" s="32"/>
      <c r="W1299" s="32"/>
      <c r="X1299" s="32">
        <f>Inventory[[#This Row],[Bsmt Area]]-Inventory[[#This Row],[FnBsmt]]</f>
        <v>0</v>
      </c>
      <c r="Y1299" s="32">
        <f>Inventory[[#This Row],[MainFn]]+Inventory[[#This Row],[UpprFn]]+Inventory[[#This Row],[AddFn]]+Inventory[[#This Row],[FnBsmt]]</f>
        <v>660</v>
      </c>
      <c r="Z1299" s="32">
        <v>1000</v>
      </c>
      <c r="AA1299" s="31" t="s">
        <v>56</v>
      </c>
      <c r="AB1299" s="32"/>
      <c r="AC1299" s="37"/>
      <c r="AD1299" s="32"/>
      <c r="AE1299" s="32"/>
      <c r="AF1299" s="32"/>
      <c r="AG1299" s="32"/>
      <c r="AH1299" s="32"/>
      <c r="AI1299" s="30">
        <v>122214</v>
      </c>
      <c r="AJ1299" s="30">
        <v>80661</v>
      </c>
      <c r="AK1299" s="30">
        <v>3473</v>
      </c>
      <c r="AL1299" s="30">
        <v>0</v>
      </c>
      <c r="AM1299" s="30">
        <v>61700</v>
      </c>
      <c r="AN1299" s="30">
        <v>172500</v>
      </c>
      <c r="AO1299" s="30">
        <v>234200</v>
      </c>
      <c r="AP1299" s="30">
        <f>Lookups!$B$58*0.6</f>
        <v>132535.48800000001</v>
      </c>
      <c r="AQ1299" s="30">
        <f>Lookups!$B$58*0.4</f>
        <v>88356.992000000013</v>
      </c>
      <c r="AR1299" s="30">
        <f>Lookups!$B$59*Inventory[[#This Row],[LnAcres]]</f>
        <v>-23255.730391660189</v>
      </c>
      <c r="AS1299" s="30">
        <f>VLOOKUP(Inventory[[#This Row],[Qlty]],Lookups!$A$66:$E$79,2,FALSE)</f>
        <v>24371.765965999999</v>
      </c>
      <c r="AT1299" s="30">
        <f>VLOOKUP(Inventory[[#This Row],[Cnd]],Lookups!$A$80:$E$88,2,FALSE)</f>
        <v>17761.121909000001</v>
      </c>
      <c r="AU1299" s="30">
        <f>Inventory[[#This Row],[EffAge]]*Lookups!$B$65</f>
        <v>-5872.0194000000001</v>
      </c>
      <c r="AV1299" s="30">
        <f>Inventory[[#This Row],[MainFn]]*Lookups!$B$90</f>
        <v>41190.8508</v>
      </c>
      <c r="AW1299" s="30">
        <f>Inventory[[#This Row],[UpprFn]]*Lookups!$B$91</f>
        <v>0</v>
      </c>
      <c r="AX1299" s="30">
        <f>Inventory[[#This Row],[Bsmt Area]]*Lookups!$B$95</f>
        <v>0</v>
      </c>
      <c r="AY1299" s="30">
        <f>Inventory[[#This Row],[AttGar]]*Lookups!$B$93</f>
        <v>0</v>
      </c>
      <c r="AZ1299" s="30">
        <f>ROUND(Inventory[[#This Row],[25Det]],-2)</f>
        <v>3500</v>
      </c>
      <c r="BA1299" s="30">
        <f>ROUND(SUM(Inventory[[#This Row],[Mdl Qlty]:[Mdl Garage Area]])+Inventory[[#This Row],[Mdl Res Intercept]],-2)</f>
        <v>210000</v>
      </c>
      <c r="BB1299" s="30">
        <f>ROUND(Inventory[[#This Row],[Mdl Land Intercept]]+Inventory[[#This Row],[Mdl LnAcres]],-2)</f>
        <v>65100</v>
      </c>
      <c r="BC1299" s="30">
        <f>Inventory[[#This Row],[Unadj Res Value]]+Inventory[[#This Row],[Unadj Det Value]]+Inventory[[#This Row],[Unadj Land Value]]</f>
        <v>278600</v>
      </c>
      <c r="BD1299" s="30">
        <f>(Inventory[[#This Row],[Unadj Total Value]]-Inventory[[#This Row],[24Final]])/Inventory[[#This Row],[24Final]]</f>
        <v>0.18958155422715628</v>
      </c>
      <c r="BE1299" s="30">
        <f>VLOOKUP(Inventory[[#This Row],[Nbhd]],Lookups!$M$3:$P$5,4,FALSE)</f>
        <v>0.99970000000000003</v>
      </c>
      <c r="BF1299" s="30">
        <f>VLOOKUP(Inventory[[#This Row],[Qlty]],Lookups!$M$8:$P$22,4,FALSE)</f>
        <v>0.99199999999999999</v>
      </c>
      <c r="BG1299" s="30">
        <f>VLOOKUP(Inventory[[#This Row],[Cnd]],Lookups!$R$8:$U$17,4,FALSE)</f>
        <v>0.99680000000000002</v>
      </c>
      <c r="BH1299" s="30">
        <f>VLOOKUP(Inventory[[#This Row],[LivArea Range]],Lookups!$R$25:$U$43,4,FALSE)</f>
        <v>1</v>
      </c>
      <c r="BI1299" s="30">
        <f>VLOOKUP(Inventory[[#This Row],[Decade]],Lookups!$M$24:$P$40,4,FALSE)</f>
        <v>0.99960000000000004</v>
      </c>
      <c r="BJ1299" s="30">
        <f>Inventory[[#This Row],[Nbhd Adj]]*0.95</f>
        <v>0.94971499999999998</v>
      </c>
      <c r="BK1299" s="30">
        <f>AVERAGE(Inventory[[#This Row],[Nbhd Adj]],Inventory[[#This Row],[Quality Adj]],Inventory[[#This Row],[Condition Adj]],Inventory[[#This Row],[Living Area Adj]],Inventory[[#This Row],[Decade Adj]])*0.95</f>
        <v>0.947739</v>
      </c>
      <c r="BL1299" s="30">
        <f>ROUND((SUM(Inventory[[#This Row],[Mdl Qlty]:[Mdl Garage Area]])+Inventory[[#This Row],[Mdl Res Intercept]])*Inventory[[#This Row],[Res Adj ]],-2)</f>
        <v>199000</v>
      </c>
      <c r="BM1299" s="30">
        <f>ROUND(Inventory[[#This Row],[25Det]]*Inventory[[#This Row],[Det/Nbhd Adj]],-2)</f>
        <v>3300</v>
      </c>
      <c r="BN1299" s="30">
        <f>Inventory[[#This Row],[Adjusted Res]]+Inventory[[#This Row],[Adj Det ]]</f>
        <v>202300</v>
      </c>
      <c r="BO1299" s="30">
        <f>ROUND((Inventory[[#This Row],[Mdl Land Intercept]]+Inventory[[#This Row],[Mdl LnAcres]])*Inventory[[#This Row],[Det/Nbhd Adj]],-2)</f>
        <v>61800</v>
      </c>
      <c r="BP1299" s="30">
        <f>Inventory[[#This Row],[Adjusted Impr Total]]+Inventory[[#This Row],[Adjusted Land Total]]</f>
        <v>264100</v>
      </c>
      <c r="BQ1299" s="30">
        <f>IFERROR((Inventory[[#This Row],[Adjusted Impr Total]]-Inventory[[#This Row],[24Bldg]])/Inventory[[#This Row],[24Bldg]],0)</f>
        <v>0.17275362318840579</v>
      </c>
      <c r="BR1299" s="43">
        <f>(Inventory[[#This Row],[Adjusted Land Total]]-Inventory[[#This Row],[24Lnd]])/Inventory[[#This Row],[24Lnd]]</f>
        <v>1.6207455429497568E-3</v>
      </c>
      <c r="BS1299" s="43">
        <f>(Inventory[[#This Row],[Adjusted Total]]-Inventory[[#This Row],[24Final]])/Inventory[[#This Row],[24Final]]</f>
        <v>0.12766865926558496</v>
      </c>
    </row>
    <row r="1300" spans="1:71">
      <c r="A1300" s="30">
        <v>2025</v>
      </c>
      <c r="B1300" s="31" t="s">
        <v>1819</v>
      </c>
      <c r="C1300" s="36">
        <f>LN(Inventory[[#This Row],[Acres]])</f>
        <v>-1.7147984280919266</v>
      </c>
      <c r="D1300" s="38">
        <v>0.18</v>
      </c>
      <c r="E1300" s="30">
        <v>7800</v>
      </c>
      <c r="F1300" s="31" t="s">
        <v>505</v>
      </c>
      <c r="G1300" s="31" t="s">
        <v>155</v>
      </c>
      <c r="H1300" s="31" t="s">
        <v>5</v>
      </c>
      <c r="I1300" s="31" t="s">
        <v>506</v>
      </c>
      <c r="J1300" s="31" t="s">
        <v>507</v>
      </c>
      <c r="K1300" s="31" t="s">
        <v>473</v>
      </c>
      <c r="L1300" s="31" t="s">
        <v>13</v>
      </c>
      <c r="M1300" s="31" t="s">
        <v>22</v>
      </c>
      <c r="N1300" s="31">
        <v>90</v>
      </c>
      <c r="O1300" s="31">
        <f>2024-Inventory[[#This Row],[YrBlt]]</f>
        <v>94</v>
      </c>
      <c r="P1300" s="31">
        <f>2024-Inventory[[#This Row],[EffYr]]</f>
        <v>23</v>
      </c>
      <c r="Q1300" s="30">
        <v>1930</v>
      </c>
      <c r="R1300" s="30">
        <v>2001</v>
      </c>
      <c r="S1300" s="30">
        <v>918</v>
      </c>
      <c r="T1300" s="32"/>
      <c r="U1300" s="32"/>
      <c r="V1300" s="32"/>
      <c r="W1300" s="32"/>
      <c r="X1300" s="32">
        <f>Inventory[[#This Row],[Bsmt Area]]-Inventory[[#This Row],[FnBsmt]]</f>
        <v>0</v>
      </c>
      <c r="Y1300" s="32">
        <f>Inventory[[#This Row],[MainFn]]+Inventory[[#This Row],[UpprFn]]+Inventory[[#This Row],[AddFn]]+Inventory[[#This Row],[FnBsmt]]</f>
        <v>918</v>
      </c>
      <c r="Z1300" s="32">
        <v>1000</v>
      </c>
      <c r="AA1300" s="31" t="s">
        <v>56</v>
      </c>
      <c r="AB1300" s="32"/>
      <c r="AC1300" s="37"/>
      <c r="AD1300" s="32"/>
      <c r="AE1300" s="32"/>
      <c r="AF1300" s="32"/>
      <c r="AG1300" s="32"/>
      <c r="AH1300" s="32"/>
      <c r="AI1300" s="30">
        <v>132496</v>
      </c>
      <c r="AJ1300" s="30">
        <v>120571</v>
      </c>
      <c r="AK1300" s="30">
        <v>0</v>
      </c>
      <c r="AL1300" s="30">
        <v>0</v>
      </c>
      <c r="AM1300" s="30">
        <v>62500</v>
      </c>
      <c r="AN1300" s="30">
        <v>215100</v>
      </c>
      <c r="AO1300" s="30">
        <v>277600</v>
      </c>
      <c r="AP1300" s="30">
        <f>Lookups!$B$58*0.6</f>
        <v>132535.48800000001</v>
      </c>
      <c r="AQ1300" s="30">
        <f>Lookups!$B$58*0.4</f>
        <v>88356.992000000013</v>
      </c>
      <c r="AR1300" s="30">
        <f>Lookups!$B$59*Inventory[[#This Row],[LnAcres]]</f>
        <v>-22505.565020573864</v>
      </c>
      <c r="AS1300" s="30">
        <f>VLOOKUP(Inventory[[#This Row],[Qlty]],Lookups!$A$66:$E$79,2,FALSE)</f>
        <v>0</v>
      </c>
      <c r="AT1300" s="30">
        <f>VLOOKUP(Inventory[[#This Row],[Cnd]],Lookups!$A$80:$E$88,2,FALSE)</f>
        <v>50438.379078999998</v>
      </c>
      <c r="AU1300" s="30">
        <f>Inventory[[#This Row],[EffAge]]*Lookups!$B$65</f>
        <v>-2501.0453000000002</v>
      </c>
      <c r="AV1300" s="30">
        <f>Inventory[[#This Row],[MainFn]]*Lookups!$B$90</f>
        <v>57292.728840000003</v>
      </c>
      <c r="AW1300" s="30">
        <f>Inventory[[#This Row],[UpprFn]]*Lookups!$B$91</f>
        <v>0</v>
      </c>
      <c r="AX1300" s="30">
        <f>Inventory[[#This Row],[Bsmt Area]]*Lookups!$B$95</f>
        <v>0</v>
      </c>
      <c r="AY1300" s="30">
        <f>Inventory[[#This Row],[AttGar]]*Lookups!$B$93</f>
        <v>0</v>
      </c>
      <c r="AZ1300" s="30">
        <f>ROUND(Inventory[[#This Row],[25Det]],-2)</f>
        <v>0</v>
      </c>
      <c r="BA1300" s="30">
        <f>ROUND(SUM(Inventory[[#This Row],[Mdl Qlty]:[Mdl Garage Area]])+Inventory[[#This Row],[Mdl Res Intercept]],-2)</f>
        <v>237800</v>
      </c>
      <c r="BB1300" s="30">
        <f>ROUND(Inventory[[#This Row],[Mdl Land Intercept]]+Inventory[[#This Row],[Mdl LnAcres]],-2)</f>
        <v>65900</v>
      </c>
      <c r="BC1300" s="30">
        <f>Inventory[[#This Row],[Unadj Res Value]]+Inventory[[#This Row],[Unadj Det Value]]+Inventory[[#This Row],[Unadj Land Value]]</f>
        <v>303700</v>
      </c>
      <c r="BD1300" s="30">
        <f>(Inventory[[#This Row],[Unadj Total Value]]-Inventory[[#This Row],[24Final]])/Inventory[[#This Row],[24Final]]</f>
        <v>9.4020172910662822E-2</v>
      </c>
      <c r="BE1300" s="30">
        <f>VLOOKUP(Inventory[[#This Row],[Nbhd]],Lookups!$M$3:$P$5,4,FALSE)</f>
        <v>0.99970000000000003</v>
      </c>
      <c r="BF1300" s="30">
        <f>VLOOKUP(Inventory[[#This Row],[Qlty]],Lookups!$M$8:$P$22,4,FALSE)</f>
        <v>1.0003</v>
      </c>
      <c r="BG1300" s="30">
        <f>VLOOKUP(Inventory[[#This Row],[Cnd]],Lookups!$R$8:$U$17,4,FALSE)</f>
        <v>1.0007999999999999</v>
      </c>
      <c r="BH1300" s="30">
        <f>VLOOKUP(Inventory[[#This Row],[LivArea Range]],Lookups!$R$25:$U$43,4,FALSE)</f>
        <v>1</v>
      </c>
      <c r="BI1300" s="30">
        <f>VLOOKUP(Inventory[[#This Row],[Decade]],Lookups!$M$24:$P$40,4,FALSE)</f>
        <v>0.99960000000000004</v>
      </c>
      <c r="BJ1300" s="30">
        <f>Inventory[[#This Row],[Nbhd Adj]]*0.95</f>
        <v>0.94971499999999998</v>
      </c>
      <c r="BK1300" s="30">
        <f>AVERAGE(Inventory[[#This Row],[Nbhd Adj]],Inventory[[#This Row],[Quality Adj]],Inventory[[#This Row],[Condition Adj]],Inventory[[#This Row],[Living Area Adj]],Inventory[[#This Row],[Decade Adj]])*0.95</f>
        <v>0.95007600000000003</v>
      </c>
      <c r="BL1300" s="30">
        <f>ROUND((SUM(Inventory[[#This Row],[Mdl Qlty]:[Mdl Garage Area]])+Inventory[[#This Row],[Mdl Res Intercept]])*Inventory[[#This Row],[Res Adj ]],-2)</f>
        <v>225900</v>
      </c>
      <c r="BM1300" s="30">
        <f>ROUND(Inventory[[#This Row],[25Det]]*Inventory[[#This Row],[Det/Nbhd Adj]],-2)</f>
        <v>0</v>
      </c>
      <c r="BN1300" s="30">
        <f>Inventory[[#This Row],[Adjusted Res]]+Inventory[[#This Row],[Adj Det ]]</f>
        <v>225900</v>
      </c>
      <c r="BO1300" s="30">
        <f>ROUND((Inventory[[#This Row],[Mdl Land Intercept]]+Inventory[[#This Row],[Mdl LnAcres]])*Inventory[[#This Row],[Det/Nbhd Adj]],-2)</f>
        <v>62500</v>
      </c>
      <c r="BP1300" s="30">
        <f>Inventory[[#This Row],[Adjusted Impr Total]]+Inventory[[#This Row],[Adjusted Land Total]]</f>
        <v>288400</v>
      </c>
      <c r="BQ1300" s="30">
        <f>IFERROR((Inventory[[#This Row],[Adjusted Impr Total]]-Inventory[[#This Row],[24Bldg]])/Inventory[[#This Row],[24Bldg]],0)</f>
        <v>5.0209205020920501E-2</v>
      </c>
      <c r="BR1300" s="43">
        <f>(Inventory[[#This Row],[Adjusted Land Total]]-Inventory[[#This Row],[24Lnd]])/Inventory[[#This Row],[24Lnd]]</f>
        <v>0</v>
      </c>
      <c r="BS1300" s="43">
        <f>(Inventory[[#This Row],[Adjusted Total]]-Inventory[[#This Row],[24Final]])/Inventory[[#This Row],[24Final]]</f>
        <v>3.8904899135446688E-2</v>
      </c>
    </row>
    <row r="1301" spans="1:71">
      <c r="A1301" s="30">
        <v>2025</v>
      </c>
      <c r="B1301" s="31" t="s">
        <v>1820</v>
      </c>
      <c r="C1301" s="36">
        <f>LN(Inventory[[#This Row],[Acres]])</f>
        <v>-1.7147984280919266</v>
      </c>
      <c r="D1301" s="38">
        <v>0.18</v>
      </c>
      <c r="E1301" s="30">
        <v>7800</v>
      </c>
      <c r="F1301" s="31" t="s">
        <v>505</v>
      </c>
      <c r="G1301" s="31" t="s">
        <v>155</v>
      </c>
      <c r="H1301" s="31" t="s">
        <v>5</v>
      </c>
      <c r="I1301" s="31" t="s">
        <v>506</v>
      </c>
      <c r="J1301" s="31" t="s">
        <v>507</v>
      </c>
      <c r="K1301" s="31" t="s">
        <v>475</v>
      </c>
      <c r="L1301" s="31" t="s">
        <v>15</v>
      </c>
      <c r="M1301" s="31" t="s">
        <v>18</v>
      </c>
      <c r="N1301" s="31">
        <v>90</v>
      </c>
      <c r="O1301" s="31">
        <f>2024-Inventory[[#This Row],[YrBlt]]</f>
        <v>94</v>
      </c>
      <c r="P1301" s="31">
        <f>2024-Inventory[[#This Row],[EffYr]]</f>
        <v>54</v>
      </c>
      <c r="Q1301" s="30">
        <v>1930</v>
      </c>
      <c r="R1301" s="30">
        <v>1970</v>
      </c>
      <c r="S1301" s="30">
        <v>999</v>
      </c>
      <c r="T1301" s="37"/>
      <c r="U1301" s="32"/>
      <c r="V1301" s="32"/>
      <c r="W1301" s="32"/>
      <c r="X1301" s="32">
        <f>Inventory[[#This Row],[Bsmt Area]]-Inventory[[#This Row],[FnBsmt]]</f>
        <v>0</v>
      </c>
      <c r="Y1301" s="32">
        <f>Inventory[[#This Row],[MainFn]]+Inventory[[#This Row],[UpprFn]]+Inventory[[#This Row],[AddFn]]+Inventory[[#This Row],[FnBsmt]]</f>
        <v>999</v>
      </c>
      <c r="Z1301" s="32">
        <v>1000</v>
      </c>
      <c r="AA1301" s="31" t="s">
        <v>56</v>
      </c>
      <c r="AB1301" s="32"/>
      <c r="AC1301" s="37"/>
      <c r="AD1301" s="32"/>
      <c r="AE1301" s="32"/>
      <c r="AF1301" s="32"/>
      <c r="AG1301" s="32"/>
      <c r="AH1301" s="32"/>
      <c r="AI1301" s="30">
        <v>186457</v>
      </c>
      <c r="AJ1301" s="30">
        <v>123062</v>
      </c>
      <c r="AK1301" s="30">
        <v>0</v>
      </c>
      <c r="AL1301" s="30">
        <v>0</v>
      </c>
      <c r="AM1301" s="30">
        <v>62500</v>
      </c>
      <c r="AN1301" s="30">
        <v>174300</v>
      </c>
      <c r="AO1301" s="30">
        <v>236800</v>
      </c>
      <c r="AP1301" s="30">
        <f>Lookups!$B$58*0.6</f>
        <v>132535.48800000001</v>
      </c>
      <c r="AQ1301" s="30">
        <f>Lookups!$B$58*0.4</f>
        <v>88356.992000000013</v>
      </c>
      <c r="AR1301" s="30">
        <f>Lookups!$B$59*Inventory[[#This Row],[LnAcres]]</f>
        <v>-22505.565020573864</v>
      </c>
      <c r="AS1301" s="30">
        <f>VLOOKUP(Inventory[[#This Row],[Qlty]],Lookups!$A$66:$E$79,2,FALSE)</f>
        <v>-1240.8083630000001</v>
      </c>
      <c r="AT1301" s="30">
        <f>VLOOKUP(Inventory[[#This Row],[Cnd]],Lookups!$A$80:$E$88,2,FALSE)</f>
        <v>17761.121909000001</v>
      </c>
      <c r="AU1301" s="30">
        <f>Inventory[[#This Row],[EffAge]]*Lookups!$B$65</f>
        <v>-5872.0194000000001</v>
      </c>
      <c r="AV1301" s="30">
        <f>Inventory[[#This Row],[MainFn]]*Lookups!$B$90</f>
        <v>62347.969620000003</v>
      </c>
      <c r="AW1301" s="30">
        <f>Inventory[[#This Row],[UpprFn]]*Lookups!$B$91</f>
        <v>0</v>
      </c>
      <c r="AX1301" s="30">
        <f>Inventory[[#This Row],[Bsmt Area]]*Lookups!$B$95</f>
        <v>0</v>
      </c>
      <c r="AY1301" s="30">
        <f>Inventory[[#This Row],[AttGar]]*Lookups!$B$93</f>
        <v>0</v>
      </c>
      <c r="AZ1301" s="30">
        <f>ROUND(Inventory[[#This Row],[25Det]],-2)</f>
        <v>0</v>
      </c>
      <c r="BA1301" s="30">
        <f>ROUND(SUM(Inventory[[#This Row],[Mdl Qlty]:[Mdl Garage Area]])+Inventory[[#This Row],[Mdl Res Intercept]],-2)</f>
        <v>205500</v>
      </c>
      <c r="BB1301" s="30">
        <f>ROUND(Inventory[[#This Row],[Mdl Land Intercept]]+Inventory[[#This Row],[Mdl LnAcres]],-2)</f>
        <v>65900</v>
      </c>
      <c r="BC1301" s="30">
        <f>Inventory[[#This Row],[Unadj Res Value]]+Inventory[[#This Row],[Unadj Det Value]]+Inventory[[#This Row],[Unadj Land Value]]</f>
        <v>271400</v>
      </c>
      <c r="BD1301" s="30">
        <f>(Inventory[[#This Row],[Unadj Total Value]]-Inventory[[#This Row],[24Final]])/Inventory[[#This Row],[24Final]]</f>
        <v>0.14611486486486486</v>
      </c>
      <c r="BE1301" s="30">
        <f>VLOOKUP(Inventory[[#This Row],[Nbhd]],Lookups!$M$3:$P$5,4,FALSE)</f>
        <v>0.99970000000000003</v>
      </c>
      <c r="BF1301" s="30">
        <f>VLOOKUP(Inventory[[#This Row],[Qlty]],Lookups!$M$8:$P$22,4,FALSE)</f>
        <v>1.0022</v>
      </c>
      <c r="BG1301" s="30">
        <f>VLOOKUP(Inventory[[#This Row],[Cnd]],Lookups!$R$8:$U$17,4,FALSE)</f>
        <v>0.99680000000000002</v>
      </c>
      <c r="BH1301" s="30">
        <f>VLOOKUP(Inventory[[#This Row],[LivArea Range]],Lookups!$R$25:$U$43,4,FALSE)</f>
        <v>1</v>
      </c>
      <c r="BI1301" s="30">
        <f>VLOOKUP(Inventory[[#This Row],[Decade]],Lookups!$M$24:$P$40,4,FALSE)</f>
        <v>0.99960000000000004</v>
      </c>
      <c r="BJ1301" s="30">
        <f>Inventory[[#This Row],[Nbhd Adj]]*0.95</f>
        <v>0.94971499999999998</v>
      </c>
      <c r="BK1301" s="30">
        <f>AVERAGE(Inventory[[#This Row],[Nbhd Adj]],Inventory[[#This Row],[Quality Adj]],Inventory[[#This Row],[Condition Adj]],Inventory[[#This Row],[Living Area Adj]],Inventory[[#This Row],[Decade Adj]])*0.95</f>
        <v>0.9496770000000001</v>
      </c>
      <c r="BL1301" s="30">
        <f>ROUND((SUM(Inventory[[#This Row],[Mdl Qlty]:[Mdl Garage Area]])+Inventory[[#This Row],[Mdl Res Intercept]])*Inventory[[#This Row],[Res Adj ]],-2)</f>
        <v>195200</v>
      </c>
      <c r="BM1301" s="30">
        <f>ROUND(Inventory[[#This Row],[25Det]]*Inventory[[#This Row],[Det/Nbhd Adj]],-2)</f>
        <v>0</v>
      </c>
      <c r="BN1301" s="30">
        <f>Inventory[[#This Row],[Adjusted Res]]+Inventory[[#This Row],[Adj Det ]]</f>
        <v>195200</v>
      </c>
      <c r="BO1301" s="30">
        <f>ROUND((Inventory[[#This Row],[Mdl Land Intercept]]+Inventory[[#This Row],[Mdl LnAcres]])*Inventory[[#This Row],[Det/Nbhd Adj]],-2)</f>
        <v>62500</v>
      </c>
      <c r="BP1301" s="30">
        <f>Inventory[[#This Row],[Adjusted Impr Total]]+Inventory[[#This Row],[Adjusted Land Total]]</f>
        <v>257700</v>
      </c>
      <c r="BQ1301" s="30">
        <f>IFERROR((Inventory[[#This Row],[Adjusted Impr Total]]-Inventory[[#This Row],[24Bldg]])/Inventory[[#This Row],[24Bldg]],0)</f>
        <v>0.11990820424555364</v>
      </c>
      <c r="BR1301" s="43">
        <f>(Inventory[[#This Row],[Adjusted Land Total]]-Inventory[[#This Row],[24Lnd]])/Inventory[[#This Row],[24Lnd]]</f>
        <v>0</v>
      </c>
      <c r="BS1301" s="43">
        <f>(Inventory[[#This Row],[Adjusted Total]]-Inventory[[#This Row],[24Final]])/Inventory[[#This Row],[24Final]]</f>
        <v>8.8260135135135129E-2</v>
      </c>
    </row>
    <row r="1302" spans="1:71">
      <c r="A1302" s="30">
        <v>2025</v>
      </c>
      <c r="B1302" s="31" t="s">
        <v>1821</v>
      </c>
      <c r="C1302" s="36">
        <f>LN(Inventory[[#This Row],[Acres]])</f>
        <v>-1.7147984280919266</v>
      </c>
      <c r="D1302" s="38">
        <v>0.18</v>
      </c>
      <c r="E1302" s="30">
        <v>7806</v>
      </c>
      <c r="F1302" s="31" t="s">
        <v>505</v>
      </c>
      <c r="G1302" s="31" t="s">
        <v>155</v>
      </c>
      <c r="H1302" s="31" t="s">
        <v>5</v>
      </c>
      <c r="I1302" s="31" t="s">
        <v>506</v>
      </c>
      <c r="J1302" s="31" t="s">
        <v>507</v>
      </c>
      <c r="K1302" s="31" t="s">
        <v>473</v>
      </c>
      <c r="L1302" s="31" t="s">
        <v>13</v>
      </c>
      <c r="M1302" s="31" t="s">
        <v>18</v>
      </c>
      <c r="N1302" s="31">
        <v>90</v>
      </c>
      <c r="O1302" s="31">
        <f>2024-Inventory[[#This Row],[YrBlt]]</f>
        <v>94</v>
      </c>
      <c r="P1302" s="31">
        <f>2024-Inventory[[#This Row],[EffYr]]</f>
        <v>54</v>
      </c>
      <c r="Q1302" s="30">
        <v>1930</v>
      </c>
      <c r="R1302" s="30">
        <v>1970</v>
      </c>
      <c r="S1302" s="30">
        <v>1004</v>
      </c>
      <c r="T1302" s="32"/>
      <c r="U1302" s="32"/>
      <c r="V1302" s="32"/>
      <c r="W1302" s="32"/>
      <c r="X1302" s="32">
        <f>Inventory[[#This Row],[Bsmt Area]]-Inventory[[#This Row],[FnBsmt]]</f>
        <v>0</v>
      </c>
      <c r="Y1302" s="32">
        <f>Inventory[[#This Row],[MainFn]]+Inventory[[#This Row],[UpprFn]]+Inventory[[#This Row],[AddFn]]+Inventory[[#This Row],[FnBsmt]]</f>
        <v>1004</v>
      </c>
      <c r="Z1302" s="32">
        <v>1500</v>
      </c>
      <c r="AA1302" s="31" t="s">
        <v>56</v>
      </c>
      <c r="AB1302" s="32"/>
      <c r="AC1302" s="37"/>
      <c r="AD1302" s="32"/>
      <c r="AE1302" s="32"/>
      <c r="AF1302" s="32"/>
      <c r="AG1302" s="32"/>
      <c r="AH1302" s="32"/>
      <c r="AI1302" s="30">
        <v>153521</v>
      </c>
      <c r="AJ1302" s="30">
        <v>101324</v>
      </c>
      <c r="AK1302" s="30">
        <v>0</v>
      </c>
      <c r="AL1302" s="30">
        <v>0</v>
      </c>
      <c r="AM1302" s="30">
        <v>62500</v>
      </c>
      <c r="AN1302" s="30">
        <v>166800</v>
      </c>
      <c r="AO1302" s="30">
        <v>229300</v>
      </c>
      <c r="AP1302" s="30">
        <f>Lookups!$B$58*0.6</f>
        <v>132535.48800000001</v>
      </c>
      <c r="AQ1302" s="30">
        <f>Lookups!$B$58*0.4</f>
        <v>88356.992000000013</v>
      </c>
      <c r="AR1302" s="30">
        <f>Lookups!$B$59*Inventory[[#This Row],[LnAcres]]</f>
        <v>-22505.565020573864</v>
      </c>
      <c r="AS1302" s="30">
        <f>VLOOKUP(Inventory[[#This Row],[Qlty]],Lookups!$A$66:$E$79,2,FALSE)</f>
        <v>0</v>
      </c>
      <c r="AT1302" s="30">
        <f>VLOOKUP(Inventory[[#This Row],[Cnd]],Lookups!$A$80:$E$88,2,FALSE)</f>
        <v>17761.121909000001</v>
      </c>
      <c r="AU1302" s="30">
        <f>Inventory[[#This Row],[EffAge]]*Lookups!$B$65</f>
        <v>-5872.0194000000001</v>
      </c>
      <c r="AV1302" s="30">
        <f>Inventory[[#This Row],[MainFn]]*Lookups!$B$90</f>
        <v>62660.021520000002</v>
      </c>
      <c r="AW1302" s="30">
        <f>Inventory[[#This Row],[UpprFn]]*Lookups!$B$91</f>
        <v>0</v>
      </c>
      <c r="AX1302" s="30">
        <f>Inventory[[#This Row],[Bsmt Area]]*Lookups!$B$95</f>
        <v>0</v>
      </c>
      <c r="AY1302" s="30">
        <f>Inventory[[#This Row],[AttGar]]*Lookups!$B$93</f>
        <v>0</v>
      </c>
      <c r="AZ1302" s="30">
        <f>ROUND(Inventory[[#This Row],[25Det]],-2)</f>
        <v>0</v>
      </c>
      <c r="BA1302" s="30">
        <f>ROUND(SUM(Inventory[[#This Row],[Mdl Qlty]:[Mdl Garage Area]])+Inventory[[#This Row],[Mdl Res Intercept]],-2)</f>
        <v>207100</v>
      </c>
      <c r="BB1302" s="30">
        <f>ROUND(Inventory[[#This Row],[Mdl Land Intercept]]+Inventory[[#This Row],[Mdl LnAcres]],-2)</f>
        <v>65900</v>
      </c>
      <c r="BC1302" s="30">
        <f>Inventory[[#This Row],[Unadj Res Value]]+Inventory[[#This Row],[Unadj Det Value]]+Inventory[[#This Row],[Unadj Land Value]]</f>
        <v>273000</v>
      </c>
      <c r="BD1302" s="30">
        <f>(Inventory[[#This Row],[Unadj Total Value]]-Inventory[[#This Row],[24Final]])/Inventory[[#This Row],[24Final]]</f>
        <v>0.19058002616659397</v>
      </c>
      <c r="BE1302" s="30">
        <f>VLOOKUP(Inventory[[#This Row],[Nbhd]],Lookups!$M$3:$P$5,4,FALSE)</f>
        <v>0.99970000000000003</v>
      </c>
      <c r="BF1302" s="30">
        <f>VLOOKUP(Inventory[[#This Row],[Qlty]],Lookups!$M$8:$P$22,4,FALSE)</f>
        <v>1.0003</v>
      </c>
      <c r="BG1302" s="30">
        <f>VLOOKUP(Inventory[[#This Row],[Cnd]],Lookups!$R$8:$U$17,4,FALSE)</f>
        <v>0.99680000000000002</v>
      </c>
      <c r="BH1302" s="30">
        <f>VLOOKUP(Inventory[[#This Row],[LivArea Range]],Lookups!$R$25:$U$43,4,FALSE)</f>
        <v>0.99519999999999997</v>
      </c>
      <c r="BI1302" s="30">
        <f>VLOOKUP(Inventory[[#This Row],[Decade]],Lookups!$M$24:$P$40,4,FALSE)</f>
        <v>0.99960000000000004</v>
      </c>
      <c r="BJ1302" s="30">
        <f>Inventory[[#This Row],[Nbhd Adj]]*0.95</f>
        <v>0.94971499999999998</v>
      </c>
      <c r="BK1302" s="30">
        <f>AVERAGE(Inventory[[#This Row],[Nbhd Adj]],Inventory[[#This Row],[Quality Adj]],Inventory[[#This Row],[Condition Adj]],Inventory[[#This Row],[Living Area Adj]],Inventory[[#This Row],[Decade Adj]])*0.95</f>
        <v>0.94840399999999991</v>
      </c>
      <c r="BL1302" s="30">
        <f>ROUND((SUM(Inventory[[#This Row],[Mdl Qlty]:[Mdl Garage Area]])+Inventory[[#This Row],[Mdl Res Intercept]])*Inventory[[#This Row],[Res Adj ]],-2)</f>
        <v>196400</v>
      </c>
      <c r="BM1302" s="30">
        <f>ROUND(Inventory[[#This Row],[25Det]]*Inventory[[#This Row],[Det/Nbhd Adj]],-2)</f>
        <v>0</v>
      </c>
      <c r="BN1302" s="30">
        <f>Inventory[[#This Row],[Adjusted Res]]+Inventory[[#This Row],[Adj Det ]]</f>
        <v>196400</v>
      </c>
      <c r="BO1302" s="30">
        <f>ROUND((Inventory[[#This Row],[Mdl Land Intercept]]+Inventory[[#This Row],[Mdl LnAcres]])*Inventory[[#This Row],[Det/Nbhd Adj]],-2)</f>
        <v>62500</v>
      </c>
      <c r="BP1302" s="30">
        <f>Inventory[[#This Row],[Adjusted Impr Total]]+Inventory[[#This Row],[Adjusted Land Total]]</f>
        <v>258900</v>
      </c>
      <c r="BQ1302" s="30">
        <f>IFERROR((Inventory[[#This Row],[Adjusted Impr Total]]-Inventory[[#This Row],[24Bldg]])/Inventory[[#This Row],[24Bldg]],0)</f>
        <v>0.17745803357314149</v>
      </c>
      <c r="BR1302" s="43">
        <f>(Inventory[[#This Row],[Adjusted Land Total]]-Inventory[[#This Row],[24Lnd]])/Inventory[[#This Row],[24Lnd]]</f>
        <v>0</v>
      </c>
      <c r="BS1302" s="43">
        <f>(Inventory[[#This Row],[Adjusted Total]]-Inventory[[#This Row],[24Final]])/Inventory[[#This Row],[24Final]]</f>
        <v>0.12908853030963802</v>
      </c>
    </row>
    <row r="1303" spans="1:71">
      <c r="A1303" s="30">
        <v>2025</v>
      </c>
      <c r="B1303" s="31" t="s">
        <v>1822</v>
      </c>
      <c r="C1303" s="36">
        <f>LN(Inventory[[#This Row],[Acres]])</f>
        <v>-1.4271163556401458</v>
      </c>
      <c r="D1303" s="38">
        <v>0.24</v>
      </c>
      <c r="E1303" s="30">
        <v>10546</v>
      </c>
      <c r="F1303" s="31" t="s">
        <v>505</v>
      </c>
      <c r="G1303" s="31" t="s">
        <v>155</v>
      </c>
      <c r="H1303" s="31" t="s">
        <v>5</v>
      </c>
      <c r="I1303" s="31" t="s">
        <v>506</v>
      </c>
      <c r="J1303" s="31" t="s">
        <v>507</v>
      </c>
      <c r="K1303" s="31" t="s">
        <v>473</v>
      </c>
      <c r="L1303" s="31" t="s">
        <v>13</v>
      </c>
      <c r="M1303" s="31" t="s">
        <v>20</v>
      </c>
      <c r="N1303" s="31">
        <v>90</v>
      </c>
      <c r="O1303" s="31">
        <f>2024-Inventory[[#This Row],[YrBlt]]</f>
        <v>94</v>
      </c>
      <c r="P1303" s="31">
        <f>2024-Inventory[[#This Row],[EffYr]]</f>
        <v>54</v>
      </c>
      <c r="Q1303" s="30">
        <v>1930</v>
      </c>
      <c r="R1303" s="30">
        <v>1970</v>
      </c>
      <c r="S1303" s="30">
        <v>1178</v>
      </c>
      <c r="T1303" s="32"/>
      <c r="U1303" s="32"/>
      <c r="V1303" s="32"/>
      <c r="W1303" s="32"/>
      <c r="X1303" s="32">
        <f>Inventory[[#This Row],[Bsmt Area]]-Inventory[[#This Row],[FnBsmt]]</f>
        <v>0</v>
      </c>
      <c r="Y1303" s="32">
        <f>Inventory[[#This Row],[MainFn]]+Inventory[[#This Row],[UpprFn]]+Inventory[[#This Row],[AddFn]]+Inventory[[#This Row],[FnBsmt]]</f>
        <v>1178</v>
      </c>
      <c r="Z1303" s="32">
        <v>1500</v>
      </c>
      <c r="AA1303" s="31" t="s">
        <v>56</v>
      </c>
      <c r="AB1303" s="32"/>
      <c r="AC1303" s="37"/>
      <c r="AD1303" s="32"/>
      <c r="AE1303" s="32"/>
      <c r="AF1303" s="32"/>
      <c r="AG1303" s="32"/>
      <c r="AH1303" s="32"/>
      <c r="AI1303" s="30">
        <v>176033</v>
      </c>
      <c r="AJ1303" s="30">
        <v>119702</v>
      </c>
      <c r="AK1303" s="30">
        <v>60818</v>
      </c>
      <c r="AL1303" s="30">
        <v>0</v>
      </c>
      <c r="AM1303" s="30">
        <v>66500</v>
      </c>
      <c r="AN1303" s="30">
        <v>240100</v>
      </c>
      <c r="AO1303" s="30">
        <v>306600</v>
      </c>
      <c r="AP1303" s="30">
        <f>Lookups!$B$58*0.6</f>
        <v>132535.48800000001</v>
      </c>
      <c r="AQ1303" s="30">
        <f>Lookups!$B$58*0.4</f>
        <v>88356.992000000013</v>
      </c>
      <c r="AR1303" s="30">
        <f>Lookups!$B$59*Inventory[[#This Row],[LnAcres]]</f>
        <v>-18729.933155771436</v>
      </c>
      <c r="AS1303" s="30">
        <f>VLOOKUP(Inventory[[#This Row],[Qlty]],Lookups!$A$66:$E$79,2,FALSE)</f>
        <v>0</v>
      </c>
      <c r="AT1303" s="30">
        <f>VLOOKUP(Inventory[[#This Row],[Cnd]],Lookups!$A$80:$E$88,2,FALSE)</f>
        <v>30300.329274</v>
      </c>
      <c r="AU1303" s="30">
        <f>Inventory[[#This Row],[EffAge]]*Lookups!$B$65</f>
        <v>-5872.0194000000001</v>
      </c>
      <c r="AV1303" s="30">
        <f>Inventory[[#This Row],[MainFn]]*Lookups!$B$90</f>
        <v>73519.427640000009</v>
      </c>
      <c r="AW1303" s="30">
        <f>Inventory[[#This Row],[UpprFn]]*Lookups!$B$91</f>
        <v>0</v>
      </c>
      <c r="AX1303" s="30">
        <f>Inventory[[#This Row],[Bsmt Area]]*Lookups!$B$95</f>
        <v>0</v>
      </c>
      <c r="AY1303" s="30">
        <f>Inventory[[#This Row],[AttGar]]*Lookups!$B$93</f>
        <v>0</v>
      </c>
      <c r="AZ1303" s="30">
        <f>ROUND(Inventory[[#This Row],[25Det]],-2)</f>
        <v>60800</v>
      </c>
      <c r="BA1303" s="30">
        <f>ROUND(SUM(Inventory[[#This Row],[Mdl Qlty]:[Mdl Garage Area]])+Inventory[[#This Row],[Mdl Res Intercept]],-2)</f>
        <v>230500</v>
      </c>
      <c r="BB1303" s="30">
        <f>ROUND(Inventory[[#This Row],[Mdl Land Intercept]]+Inventory[[#This Row],[Mdl LnAcres]],-2)</f>
        <v>69600</v>
      </c>
      <c r="BC1303" s="30">
        <f>Inventory[[#This Row],[Unadj Res Value]]+Inventory[[#This Row],[Unadj Det Value]]+Inventory[[#This Row],[Unadj Land Value]]</f>
        <v>360900</v>
      </c>
      <c r="BD1303" s="30">
        <f>(Inventory[[#This Row],[Unadj Total Value]]-Inventory[[#This Row],[24Final]])/Inventory[[#This Row],[24Final]]</f>
        <v>0.1771037181996086</v>
      </c>
      <c r="BE1303" s="30">
        <f>VLOOKUP(Inventory[[#This Row],[Nbhd]],Lookups!$M$3:$P$5,4,FALSE)</f>
        <v>0.99970000000000003</v>
      </c>
      <c r="BF1303" s="30">
        <f>VLOOKUP(Inventory[[#This Row],[Qlty]],Lookups!$M$8:$P$22,4,FALSE)</f>
        <v>1.0003</v>
      </c>
      <c r="BG1303" s="30">
        <f>VLOOKUP(Inventory[[#This Row],[Cnd]],Lookups!$R$8:$U$17,4,FALSE)</f>
        <v>0.997</v>
      </c>
      <c r="BH1303" s="30">
        <f>VLOOKUP(Inventory[[#This Row],[LivArea Range]],Lookups!$R$25:$U$43,4,FALSE)</f>
        <v>0.99519999999999997</v>
      </c>
      <c r="BI1303" s="30">
        <f>VLOOKUP(Inventory[[#This Row],[Decade]],Lookups!$M$24:$P$40,4,FALSE)</f>
        <v>0.99960000000000004</v>
      </c>
      <c r="BJ1303" s="30">
        <f>Inventory[[#This Row],[Nbhd Adj]]*0.95</f>
        <v>0.94971499999999998</v>
      </c>
      <c r="BK1303" s="30">
        <f>AVERAGE(Inventory[[#This Row],[Nbhd Adj]],Inventory[[#This Row],[Quality Adj]],Inventory[[#This Row],[Condition Adj]],Inventory[[#This Row],[Living Area Adj]],Inventory[[#This Row],[Decade Adj]])*0.95</f>
        <v>0.9484419999999999</v>
      </c>
      <c r="BL1303" s="30">
        <f>ROUND((SUM(Inventory[[#This Row],[Mdl Qlty]:[Mdl Garage Area]])+Inventory[[#This Row],[Mdl Res Intercept]])*Inventory[[#This Row],[Res Adj ]],-2)</f>
        <v>218600</v>
      </c>
      <c r="BM1303" s="30">
        <f>ROUND(Inventory[[#This Row],[25Det]]*Inventory[[#This Row],[Det/Nbhd Adj]],-2)</f>
        <v>57800</v>
      </c>
      <c r="BN1303" s="30">
        <f>Inventory[[#This Row],[Adjusted Res]]+Inventory[[#This Row],[Adj Det ]]</f>
        <v>276400</v>
      </c>
      <c r="BO1303" s="30">
        <f>ROUND((Inventory[[#This Row],[Mdl Land Intercept]]+Inventory[[#This Row],[Mdl LnAcres]])*Inventory[[#This Row],[Det/Nbhd Adj]],-2)</f>
        <v>66100</v>
      </c>
      <c r="BP1303" s="30">
        <f>Inventory[[#This Row],[Adjusted Impr Total]]+Inventory[[#This Row],[Adjusted Land Total]]</f>
        <v>342500</v>
      </c>
      <c r="BQ1303" s="30">
        <f>IFERROR((Inventory[[#This Row],[Adjusted Impr Total]]-Inventory[[#This Row],[24Bldg]])/Inventory[[#This Row],[24Bldg]],0)</f>
        <v>0.15118700541441066</v>
      </c>
      <c r="BR1303" s="43">
        <f>(Inventory[[#This Row],[Adjusted Land Total]]-Inventory[[#This Row],[24Lnd]])/Inventory[[#This Row],[24Lnd]]</f>
        <v>-6.0150375939849628E-3</v>
      </c>
      <c r="BS1303" s="43">
        <f>(Inventory[[#This Row],[Adjusted Total]]-Inventory[[#This Row],[24Final]])/Inventory[[#This Row],[24Final]]</f>
        <v>0.11709067188519243</v>
      </c>
    </row>
    <row r="1304" spans="1:71">
      <c r="A1304" s="30">
        <v>2025</v>
      </c>
      <c r="B1304" s="31" t="s">
        <v>1823</v>
      </c>
      <c r="C1304" s="36">
        <f>LN(Inventory[[#This Row],[Acres]])</f>
        <v>-1.3093333199837622</v>
      </c>
      <c r="D1304" s="38">
        <v>0.27</v>
      </c>
      <c r="E1304" s="30">
        <v>11700</v>
      </c>
      <c r="F1304" s="31" t="s">
        <v>505</v>
      </c>
      <c r="G1304" s="31" t="s">
        <v>155</v>
      </c>
      <c r="H1304" s="31" t="s">
        <v>5</v>
      </c>
      <c r="I1304" s="31" t="s">
        <v>506</v>
      </c>
      <c r="J1304" s="31" t="s">
        <v>507</v>
      </c>
      <c r="K1304" s="31" t="s">
        <v>473</v>
      </c>
      <c r="L1304" s="31" t="s">
        <v>13</v>
      </c>
      <c r="M1304" s="31" t="s">
        <v>18</v>
      </c>
      <c r="N1304" s="31">
        <v>90</v>
      </c>
      <c r="O1304" s="31">
        <f>2024-Inventory[[#This Row],[YrBlt]]</f>
        <v>94</v>
      </c>
      <c r="P1304" s="31">
        <f>2024-Inventory[[#This Row],[EffYr]]</f>
        <v>54</v>
      </c>
      <c r="Q1304" s="30">
        <v>1930</v>
      </c>
      <c r="R1304" s="30">
        <v>1970</v>
      </c>
      <c r="S1304" s="30">
        <v>1080</v>
      </c>
      <c r="T1304" s="32"/>
      <c r="U1304" s="32"/>
      <c r="V1304" s="32"/>
      <c r="W1304" s="32"/>
      <c r="X1304" s="32">
        <f>Inventory[[#This Row],[Bsmt Area]]-Inventory[[#This Row],[FnBsmt]]</f>
        <v>0</v>
      </c>
      <c r="Y1304" s="32">
        <f>Inventory[[#This Row],[MainFn]]+Inventory[[#This Row],[UpprFn]]+Inventory[[#This Row],[AddFn]]+Inventory[[#This Row],[FnBsmt]]</f>
        <v>1080</v>
      </c>
      <c r="Z1304" s="32">
        <v>1500</v>
      </c>
      <c r="AA1304" s="31" t="s">
        <v>56</v>
      </c>
      <c r="AB1304" s="32"/>
      <c r="AC1304" s="37"/>
      <c r="AD1304" s="32"/>
      <c r="AE1304" s="32"/>
      <c r="AF1304" s="32"/>
      <c r="AG1304" s="32"/>
      <c r="AH1304" s="32"/>
      <c r="AI1304" s="30">
        <v>149593</v>
      </c>
      <c r="AJ1304" s="30">
        <v>98731</v>
      </c>
      <c r="AK1304" s="30">
        <v>18949</v>
      </c>
      <c r="AL1304" s="30">
        <v>0</v>
      </c>
      <c r="AM1304" s="30">
        <v>68200</v>
      </c>
      <c r="AN1304" s="30">
        <v>182700</v>
      </c>
      <c r="AO1304" s="30">
        <v>250900</v>
      </c>
      <c r="AP1304" s="30">
        <f>Lookups!$B$58*0.6</f>
        <v>132535.48800000001</v>
      </c>
      <c r="AQ1304" s="30">
        <f>Lookups!$B$58*0.4</f>
        <v>88356.992000000013</v>
      </c>
      <c r="AR1304" s="30">
        <f>Lookups!$B$59*Inventory[[#This Row],[LnAcres]]</f>
        <v>-17184.11078746261</v>
      </c>
      <c r="AS1304" s="30">
        <f>VLOOKUP(Inventory[[#This Row],[Qlty]],Lookups!$A$66:$E$79,2,FALSE)</f>
        <v>0</v>
      </c>
      <c r="AT1304" s="30">
        <f>VLOOKUP(Inventory[[#This Row],[Cnd]],Lookups!$A$80:$E$88,2,FALSE)</f>
        <v>17761.121909000001</v>
      </c>
      <c r="AU1304" s="30">
        <f>Inventory[[#This Row],[EffAge]]*Lookups!$B$65</f>
        <v>-5872.0194000000001</v>
      </c>
      <c r="AV1304" s="30">
        <f>Inventory[[#This Row],[MainFn]]*Lookups!$B$90</f>
        <v>67403.210400000011</v>
      </c>
      <c r="AW1304" s="30">
        <f>Inventory[[#This Row],[UpprFn]]*Lookups!$B$91</f>
        <v>0</v>
      </c>
      <c r="AX1304" s="30">
        <f>Inventory[[#This Row],[Bsmt Area]]*Lookups!$B$95</f>
        <v>0</v>
      </c>
      <c r="AY1304" s="30">
        <f>Inventory[[#This Row],[AttGar]]*Lookups!$B$93</f>
        <v>0</v>
      </c>
      <c r="AZ1304" s="30">
        <f>ROUND(Inventory[[#This Row],[25Det]],-2)</f>
        <v>18900</v>
      </c>
      <c r="BA1304" s="30">
        <f>ROUND(SUM(Inventory[[#This Row],[Mdl Qlty]:[Mdl Garage Area]])+Inventory[[#This Row],[Mdl Res Intercept]],-2)</f>
        <v>211800</v>
      </c>
      <c r="BB1304" s="30">
        <f>ROUND(Inventory[[#This Row],[Mdl Land Intercept]]+Inventory[[#This Row],[Mdl LnAcres]],-2)</f>
        <v>71200</v>
      </c>
      <c r="BC1304" s="30">
        <f>Inventory[[#This Row],[Unadj Res Value]]+Inventory[[#This Row],[Unadj Det Value]]+Inventory[[#This Row],[Unadj Land Value]]</f>
        <v>301900</v>
      </c>
      <c r="BD1304" s="30">
        <f>(Inventory[[#This Row],[Unadj Total Value]]-Inventory[[#This Row],[24Final]])/Inventory[[#This Row],[24Final]]</f>
        <v>0.20326823435631725</v>
      </c>
      <c r="BE1304" s="30">
        <f>VLOOKUP(Inventory[[#This Row],[Nbhd]],Lookups!$M$3:$P$5,4,FALSE)</f>
        <v>0.99970000000000003</v>
      </c>
      <c r="BF1304" s="30">
        <f>VLOOKUP(Inventory[[#This Row],[Qlty]],Lookups!$M$8:$P$22,4,FALSE)</f>
        <v>1.0003</v>
      </c>
      <c r="BG1304" s="30">
        <f>VLOOKUP(Inventory[[#This Row],[Cnd]],Lookups!$R$8:$U$17,4,FALSE)</f>
        <v>0.99680000000000002</v>
      </c>
      <c r="BH1304" s="30">
        <f>VLOOKUP(Inventory[[#This Row],[LivArea Range]],Lookups!$R$25:$U$43,4,FALSE)</f>
        <v>0.99519999999999997</v>
      </c>
      <c r="BI1304" s="30">
        <f>VLOOKUP(Inventory[[#This Row],[Decade]],Lookups!$M$24:$P$40,4,FALSE)</f>
        <v>0.99960000000000004</v>
      </c>
      <c r="BJ1304" s="30">
        <f>Inventory[[#This Row],[Nbhd Adj]]*0.95</f>
        <v>0.94971499999999998</v>
      </c>
      <c r="BK1304" s="30">
        <f>AVERAGE(Inventory[[#This Row],[Nbhd Adj]],Inventory[[#This Row],[Quality Adj]],Inventory[[#This Row],[Condition Adj]],Inventory[[#This Row],[Living Area Adj]],Inventory[[#This Row],[Decade Adj]])*0.95</f>
        <v>0.94840399999999991</v>
      </c>
      <c r="BL1304" s="30">
        <f>ROUND((SUM(Inventory[[#This Row],[Mdl Qlty]:[Mdl Garage Area]])+Inventory[[#This Row],[Mdl Res Intercept]])*Inventory[[#This Row],[Res Adj ]],-2)</f>
        <v>200900</v>
      </c>
      <c r="BM1304" s="30">
        <f>ROUND(Inventory[[#This Row],[25Det]]*Inventory[[#This Row],[Det/Nbhd Adj]],-2)</f>
        <v>18000</v>
      </c>
      <c r="BN1304" s="30">
        <f>Inventory[[#This Row],[Adjusted Res]]+Inventory[[#This Row],[Adj Det ]]</f>
        <v>218900</v>
      </c>
      <c r="BO1304" s="30">
        <f>ROUND((Inventory[[#This Row],[Mdl Land Intercept]]+Inventory[[#This Row],[Mdl LnAcres]])*Inventory[[#This Row],[Det/Nbhd Adj]],-2)</f>
        <v>67600</v>
      </c>
      <c r="BP1304" s="30">
        <f>Inventory[[#This Row],[Adjusted Impr Total]]+Inventory[[#This Row],[Adjusted Land Total]]</f>
        <v>286500</v>
      </c>
      <c r="BQ1304" s="30">
        <f>IFERROR((Inventory[[#This Row],[Adjusted Impr Total]]-Inventory[[#This Row],[24Bldg]])/Inventory[[#This Row],[24Bldg]],0)</f>
        <v>0.19813902572523262</v>
      </c>
      <c r="BR1304" s="43">
        <f>(Inventory[[#This Row],[Adjusted Land Total]]-Inventory[[#This Row],[24Lnd]])/Inventory[[#This Row],[24Lnd]]</f>
        <v>-8.7976539589442824E-3</v>
      </c>
      <c r="BS1304" s="43">
        <f>(Inventory[[#This Row],[Adjusted Total]]-Inventory[[#This Row],[24Final]])/Inventory[[#This Row],[24Final]]</f>
        <v>0.14188919888401755</v>
      </c>
    </row>
    <row r="1305" spans="1:71">
      <c r="A1305" s="30">
        <v>2025</v>
      </c>
      <c r="B1305" s="31" t="s">
        <v>1824</v>
      </c>
      <c r="C1305" s="36">
        <f>LN(Inventory[[#This Row],[Acres]])</f>
        <v>-1.2729656758128873</v>
      </c>
      <c r="D1305" s="38">
        <v>0.28000000000000003</v>
      </c>
      <c r="E1305" s="30">
        <v>12000</v>
      </c>
      <c r="F1305" s="31" t="s">
        <v>505</v>
      </c>
      <c r="G1305" s="31" t="s">
        <v>155</v>
      </c>
      <c r="H1305" s="31" t="s">
        <v>5</v>
      </c>
      <c r="I1305" s="31" t="s">
        <v>506</v>
      </c>
      <c r="J1305" s="31" t="s">
        <v>507</v>
      </c>
      <c r="K1305" s="31" t="s">
        <v>473</v>
      </c>
      <c r="L1305" s="31" t="s">
        <v>17</v>
      </c>
      <c r="M1305" s="31" t="s">
        <v>18</v>
      </c>
      <c r="N1305" s="31">
        <v>90</v>
      </c>
      <c r="O1305" s="31">
        <f>2024-Inventory[[#This Row],[YrBlt]]</f>
        <v>94</v>
      </c>
      <c r="P1305" s="31">
        <f>2024-Inventory[[#This Row],[EffYr]]</f>
        <v>54</v>
      </c>
      <c r="Q1305" s="30">
        <v>1930</v>
      </c>
      <c r="R1305" s="30">
        <v>1970</v>
      </c>
      <c r="S1305" s="30">
        <v>1520</v>
      </c>
      <c r="T1305" s="32"/>
      <c r="U1305" s="38">
        <v>1140</v>
      </c>
      <c r="V1305" s="32"/>
      <c r="W1305" s="32"/>
      <c r="X1305" s="32">
        <f>Inventory[[#This Row],[Bsmt Area]]-Inventory[[#This Row],[FnBsmt]]</f>
        <v>1140</v>
      </c>
      <c r="Y1305" s="32">
        <f>Inventory[[#This Row],[MainFn]]+Inventory[[#This Row],[UpprFn]]+Inventory[[#This Row],[AddFn]]+Inventory[[#This Row],[FnBsmt]]</f>
        <v>1520</v>
      </c>
      <c r="Z1305" s="32">
        <v>2000</v>
      </c>
      <c r="AA1305" s="31" t="s">
        <v>56</v>
      </c>
      <c r="AB1305" s="32"/>
      <c r="AC1305" s="37"/>
      <c r="AD1305" s="32"/>
      <c r="AE1305" s="32"/>
      <c r="AF1305" s="32"/>
      <c r="AG1305" s="32"/>
      <c r="AH1305" s="32"/>
      <c r="AI1305" s="30">
        <v>283524</v>
      </c>
      <c r="AJ1305" s="30">
        <v>187126</v>
      </c>
      <c r="AK1305" s="30">
        <v>29122</v>
      </c>
      <c r="AL1305" s="30">
        <v>0</v>
      </c>
      <c r="AM1305" s="30">
        <v>68700</v>
      </c>
      <c r="AN1305" s="30">
        <v>244700</v>
      </c>
      <c r="AO1305" s="30">
        <v>313400</v>
      </c>
      <c r="AP1305" s="30">
        <f>Lookups!$B$58*0.6</f>
        <v>132535.48800000001</v>
      </c>
      <c r="AQ1305" s="30">
        <f>Lookups!$B$58*0.4</f>
        <v>88356.992000000013</v>
      </c>
      <c r="AR1305" s="30">
        <f>Lookups!$B$59*Inventory[[#This Row],[LnAcres]]</f>
        <v>-16706.81015135027</v>
      </c>
      <c r="AS1305" s="30">
        <f>VLOOKUP(Inventory[[#This Row],[Qlty]],Lookups!$A$66:$E$79,2,FALSE)</f>
        <v>24371.765965999999</v>
      </c>
      <c r="AT1305" s="30">
        <f>VLOOKUP(Inventory[[#This Row],[Cnd]],Lookups!$A$80:$E$88,2,FALSE)</f>
        <v>17761.121909000001</v>
      </c>
      <c r="AU1305" s="30">
        <f>Inventory[[#This Row],[EffAge]]*Lookups!$B$65</f>
        <v>-5872.0194000000001</v>
      </c>
      <c r="AV1305" s="30">
        <f>Inventory[[#This Row],[MainFn]]*Lookups!$B$90</f>
        <v>94863.777600000001</v>
      </c>
      <c r="AW1305" s="30">
        <f>Inventory[[#This Row],[UpprFn]]*Lookups!$B$91</f>
        <v>0</v>
      </c>
      <c r="AX1305" s="30">
        <f>Inventory[[#This Row],[Bsmt Area]]*Lookups!$B$95</f>
        <v>71348.605439999999</v>
      </c>
      <c r="AY1305" s="30">
        <f>Inventory[[#This Row],[AttGar]]*Lookups!$B$93</f>
        <v>0</v>
      </c>
      <c r="AZ1305" s="30">
        <f>ROUND(Inventory[[#This Row],[25Det]],-2)</f>
        <v>29100</v>
      </c>
      <c r="BA1305" s="30">
        <f>ROUND(SUM(Inventory[[#This Row],[Mdl Qlty]:[Mdl Garage Area]])+Inventory[[#This Row],[Mdl Res Intercept]],-2)</f>
        <v>335000</v>
      </c>
      <c r="BB1305" s="30">
        <f>ROUND(Inventory[[#This Row],[Mdl Land Intercept]]+Inventory[[#This Row],[Mdl LnAcres]],-2)</f>
        <v>71700</v>
      </c>
      <c r="BC1305" s="30">
        <f>Inventory[[#This Row],[Unadj Res Value]]+Inventory[[#This Row],[Unadj Det Value]]+Inventory[[#This Row],[Unadj Land Value]]</f>
        <v>435800</v>
      </c>
      <c r="BD1305" s="30">
        <f>(Inventory[[#This Row],[Unadj Total Value]]-Inventory[[#This Row],[24Final]])/Inventory[[#This Row],[24Final]]</f>
        <v>0.39055520102105934</v>
      </c>
      <c r="BE1305" s="30">
        <f>VLOOKUP(Inventory[[#This Row],[Nbhd]],Lookups!$M$3:$P$5,4,FALSE)</f>
        <v>0.99970000000000003</v>
      </c>
      <c r="BF1305" s="30">
        <f>VLOOKUP(Inventory[[#This Row],[Qlty]],Lookups!$M$8:$P$22,4,FALSE)</f>
        <v>0.99199999999999999</v>
      </c>
      <c r="BG1305" s="30">
        <f>VLOOKUP(Inventory[[#This Row],[Cnd]],Lookups!$R$8:$U$17,4,FALSE)</f>
        <v>0.99680000000000002</v>
      </c>
      <c r="BH1305" s="30">
        <f>VLOOKUP(Inventory[[#This Row],[LivArea Range]],Lookups!$R$25:$U$43,4,FALSE)</f>
        <v>1.0007999999999999</v>
      </c>
      <c r="BI1305" s="30">
        <f>VLOOKUP(Inventory[[#This Row],[Decade]],Lookups!$M$24:$P$40,4,FALSE)</f>
        <v>0.99960000000000004</v>
      </c>
      <c r="BJ1305" s="30">
        <f>Inventory[[#This Row],[Nbhd Adj]]*0.95</f>
        <v>0.94971499999999998</v>
      </c>
      <c r="BK1305" s="30">
        <f>AVERAGE(Inventory[[#This Row],[Nbhd Adj]],Inventory[[#This Row],[Quality Adj]],Inventory[[#This Row],[Condition Adj]],Inventory[[#This Row],[Living Area Adj]],Inventory[[#This Row],[Decade Adj]])*0.95</f>
        <v>0.94789099999999993</v>
      </c>
      <c r="BL1305" s="30">
        <f>ROUND((SUM(Inventory[[#This Row],[Mdl Qlty]:[Mdl Garage Area]])+Inventory[[#This Row],[Mdl Res Intercept]])*Inventory[[#This Row],[Res Adj ]],-2)</f>
        <v>317600</v>
      </c>
      <c r="BM1305" s="30">
        <f>ROUND(Inventory[[#This Row],[25Det]]*Inventory[[#This Row],[Det/Nbhd Adj]],-2)</f>
        <v>27700</v>
      </c>
      <c r="BN1305" s="30">
        <f>Inventory[[#This Row],[Adjusted Res]]+Inventory[[#This Row],[Adj Det ]]</f>
        <v>345300</v>
      </c>
      <c r="BO1305" s="30">
        <f>ROUND((Inventory[[#This Row],[Mdl Land Intercept]]+Inventory[[#This Row],[Mdl LnAcres]])*Inventory[[#This Row],[Det/Nbhd Adj]],-2)</f>
        <v>68000</v>
      </c>
      <c r="BP1305" s="30">
        <f>Inventory[[#This Row],[Adjusted Impr Total]]+Inventory[[#This Row],[Adjusted Land Total]]</f>
        <v>413300</v>
      </c>
      <c r="BQ1305" s="30">
        <f>IFERROR((Inventory[[#This Row],[Adjusted Impr Total]]-Inventory[[#This Row],[24Bldg]])/Inventory[[#This Row],[24Bldg]],0)</f>
        <v>0.41111565181855331</v>
      </c>
      <c r="BR1305" s="43">
        <f>(Inventory[[#This Row],[Adjusted Land Total]]-Inventory[[#This Row],[24Lnd]])/Inventory[[#This Row],[24Lnd]]</f>
        <v>-1.0189228529839884E-2</v>
      </c>
      <c r="BS1305" s="43">
        <f>(Inventory[[#This Row],[Adjusted Total]]-Inventory[[#This Row],[24Final]])/Inventory[[#This Row],[24Final]]</f>
        <v>0.31876196553924696</v>
      </c>
    </row>
    <row r="1306" spans="1:71">
      <c r="A1306" s="30">
        <v>2025</v>
      </c>
      <c r="B1306" s="31" t="s">
        <v>1825</v>
      </c>
      <c r="C1306" s="36">
        <f>LN(Inventory[[#This Row],[Acres]])</f>
        <v>-1.1086626245216111</v>
      </c>
      <c r="D1306" s="38">
        <v>0.33</v>
      </c>
      <c r="E1306" s="30">
        <v>14301</v>
      </c>
      <c r="F1306" s="31" t="s">
        <v>505</v>
      </c>
      <c r="G1306" s="31" t="s">
        <v>155</v>
      </c>
      <c r="H1306" s="31" t="s">
        <v>5</v>
      </c>
      <c r="I1306" s="31" t="s">
        <v>506</v>
      </c>
      <c r="J1306" s="31" t="s">
        <v>773</v>
      </c>
      <c r="K1306" s="31" t="s">
        <v>473</v>
      </c>
      <c r="L1306" s="31" t="s">
        <v>13</v>
      </c>
      <c r="M1306" s="31" t="s">
        <v>18</v>
      </c>
      <c r="N1306" s="31">
        <v>90</v>
      </c>
      <c r="O1306" s="31">
        <f>2024-Inventory[[#This Row],[YrBlt]]</f>
        <v>94</v>
      </c>
      <c r="P1306" s="31">
        <f>2024-Inventory[[#This Row],[EffYr]]</f>
        <v>54</v>
      </c>
      <c r="Q1306" s="30">
        <v>1930</v>
      </c>
      <c r="R1306" s="30">
        <v>1970</v>
      </c>
      <c r="S1306" s="30">
        <v>1404</v>
      </c>
      <c r="T1306" s="37"/>
      <c r="U1306" s="38">
        <v>816</v>
      </c>
      <c r="V1306" s="32"/>
      <c r="W1306" s="32"/>
      <c r="X1306" s="32">
        <f>Inventory[[#This Row],[Bsmt Area]]-Inventory[[#This Row],[FnBsmt]]</f>
        <v>816</v>
      </c>
      <c r="Y1306" s="32">
        <f>Inventory[[#This Row],[MainFn]]+Inventory[[#This Row],[UpprFn]]+Inventory[[#This Row],[AddFn]]+Inventory[[#This Row],[FnBsmt]]</f>
        <v>1404</v>
      </c>
      <c r="Z1306" s="32">
        <v>1500</v>
      </c>
      <c r="AA1306" s="31" t="s">
        <v>56</v>
      </c>
      <c r="AB1306" s="32"/>
      <c r="AC1306" s="32"/>
      <c r="AD1306" s="37"/>
      <c r="AE1306" s="32"/>
      <c r="AF1306" s="32"/>
      <c r="AG1306" s="32"/>
      <c r="AH1306" s="32"/>
      <c r="AI1306" s="30">
        <v>207718</v>
      </c>
      <c r="AJ1306" s="30">
        <v>137094</v>
      </c>
      <c r="AK1306" s="30">
        <v>6927</v>
      </c>
      <c r="AL1306" s="30">
        <v>0</v>
      </c>
      <c r="AM1306" s="30">
        <v>71000</v>
      </c>
      <c r="AN1306" s="30">
        <v>188000</v>
      </c>
      <c r="AO1306" s="30">
        <v>259000</v>
      </c>
      <c r="AP1306" s="30">
        <f>Lookups!$B$58*0.6</f>
        <v>132535.48800000001</v>
      </c>
      <c r="AQ1306" s="30">
        <f>Lookups!$B$58*0.4</f>
        <v>88356.992000000013</v>
      </c>
      <c r="AR1306" s="30">
        <f>Lookups!$B$59*Inventory[[#This Row],[LnAcres]]</f>
        <v>-14550.444164924096</v>
      </c>
      <c r="AS1306" s="30">
        <f>VLOOKUP(Inventory[[#This Row],[Qlty]],Lookups!$A$66:$E$79,2,FALSE)</f>
        <v>0</v>
      </c>
      <c r="AT1306" s="30">
        <f>VLOOKUP(Inventory[[#This Row],[Cnd]],Lookups!$A$80:$E$88,2,FALSE)</f>
        <v>17761.121909000001</v>
      </c>
      <c r="AU1306" s="30">
        <f>Inventory[[#This Row],[EffAge]]*Lookups!$B$65</f>
        <v>-5872.0194000000001</v>
      </c>
      <c r="AV1306" s="30">
        <f>Inventory[[#This Row],[MainFn]]*Lookups!$B$90</f>
        <v>87624.173520000011</v>
      </c>
      <c r="AW1306" s="30">
        <f>Inventory[[#This Row],[UpprFn]]*Lookups!$B$91</f>
        <v>0</v>
      </c>
      <c r="AX1306" s="30">
        <f>Inventory[[#This Row],[Bsmt Area]]*Lookups!$B$95</f>
        <v>51070.580735999996</v>
      </c>
      <c r="AY1306" s="30">
        <f>Inventory[[#This Row],[AttGar]]*Lookups!$B$93</f>
        <v>0</v>
      </c>
      <c r="AZ1306" s="30">
        <f>ROUND(Inventory[[#This Row],[25Det]],-2)</f>
        <v>6900</v>
      </c>
      <c r="BA1306" s="30">
        <f>ROUND(SUM(Inventory[[#This Row],[Mdl Qlty]:[Mdl Garage Area]])+Inventory[[#This Row],[Mdl Res Intercept]],-2)</f>
        <v>283100</v>
      </c>
      <c r="BB1306" s="30">
        <f>ROUND(Inventory[[#This Row],[Mdl Land Intercept]]+Inventory[[#This Row],[Mdl LnAcres]],-2)</f>
        <v>73800</v>
      </c>
      <c r="BC1306" s="30">
        <f>Inventory[[#This Row],[Unadj Res Value]]+Inventory[[#This Row],[Unadj Det Value]]+Inventory[[#This Row],[Unadj Land Value]]</f>
        <v>363800</v>
      </c>
      <c r="BD1306" s="30">
        <f>(Inventory[[#This Row],[Unadj Total Value]]-Inventory[[#This Row],[24Final]])/Inventory[[#This Row],[24Final]]</f>
        <v>0.40463320463320462</v>
      </c>
      <c r="BE1306" s="30">
        <f>VLOOKUP(Inventory[[#This Row],[Nbhd]],Lookups!$M$3:$P$5,4,FALSE)</f>
        <v>0.99970000000000003</v>
      </c>
      <c r="BF1306" s="30">
        <f>VLOOKUP(Inventory[[#This Row],[Qlty]],Lookups!$M$8:$P$22,4,FALSE)</f>
        <v>1.0003</v>
      </c>
      <c r="BG1306" s="30">
        <f>VLOOKUP(Inventory[[#This Row],[Cnd]],Lookups!$R$8:$U$17,4,FALSE)</f>
        <v>0.99680000000000002</v>
      </c>
      <c r="BH1306" s="30">
        <f>VLOOKUP(Inventory[[#This Row],[LivArea Range]],Lookups!$R$25:$U$43,4,FALSE)</f>
        <v>0.99519999999999997</v>
      </c>
      <c r="BI1306" s="30">
        <f>VLOOKUP(Inventory[[#This Row],[Decade]],Lookups!$M$24:$P$40,4,FALSE)</f>
        <v>0.99960000000000004</v>
      </c>
      <c r="BJ1306" s="30">
        <f>Inventory[[#This Row],[Nbhd Adj]]*0.95</f>
        <v>0.94971499999999998</v>
      </c>
      <c r="BK1306" s="30">
        <f>AVERAGE(Inventory[[#This Row],[Nbhd Adj]],Inventory[[#This Row],[Quality Adj]],Inventory[[#This Row],[Condition Adj]],Inventory[[#This Row],[Living Area Adj]],Inventory[[#This Row],[Decade Adj]])*0.95</f>
        <v>0.94840399999999991</v>
      </c>
      <c r="BL1306" s="30">
        <f>ROUND((SUM(Inventory[[#This Row],[Mdl Qlty]:[Mdl Garage Area]])+Inventory[[#This Row],[Mdl Res Intercept]])*Inventory[[#This Row],[Res Adj ]],-2)</f>
        <v>268500</v>
      </c>
      <c r="BM1306" s="30">
        <f>ROUND(Inventory[[#This Row],[25Det]]*Inventory[[#This Row],[Det/Nbhd Adj]],-2)</f>
        <v>6600</v>
      </c>
      <c r="BN1306" s="30">
        <f>Inventory[[#This Row],[Adjusted Res]]+Inventory[[#This Row],[Adj Det ]]</f>
        <v>275100</v>
      </c>
      <c r="BO1306" s="30">
        <f>ROUND((Inventory[[#This Row],[Mdl Land Intercept]]+Inventory[[#This Row],[Mdl LnAcres]])*Inventory[[#This Row],[Det/Nbhd Adj]],-2)</f>
        <v>70100</v>
      </c>
      <c r="BP1306" s="30">
        <f>Inventory[[#This Row],[Adjusted Impr Total]]+Inventory[[#This Row],[Adjusted Land Total]]</f>
        <v>345200</v>
      </c>
      <c r="BQ1306" s="30">
        <f>IFERROR((Inventory[[#This Row],[Adjusted Impr Total]]-Inventory[[#This Row],[24Bldg]])/Inventory[[#This Row],[24Bldg]],0)</f>
        <v>0.46329787234042552</v>
      </c>
      <c r="BR1306" s="43">
        <f>(Inventory[[#This Row],[Adjusted Land Total]]-Inventory[[#This Row],[24Lnd]])/Inventory[[#This Row],[24Lnd]]</f>
        <v>-1.2676056338028169E-2</v>
      </c>
      <c r="BS1306" s="43">
        <f>(Inventory[[#This Row],[Adjusted Total]]-Inventory[[#This Row],[24Final]])/Inventory[[#This Row],[24Final]]</f>
        <v>0.3328185328185328</v>
      </c>
    </row>
    <row r="1307" spans="1:71">
      <c r="A1307" s="30">
        <v>2025</v>
      </c>
      <c r="B1307" s="31" t="s">
        <v>1826</v>
      </c>
      <c r="C1307" s="36">
        <f>LN(Inventory[[#This Row],[Acres]])</f>
        <v>-1.0788096613719298</v>
      </c>
      <c r="D1307" s="38">
        <v>0.34</v>
      </c>
      <c r="E1307" s="37"/>
      <c r="F1307" s="31" t="s">
        <v>505</v>
      </c>
      <c r="G1307" s="31" t="s">
        <v>155</v>
      </c>
      <c r="H1307" s="31" t="s">
        <v>5</v>
      </c>
      <c r="I1307" s="31" t="s">
        <v>506</v>
      </c>
      <c r="J1307" s="31" t="s">
        <v>507</v>
      </c>
      <c r="K1307" s="31" t="s">
        <v>475</v>
      </c>
      <c r="L1307" s="31" t="s">
        <v>17</v>
      </c>
      <c r="M1307" s="31" t="s">
        <v>16</v>
      </c>
      <c r="N1307" s="31">
        <v>90</v>
      </c>
      <c r="O1307" s="31">
        <f>2024-Inventory[[#This Row],[YrBlt]]</f>
        <v>94</v>
      </c>
      <c r="P1307" s="31">
        <f>2024-Inventory[[#This Row],[EffYr]]</f>
        <v>54</v>
      </c>
      <c r="Q1307" s="30">
        <v>1930</v>
      </c>
      <c r="R1307" s="30">
        <v>1970</v>
      </c>
      <c r="S1307" s="30">
        <v>1835</v>
      </c>
      <c r="T1307" s="32"/>
      <c r="U1307" s="32"/>
      <c r="V1307" s="32"/>
      <c r="W1307" s="32"/>
      <c r="X1307" s="32">
        <f>Inventory[[#This Row],[Bsmt Area]]-Inventory[[#This Row],[FnBsmt]]</f>
        <v>0</v>
      </c>
      <c r="Y1307" s="32">
        <f>Inventory[[#This Row],[MainFn]]+Inventory[[#This Row],[UpprFn]]+Inventory[[#This Row],[AddFn]]+Inventory[[#This Row],[FnBsmt]]</f>
        <v>1835</v>
      </c>
      <c r="Z1307" s="32">
        <v>2000</v>
      </c>
      <c r="AA1307" s="31" t="s">
        <v>56</v>
      </c>
      <c r="AB1307" s="32"/>
      <c r="AC1307" s="37"/>
      <c r="AD1307" s="32"/>
      <c r="AE1307" s="32"/>
      <c r="AF1307" s="32"/>
      <c r="AG1307" s="32"/>
      <c r="AH1307" s="32"/>
      <c r="AI1307" s="30">
        <v>273203</v>
      </c>
      <c r="AJ1307" s="30">
        <v>180314</v>
      </c>
      <c r="AK1307" s="30">
        <v>14516</v>
      </c>
      <c r="AL1307" s="30">
        <v>0</v>
      </c>
      <c r="AM1307" s="30">
        <v>71400</v>
      </c>
      <c r="AN1307" s="30">
        <v>239400</v>
      </c>
      <c r="AO1307" s="30">
        <v>310800</v>
      </c>
      <c r="AP1307" s="30">
        <f>Lookups!$B$58*0.6</f>
        <v>132535.48800000001</v>
      </c>
      <c r="AQ1307" s="30">
        <f>Lookups!$B$58*0.4</f>
        <v>88356.992000000013</v>
      </c>
      <c r="AR1307" s="30">
        <f>Lookups!$B$59*Inventory[[#This Row],[LnAcres]]</f>
        <v>-14158.644293746507</v>
      </c>
      <c r="AS1307" s="30">
        <f>VLOOKUP(Inventory[[#This Row],[Qlty]],Lookups!$A$66:$E$79,2,FALSE)</f>
        <v>24371.765965999999</v>
      </c>
      <c r="AT1307" s="30">
        <f>VLOOKUP(Inventory[[#This Row],[Cnd]],Lookups!$A$80:$E$88,2,FALSE)</f>
        <v>0</v>
      </c>
      <c r="AU1307" s="30">
        <f>Inventory[[#This Row],[EffAge]]*Lookups!$B$65</f>
        <v>-5872.0194000000001</v>
      </c>
      <c r="AV1307" s="30">
        <f>Inventory[[#This Row],[MainFn]]*Lookups!$B$90</f>
        <v>114523.04730000001</v>
      </c>
      <c r="AW1307" s="30">
        <f>Inventory[[#This Row],[UpprFn]]*Lookups!$B$91</f>
        <v>0</v>
      </c>
      <c r="AX1307" s="30">
        <f>Inventory[[#This Row],[Bsmt Area]]*Lookups!$B$95</f>
        <v>0</v>
      </c>
      <c r="AY1307" s="30">
        <f>Inventory[[#This Row],[AttGar]]*Lookups!$B$93</f>
        <v>0</v>
      </c>
      <c r="AZ1307" s="30">
        <f>ROUND(Inventory[[#This Row],[25Det]],-2)</f>
        <v>14500</v>
      </c>
      <c r="BA1307" s="30">
        <f>ROUND(SUM(Inventory[[#This Row],[Mdl Qlty]:[Mdl Garage Area]])+Inventory[[#This Row],[Mdl Res Intercept]],-2)</f>
        <v>265600</v>
      </c>
      <c r="BB1307" s="30">
        <f>ROUND(Inventory[[#This Row],[Mdl Land Intercept]]+Inventory[[#This Row],[Mdl LnAcres]],-2)</f>
        <v>74200</v>
      </c>
      <c r="BC1307" s="30">
        <f>Inventory[[#This Row],[Unadj Res Value]]+Inventory[[#This Row],[Unadj Det Value]]+Inventory[[#This Row],[Unadj Land Value]]</f>
        <v>354300</v>
      </c>
      <c r="BD1307" s="30">
        <f>(Inventory[[#This Row],[Unadj Total Value]]-Inventory[[#This Row],[24Final]])/Inventory[[#This Row],[24Final]]</f>
        <v>0.13996138996138996</v>
      </c>
      <c r="BE1307" s="30">
        <f>VLOOKUP(Inventory[[#This Row],[Nbhd]],Lookups!$M$3:$P$5,4,FALSE)</f>
        <v>0.99970000000000003</v>
      </c>
      <c r="BF1307" s="30">
        <f>VLOOKUP(Inventory[[#This Row],[Qlty]],Lookups!$M$8:$P$22,4,FALSE)</f>
        <v>0.99199999999999999</v>
      </c>
      <c r="BG1307" s="30">
        <f>VLOOKUP(Inventory[[#This Row],[Cnd]],Lookups!$R$8:$U$17,4,FALSE)</f>
        <v>1</v>
      </c>
      <c r="BH1307" s="30">
        <f>VLOOKUP(Inventory[[#This Row],[LivArea Range]],Lookups!$R$25:$U$43,4,FALSE)</f>
        <v>1.0007999999999999</v>
      </c>
      <c r="BI1307" s="30">
        <f>VLOOKUP(Inventory[[#This Row],[Decade]],Lookups!$M$24:$P$40,4,FALSE)</f>
        <v>0.99960000000000004</v>
      </c>
      <c r="BJ1307" s="30">
        <f>Inventory[[#This Row],[Nbhd Adj]]*0.95</f>
        <v>0.94971499999999998</v>
      </c>
      <c r="BK1307" s="30">
        <f>AVERAGE(Inventory[[#This Row],[Nbhd Adj]],Inventory[[#This Row],[Quality Adj]],Inventory[[#This Row],[Condition Adj]],Inventory[[#This Row],[Living Area Adj]],Inventory[[#This Row],[Decade Adj]])*0.95</f>
        <v>0.94849899999999998</v>
      </c>
      <c r="BL1307" s="30">
        <f>ROUND((SUM(Inventory[[#This Row],[Mdl Qlty]:[Mdl Garage Area]])+Inventory[[#This Row],[Mdl Res Intercept]])*Inventory[[#This Row],[Res Adj ]],-2)</f>
        <v>251900</v>
      </c>
      <c r="BM1307" s="30">
        <f>ROUND(Inventory[[#This Row],[25Det]]*Inventory[[#This Row],[Det/Nbhd Adj]],-2)</f>
        <v>13800</v>
      </c>
      <c r="BN1307" s="30">
        <f>Inventory[[#This Row],[Adjusted Res]]+Inventory[[#This Row],[Adj Det ]]</f>
        <v>265700</v>
      </c>
      <c r="BO1307" s="30">
        <f>ROUND((Inventory[[#This Row],[Mdl Land Intercept]]+Inventory[[#This Row],[Mdl LnAcres]])*Inventory[[#This Row],[Det/Nbhd Adj]],-2)</f>
        <v>70500</v>
      </c>
      <c r="BP1307" s="30">
        <f>Inventory[[#This Row],[Adjusted Impr Total]]+Inventory[[#This Row],[Adjusted Land Total]]</f>
        <v>336200</v>
      </c>
      <c r="BQ1307" s="30">
        <f>IFERROR((Inventory[[#This Row],[Adjusted Impr Total]]-Inventory[[#This Row],[24Bldg]])/Inventory[[#This Row],[24Bldg]],0)</f>
        <v>0.1098579782790309</v>
      </c>
      <c r="BR1307" s="43">
        <f>(Inventory[[#This Row],[Adjusted Land Total]]-Inventory[[#This Row],[24Lnd]])/Inventory[[#This Row],[24Lnd]]</f>
        <v>-1.2605042016806723E-2</v>
      </c>
      <c r="BS1307" s="43">
        <f>(Inventory[[#This Row],[Adjusted Total]]-Inventory[[#This Row],[24Final]])/Inventory[[#This Row],[24Final]]</f>
        <v>8.1724581724581719E-2</v>
      </c>
    </row>
    <row r="1308" spans="1:71">
      <c r="A1308" s="30">
        <v>2025</v>
      </c>
      <c r="B1308" s="31" t="s">
        <v>1827</v>
      </c>
      <c r="C1308" s="36">
        <f>LN(Inventory[[#This Row],[Acres]])</f>
        <v>-1.0788096613719298</v>
      </c>
      <c r="D1308" s="38">
        <v>0.34</v>
      </c>
      <c r="E1308" s="30">
        <v>14833</v>
      </c>
      <c r="F1308" s="31" t="s">
        <v>505</v>
      </c>
      <c r="G1308" s="31" t="s">
        <v>155</v>
      </c>
      <c r="H1308" s="31" t="s">
        <v>5</v>
      </c>
      <c r="I1308" s="31" t="s">
        <v>506</v>
      </c>
      <c r="J1308" s="31" t="s">
        <v>507</v>
      </c>
      <c r="K1308" s="31" t="s">
        <v>475</v>
      </c>
      <c r="L1308" s="31" t="s">
        <v>11</v>
      </c>
      <c r="M1308" s="31" t="s">
        <v>18</v>
      </c>
      <c r="N1308" s="31">
        <v>90</v>
      </c>
      <c r="O1308" s="31">
        <f>2024-Inventory[[#This Row],[YrBlt]]</f>
        <v>94</v>
      </c>
      <c r="P1308" s="31">
        <f>2024-Inventory[[#This Row],[EffYr]]</f>
        <v>54</v>
      </c>
      <c r="Q1308" s="30">
        <v>1930</v>
      </c>
      <c r="R1308" s="30">
        <v>1970</v>
      </c>
      <c r="S1308" s="30">
        <v>692</v>
      </c>
      <c r="T1308" s="32"/>
      <c r="U1308" s="32"/>
      <c r="V1308" s="32"/>
      <c r="W1308" s="32"/>
      <c r="X1308" s="32">
        <f>Inventory[[#This Row],[Bsmt Area]]-Inventory[[#This Row],[FnBsmt]]</f>
        <v>0</v>
      </c>
      <c r="Y1308" s="32">
        <f>Inventory[[#This Row],[MainFn]]+Inventory[[#This Row],[UpprFn]]+Inventory[[#This Row],[AddFn]]+Inventory[[#This Row],[FnBsmt]]</f>
        <v>692</v>
      </c>
      <c r="Z1308" s="32">
        <v>1000</v>
      </c>
      <c r="AA1308" s="31" t="s">
        <v>56</v>
      </c>
      <c r="AB1308" s="37"/>
      <c r="AC1308" s="37"/>
      <c r="AD1308" s="32"/>
      <c r="AE1308" s="32"/>
      <c r="AF1308" s="32"/>
      <c r="AG1308" s="32"/>
      <c r="AH1308" s="32"/>
      <c r="AI1308" s="30">
        <v>100053</v>
      </c>
      <c r="AJ1308" s="30">
        <v>66035</v>
      </c>
      <c r="AK1308" s="30">
        <v>0</v>
      </c>
      <c r="AL1308" s="30">
        <v>0</v>
      </c>
      <c r="AM1308" s="30">
        <v>71400</v>
      </c>
      <c r="AN1308" s="30">
        <v>135300</v>
      </c>
      <c r="AO1308" s="30">
        <v>206700</v>
      </c>
      <c r="AP1308" s="30">
        <f>Lookups!$B$58*0.6</f>
        <v>132535.48800000001</v>
      </c>
      <c r="AQ1308" s="30">
        <f>Lookups!$B$58*0.4</f>
        <v>88356.992000000013</v>
      </c>
      <c r="AR1308" s="30">
        <f>Lookups!$B$59*Inventory[[#This Row],[LnAcres]]</f>
        <v>-14158.644293746507</v>
      </c>
      <c r="AS1308" s="30">
        <f>VLOOKUP(Inventory[[#This Row],[Qlty]],Lookups!$A$66:$E$79,2,FALSE)</f>
        <v>-9114.1675108666695</v>
      </c>
      <c r="AT1308" s="30">
        <f>VLOOKUP(Inventory[[#This Row],[Cnd]],Lookups!$A$80:$E$88,2,FALSE)</f>
        <v>17761.121909000001</v>
      </c>
      <c r="AU1308" s="30">
        <f>Inventory[[#This Row],[EffAge]]*Lookups!$B$65</f>
        <v>-5872.0194000000001</v>
      </c>
      <c r="AV1308" s="30">
        <f>Inventory[[#This Row],[MainFn]]*Lookups!$B$90</f>
        <v>43187.982960000001</v>
      </c>
      <c r="AW1308" s="30">
        <f>Inventory[[#This Row],[UpprFn]]*Lookups!$B$91</f>
        <v>0</v>
      </c>
      <c r="AX1308" s="30">
        <f>Inventory[[#This Row],[Bsmt Area]]*Lookups!$B$95</f>
        <v>0</v>
      </c>
      <c r="AY1308" s="30">
        <f>Inventory[[#This Row],[AttGar]]*Lookups!$B$93</f>
        <v>0</v>
      </c>
      <c r="AZ1308" s="30">
        <f>ROUND(Inventory[[#This Row],[25Det]],-2)</f>
        <v>0</v>
      </c>
      <c r="BA1308" s="30">
        <f>ROUND(SUM(Inventory[[#This Row],[Mdl Qlty]:[Mdl Garage Area]])+Inventory[[#This Row],[Mdl Res Intercept]],-2)</f>
        <v>178500</v>
      </c>
      <c r="BB1308" s="30">
        <f>ROUND(Inventory[[#This Row],[Mdl Land Intercept]]+Inventory[[#This Row],[Mdl LnAcres]],-2)</f>
        <v>74200</v>
      </c>
      <c r="BC1308" s="30">
        <f>Inventory[[#This Row],[Unadj Res Value]]+Inventory[[#This Row],[Unadj Det Value]]+Inventory[[#This Row],[Unadj Land Value]]</f>
        <v>252700</v>
      </c>
      <c r="BD1308" s="30">
        <f>(Inventory[[#This Row],[Unadj Total Value]]-Inventory[[#This Row],[24Final]])/Inventory[[#This Row],[24Final]]</f>
        <v>0.22254475084663763</v>
      </c>
      <c r="BE1308" s="30">
        <f>VLOOKUP(Inventory[[#This Row],[Nbhd]],Lookups!$M$3:$P$5,4,FALSE)</f>
        <v>0.99970000000000003</v>
      </c>
      <c r="BF1308" s="30">
        <f>VLOOKUP(Inventory[[#This Row],[Qlty]],Lookups!$M$8:$P$22,4,FALSE)</f>
        <v>1</v>
      </c>
      <c r="BG1308" s="30">
        <f>VLOOKUP(Inventory[[#This Row],[Cnd]],Lookups!$R$8:$U$17,4,FALSE)</f>
        <v>0.99680000000000002</v>
      </c>
      <c r="BH1308" s="30">
        <f>VLOOKUP(Inventory[[#This Row],[LivArea Range]],Lookups!$R$25:$U$43,4,FALSE)</f>
        <v>1</v>
      </c>
      <c r="BI1308" s="30">
        <f>VLOOKUP(Inventory[[#This Row],[Decade]],Lookups!$M$24:$P$40,4,FALSE)</f>
        <v>0.99960000000000004</v>
      </c>
      <c r="BJ1308" s="30">
        <f>Inventory[[#This Row],[Nbhd Adj]]*0.95</f>
        <v>0.94971499999999998</v>
      </c>
      <c r="BK1308" s="30">
        <f>AVERAGE(Inventory[[#This Row],[Nbhd Adj]],Inventory[[#This Row],[Quality Adj]],Inventory[[#This Row],[Condition Adj]],Inventory[[#This Row],[Living Area Adj]],Inventory[[#This Row],[Decade Adj]])*0.95</f>
        <v>0.94925899999999996</v>
      </c>
      <c r="BL1308" s="30">
        <f>ROUND((SUM(Inventory[[#This Row],[Mdl Qlty]:[Mdl Garage Area]])+Inventory[[#This Row],[Mdl Res Intercept]])*Inventory[[#This Row],[Res Adj ]],-2)</f>
        <v>169400</v>
      </c>
      <c r="BM1308" s="30">
        <f>ROUND(Inventory[[#This Row],[25Det]]*Inventory[[#This Row],[Det/Nbhd Adj]],-2)</f>
        <v>0</v>
      </c>
      <c r="BN1308" s="30">
        <f>Inventory[[#This Row],[Adjusted Res]]+Inventory[[#This Row],[Adj Det ]]</f>
        <v>169400</v>
      </c>
      <c r="BO1308" s="30">
        <f>ROUND((Inventory[[#This Row],[Mdl Land Intercept]]+Inventory[[#This Row],[Mdl LnAcres]])*Inventory[[#This Row],[Det/Nbhd Adj]],-2)</f>
        <v>70500</v>
      </c>
      <c r="BP1308" s="30">
        <f>Inventory[[#This Row],[Adjusted Impr Total]]+Inventory[[#This Row],[Adjusted Land Total]]</f>
        <v>239900</v>
      </c>
      <c r="BQ1308" s="30">
        <f>IFERROR((Inventory[[#This Row],[Adjusted Impr Total]]-Inventory[[#This Row],[24Bldg]])/Inventory[[#This Row],[24Bldg]],0)</f>
        <v>0.25203252032520324</v>
      </c>
      <c r="BR1308" s="43">
        <f>(Inventory[[#This Row],[Adjusted Land Total]]-Inventory[[#This Row],[24Lnd]])/Inventory[[#This Row],[24Lnd]]</f>
        <v>-1.2605042016806723E-2</v>
      </c>
      <c r="BS1308" s="43">
        <f>(Inventory[[#This Row],[Adjusted Total]]-Inventory[[#This Row],[24Final]])/Inventory[[#This Row],[24Final]]</f>
        <v>0.16061925495887761</v>
      </c>
    </row>
    <row r="1309" spans="1:71">
      <c r="A1309" s="30">
        <v>2025</v>
      </c>
      <c r="B1309" s="31" t="s">
        <v>1828</v>
      </c>
      <c r="C1309" s="36">
        <f>LN(Inventory[[#This Row],[Acres]])</f>
        <v>-0.6348782724359695</v>
      </c>
      <c r="D1309" s="38">
        <v>0.53</v>
      </c>
      <c r="E1309" s="30">
        <v>23290</v>
      </c>
      <c r="F1309" s="31" t="s">
        <v>505</v>
      </c>
      <c r="G1309" s="31" t="s">
        <v>155</v>
      </c>
      <c r="H1309" s="31" t="s">
        <v>5</v>
      </c>
      <c r="I1309" s="31" t="s">
        <v>506</v>
      </c>
      <c r="J1309" s="31" t="s">
        <v>507</v>
      </c>
      <c r="K1309" s="31" t="s">
        <v>157</v>
      </c>
      <c r="L1309" s="31" t="s">
        <v>15</v>
      </c>
      <c r="M1309" s="31" t="s">
        <v>16</v>
      </c>
      <c r="N1309" s="31">
        <v>90</v>
      </c>
      <c r="O1309" s="31">
        <f>2024-Inventory[[#This Row],[YrBlt]]</f>
        <v>94</v>
      </c>
      <c r="P1309" s="31">
        <f>2024-Inventory[[#This Row],[EffYr]]</f>
        <v>54</v>
      </c>
      <c r="Q1309" s="30">
        <v>1930</v>
      </c>
      <c r="R1309" s="30">
        <v>1970</v>
      </c>
      <c r="S1309" s="30">
        <v>816</v>
      </c>
      <c r="T1309" s="30">
        <v>326</v>
      </c>
      <c r="U1309" s="32"/>
      <c r="V1309" s="32"/>
      <c r="W1309" s="32"/>
      <c r="X1309" s="32">
        <f>Inventory[[#This Row],[Bsmt Area]]-Inventory[[#This Row],[FnBsmt]]</f>
        <v>0</v>
      </c>
      <c r="Y1309" s="32">
        <f>Inventory[[#This Row],[MainFn]]+Inventory[[#This Row],[UpprFn]]+Inventory[[#This Row],[AddFn]]+Inventory[[#This Row],[FnBsmt]]</f>
        <v>1142</v>
      </c>
      <c r="Z1309" s="32">
        <v>1500</v>
      </c>
      <c r="AA1309" s="31" t="s">
        <v>56</v>
      </c>
      <c r="AB1309" s="32"/>
      <c r="AC1309" s="38">
        <v>330</v>
      </c>
      <c r="AD1309" s="37"/>
      <c r="AE1309" s="32"/>
      <c r="AF1309" s="32"/>
      <c r="AG1309" s="32"/>
      <c r="AH1309" s="32"/>
      <c r="AI1309" s="30">
        <v>189295</v>
      </c>
      <c r="AJ1309" s="30">
        <v>121149</v>
      </c>
      <c r="AK1309" s="30">
        <v>0</v>
      </c>
      <c r="AL1309" s="30">
        <v>0</v>
      </c>
      <c r="AM1309" s="30">
        <v>77600</v>
      </c>
      <c r="AN1309" s="30">
        <v>197400</v>
      </c>
      <c r="AO1309" s="30">
        <v>275000</v>
      </c>
      <c r="AP1309" s="30">
        <f>Lookups!$B$58*0.6</f>
        <v>132535.48800000001</v>
      </c>
      <c r="AQ1309" s="30">
        <f>Lookups!$B$58*0.4</f>
        <v>88356.992000000013</v>
      </c>
      <c r="AR1309" s="30">
        <f>Lookups!$B$59*Inventory[[#This Row],[LnAcres]]</f>
        <v>-8332.3462433751156</v>
      </c>
      <c r="AS1309" s="30">
        <f>VLOOKUP(Inventory[[#This Row],[Qlty]],Lookups!$A$66:$E$79,2,FALSE)</f>
        <v>-1240.8083630000001</v>
      </c>
      <c r="AT1309" s="30">
        <f>VLOOKUP(Inventory[[#This Row],[Cnd]],Lookups!$A$80:$E$88,2,FALSE)</f>
        <v>0</v>
      </c>
      <c r="AU1309" s="30">
        <f>Inventory[[#This Row],[EffAge]]*Lookups!$B$65</f>
        <v>-5872.0194000000001</v>
      </c>
      <c r="AV1309" s="30">
        <f>Inventory[[#This Row],[MainFn]]*Lookups!$B$90</f>
        <v>50926.870080000001</v>
      </c>
      <c r="AW1309" s="30">
        <f>Inventory[[#This Row],[UpprFn]]*Lookups!$B$91</f>
        <v>19423.204858000001</v>
      </c>
      <c r="AX1309" s="30">
        <f>Inventory[[#This Row],[Bsmt Area]]*Lookups!$B$95</f>
        <v>0</v>
      </c>
      <c r="AY1309" s="30">
        <f>Inventory[[#This Row],[AttGar]]*Lookups!$B$93</f>
        <v>11649.34023</v>
      </c>
      <c r="AZ1309" s="30">
        <f>ROUND(Inventory[[#This Row],[25Det]],-2)</f>
        <v>0</v>
      </c>
      <c r="BA1309" s="30">
        <f>ROUND(SUM(Inventory[[#This Row],[Mdl Qlty]:[Mdl Garage Area]])+Inventory[[#This Row],[Mdl Res Intercept]],-2)</f>
        <v>207400</v>
      </c>
      <c r="BB1309" s="30">
        <f>ROUND(Inventory[[#This Row],[Mdl Land Intercept]]+Inventory[[#This Row],[Mdl LnAcres]],-2)</f>
        <v>80000</v>
      </c>
      <c r="BC1309" s="30">
        <f>Inventory[[#This Row],[Unadj Res Value]]+Inventory[[#This Row],[Unadj Det Value]]+Inventory[[#This Row],[Unadj Land Value]]</f>
        <v>287400</v>
      </c>
      <c r="BD1309" s="30">
        <f>(Inventory[[#This Row],[Unadj Total Value]]-Inventory[[#This Row],[24Final]])/Inventory[[#This Row],[24Final]]</f>
        <v>4.5090909090909091E-2</v>
      </c>
      <c r="BE1309" s="30">
        <f>VLOOKUP(Inventory[[#This Row],[Nbhd]],Lookups!$M$3:$P$5,4,FALSE)</f>
        <v>0.99970000000000003</v>
      </c>
      <c r="BF1309" s="30">
        <f>VLOOKUP(Inventory[[#This Row],[Qlty]],Lookups!$M$8:$P$22,4,FALSE)</f>
        <v>1.0022</v>
      </c>
      <c r="BG1309" s="30">
        <f>VLOOKUP(Inventory[[#This Row],[Cnd]],Lookups!$R$8:$U$17,4,FALSE)</f>
        <v>1</v>
      </c>
      <c r="BH1309" s="30">
        <f>VLOOKUP(Inventory[[#This Row],[LivArea Range]],Lookups!$R$25:$U$43,4,FALSE)</f>
        <v>0.99519999999999997</v>
      </c>
      <c r="BI1309" s="30">
        <f>VLOOKUP(Inventory[[#This Row],[Decade]],Lookups!$M$24:$P$40,4,FALSE)</f>
        <v>0.99960000000000004</v>
      </c>
      <c r="BJ1309" s="30">
        <f>Inventory[[#This Row],[Nbhd Adj]]*0.95</f>
        <v>0.94971499999999998</v>
      </c>
      <c r="BK1309" s="30">
        <f>AVERAGE(Inventory[[#This Row],[Nbhd Adj]],Inventory[[#This Row],[Quality Adj]],Inventory[[#This Row],[Condition Adj]],Inventory[[#This Row],[Living Area Adj]],Inventory[[#This Row],[Decade Adj]])*0.95</f>
        <v>0.94937300000000002</v>
      </c>
      <c r="BL1309" s="30">
        <f>ROUND((SUM(Inventory[[#This Row],[Mdl Qlty]:[Mdl Garage Area]])+Inventory[[#This Row],[Mdl Res Intercept]])*Inventory[[#This Row],[Res Adj ]],-2)</f>
        <v>196900</v>
      </c>
      <c r="BM1309" s="30">
        <f>ROUND(Inventory[[#This Row],[25Det]]*Inventory[[#This Row],[Det/Nbhd Adj]],-2)</f>
        <v>0</v>
      </c>
      <c r="BN1309" s="30">
        <f>Inventory[[#This Row],[Adjusted Res]]+Inventory[[#This Row],[Adj Det ]]</f>
        <v>196900</v>
      </c>
      <c r="BO1309" s="30">
        <f>ROUND((Inventory[[#This Row],[Mdl Land Intercept]]+Inventory[[#This Row],[Mdl LnAcres]])*Inventory[[#This Row],[Det/Nbhd Adj]],-2)</f>
        <v>76000</v>
      </c>
      <c r="BP1309" s="30">
        <f>Inventory[[#This Row],[Adjusted Impr Total]]+Inventory[[#This Row],[Adjusted Land Total]]</f>
        <v>272900</v>
      </c>
      <c r="BQ1309" s="30">
        <f>IFERROR((Inventory[[#This Row],[Adjusted Impr Total]]-Inventory[[#This Row],[24Bldg]])/Inventory[[#This Row],[24Bldg]],0)</f>
        <v>-2.5329280648429585E-3</v>
      </c>
      <c r="BR1309" s="43">
        <f>(Inventory[[#This Row],[Adjusted Land Total]]-Inventory[[#This Row],[24Lnd]])/Inventory[[#This Row],[24Lnd]]</f>
        <v>-2.0618556701030927E-2</v>
      </c>
      <c r="BS1309" s="43">
        <f>(Inventory[[#This Row],[Adjusted Total]]-Inventory[[#This Row],[24Final]])/Inventory[[#This Row],[24Final]]</f>
        <v>-7.6363636363636364E-3</v>
      </c>
    </row>
    <row r="1310" spans="1:71">
      <c r="A1310" s="30">
        <v>2025</v>
      </c>
      <c r="B1310" s="31" t="s">
        <v>1829</v>
      </c>
      <c r="C1310" s="36">
        <f>LN(Inventory[[#This Row],[Acres]])</f>
        <v>-9.431067947124129E-2</v>
      </c>
      <c r="D1310" s="38">
        <v>0.91</v>
      </c>
      <c r="E1310" s="37"/>
      <c r="F1310" s="31" t="s">
        <v>505</v>
      </c>
      <c r="G1310" s="31" t="s">
        <v>155</v>
      </c>
      <c r="H1310" s="31" t="s">
        <v>5</v>
      </c>
      <c r="I1310" s="31" t="s">
        <v>506</v>
      </c>
      <c r="J1310" s="31" t="s">
        <v>507</v>
      </c>
      <c r="K1310" s="31" t="s">
        <v>473</v>
      </c>
      <c r="L1310" s="31" t="s">
        <v>15</v>
      </c>
      <c r="M1310" s="31" t="s">
        <v>18</v>
      </c>
      <c r="N1310" s="31">
        <v>90</v>
      </c>
      <c r="O1310" s="31">
        <f>2024-Inventory[[#This Row],[YrBlt]]</f>
        <v>94</v>
      </c>
      <c r="P1310" s="31">
        <f>2024-Inventory[[#This Row],[EffYr]]</f>
        <v>54</v>
      </c>
      <c r="Q1310" s="30">
        <v>1930</v>
      </c>
      <c r="R1310" s="30">
        <v>1970</v>
      </c>
      <c r="S1310" s="30">
        <v>1182</v>
      </c>
      <c r="T1310" s="32"/>
      <c r="U1310" s="32"/>
      <c r="V1310" s="32"/>
      <c r="W1310" s="32"/>
      <c r="X1310" s="32">
        <f>Inventory[[#This Row],[Bsmt Area]]-Inventory[[#This Row],[FnBsmt]]</f>
        <v>0</v>
      </c>
      <c r="Y1310" s="32">
        <f>Inventory[[#This Row],[MainFn]]+Inventory[[#This Row],[UpprFn]]+Inventory[[#This Row],[AddFn]]+Inventory[[#This Row],[FnBsmt]]</f>
        <v>1182</v>
      </c>
      <c r="Z1310" s="32">
        <v>1500</v>
      </c>
      <c r="AA1310" s="31" t="s">
        <v>56</v>
      </c>
      <c r="AB1310" s="37"/>
      <c r="AC1310" s="37"/>
      <c r="AD1310" s="32"/>
      <c r="AE1310" s="32"/>
      <c r="AF1310" s="32"/>
      <c r="AG1310" s="32"/>
      <c r="AH1310" s="32"/>
      <c r="AI1310" s="30">
        <v>174102</v>
      </c>
      <c r="AJ1310" s="30">
        <v>114907</v>
      </c>
      <c r="AK1310" s="30">
        <v>14252</v>
      </c>
      <c r="AL1310" s="30">
        <v>0</v>
      </c>
      <c r="AM1310" s="30">
        <v>85200</v>
      </c>
      <c r="AN1310" s="30">
        <v>195300</v>
      </c>
      <c r="AO1310" s="30">
        <v>280500</v>
      </c>
      <c r="AP1310" s="30">
        <f>Lookups!$B$58*0.6</f>
        <v>132535.48800000001</v>
      </c>
      <c r="AQ1310" s="30">
        <f>Lookups!$B$58*0.4</f>
        <v>88356.992000000013</v>
      </c>
      <c r="AR1310" s="30">
        <f>Lookups!$B$59*Inventory[[#This Row],[LnAcres]]</f>
        <v>-1237.763631108681</v>
      </c>
      <c r="AS1310" s="30">
        <f>VLOOKUP(Inventory[[#This Row],[Qlty]],Lookups!$A$66:$E$79,2,FALSE)</f>
        <v>-1240.8083630000001</v>
      </c>
      <c r="AT1310" s="30">
        <f>VLOOKUP(Inventory[[#This Row],[Cnd]],Lookups!$A$80:$E$88,2,FALSE)</f>
        <v>17761.121909000001</v>
      </c>
      <c r="AU1310" s="30">
        <f>Inventory[[#This Row],[EffAge]]*Lookups!$B$65</f>
        <v>-5872.0194000000001</v>
      </c>
      <c r="AV1310" s="30">
        <f>Inventory[[#This Row],[MainFn]]*Lookups!$B$90</f>
        <v>73769.069159999999</v>
      </c>
      <c r="AW1310" s="30">
        <f>Inventory[[#This Row],[UpprFn]]*Lookups!$B$91</f>
        <v>0</v>
      </c>
      <c r="AX1310" s="30">
        <f>Inventory[[#This Row],[Bsmt Area]]*Lookups!$B$95</f>
        <v>0</v>
      </c>
      <c r="AY1310" s="30">
        <f>Inventory[[#This Row],[AttGar]]*Lookups!$B$93</f>
        <v>0</v>
      </c>
      <c r="AZ1310" s="30">
        <f>ROUND(Inventory[[#This Row],[25Det]],-2)</f>
        <v>14300</v>
      </c>
      <c r="BA1310" s="30">
        <f>ROUND(SUM(Inventory[[#This Row],[Mdl Qlty]:[Mdl Garage Area]])+Inventory[[#This Row],[Mdl Res Intercept]],-2)</f>
        <v>217000</v>
      </c>
      <c r="BB1310" s="30">
        <f>ROUND(Inventory[[#This Row],[Mdl Land Intercept]]+Inventory[[#This Row],[Mdl LnAcres]],-2)</f>
        <v>87100</v>
      </c>
      <c r="BC1310" s="30">
        <f>Inventory[[#This Row],[Unadj Res Value]]+Inventory[[#This Row],[Unadj Det Value]]+Inventory[[#This Row],[Unadj Land Value]]</f>
        <v>318400</v>
      </c>
      <c r="BD1310" s="30">
        <f>(Inventory[[#This Row],[Unadj Total Value]]-Inventory[[#This Row],[24Final]])/Inventory[[#This Row],[24Final]]</f>
        <v>0.13511586452762922</v>
      </c>
      <c r="BE1310" s="30">
        <f>VLOOKUP(Inventory[[#This Row],[Nbhd]],Lookups!$M$3:$P$5,4,FALSE)</f>
        <v>0.99970000000000003</v>
      </c>
      <c r="BF1310" s="30">
        <f>VLOOKUP(Inventory[[#This Row],[Qlty]],Lookups!$M$8:$P$22,4,FALSE)</f>
        <v>1.0022</v>
      </c>
      <c r="BG1310" s="30">
        <f>VLOOKUP(Inventory[[#This Row],[Cnd]],Lookups!$R$8:$U$17,4,FALSE)</f>
        <v>0.99680000000000002</v>
      </c>
      <c r="BH1310" s="30">
        <f>VLOOKUP(Inventory[[#This Row],[LivArea Range]],Lookups!$R$25:$U$43,4,FALSE)</f>
        <v>0.99519999999999997</v>
      </c>
      <c r="BI1310" s="30">
        <f>VLOOKUP(Inventory[[#This Row],[Decade]],Lookups!$M$24:$P$40,4,FALSE)</f>
        <v>0.99960000000000004</v>
      </c>
      <c r="BJ1310" s="30">
        <f>Inventory[[#This Row],[Nbhd Adj]]*0.95</f>
        <v>0.94971499999999998</v>
      </c>
      <c r="BK1310" s="30">
        <f>AVERAGE(Inventory[[#This Row],[Nbhd Adj]],Inventory[[#This Row],[Quality Adj]],Inventory[[#This Row],[Condition Adj]],Inventory[[#This Row],[Living Area Adj]],Inventory[[#This Row],[Decade Adj]])*0.95</f>
        <v>0.94876499999999997</v>
      </c>
      <c r="BL1310" s="30">
        <f>ROUND((SUM(Inventory[[#This Row],[Mdl Qlty]:[Mdl Garage Area]])+Inventory[[#This Row],[Mdl Res Intercept]])*Inventory[[#This Row],[Res Adj ]],-2)</f>
        <v>205800</v>
      </c>
      <c r="BM1310" s="30">
        <f>ROUND(Inventory[[#This Row],[25Det]]*Inventory[[#This Row],[Det/Nbhd Adj]],-2)</f>
        <v>13500</v>
      </c>
      <c r="BN1310" s="30">
        <f>Inventory[[#This Row],[Adjusted Res]]+Inventory[[#This Row],[Adj Det ]]</f>
        <v>219300</v>
      </c>
      <c r="BO1310" s="30">
        <f>ROUND((Inventory[[#This Row],[Mdl Land Intercept]]+Inventory[[#This Row],[Mdl LnAcres]])*Inventory[[#This Row],[Det/Nbhd Adj]],-2)</f>
        <v>82700</v>
      </c>
      <c r="BP1310" s="30">
        <f>Inventory[[#This Row],[Adjusted Impr Total]]+Inventory[[#This Row],[Adjusted Land Total]]</f>
        <v>302000</v>
      </c>
      <c r="BQ1310" s="30">
        <f>IFERROR((Inventory[[#This Row],[Adjusted Impr Total]]-Inventory[[#This Row],[24Bldg]])/Inventory[[#This Row],[24Bldg]],0)</f>
        <v>0.12288786482334869</v>
      </c>
      <c r="BR1310" s="43">
        <f>(Inventory[[#This Row],[Adjusted Land Total]]-Inventory[[#This Row],[24Lnd]])/Inventory[[#This Row],[24Lnd]]</f>
        <v>-2.9342723004694836E-2</v>
      </c>
      <c r="BS1310" s="43">
        <f>(Inventory[[#This Row],[Adjusted Total]]-Inventory[[#This Row],[24Final]])/Inventory[[#This Row],[24Final]]</f>
        <v>7.6648841354723704E-2</v>
      </c>
    </row>
    <row r="1311" spans="1:71">
      <c r="A1311" s="30">
        <v>2025</v>
      </c>
      <c r="B1311" s="31" t="s">
        <v>1830</v>
      </c>
      <c r="C1311" s="36">
        <f>LN(Inventory[[#This Row],[Acres]])</f>
        <v>3.9220713153281329E-2</v>
      </c>
      <c r="D1311" s="38">
        <v>1.04</v>
      </c>
      <c r="E1311" s="30">
        <v>45385</v>
      </c>
      <c r="F1311" s="31" t="s">
        <v>505</v>
      </c>
      <c r="G1311" s="31" t="s">
        <v>155</v>
      </c>
      <c r="H1311" s="31" t="s">
        <v>5</v>
      </c>
      <c r="I1311" s="31" t="s">
        <v>506</v>
      </c>
      <c r="J1311" s="31" t="s">
        <v>507</v>
      </c>
      <c r="K1311" s="31" t="s">
        <v>485</v>
      </c>
      <c r="L1311" s="31" t="s">
        <v>19</v>
      </c>
      <c r="M1311" s="31" t="s">
        <v>18</v>
      </c>
      <c r="N1311" s="31">
        <v>90</v>
      </c>
      <c r="O1311" s="31">
        <f>2024-Inventory[[#This Row],[YrBlt]]</f>
        <v>94</v>
      </c>
      <c r="P1311" s="31">
        <f>2024-Inventory[[#This Row],[EffYr]]</f>
        <v>59</v>
      </c>
      <c r="Q1311" s="30">
        <v>1930</v>
      </c>
      <c r="R1311" s="30">
        <v>1965</v>
      </c>
      <c r="S1311" s="30">
        <v>1285</v>
      </c>
      <c r="T1311" s="38">
        <v>321</v>
      </c>
      <c r="U1311" s="38">
        <v>1285</v>
      </c>
      <c r="V1311" s="32"/>
      <c r="W1311" s="32"/>
      <c r="X1311" s="32">
        <f>Inventory[[#This Row],[Bsmt Area]]-Inventory[[#This Row],[FnBsmt]]</f>
        <v>1285</v>
      </c>
      <c r="Y1311" s="32">
        <f>Inventory[[#This Row],[MainFn]]+Inventory[[#This Row],[UpprFn]]+Inventory[[#This Row],[AddFn]]+Inventory[[#This Row],[FnBsmt]]</f>
        <v>1606</v>
      </c>
      <c r="Z1311" s="32">
        <v>2000</v>
      </c>
      <c r="AA1311" s="31" t="s">
        <v>56</v>
      </c>
      <c r="AB1311" s="38">
        <v>2</v>
      </c>
      <c r="AC1311" s="37"/>
      <c r="AD1311" s="32"/>
      <c r="AE1311" s="32"/>
      <c r="AF1311" s="32"/>
      <c r="AG1311" s="32"/>
      <c r="AH1311" s="32"/>
      <c r="AI1311" s="30">
        <v>346041</v>
      </c>
      <c r="AJ1311" s="30">
        <v>211085</v>
      </c>
      <c r="AK1311" s="30">
        <v>13843</v>
      </c>
      <c r="AL1311" s="30">
        <v>0</v>
      </c>
      <c r="AM1311" s="30">
        <v>87100</v>
      </c>
      <c r="AN1311" s="30">
        <v>242100</v>
      </c>
      <c r="AO1311" s="30">
        <v>329200</v>
      </c>
      <c r="AP1311" s="30">
        <f>Lookups!$B$58*0.6</f>
        <v>132535.48800000001</v>
      </c>
      <c r="AQ1311" s="30">
        <f>Lookups!$B$58*0.4</f>
        <v>88356.992000000013</v>
      </c>
      <c r="AR1311" s="30">
        <f>Lookups!$B$59*Inventory[[#This Row],[LnAcres]]</f>
        <v>514.74522927258636</v>
      </c>
      <c r="AS1311" s="30">
        <f>VLOOKUP(Inventory[[#This Row],[Qlty]],Lookups!$A$66:$E$79,2,FALSE)</f>
        <v>37154.252388000001</v>
      </c>
      <c r="AT1311" s="30">
        <f>VLOOKUP(Inventory[[#This Row],[Cnd]],Lookups!$A$80:$E$88,2,FALSE)</f>
        <v>17761.121909000001</v>
      </c>
      <c r="AU1311" s="30">
        <f>Inventory[[#This Row],[EffAge]]*Lookups!$B$65</f>
        <v>-6415.7249000000002</v>
      </c>
      <c r="AV1311" s="30">
        <f>Inventory[[#This Row],[MainFn]]*Lookups!$B$90</f>
        <v>80197.338300000003</v>
      </c>
      <c r="AW1311" s="30">
        <f>Inventory[[#This Row],[UpprFn]]*Lookups!$B$91</f>
        <v>19125.302942999999</v>
      </c>
      <c r="AX1311" s="30">
        <f>Inventory[[#This Row],[Bsmt Area]]*Lookups!$B$95</f>
        <v>80423.647360000003</v>
      </c>
      <c r="AY1311" s="30">
        <f>Inventory[[#This Row],[AttGar]]*Lookups!$B$93</f>
        <v>0</v>
      </c>
      <c r="AZ1311" s="30">
        <f>ROUND(Inventory[[#This Row],[25Det]],-2)</f>
        <v>13800</v>
      </c>
      <c r="BA1311" s="30">
        <f>ROUND(SUM(Inventory[[#This Row],[Mdl Qlty]:[Mdl Garage Area]])+Inventory[[#This Row],[Mdl Res Intercept]],-2)</f>
        <v>360800</v>
      </c>
      <c r="BB1311" s="30">
        <f>ROUND(Inventory[[#This Row],[Mdl Land Intercept]]+Inventory[[#This Row],[Mdl LnAcres]],-2)</f>
        <v>88900</v>
      </c>
      <c r="BC1311" s="30">
        <f>Inventory[[#This Row],[Unadj Res Value]]+Inventory[[#This Row],[Unadj Det Value]]+Inventory[[#This Row],[Unadj Land Value]]</f>
        <v>463500</v>
      </c>
      <c r="BD1311" s="30">
        <f>(Inventory[[#This Row],[Unadj Total Value]]-Inventory[[#This Row],[24Final]])/Inventory[[#This Row],[24Final]]</f>
        <v>0.40795868772782501</v>
      </c>
      <c r="BE1311" s="30">
        <f>VLOOKUP(Inventory[[#This Row],[Nbhd]],Lookups!$M$3:$P$5,4,FALSE)</f>
        <v>0.99970000000000003</v>
      </c>
      <c r="BF1311" s="30">
        <f>VLOOKUP(Inventory[[#This Row],[Qlty]],Lookups!$M$8:$P$22,4,FALSE)</f>
        <v>0.99819999999999998</v>
      </c>
      <c r="BG1311" s="30">
        <f>VLOOKUP(Inventory[[#This Row],[Cnd]],Lookups!$R$8:$U$17,4,FALSE)</f>
        <v>0.99680000000000002</v>
      </c>
      <c r="BH1311" s="30">
        <f>VLOOKUP(Inventory[[#This Row],[LivArea Range]],Lookups!$R$25:$U$43,4,FALSE)</f>
        <v>1.0007999999999999</v>
      </c>
      <c r="BI1311" s="30">
        <f>VLOOKUP(Inventory[[#This Row],[Decade]],Lookups!$M$24:$P$40,4,FALSE)</f>
        <v>0.99960000000000004</v>
      </c>
      <c r="BJ1311" s="30">
        <f>Inventory[[#This Row],[Nbhd Adj]]*0.95</f>
        <v>0.94971499999999998</v>
      </c>
      <c r="BK1311" s="30">
        <f>AVERAGE(Inventory[[#This Row],[Nbhd Adj]],Inventory[[#This Row],[Quality Adj]],Inventory[[#This Row],[Condition Adj]],Inventory[[#This Row],[Living Area Adj]],Inventory[[#This Row],[Decade Adj]])*0.95</f>
        <v>0.94906899999999994</v>
      </c>
      <c r="BL1311" s="30">
        <f>ROUND((SUM(Inventory[[#This Row],[Mdl Qlty]:[Mdl Garage Area]])+Inventory[[#This Row],[Mdl Res Intercept]])*Inventory[[#This Row],[Res Adj ]],-2)</f>
        <v>342400</v>
      </c>
      <c r="BM1311" s="30">
        <f>ROUND(Inventory[[#This Row],[25Det]]*Inventory[[#This Row],[Det/Nbhd Adj]],-2)</f>
        <v>13100</v>
      </c>
      <c r="BN1311" s="30">
        <f>Inventory[[#This Row],[Adjusted Res]]+Inventory[[#This Row],[Adj Det ]]</f>
        <v>355500</v>
      </c>
      <c r="BO1311" s="30">
        <f>ROUND((Inventory[[#This Row],[Mdl Land Intercept]]+Inventory[[#This Row],[Mdl LnAcres]])*Inventory[[#This Row],[Det/Nbhd Adj]],-2)</f>
        <v>84400</v>
      </c>
      <c r="BP1311" s="30">
        <f>Inventory[[#This Row],[Adjusted Impr Total]]+Inventory[[#This Row],[Adjusted Land Total]]</f>
        <v>439900</v>
      </c>
      <c r="BQ1311" s="30">
        <f>IFERROR((Inventory[[#This Row],[Adjusted Impr Total]]-Inventory[[#This Row],[24Bldg]])/Inventory[[#This Row],[24Bldg]],0)</f>
        <v>0.46840148698884759</v>
      </c>
      <c r="BR1311" s="43">
        <f>(Inventory[[#This Row],[Adjusted Land Total]]-Inventory[[#This Row],[24Lnd]])/Inventory[[#This Row],[24Lnd]]</f>
        <v>-3.0998851894374284E-2</v>
      </c>
      <c r="BS1311" s="43">
        <f>(Inventory[[#This Row],[Adjusted Total]]-Inventory[[#This Row],[24Final]])/Inventory[[#This Row],[24Final]]</f>
        <v>0.336269744835966</v>
      </c>
    </row>
    <row r="1312" spans="1:71">
      <c r="A1312" s="30">
        <v>2025</v>
      </c>
      <c r="B1312" s="31" t="s">
        <v>1831</v>
      </c>
      <c r="C1312" s="36">
        <f>LN(Inventory[[#This Row],[Acres]])</f>
        <v>0.11332868530700327</v>
      </c>
      <c r="D1312" s="38">
        <v>1.1200000000000001</v>
      </c>
      <c r="E1312" s="37"/>
      <c r="F1312" s="31" t="s">
        <v>505</v>
      </c>
      <c r="G1312" s="31" t="s">
        <v>155</v>
      </c>
      <c r="H1312" s="31" t="s">
        <v>5</v>
      </c>
      <c r="I1312" s="31" t="s">
        <v>506</v>
      </c>
      <c r="J1312" s="31" t="s">
        <v>507</v>
      </c>
      <c r="K1312" s="31" t="s">
        <v>473</v>
      </c>
      <c r="L1312" s="31" t="s">
        <v>15</v>
      </c>
      <c r="M1312" s="31" t="s">
        <v>18</v>
      </c>
      <c r="N1312" s="31">
        <v>90</v>
      </c>
      <c r="O1312" s="31">
        <f>2024-Inventory[[#This Row],[YrBlt]]</f>
        <v>94</v>
      </c>
      <c r="P1312" s="31">
        <f>2024-Inventory[[#This Row],[EffYr]]</f>
        <v>54</v>
      </c>
      <c r="Q1312" s="30">
        <v>1930</v>
      </c>
      <c r="R1312" s="30">
        <v>1970</v>
      </c>
      <c r="S1312" s="30">
        <v>1560</v>
      </c>
      <c r="T1312" s="32"/>
      <c r="U1312" s="32"/>
      <c r="V1312" s="32"/>
      <c r="W1312" s="32"/>
      <c r="X1312" s="32">
        <f>Inventory[[#This Row],[Bsmt Area]]-Inventory[[#This Row],[FnBsmt]]</f>
        <v>0</v>
      </c>
      <c r="Y1312" s="32">
        <f>Inventory[[#This Row],[MainFn]]+Inventory[[#This Row],[UpprFn]]+Inventory[[#This Row],[AddFn]]+Inventory[[#This Row],[FnBsmt]]</f>
        <v>1560</v>
      </c>
      <c r="Z1312" s="32">
        <v>2000</v>
      </c>
      <c r="AA1312" s="31" t="s">
        <v>56</v>
      </c>
      <c r="AB1312" s="37"/>
      <c r="AC1312" s="37"/>
      <c r="AD1312" s="32"/>
      <c r="AE1312" s="32"/>
      <c r="AF1312" s="32"/>
      <c r="AG1312" s="32"/>
      <c r="AH1312" s="32"/>
      <c r="AI1312" s="30">
        <v>235297</v>
      </c>
      <c r="AJ1312" s="30">
        <v>155296</v>
      </c>
      <c r="AK1312" s="30">
        <v>8803</v>
      </c>
      <c r="AL1312" s="30">
        <v>0</v>
      </c>
      <c r="AM1312" s="30">
        <v>88100</v>
      </c>
      <c r="AN1312" s="30">
        <v>209200</v>
      </c>
      <c r="AO1312" s="30">
        <v>297300</v>
      </c>
      <c r="AP1312" s="30">
        <f>Lookups!$B$58*0.6</f>
        <v>132535.48800000001</v>
      </c>
      <c r="AQ1312" s="30">
        <f>Lookups!$B$58*0.4</f>
        <v>88356.992000000013</v>
      </c>
      <c r="AR1312" s="30">
        <f>Lookups!$B$59*Inventory[[#This Row],[LnAcres]]</f>
        <v>1487.3620444770945</v>
      </c>
      <c r="AS1312" s="30">
        <f>VLOOKUP(Inventory[[#This Row],[Qlty]],Lookups!$A$66:$E$79,2,FALSE)</f>
        <v>-1240.8083630000001</v>
      </c>
      <c r="AT1312" s="30">
        <f>VLOOKUP(Inventory[[#This Row],[Cnd]],Lookups!$A$80:$E$88,2,FALSE)</f>
        <v>17761.121909000001</v>
      </c>
      <c r="AU1312" s="30">
        <f>Inventory[[#This Row],[EffAge]]*Lookups!$B$65</f>
        <v>-5872.0194000000001</v>
      </c>
      <c r="AV1312" s="30">
        <f>Inventory[[#This Row],[MainFn]]*Lookups!$B$90</f>
        <v>97360.192800000004</v>
      </c>
      <c r="AW1312" s="30">
        <f>Inventory[[#This Row],[UpprFn]]*Lookups!$B$91</f>
        <v>0</v>
      </c>
      <c r="AX1312" s="30">
        <f>Inventory[[#This Row],[Bsmt Area]]*Lookups!$B$95</f>
        <v>0</v>
      </c>
      <c r="AY1312" s="30">
        <f>Inventory[[#This Row],[AttGar]]*Lookups!$B$93</f>
        <v>0</v>
      </c>
      <c r="AZ1312" s="30">
        <f>ROUND(Inventory[[#This Row],[25Det]],-2)</f>
        <v>8800</v>
      </c>
      <c r="BA1312" s="30">
        <f>ROUND(SUM(Inventory[[#This Row],[Mdl Qlty]:[Mdl Garage Area]])+Inventory[[#This Row],[Mdl Res Intercept]],-2)</f>
        <v>240500</v>
      </c>
      <c r="BB1312" s="30">
        <f>ROUND(Inventory[[#This Row],[Mdl Land Intercept]]+Inventory[[#This Row],[Mdl LnAcres]],-2)</f>
        <v>89800</v>
      </c>
      <c r="BC1312" s="30">
        <f>Inventory[[#This Row],[Unadj Res Value]]+Inventory[[#This Row],[Unadj Det Value]]+Inventory[[#This Row],[Unadj Land Value]]</f>
        <v>339100</v>
      </c>
      <c r="BD1312" s="30">
        <f>(Inventory[[#This Row],[Unadj Total Value]]-Inventory[[#This Row],[24Final]])/Inventory[[#This Row],[24Final]]</f>
        <v>0.14059872182980154</v>
      </c>
      <c r="BE1312" s="30">
        <f>VLOOKUP(Inventory[[#This Row],[Nbhd]],Lookups!$M$3:$P$5,4,FALSE)</f>
        <v>0.99970000000000003</v>
      </c>
      <c r="BF1312" s="30">
        <f>VLOOKUP(Inventory[[#This Row],[Qlty]],Lookups!$M$8:$P$22,4,FALSE)</f>
        <v>1.0022</v>
      </c>
      <c r="BG1312" s="30">
        <f>VLOOKUP(Inventory[[#This Row],[Cnd]],Lookups!$R$8:$U$17,4,FALSE)</f>
        <v>0.99680000000000002</v>
      </c>
      <c r="BH1312" s="30">
        <f>VLOOKUP(Inventory[[#This Row],[LivArea Range]],Lookups!$R$25:$U$43,4,FALSE)</f>
        <v>1.0007999999999999</v>
      </c>
      <c r="BI1312" s="30">
        <f>VLOOKUP(Inventory[[#This Row],[Decade]],Lookups!$M$24:$P$40,4,FALSE)</f>
        <v>0.99960000000000004</v>
      </c>
      <c r="BJ1312" s="30">
        <f>Inventory[[#This Row],[Nbhd Adj]]*0.95</f>
        <v>0.94971499999999998</v>
      </c>
      <c r="BK1312" s="30">
        <f>AVERAGE(Inventory[[#This Row],[Nbhd Adj]],Inventory[[#This Row],[Quality Adj]],Inventory[[#This Row],[Condition Adj]],Inventory[[#This Row],[Living Area Adj]],Inventory[[#This Row],[Decade Adj]])*0.95</f>
        <v>0.94982900000000003</v>
      </c>
      <c r="BL1312" s="30">
        <f>ROUND((SUM(Inventory[[#This Row],[Mdl Qlty]:[Mdl Garage Area]])+Inventory[[#This Row],[Mdl Res Intercept]])*Inventory[[#This Row],[Res Adj ]],-2)</f>
        <v>228500</v>
      </c>
      <c r="BM1312" s="30">
        <f>ROUND(Inventory[[#This Row],[25Det]]*Inventory[[#This Row],[Det/Nbhd Adj]],-2)</f>
        <v>8400</v>
      </c>
      <c r="BN1312" s="30">
        <f>Inventory[[#This Row],[Adjusted Res]]+Inventory[[#This Row],[Adj Det ]]</f>
        <v>236900</v>
      </c>
      <c r="BO1312" s="30">
        <f>ROUND((Inventory[[#This Row],[Mdl Land Intercept]]+Inventory[[#This Row],[Mdl LnAcres]])*Inventory[[#This Row],[Det/Nbhd Adj]],-2)</f>
        <v>85300</v>
      </c>
      <c r="BP1312" s="30">
        <f>Inventory[[#This Row],[Adjusted Impr Total]]+Inventory[[#This Row],[Adjusted Land Total]]</f>
        <v>322200</v>
      </c>
      <c r="BQ1312" s="30">
        <f>IFERROR((Inventory[[#This Row],[Adjusted Impr Total]]-Inventory[[#This Row],[24Bldg]])/Inventory[[#This Row],[24Bldg]],0)</f>
        <v>0.13240917782026768</v>
      </c>
      <c r="BR1312" s="43">
        <f>(Inventory[[#This Row],[Adjusted Land Total]]-Inventory[[#This Row],[24Lnd]])/Inventory[[#This Row],[24Lnd]]</f>
        <v>-3.1782065834279227E-2</v>
      </c>
      <c r="BS1312" s="43">
        <f>(Inventory[[#This Row],[Adjusted Total]]-Inventory[[#This Row],[24Final]])/Inventory[[#This Row],[24Final]]</f>
        <v>8.3753784056508573E-2</v>
      </c>
    </row>
    <row r="1313" spans="1:71">
      <c r="A1313" s="30">
        <v>2025</v>
      </c>
      <c r="B1313" s="31" t="s">
        <v>1832</v>
      </c>
      <c r="C1313" s="36">
        <f>LN(Inventory[[#This Row],[Acres]])</f>
        <v>0.70803579305369591</v>
      </c>
      <c r="D1313" s="38">
        <v>2.0299999999999998</v>
      </c>
      <c r="E1313" s="37"/>
      <c r="F1313" s="31" t="s">
        <v>505</v>
      </c>
      <c r="G1313" s="31" t="s">
        <v>155</v>
      </c>
      <c r="H1313" s="31" t="s">
        <v>5</v>
      </c>
      <c r="I1313" s="31" t="s">
        <v>506</v>
      </c>
      <c r="J1313" s="31" t="s">
        <v>773</v>
      </c>
      <c r="K1313" s="31" t="s">
        <v>1786</v>
      </c>
      <c r="L1313" s="31" t="s">
        <v>13</v>
      </c>
      <c r="M1313" s="31" t="s">
        <v>18</v>
      </c>
      <c r="N1313" s="31">
        <v>90</v>
      </c>
      <c r="O1313" s="31">
        <f>2024-Inventory[[#This Row],[YrBlt]]</f>
        <v>94</v>
      </c>
      <c r="P1313" s="31">
        <f>2024-Inventory[[#This Row],[EffYr]]</f>
        <v>94</v>
      </c>
      <c r="Q1313" s="30">
        <v>1930</v>
      </c>
      <c r="R1313" s="30">
        <v>1930</v>
      </c>
      <c r="S1313" s="30">
        <v>648</v>
      </c>
      <c r="T1313" s="32"/>
      <c r="U1313" s="32"/>
      <c r="V1313" s="32"/>
      <c r="W1313" s="32"/>
      <c r="X1313" s="32">
        <f>Inventory[[#This Row],[Bsmt Area]]-Inventory[[#This Row],[FnBsmt]]</f>
        <v>0</v>
      </c>
      <c r="Y1313" s="32">
        <f>Inventory[[#This Row],[MainFn]]+Inventory[[#This Row],[UpprFn]]+Inventory[[#This Row],[AddFn]]+Inventory[[#This Row],[FnBsmt]]</f>
        <v>648</v>
      </c>
      <c r="Z1313" s="32">
        <v>1000</v>
      </c>
      <c r="AA1313" s="31" t="s">
        <v>56</v>
      </c>
      <c r="AB1313" s="32"/>
      <c r="AC1313" s="37"/>
      <c r="AD1313" s="32"/>
      <c r="AE1313" s="32"/>
      <c r="AF1313" s="32"/>
      <c r="AG1313" s="32"/>
      <c r="AH1313" s="32"/>
      <c r="AI1313" s="30">
        <v>78177</v>
      </c>
      <c r="AJ1313" s="30">
        <v>42997</v>
      </c>
      <c r="AK1313" s="30">
        <v>4509</v>
      </c>
      <c r="AL1313" s="30">
        <v>0</v>
      </c>
      <c r="AM1313" s="30">
        <v>96400</v>
      </c>
      <c r="AN1313" s="30">
        <v>113100</v>
      </c>
      <c r="AO1313" s="30">
        <v>209500</v>
      </c>
      <c r="AP1313" s="30">
        <f>Lookups!$B$58*0.6</f>
        <v>132535.48800000001</v>
      </c>
      <c r="AQ1313" s="30">
        <f>Lookups!$B$58*0.4</f>
        <v>88356.992000000013</v>
      </c>
      <c r="AR1313" s="30">
        <f>Lookups!$B$59*Inventory[[#This Row],[LnAcres]]</f>
        <v>9292.4890275262751</v>
      </c>
      <c r="AS1313" s="30">
        <f>VLOOKUP(Inventory[[#This Row],[Qlty]],Lookups!$A$66:$E$79,2,FALSE)</f>
        <v>0</v>
      </c>
      <c r="AT1313" s="30">
        <f>VLOOKUP(Inventory[[#This Row],[Cnd]],Lookups!$A$80:$E$88,2,FALSE)</f>
        <v>17761.121909000001</v>
      </c>
      <c r="AU1313" s="30">
        <f>Inventory[[#This Row],[EffAge]]*Lookups!$B$65</f>
        <v>-10221.663399999999</v>
      </c>
      <c r="AV1313" s="30">
        <f>Inventory[[#This Row],[MainFn]]*Lookups!$B$90</f>
        <v>40441.926240000001</v>
      </c>
      <c r="AW1313" s="30">
        <f>Inventory[[#This Row],[UpprFn]]*Lookups!$B$91</f>
        <v>0</v>
      </c>
      <c r="AX1313" s="30">
        <f>Inventory[[#This Row],[Bsmt Area]]*Lookups!$B$95</f>
        <v>0</v>
      </c>
      <c r="AY1313" s="30">
        <f>Inventory[[#This Row],[AttGar]]*Lookups!$B$93</f>
        <v>0</v>
      </c>
      <c r="AZ1313" s="30">
        <f>ROUND(Inventory[[#This Row],[25Det]],-2)</f>
        <v>4500</v>
      </c>
      <c r="BA1313" s="30">
        <f>ROUND(SUM(Inventory[[#This Row],[Mdl Qlty]:[Mdl Garage Area]])+Inventory[[#This Row],[Mdl Res Intercept]],-2)</f>
        <v>180500</v>
      </c>
      <c r="BB1313" s="30">
        <f>ROUND(Inventory[[#This Row],[Mdl Land Intercept]]+Inventory[[#This Row],[Mdl LnAcres]],-2)</f>
        <v>97600</v>
      </c>
      <c r="BC1313" s="30">
        <f>Inventory[[#This Row],[Unadj Res Value]]+Inventory[[#This Row],[Unadj Det Value]]+Inventory[[#This Row],[Unadj Land Value]]</f>
        <v>282600</v>
      </c>
      <c r="BD1313" s="30">
        <f>(Inventory[[#This Row],[Unadj Total Value]]-Inventory[[#This Row],[24Final]])/Inventory[[#This Row],[24Final]]</f>
        <v>0.34892601431980907</v>
      </c>
      <c r="BE1313" s="30">
        <f>VLOOKUP(Inventory[[#This Row],[Nbhd]],Lookups!$M$3:$P$5,4,FALSE)</f>
        <v>0.99970000000000003</v>
      </c>
      <c r="BF1313" s="30">
        <f>VLOOKUP(Inventory[[#This Row],[Qlty]],Lookups!$M$8:$P$22,4,FALSE)</f>
        <v>1.0003</v>
      </c>
      <c r="BG1313" s="30">
        <f>VLOOKUP(Inventory[[#This Row],[Cnd]],Lookups!$R$8:$U$17,4,FALSE)</f>
        <v>0.99680000000000002</v>
      </c>
      <c r="BH1313" s="30">
        <f>VLOOKUP(Inventory[[#This Row],[LivArea Range]],Lookups!$R$25:$U$43,4,FALSE)</f>
        <v>1</v>
      </c>
      <c r="BI1313" s="30">
        <f>VLOOKUP(Inventory[[#This Row],[Decade]],Lookups!$M$24:$P$40,4,FALSE)</f>
        <v>0.99960000000000004</v>
      </c>
      <c r="BJ1313" s="30">
        <f>Inventory[[#This Row],[Nbhd Adj]]*0.95</f>
        <v>0.94971499999999998</v>
      </c>
      <c r="BK1313" s="30">
        <f>AVERAGE(Inventory[[#This Row],[Nbhd Adj]],Inventory[[#This Row],[Quality Adj]],Inventory[[#This Row],[Condition Adj]],Inventory[[#This Row],[Living Area Adj]],Inventory[[#This Row],[Decade Adj]])*0.95</f>
        <v>0.94931599999999994</v>
      </c>
      <c r="BL1313" s="30">
        <f>ROUND((SUM(Inventory[[#This Row],[Mdl Qlty]:[Mdl Garage Area]])+Inventory[[#This Row],[Mdl Res Intercept]])*Inventory[[#This Row],[Res Adj ]],-2)</f>
        <v>171400</v>
      </c>
      <c r="BM1313" s="30">
        <f>ROUND(Inventory[[#This Row],[25Det]]*Inventory[[#This Row],[Det/Nbhd Adj]],-2)</f>
        <v>4300</v>
      </c>
      <c r="BN1313" s="30">
        <f>Inventory[[#This Row],[Adjusted Res]]+Inventory[[#This Row],[Adj Det ]]</f>
        <v>175700</v>
      </c>
      <c r="BO1313" s="30">
        <f>ROUND((Inventory[[#This Row],[Mdl Land Intercept]]+Inventory[[#This Row],[Mdl LnAcres]])*Inventory[[#This Row],[Det/Nbhd Adj]],-2)</f>
        <v>92700</v>
      </c>
      <c r="BP1313" s="30">
        <f>Inventory[[#This Row],[Adjusted Impr Total]]+Inventory[[#This Row],[Adjusted Land Total]]</f>
        <v>268400</v>
      </c>
      <c r="BQ1313" s="30">
        <f>IFERROR((Inventory[[#This Row],[Adjusted Impr Total]]-Inventory[[#This Row],[24Bldg]])/Inventory[[#This Row],[24Bldg]],0)</f>
        <v>0.55349248452696731</v>
      </c>
      <c r="BR1313" s="43">
        <f>(Inventory[[#This Row],[Adjusted Land Total]]-Inventory[[#This Row],[24Lnd]])/Inventory[[#This Row],[24Lnd]]</f>
        <v>-3.8381742738589214E-2</v>
      </c>
      <c r="BS1313" s="43">
        <f>(Inventory[[#This Row],[Adjusted Total]]-Inventory[[#This Row],[24Final]])/Inventory[[#This Row],[24Final]]</f>
        <v>0.28114558472553697</v>
      </c>
    </row>
    <row r="1314" spans="1:71">
      <c r="A1314" s="30">
        <v>2025</v>
      </c>
      <c r="B1314" s="31" t="s">
        <v>1833</v>
      </c>
      <c r="C1314" s="36">
        <f>LN(Inventory[[#This Row],[Acres]])</f>
        <v>0.71294980785612505</v>
      </c>
      <c r="D1314" s="38">
        <v>2.04</v>
      </c>
      <c r="E1314" s="30">
        <v>88952</v>
      </c>
      <c r="F1314" s="31" t="s">
        <v>505</v>
      </c>
      <c r="G1314" s="31" t="s">
        <v>155</v>
      </c>
      <c r="H1314" s="31" t="s">
        <v>5</v>
      </c>
      <c r="I1314" s="31" t="s">
        <v>506</v>
      </c>
      <c r="J1314" s="31" t="s">
        <v>1633</v>
      </c>
      <c r="K1314" s="31" t="s">
        <v>473</v>
      </c>
      <c r="L1314" s="31" t="s">
        <v>15</v>
      </c>
      <c r="M1314" s="31" t="s">
        <v>18</v>
      </c>
      <c r="N1314" s="31">
        <v>90</v>
      </c>
      <c r="O1314" s="31">
        <f>2024-Inventory[[#This Row],[YrBlt]]</f>
        <v>94</v>
      </c>
      <c r="P1314" s="31">
        <f>2024-Inventory[[#This Row],[EffYr]]</f>
        <v>54</v>
      </c>
      <c r="Q1314" s="30">
        <v>1930</v>
      </c>
      <c r="R1314" s="30">
        <v>1970</v>
      </c>
      <c r="S1314" s="30">
        <v>1514</v>
      </c>
      <c r="T1314" s="32"/>
      <c r="U1314" s="38">
        <v>96</v>
      </c>
      <c r="V1314" s="32"/>
      <c r="W1314" s="32"/>
      <c r="X1314" s="32">
        <f>Inventory[[#This Row],[Bsmt Area]]-Inventory[[#This Row],[FnBsmt]]</f>
        <v>96</v>
      </c>
      <c r="Y1314" s="32">
        <f>Inventory[[#This Row],[MainFn]]+Inventory[[#This Row],[UpprFn]]+Inventory[[#This Row],[AddFn]]+Inventory[[#This Row],[FnBsmt]]</f>
        <v>1514</v>
      </c>
      <c r="Z1314" s="32">
        <v>2000</v>
      </c>
      <c r="AA1314" s="31" t="s">
        <v>56</v>
      </c>
      <c r="AB1314" s="32"/>
      <c r="AC1314" s="37"/>
      <c r="AD1314" s="32"/>
      <c r="AE1314" s="32"/>
      <c r="AF1314" s="32"/>
      <c r="AG1314" s="32"/>
      <c r="AH1314" s="32"/>
      <c r="AI1314" s="30">
        <v>212282</v>
      </c>
      <c r="AJ1314" s="30">
        <v>140106</v>
      </c>
      <c r="AK1314" s="30">
        <v>11940</v>
      </c>
      <c r="AL1314" s="30">
        <v>0</v>
      </c>
      <c r="AM1314" s="30">
        <v>96500</v>
      </c>
      <c r="AN1314" s="30">
        <v>210100</v>
      </c>
      <c r="AO1314" s="30">
        <v>306600</v>
      </c>
      <c r="AP1314" s="30">
        <f>Lookups!$B$58*0.6</f>
        <v>132535.48800000001</v>
      </c>
      <c r="AQ1314" s="30">
        <f>Lookups!$B$58*0.4</f>
        <v>88356.992000000013</v>
      </c>
      <c r="AR1314" s="30">
        <f>Lookups!$B$59*Inventory[[#This Row],[LnAcres]]</f>
        <v>9356.9821351921073</v>
      </c>
      <c r="AS1314" s="30">
        <f>VLOOKUP(Inventory[[#This Row],[Qlty]],Lookups!$A$66:$E$79,2,FALSE)</f>
        <v>-1240.8083630000001</v>
      </c>
      <c r="AT1314" s="30">
        <f>VLOOKUP(Inventory[[#This Row],[Cnd]],Lookups!$A$80:$E$88,2,FALSE)</f>
        <v>17761.121909000001</v>
      </c>
      <c r="AU1314" s="30">
        <f>Inventory[[#This Row],[EffAge]]*Lookups!$B$65</f>
        <v>-5872.0194000000001</v>
      </c>
      <c r="AV1314" s="30">
        <f>Inventory[[#This Row],[MainFn]]*Lookups!$B$90</f>
        <v>94489.315320000009</v>
      </c>
      <c r="AW1314" s="30">
        <f>Inventory[[#This Row],[UpprFn]]*Lookups!$B$91</f>
        <v>0</v>
      </c>
      <c r="AX1314" s="30">
        <f>Inventory[[#This Row],[Bsmt Area]]*Lookups!$B$95</f>
        <v>6008.3036159999992</v>
      </c>
      <c r="AY1314" s="30">
        <f>Inventory[[#This Row],[AttGar]]*Lookups!$B$93</f>
        <v>0</v>
      </c>
      <c r="AZ1314" s="30">
        <f>ROUND(Inventory[[#This Row],[25Det]],-2)</f>
        <v>11900</v>
      </c>
      <c r="BA1314" s="30">
        <f>ROUND(SUM(Inventory[[#This Row],[Mdl Qlty]:[Mdl Garage Area]])+Inventory[[#This Row],[Mdl Res Intercept]],-2)</f>
        <v>243700</v>
      </c>
      <c r="BB1314" s="30">
        <f>ROUND(Inventory[[#This Row],[Mdl Land Intercept]]+Inventory[[#This Row],[Mdl LnAcres]],-2)</f>
        <v>97700</v>
      </c>
      <c r="BC1314" s="30">
        <f>Inventory[[#This Row],[Unadj Res Value]]+Inventory[[#This Row],[Unadj Det Value]]+Inventory[[#This Row],[Unadj Land Value]]</f>
        <v>353300</v>
      </c>
      <c r="BD1314" s="30">
        <f>(Inventory[[#This Row],[Unadj Total Value]]-Inventory[[#This Row],[24Final]])/Inventory[[#This Row],[24Final]]</f>
        <v>0.15231572080887149</v>
      </c>
      <c r="BE1314" s="30">
        <f>VLOOKUP(Inventory[[#This Row],[Nbhd]],Lookups!$M$3:$P$5,4,FALSE)</f>
        <v>0.99970000000000003</v>
      </c>
      <c r="BF1314" s="30">
        <f>VLOOKUP(Inventory[[#This Row],[Qlty]],Lookups!$M$8:$P$22,4,FALSE)</f>
        <v>1.0022</v>
      </c>
      <c r="BG1314" s="30">
        <f>VLOOKUP(Inventory[[#This Row],[Cnd]],Lookups!$R$8:$U$17,4,FALSE)</f>
        <v>0.99680000000000002</v>
      </c>
      <c r="BH1314" s="30">
        <f>VLOOKUP(Inventory[[#This Row],[LivArea Range]],Lookups!$R$25:$U$43,4,FALSE)</f>
        <v>1.0007999999999999</v>
      </c>
      <c r="BI1314" s="30">
        <f>VLOOKUP(Inventory[[#This Row],[Decade]],Lookups!$M$24:$P$40,4,FALSE)</f>
        <v>0.99960000000000004</v>
      </c>
      <c r="BJ1314" s="30">
        <f>Inventory[[#This Row],[Nbhd Adj]]*0.95</f>
        <v>0.94971499999999998</v>
      </c>
      <c r="BK1314" s="30">
        <f>AVERAGE(Inventory[[#This Row],[Nbhd Adj]],Inventory[[#This Row],[Quality Adj]],Inventory[[#This Row],[Condition Adj]],Inventory[[#This Row],[Living Area Adj]],Inventory[[#This Row],[Decade Adj]])*0.95</f>
        <v>0.94982900000000003</v>
      </c>
      <c r="BL1314" s="30">
        <f>ROUND((SUM(Inventory[[#This Row],[Mdl Qlty]:[Mdl Garage Area]])+Inventory[[#This Row],[Mdl Res Intercept]])*Inventory[[#This Row],[Res Adj ]],-2)</f>
        <v>231500</v>
      </c>
      <c r="BM1314" s="30">
        <f>ROUND(Inventory[[#This Row],[25Det]]*Inventory[[#This Row],[Det/Nbhd Adj]],-2)</f>
        <v>11300</v>
      </c>
      <c r="BN1314" s="30">
        <f>Inventory[[#This Row],[Adjusted Res]]+Inventory[[#This Row],[Adj Det ]]</f>
        <v>242800</v>
      </c>
      <c r="BO1314" s="30">
        <f>ROUND((Inventory[[#This Row],[Mdl Land Intercept]]+Inventory[[#This Row],[Mdl LnAcres]])*Inventory[[#This Row],[Det/Nbhd Adj]],-2)</f>
        <v>92800</v>
      </c>
      <c r="BP1314" s="30">
        <f>Inventory[[#This Row],[Adjusted Impr Total]]+Inventory[[#This Row],[Adjusted Land Total]]</f>
        <v>335600</v>
      </c>
      <c r="BQ1314" s="30">
        <f>IFERROR((Inventory[[#This Row],[Adjusted Impr Total]]-Inventory[[#This Row],[24Bldg]])/Inventory[[#This Row],[24Bldg]],0)</f>
        <v>0.15564017134697763</v>
      </c>
      <c r="BR1314" s="43">
        <f>(Inventory[[#This Row],[Adjusted Land Total]]-Inventory[[#This Row],[24Lnd]])/Inventory[[#This Row],[24Lnd]]</f>
        <v>-3.8341968911917101E-2</v>
      </c>
      <c r="BS1314" s="43">
        <f>(Inventory[[#This Row],[Adjusted Total]]-Inventory[[#This Row],[24Final]])/Inventory[[#This Row],[24Final]]</f>
        <v>9.4585779517286361E-2</v>
      </c>
    </row>
    <row r="1315" spans="1:71">
      <c r="A1315" s="30">
        <v>2025</v>
      </c>
      <c r="B1315" s="31" t="s">
        <v>1834</v>
      </c>
      <c r="C1315" s="36">
        <f>LN(Inventory[[#This Row],[Acres]])</f>
        <v>1.3376291891386096</v>
      </c>
      <c r="D1315" s="38">
        <v>3.81</v>
      </c>
      <c r="E1315" s="37"/>
      <c r="F1315" s="31" t="s">
        <v>505</v>
      </c>
      <c r="G1315" s="31" t="s">
        <v>155</v>
      </c>
      <c r="H1315" s="31" t="s">
        <v>5</v>
      </c>
      <c r="I1315" s="31" t="s">
        <v>506</v>
      </c>
      <c r="J1315" s="31" t="s">
        <v>507</v>
      </c>
      <c r="K1315" s="31" t="s">
        <v>485</v>
      </c>
      <c r="L1315" s="31" t="s">
        <v>17</v>
      </c>
      <c r="M1315" s="31" t="s">
        <v>18</v>
      </c>
      <c r="N1315" s="31">
        <v>90</v>
      </c>
      <c r="O1315" s="31">
        <f>2024-Inventory[[#This Row],[YrBlt]]</f>
        <v>94</v>
      </c>
      <c r="P1315" s="31">
        <f>2024-Inventory[[#This Row],[EffYr]]</f>
        <v>54</v>
      </c>
      <c r="Q1315" s="30">
        <v>1930</v>
      </c>
      <c r="R1315" s="30">
        <v>1970</v>
      </c>
      <c r="S1315" s="30">
        <v>1276</v>
      </c>
      <c r="T1315" s="38">
        <v>300</v>
      </c>
      <c r="U1315" s="32"/>
      <c r="V1315" s="32"/>
      <c r="W1315" s="32"/>
      <c r="X1315" s="32">
        <f>Inventory[[#This Row],[Bsmt Area]]-Inventory[[#This Row],[FnBsmt]]</f>
        <v>0</v>
      </c>
      <c r="Y1315" s="32">
        <f>Inventory[[#This Row],[MainFn]]+Inventory[[#This Row],[UpprFn]]+Inventory[[#This Row],[AddFn]]+Inventory[[#This Row],[FnBsmt]]</f>
        <v>1576</v>
      </c>
      <c r="Z1315" s="32">
        <v>2000</v>
      </c>
      <c r="AA1315" s="31" t="s">
        <v>56</v>
      </c>
      <c r="AB1315" s="32"/>
      <c r="AC1315" s="37"/>
      <c r="AD1315" s="32"/>
      <c r="AE1315" s="32"/>
      <c r="AF1315" s="32"/>
      <c r="AG1315" s="32"/>
      <c r="AH1315" s="32"/>
      <c r="AI1315" s="30">
        <v>234983</v>
      </c>
      <c r="AJ1315" s="30">
        <v>155089</v>
      </c>
      <c r="AK1315" s="30">
        <v>21118</v>
      </c>
      <c r="AL1315" s="30">
        <v>0</v>
      </c>
      <c r="AM1315" s="30">
        <v>105200</v>
      </c>
      <c r="AN1315" s="30">
        <v>237300</v>
      </c>
      <c r="AO1315" s="30">
        <v>342500</v>
      </c>
      <c r="AP1315" s="30">
        <f>Lookups!$B$58*0.6</f>
        <v>132535.48800000001</v>
      </c>
      <c r="AQ1315" s="30">
        <f>Lookups!$B$58*0.4</f>
        <v>88356.992000000013</v>
      </c>
      <c r="AR1315" s="30">
        <f>Lookups!$B$59*Inventory[[#This Row],[LnAcres]]</f>
        <v>17555.474857224825</v>
      </c>
      <c r="AS1315" s="30">
        <f>VLOOKUP(Inventory[[#This Row],[Qlty]],Lookups!$A$66:$E$79,2,FALSE)</f>
        <v>24371.765965999999</v>
      </c>
      <c r="AT1315" s="30">
        <f>VLOOKUP(Inventory[[#This Row],[Cnd]],Lookups!$A$80:$E$88,2,FALSE)</f>
        <v>17761.121909000001</v>
      </c>
      <c r="AU1315" s="30">
        <f>Inventory[[#This Row],[EffAge]]*Lookups!$B$65</f>
        <v>-5872.0194000000001</v>
      </c>
      <c r="AV1315" s="30">
        <f>Inventory[[#This Row],[MainFn]]*Lookups!$B$90</f>
        <v>79635.644880000007</v>
      </c>
      <c r="AW1315" s="30">
        <f>Inventory[[#This Row],[UpprFn]]*Lookups!$B$91</f>
        <v>17874.1149</v>
      </c>
      <c r="AX1315" s="30">
        <f>Inventory[[#This Row],[Bsmt Area]]*Lookups!$B$95</f>
        <v>0</v>
      </c>
      <c r="AY1315" s="30">
        <f>Inventory[[#This Row],[AttGar]]*Lookups!$B$93</f>
        <v>0</v>
      </c>
      <c r="AZ1315" s="30">
        <f>ROUND(Inventory[[#This Row],[25Det]],-2)</f>
        <v>21100</v>
      </c>
      <c r="BA1315" s="30">
        <f>ROUND(SUM(Inventory[[#This Row],[Mdl Qlty]:[Mdl Garage Area]])+Inventory[[#This Row],[Mdl Res Intercept]],-2)</f>
        <v>266300</v>
      </c>
      <c r="BB1315" s="30">
        <f>ROUND(Inventory[[#This Row],[Mdl Land Intercept]]+Inventory[[#This Row],[Mdl LnAcres]],-2)</f>
        <v>105900</v>
      </c>
      <c r="BC1315" s="30">
        <f>Inventory[[#This Row],[Unadj Res Value]]+Inventory[[#This Row],[Unadj Det Value]]+Inventory[[#This Row],[Unadj Land Value]]</f>
        <v>393300</v>
      </c>
      <c r="BD1315" s="30">
        <f>(Inventory[[#This Row],[Unadj Total Value]]-Inventory[[#This Row],[24Final]])/Inventory[[#This Row],[24Final]]</f>
        <v>0.14832116788321167</v>
      </c>
      <c r="BE1315" s="30">
        <f>VLOOKUP(Inventory[[#This Row],[Nbhd]],Lookups!$M$3:$P$5,4,FALSE)</f>
        <v>0.99970000000000003</v>
      </c>
      <c r="BF1315" s="30">
        <f>VLOOKUP(Inventory[[#This Row],[Qlty]],Lookups!$M$8:$P$22,4,FALSE)</f>
        <v>0.99199999999999999</v>
      </c>
      <c r="BG1315" s="30">
        <f>VLOOKUP(Inventory[[#This Row],[Cnd]],Lookups!$R$8:$U$17,4,FALSE)</f>
        <v>0.99680000000000002</v>
      </c>
      <c r="BH1315" s="30">
        <f>VLOOKUP(Inventory[[#This Row],[LivArea Range]],Lookups!$R$25:$U$43,4,FALSE)</f>
        <v>1.0007999999999999</v>
      </c>
      <c r="BI1315" s="30">
        <f>VLOOKUP(Inventory[[#This Row],[Decade]],Lookups!$M$24:$P$40,4,FALSE)</f>
        <v>0.99960000000000004</v>
      </c>
      <c r="BJ1315" s="30">
        <f>Inventory[[#This Row],[Nbhd Adj]]*0.95</f>
        <v>0.94971499999999998</v>
      </c>
      <c r="BK1315" s="30">
        <f>AVERAGE(Inventory[[#This Row],[Nbhd Adj]],Inventory[[#This Row],[Quality Adj]],Inventory[[#This Row],[Condition Adj]],Inventory[[#This Row],[Living Area Adj]],Inventory[[#This Row],[Decade Adj]])*0.95</f>
        <v>0.94789099999999993</v>
      </c>
      <c r="BL1315" s="30">
        <f>ROUND((SUM(Inventory[[#This Row],[Mdl Qlty]:[Mdl Garage Area]])+Inventory[[#This Row],[Mdl Res Intercept]])*Inventory[[#This Row],[Res Adj ]],-2)</f>
        <v>252400</v>
      </c>
      <c r="BM1315" s="30">
        <f>ROUND(Inventory[[#This Row],[25Det]]*Inventory[[#This Row],[Det/Nbhd Adj]],-2)</f>
        <v>20100</v>
      </c>
      <c r="BN1315" s="30">
        <f>Inventory[[#This Row],[Adjusted Res]]+Inventory[[#This Row],[Adj Det ]]</f>
        <v>272500</v>
      </c>
      <c r="BO1315" s="30">
        <f>ROUND((Inventory[[#This Row],[Mdl Land Intercept]]+Inventory[[#This Row],[Mdl LnAcres]])*Inventory[[#This Row],[Det/Nbhd Adj]],-2)</f>
        <v>100600</v>
      </c>
      <c r="BP1315" s="30">
        <f>Inventory[[#This Row],[Adjusted Impr Total]]+Inventory[[#This Row],[Adjusted Land Total]]</f>
        <v>373100</v>
      </c>
      <c r="BQ1315" s="30">
        <f>IFERROR((Inventory[[#This Row],[Adjusted Impr Total]]-Inventory[[#This Row],[24Bldg]])/Inventory[[#This Row],[24Bldg]],0)</f>
        <v>0.14833544037083859</v>
      </c>
      <c r="BR1315" s="43">
        <f>(Inventory[[#This Row],[Adjusted Land Total]]-Inventory[[#This Row],[24Lnd]])/Inventory[[#This Row],[24Lnd]]</f>
        <v>-4.3726235741444866E-2</v>
      </c>
      <c r="BS1315" s="43">
        <f>(Inventory[[#This Row],[Adjusted Total]]-Inventory[[#This Row],[24Final]])/Inventory[[#This Row],[24Final]]</f>
        <v>8.9343065693430659E-2</v>
      </c>
    </row>
    <row r="1316" spans="1:71">
      <c r="A1316" s="30">
        <v>2025</v>
      </c>
      <c r="B1316" s="31" t="s">
        <v>1835</v>
      </c>
      <c r="C1316" s="36">
        <f>LN(Inventory[[#This Row],[Acres]])</f>
        <v>-2.4079456086518722</v>
      </c>
      <c r="D1316" s="38">
        <v>0.09</v>
      </c>
      <c r="E1316" s="30">
        <v>4080</v>
      </c>
      <c r="F1316" s="31" t="s">
        <v>505</v>
      </c>
      <c r="G1316" s="31" t="s">
        <v>155</v>
      </c>
      <c r="H1316" s="31" t="s">
        <v>5</v>
      </c>
      <c r="I1316" s="31" t="s">
        <v>506</v>
      </c>
      <c r="J1316" s="31" t="s">
        <v>507</v>
      </c>
      <c r="K1316" s="31" t="s">
        <v>475</v>
      </c>
      <c r="L1316" s="31" t="s">
        <v>13</v>
      </c>
      <c r="M1316" s="31" t="s">
        <v>18</v>
      </c>
      <c r="N1316" s="31">
        <v>90</v>
      </c>
      <c r="O1316" s="31">
        <f>2024-Inventory[[#This Row],[YrBlt]]</f>
        <v>99</v>
      </c>
      <c r="P1316" s="31">
        <f>2024-Inventory[[#This Row],[EffYr]]</f>
        <v>46</v>
      </c>
      <c r="Q1316" s="30">
        <v>1925</v>
      </c>
      <c r="R1316" s="30">
        <v>1978</v>
      </c>
      <c r="S1316" s="30">
        <v>834</v>
      </c>
      <c r="T1316" s="32"/>
      <c r="U1316" s="32"/>
      <c r="V1316" s="32"/>
      <c r="W1316" s="32"/>
      <c r="X1316" s="32">
        <f>Inventory[[#This Row],[Bsmt Area]]-Inventory[[#This Row],[FnBsmt]]</f>
        <v>0</v>
      </c>
      <c r="Y1316" s="32">
        <f>Inventory[[#This Row],[MainFn]]+Inventory[[#This Row],[UpprFn]]+Inventory[[#This Row],[AddFn]]+Inventory[[#This Row],[FnBsmt]]</f>
        <v>834</v>
      </c>
      <c r="Z1316" s="32">
        <v>1000</v>
      </c>
      <c r="AA1316" s="31" t="s">
        <v>56</v>
      </c>
      <c r="AB1316" s="37"/>
      <c r="AC1316" s="37"/>
      <c r="AD1316" s="32"/>
      <c r="AE1316" s="32"/>
      <c r="AF1316" s="32"/>
      <c r="AG1316" s="32"/>
      <c r="AH1316" s="32"/>
      <c r="AI1316" s="30">
        <v>125295</v>
      </c>
      <c r="AJ1316" s="30">
        <v>95224</v>
      </c>
      <c r="AK1316" s="30">
        <v>0</v>
      </c>
      <c r="AL1316" s="30">
        <v>0</v>
      </c>
      <c r="AM1316" s="30">
        <v>52800</v>
      </c>
      <c r="AN1316" s="30">
        <v>161400</v>
      </c>
      <c r="AO1316" s="30">
        <v>214200</v>
      </c>
      <c r="AP1316" s="30">
        <f>Lookups!$B$58*0.6</f>
        <v>132535.48800000001</v>
      </c>
      <c r="AQ1316" s="30">
        <f>Lookups!$B$58*0.4</f>
        <v>88356.992000000013</v>
      </c>
      <c r="AR1316" s="30">
        <f>Lookups!$B$59*Inventory[[#This Row],[LnAcres]]</f>
        <v>-31602.651118487549</v>
      </c>
      <c r="AS1316" s="30">
        <f>VLOOKUP(Inventory[[#This Row],[Qlty]],Lookups!$A$66:$E$79,2,FALSE)</f>
        <v>0</v>
      </c>
      <c r="AT1316" s="30">
        <f>VLOOKUP(Inventory[[#This Row],[Cnd]],Lookups!$A$80:$E$88,2,FALSE)</f>
        <v>17761.121909000001</v>
      </c>
      <c r="AU1316" s="30">
        <f>Inventory[[#This Row],[EffAge]]*Lookups!$B$65</f>
        <v>-5002.0906000000004</v>
      </c>
      <c r="AV1316" s="30">
        <f>Inventory[[#This Row],[MainFn]]*Lookups!$B$90</f>
        <v>52050.25692</v>
      </c>
      <c r="AW1316" s="30">
        <f>Inventory[[#This Row],[UpprFn]]*Lookups!$B$91</f>
        <v>0</v>
      </c>
      <c r="AX1316" s="30">
        <f>Inventory[[#This Row],[Bsmt Area]]*Lookups!$B$95</f>
        <v>0</v>
      </c>
      <c r="AY1316" s="30">
        <f>Inventory[[#This Row],[AttGar]]*Lookups!$B$93</f>
        <v>0</v>
      </c>
      <c r="AZ1316" s="30">
        <f>ROUND(Inventory[[#This Row],[25Det]],-2)</f>
        <v>0</v>
      </c>
      <c r="BA1316" s="30">
        <f>ROUND(SUM(Inventory[[#This Row],[Mdl Qlty]:[Mdl Garage Area]])+Inventory[[#This Row],[Mdl Res Intercept]],-2)</f>
        <v>197300</v>
      </c>
      <c r="BB1316" s="30">
        <f>ROUND(Inventory[[#This Row],[Mdl Land Intercept]]+Inventory[[#This Row],[Mdl LnAcres]],-2)</f>
        <v>56800</v>
      </c>
      <c r="BC1316" s="30">
        <f>Inventory[[#This Row],[Unadj Res Value]]+Inventory[[#This Row],[Unadj Det Value]]+Inventory[[#This Row],[Unadj Land Value]]</f>
        <v>254100</v>
      </c>
      <c r="BD1316" s="30">
        <f>(Inventory[[#This Row],[Unadj Total Value]]-Inventory[[#This Row],[24Final]])/Inventory[[#This Row],[24Final]]</f>
        <v>0.18627450980392157</v>
      </c>
      <c r="BE1316" s="30">
        <f>VLOOKUP(Inventory[[#This Row],[Nbhd]],Lookups!$M$3:$P$5,4,FALSE)</f>
        <v>0.99970000000000003</v>
      </c>
      <c r="BF1316" s="30">
        <f>VLOOKUP(Inventory[[#This Row],[Qlty]],Lookups!$M$8:$P$22,4,FALSE)</f>
        <v>1.0003</v>
      </c>
      <c r="BG1316" s="30">
        <f>VLOOKUP(Inventory[[#This Row],[Cnd]],Lookups!$R$8:$U$17,4,FALSE)</f>
        <v>0.99680000000000002</v>
      </c>
      <c r="BH1316" s="30">
        <f>VLOOKUP(Inventory[[#This Row],[LivArea Range]],Lookups!$R$25:$U$43,4,FALSE)</f>
        <v>1</v>
      </c>
      <c r="BI1316" s="30">
        <f>VLOOKUP(Inventory[[#This Row],[Decade]],Lookups!$M$24:$P$40,4,FALSE)</f>
        <v>0.99960000000000004</v>
      </c>
      <c r="BJ1316" s="30">
        <f>Inventory[[#This Row],[Nbhd Adj]]*0.95</f>
        <v>0.94971499999999998</v>
      </c>
      <c r="BK1316" s="30">
        <f>AVERAGE(Inventory[[#This Row],[Nbhd Adj]],Inventory[[#This Row],[Quality Adj]],Inventory[[#This Row],[Condition Adj]],Inventory[[#This Row],[Living Area Adj]],Inventory[[#This Row],[Decade Adj]])*0.95</f>
        <v>0.94931599999999994</v>
      </c>
      <c r="BL1316" s="30">
        <f>ROUND((SUM(Inventory[[#This Row],[Mdl Qlty]:[Mdl Garage Area]])+Inventory[[#This Row],[Mdl Res Intercept]])*Inventory[[#This Row],[Res Adj ]],-2)</f>
        <v>187300</v>
      </c>
      <c r="BM1316" s="30">
        <f>ROUND(Inventory[[#This Row],[25Det]]*Inventory[[#This Row],[Det/Nbhd Adj]],-2)</f>
        <v>0</v>
      </c>
      <c r="BN1316" s="30">
        <f>Inventory[[#This Row],[Adjusted Res]]+Inventory[[#This Row],[Adj Det ]]</f>
        <v>187300</v>
      </c>
      <c r="BO1316" s="30">
        <f>ROUND((Inventory[[#This Row],[Mdl Land Intercept]]+Inventory[[#This Row],[Mdl LnAcres]])*Inventory[[#This Row],[Det/Nbhd Adj]],-2)</f>
        <v>53900</v>
      </c>
      <c r="BP1316" s="30">
        <f>Inventory[[#This Row],[Adjusted Impr Total]]+Inventory[[#This Row],[Adjusted Land Total]]</f>
        <v>241200</v>
      </c>
      <c r="BQ1316" s="30">
        <f>IFERROR((Inventory[[#This Row],[Adjusted Impr Total]]-Inventory[[#This Row],[24Bldg]])/Inventory[[#This Row],[24Bldg]],0)</f>
        <v>0.16047087980173483</v>
      </c>
      <c r="BR1316" s="43">
        <f>(Inventory[[#This Row],[Adjusted Land Total]]-Inventory[[#This Row],[24Lnd]])/Inventory[[#This Row],[24Lnd]]</f>
        <v>2.0833333333333332E-2</v>
      </c>
      <c r="BS1316" s="43">
        <f>(Inventory[[#This Row],[Adjusted Total]]-Inventory[[#This Row],[24Final]])/Inventory[[#This Row],[24Final]]</f>
        <v>0.12605042016806722</v>
      </c>
    </row>
    <row r="1317" spans="1:71">
      <c r="A1317" s="30">
        <v>2025</v>
      </c>
      <c r="B1317" s="31" t="s">
        <v>1836</v>
      </c>
      <c r="C1317" s="36">
        <f>LN(Inventory[[#This Row],[Acres]])</f>
        <v>-2.4079456086518722</v>
      </c>
      <c r="D1317" s="38">
        <v>0.09</v>
      </c>
      <c r="E1317" s="30">
        <v>4080</v>
      </c>
      <c r="F1317" s="31" t="s">
        <v>505</v>
      </c>
      <c r="G1317" s="31" t="s">
        <v>155</v>
      </c>
      <c r="H1317" s="31" t="s">
        <v>5</v>
      </c>
      <c r="I1317" s="31" t="s">
        <v>506</v>
      </c>
      <c r="J1317" s="31" t="s">
        <v>507</v>
      </c>
      <c r="K1317" s="31" t="s">
        <v>1786</v>
      </c>
      <c r="L1317" s="31" t="s">
        <v>11</v>
      </c>
      <c r="M1317" s="31" t="s">
        <v>18</v>
      </c>
      <c r="N1317" s="31">
        <v>90</v>
      </c>
      <c r="O1317" s="31">
        <f>2024-Inventory[[#This Row],[YrBlt]]</f>
        <v>99</v>
      </c>
      <c r="P1317" s="31">
        <f>2024-Inventory[[#This Row],[EffYr]]</f>
        <v>56</v>
      </c>
      <c r="Q1317" s="30">
        <v>1925</v>
      </c>
      <c r="R1317" s="30">
        <v>1968</v>
      </c>
      <c r="S1317" s="30">
        <v>1008</v>
      </c>
      <c r="T1317" s="32"/>
      <c r="U1317" s="32"/>
      <c r="V1317" s="32"/>
      <c r="W1317" s="32"/>
      <c r="X1317" s="32">
        <f>Inventory[[#This Row],[Bsmt Area]]-Inventory[[#This Row],[FnBsmt]]</f>
        <v>0</v>
      </c>
      <c r="Y1317" s="32">
        <f>Inventory[[#This Row],[MainFn]]+Inventory[[#This Row],[UpprFn]]+Inventory[[#This Row],[AddFn]]+Inventory[[#This Row],[FnBsmt]]</f>
        <v>1008</v>
      </c>
      <c r="Z1317" s="32">
        <v>1500</v>
      </c>
      <c r="AA1317" s="31" t="s">
        <v>56</v>
      </c>
      <c r="AB1317" s="37"/>
      <c r="AC1317" s="37"/>
      <c r="AD1317" s="32"/>
      <c r="AE1317" s="32"/>
      <c r="AF1317" s="32"/>
      <c r="AG1317" s="32"/>
      <c r="AH1317" s="32"/>
      <c r="AI1317" s="30">
        <v>100962</v>
      </c>
      <c r="AJ1317" s="30">
        <v>64616</v>
      </c>
      <c r="AK1317" s="30">
        <v>0</v>
      </c>
      <c r="AL1317" s="30">
        <v>0</v>
      </c>
      <c r="AM1317" s="30">
        <v>52800</v>
      </c>
      <c r="AN1317" s="30">
        <v>149000</v>
      </c>
      <c r="AO1317" s="30">
        <v>201800</v>
      </c>
      <c r="AP1317" s="30">
        <f>Lookups!$B$58*0.6</f>
        <v>132535.48800000001</v>
      </c>
      <c r="AQ1317" s="30">
        <f>Lookups!$B$58*0.4</f>
        <v>88356.992000000013</v>
      </c>
      <c r="AR1317" s="30">
        <f>Lookups!$B$59*Inventory[[#This Row],[LnAcres]]</f>
        <v>-31602.651118487549</v>
      </c>
      <c r="AS1317" s="30">
        <f>VLOOKUP(Inventory[[#This Row],[Qlty]],Lookups!$A$66:$E$79,2,FALSE)</f>
        <v>-9114.1675108666695</v>
      </c>
      <c r="AT1317" s="30">
        <f>VLOOKUP(Inventory[[#This Row],[Cnd]],Lookups!$A$80:$E$88,2,FALSE)</f>
        <v>17761.121909000001</v>
      </c>
      <c r="AU1317" s="30">
        <f>Inventory[[#This Row],[EffAge]]*Lookups!$B$65</f>
        <v>-6089.5016000000005</v>
      </c>
      <c r="AV1317" s="30">
        <f>Inventory[[#This Row],[MainFn]]*Lookups!$B$90</f>
        <v>62909.663040000007</v>
      </c>
      <c r="AW1317" s="30">
        <f>Inventory[[#This Row],[UpprFn]]*Lookups!$B$91</f>
        <v>0</v>
      </c>
      <c r="AX1317" s="30">
        <f>Inventory[[#This Row],[Bsmt Area]]*Lookups!$B$95</f>
        <v>0</v>
      </c>
      <c r="AY1317" s="30">
        <f>Inventory[[#This Row],[AttGar]]*Lookups!$B$93</f>
        <v>0</v>
      </c>
      <c r="AZ1317" s="30">
        <f>ROUND(Inventory[[#This Row],[25Det]],-2)</f>
        <v>0</v>
      </c>
      <c r="BA1317" s="30">
        <f>ROUND(SUM(Inventory[[#This Row],[Mdl Qlty]:[Mdl Garage Area]])+Inventory[[#This Row],[Mdl Res Intercept]],-2)</f>
        <v>198000</v>
      </c>
      <c r="BB1317" s="30">
        <f>ROUND(Inventory[[#This Row],[Mdl Land Intercept]]+Inventory[[#This Row],[Mdl LnAcres]],-2)</f>
        <v>56800</v>
      </c>
      <c r="BC1317" s="30">
        <f>Inventory[[#This Row],[Unadj Res Value]]+Inventory[[#This Row],[Unadj Det Value]]+Inventory[[#This Row],[Unadj Land Value]]</f>
        <v>254800</v>
      </c>
      <c r="BD1317" s="30">
        <f>(Inventory[[#This Row],[Unadj Total Value]]-Inventory[[#This Row],[24Final]])/Inventory[[#This Row],[24Final]]</f>
        <v>0.26263627353815661</v>
      </c>
      <c r="BE1317" s="30">
        <f>VLOOKUP(Inventory[[#This Row],[Nbhd]],Lookups!$M$3:$P$5,4,FALSE)</f>
        <v>0.99970000000000003</v>
      </c>
      <c r="BF1317" s="30">
        <f>VLOOKUP(Inventory[[#This Row],[Qlty]],Lookups!$M$8:$P$22,4,FALSE)</f>
        <v>1</v>
      </c>
      <c r="BG1317" s="30">
        <f>VLOOKUP(Inventory[[#This Row],[Cnd]],Lookups!$R$8:$U$17,4,FALSE)</f>
        <v>0.99680000000000002</v>
      </c>
      <c r="BH1317" s="30">
        <f>VLOOKUP(Inventory[[#This Row],[LivArea Range]],Lookups!$R$25:$U$43,4,FALSE)</f>
        <v>0.99519999999999997</v>
      </c>
      <c r="BI1317" s="30">
        <f>VLOOKUP(Inventory[[#This Row],[Decade]],Lookups!$M$24:$P$40,4,FALSE)</f>
        <v>0.99960000000000004</v>
      </c>
      <c r="BJ1317" s="30">
        <f>Inventory[[#This Row],[Nbhd Adj]]*0.95</f>
        <v>0.94971499999999998</v>
      </c>
      <c r="BK1317" s="30">
        <f>AVERAGE(Inventory[[#This Row],[Nbhd Adj]],Inventory[[#This Row],[Quality Adj]],Inventory[[#This Row],[Condition Adj]],Inventory[[#This Row],[Living Area Adj]],Inventory[[#This Row],[Decade Adj]])*0.95</f>
        <v>0.94834700000000005</v>
      </c>
      <c r="BL1317" s="30">
        <f>ROUND((SUM(Inventory[[#This Row],[Mdl Qlty]:[Mdl Garage Area]])+Inventory[[#This Row],[Mdl Res Intercept]])*Inventory[[#This Row],[Res Adj ]],-2)</f>
        <v>187800</v>
      </c>
      <c r="BM1317" s="30">
        <f>ROUND(Inventory[[#This Row],[25Det]]*Inventory[[#This Row],[Det/Nbhd Adj]],-2)</f>
        <v>0</v>
      </c>
      <c r="BN1317" s="30">
        <f>Inventory[[#This Row],[Adjusted Res]]+Inventory[[#This Row],[Adj Det ]]</f>
        <v>187800</v>
      </c>
      <c r="BO1317" s="30">
        <f>ROUND((Inventory[[#This Row],[Mdl Land Intercept]]+Inventory[[#This Row],[Mdl LnAcres]])*Inventory[[#This Row],[Det/Nbhd Adj]],-2)</f>
        <v>53900</v>
      </c>
      <c r="BP1317" s="30">
        <f>Inventory[[#This Row],[Adjusted Impr Total]]+Inventory[[#This Row],[Adjusted Land Total]]</f>
        <v>241700</v>
      </c>
      <c r="BQ1317" s="30">
        <f>IFERROR((Inventory[[#This Row],[Adjusted Impr Total]]-Inventory[[#This Row],[24Bldg]])/Inventory[[#This Row],[24Bldg]],0)</f>
        <v>0.26040268456375837</v>
      </c>
      <c r="BR1317" s="43">
        <f>(Inventory[[#This Row],[Adjusted Land Total]]-Inventory[[#This Row],[24Lnd]])/Inventory[[#This Row],[24Lnd]]</f>
        <v>2.0833333333333332E-2</v>
      </c>
      <c r="BS1317" s="43">
        <f>(Inventory[[#This Row],[Adjusted Total]]-Inventory[[#This Row],[24Final]])/Inventory[[#This Row],[24Final]]</f>
        <v>0.19772051536174431</v>
      </c>
    </row>
    <row r="1318" spans="1:71">
      <c r="A1318" s="30">
        <v>2025</v>
      </c>
      <c r="B1318" s="31" t="s">
        <v>1837</v>
      </c>
      <c r="C1318" s="36">
        <f>LN(Inventory[[#This Row],[Acres]])</f>
        <v>-2.120263536200091</v>
      </c>
      <c r="D1318" s="38">
        <v>0.12</v>
      </c>
      <c r="E1318" s="30">
        <v>5095</v>
      </c>
      <c r="F1318" s="31" t="s">
        <v>505</v>
      </c>
      <c r="G1318" s="31" t="s">
        <v>155</v>
      </c>
      <c r="H1318" s="31" t="s">
        <v>5</v>
      </c>
      <c r="I1318" s="31" t="s">
        <v>506</v>
      </c>
      <c r="J1318" s="31" t="s">
        <v>507</v>
      </c>
      <c r="K1318" s="31" t="s">
        <v>475</v>
      </c>
      <c r="L1318" s="31" t="s">
        <v>11</v>
      </c>
      <c r="M1318" s="31" t="s">
        <v>18</v>
      </c>
      <c r="N1318" s="31">
        <v>90</v>
      </c>
      <c r="O1318" s="31">
        <f>2024-Inventory[[#This Row],[YrBlt]]</f>
        <v>99</v>
      </c>
      <c r="P1318" s="31">
        <f>2024-Inventory[[#This Row],[EffYr]]</f>
        <v>56</v>
      </c>
      <c r="Q1318" s="30">
        <v>1925</v>
      </c>
      <c r="R1318" s="30">
        <v>1968</v>
      </c>
      <c r="S1318" s="30">
        <v>712</v>
      </c>
      <c r="T1318" s="32"/>
      <c r="U1318" s="32"/>
      <c r="V1318" s="32"/>
      <c r="W1318" s="32"/>
      <c r="X1318" s="32">
        <f>Inventory[[#This Row],[Bsmt Area]]-Inventory[[#This Row],[FnBsmt]]</f>
        <v>0</v>
      </c>
      <c r="Y1318" s="32">
        <f>Inventory[[#This Row],[MainFn]]+Inventory[[#This Row],[UpprFn]]+Inventory[[#This Row],[AddFn]]+Inventory[[#This Row],[FnBsmt]]</f>
        <v>712</v>
      </c>
      <c r="Z1318" s="32">
        <v>1000</v>
      </c>
      <c r="AA1318" s="31" t="s">
        <v>56</v>
      </c>
      <c r="AB1318" s="37"/>
      <c r="AC1318" s="37"/>
      <c r="AD1318" s="32"/>
      <c r="AE1318" s="32"/>
      <c r="AF1318" s="32"/>
      <c r="AG1318" s="32"/>
      <c r="AH1318" s="32"/>
      <c r="AI1318" s="30">
        <v>102168</v>
      </c>
      <c r="AJ1318" s="30">
        <v>65388</v>
      </c>
      <c r="AK1318" s="30">
        <v>8104</v>
      </c>
      <c r="AL1318" s="30">
        <v>0</v>
      </c>
      <c r="AM1318" s="30">
        <v>56800</v>
      </c>
      <c r="AN1318" s="30">
        <v>141400</v>
      </c>
      <c r="AO1318" s="30">
        <v>198200</v>
      </c>
      <c r="AP1318" s="30">
        <f>Lookups!$B$58*0.6</f>
        <v>132535.48800000001</v>
      </c>
      <c r="AQ1318" s="30">
        <f>Lookups!$B$58*0.4</f>
        <v>88356.992000000013</v>
      </c>
      <c r="AR1318" s="30">
        <f>Lookups!$B$59*Inventory[[#This Row],[LnAcres]]</f>
        <v>-27827.019253685114</v>
      </c>
      <c r="AS1318" s="30">
        <f>VLOOKUP(Inventory[[#This Row],[Qlty]],Lookups!$A$66:$E$79,2,FALSE)</f>
        <v>-9114.1675108666695</v>
      </c>
      <c r="AT1318" s="30">
        <f>VLOOKUP(Inventory[[#This Row],[Cnd]],Lookups!$A$80:$E$88,2,FALSE)</f>
        <v>17761.121909000001</v>
      </c>
      <c r="AU1318" s="30">
        <f>Inventory[[#This Row],[EffAge]]*Lookups!$B$65</f>
        <v>-6089.5016000000005</v>
      </c>
      <c r="AV1318" s="30">
        <f>Inventory[[#This Row],[MainFn]]*Lookups!$B$90</f>
        <v>44436.190560000003</v>
      </c>
      <c r="AW1318" s="30">
        <f>Inventory[[#This Row],[UpprFn]]*Lookups!$B$91</f>
        <v>0</v>
      </c>
      <c r="AX1318" s="30">
        <f>Inventory[[#This Row],[Bsmt Area]]*Lookups!$B$95</f>
        <v>0</v>
      </c>
      <c r="AY1318" s="30">
        <f>Inventory[[#This Row],[AttGar]]*Lookups!$B$93</f>
        <v>0</v>
      </c>
      <c r="AZ1318" s="30">
        <f>ROUND(Inventory[[#This Row],[25Det]],-2)</f>
        <v>8100</v>
      </c>
      <c r="BA1318" s="30">
        <f>ROUND(SUM(Inventory[[#This Row],[Mdl Qlty]:[Mdl Garage Area]])+Inventory[[#This Row],[Mdl Res Intercept]],-2)</f>
        <v>179500</v>
      </c>
      <c r="BB1318" s="30">
        <f>ROUND(Inventory[[#This Row],[Mdl Land Intercept]]+Inventory[[#This Row],[Mdl LnAcres]],-2)</f>
        <v>60500</v>
      </c>
      <c r="BC1318" s="30">
        <f>Inventory[[#This Row],[Unadj Res Value]]+Inventory[[#This Row],[Unadj Det Value]]+Inventory[[#This Row],[Unadj Land Value]]</f>
        <v>248100</v>
      </c>
      <c r="BD1318" s="30">
        <f>(Inventory[[#This Row],[Unadj Total Value]]-Inventory[[#This Row],[24Final]])/Inventory[[#This Row],[24Final]]</f>
        <v>0.25176589303733604</v>
      </c>
      <c r="BE1318" s="30">
        <f>VLOOKUP(Inventory[[#This Row],[Nbhd]],Lookups!$M$3:$P$5,4,FALSE)</f>
        <v>0.99970000000000003</v>
      </c>
      <c r="BF1318" s="30">
        <f>VLOOKUP(Inventory[[#This Row],[Qlty]],Lookups!$M$8:$P$22,4,FALSE)</f>
        <v>1</v>
      </c>
      <c r="BG1318" s="30">
        <f>VLOOKUP(Inventory[[#This Row],[Cnd]],Lookups!$R$8:$U$17,4,FALSE)</f>
        <v>0.99680000000000002</v>
      </c>
      <c r="BH1318" s="30">
        <f>VLOOKUP(Inventory[[#This Row],[LivArea Range]],Lookups!$R$25:$U$43,4,FALSE)</f>
        <v>1</v>
      </c>
      <c r="BI1318" s="30">
        <f>VLOOKUP(Inventory[[#This Row],[Decade]],Lookups!$M$24:$P$40,4,FALSE)</f>
        <v>0.99960000000000004</v>
      </c>
      <c r="BJ1318" s="30">
        <f>Inventory[[#This Row],[Nbhd Adj]]*0.95</f>
        <v>0.94971499999999998</v>
      </c>
      <c r="BK1318" s="30">
        <f>AVERAGE(Inventory[[#This Row],[Nbhd Adj]],Inventory[[#This Row],[Quality Adj]],Inventory[[#This Row],[Condition Adj]],Inventory[[#This Row],[Living Area Adj]],Inventory[[#This Row],[Decade Adj]])*0.95</f>
        <v>0.94925899999999996</v>
      </c>
      <c r="BL1318" s="30">
        <f>ROUND((SUM(Inventory[[#This Row],[Mdl Qlty]:[Mdl Garage Area]])+Inventory[[#This Row],[Mdl Res Intercept]])*Inventory[[#This Row],[Res Adj ]],-2)</f>
        <v>170400</v>
      </c>
      <c r="BM1318" s="30">
        <f>ROUND(Inventory[[#This Row],[25Det]]*Inventory[[#This Row],[Det/Nbhd Adj]],-2)</f>
        <v>7700</v>
      </c>
      <c r="BN1318" s="30">
        <f>Inventory[[#This Row],[Adjusted Res]]+Inventory[[#This Row],[Adj Det ]]</f>
        <v>178100</v>
      </c>
      <c r="BO1318" s="30">
        <f>ROUND((Inventory[[#This Row],[Mdl Land Intercept]]+Inventory[[#This Row],[Mdl LnAcres]])*Inventory[[#This Row],[Det/Nbhd Adj]],-2)</f>
        <v>57500</v>
      </c>
      <c r="BP1318" s="30">
        <f>Inventory[[#This Row],[Adjusted Impr Total]]+Inventory[[#This Row],[Adjusted Land Total]]</f>
        <v>235600</v>
      </c>
      <c r="BQ1318" s="30">
        <f>IFERROR((Inventory[[#This Row],[Adjusted Impr Total]]-Inventory[[#This Row],[24Bldg]])/Inventory[[#This Row],[24Bldg]],0)</f>
        <v>0.25954738330975957</v>
      </c>
      <c r="BR1318" s="43">
        <f>(Inventory[[#This Row],[Adjusted Land Total]]-Inventory[[#This Row],[24Lnd]])/Inventory[[#This Row],[24Lnd]]</f>
        <v>1.232394366197183E-2</v>
      </c>
      <c r="BS1318" s="43">
        <f>(Inventory[[#This Row],[Adjusted Total]]-Inventory[[#This Row],[24Final]])/Inventory[[#This Row],[24Final]]</f>
        <v>0.18869828456104945</v>
      </c>
    </row>
    <row r="1319" spans="1:71">
      <c r="A1319" s="30">
        <v>2025</v>
      </c>
      <c r="B1319" s="31" t="s">
        <v>1838</v>
      </c>
      <c r="C1319" s="36">
        <f>LN(Inventory[[#This Row],[Acres]])</f>
        <v>-2.0402208285265546</v>
      </c>
      <c r="D1319" s="38">
        <v>0.13</v>
      </c>
      <c r="E1319" s="30">
        <v>5637</v>
      </c>
      <c r="F1319" s="31" t="s">
        <v>505</v>
      </c>
      <c r="G1319" s="31" t="s">
        <v>155</v>
      </c>
      <c r="H1319" s="31" t="s">
        <v>5</v>
      </c>
      <c r="I1319" s="31" t="s">
        <v>506</v>
      </c>
      <c r="J1319" s="31" t="s">
        <v>507</v>
      </c>
      <c r="K1319" s="31" t="s">
        <v>475</v>
      </c>
      <c r="L1319" s="31" t="s">
        <v>13</v>
      </c>
      <c r="M1319" s="31" t="s">
        <v>18</v>
      </c>
      <c r="N1319" s="31">
        <v>90</v>
      </c>
      <c r="O1319" s="31">
        <f>2024-Inventory[[#This Row],[YrBlt]]</f>
        <v>99</v>
      </c>
      <c r="P1319" s="31">
        <f>2024-Inventory[[#This Row],[EffYr]]</f>
        <v>56</v>
      </c>
      <c r="Q1319" s="30">
        <v>1925</v>
      </c>
      <c r="R1319" s="30">
        <v>1968</v>
      </c>
      <c r="S1319" s="30">
        <v>875</v>
      </c>
      <c r="T1319" s="32"/>
      <c r="U1319" s="38">
        <v>100</v>
      </c>
      <c r="V1319" s="32"/>
      <c r="W1319" s="32"/>
      <c r="X1319" s="32">
        <f>Inventory[[#This Row],[Bsmt Area]]-Inventory[[#This Row],[FnBsmt]]</f>
        <v>100</v>
      </c>
      <c r="Y1319" s="32">
        <f>Inventory[[#This Row],[MainFn]]+Inventory[[#This Row],[UpprFn]]+Inventory[[#This Row],[AddFn]]+Inventory[[#This Row],[FnBsmt]]</f>
        <v>875</v>
      </c>
      <c r="Z1319" s="32">
        <v>1000</v>
      </c>
      <c r="AA1319" s="31" t="s">
        <v>56</v>
      </c>
      <c r="AB1319" s="32"/>
      <c r="AC1319" s="37"/>
      <c r="AD1319" s="32"/>
      <c r="AE1319" s="32"/>
      <c r="AF1319" s="32"/>
      <c r="AG1319" s="32"/>
      <c r="AH1319" s="32"/>
      <c r="AI1319" s="30">
        <v>135235</v>
      </c>
      <c r="AJ1319" s="30">
        <v>86550</v>
      </c>
      <c r="AK1319" s="30">
        <v>12649</v>
      </c>
      <c r="AL1319" s="30">
        <v>0</v>
      </c>
      <c r="AM1319" s="30">
        <v>57900</v>
      </c>
      <c r="AN1319" s="30">
        <v>176400</v>
      </c>
      <c r="AO1319" s="30">
        <v>234300</v>
      </c>
      <c r="AP1319" s="30">
        <f>Lookups!$B$58*0.6</f>
        <v>132535.48800000001</v>
      </c>
      <c r="AQ1319" s="30">
        <f>Lookups!$B$58*0.4</f>
        <v>88356.992000000013</v>
      </c>
      <c r="AR1319" s="30">
        <f>Lookups!$B$59*Inventory[[#This Row],[LnAcres]]</f>
        <v>-26776.513064468461</v>
      </c>
      <c r="AS1319" s="30">
        <f>VLOOKUP(Inventory[[#This Row],[Qlty]],Lookups!$A$66:$E$79,2,FALSE)</f>
        <v>0</v>
      </c>
      <c r="AT1319" s="30">
        <f>VLOOKUP(Inventory[[#This Row],[Cnd]],Lookups!$A$80:$E$88,2,FALSE)</f>
        <v>17761.121909000001</v>
      </c>
      <c r="AU1319" s="30">
        <f>Inventory[[#This Row],[EffAge]]*Lookups!$B$65</f>
        <v>-6089.5016000000005</v>
      </c>
      <c r="AV1319" s="30">
        <f>Inventory[[#This Row],[MainFn]]*Lookups!$B$90</f>
        <v>54609.082500000004</v>
      </c>
      <c r="AW1319" s="30">
        <f>Inventory[[#This Row],[UpprFn]]*Lookups!$B$91</f>
        <v>0</v>
      </c>
      <c r="AX1319" s="30">
        <f>Inventory[[#This Row],[Bsmt Area]]*Lookups!$B$95</f>
        <v>6258.6495999999997</v>
      </c>
      <c r="AY1319" s="30">
        <f>Inventory[[#This Row],[AttGar]]*Lookups!$B$93</f>
        <v>0</v>
      </c>
      <c r="AZ1319" s="30">
        <f>ROUND(Inventory[[#This Row],[25Det]],-2)</f>
        <v>12600</v>
      </c>
      <c r="BA1319" s="30">
        <f>ROUND(SUM(Inventory[[#This Row],[Mdl Qlty]:[Mdl Garage Area]])+Inventory[[#This Row],[Mdl Res Intercept]],-2)</f>
        <v>205100</v>
      </c>
      <c r="BB1319" s="30">
        <f>ROUND(Inventory[[#This Row],[Mdl Land Intercept]]+Inventory[[#This Row],[Mdl LnAcres]],-2)</f>
        <v>61600</v>
      </c>
      <c r="BC1319" s="30">
        <f>Inventory[[#This Row],[Unadj Res Value]]+Inventory[[#This Row],[Unadj Det Value]]+Inventory[[#This Row],[Unadj Land Value]]</f>
        <v>279300</v>
      </c>
      <c r="BD1319" s="30">
        <f>(Inventory[[#This Row],[Unadj Total Value]]-Inventory[[#This Row],[24Final]])/Inventory[[#This Row],[24Final]]</f>
        <v>0.19206145966709348</v>
      </c>
      <c r="BE1319" s="30">
        <f>VLOOKUP(Inventory[[#This Row],[Nbhd]],Lookups!$M$3:$P$5,4,FALSE)</f>
        <v>0.99970000000000003</v>
      </c>
      <c r="BF1319" s="30">
        <f>VLOOKUP(Inventory[[#This Row],[Qlty]],Lookups!$M$8:$P$22,4,FALSE)</f>
        <v>1.0003</v>
      </c>
      <c r="BG1319" s="30">
        <f>VLOOKUP(Inventory[[#This Row],[Cnd]],Lookups!$R$8:$U$17,4,FALSE)</f>
        <v>0.99680000000000002</v>
      </c>
      <c r="BH1319" s="30">
        <f>VLOOKUP(Inventory[[#This Row],[LivArea Range]],Lookups!$R$25:$U$43,4,FALSE)</f>
        <v>1</v>
      </c>
      <c r="BI1319" s="30">
        <f>VLOOKUP(Inventory[[#This Row],[Decade]],Lookups!$M$24:$P$40,4,FALSE)</f>
        <v>0.99960000000000004</v>
      </c>
      <c r="BJ1319" s="30">
        <f>Inventory[[#This Row],[Nbhd Adj]]*0.95</f>
        <v>0.94971499999999998</v>
      </c>
      <c r="BK1319" s="30">
        <f>AVERAGE(Inventory[[#This Row],[Nbhd Adj]],Inventory[[#This Row],[Quality Adj]],Inventory[[#This Row],[Condition Adj]],Inventory[[#This Row],[Living Area Adj]],Inventory[[#This Row],[Decade Adj]])*0.95</f>
        <v>0.94931599999999994</v>
      </c>
      <c r="BL1319" s="30">
        <f>ROUND((SUM(Inventory[[#This Row],[Mdl Qlty]:[Mdl Garage Area]])+Inventory[[#This Row],[Mdl Res Intercept]])*Inventory[[#This Row],[Res Adj ]],-2)</f>
        <v>194700</v>
      </c>
      <c r="BM1319" s="30">
        <f>ROUND(Inventory[[#This Row],[25Det]]*Inventory[[#This Row],[Det/Nbhd Adj]],-2)</f>
        <v>12000</v>
      </c>
      <c r="BN1319" s="30">
        <f>Inventory[[#This Row],[Adjusted Res]]+Inventory[[#This Row],[Adj Det ]]</f>
        <v>206700</v>
      </c>
      <c r="BO1319" s="30">
        <f>ROUND((Inventory[[#This Row],[Mdl Land Intercept]]+Inventory[[#This Row],[Mdl LnAcres]])*Inventory[[#This Row],[Det/Nbhd Adj]],-2)</f>
        <v>58500</v>
      </c>
      <c r="BP1319" s="30">
        <f>Inventory[[#This Row],[Adjusted Impr Total]]+Inventory[[#This Row],[Adjusted Land Total]]</f>
        <v>265200</v>
      </c>
      <c r="BQ1319" s="30">
        <f>IFERROR((Inventory[[#This Row],[Adjusted Impr Total]]-Inventory[[#This Row],[24Bldg]])/Inventory[[#This Row],[24Bldg]],0)</f>
        <v>0.17176870748299319</v>
      </c>
      <c r="BR1319" s="43">
        <f>(Inventory[[#This Row],[Adjusted Land Total]]-Inventory[[#This Row],[24Lnd]])/Inventory[[#This Row],[24Lnd]]</f>
        <v>1.0362694300518135E-2</v>
      </c>
      <c r="BS1319" s="43">
        <f>(Inventory[[#This Row],[Adjusted Total]]-Inventory[[#This Row],[24Final]])/Inventory[[#This Row],[24Final]]</f>
        <v>0.13188220230473752</v>
      </c>
    </row>
    <row r="1320" spans="1:71">
      <c r="A1320" s="30">
        <v>2025</v>
      </c>
      <c r="B1320" s="31" t="s">
        <v>1839</v>
      </c>
      <c r="C1320" s="36">
        <f>LN(Inventory[[#This Row],[Acres]])</f>
        <v>-2.0402208285265546</v>
      </c>
      <c r="D1320" s="38">
        <v>0.13</v>
      </c>
      <c r="E1320" s="30">
        <v>5755</v>
      </c>
      <c r="F1320" s="31" t="s">
        <v>505</v>
      </c>
      <c r="G1320" s="31" t="s">
        <v>155</v>
      </c>
      <c r="H1320" s="31" t="s">
        <v>5</v>
      </c>
      <c r="I1320" s="31" t="s">
        <v>506</v>
      </c>
      <c r="J1320" s="31" t="s">
        <v>507</v>
      </c>
      <c r="K1320" s="31" t="s">
        <v>473</v>
      </c>
      <c r="L1320" s="31" t="s">
        <v>13</v>
      </c>
      <c r="M1320" s="31" t="s">
        <v>16</v>
      </c>
      <c r="N1320" s="31">
        <v>90</v>
      </c>
      <c r="O1320" s="31">
        <f>2024-Inventory[[#This Row],[YrBlt]]</f>
        <v>99</v>
      </c>
      <c r="P1320" s="31">
        <f>2024-Inventory[[#This Row],[EffYr]]</f>
        <v>56</v>
      </c>
      <c r="Q1320" s="30">
        <v>1925</v>
      </c>
      <c r="R1320" s="30">
        <v>1968</v>
      </c>
      <c r="S1320" s="30">
        <v>1050</v>
      </c>
      <c r="T1320" s="37"/>
      <c r="U1320" s="32"/>
      <c r="V1320" s="32"/>
      <c r="W1320" s="32"/>
      <c r="X1320" s="32">
        <f>Inventory[[#This Row],[Bsmt Area]]-Inventory[[#This Row],[FnBsmt]]</f>
        <v>0</v>
      </c>
      <c r="Y1320" s="32">
        <f>Inventory[[#This Row],[MainFn]]+Inventory[[#This Row],[UpprFn]]+Inventory[[#This Row],[AddFn]]+Inventory[[#This Row],[FnBsmt]]</f>
        <v>1050</v>
      </c>
      <c r="Z1320" s="32">
        <v>1500</v>
      </c>
      <c r="AA1320" s="31" t="s">
        <v>56</v>
      </c>
      <c r="AB1320" s="37"/>
      <c r="AC1320" s="37"/>
      <c r="AD1320" s="37"/>
      <c r="AE1320" s="32"/>
      <c r="AF1320" s="32"/>
      <c r="AG1320" s="32"/>
      <c r="AH1320" s="32"/>
      <c r="AI1320" s="30">
        <v>162460</v>
      </c>
      <c r="AJ1320" s="30">
        <v>100725</v>
      </c>
      <c r="AK1320" s="30">
        <v>5780</v>
      </c>
      <c r="AL1320" s="30">
        <v>0</v>
      </c>
      <c r="AM1320" s="30">
        <v>57900</v>
      </c>
      <c r="AN1320" s="30">
        <v>171100</v>
      </c>
      <c r="AO1320" s="30">
        <v>229000</v>
      </c>
      <c r="AP1320" s="30">
        <f>Lookups!$B$58*0.6</f>
        <v>132535.48800000001</v>
      </c>
      <c r="AQ1320" s="30">
        <f>Lookups!$B$58*0.4</f>
        <v>88356.992000000013</v>
      </c>
      <c r="AR1320" s="30">
        <f>Lookups!$B$59*Inventory[[#This Row],[LnAcres]]</f>
        <v>-26776.513064468461</v>
      </c>
      <c r="AS1320" s="30">
        <f>VLOOKUP(Inventory[[#This Row],[Qlty]],Lookups!$A$66:$E$79,2,FALSE)</f>
        <v>0</v>
      </c>
      <c r="AT1320" s="30">
        <f>VLOOKUP(Inventory[[#This Row],[Cnd]],Lookups!$A$80:$E$88,2,FALSE)</f>
        <v>0</v>
      </c>
      <c r="AU1320" s="30">
        <f>Inventory[[#This Row],[EffAge]]*Lookups!$B$65</f>
        <v>-6089.5016000000005</v>
      </c>
      <c r="AV1320" s="30">
        <f>Inventory[[#This Row],[MainFn]]*Lookups!$B$90</f>
        <v>65530.899000000005</v>
      </c>
      <c r="AW1320" s="30">
        <f>Inventory[[#This Row],[UpprFn]]*Lookups!$B$91</f>
        <v>0</v>
      </c>
      <c r="AX1320" s="30">
        <f>Inventory[[#This Row],[Bsmt Area]]*Lookups!$B$95</f>
        <v>0</v>
      </c>
      <c r="AY1320" s="30">
        <f>Inventory[[#This Row],[AttGar]]*Lookups!$B$93</f>
        <v>0</v>
      </c>
      <c r="AZ1320" s="30">
        <f>ROUND(Inventory[[#This Row],[25Det]],-2)</f>
        <v>5800</v>
      </c>
      <c r="BA1320" s="30">
        <f>ROUND(SUM(Inventory[[#This Row],[Mdl Qlty]:[Mdl Garage Area]])+Inventory[[#This Row],[Mdl Res Intercept]],-2)</f>
        <v>192000</v>
      </c>
      <c r="BB1320" s="30">
        <f>ROUND(Inventory[[#This Row],[Mdl Land Intercept]]+Inventory[[#This Row],[Mdl LnAcres]],-2)</f>
        <v>61600</v>
      </c>
      <c r="BC1320" s="30">
        <f>Inventory[[#This Row],[Unadj Res Value]]+Inventory[[#This Row],[Unadj Det Value]]+Inventory[[#This Row],[Unadj Land Value]]</f>
        <v>259400</v>
      </c>
      <c r="BD1320" s="30">
        <f>(Inventory[[#This Row],[Unadj Total Value]]-Inventory[[#This Row],[24Final]])/Inventory[[#This Row],[24Final]]</f>
        <v>0.13275109170305677</v>
      </c>
      <c r="BE1320" s="30">
        <f>VLOOKUP(Inventory[[#This Row],[Nbhd]],Lookups!$M$3:$P$5,4,FALSE)</f>
        <v>0.99970000000000003</v>
      </c>
      <c r="BF1320" s="30">
        <f>VLOOKUP(Inventory[[#This Row],[Qlty]],Lookups!$M$8:$P$22,4,FALSE)</f>
        <v>1.0003</v>
      </c>
      <c r="BG1320" s="30">
        <f>VLOOKUP(Inventory[[#This Row],[Cnd]],Lookups!$R$8:$U$17,4,FALSE)</f>
        <v>1</v>
      </c>
      <c r="BH1320" s="30">
        <f>VLOOKUP(Inventory[[#This Row],[LivArea Range]],Lookups!$R$25:$U$43,4,FALSE)</f>
        <v>0.99519999999999997</v>
      </c>
      <c r="BI1320" s="30">
        <f>VLOOKUP(Inventory[[#This Row],[Decade]],Lookups!$M$24:$P$40,4,FALSE)</f>
        <v>0.99960000000000004</v>
      </c>
      <c r="BJ1320" s="30">
        <f>Inventory[[#This Row],[Nbhd Adj]]*0.95</f>
        <v>0.94971499999999998</v>
      </c>
      <c r="BK1320" s="30">
        <f>AVERAGE(Inventory[[#This Row],[Nbhd Adj]],Inventory[[#This Row],[Quality Adj]],Inventory[[#This Row],[Condition Adj]],Inventory[[#This Row],[Living Area Adj]],Inventory[[#This Row],[Decade Adj]])*0.95</f>
        <v>0.94901199999999997</v>
      </c>
      <c r="BL1320" s="30">
        <f>ROUND((SUM(Inventory[[#This Row],[Mdl Qlty]:[Mdl Garage Area]])+Inventory[[#This Row],[Mdl Res Intercept]])*Inventory[[#This Row],[Res Adj ]],-2)</f>
        <v>182200</v>
      </c>
      <c r="BM1320" s="30">
        <f>ROUND(Inventory[[#This Row],[25Det]]*Inventory[[#This Row],[Det/Nbhd Adj]],-2)</f>
        <v>5500</v>
      </c>
      <c r="BN1320" s="30">
        <f>Inventory[[#This Row],[Adjusted Res]]+Inventory[[#This Row],[Adj Det ]]</f>
        <v>187700</v>
      </c>
      <c r="BO1320" s="30">
        <f>ROUND((Inventory[[#This Row],[Mdl Land Intercept]]+Inventory[[#This Row],[Mdl LnAcres]])*Inventory[[#This Row],[Det/Nbhd Adj]],-2)</f>
        <v>58500</v>
      </c>
      <c r="BP1320" s="30">
        <f>Inventory[[#This Row],[Adjusted Impr Total]]+Inventory[[#This Row],[Adjusted Land Total]]</f>
        <v>246200</v>
      </c>
      <c r="BQ1320" s="30">
        <f>IFERROR((Inventory[[#This Row],[Adjusted Impr Total]]-Inventory[[#This Row],[24Bldg]])/Inventory[[#This Row],[24Bldg]],0)</f>
        <v>9.7019286966686144E-2</v>
      </c>
      <c r="BR1320" s="43">
        <f>(Inventory[[#This Row],[Adjusted Land Total]]-Inventory[[#This Row],[24Lnd]])/Inventory[[#This Row],[24Lnd]]</f>
        <v>1.0362694300518135E-2</v>
      </c>
      <c r="BS1320" s="43">
        <f>(Inventory[[#This Row],[Adjusted Total]]-Inventory[[#This Row],[24Final]])/Inventory[[#This Row],[24Final]]</f>
        <v>7.5109170305676862E-2</v>
      </c>
    </row>
    <row r="1321" spans="1:71">
      <c r="A1321" s="30">
        <v>2025</v>
      </c>
      <c r="B1321" s="31" t="s">
        <v>1840</v>
      </c>
      <c r="C1321" s="36">
        <f>LN(Inventory[[#This Row],[Acres]])</f>
        <v>-2.0402208285265546</v>
      </c>
      <c r="D1321" s="38">
        <v>0.13</v>
      </c>
      <c r="E1321" s="30">
        <v>5720</v>
      </c>
      <c r="F1321" s="31" t="s">
        <v>505</v>
      </c>
      <c r="G1321" s="31" t="s">
        <v>155</v>
      </c>
      <c r="H1321" s="31" t="s">
        <v>5</v>
      </c>
      <c r="I1321" s="31" t="s">
        <v>506</v>
      </c>
      <c r="J1321" s="31" t="s">
        <v>507</v>
      </c>
      <c r="K1321" s="31" t="s">
        <v>473</v>
      </c>
      <c r="L1321" s="31" t="s">
        <v>15</v>
      </c>
      <c r="M1321" s="31" t="s">
        <v>18</v>
      </c>
      <c r="N1321" s="31">
        <v>90</v>
      </c>
      <c r="O1321" s="31">
        <f>2024-Inventory[[#This Row],[YrBlt]]</f>
        <v>99</v>
      </c>
      <c r="P1321" s="31">
        <f>2024-Inventory[[#This Row],[EffYr]]</f>
        <v>56</v>
      </c>
      <c r="Q1321" s="30">
        <v>1925</v>
      </c>
      <c r="R1321" s="30">
        <v>1968</v>
      </c>
      <c r="S1321" s="30">
        <v>980</v>
      </c>
      <c r="T1321" s="32"/>
      <c r="U1321" s="32"/>
      <c r="V1321" s="32"/>
      <c r="W1321" s="32"/>
      <c r="X1321" s="32">
        <f>Inventory[[#This Row],[Bsmt Area]]-Inventory[[#This Row],[FnBsmt]]</f>
        <v>0</v>
      </c>
      <c r="Y1321" s="32">
        <f>Inventory[[#This Row],[MainFn]]+Inventory[[#This Row],[UpprFn]]+Inventory[[#This Row],[AddFn]]+Inventory[[#This Row],[FnBsmt]]</f>
        <v>980</v>
      </c>
      <c r="Z1321" s="32">
        <v>1000</v>
      </c>
      <c r="AA1321" s="31" t="s">
        <v>56</v>
      </c>
      <c r="AB1321" s="32"/>
      <c r="AC1321" s="37"/>
      <c r="AD1321" s="32"/>
      <c r="AE1321" s="32"/>
      <c r="AF1321" s="32"/>
      <c r="AG1321" s="32"/>
      <c r="AH1321" s="32"/>
      <c r="AI1321" s="30">
        <v>147515</v>
      </c>
      <c r="AJ1321" s="30">
        <v>94410</v>
      </c>
      <c r="AK1321" s="30">
        <v>0</v>
      </c>
      <c r="AL1321" s="30">
        <v>0</v>
      </c>
      <c r="AM1321" s="30">
        <v>57900</v>
      </c>
      <c r="AN1321" s="30">
        <v>171500</v>
      </c>
      <c r="AO1321" s="30">
        <v>229400</v>
      </c>
      <c r="AP1321" s="30">
        <f>Lookups!$B$58*0.6</f>
        <v>132535.48800000001</v>
      </c>
      <c r="AQ1321" s="30">
        <f>Lookups!$B$58*0.4</f>
        <v>88356.992000000013</v>
      </c>
      <c r="AR1321" s="30">
        <f>Lookups!$B$59*Inventory[[#This Row],[LnAcres]]</f>
        <v>-26776.513064468461</v>
      </c>
      <c r="AS1321" s="30">
        <f>VLOOKUP(Inventory[[#This Row],[Qlty]],Lookups!$A$66:$E$79,2,FALSE)</f>
        <v>-1240.8083630000001</v>
      </c>
      <c r="AT1321" s="30">
        <f>VLOOKUP(Inventory[[#This Row],[Cnd]],Lookups!$A$80:$E$88,2,FALSE)</f>
        <v>17761.121909000001</v>
      </c>
      <c r="AU1321" s="30">
        <f>Inventory[[#This Row],[EffAge]]*Lookups!$B$65</f>
        <v>-6089.5016000000005</v>
      </c>
      <c r="AV1321" s="30">
        <f>Inventory[[#This Row],[MainFn]]*Lookups!$B$90</f>
        <v>61162.172400000003</v>
      </c>
      <c r="AW1321" s="30">
        <f>Inventory[[#This Row],[UpprFn]]*Lookups!$B$91</f>
        <v>0</v>
      </c>
      <c r="AX1321" s="30">
        <f>Inventory[[#This Row],[Bsmt Area]]*Lookups!$B$95</f>
        <v>0</v>
      </c>
      <c r="AY1321" s="30">
        <f>Inventory[[#This Row],[AttGar]]*Lookups!$B$93</f>
        <v>0</v>
      </c>
      <c r="AZ1321" s="30">
        <f>ROUND(Inventory[[#This Row],[25Det]],-2)</f>
        <v>0</v>
      </c>
      <c r="BA1321" s="30">
        <f>ROUND(SUM(Inventory[[#This Row],[Mdl Qlty]:[Mdl Garage Area]])+Inventory[[#This Row],[Mdl Res Intercept]],-2)</f>
        <v>204100</v>
      </c>
      <c r="BB1321" s="30">
        <f>ROUND(Inventory[[#This Row],[Mdl Land Intercept]]+Inventory[[#This Row],[Mdl LnAcres]],-2)</f>
        <v>61600</v>
      </c>
      <c r="BC1321" s="30">
        <f>Inventory[[#This Row],[Unadj Res Value]]+Inventory[[#This Row],[Unadj Det Value]]+Inventory[[#This Row],[Unadj Land Value]]</f>
        <v>265700</v>
      </c>
      <c r="BD1321" s="30">
        <f>(Inventory[[#This Row],[Unadj Total Value]]-Inventory[[#This Row],[24Final]])/Inventory[[#This Row],[24Final]]</f>
        <v>0.15823888404533565</v>
      </c>
      <c r="BE1321" s="30">
        <f>VLOOKUP(Inventory[[#This Row],[Nbhd]],Lookups!$M$3:$P$5,4,FALSE)</f>
        <v>0.99970000000000003</v>
      </c>
      <c r="BF1321" s="30">
        <f>VLOOKUP(Inventory[[#This Row],[Qlty]],Lookups!$M$8:$P$22,4,FALSE)</f>
        <v>1.0022</v>
      </c>
      <c r="BG1321" s="30">
        <f>VLOOKUP(Inventory[[#This Row],[Cnd]],Lookups!$R$8:$U$17,4,FALSE)</f>
        <v>0.99680000000000002</v>
      </c>
      <c r="BH1321" s="30">
        <f>VLOOKUP(Inventory[[#This Row],[LivArea Range]],Lookups!$R$25:$U$43,4,FALSE)</f>
        <v>1</v>
      </c>
      <c r="BI1321" s="30">
        <f>VLOOKUP(Inventory[[#This Row],[Decade]],Lookups!$M$24:$P$40,4,FALSE)</f>
        <v>0.99960000000000004</v>
      </c>
      <c r="BJ1321" s="30">
        <f>Inventory[[#This Row],[Nbhd Adj]]*0.95</f>
        <v>0.94971499999999998</v>
      </c>
      <c r="BK1321" s="30">
        <f>AVERAGE(Inventory[[#This Row],[Nbhd Adj]],Inventory[[#This Row],[Quality Adj]],Inventory[[#This Row],[Condition Adj]],Inventory[[#This Row],[Living Area Adj]],Inventory[[#This Row],[Decade Adj]])*0.95</f>
        <v>0.9496770000000001</v>
      </c>
      <c r="BL1321" s="30">
        <f>ROUND((SUM(Inventory[[#This Row],[Mdl Qlty]:[Mdl Garage Area]])+Inventory[[#This Row],[Mdl Res Intercept]])*Inventory[[#This Row],[Res Adj ]],-2)</f>
        <v>193900</v>
      </c>
      <c r="BM1321" s="30">
        <f>ROUND(Inventory[[#This Row],[25Det]]*Inventory[[#This Row],[Det/Nbhd Adj]],-2)</f>
        <v>0</v>
      </c>
      <c r="BN1321" s="30">
        <f>Inventory[[#This Row],[Adjusted Res]]+Inventory[[#This Row],[Adj Det ]]</f>
        <v>193900</v>
      </c>
      <c r="BO1321" s="30">
        <f>ROUND((Inventory[[#This Row],[Mdl Land Intercept]]+Inventory[[#This Row],[Mdl LnAcres]])*Inventory[[#This Row],[Det/Nbhd Adj]],-2)</f>
        <v>58500</v>
      </c>
      <c r="BP1321" s="30">
        <f>Inventory[[#This Row],[Adjusted Impr Total]]+Inventory[[#This Row],[Adjusted Land Total]]</f>
        <v>252400</v>
      </c>
      <c r="BQ1321" s="30">
        <f>IFERROR((Inventory[[#This Row],[Adjusted Impr Total]]-Inventory[[#This Row],[24Bldg]])/Inventory[[#This Row],[24Bldg]],0)</f>
        <v>0.1306122448979592</v>
      </c>
      <c r="BR1321" s="43">
        <f>(Inventory[[#This Row],[Adjusted Land Total]]-Inventory[[#This Row],[24Lnd]])/Inventory[[#This Row],[24Lnd]]</f>
        <v>1.0362694300518135E-2</v>
      </c>
      <c r="BS1321" s="43">
        <f>(Inventory[[#This Row],[Adjusted Total]]-Inventory[[#This Row],[24Final]])/Inventory[[#This Row],[24Final]]</f>
        <v>0.1002615518744551</v>
      </c>
    </row>
    <row r="1322" spans="1:71">
      <c r="A1322" s="30">
        <v>2025</v>
      </c>
      <c r="B1322" s="31" t="s">
        <v>1841</v>
      </c>
      <c r="C1322" s="36">
        <f>LN(Inventory[[#This Row],[Acres]])</f>
        <v>-1.9661128563728327</v>
      </c>
      <c r="D1322" s="38">
        <v>0.14000000000000001</v>
      </c>
      <c r="E1322" s="30">
        <v>5995</v>
      </c>
      <c r="F1322" s="31" t="s">
        <v>505</v>
      </c>
      <c r="G1322" s="31" t="s">
        <v>155</v>
      </c>
      <c r="H1322" s="31" t="s">
        <v>5</v>
      </c>
      <c r="I1322" s="31" t="s">
        <v>506</v>
      </c>
      <c r="J1322" s="31" t="s">
        <v>507</v>
      </c>
      <c r="K1322" s="31" t="s">
        <v>475</v>
      </c>
      <c r="L1322" s="31" t="s">
        <v>11</v>
      </c>
      <c r="M1322" s="31" t="s">
        <v>18</v>
      </c>
      <c r="N1322" s="31">
        <v>90</v>
      </c>
      <c r="O1322" s="31">
        <f>2024-Inventory[[#This Row],[YrBlt]]</f>
        <v>99</v>
      </c>
      <c r="P1322" s="31">
        <f>2024-Inventory[[#This Row],[EffYr]]</f>
        <v>56</v>
      </c>
      <c r="Q1322" s="30">
        <v>1925</v>
      </c>
      <c r="R1322" s="30">
        <v>1968</v>
      </c>
      <c r="S1322" s="30">
        <v>1248</v>
      </c>
      <c r="T1322" s="37"/>
      <c r="U1322" s="38">
        <v>375</v>
      </c>
      <c r="V1322" s="32"/>
      <c r="W1322" s="32"/>
      <c r="X1322" s="32">
        <f>Inventory[[#This Row],[Bsmt Area]]-Inventory[[#This Row],[FnBsmt]]</f>
        <v>375</v>
      </c>
      <c r="Y1322" s="32">
        <f>Inventory[[#This Row],[MainFn]]+Inventory[[#This Row],[UpprFn]]+Inventory[[#This Row],[AddFn]]+Inventory[[#This Row],[FnBsmt]]</f>
        <v>1248</v>
      </c>
      <c r="Z1322" s="32">
        <v>1500</v>
      </c>
      <c r="AA1322" s="31" t="s">
        <v>56</v>
      </c>
      <c r="AB1322" s="37"/>
      <c r="AC1322" s="37"/>
      <c r="AD1322" s="32"/>
      <c r="AE1322" s="32"/>
      <c r="AF1322" s="32"/>
      <c r="AG1322" s="32"/>
      <c r="AH1322" s="32"/>
      <c r="AI1322" s="30">
        <v>174211</v>
      </c>
      <c r="AJ1322" s="30">
        <v>111495</v>
      </c>
      <c r="AK1322" s="30">
        <v>998</v>
      </c>
      <c r="AL1322" s="30">
        <v>0</v>
      </c>
      <c r="AM1322" s="30">
        <v>59000</v>
      </c>
      <c r="AN1322" s="30">
        <v>168500</v>
      </c>
      <c r="AO1322" s="30">
        <v>227500</v>
      </c>
      <c r="AP1322" s="30">
        <f>Lookups!$B$58*0.6</f>
        <v>132535.48800000001</v>
      </c>
      <c r="AQ1322" s="30">
        <f>Lookups!$B$58*0.4</f>
        <v>88356.992000000013</v>
      </c>
      <c r="AR1322" s="30">
        <f>Lookups!$B$59*Inventory[[#This Row],[LnAcres]]</f>
        <v>-25803.896249263951</v>
      </c>
      <c r="AS1322" s="30">
        <f>VLOOKUP(Inventory[[#This Row],[Qlty]],Lookups!$A$66:$E$79,2,FALSE)</f>
        <v>-9114.1675108666695</v>
      </c>
      <c r="AT1322" s="30">
        <f>VLOOKUP(Inventory[[#This Row],[Cnd]],Lookups!$A$80:$E$88,2,FALSE)</f>
        <v>17761.121909000001</v>
      </c>
      <c r="AU1322" s="30">
        <f>Inventory[[#This Row],[EffAge]]*Lookups!$B$65</f>
        <v>-6089.5016000000005</v>
      </c>
      <c r="AV1322" s="30">
        <f>Inventory[[#This Row],[MainFn]]*Lookups!$B$90</f>
        <v>77888.154240000003</v>
      </c>
      <c r="AW1322" s="30">
        <f>Inventory[[#This Row],[UpprFn]]*Lookups!$B$91</f>
        <v>0</v>
      </c>
      <c r="AX1322" s="30">
        <f>Inventory[[#This Row],[Bsmt Area]]*Lookups!$B$95</f>
        <v>23469.935999999998</v>
      </c>
      <c r="AY1322" s="30">
        <f>Inventory[[#This Row],[AttGar]]*Lookups!$B$93</f>
        <v>0</v>
      </c>
      <c r="AZ1322" s="30">
        <f>ROUND(Inventory[[#This Row],[25Det]],-2)</f>
        <v>1000</v>
      </c>
      <c r="BA1322" s="30">
        <f>ROUND(SUM(Inventory[[#This Row],[Mdl Qlty]:[Mdl Garage Area]])+Inventory[[#This Row],[Mdl Res Intercept]],-2)</f>
        <v>236500</v>
      </c>
      <c r="BB1322" s="30">
        <f>ROUND(Inventory[[#This Row],[Mdl Land Intercept]]+Inventory[[#This Row],[Mdl LnAcres]],-2)</f>
        <v>62600</v>
      </c>
      <c r="BC1322" s="30">
        <f>Inventory[[#This Row],[Unadj Res Value]]+Inventory[[#This Row],[Unadj Det Value]]+Inventory[[#This Row],[Unadj Land Value]]</f>
        <v>300100</v>
      </c>
      <c r="BD1322" s="30">
        <f>(Inventory[[#This Row],[Unadj Total Value]]-Inventory[[#This Row],[24Final]])/Inventory[[#This Row],[24Final]]</f>
        <v>0.31912087912087911</v>
      </c>
      <c r="BE1322" s="30">
        <f>VLOOKUP(Inventory[[#This Row],[Nbhd]],Lookups!$M$3:$P$5,4,FALSE)</f>
        <v>0.99970000000000003</v>
      </c>
      <c r="BF1322" s="30">
        <f>VLOOKUP(Inventory[[#This Row],[Qlty]],Lookups!$M$8:$P$22,4,FALSE)</f>
        <v>1</v>
      </c>
      <c r="BG1322" s="30">
        <f>VLOOKUP(Inventory[[#This Row],[Cnd]],Lookups!$R$8:$U$17,4,FALSE)</f>
        <v>0.99680000000000002</v>
      </c>
      <c r="BH1322" s="30">
        <f>VLOOKUP(Inventory[[#This Row],[LivArea Range]],Lookups!$R$25:$U$43,4,FALSE)</f>
        <v>0.99519999999999997</v>
      </c>
      <c r="BI1322" s="30">
        <f>VLOOKUP(Inventory[[#This Row],[Decade]],Lookups!$M$24:$P$40,4,FALSE)</f>
        <v>0.99960000000000004</v>
      </c>
      <c r="BJ1322" s="30">
        <f>Inventory[[#This Row],[Nbhd Adj]]*0.95</f>
        <v>0.94971499999999998</v>
      </c>
      <c r="BK1322" s="30">
        <f>AVERAGE(Inventory[[#This Row],[Nbhd Adj]],Inventory[[#This Row],[Quality Adj]],Inventory[[#This Row],[Condition Adj]],Inventory[[#This Row],[Living Area Adj]],Inventory[[#This Row],[Decade Adj]])*0.95</f>
        <v>0.94834700000000005</v>
      </c>
      <c r="BL1322" s="30">
        <f>ROUND((SUM(Inventory[[#This Row],[Mdl Qlty]:[Mdl Garage Area]])+Inventory[[#This Row],[Mdl Res Intercept]])*Inventory[[#This Row],[Res Adj ]],-2)</f>
        <v>224200</v>
      </c>
      <c r="BM1322" s="30">
        <f>ROUND(Inventory[[#This Row],[25Det]]*Inventory[[#This Row],[Det/Nbhd Adj]],-2)</f>
        <v>900</v>
      </c>
      <c r="BN1322" s="30">
        <f>Inventory[[#This Row],[Adjusted Res]]+Inventory[[#This Row],[Adj Det ]]</f>
        <v>225100</v>
      </c>
      <c r="BO1322" s="30">
        <f>ROUND((Inventory[[#This Row],[Mdl Land Intercept]]+Inventory[[#This Row],[Mdl LnAcres]])*Inventory[[#This Row],[Det/Nbhd Adj]],-2)</f>
        <v>59400</v>
      </c>
      <c r="BP1322" s="30">
        <f>Inventory[[#This Row],[Adjusted Impr Total]]+Inventory[[#This Row],[Adjusted Land Total]]</f>
        <v>284500</v>
      </c>
      <c r="BQ1322" s="30">
        <f>IFERROR((Inventory[[#This Row],[Adjusted Impr Total]]-Inventory[[#This Row],[24Bldg]])/Inventory[[#This Row],[24Bldg]],0)</f>
        <v>0.33590504451038578</v>
      </c>
      <c r="BR1322" s="43">
        <f>(Inventory[[#This Row],[Adjusted Land Total]]-Inventory[[#This Row],[24Lnd]])/Inventory[[#This Row],[24Lnd]]</f>
        <v>6.7796610169491523E-3</v>
      </c>
      <c r="BS1322" s="43">
        <f>(Inventory[[#This Row],[Adjusted Total]]-Inventory[[#This Row],[24Final]])/Inventory[[#This Row],[24Final]]</f>
        <v>0.25054945054945055</v>
      </c>
    </row>
    <row r="1323" spans="1:71">
      <c r="A1323" s="30">
        <v>2025</v>
      </c>
      <c r="B1323" s="31" t="s">
        <v>1842</v>
      </c>
      <c r="C1323" s="36">
        <f>LN(Inventory[[#This Row],[Acres]])</f>
        <v>-1.9661128563728327</v>
      </c>
      <c r="D1323" s="38">
        <v>0.14000000000000001</v>
      </c>
      <c r="E1323" s="30">
        <v>6046</v>
      </c>
      <c r="F1323" s="31" t="s">
        <v>505</v>
      </c>
      <c r="G1323" s="31" t="s">
        <v>155</v>
      </c>
      <c r="H1323" s="31" t="s">
        <v>5</v>
      </c>
      <c r="I1323" s="31" t="s">
        <v>506</v>
      </c>
      <c r="J1323" s="31" t="s">
        <v>507</v>
      </c>
      <c r="K1323" s="31" t="s">
        <v>475</v>
      </c>
      <c r="L1323" s="31" t="s">
        <v>15</v>
      </c>
      <c r="M1323" s="31" t="s">
        <v>16</v>
      </c>
      <c r="N1323" s="31">
        <v>90</v>
      </c>
      <c r="O1323" s="31">
        <f>2024-Inventory[[#This Row],[YrBlt]]</f>
        <v>99</v>
      </c>
      <c r="P1323" s="31">
        <f>2024-Inventory[[#This Row],[EffYr]]</f>
        <v>56</v>
      </c>
      <c r="Q1323" s="30">
        <v>1925</v>
      </c>
      <c r="R1323" s="30">
        <v>1968</v>
      </c>
      <c r="S1323" s="30">
        <v>956</v>
      </c>
      <c r="T1323" s="37"/>
      <c r="U1323" s="32"/>
      <c r="V1323" s="32"/>
      <c r="W1323" s="32"/>
      <c r="X1323" s="32">
        <f>Inventory[[#This Row],[Bsmt Area]]-Inventory[[#This Row],[FnBsmt]]</f>
        <v>0</v>
      </c>
      <c r="Y1323" s="32">
        <f>Inventory[[#This Row],[MainFn]]+Inventory[[#This Row],[UpprFn]]+Inventory[[#This Row],[AddFn]]+Inventory[[#This Row],[FnBsmt]]</f>
        <v>956</v>
      </c>
      <c r="Z1323" s="32">
        <v>1000</v>
      </c>
      <c r="AA1323" s="31" t="s">
        <v>56</v>
      </c>
      <c r="AB1323" s="32"/>
      <c r="AC1323" s="37"/>
      <c r="AD1323" s="32"/>
      <c r="AE1323" s="32"/>
      <c r="AF1323" s="32"/>
      <c r="AG1323" s="32"/>
      <c r="AH1323" s="32"/>
      <c r="AI1323" s="30">
        <v>149088</v>
      </c>
      <c r="AJ1323" s="30">
        <v>92435</v>
      </c>
      <c r="AK1323" s="30">
        <v>35057</v>
      </c>
      <c r="AL1323" s="30">
        <v>0</v>
      </c>
      <c r="AM1323" s="30">
        <v>59000</v>
      </c>
      <c r="AN1323" s="30">
        <v>210800</v>
      </c>
      <c r="AO1323" s="30">
        <v>269800</v>
      </c>
      <c r="AP1323" s="30">
        <f>Lookups!$B$58*0.6</f>
        <v>132535.48800000001</v>
      </c>
      <c r="AQ1323" s="30">
        <f>Lookups!$B$58*0.4</f>
        <v>88356.992000000013</v>
      </c>
      <c r="AR1323" s="30">
        <f>Lookups!$B$59*Inventory[[#This Row],[LnAcres]]</f>
        <v>-25803.896249263951</v>
      </c>
      <c r="AS1323" s="30">
        <f>VLOOKUP(Inventory[[#This Row],[Qlty]],Lookups!$A$66:$E$79,2,FALSE)</f>
        <v>-1240.8083630000001</v>
      </c>
      <c r="AT1323" s="30">
        <f>VLOOKUP(Inventory[[#This Row],[Cnd]],Lookups!$A$80:$E$88,2,FALSE)</f>
        <v>0</v>
      </c>
      <c r="AU1323" s="30">
        <f>Inventory[[#This Row],[EffAge]]*Lookups!$B$65</f>
        <v>-6089.5016000000005</v>
      </c>
      <c r="AV1323" s="30">
        <f>Inventory[[#This Row],[MainFn]]*Lookups!$B$90</f>
        <v>59664.323280000004</v>
      </c>
      <c r="AW1323" s="30">
        <f>Inventory[[#This Row],[UpprFn]]*Lookups!$B$91</f>
        <v>0</v>
      </c>
      <c r="AX1323" s="30">
        <f>Inventory[[#This Row],[Bsmt Area]]*Lookups!$B$95</f>
        <v>0</v>
      </c>
      <c r="AY1323" s="30">
        <f>Inventory[[#This Row],[AttGar]]*Lookups!$B$93</f>
        <v>0</v>
      </c>
      <c r="AZ1323" s="30">
        <f>ROUND(Inventory[[#This Row],[25Det]],-2)</f>
        <v>35100</v>
      </c>
      <c r="BA1323" s="30">
        <f>ROUND(SUM(Inventory[[#This Row],[Mdl Qlty]:[Mdl Garage Area]])+Inventory[[#This Row],[Mdl Res Intercept]],-2)</f>
        <v>184900</v>
      </c>
      <c r="BB1323" s="30">
        <f>ROUND(Inventory[[#This Row],[Mdl Land Intercept]]+Inventory[[#This Row],[Mdl LnAcres]],-2)</f>
        <v>62600</v>
      </c>
      <c r="BC1323" s="30">
        <f>Inventory[[#This Row],[Unadj Res Value]]+Inventory[[#This Row],[Unadj Det Value]]+Inventory[[#This Row],[Unadj Land Value]]</f>
        <v>282600</v>
      </c>
      <c r="BD1323" s="30">
        <f>(Inventory[[#This Row],[Unadj Total Value]]-Inventory[[#This Row],[24Final]])/Inventory[[#This Row],[24Final]]</f>
        <v>4.744255003706449E-2</v>
      </c>
      <c r="BE1323" s="30">
        <f>VLOOKUP(Inventory[[#This Row],[Nbhd]],Lookups!$M$3:$P$5,4,FALSE)</f>
        <v>0.99970000000000003</v>
      </c>
      <c r="BF1323" s="30">
        <f>VLOOKUP(Inventory[[#This Row],[Qlty]],Lookups!$M$8:$P$22,4,FALSE)</f>
        <v>1.0022</v>
      </c>
      <c r="BG1323" s="30">
        <f>VLOOKUP(Inventory[[#This Row],[Cnd]],Lookups!$R$8:$U$17,4,FALSE)</f>
        <v>1</v>
      </c>
      <c r="BH1323" s="30">
        <f>VLOOKUP(Inventory[[#This Row],[LivArea Range]],Lookups!$R$25:$U$43,4,FALSE)</f>
        <v>1</v>
      </c>
      <c r="BI1323" s="30">
        <f>VLOOKUP(Inventory[[#This Row],[Decade]],Lookups!$M$24:$P$40,4,FALSE)</f>
        <v>0.99960000000000004</v>
      </c>
      <c r="BJ1323" s="30">
        <f>Inventory[[#This Row],[Nbhd Adj]]*0.95</f>
        <v>0.94971499999999998</v>
      </c>
      <c r="BK1323" s="30">
        <f>AVERAGE(Inventory[[#This Row],[Nbhd Adj]],Inventory[[#This Row],[Quality Adj]],Inventory[[#This Row],[Condition Adj]],Inventory[[#This Row],[Living Area Adj]],Inventory[[#This Row],[Decade Adj]])*0.95</f>
        <v>0.95028499999999994</v>
      </c>
      <c r="BL1323" s="30">
        <f>ROUND((SUM(Inventory[[#This Row],[Mdl Qlty]:[Mdl Garage Area]])+Inventory[[#This Row],[Mdl Res Intercept]])*Inventory[[#This Row],[Res Adj ]],-2)</f>
        <v>175700</v>
      </c>
      <c r="BM1323" s="30">
        <f>ROUND(Inventory[[#This Row],[25Det]]*Inventory[[#This Row],[Det/Nbhd Adj]],-2)</f>
        <v>33300</v>
      </c>
      <c r="BN1323" s="30">
        <f>Inventory[[#This Row],[Adjusted Res]]+Inventory[[#This Row],[Adj Det ]]</f>
        <v>209000</v>
      </c>
      <c r="BO1323" s="30">
        <f>ROUND((Inventory[[#This Row],[Mdl Land Intercept]]+Inventory[[#This Row],[Mdl LnAcres]])*Inventory[[#This Row],[Det/Nbhd Adj]],-2)</f>
        <v>59400</v>
      </c>
      <c r="BP1323" s="30">
        <f>Inventory[[#This Row],[Adjusted Impr Total]]+Inventory[[#This Row],[Adjusted Land Total]]</f>
        <v>268400</v>
      </c>
      <c r="BQ1323" s="30">
        <f>IFERROR((Inventory[[#This Row],[Adjusted Impr Total]]-Inventory[[#This Row],[24Bldg]])/Inventory[[#This Row],[24Bldg]],0)</f>
        <v>-8.5388994307400382E-3</v>
      </c>
      <c r="BR1323" s="43">
        <f>(Inventory[[#This Row],[Adjusted Land Total]]-Inventory[[#This Row],[24Lnd]])/Inventory[[#This Row],[24Lnd]]</f>
        <v>6.7796610169491523E-3</v>
      </c>
      <c r="BS1323" s="43">
        <f>(Inventory[[#This Row],[Adjusted Total]]-Inventory[[#This Row],[24Final]])/Inventory[[#This Row],[24Final]]</f>
        <v>-5.1890289103039286E-3</v>
      </c>
    </row>
    <row r="1324" spans="1:71">
      <c r="A1324" s="30">
        <v>2025</v>
      </c>
      <c r="B1324" s="31" t="s">
        <v>1843</v>
      </c>
      <c r="C1324" s="36">
        <f>LN(Inventory[[#This Row],[Acres]])</f>
        <v>-1.9661128563728327</v>
      </c>
      <c r="D1324" s="38">
        <v>0.14000000000000001</v>
      </c>
      <c r="E1324" s="30">
        <v>5962</v>
      </c>
      <c r="F1324" s="31" t="s">
        <v>505</v>
      </c>
      <c r="G1324" s="31" t="s">
        <v>155</v>
      </c>
      <c r="H1324" s="31" t="s">
        <v>5</v>
      </c>
      <c r="I1324" s="31" t="s">
        <v>506</v>
      </c>
      <c r="J1324" s="31" t="s">
        <v>507</v>
      </c>
      <c r="K1324" s="31" t="s">
        <v>473</v>
      </c>
      <c r="L1324" s="31" t="s">
        <v>15</v>
      </c>
      <c r="M1324" s="31" t="s">
        <v>18</v>
      </c>
      <c r="N1324" s="31">
        <v>90</v>
      </c>
      <c r="O1324" s="31">
        <f>2024-Inventory[[#This Row],[YrBlt]]</f>
        <v>99</v>
      </c>
      <c r="P1324" s="31">
        <f>2024-Inventory[[#This Row],[EffYr]]</f>
        <v>56</v>
      </c>
      <c r="Q1324" s="30">
        <v>1925</v>
      </c>
      <c r="R1324" s="30">
        <v>1968</v>
      </c>
      <c r="S1324" s="30">
        <v>1008</v>
      </c>
      <c r="T1324" s="32"/>
      <c r="U1324" s="32"/>
      <c r="V1324" s="32"/>
      <c r="W1324" s="32"/>
      <c r="X1324" s="32">
        <f>Inventory[[#This Row],[Bsmt Area]]-Inventory[[#This Row],[FnBsmt]]</f>
        <v>0</v>
      </c>
      <c r="Y1324" s="32">
        <f>Inventory[[#This Row],[MainFn]]+Inventory[[#This Row],[UpprFn]]+Inventory[[#This Row],[AddFn]]+Inventory[[#This Row],[FnBsmt]]</f>
        <v>1008</v>
      </c>
      <c r="Z1324" s="32">
        <v>1500</v>
      </c>
      <c r="AA1324" s="31" t="s">
        <v>56</v>
      </c>
      <c r="AB1324" s="37"/>
      <c r="AC1324" s="37"/>
      <c r="AD1324" s="32"/>
      <c r="AE1324" s="32"/>
      <c r="AF1324" s="32"/>
      <c r="AG1324" s="32"/>
      <c r="AH1324" s="32"/>
      <c r="AI1324" s="30">
        <v>155667</v>
      </c>
      <c r="AJ1324" s="30">
        <v>99627</v>
      </c>
      <c r="AK1324" s="30">
        <v>11658</v>
      </c>
      <c r="AL1324" s="30">
        <v>0</v>
      </c>
      <c r="AM1324" s="30">
        <v>59000</v>
      </c>
      <c r="AN1324" s="30">
        <v>195100</v>
      </c>
      <c r="AO1324" s="30">
        <v>254100</v>
      </c>
      <c r="AP1324" s="30">
        <f>Lookups!$B$58*0.6</f>
        <v>132535.48800000001</v>
      </c>
      <c r="AQ1324" s="30">
        <f>Lookups!$B$58*0.4</f>
        <v>88356.992000000013</v>
      </c>
      <c r="AR1324" s="30">
        <f>Lookups!$B$59*Inventory[[#This Row],[LnAcres]]</f>
        <v>-25803.896249263951</v>
      </c>
      <c r="AS1324" s="30">
        <f>VLOOKUP(Inventory[[#This Row],[Qlty]],Lookups!$A$66:$E$79,2,FALSE)</f>
        <v>-1240.8083630000001</v>
      </c>
      <c r="AT1324" s="30">
        <f>VLOOKUP(Inventory[[#This Row],[Cnd]],Lookups!$A$80:$E$88,2,FALSE)</f>
        <v>17761.121909000001</v>
      </c>
      <c r="AU1324" s="30">
        <f>Inventory[[#This Row],[EffAge]]*Lookups!$B$65</f>
        <v>-6089.5016000000005</v>
      </c>
      <c r="AV1324" s="30">
        <f>Inventory[[#This Row],[MainFn]]*Lookups!$B$90</f>
        <v>62909.663040000007</v>
      </c>
      <c r="AW1324" s="30">
        <f>Inventory[[#This Row],[UpprFn]]*Lookups!$B$91</f>
        <v>0</v>
      </c>
      <c r="AX1324" s="30">
        <f>Inventory[[#This Row],[Bsmt Area]]*Lookups!$B$95</f>
        <v>0</v>
      </c>
      <c r="AY1324" s="30">
        <f>Inventory[[#This Row],[AttGar]]*Lookups!$B$93</f>
        <v>0</v>
      </c>
      <c r="AZ1324" s="30">
        <f>ROUND(Inventory[[#This Row],[25Det]],-2)</f>
        <v>11700</v>
      </c>
      <c r="BA1324" s="30">
        <f>ROUND(SUM(Inventory[[#This Row],[Mdl Qlty]:[Mdl Garage Area]])+Inventory[[#This Row],[Mdl Res Intercept]],-2)</f>
        <v>205900</v>
      </c>
      <c r="BB1324" s="30">
        <f>ROUND(Inventory[[#This Row],[Mdl Land Intercept]]+Inventory[[#This Row],[Mdl LnAcres]],-2)</f>
        <v>62600</v>
      </c>
      <c r="BC1324" s="30">
        <f>Inventory[[#This Row],[Unadj Res Value]]+Inventory[[#This Row],[Unadj Det Value]]+Inventory[[#This Row],[Unadj Land Value]]</f>
        <v>280200</v>
      </c>
      <c r="BD1324" s="30">
        <f>(Inventory[[#This Row],[Unadj Total Value]]-Inventory[[#This Row],[24Final]])/Inventory[[#This Row],[24Final]]</f>
        <v>0.10271546635182999</v>
      </c>
      <c r="BE1324" s="30">
        <f>VLOOKUP(Inventory[[#This Row],[Nbhd]],Lookups!$M$3:$P$5,4,FALSE)</f>
        <v>0.99970000000000003</v>
      </c>
      <c r="BF1324" s="30">
        <f>VLOOKUP(Inventory[[#This Row],[Qlty]],Lookups!$M$8:$P$22,4,FALSE)</f>
        <v>1.0022</v>
      </c>
      <c r="BG1324" s="30">
        <f>VLOOKUP(Inventory[[#This Row],[Cnd]],Lookups!$R$8:$U$17,4,FALSE)</f>
        <v>0.99680000000000002</v>
      </c>
      <c r="BH1324" s="30">
        <f>VLOOKUP(Inventory[[#This Row],[LivArea Range]],Lookups!$R$25:$U$43,4,FALSE)</f>
        <v>0.99519999999999997</v>
      </c>
      <c r="BI1324" s="30">
        <f>VLOOKUP(Inventory[[#This Row],[Decade]],Lookups!$M$24:$P$40,4,FALSE)</f>
        <v>0.99960000000000004</v>
      </c>
      <c r="BJ1324" s="30">
        <f>Inventory[[#This Row],[Nbhd Adj]]*0.95</f>
        <v>0.94971499999999998</v>
      </c>
      <c r="BK1324" s="30">
        <f>AVERAGE(Inventory[[#This Row],[Nbhd Adj]],Inventory[[#This Row],[Quality Adj]],Inventory[[#This Row],[Condition Adj]],Inventory[[#This Row],[Living Area Adj]],Inventory[[#This Row],[Decade Adj]])*0.95</f>
        <v>0.94876499999999997</v>
      </c>
      <c r="BL1324" s="30">
        <f>ROUND((SUM(Inventory[[#This Row],[Mdl Qlty]:[Mdl Garage Area]])+Inventory[[#This Row],[Mdl Res Intercept]])*Inventory[[#This Row],[Res Adj ]],-2)</f>
        <v>195300</v>
      </c>
      <c r="BM1324" s="30">
        <f>ROUND(Inventory[[#This Row],[25Det]]*Inventory[[#This Row],[Det/Nbhd Adj]],-2)</f>
        <v>11100</v>
      </c>
      <c r="BN1324" s="30">
        <f>Inventory[[#This Row],[Adjusted Res]]+Inventory[[#This Row],[Adj Det ]]</f>
        <v>206400</v>
      </c>
      <c r="BO1324" s="30">
        <f>ROUND((Inventory[[#This Row],[Mdl Land Intercept]]+Inventory[[#This Row],[Mdl LnAcres]])*Inventory[[#This Row],[Det/Nbhd Adj]],-2)</f>
        <v>59400</v>
      </c>
      <c r="BP1324" s="30">
        <f>Inventory[[#This Row],[Adjusted Impr Total]]+Inventory[[#This Row],[Adjusted Land Total]]</f>
        <v>265800</v>
      </c>
      <c r="BQ1324" s="30">
        <f>IFERROR((Inventory[[#This Row],[Adjusted Impr Total]]-Inventory[[#This Row],[24Bldg]])/Inventory[[#This Row],[24Bldg]],0)</f>
        <v>5.7919015889287544E-2</v>
      </c>
      <c r="BR1324" s="43">
        <f>(Inventory[[#This Row],[Adjusted Land Total]]-Inventory[[#This Row],[24Lnd]])/Inventory[[#This Row],[24Lnd]]</f>
        <v>6.7796610169491523E-3</v>
      </c>
      <c r="BS1324" s="43">
        <f>(Inventory[[#This Row],[Adjusted Total]]-Inventory[[#This Row],[24Final]])/Inventory[[#This Row],[24Final]]</f>
        <v>4.6044864226682407E-2</v>
      </c>
    </row>
    <row r="1325" spans="1:71">
      <c r="A1325" s="30">
        <v>2025</v>
      </c>
      <c r="B1325" s="31" t="s">
        <v>1844</v>
      </c>
      <c r="C1325" s="36">
        <f>LN(Inventory[[#This Row],[Acres]])</f>
        <v>-1.8971199848858813</v>
      </c>
      <c r="D1325" s="38">
        <v>0.15</v>
      </c>
      <c r="E1325" s="30">
        <v>6378</v>
      </c>
      <c r="F1325" s="31" t="s">
        <v>505</v>
      </c>
      <c r="G1325" s="31" t="s">
        <v>155</v>
      </c>
      <c r="H1325" s="31" t="s">
        <v>5</v>
      </c>
      <c r="I1325" s="31" t="s">
        <v>506</v>
      </c>
      <c r="J1325" s="31" t="s">
        <v>507</v>
      </c>
      <c r="K1325" s="31" t="s">
        <v>1815</v>
      </c>
      <c r="L1325" s="31" t="s">
        <v>15</v>
      </c>
      <c r="M1325" s="31" t="s">
        <v>18</v>
      </c>
      <c r="N1325" s="31">
        <v>90</v>
      </c>
      <c r="O1325" s="31">
        <f>2024-Inventory[[#This Row],[YrBlt]]</f>
        <v>99</v>
      </c>
      <c r="P1325" s="31">
        <f>2024-Inventory[[#This Row],[EffYr]]</f>
        <v>56</v>
      </c>
      <c r="Q1325" s="30">
        <v>1925</v>
      </c>
      <c r="R1325" s="30">
        <v>1968</v>
      </c>
      <c r="S1325" s="30">
        <v>1498</v>
      </c>
      <c r="T1325" s="38">
        <v>512</v>
      </c>
      <c r="U1325" s="32"/>
      <c r="V1325" s="32"/>
      <c r="W1325" s="32"/>
      <c r="X1325" s="32">
        <f>Inventory[[#This Row],[Bsmt Area]]-Inventory[[#This Row],[FnBsmt]]</f>
        <v>0</v>
      </c>
      <c r="Y1325" s="32">
        <f>Inventory[[#This Row],[MainFn]]+Inventory[[#This Row],[UpprFn]]+Inventory[[#This Row],[AddFn]]+Inventory[[#This Row],[FnBsmt]]</f>
        <v>2010</v>
      </c>
      <c r="Z1325" s="32">
        <v>2500</v>
      </c>
      <c r="AA1325" s="31" t="s">
        <v>56</v>
      </c>
      <c r="AB1325" s="37"/>
      <c r="AC1325" s="37"/>
      <c r="AD1325" s="32"/>
      <c r="AE1325" s="32"/>
      <c r="AF1325" s="32"/>
      <c r="AG1325" s="32"/>
      <c r="AH1325" s="32"/>
      <c r="AI1325" s="30">
        <v>274416</v>
      </c>
      <c r="AJ1325" s="30">
        <v>175626</v>
      </c>
      <c r="AK1325" s="30">
        <v>20333</v>
      </c>
      <c r="AL1325" s="30">
        <v>0</v>
      </c>
      <c r="AM1325" s="30">
        <v>59900</v>
      </c>
      <c r="AN1325" s="30">
        <v>242000</v>
      </c>
      <c r="AO1325" s="30">
        <v>301900</v>
      </c>
      <c r="AP1325" s="30">
        <f>Lookups!$B$58*0.6</f>
        <v>132535.48800000001</v>
      </c>
      <c r="AQ1325" s="30">
        <f>Lookups!$B$58*0.4</f>
        <v>88356.992000000013</v>
      </c>
      <c r="AR1325" s="30">
        <f>Lookups!$B$59*Inventory[[#This Row],[LnAcres]]</f>
        <v>-24898.411657157456</v>
      </c>
      <c r="AS1325" s="30">
        <f>VLOOKUP(Inventory[[#This Row],[Qlty]],Lookups!$A$66:$E$79,2,FALSE)</f>
        <v>-1240.8083630000001</v>
      </c>
      <c r="AT1325" s="30">
        <f>VLOOKUP(Inventory[[#This Row],[Cnd]],Lookups!$A$80:$E$88,2,FALSE)</f>
        <v>17761.121909000001</v>
      </c>
      <c r="AU1325" s="30">
        <f>Inventory[[#This Row],[EffAge]]*Lookups!$B$65</f>
        <v>-6089.5016000000005</v>
      </c>
      <c r="AV1325" s="30">
        <f>Inventory[[#This Row],[MainFn]]*Lookups!$B$90</f>
        <v>93490.749240000005</v>
      </c>
      <c r="AW1325" s="30">
        <f>Inventory[[#This Row],[UpprFn]]*Lookups!$B$91</f>
        <v>30505.156095999999</v>
      </c>
      <c r="AX1325" s="30">
        <f>Inventory[[#This Row],[Bsmt Area]]*Lookups!$B$95</f>
        <v>0</v>
      </c>
      <c r="AY1325" s="30">
        <f>Inventory[[#This Row],[AttGar]]*Lookups!$B$93</f>
        <v>0</v>
      </c>
      <c r="AZ1325" s="30">
        <f>ROUND(Inventory[[#This Row],[25Det]],-2)</f>
        <v>20300</v>
      </c>
      <c r="BA1325" s="30">
        <f>ROUND(SUM(Inventory[[#This Row],[Mdl Qlty]:[Mdl Garage Area]])+Inventory[[#This Row],[Mdl Res Intercept]],-2)</f>
        <v>267000</v>
      </c>
      <c r="BB1325" s="30">
        <f>ROUND(Inventory[[#This Row],[Mdl Land Intercept]]+Inventory[[#This Row],[Mdl LnAcres]],-2)</f>
        <v>63500</v>
      </c>
      <c r="BC1325" s="30">
        <f>Inventory[[#This Row],[Unadj Res Value]]+Inventory[[#This Row],[Unadj Det Value]]+Inventory[[#This Row],[Unadj Land Value]]</f>
        <v>350800</v>
      </c>
      <c r="BD1325" s="30">
        <f>(Inventory[[#This Row],[Unadj Total Value]]-Inventory[[#This Row],[24Final]])/Inventory[[#This Row],[24Final]]</f>
        <v>0.16197416363034117</v>
      </c>
      <c r="BE1325" s="30">
        <f>VLOOKUP(Inventory[[#This Row],[Nbhd]],Lookups!$M$3:$P$5,4,FALSE)</f>
        <v>0.99970000000000003</v>
      </c>
      <c r="BF1325" s="30">
        <f>VLOOKUP(Inventory[[#This Row],[Qlty]],Lookups!$M$8:$P$22,4,FALSE)</f>
        <v>1.0022</v>
      </c>
      <c r="BG1325" s="30">
        <f>VLOOKUP(Inventory[[#This Row],[Cnd]],Lookups!$R$8:$U$17,4,FALSE)</f>
        <v>0.99680000000000002</v>
      </c>
      <c r="BH1325" s="30">
        <f>VLOOKUP(Inventory[[#This Row],[LivArea Range]],Lookups!$R$25:$U$43,4,FALSE)</f>
        <v>1.0008999999999999</v>
      </c>
      <c r="BI1325" s="30">
        <f>VLOOKUP(Inventory[[#This Row],[Decade]],Lookups!$M$24:$P$40,4,FALSE)</f>
        <v>0.99960000000000004</v>
      </c>
      <c r="BJ1325" s="30">
        <f>Inventory[[#This Row],[Nbhd Adj]]*0.95</f>
        <v>0.94971499999999998</v>
      </c>
      <c r="BK1325" s="30">
        <f>AVERAGE(Inventory[[#This Row],[Nbhd Adj]],Inventory[[#This Row],[Quality Adj]],Inventory[[#This Row],[Condition Adj]],Inventory[[#This Row],[Living Area Adj]],Inventory[[#This Row],[Decade Adj]])*0.95</f>
        <v>0.94984800000000003</v>
      </c>
      <c r="BL1325" s="30">
        <f>ROUND((SUM(Inventory[[#This Row],[Mdl Qlty]:[Mdl Garage Area]])+Inventory[[#This Row],[Mdl Res Intercept]])*Inventory[[#This Row],[Res Adj ]],-2)</f>
        <v>253600</v>
      </c>
      <c r="BM1325" s="30">
        <f>ROUND(Inventory[[#This Row],[25Det]]*Inventory[[#This Row],[Det/Nbhd Adj]],-2)</f>
        <v>19300</v>
      </c>
      <c r="BN1325" s="30">
        <f>Inventory[[#This Row],[Adjusted Res]]+Inventory[[#This Row],[Adj Det ]]</f>
        <v>272900</v>
      </c>
      <c r="BO1325" s="30">
        <f>ROUND((Inventory[[#This Row],[Mdl Land Intercept]]+Inventory[[#This Row],[Mdl LnAcres]])*Inventory[[#This Row],[Det/Nbhd Adj]],-2)</f>
        <v>60300</v>
      </c>
      <c r="BP1325" s="30">
        <f>Inventory[[#This Row],[Adjusted Impr Total]]+Inventory[[#This Row],[Adjusted Land Total]]</f>
        <v>333200</v>
      </c>
      <c r="BQ1325" s="30">
        <f>IFERROR((Inventory[[#This Row],[Adjusted Impr Total]]-Inventory[[#This Row],[24Bldg]])/Inventory[[#This Row],[24Bldg]],0)</f>
        <v>0.12768595041322314</v>
      </c>
      <c r="BR1325" s="43">
        <f>(Inventory[[#This Row],[Adjusted Land Total]]-Inventory[[#This Row],[24Lnd]])/Inventory[[#This Row],[24Lnd]]</f>
        <v>6.6777963272120202E-3</v>
      </c>
      <c r="BS1325" s="43">
        <f>(Inventory[[#This Row],[Adjusted Total]]-Inventory[[#This Row],[24Final]])/Inventory[[#This Row],[24Final]]</f>
        <v>0.1036767141437562</v>
      </c>
    </row>
    <row r="1326" spans="1:71">
      <c r="A1326" s="30">
        <v>2025</v>
      </c>
      <c r="B1326" s="31" t="s">
        <v>1845</v>
      </c>
      <c r="C1326" s="36">
        <f>LN(Inventory[[#This Row],[Acres]])</f>
        <v>-1.8325814637483102</v>
      </c>
      <c r="D1326" s="38">
        <v>0.16</v>
      </c>
      <c r="E1326" s="30">
        <v>7000</v>
      </c>
      <c r="F1326" s="31" t="s">
        <v>505</v>
      </c>
      <c r="G1326" s="31" t="s">
        <v>155</v>
      </c>
      <c r="H1326" s="31" t="s">
        <v>5</v>
      </c>
      <c r="I1326" s="31" t="s">
        <v>506</v>
      </c>
      <c r="J1326" s="31" t="s">
        <v>507</v>
      </c>
      <c r="K1326" s="31" t="s">
        <v>473</v>
      </c>
      <c r="L1326" s="31" t="s">
        <v>15</v>
      </c>
      <c r="M1326" s="31" t="s">
        <v>18</v>
      </c>
      <c r="N1326" s="31">
        <v>90</v>
      </c>
      <c r="O1326" s="31">
        <f>2024-Inventory[[#This Row],[YrBlt]]</f>
        <v>99</v>
      </c>
      <c r="P1326" s="31">
        <f>2024-Inventory[[#This Row],[EffYr]]</f>
        <v>56</v>
      </c>
      <c r="Q1326" s="30">
        <v>1925</v>
      </c>
      <c r="R1326" s="30">
        <v>1968</v>
      </c>
      <c r="S1326" s="30">
        <v>1068</v>
      </c>
      <c r="T1326" s="32"/>
      <c r="U1326" s="32"/>
      <c r="V1326" s="32"/>
      <c r="W1326" s="32"/>
      <c r="X1326" s="32">
        <f>Inventory[[#This Row],[Bsmt Area]]-Inventory[[#This Row],[FnBsmt]]</f>
        <v>0</v>
      </c>
      <c r="Y1326" s="32">
        <f>Inventory[[#This Row],[MainFn]]+Inventory[[#This Row],[UpprFn]]+Inventory[[#This Row],[AddFn]]+Inventory[[#This Row],[FnBsmt]]</f>
        <v>1068</v>
      </c>
      <c r="Z1326" s="32">
        <v>1500</v>
      </c>
      <c r="AA1326" s="31" t="s">
        <v>56</v>
      </c>
      <c r="AB1326" s="37"/>
      <c r="AC1326" s="37"/>
      <c r="AD1326" s="32"/>
      <c r="AE1326" s="32"/>
      <c r="AF1326" s="32"/>
      <c r="AG1326" s="32"/>
      <c r="AH1326" s="32"/>
      <c r="AI1326" s="30">
        <v>166698</v>
      </c>
      <c r="AJ1326" s="30">
        <v>106687</v>
      </c>
      <c r="AK1326" s="30">
        <v>0</v>
      </c>
      <c r="AL1326" s="30">
        <v>0</v>
      </c>
      <c r="AM1326" s="30">
        <v>60800</v>
      </c>
      <c r="AN1326" s="30">
        <v>175800</v>
      </c>
      <c r="AO1326" s="30">
        <v>236600</v>
      </c>
      <c r="AP1326" s="30">
        <f>Lookups!$B$58*0.6</f>
        <v>132535.48800000001</v>
      </c>
      <c r="AQ1326" s="30">
        <f>Lookups!$B$58*0.4</f>
        <v>88356.992000000013</v>
      </c>
      <c r="AR1326" s="30">
        <f>Lookups!$B$59*Inventory[[#This Row],[LnAcres]]</f>
        <v>-24051.387388882686</v>
      </c>
      <c r="AS1326" s="30">
        <f>VLOOKUP(Inventory[[#This Row],[Qlty]],Lookups!$A$66:$E$79,2,FALSE)</f>
        <v>-1240.8083630000001</v>
      </c>
      <c r="AT1326" s="30">
        <f>VLOOKUP(Inventory[[#This Row],[Cnd]],Lookups!$A$80:$E$88,2,FALSE)</f>
        <v>17761.121909000001</v>
      </c>
      <c r="AU1326" s="30">
        <f>Inventory[[#This Row],[EffAge]]*Lookups!$B$65</f>
        <v>-6089.5016000000005</v>
      </c>
      <c r="AV1326" s="30">
        <f>Inventory[[#This Row],[MainFn]]*Lookups!$B$90</f>
        <v>66654.285839999997</v>
      </c>
      <c r="AW1326" s="30">
        <f>Inventory[[#This Row],[UpprFn]]*Lookups!$B$91</f>
        <v>0</v>
      </c>
      <c r="AX1326" s="30">
        <f>Inventory[[#This Row],[Bsmt Area]]*Lookups!$B$95</f>
        <v>0</v>
      </c>
      <c r="AY1326" s="30">
        <f>Inventory[[#This Row],[AttGar]]*Lookups!$B$93</f>
        <v>0</v>
      </c>
      <c r="AZ1326" s="30">
        <f>ROUND(Inventory[[#This Row],[25Det]],-2)</f>
        <v>0</v>
      </c>
      <c r="BA1326" s="30">
        <f>ROUND(SUM(Inventory[[#This Row],[Mdl Qlty]:[Mdl Garage Area]])+Inventory[[#This Row],[Mdl Res Intercept]],-2)</f>
        <v>209600</v>
      </c>
      <c r="BB1326" s="30">
        <f>ROUND(Inventory[[#This Row],[Mdl Land Intercept]]+Inventory[[#This Row],[Mdl LnAcres]],-2)</f>
        <v>64300</v>
      </c>
      <c r="BC1326" s="30">
        <f>Inventory[[#This Row],[Unadj Res Value]]+Inventory[[#This Row],[Unadj Det Value]]+Inventory[[#This Row],[Unadj Land Value]]</f>
        <v>273900</v>
      </c>
      <c r="BD1326" s="30">
        <f>(Inventory[[#This Row],[Unadj Total Value]]-Inventory[[#This Row],[24Final]])/Inventory[[#This Row],[24Final]]</f>
        <v>0.15765004226542689</v>
      </c>
      <c r="BE1326" s="30">
        <f>VLOOKUP(Inventory[[#This Row],[Nbhd]],Lookups!$M$3:$P$5,4,FALSE)</f>
        <v>0.99970000000000003</v>
      </c>
      <c r="BF1326" s="30">
        <f>VLOOKUP(Inventory[[#This Row],[Qlty]],Lookups!$M$8:$P$22,4,FALSE)</f>
        <v>1.0022</v>
      </c>
      <c r="BG1326" s="30">
        <f>VLOOKUP(Inventory[[#This Row],[Cnd]],Lookups!$R$8:$U$17,4,FALSE)</f>
        <v>0.99680000000000002</v>
      </c>
      <c r="BH1326" s="30">
        <f>VLOOKUP(Inventory[[#This Row],[LivArea Range]],Lookups!$R$25:$U$43,4,FALSE)</f>
        <v>0.99519999999999997</v>
      </c>
      <c r="BI1326" s="30">
        <f>VLOOKUP(Inventory[[#This Row],[Decade]],Lookups!$M$24:$P$40,4,FALSE)</f>
        <v>0.99960000000000004</v>
      </c>
      <c r="BJ1326" s="30">
        <f>Inventory[[#This Row],[Nbhd Adj]]*0.95</f>
        <v>0.94971499999999998</v>
      </c>
      <c r="BK1326" s="30">
        <f>AVERAGE(Inventory[[#This Row],[Nbhd Adj]],Inventory[[#This Row],[Quality Adj]],Inventory[[#This Row],[Condition Adj]],Inventory[[#This Row],[Living Area Adj]],Inventory[[#This Row],[Decade Adj]])*0.95</f>
        <v>0.94876499999999997</v>
      </c>
      <c r="BL1326" s="30">
        <f>ROUND((SUM(Inventory[[#This Row],[Mdl Qlty]:[Mdl Garage Area]])+Inventory[[#This Row],[Mdl Res Intercept]])*Inventory[[#This Row],[Res Adj ]],-2)</f>
        <v>198900</v>
      </c>
      <c r="BM1326" s="30">
        <f>ROUND(Inventory[[#This Row],[25Det]]*Inventory[[#This Row],[Det/Nbhd Adj]],-2)</f>
        <v>0</v>
      </c>
      <c r="BN1326" s="30">
        <f>Inventory[[#This Row],[Adjusted Res]]+Inventory[[#This Row],[Adj Det ]]</f>
        <v>198900</v>
      </c>
      <c r="BO1326" s="30">
        <f>ROUND((Inventory[[#This Row],[Mdl Land Intercept]]+Inventory[[#This Row],[Mdl LnAcres]])*Inventory[[#This Row],[Det/Nbhd Adj]],-2)</f>
        <v>61100</v>
      </c>
      <c r="BP1326" s="30">
        <f>Inventory[[#This Row],[Adjusted Impr Total]]+Inventory[[#This Row],[Adjusted Land Total]]</f>
        <v>260000</v>
      </c>
      <c r="BQ1326" s="30">
        <f>IFERROR((Inventory[[#This Row],[Adjusted Impr Total]]-Inventory[[#This Row],[24Bldg]])/Inventory[[#This Row],[24Bldg]],0)</f>
        <v>0.13139931740614336</v>
      </c>
      <c r="BR1326" s="43">
        <f>(Inventory[[#This Row],[Adjusted Land Total]]-Inventory[[#This Row],[24Lnd]])/Inventory[[#This Row],[24Lnd]]</f>
        <v>4.9342105263157892E-3</v>
      </c>
      <c r="BS1326" s="43">
        <f>(Inventory[[#This Row],[Adjusted Total]]-Inventory[[#This Row],[24Final]])/Inventory[[#This Row],[24Final]]</f>
        <v>9.8901098901098897E-2</v>
      </c>
    </row>
    <row r="1327" spans="1:71">
      <c r="A1327" s="30">
        <v>2025</v>
      </c>
      <c r="B1327" s="31" t="s">
        <v>1846</v>
      </c>
      <c r="C1327" s="36">
        <f>LN(Inventory[[#This Row],[Acres]])</f>
        <v>-1.7719568419318752</v>
      </c>
      <c r="D1327" s="38">
        <v>0.17</v>
      </c>
      <c r="E1327" s="37"/>
      <c r="F1327" s="31" t="s">
        <v>505</v>
      </c>
      <c r="G1327" s="31" t="s">
        <v>155</v>
      </c>
      <c r="H1327" s="31" t="s">
        <v>5</v>
      </c>
      <c r="I1327" s="31" t="s">
        <v>506</v>
      </c>
      <c r="J1327" s="31" t="s">
        <v>507</v>
      </c>
      <c r="K1327" s="31" t="s">
        <v>193</v>
      </c>
      <c r="L1327" s="31" t="s">
        <v>21</v>
      </c>
      <c r="M1327" s="31" t="s">
        <v>20</v>
      </c>
      <c r="N1327" s="31">
        <v>90</v>
      </c>
      <c r="O1327" s="31">
        <f>2024-Inventory[[#This Row],[YrBlt]]</f>
        <v>99</v>
      </c>
      <c r="P1327" s="31">
        <f>2024-Inventory[[#This Row],[EffYr]]</f>
        <v>44</v>
      </c>
      <c r="Q1327" s="30">
        <v>1925</v>
      </c>
      <c r="R1327" s="30">
        <v>1980</v>
      </c>
      <c r="S1327" s="30">
        <v>2451</v>
      </c>
      <c r="T1327" s="37"/>
      <c r="U1327" s="32"/>
      <c r="V1327" s="32"/>
      <c r="W1327" s="32"/>
      <c r="X1327" s="32">
        <f>Inventory[[#This Row],[Bsmt Area]]-Inventory[[#This Row],[FnBsmt]]</f>
        <v>0</v>
      </c>
      <c r="Y1327" s="32">
        <f>Inventory[[#This Row],[MainFn]]+Inventory[[#This Row],[UpprFn]]+Inventory[[#This Row],[AddFn]]+Inventory[[#This Row],[FnBsmt]]</f>
        <v>2451</v>
      </c>
      <c r="Z1327" s="32">
        <v>2500</v>
      </c>
      <c r="AA1327" s="31" t="s">
        <v>57</v>
      </c>
      <c r="AB1327" s="30">
        <v>1</v>
      </c>
      <c r="AC1327" s="30">
        <v>552</v>
      </c>
      <c r="AD1327" s="37"/>
      <c r="AE1327" s="32"/>
      <c r="AF1327" s="32"/>
      <c r="AG1327" s="32"/>
      <c r="AH1327" s="32"/>
      <c r="AI1327" s="30">
        <v>523511</v>
      </c>
      <c r="AJ1327" s="30">
        <v>413574</v>
      </c>
      <c r="AK1327" s="30">
        <v>0</v>
      </c>
      <c r="AL1327" s="30">
        <v>0</v>
      </c>
      <c r="AM1327" s="30">
        <v>61700</v>
      </c>
      <c r="AN1327" s="30">
        <v>329700</v>
      </c>
      <c r="AO1327" s="30">
        <v>391400</v>
      </c>
      <c r="AP1327" s="30">
        <f>Lookups!$B$58*0.6</f>
        <v>132535.48800000001</v>
      </c>
      <c r="AQ1327" s="30">
        <f>Lookups!$B$58*0.4</f>
        <v>88356.992000000013</v>
      </c>
      <c r="AR1327" s="30">
        <f>Lookups!$B$59*Inventory[[#This Row],[LnAcres]]</f>
        <v>-23255.730391660189</v>
      </c>
      <c r="AS1327" s="30">
        <f>VLOOKUP(Inventory[[#This Row],[Qlty]],Lookups!$A$66:$E$79,2,FALSE)</f>
        <v>32917.849192000001</v>
      </c>
      <c r="AT1327" s="30">
        <f>VLOOKUP(Inventory[[#This Row],[Cnd]],Lookups!$A$80:$E$88,2,FALSE)</f>
        <v>30300.329274</v>
      </c>
      <c r="AU1327" s="30">
        <f>Inventory[[#This Row],[EffAge]]*Lookups!$B$65</f>
        <v>-4784.6084000000001</v>
      </c>
      <c r="AV1327" s="30">
        <f>Inventory[[#This Row],[MainFn]]*Lookups!$B$90</f>
        <v>152967.84138</v>
      </c>
      <c r="AW1327" s="30">
        <f>Inventory[[#This Row],[UpprFn]]*Lookups!$B$91</f>
        <v>0</v>
      </c>
      <c r="AX1327" s="30">
        <f>Inventory[[#This Row],[Bsmt Area]]*Lookups!$B$95</f>
        <v>0</v>
      </c>
      <c r="AY1327" s="30">
        <f>Inventory[[#This Row],[AttGar]]*Lookups!$B$93</f>
        <v>19486.169112</v>
      </c>
      <c r="AZ1327" s="30">
        <f>ROUND(Inventory[[#This Row],[25Det]],-2)</f>
        <v>0</v>
      </c>
      <c r="BA1327" s="30">
        <f>ROUND(SUM(Inventory[[#This Row],[Mdl Qlty]:[Mdl Garage Area]])+Inventory[[#This Row],[Mdl Res Intercept]],-2)</f>
        <v>363400</v>
      </c>
      <c r="BB1327" s="30">
        <f>ROUND(Inventory[[#This Row],[Mdl Land Intercept]]+Inventory[[#This Row],[Mdl LnAcres]],-2)</f>
        <v>65100</v>
      </c>
      <c r="BC1327" s="30">
        <f>Inventory[[#This Row],[Unadj Res Value]]+Inventory[[#This Row],[Unadj Det Value]]+Inventory[[#This Row],[Unadj Land Value]]</f>
        <v>428500</v>
      </c>
      <c r="BD1327" s="30">
        <f>(Inventory[[#This Row],[Unadj Total Value]]-Inventory[[#This Row],[24Final]])/Inventory[[#This Row],[24Final]]</f>
        <v>9.4787940725600414E-2</v>
      </c>
      <c r="BE1327" s="30">
        <f>VLOOKUP(Inventory[[#This Row],[Nbhd]],Lookups!$M$3:$P$5,4,FALSE)</f>
        <v>0.99970000000000003</v>
      </c>
      <c r="BF1327" s="30">
        <f>VLOOKUP(Inventory[[#This Row],[Qlty]],Lookups!$M$8:$P$22,4,FALSE)</f>
        <v>1.0019</v>
      </c>
      <c r="BG1327" s="30">
        <f>VLOOKUP(Inventory[[#This Row],[Cnd]],Lookups!$R$8:$U$17,4,FALSE)</f>
        <v>0.997</v>
      </c>
      <c r="BH1327" s="30">
        <f>VLOOKUP(Inventory[[#This Row],[LivArea Range]],Lookups!$R$25:$U$43,4,FALSE)</f>
        <v>1.0008999999999999</v>
      </c>
      <c r="BI1327" s="30">
        <f>VLOOKUP(Inventory[[#This Row],[Decade]],Lookups!$M$24:$P$40,4,FALSE)</f>
        <v>0.99960000000000004</v>
      </c>
      <c r="BJ1327" s="30">
        <f>Inventory[[#This Row],[Nbhd Adj]]*0.95</f>
        <v>0.94971499999999998</v>
      </c>
      <c r="BK1327" s="30">
        <f>AVERAGE(Inventory[[#This Row],[Nbhd Adj]],Inventory[[#This Row],[Quality Adj]],Inventory[[#This Row],[Condition Adj]],Inventory[[#This Row],[Living Area Adj]],Inventory[[#This Row],[Decade Adj]])*0.95</f>
        <v>0.94982899999999992</v>
      </c>
      <c r="BL1327" s="30">
        <f>ROUND((SUM(Inventory[[#This Row],[Mdl Qlty]:[Mdl Garage Area]])+Inventory[[#This Row],[Mdl Res Intercept]])*Inventory[[#This Row],[Res Adj ]],-2)</f>
        <v>345200</v>
      </c>
      <c r="BM1327" s="30">
        <f>ROUND(Inventory[[#This Row],[25Det]]*Inventory[[#This Row],[Det/Nbhd Adj]],-2)</f>
        <v>0</v>
      </c>
      <c r="BN1327" s="30">
        <f>Inventory[[#This Row],[Adjusted Res]]+Inventory[[#This Row],[Adj Det ]]</f>
        <v>345200</v>
      </c>
      <c r="BO1327" s="30">
        <f>ROUND((Inventory[[#This Row],[Mdl Land Intercept]]+Inventory[[#This Row],[Mdl LnAcres]])*Inventory[[#This Row],[Det/Nbhd Adj]],-2)</f>
        <v>61800</v>
      </c>
      <c r="BP1327" s="30">
        <f>Inventory[[#This Row],[Adjusted Impr Total]]+Inventory[[#This Row],[Adjusted Land Total]]</f>
        <v>407000</v>
      </c>
      <c r="BQ1327" s="30">
        <f>IFERROR((Inventory[[#This Row],[Adjusted Impr Total]]-Inventory[[#This Row],[24Bldg]])/Inventory[[#This Row],[24Bldg]],0)</f>
        <v>4.7012435547467396E-2</v>
      </c>
      <c r="BR1327" s="43">
        <f>(Inventory[[#This Row],[Adjusted Land Total]]-Inventory[[#This Row],[24Lnd]])/Inventory[[#This Row],[24Lnd]]</f>
        <v>1.6207455429497568E-3</v>
      </c>
      <c r="BS1327" s="43">
        <f>(Inventory[[#This Row],[Adjusted Total]]-Inventory[[#This Row],[24Final]])/Inventory[[#This Row],[24Final]]</f>
        <v>3.9856923863055699E-2</v>
      </c>
    </row>
    <row r="1328" spans="1:71">
      <c r="A1328" s="30">
        <v>2025</v>
      </c>
      <c r="B1328" s="31" t="s">
        <v>1847</v>
      </c>
      <c r="C1328" s="36">
        <f>LN(Inventory[[#This Row],[Acres]])</f>
        <v>-1.7147984280919266</v>
      </c>
      <c r="D1328" s="38">
        <v>0.18</v>
      </c>
      <c r="E1328" s="30">
        <v>8055</v>
      </c>
      <c r="F1328" s="31" t="s">
        <v>505</v>
      </c>
      <c r="G1328" s="31" t="s">
        <v>155</v>
      </c>
      <c r="H1328" s="31" t="s">
        <v>5</v>
      </c>
      <c r="I1328" s="31" t="s">
        <v>506</v>
      </c>
      <c r="J1328" s="31" t="s">
        <v>507</v>
      </c>
      <c r="K1328" s="31" t="s">
        <v>473</v>
      </c>
      <c r="L1328" s="31" t="s">
        <v>13</v>
      </c>
      <c r="M1328" s="31" t="s">
        <v>18</v>
      </c>
      <c r="N1328" s="31">
        <v>90</v>
      </c>
      <c r="O1328" s="31">
        <f>2024-Inventory[[#This Row],[YrBlt]]</f>
        <v>99</v>
      </c>
      <c r="P1328" s="31">
        <f>2024-Inventory[[#This Row],[EffYr]]</f>
        <v>56</v>
      </c>
      <c r="Q1328" s="30">
        <v>1925</v>
      </c>
      <c r="R1328" s="30">
        <v>1968</v>
      </c>
      <c r="S1328" s="30">
        <v>690</v>
      </c>
      <c r="T1328" s="32"/>
      <c r="U1328" s="32"/>
      <c r="V1328" s="32"/>
      <c r="W1328" s="32"/>
      <c r="X1328" s="32">
        <f>Inventory[[#This Row],[Bsmt Area]]-Inventory[[#This Row],[FnBsmt]]</f>
        <v>0</v>
      </c>
      <c r="Y1328" s="32">
        <f>Inventory[[#This Row],[MainFn]]+Inventory[[#This Row],[UpprFn]]+Inventory[[#This Row],[AddFn]]+Inventory[[#This Row],[FnBsmt]]</f>
        <v>690</v>
      </c>
      <c r="Z1328" s="32">
        <v>1000</v>
      </c>
      <c r="AA1328" s="31" t="s">
        <v>56</v>
      </c>
      <c r="AB1328" s="32"/>
      <c r="AC1328" s="37"/>
      <c r="AD1328" s="32"/>
      <c r="AE1328" s="32"/>
      <c r="AF1328" s="32"/>
      <c r="AG1328" s="32"/>
      <c r="AH1328" s="32"/>
      <c r="AI1328" s="30">
        <v>98924</v>
      </c>
      <c r="AJ1328" s="30">
        <v>63311</v>
      </c>
      <c r="AK1328" s="30">
        <v>0</v>
      </c>
      <c r="AL1328" s="30">
        <v>0</v>
      </c>
      <c r="AM1328" s="30">
        <v>62500</v>
      </c>
      <c r="AN1328" s="30">
        <v>145400</v>
      </c>
      <c r="AO1328" s="30">
        <v>207900</v>
      </c>
      <c r="AP1328" s="30">
        <f>Lookups!$B$58*0.6</f>
        <v>132535.48800000001</v>
      </c>
      <c r="AQ1328" s="30">
        <f>Lookups!$B$58*0.4</f>
        <v>88356.992000000013</v>
      </c>
      <c r="AR1328" s="30">
        <f>Lookups!$B$59*Inventory[[#This Row],[LnAcres]]</f>
        <v>-22505.565020573864</v>
      </c>
      <c r="AS1328" s="30">
        <f>VLOOKUP(Inventory[[#This Row],[Qlty]],Lookups!$A$66:$E$79,2,FALSE)</f>
        <v>0</v>
      </c>
      <c r="AT1328" s="30">
        <f>VLOOKUP(Inventory[[#This Row],[Cnd]],Lookups!$A$80:$E$88,2,FALSE)</f>
        <v>17761.121909000001</v>
      </c>
      <c r="AU1328" s="30">
        <f>Inventory[[#This Row],[EffAge]]*Lookups!$B$65</f>
        <v>-6089.5016000000005</v>
      </c>
      <c r="AV1328" s="30">
        <f>Inventory[[#This Row],[MainFn]]*Lookups!$B$90</f>
        <v>43063.162199999999</v>
      </c>
      <c r="AW1328" s="30">
        <f>Inventory[[#This Row],[UpprFn]]*Lookups!$B$91</f>
        <v>0</v>
      </c>
      <c r="AX1328" s="30">
        <f>Inventory[[#This Row],[Bsmt Area]]*Lookups!$B$95</f>
        <v>0</v>
      </c>
      <c r="AY1328" s="30">
        <f>Inventory[[#This Row],[AttGar]]*Lookups!$B$93</f>
        <v>0</v>
      </c>
      <c r="AZ1328" s="30">
        <f>ROUND(Inventory[[#This Row],[25Det]],-2)</f>
        <v>0</v>
      </c>
      <c r="BA1328" s="30">
        <f>ROUND(SUM(Inventory[[#This Row],[Mdl Qlty]:[Mdl Garage Area]])+Inventory[[#This Row],[Mdl Res Intercept]],-2)</f>
        <v>187300</v>
      </c>
      <c r="BB1328" s="30">
        <f>ROUND(Inventory[[#This Row],[Mdl Land Intercept]]+Inventory[[#This Row],[Mdl LnAcres]],-2)</f>
        <v>65900</v>
      </c>
      <c r="BC1328" s="30">
        <f>Inventory[[#This Row],[Unadj Res Value]]+Inventory[[#This Row],[Unadj Det Value]]+Inventory[[#This Row],[Unadj Land Value]]</f>
        <v>253200</v>
      </c>
      <c r="BD1328" s="30">
        <f>(Inventory[[#This Row],[Unadj Total Value]]-Inventory[[#This Row],[24Final]])/Inventory[[#This Row],[24Final]]</f>
        <v>0.21789321789321789</v>
      </c>
      <c r="BE1328" s="30">
        <f>VLOOKUP(Inventory[[#This Row],[Nbhd]],Lookups!$M$3:$P$5,4,FALSE)</f>
        <v>0.99970000000000003</v>
      </c>
      <c r="BF1328" s="30">
        <f>VLOOKUP(Inventory[[#This Row],[Qlty]],Lookups!$M$8:$P$22,4,FALSE)</f>
        <v>1.0003</v>
      </c>
      <c r="BG1328" s="30">
        <f>VLOOKUP(Inventory[[#This Row],[Cnd]],Lookups!$R$8:$U$17,4,FALSE)</f>
        <v>0.99680000000000002</v>
      </c>
      <c r="BH1328" s="30">
        <f>VLOOKUP(Inventory[[#This Row],[LivArea Range]],Lookups!$R$25:$U$43,4,FALSE)</f>
        <v>1</v>
      </c>
      <c r="BI1328" s="30">
        <f>VLOOKUP(Inventory[[#This Row],[Decade]],Lookups!$M$24:$P$40,4,FALSE)</f>
        <v>0.99960000000000004</v>
      </c>
      <c r="BJ1328" s="30">
        <f>Inventory[[#This Row],[Nbhd Adj]]*0.95</f>
        <v>0.94971499999999998</v>
      </c>
      <c r="BK1328" s="30">
        <f>AVERAGE(Inventory[[#This Row],[Nbhd Adj]],Inventory[[#This Row],[Quality Adj]],Inventory[[#This Row],[Condition Adj]],Inventory[[#This Row],[Living Area Adj]],Inventory[[#This Row],[Decade Adj]])*0.95</f>
        <v>0.94931599999999994</v>
      </c>
      <c r="BL1328" s="30">
        <f>ROUND((SUM(Inventory[[#This Row],[Mdl Qlty]:[Mdl Garage Area]])+Inventory[[#This Row],[Mdl Res Intercept]])*Inventory[[#This Row],[Res Adj ]],-2)</f>
        <v>177800</v>
      </c>
      <c r="BM1328" s="30">
        <f>ROUND(Inventory[[#This Row],[25Det]]*Inventory[[#This Row],[Det/Nbhd Adj]],-2)</f>
        <v>0</v>
      </c>
      <c r="BN1328" s="30">
        <f>Inventory[[#This Row],[Adjusted Res]]+Inventory[[#This Row],[Adj Det ]]</f>
        <v>177800</v>
      </c>
      <c r="BO1328" s="30">
        <f>ROUND((Inventory[[#This Row],[Mdl Land Intercept]]+Inventory[[#This Row],[Mdl LnAcres]])*Inventory[[#This Row],[Det/Nbhd Adj]],-2)</f>
        <v>62500</v>
      </c>
      <c r="BP1328" s="30">
        <f>Inventory[[#This Row],[Adjusted Impr Total]]+Inventory[[#This Row],[Adjusted Land Total]]</f>
        <v>240300</v>
      </c>
      <c r="BQ1328" s="30">
        <f>IFERROR((Inventory[[#This Row],[Adjusted Impr Total]]-Inventory[[#This Row],[24Bldg]])/Inventory[[#This Row],[24Bldg]],0)</f>
        <v>0.22283356258596973</v>
      </c>
      <c r="BR1328" s="43">
        <f>(Inventory[[#This Row],[Adjusted Land Total]]-Inventory[[#This Row],[24Lnd]])/Inventory[[#This Row],[24Lnd]]</f>
        <v>0</v>
      </c>
      <c r="BS1328" s="43">
        <f>(Inventory[[#This Row],[Adjusted Total]]-Inventory[[#This Row],[24Final]])/Inventory[[#This Row],[24Final]]</f>
        <v>0.15584415584415584</v>
      </c>
    </row>
    <row r="1329" spans="1:71">
      <c r="A1329" s="30">
        <v>2025</v>
      </c>
      <c r="B1329" s="31" t="s">
        <v>1848</v>
      </c>
      <c r="C1329" s="36">
        <f>LN(Inventory[[#This Row],[Acres]])</f>
        <v>-1.3093333199837622</v>
      </c>
      <c r="D1329" s="38">
        <v>0.27</v>
      </c>
      <c r="E1329" s="30">
        <v>11722</v>
      </c>
      <c r="F1329" s="31" t="s">
        <v>505</v>
      </c>
      <c r="G1329" s="31" t="s">
        <v>155</v>
      </c>
      <c r="H1329" s="31" t="s">
        <v>5</v>
      </c>
      <c r="I1329" s="31" t="s">
        <v>506</v>
      </c>
      <c r="J1329" s="31" t="s">
        <v>507</v>
      </c>
      <c r="K1329" s="31" t="s">
        <v>157</v>
      </c>
      <c r="L1329" s="31" t="s">
        <v>17</v>
      </c>
      <c r="M1329" s="31" t="s">
        <v>20</v>
      </c>
      <c r="N1329" s="31">
        <v>90</v>
      </c>
      <c r="O1329" s="31">
        <f>2024-Inventory[[#This Row],[YrBlt]]</f>
        <v>99</v>
      </c>
      <c r="P1329" s="31">
        <f>2024-Inventory[[#This Row],[EffYr]]</f>
        <v>56</v>
      </c>
      <c r="Q1329" s="30">
        <v>1925</v>
      </c>
      <c r="R1329" s="30">
        <v>1968</v>
      </c>
      <c r="S1329" s="30">
        <v>1161</v>
      </c>
      <c r="T1329" s="30">
        <v>280</v>
      </c>
      <c r="U1329" s="32"/>
      <c r="V1329" s="32"/>
      <c r="W1329" s="32"/>
      <c r="X1329" s="32">
        <f>Inventory[[#This Row],[Bsmt Area]]-Inventory[[#This Row],[FnBsmt]]</f>
        <v>0</v>
      </c>
      <c r="Y1329" s="32">
        <f>Inventory[[#This Row],[MainFn]]+Inventory[[#This Row],[UpprFn]]+Inventory[[#This Row],[AddFn]]+Inventory[[#This Row],[FnBsmt]]</f>
        <v>1441</v>
      </c>
      <c r="Z1329" s="32">
        <v>1500</v>
      </c>
      <c r="AA1329" s="31" t="s">
        <v>56</v>
      </c>
      <c r="AB1329" s="38">
        <v>1</v>
      </c>
      <c r="AC1329" s="32"/>
      <c r="AD1329" s="37"/>
      <c r="AE1329" s="32"/>
      <c r="AF1329" s="32"/>
      <c r="AG1329" s="32"/>
      <c r="AH1329" s="32"/>
      <c r="AI1329" s="30">
        <v>219989</v>
      </c>
      <c r="AJ1329" s="30">
        <v>145193</v>
      </c>
      <c r="AK1329" s="30">
        <v>19759</v>
      </c>
      <c r="AL1329" s="30">
        <v>0</v>
      </c>
      <c r="AM1329" s="30">
        <v>68200</v>
      </c>
      <c r="AN1329" s="30">
        <v>235900</v>
      </c>
      <c r="AO1329" s="30">
        <v>304100</v>
      </c>
      <c r="AP1329" s="30">
        <f>Lookups!$B$58*0.6</f>
        <v>132535.48800000001</v>
      </c>
      <c r="AQ1329" s="30">
        <f>Lookups!$B$58*0.4</f>
        <v>88356.992000000013</v>
      </c>
      <c r="AR1329" s="30">
        <f>Lookups!$B$59*Inventory[[#This Row],[LnAcres]]</f>
        <v>-17184.11078746261</v>
      </c>
      <c r="AS1329" s="30">
        <f>VLOOKUP(Inventory[[#This Row],[Qlty]],Lookups!$A$66:$E$79,2,FALSE)</f>
        <v>24371.765965999999</v>
      </c>
      <c r="AT1329" s="30">
        <f>VLOOKUP(Inventory[[#This Row],[Cnd]],Lookups!$A$80:$E$88,2,FALSE)</f>
        <v>30300.329274</v>
      </c>
      <c r="AU1329" s="30">
        <f>Inventory[[#This Row],[EffAge]]*Lookups!$B$65</f>
        <v>-6089.5016000000005</v>
      </c>
      <c r="AV1329" s="30">
        <f>Inventory[[#This Row],[MainFn]]*Lookups!$B$90</f>
        <v>72458.451180000004</v>
      </c>
      <c r="AW1329" s="30">
        <f>Inventory[[#This Row],[UpprFn]]*Lookups!$B$91</f>
        <v>16682.507239999999</v>
      </c>
      <c r="AX1329" s="30">
        <f>Inventory[[#This Row],[Bsmt Area]]*Lookups!$B$95</f>
        <v>0</v>
      </c>
      <c r="AY1329" s="30">
        <f>Inventory[[#This Row],[AttGar]]*Lookups!$B$93</f>
        <v>0</v>
      </c>
      <c r="AZ1329" s="30">
        <f>ROUND(Inventory[[#This Row],[25Det]],-2)</f>
        <v>19800</v>
      </c>
      <c r="BA1329" s="30">
        <f>ROUND(SUM(Inventory[[#This Row],[Mdl Qlty]:[Mdl Garage Area]])+Inventory[[#This Row],[Mdl Res Intercept]],-2)</f>
        <v>270300</v>
      </c>
      <c r="BB1329" s="30">
        <f>ROUND(Inventory[[#This Row],[Mdl Land Intercept]]+Inventory[[#This Row],[Mdl LnAcres]],-2)</f>
        <v>71200</v>
      </c>
      <c r="BC1329" s="30">
        <f>Inventory[[#This Row],[Unadj Res Value]]+Inventory[[#This Row],[Unadj Det Value]]+Inventory[[#This Row],[Unadj Land Value]]</f>
        <v>361300</v>
      </c>
      <c r="BD1329" s="30">
        <f>(Inventory[[#This Row],[Unadj Total Value]]-Inventory[[#This Row],[24Final]])/Inventory[[#This Row],[24Final]]</f>
        <v>0.18809602104570866</v>
      </c>
      <c r="BE1329" s="30">
        <f>VLOOKUP(Inventory[[#This Row],[Nbhd]],Lookups!$M$3:$P$5,4,FALSE)</f>
        <v>0.99970000000000003</v>
      </c>
      <c r="BF1329" s="30">
        <f>VLOOKUP(Inventory[[#This Row],[Qlty]],Lookups!$M$8:$P$22,4,FALSE)</f>
        <v>0.99199999999999999</v>
      </c>
      <c r="BG1329" s="30">
        <f>VLOOKUP(Inventory[[#This Row],[Cnd]],Lookups!$R$8:$U$17,4,FALSE)</f>
        <v>0.997</v>
      </c>
      <c r="BH1329" s="30">
        <f>VLOOKUP(Inventory[[#This Row],[LivArea Range]],Lookups!$R$25:$U$43,4,FALSE)</f>
        <v>0.99519999999999997</v>
      </c>
      <c r="BI1329" s="30">
        <f>VLOOKUP(Inventory[[#This Row],[Decade]],Lookups!$M$24:$P$40,4,FALSE)</f>
        <v>0.99960000000000004</v>
      </c>
      <c r="BJ1329" s="30">
        <f>Inventory[[#This Row],[Nbhd Adj]]*0.95</f>
        <v>0.94971499999999998</v>
      </c>
      <c r="BK1329" s="30">
        <f>AVERAGE(Inventory[[#This Row],[Nbhd Adj]],Inventory[[#This Row],[Quality Adj]],Inventory[[#This Row],[Condition Adj]],Inventory[[#This Row],[Living Area Adj]],Inventory[[#This Row],[Decade Adj]])*0.95</f>
        <v>0.94686499999999996</v>
      </c>
      <c r="BL1329" s="30">
        <f>ROUND((SUM(Inventory[[#This Row],[Mdl Qlty]:[Mdl Garage Area]])+Inventory[[#This Row],[Mdl Res Intercept]])*Inventory[[#This Row],[Res Adj ]],-2)</f>
        <v>255900</v>
      </c>
      <c r="BM1329" s="30">
        <f>ROUND(Inventory[[#This Row],[25Det]]*Inventory[[#This Row],[Det/Nbhd Adj]],-2)</f>
        <v>18800</v>
      </c>
      <c r="BN1329" s="30">
        <f>Inventory[[#This Row],[Adjusted Res]]+Inventory[[#This Row],[Adj Det ]]</f>
        <v>274700</v>
      </c>
      <c r="BO1329" s="30">
        <f>ROUND((Inventory[[#This Row],[Mdl Land Intercept]]+Inventory[[#This Row],[Mdl LnAcres]])*Inventory[[#This Row],[Det/Nbhd Adj]],-2)</f>
        <v>67600</v>
      </c>
      <c r="BP1329" s="30">
        <f>Inventory[[#This Row],[Adjusted Impr Total]]+Inventory[[#This Row],[Adjusted Land Total]]</f>
        <v>342300</v>
      </c>
      <c r="BQ1329" s="30">
        <f>IFERROR((Inventory[[#This Row],[Adjusted Impr Total]]-Inventory[[#This Row],[24Bldg]])/Inventory[[#This Row],[24Bldg]],0)</f>
        <v>0.16447647308181432</v>
      </c>
      <c r="BR1329" s="43">
        <f>(Inventory[[#This Row],[Adjusted Land Total]]-Inventory[[#This Row],[24Lnd]])/Inventory[[#This Row],[24Lnd]]</f>
        <v>-8.7976539589442824E-3</v>
      </c>
      <c r="BS1329" s="43">
        <f>(Inventory[[#This Row],[Adjusted Total]]-Inventory[[#This Row],[24Final]])/Inventory[[#This Row],[24Final]]</f>
        <v>0.12561657349556066</v>
      </c>
    </row>
    <row r="1330" spans="1:71">
      <c r="A1330" s="30">
        <v>2025</v>
      </c>
      <c r="B1330" s="31" t="s">
        <v>1849</v>
      </c>
      <c r="C1330" s="36">
        <f>LN(Inventory[[#This Row],[Acres]])</f>
        <v>-1.1394342831883648</v>
      </c>
      <c r="D1330" s="38">
        <v>0.32</v>
      </c>
      <c r="E1330" s="30">
        <v>14000</v>
      </c>
      <c r="F1330" s="31" t="s">
        <v>505</v>
      </c>
      <c r="G1330" s="31" t="s">
        <v>155</v>
      </c>
      <c r="H1330" s="31" t="s">
        <v>5</v>
      </c>
      <c r="I1330" s="31" t="s">
        <v>506</v>
      </c>
      <c r="J1330" s="31" t="s">
        <v>507</v>
      </c>
      <c r="K1330" s="31" t="s">
        <v>157</v>
      </c>
      <c r="L1330" s="31" t="s">
        <v>17</v>
      </c>
      <c r="M1330" s="31" t="s">
        <v>20</v>
      </c>
      <c r="N1330" s="31">
        <v>90</v>
      </c>
      <c r="O1330" s="31">
        <f>2024-Inventory[[#This Row],[YrBlt]]</f>
        <v>99</v>
      </c>
      <c r="P1330" s="31">
        <f>2024-Inventory[[#This Row],[EffYr]]</f>
        <v>56</v>
      </c>
      <c r="Q1330" s="30">
        <v>1925</v>
      </c>
      <c r="R1330" s="30">
        <v>1968</v>
      </c>
      <c r="S1330" s="30">
        <v>1616</v>
      </c>
      <c r="T1330" s="30">
        <v>320</v>
      </c>
      <c r="U1330" s="32"/>
      <c r="V1330" s="32"/>
      <c r="W1330" s="32"/>
      <c r="X1330" s="32">
        <f>Inventory[[#This Row],[Bsmt Area]]-Inventory[[#This Row],[FnBsmt]]</f>
        <v>0</v>
      </c>
      <c r="Y1330" s="32">
        <f>Inventory[[#This Row],[MainFn]]+Inventory[[#This Row],[UpprFn]]+Inventory[[#This Row],[AddFn]]+Inventory[[#This Row],[FnBsmt]]</f>
        <v>1936</v>
      </c>
      <c r="Z1330" s="32">
        <v>2000</v>
      </c>
      <c r="AA1330" s="31" t="s">
        <v>56</v>
      </c>
      <c r="AB1330" s="32"/>
      <c r="AC1330" s="32"/>
      <c r="AD1330" s="37"/>
      <c r="AE1330" s="32"/>
      <c r="AF1330" s="32"/>
      <c r="AG1330" s="32"/>
      <c r="AH1330" s="32"/>
      <c r="AI1330" s="30">
        <v>322625</v>
      </c>
      <c r="AJ1330" s="30">
        <v>212933</v>
      </c>
      <c r="AK1330" s="30">
        <v>2351</v>
      </c>
      <c r="AL1330" s="30">
        <v>0</v>
      </c>
      <c r="AM1330" s="30">
        <v>70500</v>
      </c>
      <c r="AN1330" s="30">
        <v>247600</v>
      </c>
      <c r="AO1330" s="30">
        <v>318100</v>
      </c>
      <c r="AP1330" s="30">
        <f>Lookups!$B$58*0.6</f>
        <v>132535.48800000001</v>
      </c>
      <c r="AQ1330" s="30">
        <f>Lookups!$B$58*0.4</f>
        <v>88356.992000000013</v>
      </c>
      <c r="AR1330" s="30">
        <f>Lookups!$B$59*Inventory[[#This Row],[LnAcres]]</f>
        <v>-14954.301290969002</v>
      </c>
      <c r="AS1330" s="30">
        <f>VLOOKUP(Inventory[[#This Row],[Qlty]],Lookups!$A$66:$E$79,2,FALSE)</f>
        <v>24371.765965999999</v>
      </c>
      <c r="AT1330" s="30">
        <f>VLOOKUP(Inventory[[#This Row],[Cnd]],Lookups!$A$80:$E$88,2,FALSE)</f>
        <v>30300.329274</v>
      </c>
      <c r="AU1330" s="30">
        <f>Inventory[[#This Row],[EffAge]]*Lookups!$B$65</f>
        <v>-6089.5016000000005</v>
      </c>
      <c r="AV1330" s="30">
        <f>Inventory[[#This Row],[MainFn]]*Lookups!$B$90</f>
        <v>100855.17408000001</v>
      </c>
      <c r="AW1330" s="30">
        <f>Inventory[[#This Row],[UpprFn]]*Lookups!$B$91</f>
        <v>19065.722559999998</v>
      </c>
      <c r="AX1330" s="30">
        <f>Inventory[[#This Row],[Bsmt Area]]*Lookups!$B$95</f>
        <v>0</v>
      </c>
      <c r="AY1330" s="30">
        <f>Inventory[[#This Row],[AttGar]]*Lookups!$B$93</f>
        <v>0</v>
      </c>
      <c r="AZ1330" s="30">
        <f>ROUND(Inventory[[#This Row],[25Det]],-2)</f>
        <v>2400</v>
      </c>
      <c r="BA1330" s="30">
        <f>ROUND(SUM(Inventory[[#This Row],[Mdl Qlty]:[Mdl Garage Area]])+Inventory[[#This Row],[Mdl Res Intercept]],-2)</f>
        <v>301000</v>
      </c>
      <c r="BB1330" s="30">
        <f>ROUND(Inventory[[#This Row],[Mdl Land Intercept]]+Inventory[[#This Row],[Mdl LnAcres]],-2)</f>
        <v>73400</v>
      </c>
      <c r="BC1330" s="30">
        <f>Inventory[[#This Row],[Unadj Res Value]]+Inventory[[#This Row],[Unadj Det Value]]+Inventory[[#This Row],[Unadj Land Value]]</f>
        <v>376800</v>
      </c>
      <c r="BD1330" s="30">
        <f>(Inventory[[#This Row],[Unadj Total Value]]-Inventory[[#This Row],[24Final]])/Inventory[[#This Row],[24Final]]</f>
        <v>0.18453316567117259</v>
      </c>
      <c r="BE1330" s="30">
        <f>VLOOKUP(Inventory[[#This Row],[Nbhd]],Lookups!$M$3:$P$5,4,FALSE)</f>
        <v>0.99970000000000003</v>
      </c>
      <c r="BF1330" s="30">
        <f>VLOOKUP(Inventory[[#This Row],[Qlty]],Lookups!$M$8:$P$22,4,FALSE)</f>
        <v>0.99199999999999999</v>
      </c>
      <c r="BG1330" s="30">
        <f>VLOOKUP(Inventory[[#This Row],[Cnd]],Lookups!$R$8:$U$17,4,FALSE)</f>
        <v>0.997</v>
      </c>
      <c r="BH1330" s="30">
        <f>VLOOKUP(Inventory[[#This Row],[LivArea Range]],Lookups!$R$25:$U$43,4,FALSE)</f>
        <v>1.0007999999999999</v>
      </c>
      <c r="BI1330" s="30">
        <f>VLOOKUP(Inventory[[#This Row],[Decade]],Lookups!$M$24:$P$40,4,FALSE)</f>
        <v>0.99960000000000004</v>
      </c>
      <c r="BJ1330" s="30">
        <f>Inventory[[#This Row],[Nbhd Adj]]*0.95</f>
        <v>0.94971499999999998</v>
      </c>
      <c r="BK1330" s="30">
        <f>AVERAGE(Inventory[[#This Row],[Nbhd Adj]],Inventory[[#This Row],[Quality Adj]],Inventory[[#This Row],[Condition Adj]],Inventory[[#This Row],[Living Area Adj]],Inventory[[#This Row],[Decade Adj]])*0.95</f>
        <v>0.94792900000000013</v>
      </c>
      <c r="BL1330" s="30">
        <f>ROUND((SUM(Inventory[[#This Row],[Mdl Qlty]:[Mdl Garage Area]])+Inventory[[#This Row],[Mdl Res Intercept]])*Inventory[[#This Row],[Res Adj ]],-2)</f>
        <v>285400</v>
      </c>
      <c r="BM1330" s="30">
        <f>ROUND(Inventory[[#This Row],[25Det]]*Inventory[[#This Row],[Det/Nbhd Adj]],-2)</f>
        <v>2200</v>
      </c>
      <c r="BN1330" s="30">
        <f>Inventory[[#This Row],[Adjusted Res]]+Inventory[[#This Row],[Adj Det ]]</f>
        <v>287600</v>
      </c>
      <c r="BO1330" s="30">
        <f>ROUND((Inventory[[#This Row],[Mdl Land Intercept]]+Inventory[[#This Row],[Mdl LnAcres]])*Inventory[[#This Row],[Det/Nbhd Adj]],-2)</f>
        <v>69700</v>
      </c>
      <c r="BP1330" s="30">
        <f>Inventory[[#This Row],[Adjusted Impr Total]]+Inventory[[#This Row],[Adjusted Land Total]]</f>
        <v>357300</v>
      </c>
      <c r="BQ1330" s="30">
        <f>IFERROR((Inventory[[#This Row],[Adjusted Impr Total]]-Inventory[[#This Row],[24Bldg]])/Inventory[[#This Row],[24Bldg]],0)</f>
        <v>0.16155088852988692</v>
      </c>
      <c r="BR1330" s="43">
        <f>(Inventory[[#This Row],[Adjusted Land Total]]-Inventory[[#This Row],[24Lnd]])/Inventory[[#This Row],[24Lnd]]</f>
        <v>-1.1347517730496455E-2</v>
      </c>
      <c r="BS1330" s="43">
        <f>(Inventory[[#This Row],[Adjusted Total]]-Inventory[[#This Row],[24Final]])/Inventory[[#This Row],[24Final]]</f>
        <v>0.12323168814838101</v>
      </c>
    </row>
    <row r="1331" spans="1:71">
      <c r="A1331" s="30">
        <v>2025</v>
      </c>
      <c r="B1331" s="31" t="s">
        <v>1850</v>
      </c>
      <c r="C1331" s="36">
        <f>LN(Inventory[[#This Row],[Acres]])</f>
        <v>1.0681530811834012</v>
      </c>
      <c r="D1331" s="38">
        <v>2.91</v>
      </c>
      <c r="E1331" s="30">
        <v>126812</v>
      </c>
      <c r="F1331" s="31" t="s">
        <v>505</v>
      </c>
      <c r="G1331" s="31" t="s">
        <v>155</v>
      </c>
      <c r="H1331" s="31" t="s">
        <v>5</v>
      </c>
      <c r="I1331" s="31" t="s">
        <v>506</v>
      </c>
      <c r="J1331" s="31" t="s">
        <v>507</v>
      </c>
      <c r="K1331" s="31" t="s">
        <v>473</v>
      </c>
      <c r="L1331" s="31" t="s">
        <v>19</v>
      </c>
      <c r="M1331" s="31" t="s">
        <v>20</v>
      </c>
      <c r="N1331" s="31">
        <v>90</v>
      </c>
      <c r="O1331" s="31">
        <f>2024-Inventory[[#This Row],[YrBlt]]</f>
        <v>99</v>
      </c>
      <c r="P1331" s="31">
        <f>2024-Inventory[[#This Row],[EffYr]]</f>
        <v>56</v>
      </c>
      <c r="Q1331" s="30">
        <v>1925</v>
      </c>
      <c r="R1331" s="30">
        <v>1968</v>
      </c>
      <c r="S1331" s="30">
        <v>2092</v>
      </c>
      <c r="T1331" s="38">
        <v>660</v>
      </c>
      <c r="U1331" s="38">
        <v>224</v>
      </c>
      <c r="V1331" s="32"/>
      <c r="W1331" s="32"/>
      <c r="X1331" s="32">
        <f>Inventory[[#This Row],[Bsmt Area]]-Inventory[[#This Row],[FnBsmt]]</f>
        <v>224</v>
      </c>
      <c r="Y1331" s="32">
        <f>Inventory[[#This Row],[MainFn]]+Inventory[[#This Row],[UpprFn]]+Inventory[[#This Row],[AddFn]]+Inventory[[#This Row],[FnBsmt]]</f>
        <v>2752</v>
      </c>
      <c r="Z1331" s="32">
        <v>3000</v>
      </c>
      <c r="AA1331" s="31" t="s">
        <v>56</v>
      </c>
      <c r="AB1331" s="32"/>
      <c r="AC1331" s="37"/>
      <c r="AD1331" s="32"/>
      <c r="AE1331" s="32"/>
      <c r="AF1331" s="32"/>
      <c r="AG1331" s="32"/>
      <c r="AH1331" s="32"/>
      <c r="AI1331" s="30">
        <v>475217</v>
      </c>
      <c r="AJ1331" s="30">
        <v>313643</v>
      </c>
      <c r="AK1331" s="30">
        <v>57759</v>
      </c>
      <c r="AL1331" s="30">
        <v>0</v>
      </c>
      <c r="AM1331" s="30">
        <v>101500</v>
      </c>
      <c r="AN1331" s="30">
        <v>352200</v>
      </c>
      <c r="AO1331" s="30">
        <v>453700</v>
      </c>
      <c r="AP1331" s="30">
        <f>Lookups!$B$58*0.6</f>
        <v>132535.48800000001</v>
      </c>
      <c r="AQ1331" s="30">
        <f>Lookups!$B$58*0.4</f>
        <v>88356.992000000013</v>
      </c>
      <c r="AR1331" s="30">
        <f>Lookups!$B$59*Inventory[[#This Row],[LnAcres]]</f>
        <v>14018.783914590018</v>
      </c>
      <c r="AS1331" s="30">
        <f>VLOOKUP(Inventory[[#This Row],[Qlty]],Lookups!$A$66:$E$79,2,FALSE)</f>
        <v>37154.252388000001</v>
      </c>
      <c r="AT1331" s="30">
        <f>VLOOKUP(Inventory[[#This Row],[Cnd]],Lookups!$A$80:$E$88,2,FALSE)</f>
        <v>30300.329274</v>
      </c>
      <c r="AU1331" s="30">
        <f>Inventory[[#This Row],[EffAge]]*Lookups!$B$65</f>
        <v>-6089.5016000000005</v>
      </c>
      <c r="AV1331" s="30">
        <f>Inventory[[#This Row],[MainFn]]*Lookups!$B$90</f>
        <v>130562.51496</v>
      </c>
      <c r="AW1331" s="30">
        <f>Inventory[[#This Row],[UpprFn]]*Lookups!$B$91</f>
        <v>39323.052779999998</v>
      </c>
      <c r="AX1331" s="30">
        <f>Inventory[[#This Row],[Bsmt Area]]*Lookups!$B$95</f>
        <v>14019.375103999999</v>
      </c>
      <c r="AY1331" s="30">
        <f>Inventory[[#This Row],[AttGar]]*Lookups!$B$93</f>
        <v>0</v>
      </c>
      <c r="AZ1331" s="30">
        <f>ROUND(Inventory[[#This Row],[25Det]],-2)</f>
        <v>57800</v>
      </c>
      <c r="BA1331" s="30">
        <f>ROUND(SUM(Inventory[[#This Row],[Mdl Qlty]:[Mdl Garage Area]])+Inventory[[#This Row],[Mdl Res Intercept]],-2)</f>
        <v>377800</v>
      </c>
      <c r="BB1331" s="30">
        <f>ROUND(Inventory[[#This Row],[Mdl Land Intercept]]+Inventory[[#This Row],[Mdl LnAcres]],-2)</f>
        <v>102400</v>
      </c>
      <c r="BC1331" s="30">
        <f>Inventory[[#This Row],[Unadj Res Value]]+Inventory[[#This Row],[Unadj Det Value]]+Inventory[[#This Row],[Unadj Land Value]]</f>
        <v>538000</v>
      </c>
      <c r="BD1331" s="30">
        <f>(Inventory[[#This Row],[Unadj Total Value]]-Inventory[[#This Row],[24Final]])/Inventory[[#This Row],[24Final]]</f>
        <v>0.18580559841304828</v>
      </c>
      <c r="BE1331" s="30">
        <f>VLOOKUP(Inventory[[#This Row],[Nbhd]],Lookups!$M$3:$P$5,4,FALSE)</f>
        <v>0.99970000000000003</v>
      </c>
      <c r="BF1331" s="30">
        <f>VLOOKUP(Inventory[[#This Row],[Qlty]],Lookups!$M$8:$P$22,4,FALSE)</f>
        <v>0.99819999999999998</v>
      </c>
      <c r="BG1331" s="30">
        <f>VLOOKUP(Inventory[[#This Row],[Cnd]],Lookups!$R$8:$U$17,4,FALSE)</f>
        <v>0.997</v>
      </c>
      <c r="BH1331" s="30">
        <f>VLOOKUP(Inventory[[#This Row],[LivArea Range]],Lookups!$R$25:$U$43,4,FALSE)</f>
        <v>1.0099</v>
      </c>
      <c r="BI1331" s="30">
        <f>VLOOKUP(Inventory[[#This Row],[Decade]],Lookups!$M$24:$P$40,4,FALSE)</f>
        <v>0.99960000000000004</v>
      </c>
      <c r="BJ1331" s="30">
        <f>Inventory[[#This Row],[Nbhd Adj]]*0.95</f>
        <v>0.94971499999999998</v>
      </c>
      <c r="BK1331" s="30">
        <f>AVERAGE(Inventory[[#This Row],[Nbhd Adj]],Inventory[[#This Row],[Quality Adj]],Inventory[[#This Row],[Condition Adj]],Inventory[[#This Row],[Living Area Adj]],Inventory[[#This Row],[Decade Adj]])*0.95</f>
        <v>0.9508359999999999</v>
      </c>
      <c r="BL1331" s="30">
        <f>ROUND((SUM(Inventory[[#This Row],[Mdl Qlty]:[Mdl Garage Area]])+Inventory[[#This Row],[Mdl Res Intercept]])*Inventory[[#This Row],[Res Adj ]],-2)</f>
        <v>359200</v>
      </c>
      <c r="BM1331" s="30">
        <f>ROUND(Inventory[[#This Row],[25Det]]*Inventory[[#This Row],[Det/Nbhd Adj]],-2)</f>
        <v>54900</v>
      </c>
      <c r="BN1331" s="30">
        <f>Inventory[[#This Row],[Adjusted Res]]+Inventory[[#This Row],[Adj Det ]]</f>
        <v>414100</v>
      </c>
      <c r="BO1331" s="30">
        <f>ROUND((Inventory[[#This Row],[Mdl Land Intercept]]+Inventory[[#This Row],[Mdl LnAcres]])*Inventory[[#This Row],[Det/Nbhd Adj]],-2)</f>
        <v>97200</v>
      </c>
      <c r="BP1331" s="30">
        <f>Inventory[[#This Row],[Adjusted Impr Total]]+Inventory[[#This Row],[Adjusted Land Total]]</f>
        <v>511300</v>
      </c>
      <c r="BQ1331" s="30">
        <f>IFERROR((Inventory[[#This Row],[Adjusted Impr Total]]-Inventory[[#This Row],[24Bldg]])/Inventory[[#This Row],[24Bldg]],0)</f>
        <v>0.17575241340147643</v>
      </c>
      <c r="BR1331" s="43">
        <f>(Inventory[[#This Row],[Adjusted Land Total]]-Inventory[[#This Row],[24Lnd]])/Inventory[[#This Row],[24Lnd]]</f>
        <v>-4.2364532019704436E-2</v>
      </c>
      <c r="BS1331" s="43">
        <f>(Inventory[[#This Row],[Adjusted Total]]-Inventory[[#This Row],[24Final]])/Inventory[[#This Row],[24Final]]</f>
        <v>0.12695613841745648</v>
      </c>
    </row>
    <row r="1332" spans="1:71">
      <c r="A1332" s="30">
        <v>2025</v>
      </c>
      <c r="B1332" s="31" t="s">
        <v>1851</v>
      </c>
      <c r="C1332" s="36">
        <f>LN(Inventory[[#This Row],[Acres]])</f>
        <v>-2.120263536200091</v>
      </c>
      <c r="D1332" s="38">
        <v>0.12</v>
      </c>
      <c r="E1332" s="37"/>
      <c r="F1332" s="31" t="s">
        <v>505</v>
      </c>
      <c r="G1332" s="31" t="s">
        <v>155</v>
      </c>
      <c r="H1332" s="31" t="s">
        <v>5</v>
      </c>
      <c r="I1332" s="31" t="s">
        <v>506</v>
      </c>
      <c r="J1332" s="31" t="s">
        <v>507</v>
      </c>
      <c r="K1332" s="31" t="s">
        <v>157</v>
      </c>
      <c r="L1332" s="31" t="s">
        <v>15</v>
      </c>
      <c r="M1332" s="31" t="s">
        <v>18</v>
      </c>
      <c r="N1332" s="31">
        <v>100</v>
      </c>
      <c r="O1332" s="31">
        <f>2024-Inventory[[#This Row],[YrBlt]]</f>
        <v>104</v>
      </c>
      <c r="P1332" s="31">
        <f>2024-Inventory[[#This Row],[EffYr]]</f>
        <v>58</v>
      </c>
      <c r="Q1332" s="30">
        <v>1920</v>
      </c>
      <c r="R1332" s="30">
        <v>1966</v>
      </c>
      <c r="S1332" s="30">
        <v>1184</v>
      </c>
      <c r="T1332" s="38">
        <v>520</v>
      </c>
      <c r="U1332" s="32"/>
      <c r="V1332" s="32"/>
      <c r="W1332" s="32"/>
      <c r="X1332" s="32">
        <f>Inventory[[#This Row],[Bsmt Area]]-Inventory[[#This Row],[FnBsmt]]</f>
        <v>0</v>
      </c>
      <c r="Y1332" s="32">
        <f>Inventory[[#This Row],[MainFn]]+Inventory[[#This Row],[UpprFn]]+Inventory[[#This Row],[AddFn]]+Inventory[[#This Row],[FnBsmt]]</f>
        <v>1704</v>
      </c>
      <c r="Z1332" s="32">
        <v>2000</v>
      </c>
      <c r="AA1332" s="31" t="s">
        <v>55</v>
      </c>
      <c r="AB1332" s="32"/>
      <c r="AC1332" s="37"/>
      <c r="AD1332" s="32"/>
      <c r="AE1332" s="32"/>
      <c r="AF1332" s="32"/>
      <c r="AG1332" s="32"/>
      <c r="AH1332" s="32"/>
      <c r="AI1332" s="30">
        <v>246231</v>
      </c>
      <c r="AJ1332" s="30">
        <v>152663</v>
      </c>
      <c r="AK1332" s="30">
        <v>8212</v>
      </c>
      <c r="AL1332" s="30">
        <v>0</v>
      </c>
      <c r="AM1332" s="30">
        <v>56800</v>
      </c>
      <c r="AN1332" s="30">
        <v>216300</v>
      </c>
      <c r="AO1332" s="30">
        <v>273100</v>
      </c>
      <c r="AP1332" s="30">
        <f>Lookups!$B$58*0.6</f>
        <v>132535.48800000001</v>
      </c>
      <c r="AQ1332" s="30">
        <f>Lookups!$B$58*0.4</f>
        <v>88356.992000000013</v>
      </c>
      <c r="AR1332" s="30">
        <f>Lookups!$B$59*Inventory[[#This Row],[LnAcres]]</f>
        <v>-27827.019253685114</v>
      </c>
      <c r="AS1332" s="30">
        <f>VLOOKUP(Inventory[[#This Row],[Qlty]],Lookups!$A$66:$E$79,2,FALSE)</f>
        <v>-1240.8083630000001</v>
      </c>
      <c r="AT1332" s="30">
        <f>VLOOKUP(Inventory[[#This Row],[Cnd]],Lookups!$A$80:$E$88,2,FALSE)</f>
        <v>17761.121909000001</v>
      </c>
      <c r="AU1332" s="30">
        <f>Inventory[[#This Row],[EffAge]]*Lookups!$B$65</f>
        <v>-6306.9838</v>
      </c>
      <c r="AV1332" s="30">
        <f>Inventory[[#This Row],[MainFn]]*Lookups!$B$90</f>
        <v>73893.889920000001</v>
      </c>
      <c r="AW1332" s="30">
        <f>Inventory[[#This Row],[UpprFn]]*Lookups!$B$91</f>
        <v>30981.799159999999</v>
      </c>
      <c r="AX1332" s="30">
        <f>Inventory[[#This Row],[Bsmt Area]]*Lookups!$B$95</f>
        <v>0</v>
      </c>
      <c r="AY1332" s="30">
        <f>Inventory[[#This Row],[AttGar]]*Lookups!$B$93</f>
        <v>0</v>
      </c>
      <c r="AZ1332" s="30">
        <f>ROUND(Inventory[[#This Row],[25Det]],-2)</f>
        <v>8200</v>
      </c>
      <c r="BA1332" s="30">
        <f>ROUND(SUM(Inventory[[#This Row],[Mdl Qlty]:[Mdl Garage Area]])+Inventory[[#This Row],[Mdl Res Intercept]],-2)</f>
        <v>247600</v>
      </c>
      <c r="BB1332" s="30">
        <f>ROUND(Inventory[[#This Row],[Mdl Land Intercept]]+Inventory[[#This Row],[Mdl LnAcres]],-2)</f>
        <v>60500</v>
      </c>
      <c r="BC1332" s="30">
        <f>Inventory[[#This Row],[Unadj Res Value]]+Inventory[[#This Row],[Unadj Det Value]]+Inventory[[#This Row],[Unadj Land Value]]</f>
        <v>316300</v>
      </c>
      <c r="BD1332" s="30">
        <f>(Inventory[[#This Row],[Unadj Total Value]]-Inventory[[#This Row],[24Final]])/Inventory[[#This Row],[24Final]]</f>
        <v>0.1581838154522153</v>
      </c>
      <c r="BE1332" s="30">
        <f>VLOOKUP(Inventory[[#This Row],[Nbhd]],Lookups!$M$3:$P$5,4,FALSE)</f>
        <v>0.99970000000000003</v>
      </c>
      <c r="BF1332" s="30">
        <f>VLOOKUP(Inventory[[#This Row],[Qlty]],Lookups!$M$8:$P$22,4,FALSE)</f>
        <v>1.0022</v>
      </c>
      <c r="BG1332" s="30">
        <f>VLOOKUP(Inventory[[#This Row],[Cnd]],Lookups!$R$8:$U$17,4,FALSE)</f>
        <v>0.99680000000000002</v>
      </c>
      <c r="BH1332" s="30">
        <f>VLOOKUP(Inventory[[#This Row],[LivArea Range]],Lookups!$R$25:$U$43,4,FALSE)</f>
        <v>1.0007999999999999</v>
      </c>
      <c r="BI1332" s="30">
        <f>VLOOKUP(Inventory[[#This Row],[Decade]],Lookups!$M$24:$P$40,4,FALSE)</f>
        <v>0.99960000000000004</v>
      </c>
      <c r="BJ1332" s="30">
        <f>Inventory[[#This Row],[Nbhd Adj]]*0.95</f>
        <v>0.94971499999999998</v>
      </c>
      <c r="BK1332" s="30">
        <f>AVERAGE(Inventory[[#This Row],[Nbhd Adj]],Inventory[[#This Row],[Quality Adj]],Inventory[[#This Row],[Condition Adj]],Inventory[[#This Row],[Living Area Adj]],Inventory[[#This Row],[Decade Adj]])*0.95</f>
        <v>0.94982900000000003</v>
      </c>
      <c r="BL1332" s="30">
        <f>ROUND((SUM(Inventory[[#This Row],[Mdl Qlty]:[Mdl Garage Area]])+Inventory[[#This Row],[Mdl Res Intercept]])*Inventory[[#This Row],[Res Adj ]],-2)</f>
        <v>235200</v>
      </c>
      <c r="BM1332" s="30">
        <f>ROUND(Inventory[[#This Row],[25Det]]*Inventory[[#This Row],[Det/Nbhd Adj]],-2)</f>
        <v>7800</v>
      </c>
      <c r="BN1332" s="30">
        <f>Inventory[[#This Row],[Adjusted Res]]+Inventory[[#This Row],[Adj Det ]]</f>
        <v>243000</v>
      </c>
      <c r="BO1332" s="30">
        <f>ROUND((Inventory[[#This Row],[Mdl Land Intercept]]+Inventory[[#This Row],[Mdl LnAcres]])*Inventory[[#This Row],[Det/Nbhd Adj]],-2)</f>
        <v>57500</v>
      </c>
      <c r="BP1332" s="30">
        <f>Inventory[[#This Row],[Adjusted Impr Total]]+Inventory[[#This Row],[Adjusted Land Total]]</f>
        <v>300500</v>
      </c>
      <c r="BQ1332" s="30">
        <f>IFERROR((Inventory[[#This Row],[Adjusted Impr Total]]-Inventory[[#This Row],[24Bldg]])/Inventory[[#This Row],[24Bldg]],0)</f>
        <v>0.12343966712898752</v>
      </c>
      <c r="BR1332" s="43">
        <f>(Inventory[[#This Row],[Adjusted Land Total]]-Inventory[[#This Row],[24Lnd]])/Inventory[[#This Row],[24Lnd]]</f>
        <v>1.232394366197183E-2</v>
      </c>
      <c r="BS1332" s="43">
        <f>(Inventory[[#This Row],[Adjusted Total]]-Inventory[[#This Row],[24Final]])/Inventory[[#This Row],[24Final]]</f>
        <v>0.10032954961552545</v>
      </c>
    </row>
    <row r="1333" spans="1:71">
      <c r="A1333" s="30">
        <v>2025</v>
      </c>
      <c r="B1333" s="31" t="s">
        <v>1852</v>
      </c>
      <c r="C1333" s="36">
        <f>LN(Inventory[[#This Row],[Acres]])</f>
        <v>-2.0402208285265546</v>
      </c>
      <c r="D1333" s="38">
        <v>0.13</v>
      </c>
      <c r="E1333" s="30">
        <v>5490</v>
      </c>
      <c r="F1333" s="31" t="s">
        <v>505</v>
      </c>
      <c r="G1333" s="31" t="s">
        <v>155</v>
      </c>
      <c r="H1333" s="31" t="s">
        <v>5</v>
      </c>
      <c r="I1333" s="31" t="s">
        <v>506</v>
      </c>
      <c r="J1333" s="31" t="s">
        <v>507</v>
      </c>
      <c r="K1333" s="31" t="s">
        <v>473</v>
      </c>
      <c r="L1333" s="31" t="s">
        <v>17</v>
      </c>
      <c r="M1333" s="31" t="s">
        <v>20</v>
      </c>
      <c r="N1333" s="31">
        <v>100</v>
      </c>
      <c r="O1333" s="31">
        <f>2024-Inventory[[#This Row],[YrBlt]]</f>
        <v>104</v>
      </c>
      <c r="P1333" s="31">
        <f>2024-Inventory[[#This Row],[EffYr]]</f>
        <v>58</v>
      </c>
      <c r="Q1333" s="30">
        <v>1920</v>
      </c>
      <c r="R1333" s="30">
        <v>1966</v>
      </c>
      <c r="S1333" s="30">
        <v>864</v>
      </c>
      <c r="T1333" s="30">
        <v>600</v>
      </c>
      <c r="U1333" s="38">
        <v>100</v>
      </c>
      <c r="V1333" s="32"/>
      <c r="W1333" s="32"/>
      <c r="X1333" s="32">
        <f>Inventory[[#This Row],[Bsmt Area]]-Inventory[[#This Row],[FnBsmt]]</f>
        <v>100</v>
      </c>
      <c r="Y1333" s="32">
        <f>Inventory[[#This Row],[MainFn]]+Inventory[[#This Row],[UpprFn]]+Inventory[[#This Row],[AddFn]]+Inventory[[#This Row],[FnBsmt]]</f>
        <v>1464</v>
      </c>
      <c r="Z1333" s="32">
        <v>1500</v>
      </c>
      <c r="AA1333" s="31" t="s">
        <v>56</v>
      </c>
      <c r="AB1333" s="37"/>
      <c r="AC1333" s="37"/>
      <c r="AD1333" s="37"/>
      <c r="AE1333" s="32"/>
      <c r="AF1333" s="32"/>
      <c r="AG1333" s="32"/>
      <c r="AH1333" s="32"/>
      <c r="AI1333" s="30">
        <v>230352</v>
      </c>
      <c r="AJ1333" s="30">
        <v>147425</v>
      </c>
      <c r="AK1333" s="30">
        <v>0</v>
      </c>
      <c r="AL1333" s="30">
        <v>0</v>
      </c>
      <c r="AM1333" s="30">
        <v>57900</v>
      </c>
      <c r="AN1333" s="30">
        <v>226300</v>
      </c>
      <c r="AO1333" s="30">
        <v>284200</v>
      </c>
      <c r="AP1333" s="30">
        <f>Lookups!$B$58*0.6</f>
        <v>132535.48800000001</v>
      </c>
      <c r="AQ1333" s="30">
        <f>Lookups!$B$58*0.4</f>
        <v>88356.992000000013</v>
      </c>
      <c r="AR1333" s="30">
        <f>Lookups!$B$59*Inventory[[#This Row],[LnAcres]]</f>
        <v>-26776.513064468461</v>
      </c>
      <c r="AS1333" s="30">
        <f>VLOOKUP(Inventory[[#This Row],[Qlty]],Lookups!$A$66:$E$79,2,FALSE)</f>
        <v>24371.765965999999</v>
      </c>
      <c r="AT1333" s="30">
        <f>VLOOKUP(Inventory[[#This Row],[Cnd]],Lookups!$A$80:$E$88,2,FALSE)</f>
        <v>30300.329274</v>
      </c>
      <c r="AU1333" s="30">
        <f>Inventory[[#This Row],[EffAge]]*Lookups!$B$65</f>
        <v>-6306.9838</v>
      </c>
      <c r="AV1333" s="30">
        <f>Inventory[[#This Row],[MainFn]]*Lookups!$B$90</f>
        <v>53922.568320000006</v>
      </c>
      <c r="AW1333" s="30">
        <f>Inventory[[#This Row],[UpprFn]]*Lookups!$B$91</f>
        <v>35748.229800000001</v>
      </c>
      <c r="AX1333" s="30">
        <f>Inventory[[#This Row],[Bsmt Area]]*Lookups!$B$95</f>
        <v>6258.6495999999997</v>
      </c>
      <c r="AY1333" s="30">
        <f>Inventory[[#This Row],[AttGar]]*Lookups!$B$93</f>
        <v>0</v>
      </c>
      <c r="AZ1333" s="30">
        <f>ROUND(Inventory[[#This Row],[25Det]],-2)</f>
        <v>0</v>
      </c>
      <c r="BA1333" s="30">
        <f>ROUND(SUM(Inventory[[#This Row],[Mdl Qlty]:[Mdl Garage Area]])+Inventory[[#This Row],[Mdl Res Intercept]],-2)</f>
        <v>276800</v>
      </c>
      <c r="BB1333" s="30">
        <f>ROUND(Inventory[[#This Row],[Mdl Land Intercept]]+Inventory[[#This Row],[Mdl LnAcres]],-2)</f>
        <v>61600</v>
      </c>
      <c r="BC1333" s="30">
        <f>Inventory[[#This Row],[Unadj Res Value]]+Inventory[[#This Row],[Unadj Det Value]]+Inventory[[#This Row],[Unadj Land Value]]</f>
        <v>338400</v>
      </c>
      <c r="BD1333" s="30">
        <f>(Inventory[[#This Row],[Unadj Total Value]]-Inventory[[#This Row],[24Final]])/Inventory[[#This Row],[24Final]]</f>
        <v>0.19071076706544687</v>
      </c>
      <c r="BE1333" s="30">
        <f>VLOOKUP(Inventory[[#This Row],[Nbhd]],Lookups!$M$3:$P$5,4,FALSE)</f>
        <v>0.99970000000000003</v>
      </c>
      <c r="BF1333" s="30">
        <f>VLOOKUP(Inventory[[#This Row],[Qlty]],Lookups!$M$8:$P$22,4,FALSE)</f>
        <v>0.99199999999999999</v>
      </c>
      <c r="BG1333" s="30">
        <f>VLOOKUP(Inventory[[#This Row],[Cnd]],Lookups!$R$8:$U$17,4,FALSE)</f>
        <v>0.997</v>
      </c>
      <c r="BH1333" s="30">
        <f>VLOOKUP(Inventory[[#This Row],[LivArea Range]],Lookups!$R$25:$U$43,4,FALSE)</f>
        <v>0.99519999999999997</v>
      </c>
      <c r="BI1333" s="30">
        <f>VLOOKUP(Inventory[[#This Row],[Decade]],Lookups!$M$24:$P$40,4,FALSE)</f>
        <v>0.99960000000000004</v>
      </c>
      <c r="BJ1333" s="30">
        <f>Inventory[[#This Row],[Nbhd Adj]]*0.95</f>
        <v>0.94971499999999998</v>
      </c>
      <c r="BK1333" s="30">
        <f>AVERAGE(Inventory[[#This Row],[Nbhd Adj]],Inventory[[#This Row],[Quality Adj]],Inventory[[#This Row],[Condition Adj]],Inventory[[#This Row],[Living Area Adj]],Inventory[[#This Row],[Decade Adj]])*0.95</f>
        <v>0.94686499999999996</v>
      </c>
      <c r="BL1333" s="30">
        <f>ROUND((SUM(Inventory[[#This Row],[Mdl Qlty]:[Mdl Garage Area]])+Inventory[[#This Row],[Mdl Res Intercept]])*Inventory[[#This Row],[Res Adj ]],-2)</f>
        <v>262100</v>
      </c>
      <c r="BM1333" s="30">
        <f>ROUND(Inventory[[#This Row],[25Det]]*Inventory[[#This Row],[Det/Nbhd Adj]],-2)</f>
        <v>0</v>
      </c>
      <c r="BN1333" s="30">
        <f>Inventory[[#This Row],[Adjusted Res]]+Inventory[[#This Row],[Adj Det ]]</f>
        <v>262100</v>
      </c>
      <c r="BO1333" s="30">
        <f>ROUND((Inventory[[#This Row],[Mdl Land Intercept]]+Inventory[[#This Row],[Mdl LnAcres]])*Inventory[[#This Row],[Det/Nbhd Adj]],-2)</f>
        <v>58500</v>
      </c>
      <c r="BP1333" s="30">
        <f>Inventory[[#This Row],[Adjusted Impr Total]]+Inventory[[#This Row],[Adjusted Land Total]]</f>
        <v>320600</v>
      </c>
      <c r="BQ1333" s="30">
        <f>IFERROR((Inventory[[#This Row],[Adjusted Impr Total]]-Inventory[[#This Row],[24Bldg]])/Inventory[[#This Row],[24Bldg]],0)</f>
        <v>0.15819708351745471</v>
      </c>
      <c r="BR1333" s="43">
        <f>(Inventory[[#This Row],[Adjusted Land Total]]-Inventory[[#This Row],[24Lnd]])/Inventory[[#This Row],[24Lnd]]</f>
        <v>1.0362694300518135E-2</v>
      </c>
      <c r="BS1333" s="43">
        <f>(Inventory[[#This Row],[Adjusted Total]]-Inventory[[#This Row],[24Final]])/Inventory[[#This Row],[24Final]]</f>
        <v>0.12807881773399016</v>
      </c>
    </row>
    <row r="1334" spans="1:71">
      <c r="A1334" s="30">
        <v>2025</v>
      </c>
      <c r="B1334" s="31" t="s">
        <v>1853</v>
      </c>
      <c r="C1334" s="36">
        <f>LN(Inventory[[#This Row],[Acres]])</f>
        <v>-2.0402208285265546</v>
      </c>
      <c r="D1334" s="38">
        <v>0.13</v>
      </c>
      <c r="E1334" s="30">
        <v>5490</v>
      </c>
      <c r="F1334" s="31" t="s">
        <v>505</v>
      </c>
      <c r="G1334" s="31" t="s">
        <v>155</v>
      </c>
      <c r="H1334" s="31" t="s">
        <v>5</v>
      </c>
      <c r="I1334" s="31" t="s">
        <v>506</v>
      </c>
      <c r="J1334" s="31" t="s">
        <v>507</v>
      </c>
      <c r="K1334" s="31" t="s">
        <v>473</v>
      </c>
      <c r="L1334" s="31" t="s">
        <v>17</v>
      </c>
      <c r="M1334" s="31" t="s">
        <v>20</v>
      </c>
      <c r="N1334" s="31">
        <v>100</v>
      </c>
      <c r="O1334" s="31">
        <f>2024-Inventory[[#This Row],[YrBlt]]</f>
        <v>104</v>
      </c>
      <c r="P1334" s="31">
        <f>2024-Inventory[[#This Row],[EffYr]]</f>
        <v>58</v>
      </c>
      <c r="Q1334" s="30">
        <v>1920</v>
      </c>
      <c r="R1334" s="30">
        <v>1966</v>
      </c>
      <c r="S1334" s="30">
        <v>1389</v>
      </c>
      <c r="T1334" s="32"/>
      <c r="U1334" s="38">
        <v>240</v>
      </c>
      <c r="V1334" s="32"/>
      <c r="W1334" s="38">
        <v>240</v>
      </c>
      <c r="X1334" s="38">
        <f>Inventory[[#This Row],[Bsmt Area]]-Inventory[[#This Row],[FnBsmt]]</f>
        <v>0</v>
      </c>
      <c r="Y1334" s="38">
        <f>Inventory[[#This Row],[MainFn]]+Inventory[[#This Row],[UpprFn]]+Inventory[[#This Row],[AddFn]]+Inventory[[#This Row],[FnBsmt]]</f>
        <v>1629</v>
      </c>
      <c r="Z1334" s="32">
        <v>2000</v>
      </c>
      <c r="AA1334" s="31" t="s">
        <v>56</v>
      </c>
      <c r="AB1334" s="32"/>
      <c r="AC1334" s="37"/>
      <c r="AD1334" s="32"/>
      <c r="AE1334" s="32"/>
      <c r="AF1334" s="32"/>
      <c r="AG1334" s="32"/>
      <c r="AH1334" s="32"/>
      <c r="AI1334" s="30">
        <v>253976</v>
      </c>
      <c r="AJ1334" s="30">
        <v>162545</v>
      </c>
      <c r="AK1334" s="30">
        <v>3166</v>
      </c>
      <c r="AL1334" s="30">
        <v>0</v>
      </c>
      <c r="AM1334" s="30">
        <v>57900</v>
      </c>
      <c r="AN1334" s="30">
        <v>218500</v>
      </c>
      <c r="AO1334" s="30">
        <v>276400</v>
      </c>
      <c r="AP1334" s="30">
        <f>Lookups!$B$58*0.6</f>
        <v>132535.48800000001</v>
      </c>
      <c r="AQ1334" s="30">
        <f>Lookups!$B$58*0.4</f>
        <v>88356.992000000013</v>
      </c>
      <c r="AR1334" s="30">
        <f>Lookups!$B$59*Inventory[[#This Row],[LnAcres]]</f>
        <v>-26776.513064468461</v>
      </c>
      <c r="AS1334" s="30">
        <f>VLOOKUP(Inventory[[#This Row],[Qlty]],Lookups!$A$66:$E$79,2,FALSE)</f>
        <v>24371.765965999999</v>
      </c>
      <c r="AT1334" s="30">
        <f>VLOOKUP(Inventory[[#This Row],[Cnd]],Lookups!$A$80:$E$88,2,FALSE)</f>
        <v>30300.329274</v>
      </c>
      <c r="AU1334" s="30">
        <f>Inventory[[#This Row],[EffAge]]*Lookups!$B$65</f>
        <v>-6306.9838</v>
      </c>
      <c r="AV1334" s="30">
        <f>Inventory[[#This Row],[MainFn]]*Lookups!$B$90</f>
        <v>86688.017820000008</v>
      </c>
      <c r="AW1334" s="30">
        <f>Inventory[[#This Row],[UpprFn]]*Lookups!$B$91</f>
        <v>0</v>
      </c>
      <c r="AX1334" s="30">
        <f>Inventory[[#This Row],[Bsmt Area]]*Lookups!$B$95</f>
        <v>15020.759039999999</v>
      </c>
      <c r="AY1334" s="30">
        <f>Inventory[[#This Row],[AttGar]]*Lookups!$B$93</f>
        <v>0</v>
      </c>
      <c r="AZ1334" s="30">
        <f>ROUND(Inventory[[#This Row],[25Det]],-2)</f>
        <v>3200</v>
      </c>
      <c r="BA1334" s="30">
        <f>ROUND(SUM(Inventory[[#This Row],[Mdl Qlty]:[Mdl Garage Area]])+Inventory[[#This Row],[Mdl Res Intercept]],-2)</f>
        <v>282600</v>
      </c>
      <c r="BB1334" s="30">
        <f>ROUND(Inventory[[#This Row],[Mdl Land Intercept]]+Inventory[[#This Row],[Mdl LnAcres]],-2)</f>
        <v>61600</v>
      </c>
      <c r="BC1334" s="30">
        <f>Inventory[[#This Row],[Unadj Res Value]]+Inventory[[#This Row],[Unadj Det Value]]+Inventory[[#This Row],[Unadj Land Value]]</f>
        <v>347400</v>
      </c>
      <c r="BD1334" s="30">
        <f>(Inventory[[#This Row],[Unadj Total Value]]-Inventory[[#This Row],[24Final]])/Inventory[[#This Row],[24Final]]</f>
        <v>0.25687409551374818</v>
      </c>
      <c r="BE1334" s="30">
        <f>VLOOKUP(Inventory[[#This Row],[Nbhd]],Lookups!$M$3:$P$5,4,FALSE)</f>
        <v>0.99970000000000003</v>
      </c>
      <c r="BF1334" s="30">
        <f>VLOOKUP(Inventory[[#This Row],[Qlty]],Lookups!$M$8:$P$22,4,FALSE)</f>
        <v>0.99199999999999999</v>
      </c>
      <c r="BG1334" s="30">
        <f>VLOOKUP(Inventory[[#This Row],[Cnd]],Lookups!$R$8:$U$17,4,FALSE)</f>
        <v>0.997</v>
      </c>
      <c r="BH1334" s="30">
        <f>VLOOKUP(Inventory[[#This Row],[LivArea Range]],Lookups!$R$25:$U$43,4,FALSE)</f>
        <v>1.0007999999999999</v>
      </c>
      <c r="BI1334" s="30">
        <f>VLOOKUP(Inventory[[#This Row],[Decade]],Lookups!$M$24:$P$40,4,FALSE)</f>
        <v>0.99960000000000004</v>
      </c>
      <c r="BJ1334" s="30">
        <f>Inventory[[#This Row],[Nbhd Adj]]*0.95</f>
        <v>0.94971499999999998</v>
      </c>
      <c r="BK1334" s="30">
        <f>AVERAGE(Inventory[[#This Row],[Nbhd Adj]],Inventory[[#This Row],[Quality Adj]],Inventory[[#This Row],[Condition Adj]],Inventory[[#This Row],[Living Area Adj]],Inventory[[#This Row],[Decade Adj]])*0.95</f>
        <v>0.94792900000000013</v>
      </c>
      <c r="BL1334" s="30">
        <f>ROUND((SUM(Inventory[[#This Row],[Mdl Qlty]:[Mdl Garage Area]])+Inventory[[#This Row],[Mdl Res Intercept]])*Inventory[[#This Row],[Res Adj ]],-2)</f>
        <v>267900</v>
      </c>
      <c r="BM1334" s="30">
        <f>ROUND(Inventory[[#This Row],[25Det]]*Inventory[[#This Row],[Det/Nbhd Adj]],-2)</f>
        <v>3000</v>
      </c>
      <c r="BN1334" s="30">
        <f>Inventory[[#This Row],[Adjusted Res]]+Inventory[[#This Row],[Adj Det ]]</f>
        <v>270900</v>
      </c>
      <c r="BO1334" s="30">
        <f>ROUND((Inventory[[#This Row],[Mdl Land Intercept]]+Inventory[[#This Row],[Mdl LnAcres]])*Inventory[[#This Row],[Det/Nbhd Adj]],-2)</f>
        <v>58500</v>
      </c>
      <c r="BP1334" s="30">
        <f>Inventory[[#This Row],[Adjusted Impr Total]]+Inventory[[#This Row],[Adjusted Land Total]]</f>
        <v>329400</v>
      </c>
      <c r="BQ1334" s="30">
        <f>IFERROR((Inventory[[#This Row],[Adjusted Impr Total]]-Inventory[[#This Row],[24Bldg]])/Inventory[[#This Row],[24Bldg]],0)</f>
        <v>0.23981693363844395</v>
      </c>
      <c r="BR1334" s="43">
        <f>(Inventory[[#This Row],[Adjusted Land Total]]-Inventory[[#This Row],[24Lnd]])/Inventory[[#This Row],[24Lnd]]</f>
        <v>1.0362694300518135E-2</v>
      </c>
      <c r="BS1334" s="43">
        <f>(Inventory[[#This Row],[Adjusted Total]]-Inventory[[#This Row],[24Final]])/Inventory[[#This Row],[24Final]]</f>
        <v>0.19175108538350216</v>
      </c>
    </row>
    <row r="1335" spans="1:71">
      <c r="A1335" s="30">
        <v>2025</v>
      </c>
      <c r="B1335" s="31" t="s">
        <v>1854</v>
      </c>
      <c r="C1335" s="36">
        <f>LN(Inventory[[#This Row],[Acres]])</f>
        <v>-2.0402208285265546</v>
      </c>
      <c r="D1335" s="38">
        <v>0.13</v>
      </c>
      <c r="E1335" s="30">
        <v>5756</v>
      </c>
      <c r="F1335" s="31" t="s">
        <v>505</v>
      </c>
      <c r="G1335" s="31" t="s">
        <v>155</v>
      </c>
      <c r="H1335" s="31" t="s">
        <v>5</v>
      </c>
      <c r="I1335" s="31" t="s">
        <v>506</v>
      </c>
      <c r="J1335" s="31" t="s">
        <v>507</v>
      </c>
      <c r="K1335" s="31" t="s">
        <v>157</v>
      </c>
      <c r="L1335" s="31" t="s">
        <v>15</v>
      </c>
      <c r="M1335" s="31" t="s">
        <v>20</v>
      </c>
      <c r="N1335" s="31">
        <v>100</v>
      </c>
      <c r="O1335" s="31">
        <f>2024-Inventory[[#This Row],[YrBlt]]</f>
        <v>104</v>
      </c>
      <c r="P1335" s="31">
        <f>2024-Inventory[[#This Row],[EffYr]]</f>
        <v>58</v>
      </c>
      <c r="Q1335" s="30">
        <v>1920</v>
      </c>
      <c r="R1335" s="30">
        <v>1966</v>
      </c>
      <c r="S1335" s="30">
        <v>759</v>
      </c>
      <c r="T1335" s="38">
        <v>200</v>
      </c>
      <c r="U1335" s="32"/>
      <c r="V1335" s="32"/>
      <c r="W1335" s="32"/>
      <c r="X1335" s="32">
        <f>Inventory[[#This Row],[Bsmt Area]]-Inventory[[#This Row],[FnBsmt]]</f>
        <v>0</v>
      </c>
      <c r="Y1335" s="32">
        <f>Inventory[[#This Row],[MainFn]]+Inventory[[#This Row],[UpprFn]]+Inventory[[#This Row],[AddFn]]+Inventory[[#This Row],[FnBsmt]]</f>
        <v>959</v>
      </c>
      <c r="Z1335" s="32">
        <v>1000</v>
      </c>
      <c r="AA1335" s="31" t="s">
        <v>56</v>
      </c>
      <c r="AB1335" s="32"/>
      <c r="AC1335" s="37"/>
      <c r="AD1335" s="32"/>
      <c r="AE1335" s="32"/>
      <c r="AF1335" s="32"/>
      <c r="AG1335" s="32"/>
      <c r="AH1335" s="32"/>
      <c r="AI1335" s="30">
        <v>149377</v>
      </c>
      <c r="AJ1335" s="30">
        <v>95601</v>
      </c>
      <c r="AK1335" s="30">
        <v>37992</v>
      </c>
      <c r="AL1335" s="30">
        <v>0</v>
      </c>
      <c r="AM1335" s="30">
        <v>57900</v>
      </c>
      <c r="AN1335" s="30">
        <v>237200</v>
      </c>
      <c r="AO1335" s="30">
        <v>295100</v>
      </c>
      <c r="AP1335" s="30">
        <f>Lookups!$B$58*0.6</f>
        <v>132535.48800000001</v>
      </c>
      <c r="AQ1335" s="30">
        <f>Lookups!$B$58*0.4</f>
        <v>88356.992000000013</v>
      </c>
      <c r="AR1335" s="30">
        <f>Lookups!$B$59*Inventory[[#This Row],[LnAcres]]</f>
        <v>-26776.513064468461</v>
      </c>
      <c r="AS1335" s="30">
        <f>VLOOKUP(Inventory[[#This Row],[Qlty]],Lookups!$A$66:$E$79,2,FALSE)</f>
        <v>-1240.8083630000001</v>
      </c>
      <c r="AT1335" s="30">
        <f>VLOOKUP(Inventory[[#This Row],[Cnd]],Lookups!$A$80:$E$88,2,FALSE)</f>
        <v>30300.329274</v>
      </c>
      <c r="AU1335" s="30">
        <f>Inventory[[#This Row],[EffAge]]*Lookups!$B$65</f>
        <v>-6306.9838</v>
      </c>
      <c r="AV1335" s="30">
        <f>Inventory[[#This Row],[MainFn]]*Lookups!$B$90</f>
        <v>47369.478419999999</v>
      </c>
      <c r="AW1335" s="30">
        <f>Inventory[[#This Row],[UpprFn]]*Lookups!$B$91</f>
        <v>11916.0766</v>
      </c>
      <c r="AX1335" s="30">
        <f>Inventory[[#This Row],[Bsmt Area]]*Lookups!$B$95</f>
        <v>0</v>
      </c>
      <c r="AY1335" s="30">
        <f>Inventory[[#This Row],[AttGar]]*Lookups!$B$93</f>
        <v>0</v>
      </c>
      <c r="AZ1335" s="30">
        <f>ROUND(Inventory[[#This Row],[25Det]],-2)</f>
        <v>38000</v>
      </c>
      <c r="BA1335" s="30">
        <f>ROUND(SUM(Inventory[[#This Row],[Mdl Qlty]:[Mdl Garage Area]])+Inventory[[#This Row],[Mdl Res Intercept]],-2)</f>
        <v>214600</v>
      </c>
      <c r="BB1335" s="30">
        <f>ROUND(Inventory[[#This Row],[Mdl Land Intercept]]+Inventory[[#This Row],[Mdl LnAcres]],-2)</f>
        <v>61600</v>
      </c>
      <c r="BC1335" s="30">
        <f>Inventory[[#This Row],[Unadj Res Value]]+Inventory[[#This Row],[Unadj Det Value]]+Inventory[[#This Row],[Unadj Land Value]]</f>
        <v>314200</v>
      </c>
      <c r="BD1335" s="30">
        <f>(Inventory[[#This Row],[Unadj Total Value]]-Inventory[[#This Row],[24Final]])/Inventory[[#This Row],[24Final]]</f>
        <v>6.4723822433073536E-2</v>
      </c>
      <c r="BE1335" s="30">
        <f>VLOOKUP(Inventory[[#This Row],[Nbhd]],Lookups!$M$3:$P$5,4,FALSE)</f>
        <v>0.99970000000000003</v>
      </c>
      <c r="BF1335" s="30">
        <f>VLOOKUP(Inventory[[#This Row],[Qlty]],Lookups!$M$8:$P$22,4,FALSE)</f>
        <v>1.0022</v>
      </c>
      <c r="BG1335" s="30">
        <f>VLOOKUP(Inventory[[#This Row],[Cnd]],Lookups!$R$8:$U$17,4,FALSE)</f>
        <v>0.997</v>
      </c>
      <c r="BH1335" s="30">
        <f>VLOOKUP(Inventory[[#This Row],[LivArea Range]],Lookups!$R$25:$U$43,4,FALSE)</f>
        <v>1</v>
      </c>
      <c r="BI1335" s="30">
        <f>VLOOKUP(Inventory[[#This Row],[Decade]],Lookups!$M$24:$P$40,4,FALSE)</f>
        <v>0.99960000000000004</v>
      </c>
      <c r="BJ1335" s="30">
        <f>Inventory[[#This Row],[Nbhd Adj]]*0.95</f>
        <v>0.94971499999999998</v>
      </c>
      <c r="BK1335" s="30">
        <f>AVERAGE(Inventory[[#This Row],[Nbhd Adj]],Inventory[[#This Row],[Quality Adj]],Inventory[[#This Row],[Condition Adj]],Inventory[[#This Row],[Living Area Adj]],Inventory[[#This Row],[Decade Adj]])*0.95</f>
        <v>0.94971499999999998</v>
      </c>
      <c r="BL1335" s="30">
        <f>ROUND((SUM(Inventory[[#This Row],[Mdl Qlty]:[Mdl Garage Area]])+Inventory[[#This Row],[Mdl Res Intercept]])*Inventory[[#This Row],[Res Adj ]],-2)</f>
        <v>203800</v>
      </c>
      <c r="BM1335" s="30">
        <f>ROUND(Inventory[[#This Row],[25Det]]*Inventory[[#This Row],[Det/Nbhd Adj]],-2)</f>
        <v>36100</v>
      </c>
      <c r="BN1335" s="30">
        <f>Inventory[[#This Row],[Adjusted Res]]+Inventory[[#This Row],[Adj Det ]]</f>
        <v>239900</v>
      </c>
      <c r="BO1335" s="30">
        <f>ROUND((Inventory[[#This Row],[Mdl Land Intercept]]+Inventory[[#This Row],[Mdl LnAcres]])*Inventory[[#This Row],[Det/Nbhd Adj]],-2)</f>
        <v>58500</v>
      </c>
      <c r="BP1335" s="30">
        <f>Inventory[[#This Row],[Adjusted Impr Total]]+Inventory[[#This Row],[Adjusted Land Total]]</f>
        <v>298400</v>
      </c>
      <c r="BQ1335" s="30">
        <f>IFERROR((Inventory[[#This Row],[Adjusted Impr Total]]-Inventory[[#This Row],[24Bldg]])/Inventory[[#This Row],[24Bldg]],0)</f>
        <v>1.1382799325463743E-2</v>
      </c>
      <c r="BR1335" s="43">
        <f>(Inventory[[#This Row],[Adjusted Land Total]]-Inventory[[#This Row],[24Lnd]])/Inventory[[#This Row],[24Lnd]]</f>
        <v>1.0362694300518135E-2</v>
      </c>
      <c r="BS1335" s="43">
        <f>(Inventory[[#This Row],[Adjusted Total]]-Inventory[[#This Row],[24Final]])/Inventory[[#This Row],[24Final]]</f>
        <v>1.1182649949169773E-2</v>
      </c>
    </row>
    <row r="1336" spans="1:71">
      <c r="A1336" s="30">
        <v>2025</v>
      </c>
      <c r="B1336" s="31" t="s">
        <v>1855</v>
      </c>
      <c r="C1336" s="36">
        <f>LN(Inventory[[#This Row],[Acres]])</f>
        <v>-2.0402208285265546</v>
      </c>
      <c r="D1336" s="38">
        <v>0.13</v>
      </c>
      <c r="E1336" s="30">
        <v>5490</v>
      </c>
      <c r="F1336" s="31" t="s">
        <v>505</v>
      </c>
      <c r="G1336" s="31" t="s">
        <v>155</v>
      </c>
      <c r="H1336" s="31" t="s">
        <v>5</v>
      </c>
      <c r="I1336" s="31" t="s">
        <v>506</v>
      </c>
      <c r="J1336" s="31" t="s">
        <v>507</v>
      </c>
      <c r="K1336" s="31" t="s">
        <v>473</v>
      </c>
      <c r="L1336" s="31" t="s">
        <v>15</v>
      </c>
      <c r="M1336" s="31" t="s">
        <v>18</v>
      </c>
      <c r="N1336" s="31">
        <v>100</v>
      </c>
      <c r="O1336" s="31">
        <f>2024-Inventory[[#This Row],[YrBlt]]</f>
        <v>104</v>
      </c>
      <c r="P1336" s="31">
        <f>2024-Inventory[[#This Row],[EffYr]]</f>
        <v>58</v>
      </c>
      <c r="Q1336" s="30">
        <v>1920</v>
      </c>
      <c r="R1336" s="30">
        <v>1966</v>
      </c>
      <c r="S1336" s="30">
        <v>1172</v>
      </c>
      <c r="T1336" s="32"/>
      <c r="U1336" s="32"/>
      <c r="V1336" s="32"/>
      <c r="W1336" s="32"/>
      <c r="X1336" s="32">
        <f>Inventory[[#This Row],[Bsmt Area]]-Inventory[[#This Row],[FnBsmt]]</f>
        <v>0</v>
      </c>
      <c r="Y1336" s="32">
        <f>Inventory[[#This Row],[MainFn]]+Inventory[[#This Row],[UpprFn]]+Inventory[[#This Row],[AddFn]]+Inventory[[#This Row],[FnBsmt]]</f>
        <v>1172</v>
      </c>
      <c r="Z1336" s="32">
        <v>1500</v>
      </c>
      <c r="AA1336" s="31" t="s">
        <v>56</v>
      </c>
      <c r="AB1336" s="37"/>
      <c r="AC1336" s="37"/>
      <c r="AD1336" s="32"/>
      <c r="AE1336" s="32"/>
      <c r="AF1336" s="32"/>
      <c r="AG1336" s="32"/>
      <c r="AH1336" s="32"/>
      <c r="AI1336" s="30">
        <v>177750</v>
      </c>
      <c r="AJ1336" s="30">
        <v>110205</v>
      </c>
      <c r="AK1336" s="30">
        <v>19633</v>
      </c>
      <c r="AL1336" s="30">
        <v>0</v>
      </c>
      <c r="AM1336" s="30">
        <v>57900</v>
      </c>
      <c r="AN1336" s="30">
        <v>200600</v>
      </c>
      <c r="AO1336" s="30">
        <v>258500</v>
      </c>
      <c r="AP1336" s="30">
        <f>Lookups!$B$58*0.6</f>
        <v>132535.48800000001</v>
      </c>
      <c r="AQ1336" s="30">
        <f>Lookups!$B$58*0.4</f>
        <v>88356.992000000013</v>
      </c>
      <c r="AR1336" s="30">
        <f>Lookups!$B$59*Inventory[[#This Row],[LnAcres]]</f>
        <v>-26776.513064468461</v>
      </c>
      <c r="AS1336" s="30">
        <f>VLOOKUP(Inventory[[#This Row],[Qlty]],Lookups!$A$66:$E$79,2,FALSE)</f>
        <v>-1240.8083630000001</v>
      </c>
      <c r="AT1336" s="30">
        <f>VLOOKUP(Inventory[[#This Row],[Cnd]],Lookups!$A$80:$E$88,2,FALSE)</f>
        <v>17761.121909000001</v>
      </c>
      <c r="AU1336" s="30">
        <f>Inventory[[#This Row],[EffAge]]*Lookups!$B$65</f>
        <v>-6306.9838</v>
      </c>
      <c r="AV1336" s="30">
        <f>Inventory[[#This Row],[MainFn]]*Lookups!$B$90</f>
        <v>73144.965360000002</v>
      </c>
      <c r="AW1336" s="30">
        <f>Inventory[[#This Row],[UpprFn]]*Lookups!$B$91</f>
        <v>0</v>
      </c>
      <c r="AX1336" s="30">
        <f>Inventory[[#This Row],[Bsmt Area]]*Lookups!$B$95</f>
        <v>0</v>
      </c>
      <c r="AY1336" s="30">
        <f>Inventory[[#This Row],[AttGar]]*Lookups!$B$93</f>
        <v>0</v>
      </c>
      <c r="AZ1336" s="30">
        <f>ROUND(Inventory[[#This Row],[25Det]],-2)</f>
        <v>19600</v>
      </c>
      <c r="BA1336" s="30">
        <f>ROUND(SUM(Inventory[[#This Row],[Mdl Qlty]:[Mdl Garage Area]])+Inventory[[#This Row],[Mdl Res Intercept]],-2)</f>
        <v>215900</v>
      </c>
      <c r="BB1336" s="30">
        <f>ROUND(Inventory[[#This Row],[Mdl Land Intercept]]+Inventory[[#This Row],[Mdl LnAcres]],-2)</f>
        <v>61600</v>
      </c>
      <c r="BC1336" s="30">
        <f>Inventory[[#This Row],[Unadj Res Value]]+Inventory[[#This Row],[Unadj Det Value]]+Inventory[[#This Row],[Unadj Land Value]]</f>
        <v>297100</v>
      </c>
      <c r="BD1336" s="30">
        <f>(Inventory[[#This Row],[Unadj Total Value]]-Inventory[[#This Row],[24Final]])/Inventory[[#This Row],[24Final]]</f>
        <v>0.14932301740812379</v>
      </c>
      <c r="BE1336" s="30">
        <f>VLOOKUP(Inventory[[#This Row],[Nbhd]],Lookups!$M$3:$P$5,4,FALSE)</f>
        <v>0.99970000000000003</v>
      </c>
      <c r="BF1336" s="30">
        <f>VLOOKUP(Inventory[[#This Row],[Qlty]],Lookups!$M$8:$P$22,4,FALSE)</f>
        <v>1.0022</v>
      </c>
      <c r="BG1336" s="30">
        <f>VLOOKUP(Inventory[[#This Row],[Cnd]],Lookups!$R$8:$U$17,4,FALSE)</f>
        <v>0.99680000000000002</v>
      </c>
      <c r="BH1336" s="30">
        <f>VLOOKUP(Inventory[[#This Row],[LivArea Range]],Lookups!$R$25:$U$43,4,FALSE)</f>
        <v>0.99519999999999997</v>
      </c>
      <c r="BI1336" s="30">
        <f>VLOOKUP(Inventory[[#This Row],[Decade]],Lookups!$M$24:$P$40,4,FALSE)</f>
        <v>0.99960000000000004</v>
      </c>
      <c r="BJ1336" s="30">
        <f>Inventory[[#This Row],[Nbhd Adj]]*0.95</f>
        <v>0.94971499999999998</v>
      </c>
      <c r="BK1336" s="30">
        <f>AVERAGE(Inventory[[#This Row],[Nbhd Adj]],Inventory[[#This Row],[Quality Adj]],Inventory[[#This Row],[Condition Adj]],Inventory[[#This Row],[Living Area Adj]],Inventory[[#This Row],[Decade Adj]])*0.95</f>
        <v>0.94876499999999997</v>
      </c>
      <c r="BL1336" s="30">
        <f>ROUND((SUM(Inventory[[#This Row],[Mdl Qlty]:[Mdl Garage Area]])+Inventory[[#This Row],[Mdl Res Intercept]])*Inventory[[#This Row],[Res Adj ]],-2)</f>
        <v>204800</v>
      </c>
      <c r="BM1336" s="30">
        <f>ROUND(Inventory[[#This Row],[25Det]]*Inventory[[#This Row],[Det/Nbhd Adj]],-2)</f>
        <v>18600</v>
      </c>
      <c r="BN1336" s="30">
        <f>Inventory[[#This Row],[Adjusted Res]]+Inventory[[#This Row],[Adj Det ]]</f>
        <v>223400</v>
      </c>
      <c r="BO1336" s="30">
        <f>ROUND((Inventory[[#This Row],[Mdl Land Intercept]]+Inventory[[#This Row],[Mdl LnAcres]])*Inventory[[#This Row],[Det/Nbhd Adj]],-2)</f>
        <v>58500</v>
      </c>
      <c r="BP1336" s="30">
        <f>Inventory[[#This Row],[Adjusted Impr Total]]+Inventory[[#This Row],[Adjusted Land Total]]</f>
        <v>281900</v>
      </c>
      <c r="BQ1336" s="30">
        <f>IFERROR((Inventory[[#This Row],[Adjusted Impr Total]]-Inventory[[#This Row],[24Bldg]])/Inventory[[#This Row],[24Bldg]],0)</f>
        <v>0.11365902293120637</v>
      </c>
      <c r="BR1336" s="43">
        <f>(Inventory[[#This Row],[Adjusted Land Total]]-Inventory[[#This Row],[24Lnd]])/Inventory[[#This Row],[24Lnd]]</f>
        <v>1.0362694300518135E-2</v>
      </c>
      <c r="BS1336" s="43">
        <f>(Inventory[[#This Row],[Adjusted Total]]-Inventory[[#This Row],[24Final]])/Inventory[[#This Row],[24Final]]</f>
        <v>9.0522243713733075E-2</v>
      </c>
    </row>
    <row r="1337" spans="1:71">
      <c r="A1337" s="30">
        <v>2025</v>
      </c>
      <c r="B1337" s="31" t="s">
        <v>1856</v>
      </c>
      <c r="C1337" s="36">
        <f>LN(Inventory[[#This Row],[Acres]])</f>
        <v>-1.9661128563728327</v>
      </c>
      <c r="D1337" s="38">
        <v>0.14000000000000001</v>
      </c>
      <c r="E1337" s="30">
        <v>5930</v>
      </c>
      <c r="F1337" s="31" t="s">
        <v>505</v>
      </c>
      <c r="G1337" s="31" t="s">
        <v>155</v>
      </c>
      <c r="H1337" s="31" t="s">
        <v>5</v>
      </c>
      <c r="I1337" s="31" t="s">
        <v>506</v>
      </c>
      <c r="J1337" s="31" t="s">
        <v>507</v>
      </c>
      <c r="K1337" s="31" t="s">
        <v>1815</v>
      </c>
      <c r="L1337" s="31" t="s">
        <v>13</v>
      </c>
      <c r="M1337" s="31" t="s">
        <v>20</v>
      </c>
      <c r="N1337" s="31">
        <v>100</v>
      </c>
      <c r="O1337" s="31">
        <f>2024-Inventory[[#This Row],[YrBlt]]</f>
        <v>104</v>
      </c>
      <c r="P1337" s="31">
        <f>2024-Inventory[[#This Row],[EffYr]]</f>
        <v>58</v>
      </c>
      <c r="Q1337" s="30">
        <v>1920</v>
      </c>
      <c r="R1337" s="30">
        <v>1966</v>
      </c>
      <c r="S1337" s="30">
        <v>1129</v>
      </c>
      <c r="T1337" s="30">
        <v>312</v>
      </c>
      <c r="U1337" s="38">
        <v>376</v>
      </c>
      <c r="V1337" s="32"/>
      <c r="W1337" s="32"/>
      <c r="X1337" s="32">
        <f>Inventory[[#This Row],[Bsmt Area]]-Inventory[[#This Row],[FnBsmt]]</f>
        <v>376</v>
      </c>
      <c r="Y1337" s="32">
        <f>Inventory[[#This Row],[MainFn]]+Inventory[[#This Row],[UpprFn]]+Inventory[[#This Row],[AddFn]]+Inventory[[#This Row],[FnBsmt]]</f>
        <v>1441</v>
      </c>
      <c r="Z1337" s="32">
        <v>1500</v>
      </c>
      <c r="AA1337" s="31" t="s">
        <v>56</v>
      </c>
      <c r="AB1337" s="37"/>
      <c r="AC1337" s="32"/>
      <c r="AD1337" s="37"/>
      <c r="AE1337" s="32"/>
      <c r="AF1337" s="32"/>
      <c r="AG1337" s="32"/>
      <c r="AH1337" s="32"/>
      <c r="AI1337" s="30">
        <v>206571</v>
      </c>
      <c r="AJ1337" s="30">
        <v>132205</v>
      </c>
      <c r="AK1337" s="30">
        <v>8721</v>
      </c>
      <c r="AL1337" s="30">
        <v>0</v>
      </c>
      <c r="AM1337" s="30">
        <v>59000</v>
      </c>
      <c r="AN1337" s="30">
        <v>210000</v>
      </c>
      <c r="AO1337" s="30">
        <v>269000</v>
      </c>
      <c r="AP1337" s="30">
        <f>Lookups!$B$58*0.6</f>
        <v>132535.48800000001</v>
      </c>
      <c r="AQ1337" s="30">
        <f>Lookups!$B$58*0.4</f>
        <v>88356.992000000013</v>
      </c>
      <c r="AR1337" s="30">
        <f>Lookups!$B$59*Inventory[[#This Row],[LnAcres]]</f>
        <v>-25803.896249263951</v>
      </c>
      <c r="AS1337" s="30">
        <f>VLOOKUP(Inventory[[#This Row],[Qlty]],Lookups!$A$66:$E$79,2,FALSE)</f>
        <v>0</v>
      </c>
      <c r="AT1337" s="30">
        <f>VLOOKUP(Inventory[[#This Row],[Cnd]],Lookups!$A$80:$E$88,2,FALSE)</f>
        <v>30300.329274</v>
      </c>
      <c r="AU1337" s="30">
        <f>Inventory[[#This Row],[EffAge]]*Lookups!$B$65</f>
        <v>-6306.9838</v>
      </c>
      <c r="AV1337" s="30">
        <f>Inventory[[#This Row],[MainFn]]*Lookups!$B$90</f>
        <v>70461.31902000001</v>
      </c>
      <c r="AW1337" s="30">
        <f>Inventory[[#This Row],[UpprFn]]*Lookups!$B$91</f>
        <v>18589.079495999998</v>
      </c>
      <c r="AX1337" s="30">
        <f>Inventory[[#This Row],[Bsmt Area]]*Lookups!$B$95</f>
        <v>23532.522495999998</v>
      </c>
      <c r="AY1337" s="30">
        <f>Inventory[[#This Row],[AttGar]]*Lookups!$B$93</f>
        <v>0</v>
      </c>
      <c r="AZ1337" s="30">
        <f>ROUND(Inventory[[#This Row],[25Det]],-2)</f>
        <v>8700</v>
      </c>
      <c r="BA1337" s="30">
        <f>ROUND(SUM(Inventory[[#This Row],[Mdl Qlty]:[Mdl Garage Area]])+Inventory[[#This Row],[Mdl Res Intercept]],-2)</f>
        <v>269100</v>
      </c>
      <c r="BB1337" s="30">
        <f>ROUND(Inventory[[#This Row],[Mdl Land Intercept]]+Inventory[[#This Row],[Mdl LnAcres]],-2)</f>
        <v>62600</v>
      </c>
      <c r="BC1337" s="30">
        <f>Inventory[[#This Row],[Unadj Res Value]]+Inventory[[#This Row],[Unadj Det Value]]+Inventory[[#This Row],[Unadj Land Value]]</f>
        <v>340400</v>
      </c>
      <c r="BD1337" s="30">
        <f>(Inventory[[#This Row],[Unadj Total Value]]-Inventory[[#This Row],[24Final]])/Inventory[[#This Row],[24Final]]</f>
        <v>0.26542750929368031</v>
      </c>
      <c r="BE1337" s="30">
        <f>VLOOKUP(Inventory[[#This Row],[Nbhd]],Lookups!$M$3:$P$5,4,FALSE)</f>
        <v>0.99970000000000003</v>
      </c>
      <c r="BF1337" s="30">
        <f>VLOOKUP(Inventory[[#This Row],[Qlty]],Lookups!$M$8:$P$22,4,FALSE)</f>
        <v>1.0003</v>
      </c>
      <c r="BG1337" s="30">
        <f>VLOOKUP(Inventory[[#This Row],[Cnd]],Lookups!$R$8:$U$17,4,FALSE)</f>
        <v>0.997</v>
      </c>
      <c r="BH1337" s="30">
        <f>VLOOKUP(Inventory[[#This Row],[LivArea Range]],Lookups!$R$25:$U$43,4,FALSE)</f>
        <v>0.99519999999999997</v>
      </c>
      <c r="BI1337" s="30">
        <f>VLOOKUP(Inventory[[#This Row],[Decade]],Lookups!$M$24:$P$40,4,FALSE)</f>
        <v>0.99960000000000004</v>
      </c>
      <c r="BJ1337" s="30">
        <f>Inventory[[#This Row],[Nbhd Adj]]*0.95</f>
        <v>0.94971499999999998</v>
      </c>
      <c r="BK1337" s="30">
        <f>AVERAGE(Inventory[[#This Row],[Nbhd Adj]],Inventory[[#This Row],[Quality Adj]],Inventory[[#This Row],[Condition Adj]],Inventory[[#This Row],[Living Area Adj]],Inventory[[#This Row],[Decade Adj]])*0.95</f>
        <v>0.9484419999999999</v>
      </c>
      <c r="BL1337" s="30">
        <f>ROUND((SUM(Inventory[[#This Row],[Mdl Qlty]:[Mdl Garage Area]])+Inventory[[#This Row],[Mdl Res Intercept]])*Inventory[[#This Row],[Res Adj ]],-2)</f>
        <v>255200</v>
      </c>
      <c r="BM1337" s="30">
        <f>ROUND(Inventory[[#This Row],[25Det]]*Inventory[[#This Row],[Det/Nbhd Adj]],-2)</f>
        <v>8300</v>
      </c>
      <c r="BN1337" s="30">
        <f>Inventory[[#This Row],[Adjusted Res]]+Inventory[[#This Row],[Adj Det ]]</f>
        <v>263500</v>
      </c>
      <c r="BO1337" s="30">
        <f>ROUND((Inventory[[#This Row],[Mdl Land Intercept]]+Inventory[[#This Row],[Mdl LnAcres]])*Inventory[[#This Row],[Det/Nbhd Adj]],-2)</f>
        <v>59400</v>
      </c>
      <c r="BP1337" s="30">
        <f>Inventory[[#This Row],[Adjusted Impr Total]]+Inventory[[#This Row],[Adjusted Land Total]]</f>
        <v>322900</v>
      </c>
      <c r="BQ1337" s="30">
        <f>IFERROR((Inventory[[#This Row],[Adjusted Impr Total]]-Inventory[[#This Row],[24Bldg]])/Inventory[[#This Row],[24Bldg]],0)</f>
        <v>0.25476190476190474</v>
      </c>
      <c r="BR1337" s="43">
        <f>(Inventory[[#This Row],[Adjusted Land Total]]-Inventory[[#This Row],[24Lnd]])/Inventory[[#This Row],[24Lnd]]</f>
        <v>6.7796610169491523E-3</v>
      </c>
      <c r="BS1337" s="43">
        <f>(Inventory[[#This Row],[Adjusted Total]]-Inventory[[#This Row],[24Final]])/Inventory[[#This Row],[24Final]]</f>
        <v>0.20037174721189591</v>
      </c>
    </row>
    <row r="1338" spans="1:71">
      <c r="A1338" s="30">
        <v>2025</v>
      </c>
      <c r="B1338" s="31" t="s">
        <v>1857</v>
      </c>
      <c r="C1338" s="36">
        <f>LN(Inventory[[#This Row],[Acres]])</f>
        <v>-1.9661128563728327</v>
      </c>
      <c r="D1338" s="38">
        <v>0.14000000000000001</v>
      </c>
      <c r="E1338" s="30">
        <v>6236</v>
      </c>
      <c r="F1338" s="31" t="s">
        <v>505</v>
      </c>
      <c r="G1338" s="31" t="s">
        <v>155</v>
      </c>
      <c r="H1338" s="31" t="s">
        <v>5</v>
      </c>
      <c r="I1338" s="31" t="s">
        <v>506</v>
      </c>
      <c r="J1338" s="31" t="s">
        <v>874</v>
      </c>
      <c r="K1338" s="31" t="s">
        <v>473</v>
      </c>
      <c r="L1338" s="31" t="s">
        <v>13</v>
      </c>
      <c r="M1338" s="31" t="s">
        <v>20</v>
      </c>
      <c r="N1338" s="31">
        <v>100</v>
      </c>
      <c r="O1338" s="31">
        <f>2024-Inventory[[#This Row],[YrBlt]]</f>
        <v>104</v>
      </c>
      <c r="P1338" s="31">
        <f>2024-Inventory[[#This Row],[EffYr]]</f>
        <v>58</v>
      </c>
      <c r="Q1338" s="30">
        <v>1920</v>
      </c>
      <c r="R1338" s="30">
        <v>1966</v>
      </c>
      <c r="S1338" s="30">
        <v>1020</v>
      </c>
      <c r="T1338" s="38">
        <v>352</v>
      </c>
      <c r="U1338" s="38">
        <v>560</v>
      </c>
      <c r="V1338" s="32"/>
      <c r="W1338" s="38">
        <v>560</v>
      </c>
      <c r="X1338" s="38">
        <f>Inventory[[#This Row],[Bsmt Area]]-Inventory[[#This Row],[FnBsmt]]</f>
        <v>0</v>
      </c>
      <c r="Y1338" s="38">
        <f>Inventory[[#This Row],[MainFn]]+Inventory[[#This Row],[UpprFn]]+Inventory[[#This Row],[AddFn]]+Inventory[[#This Row],[FnBsmt]]</f>
        <v>1932</v>
      </c>
      <c r="Z1338" s="32">
        <v>2000</v>
      </c>
      <c r="AA1338" s="31" t="s">
        <v>56</v>
      </c>
      <c r="AB1338" s="32"/>
      <c r="AC1338" s="37"/>
      <c r="AD1338" s="32"/>
      <c r="AE1338" s="32"/>
      <c r="AF1338" s="32"/>
      <c r="AG1338" s="32"/>
      <c r="AH1338" s="32"/>
      <c r="AI1338" s="30">
        <v>222316</v>
      </c>
      <c r="AJ1338" s="30">
        <v>142282</v>
      </c>
      <c r="AK1338" s="30">
        <v>5595</v>
      </c>
      <c r="AL1338" s="30">
        <v>0</v>
      </c>
      <c r="AM1338" s="30">
        <v>59000</v>
      </c>
      <c r="AN1338" s="30">
        <v>203600</v>
      </c>
      <c r="AO1338" s="30">
        <v>262600</v>
      </c>
      <c r="AP1338" s="30">
        <f>Lookups!$B$58*0.6</f>
        <v>132535.48800000001</v>
      </c>
      <c r="AQ1338" s="30">
        <f>Lookups!$B$58*0.4</f>
        <v>88356.992000000013</v>
      </c>
      <c r="AR1338" s="30">
        <f>Lookups!$B$59*Inventory[[#This Row],[LnAcres]]</f>
        <v>-25803.896249263951</v>
      </c>
      <c r="AS1338" s="30">
        <f>VLOOKUP(Inventory[[#This Row],[Qlty]],Lookups!$A$66:$E$79,2,FALSE)</f>
        <v>0</v>
      </c>
      <c r="AT1338" s="30">
        <f>VLOOKUP(Inventory[[#This Row],[Cnd]],Lookups!$A$80:$E$88,2,FALSE)</f>
        <v>30300.329274</v>
      </c>
      <c r="AU1338" s="30">
        <f>Inventory[[#This Row],[EffAge]]*Lookups!$B$65</f>
        <v>-6306.9838</v>
      </c>
      <c r="AV1338" s="30">
        <f>Inventory[[#This Row],[MainFn]]*Lookups!$B$90</f>
        <v>63658.587600000006</v>
      </c>
      <c r="AW1338" s="30">
        <f>Inventory[[#This Row],[UpprFn]]*Lookups!$B$91</f>
        <v>20972.294815999998</v>
      </c>
      <c r="AX1338" s="30">
        <f>Inventory[[#This Row],[Bsmt Area]]*Lookups!$B$95</f>
        <v>35048.437760000001</v>
      </c>
      <c r="AY1338" s="30">
        <f>Inventory[[#This Row],[AttGar]]*Lookups!$B$93</f>
        <v>0</v>
      </c>
      <c r="AZ1338" s="30">
        <f>ROUND(Inventory[[#This Row],[25Det]],-2)</f>
        <v>5600</v>
      </c>
      <c r="BA1338" s="30">
        <f>ROUND(SUM(Inventory[[#This Row],[Mdl Qlty]:[Mdl Garage Area]])+Inventory[[#This Row],[Mdl Res Intercept]],-2)</f>
        <v>276200</v>
      </c>
      <c r="BB1338" s="30">
        <f>ROUND(Inventory[[#This Row],[Mdl Land Intercept]]+Inventory[[#This Row],[Mdl LnAcres]],-2)</f>
        <v>62600</v>
      </c>
      <c r="BC1338" s="30">
        <f>Inventory[[#This Row],[Unadj Res Value]]+Inventory[[#This Row],[Unadj Det Value]]+Inventory[[#This Row],[Unadj Land Value]]</f>
        <v>344400</v>
      </c>
      <c r="BD1338" s="30">
        <f>(Inventory[[#This Row],[Unadj Total Value]]-Inventory[[#This Row],[24Final]])/Inventory[[#This Row],[24Final]]</f>
        <v>0.31150038080731152</v>
      </c>
      <c r="BE1338" s="30">
        <f>VLOOKUP(Inventory[[#This Row],[Nbhd]],Lookups!$M$3:$P$5,4,FALSE)</f>
        <v>0.99970000000000003</v>
      </c>
      <c r="BF1338" s="30">
        <f>VLOOKUP(Inventory[[#This Row],[Qlty]],Lookups!$M$8:$P$22,4,FALSE)</f>
        <v>1.0003</v>
      </c>
      <c r="BG1338" s="30">
        <f>VLOOKUP(Inventory[[#This Row],[Cnd]],Lookups!$R$8:$U$17,4,FALSE)</f>
        <v>0.997</v>
      </c>
      <c r="BH1338" s="30">
        <f>VLOOKUP(Inventory[[#This Row],[LivArea Range]],Lookups!$R$25:$U$43,4,FALSE)</f>
        <v>1.0007999999999999</v>
      </c>
      <c r="BI1338" s="30">
        <f>VLOOKUP(Inventory[[#This Row],[Decade]],Lookups!$M$24:$P$40,4,FALSE)</f>
        <v>0.99960000000000004</v>
      </c>
      <c r="BJ1338" s="30">
        <f>Inventory[[#This Row],[Nbhd Adj]]*0.95</f>
        <v>0.94971499999999998</v>
      </c>
      <c r="BK1338" s="30">
        <f>AVERAGE(Inventory[[#This Row],[Nbhd Adj]],Inventory[[#This Row],[Quality Adj]],Inventory[[#This Row],[Condition Adj]],Inventory[[#This Row],[Living Area Adj]],Inventory[[#This Row],[Decade Adj]])*0.95</f>
        <v>0.94950599999999985</v>
      </c>
      <c r="BL1338" s="30">
        <f>ROUND((SUM(Inventory[[#This Row],[Mdl Qlty]:[Mdl Garage Area]])+Inventory[[#This Row],[Mdl Res Intercept]])*Inventory[[#This Row],[Res Adj ]],-2)</f>
        <v>262300</v>
      </c>
      <c r="BM1338" s="30">
        <f>ROUND(Inventory[[#This Row],[25Det]]*Inventory[[#This Row],[Det/Nbhd Adj]],-2)</f>
        <v>5300</v>
      </c>
      <c r="BN1338" s="30">
        <f>Inventory[[#This Row],[Adjusted Res]]+Inventory[[#This Row],[Adj Det ]]</f>
        <v>267600</v>
      </c>
      <c r="BO1338" s="30">
        <f>ROUND((Inventory[[#This Row],[Mdl Land Intercept]]+Inventory[[#This Row],[Mdl LnAcres]])*Inventory[[#This Row],[Det/Nbhd Adj]],-2)</f>
        <v>59400</v>
      </c>
      <c r="BP1338" s="30">
        <f>Inventory[[#This Row],[Adjusted Impr Total]]+Inventory[[#This Row],[Adjusted Land Total]]</f>
        <v>327000</v>
      </c>
      <c r="BQ1338" s="30">
        <f>IFERROR((Inventory[[#This Row],[Adjusted Impr Total]]-Inventory[[#This Row],[24Bldg]])/Inventory[[#This Row],[24Bldg]],0)</f>
        <v>0.3143418467583497</v>
      </c>
      <c r="BR1338" s="43">
        <f>(Inventory[[#This Row],[Adjusted Land Total]]-Inventory[[#This Row],[24Lnd]])/Inventory[[#This Row],[24Lnd]]</f>
        <v>6.7796610169491523E-3</v>
      </c>
      <c r="BS1338" s="43">
        <f>(Inventory[[#This Row],[Adjusted Total]]-Inventory[[#This Row],[24Final]])/Inventory[[#This Row],[24Final]]</f>
        <v>0.24523990860624523</v>
      </c>
    </row>
    <row r="1339" spans="1:71">
      <c r="A1339" s="30">
        <v>2025</v>
      </c>
      <c r="B1339" s="31" t="s">
        <v>1858</v>
      </c>
      <c r="C1339" s="36">
        <f>LN(Inventory[[#This Row],[Acres]])</f>
        <v>-1.9661128563728327</v>
      </c>
      <c r="D1339" s="38">
        <v>0.14000000000000001</v>
      </c>
      <c r="E1339" s="30">
        <v>5981</v>
      </c>
      <c r="F1339" s="31" t="s">
        <v>505</v>
      </c>
      <c r="G1339" s="31" t="s">
        <v>155</v>
      </c>
      <c r="H1339" s="31" t="s">
        <v>5</v>
      </c>
      <c r="I1339" s="31" t="s">
        <v>506</v>
      </c>
      <c r="J1339" s="31" t="s">
        <v>507</v>
      </c>
      <c r="K1339" s="31" t="s">
        <v>485</v>
      </c>
      <c r="L1339" s="31" t="s">
        <v>15</v>
      </c>
      <c r="M1339" s="31" t="s">
        <v>16</v>
      </c>
      <c r="N1339" s="31">
        <v>100</v>
      </c>
      <c r="O1339" s="31">
        <f>2024-Inventory[[#This Row],[YrBlt]]</f>
        <v>104</v>
      </c>
      <c r="P1339" s="31">
        <f>2024-Inventory[[#This Row],[EffYr]]</f>
        <v>58</v>
      </c>
      <c r="Q1339" s="30">
        <v>1920</v>
      </c>
      <c r="R1339" s="30">
        <v>1966</v>
      </c>
      <c r="S1339" s="30">
        <v>1294</v>
      </c>
      <c r="T1339" s="38">
        <v>766</v>
      </c>
      <c r="U1339" s="32"/>
      <c r="V1339" s="32"/>
      <c r="W1339" s="32"/>
      <c r="X1339" s="32">
        <f>Inventory[[#This Row],[Bsmt Area]]-Inventory[[#This Row],[FnBsmt]]</f>
        <v>0</v>
      </c>
      <c r="Y1339" s="32">
        <f>Inventory[[#This Row],[MainFn]]+Inventory[[#This Row],[UpprFn]]+Inventory[[#This Row],[AddFn]]+Inventory[[#This Row],[FnBsmt]]</f>
        <v>2060</v>
      </c>
      <c r="Z1339" s="32">
        <v>2500</v>
      </c>
      <c r="AA1339" s="31" t="s">
        <v>56</v>
      </c>
      <c r="AB1339" s="32"/>
      <c r="AC1339" s="37"/>
      <c r="AD1339" s="32"/>
      <c r="AE1339" s="32"/>
      <c r="AF1339" s="32"/>
      <c r="AG1339" s="32"/>
      <c r="AH1339" s="32"/>
      <c r="AI1339" s="30">
        <v>263623</v>
      </c>
      <c r="AJ1339" s="30">
        <v>158174</v>
      </c>
      <c r="AK1339" s="30">
        <v>20316</v>
      </c>
      <c r="AL1339" s="30">
        <v>0</v>
      </c>
      <c r="AM1339" s="30">
        <v>59000</v>
      </c>
      <c r="AN1339" s="30">
        <v>249100</v>
      </c>
      <c r="AO1339" s="30">
        <v>308100</v>
      </c>
      <c r="AP1339" s="30">
        <f>Lookups!$B$58*0.6</f>
        <v>132535.48800000001</v>
      </c>
      <c r="AQ1339" s="30">
        <f>Lookups!$B$58*0.4</f>
        <v>88356.992000000013</v>
      </c>
      <c r="AR1339" s="30">
        <f>Lookups!$B$59*Inventory[[#This Row],[LnAcres]]</f>
        <v>-25803.896249263951</v>
      </c>
      <c r="AS1339" s="30">
        <f>VLOOKUP(Inventory[[#This Row],[Qlty]],Lookups!$A$66:$E$79,2,FALSE)</f>
        <v>-1240.8083630000001</v>
      </c>
      <c r="AT1339" s="30">
        <f>VLOOKUP(Inventory[[#This Row],[Cnd]],Lookups!$A$80:$E$88,2,FALSE)</f>
        <v>0</v>
      </c>
      <c r="AU1339" s="30">
        <f>Inventory[[#This Row],[EffAge]]*Lookups!$B$65</f>
        <v>-6306.9838</v>
      </c>
      <c r="AV1339" s="30">
        <f>Inventory[[#This Row],[MainFn]]*Lookups!$B$90</f>
        <v>80759.031719999999</v>
      </c>
      <c r="AW1339" s="30">
        <f>Inventory[[#This Row],[UpprFn]]*Lookups!$B$91</f>
        <v>45638.573378000001</v>
      </c>
      <c r="AX1339" s="30">
        <f>Inventory[[#This Row],[Bsmt Area]]*Lookups!$B$95</f>
        <v>0</v>
      </c>
      <c r="AY1339" s="30">
        <f>Inventory[[#This Row],[AttGar]]*Lookups!$B$93</f>
        <v>0</v>
      </c>
      <c r="AZ1339" s="30">
        <f>ROUND(Inventory[[#This Row],[25Det]],-2)</f>
        <v>20300</v>
      </c>
      <c r="BA1339" s="30">
        <f>ROUND(SUM(Inventory[[#This Row],[Mdl Qlty]:[Mdl Garage Area]])+Inventory[[#This Row],[Mdl Res Intercept]],-2)</f>
        <v>251400</v>
      </c>
      <c r="BB1339" s="30">
        <f>ROUND(Inventory[[#This Row],[Mdl Land Intercept]]+Inventory[[#This Row],[Mdl LnAcres]],-2)</f>
        <v>62600</v>
      </c>
      <c r="BC1339" s="30">
        <f>Inventory[[#This Row],[Unadj Res Value]]+Inventory[[#This Row],[Unadj Det Value]]+Inventory[[#This Row],[Unadj Land Value]]</f>
        <v>334300</v>
      </c>
      <c r="BD1339" s="30">
        <f>(Inventory[[#This Row],[Unadj Total Value]]-Inventory[[#This Row],[24Final]])/Inventory[[#This Row],[24Final]]</f>
        <v>8.503732554365466E-2</v>
      </c>
      <c r="BE1339" s="30">
        <f>VLOOKUP(Inventory[[#This Row],[Nbhd]],Lookups!$M$3:$P$5,4,FALSE)</f>
        <v>0.99970000000000003</v>
      </c>
      <c r="BF1339" s="30">
        <f>VLOOKUP(Inventory[[#This Row],[Qlty]],Lookups!$M$8:$P$22,4,FALSE)</f>
        <v>1.0022</v>
      </c>
      <c r="BG1339" s="30">
        <f>VLOOKUP(Inventory[[#This Row],[Cnd]],Lookups!$R$8:$U$17,4,FALSE)</f>
        <v>1</v>
      </c>
      <c r="BH1339" s="30">
        <f>VLOOKUP(Inventory[[#This Row],[LivArea Range]],Lookups!$R$25:$U$43,4,FALSE)</f>
        <v>1.0008999999999999</v>
      </c>
      <c r="BI1339" s="30">
        <f>VLOOKUP(Inventory[[#This Row],[Decade]],Lookups!$M$24:$P$40,4,FALSE)</f>
        <v>0.99960000000000004</v>
      </c>
      <c r="BJ1339" s="30">
        <f>Inventory[[#This Row],[Nbhd Adj]]*0.95</f>
        <v>0.94971499999999998</v>
      </c>
      <c r="BK1339" s="30">
        <f>AVERAGE(Inventory[[#This Row],[Nbhd Adj]],Inventory[[#This Row],[Quality Adj]],Inventory[[#This Row],[Condition Adj]],Inventory[[#This Row],[Living Area Adj]],Inventory[[#This Row],[Decade Adj]])*0.95</f>
        <v>0.95045599999999997</v>
      </c>
      <c r="BL1339" s="30">
        <f>ROUND((SUM(Inventory[[#This Row],[Mdl Qlty]:[Mdl Garage Area]])+Inventory[[#This Row],[Mdl Res Intercept]])*Inventory[[#This Row],[Res Adj ]],-2)</f>
        <v>238900</v>
      </c>
      <c r="BM1339" s="30">
        <f>ROUND(Inventory[[#This Row],[25Det]]*Inventory[[#This Row],[Det/Nbhd Adj]],-2)</f>
        <v>19300</v>
      </c>
      <c r="BN1339" s="30">
        <f>Inventory[[#This Row],[Adjusted Res]]+Inventory[[#This Row],[Adj Det ]]</f>
        <v>258200</v>
      </c>
      <c r="BO1339" s="30">
        <f>ROUND((Inventory[[#This Row],[Mdl Land Intercept]]+Inventory[[#This Row],[Mdl LnAcres]])*Inventory[[#This Row],[Det/Nbhd Adj]],-2)</f>
        <v>59400</v>
      </c>
      <c r="BP1339" s="30">
        <f>Inventory[[#This Row],[Adjusted Impr Total]]+Inventory[[#This Row],[Adjusted Land Total]]</f>
        <v>317600</v>
      </c>
      <c r="BQ1339" s="30">
        <f>IFERROR((Inventory[[#This Row],[Adjusted Impr Total]]-Inventory[[#This Row],[24Bldg]])/Inventory[[#This Row],[24Bldg]],0)</f>
        <v>3.6531513448414293E-2</v>
      </c>
      <c r="BR1339" s="43">
        <f>(Inventory[[#This Row],[Adjusted Land Total]]-Inventory[[#This Row],[24Lnd]])/Inventory[[#This Row],[24Lnd]]</f>
        <v>6.7796610169491523E-3</v>
      </c>
      <c r="BS1339" s="43">
        <f>(Inventory[[#This Row],[Adjusted Total]]-Inventory[[#This Row],[24Final]])/Inventory[[#This Row],[24Final]]</f>
        <v>3.0834144758195393E-2</v>
      </c>
    </row>
    <row r="1340" spans="1:71">
      <c r="A1340" s="30">
        <v>2025</v>
      </c>
      <c r="B1340" s="31" t="s">
        <v>1859</v>
      </c>
      <c r="C1340" s="36">
        <f>LN(Inventory[[#This Row],[Acres]])</f>
        <v>-1.8971199848858813</v>
      </c>
      <c r="D1340" s="38">
        <v>0.15</v>
      </c>
      <c r="E1340" s="37"/>
      <c r="F1340" s="31" t="s">
        <v>505</v>
      </c>
      <c r="G1340" s="31" t="s">
        <v>155</v>
      </c>
      <c r="H1340" s="31" t="s">
        <v>5</v>
      </c>
      <c r="I1340" s="31" t="s">
        <v>506</v>
      </c>
      <c r="J1340" s="31" t="s">
        <v>507</v>
      </c>
      <c r="K1340" s="31" t="s">
        <v>473</v>
      </c>
      <c r="L1340" s="31" t="s">
        <v>15</v>
      </c>
      <c r="M1340" s="31" t="s">
        <v>18</v>
      </c>
      <c r="N1340" s="31">
        <v>100</v>
      </c>
      <c r="O1340" s="31">
        <f>2024-Inventory[[#This Row],[YrBlt]]</f>
        <v>104</v>
      </c>
      <c r="P1340" s="31">
        <f>2024-Inventory[[#This Row],[EffYr]]</f>
        <v>58</v>
      </c>
      <c r="Q1340" s="30">
        <v>1920</v>
      </c>
      <c r="R1340" s="30">
        <v>1966</v>
      </c>
      <c r="S1340" s="30">
        <v>1280</v>
      </c>
      <c r="T1340" s="37"/>
      <c r="U1340" s="32"/>
      <c r="V1340" s="32"/>
      <c r="W1340" s="32"/>
      <c r="X1340" s="32">
        <f>Inventory[[#This Row],[Bsmt Area]]-Inventory[[#This Row],[FnBsmt]]</f>
        <v>0</v>
      </c>
      <c r="Y1340" s="32">
        <f>Inventory[[#This Row],[MainFn]]+Inventory[[#This Row],[UpprFn]]+Inventory[[#This Row],[AddFn]]+Inventory[[#This Row],[FnBsmt]]</f>
        <v>1280</v>
      </c>
      <c r="Z1340" s="32">
        <v>1500</v>
      </c>
      <c r="AA1340" s="31" t="s">
        <v>55</v>
      </c>
      <c r="AB1340" s="37"/>
      <c r="AC1340" s="37"/>
      <c r="AD1340" s="37"/>
      <c r="AE1340" s="32"/>
      <c r="AF1340" s="32"/>
      <c r="AG1340" s="32"/>
      <c r="AH1340" s="32"/>
      <c r="AI1340" s="30">
        <v>204019</v>
      </c>
      <c r="AJ1340" s="30">
        <v>126492</v>
      </c>
      <c r="AK1340" s="30">
        <v>9043</v>
      </c>
      <c r="AL1340" s="30">
        <v>0</v>
      </c>
      <c r="AM1340" s="30">
        <v>59900</v>
      </c>
      <c r="AN1340" s="30">
        <v>195200</v>
      </c>
      <c r="AO1340" s="30">
        <v>255100</v>
      </c>
      <c r="AP1340" s="30">
        <f>Lookups!$B$58*0.6</f>
        <v>132535.48800000001</v>
      </c>
      <c r="AQ1340" s="30">
        <f>Lookups!$B$58*0.4</f>
        <v>88356.992000000013</v>
      </c>
      <c r="AR1340" s="30">
        <f>Lookups!$B$59*Inventory[[#This Row],[LnAcres]]</f>
        <v>-24898.411657157456</v>
      </c>
      <c r="AS1340" s="30">
        <f>VLOOKUP(Inventory[[#This Row],[Qlty]],Lookups!$A$66:$E$79,2,FALSE)</f>
        <v>-1240.8083630000001</v>
      </c>
      <c r="AT1340" s="30">
        <f>VLOOKUP(Inventory[[#This Row],[Cnd]],Lookups!$A$80:$E$88,2,FALSE)</f>
        <v>17761.121909000001</v>
      </c>
      <c r="AU1340" s="30">
        <f>Inventory[[#This Row],[EffAge]]*Lookups!$B$65</f>
        <v>-6306.9838</v>
      </c>
      <c r="AV1340" s="30">
        <f>Inventory[[#This Row],[MainFn]]*Lookups!$B$90</f>
        <v>79885.286400000012</v>
      </c>
      <c r="AW1340" s="30">
        <f>Inventory[[#This Row],[UpprFn]]*Lookups!$B$91</f>
        <v>0</v>
      </c>
      <c r="AX1340" s="30">
        <f>Inventory[[#This Row],[Bsmt Area]]*Lookups!$B$95</f>
        <v>0</v>
      </c>
      <c r="AY1340" s="30">
        <f>Inventory[[#This Row],[AttGar]]*Lookups!$B$93</f>
        <v>0</v>
      </c>
      <c r="AZ1340" s="30">
        <f>ROUND(Inventory[[#This Row],[25Det]],-2)</f>
        <v>9000</v>
      </c>
      <c r="BA1340" s="30">
        <f>ROUND(SUM(Inventory[[#This Row],[Mdl Qlty]:[Mdl Garage Area]])+Inventory[[#This Row],[Mdl Res Intercept]],-2)</f>
        <v>222600</v>
      </c>
      <c r="BB1340" s="30">
        <f>ROUND(Inventory[[#This Row],[Mdl Land Intercept]]+Inventory[[#This Row],[Mdl LnAcres]],-2)</f>
        <v>63500</v>
      </c>
      <c r="BC1340" s="30">
        <f>Inventory[[#This Row],[Unadj Res Value]]+Inventory[[#This Row],[Unadj Det Value]]+Inventory[[#This Row],[Unadj Land Value]]</f>
        <v>295100</v>
      </c>
      <c r="BD1340" s="30">
        <f>(Inventory[[#This Row],[Unadj Total Value]]-Inventory[[#This Row],[24Final]])/Inventory[[#This Row],[24Final]]</f>
        <v>0.15680125441003528</v>
      </c>
      <c r="BE1340" s="30">
        <f>VLOOKUP(Inventory[[#This Row],[Nbhd]],Lookups!$M$3:$P$5,4,FALSE)</f>
        <v>0.99970000000000003</v>
      </c>
      <c r="BF1340" s="30">
        <f>VLOOKUP(Inventory[[#This Row],[Qlty]],Lookups!$M$8:$P$22,4,FALSE)</f>
        <v>1.0022</v>
      </c>
      <c r="BG1340" s="30">
        <f>VLOOKUP(Inventory[[#This Row],[Cnd]],Lookups!$R$8:$U$17,4,FALSE)</f>
        <v>0.99680000000000002</v>
      </c>
      <c r="BH1340" s="30">
        <f>VLOOKUP(Inventory[[#This Row],[LivArea Range]],Lookups!$R$25:$U$43,4,FALSE)</f>
        <v>0.99519999999999997</v>
      </c>
      <c r="BI1340" s="30">
        <f>VLOOKUP(Inventory[[#This Row],[Decade]],Lookups!$M$24:$P$40,4,FALSE)</f>
        <v>0.99960000000000004</v>
      </c>
      <c r="BJ1340" s="30">
        <f>Inventory[[#This Row],[Nbhd Adj]]*0.95</f>
        <v>0.94971499999999998</v>
      </c>
      <c r="BK1340" s="30">
        <f>AVERAGE(Inventory[[#This Row],[Nbhd Adj]],Inventory[[#This Row],[Quality Adj]],Inventory[[#This Row],[Condition Adj]],Inventory[[#This Row],[Living Area Adj]],Inventory[[#This Row],[Decade Adj]])*0.95</f>
        <v>0.94876499999999997</v>
      </c>
      <c r="BL1340" s="30">
        <f>ROUND((SUM(Inventory[[#This Row],[Mdl Qlty]:[Mdl Garage Area]])+Inventory[[#This Row],[Mdl Res Intercept]])*Inventory[[#This Row],[Res Adj ]],-2)</f>
        <v>211200</v>
      </c>
      <c r="BM1340" s="30">
        <f>ROUND(Inventory[[#This Row],[25Det]]*Inventory[[#This Row],[Det/Nbhd Adj]],-2)</f>
        <v>8600</v>
      </c>
      <c r="BN1340" s="30">
        <f>Inventory[[#This Row],[Adjusted Res]]+Inventory[[#This Row],[Adj Det ]]</f>
        <v>219800</v>
      </c>
      <c r="BO1340" s="30">
        <f>ROUND((Inventory[[#This Row],[Mdl Land Intercept]]+Inventory[[#This Row],[Mdl LnAcres]])*Inventory[[#This Row],[Det/Nbhd Adj]],-2)</f>
        <v>60300</v>
      </c>
      <c r="BP1340" s="30">
        <f>Inventory[[#This Row],[Adjusted Impr Total]]+Inventory[[#This Row],[Adjusted Land Total]]</f>
        <v>280100</v>
      </c>
      <c r="BQ1340" s="30">
        <f>IFERROR((Inventory[[#This Row],[Adjusted Impr Total]]-Inventory[[#This Row],[24Bldg]])/Inventory[[#This Row],[24Bldg]],0)</f>
        <v>0.12602459016393441</v>
      </c>
      <c r="BR1340" s="43">
        <f>(Inventory[[#This Row],[Adjusted Land Total]]-Inventory[[#This Row],[24Lnd]])/Inventory[[#This Row],[24Lnd]]</f>
        <v>6.6777963272120202E-3</v>
      </c>
      <c r="BS1340" s="43">
        <f>(Inventory[[#This Row],[Adjusted Total]]-Inventory[[#This Row],[24Final]])/Inventory[[#This Row],[24Final]]</f>
        <v>9.8000784006272046E-2</v>
      </c>
    </row>
    <row r="1341" spans="1:71">
      <c r="A1341" s="30">
        <v>2025</v>
      </c>
      <c r="B1341" s="31" t="s">
        <v>1860</v>
      </c>
      <c r="C1341" s="36">
        <f>LN(Inventory[[#This Row],[Acres]])</f>
        <v>-1.8971199848858813</v>
      </c>
      <c r="D1341" s="38">
        <v>0.15</v>
      </c>
      <c r="E1341" s="37"/>
      <c r="F1341" s="31" t="s">
        <v>505</v>
      </c>
      <c r="G1341" s="31" t="s">
        <v>155</v>
      </c>
      <c r="H1341" s="31" t="s">
        <v>5</v>
      </c>
      <c r="I1341" s="31" t="s">
        <v>506</v>
      </c>
      <c r="J1341" s="31" t="s">
        <v>507</v>
      </c>
      <c r="K1341" s="31" t="s">
        <v>473</v>
      </c>
      <c r="L1341" s="31" t="s">
        <v>11</v>
      </c>
      <c r="M1341" s="31" t="s">
        <v>18</v>
      </c>
      <c r="N1341" s="31">
        <v>100</v>
      </c>
      <c r="O1341" s="31">
        <f>2024-Inventory[[#This Row],[YrBlt]]</f>
        <v>104</v>
      </c>
      <c r="P1341" s="31">
        <f>2024-Inventory[[#This Row],[EffYr]]</f>
        <v>58</v>
      </c>
      <c r="Q1341" s="30">
        <v>1920</v>
      </c>
      <c r="R1341" s="30">
        <v>1966</v>
      </c>
      <c r="S1341" s="30">
        <v>912</v>
      </c>
      <c r="T1341" s="32"/>
      <c r="U1341" s="32"/>
      <c r="V1341" s="32"/>
      <c r="W1341" s="32"/>
      <c r="X1341" s="32">
        <f>Inventory[[#This Row],[Bsmt Area]]-Inventory[[#This Row],[FnBsmt]]</f>
        <v>0</v>
      </c>
      <c r="Y1341" s="32">
        <f>Inventory[[#This Row],[MainFn]]+Inventory[[#This Row],[UpprFn]]+Inventory[[#This Row],[AddFn]]+Inventory[[#This Row],[FnBsmt]]</f>
        <v>912</v>
      </c>
      <c r="Z1341" s="32">
        <v>1000</v>
      </c>
      <c r="AA1341" s="31" t="s">
        <v>56</v>
      </c>
      <c r="AB1341" s="32"/>
      <c r="AC1341" s="37"/>
      <c r="AD1341" s="32"/>
      <c r="AE1341" s="32"/>
      <c r="AF1341" s="32"/>
      <c r="AG1341" s="32"/>
      <c r="AH1341" s="32"/>
      <c r="AI1341" s="30">
        <v>120416</v>
      </c>
      <c r="AJ1341" s="30">
        <v>74658</v>
      </c>
      <c r="AK1341" s="30">
        <v>6112</v>
      </c>
      <c r="AL1341" s="30">
        <v>0</v>
      </c>
      <c r="AM1341" s="30">
        <v>59900</v>
      </c>
      <c r="AN1341" s="30">
        <v>147700</v>
      </c>
      <c r="AO1341" s="30">
        <v>207600</v>
      </c>
      <c r="AP1341" s="30">
        <f>Lookups!$B$58*0.6</f>
        <v>132535.48800000001</v>
      </c>
      <c r="AQ1341" s="30">
        <f>Lookups!$B$58*0.4</f>
        <v>88356.992000000013</v>
      </c>
      <c r="AR1341" s="30">
        <f>Lookups!$B$59*Inventory[[#This Row],[LnAcres]]</f>
        <v>-24898.411657157456</v>
      </c>
      <c r="AS1341" s="30">
        <f>VLOOKUP(Inventory[[#This Row],[Qlty]],Lookups!$A$66:$E$79,2,FALSE)</f>
        <v>-9114.1675108666695</v>
      </c>
      <c r="AT1341" s="30">
        <f>VLOOKUP(Inventory[[#This Row],[Cnd]],Lookups!$A$80:$E$88,2,FALSE)</f>
        <v>17761.121909000001</v>
      </c>
      <c r="AU1341" s="30">
        <f>Inventory[[#This Row],[EffAge]]*Lookups!$B$65</f>
        <v>-6306.9838</v>
      </c>
      <c r="AV1341" s="30">
        <f>Inventory[[#This Row],[MainFn]]*Lookups!$B$90</f>
        <v>56918.266560000004</v>
      </c>
      <c r="AW1341" s="30">
        <f>Inventory[[#This Row],[UpprFn]]*Lookups!$B$91</f>
        <v>0</v>
      </c>
      <c r="AX1341" s="30">
        <f>Inventory[[#This Row],[Bsmt Area]]*Lookups!$B$95</f>
        <v>0</v>
      </c>
      <c r="AY1341" s="30">
        <f>Inventory[[#This Row],[AttGar]]*Lookups!$B$93</f>
        <v>0</v>
      </c>
      <c r="AZ1341" s="30">
        <f>ROUND(Inventory[[#This Row],[25Det]],-2)</f>
        <v>6100</v>
      </c>
      <c r="BA1341" s="30">
        <f>ROUND(SUM(Inventory[[#This Row],[Mdl Qlty]:[Mdl Garage Area]])+Inventory[[#This Row],[Mdl Res Intercept]],-2)</f>
        <v>191800</v>
      </c>
      <c r="BB1341" s="30">
        <f>ROUND(Inventory[[#This Row],[Mdl Land Intercept]]+Inventory[[#This Row],[Mdl LnAcres]],-2)</f>
        <v>63500</v>
      </c>
      <c r="BC1341" s="30">
        <f>Inventory[[#This Row],[Unadj Res Value]]+Inventory[[#This Row],[Unadj Det Value]]+Inventory[[#This Row],[Unadj Land Value]]</f>
        <v>261400</v>
      </c>
      <c r="BD1341" s="30">
        <f>(Inventory[[#This Row],[Unadj Total Value]]-Inventory[[#This Row],[24Final]])/Inventory[[#This Row],[24Final]]</f>
        <v>0.25915221579961462</v>
      </c>
      <c r="BE1341" s="30">
        <f>VLOOKUP(Inventory[[#This Row],[Nbhd]],Lookups!$M$3:$P$5,4,FALSE)</f>
        <v>0.99970000000000003</v>
      </c>
      <c r="BF1341" s="30">
        <f>VLOOKUP(Inventory[[#This Row],[Qlty]],Lookups!$M$8:$P$22,4,FALSE)</f>
        <v>1</v>
      </c>
      <c r="BG1341" s="30">
        <f>VLOOKUP(Inventory[[#This Row],[Cnd]],Lookups!$R$8:$U$17,4,FALSE)</f>
        <v>0.99680000000000002</v>
      </c>
      <c r="BH1341" s="30">
        <f>VLOOKUP(Inventory[[#This Row],[LivArea Range]],Lookups!$R$25:$U$43,4,FALSE)</f>
        <v>1</v>
      </c>
      <c r="BI1341" s="30">
        <f>VLOOKUP(Inventory[[#This Row],[Decade]],Lookups!$M$24:$P$40,4,FALSE)</f>
        <v>0.99960000000000004</v>
      </c>
      <c r="BJ1341" s="30">
        <f>Inventory[[#This Row],[Nbhd Adj]]*0.95</f>
        <v>0.94971499999999998</v>
      </c>
      <c r="BK1341" s="30">
        <f>AVERAGE(Inventory[[#This Row],[Nbhd Adj]],Inventory[[#This Row],[Quality Adj]],Inventory[[#This Row],[Condition Adj]],Inventory[[#This Row],[Living Area Adj]],Inventory[[#This Row],[Decade Adj]])*0.95</f>
        <v>0.94925899999999996</v>
      </c>
      <c r="BL1341" s="30">
        <f>ROUND((SUM(Inventory[[#This Row],[Mdl Qlty]:[Mdl Garage Area]])+Inventory[[#This Row],[Mdl Res Intercept]])*Inventory[[#This Row],[Res Adj ]],-2)</f>
        <v>182100</v>
      </c>
      <c r="BM1341" s="30">
        <f>ROUND(Inventory[[#This Row],[25Det]]*Inventory[[#This Row],[Det/Nbhd Adj]],-2)</f>
        <v>5800</v>
      </c>
      <c r="BN1341" s="30">
        <f>Inventory[[#This Row],[Adjusted Res]]+Inventory[[#This Row],[Adj Det ]]</f>
        <v>187900</v>
      </c>
      <c r="BO1341" s="30">
        <f>ROUND((Inventory[[#This Row],[Mdl Land Intercept]]+Inventory[[#This Row],[Mdl LnAcres]])*Inventory[[#This Row],[Det/Nbhd Adj]],-2)</f>
        <v>60300</v>
      </c>
      <c r="BP1341" s="30">
        <f>Inventory[[#This Row],[Adjusted Impr Total]]+Inventory[[#This Row],[Adjusted Land Total]]</f>
        <v>248200</v>
      </c>
      <c r="BQ1341" s="30">
        <f>IFERROR((Inventory[[#This Row],[Adjusted Impr Total]]-Inventory[[#This Row],[24Bldg]])/Inventory[[#This Row],[24Bldg]],0)</f>
        <v>0.27217332430602575</v>
      </c>
      <c r="BR1341" s="43">
        <f>(Inventory[[#This Row],[Adjusted Land Total]]-Inventory[[#This Row],[24Lnd]])/Inventory[[#This Row],[24Lnd]]</f>
        <v>6.6777963272120202E-3</v>
      </c>
      <c r="BS1341" s="43">
        <f>(Inventory[[#This Row],[Adjusted Total]]-Inventory[[#This Row],[24Final]])/Inventory[[#This Row],[24Final]]</f>
        <v>0.19556840077071291</v>
      </c>
    </row>
    <row r="1342" spans="1:71">
      <c r="A1342" s="30">
        <v>2025</v>
      </c>
      <c r="B1342" s="31" t="s">
        <v>1861</v>
      </c>
      <c r="C1342" s="36">
        <f>LN(Inventory[[#This Row],[Acres]])</f>
        <v>-1.7147984280919266</v>
      </c>
      <c r="D1342" s="38">
        <v>0.18</v>
      </c>
      <c r="E1342" s="30">
        <v>7836</v>
      </c>
      <c r="F1342" s="31" t="s">
        <v>505</v>
      </c>
      <c r="G1342" s="31" t="s">
        <v>155</v>
      </c>
      <c r="H1342" s="31" t="s">
        <v>5</v>
      </c>
      <c r="I1342" s="31" t="s">
        <v>506</v>
      </c>
      <c r="J1342" s="31" t="s">
        <v>507</v>
      </c>
      <c r="K1342" s="31" t="s">
        <v>473</v>
      </c>
      <c r="L1342" s="31" t="s">
        <v>15</v>
      </c>
      <c r="M1342" s="31" t="s">
        <v>20</v>
      </c>
      <c r="N1342" s="31">
        <v>100</v>
      </c>
      <c r="O1342" s="31">
        <f>2024-Inventory[[#This Row],[YrBlt]]</f>
        <v>104</v>
      </c>
      <c r="P1342" s="31">
        <f>2024-Inventory[[#This Row],[EffYr]]</f>
        <v>58</v>
      </c>
      <c r="Q1342" s="30">
        <v>1920</v>
      </c>
      <c r="R1342" s="30">
        <v>1966</v>
      </c>
      <c r="S1342" s="30">
        <v>816</v>
      </c>
      <c r="T1342" s="30">
        <v>480</v>
      </c>
      <c r="U1342" s="32"/>
      <c r="V1342" s="32"/>
      <c r="W1342" s="32"/>
      <c r="X1342" s="32">
        <f>Inventory[[#This Row],[Bsmt Area]]-Inventory[[#This Row],[FnBsmt]]</f>
        <v>0</v>
      </c>
      <c r="Y1342" s="32">
        <f>Inventory[[#This Row],[MainFn]]+Inventory[[#This Row],[UpprFn]]+Inventory[[#This Row],[AddFn]]+Inventory[[#This Row],[FnBsmt]]</f>
        <v>1296</v>
      </c>
      <c r="Z1342" s="32">
        <v>1500</v>
      </c>
      <c r="AA1342" s="31" t="s">
        <v>56</v>
      </c>
      <c r="AB1342" s="37"/>
      <c r="AC1342" s="38">
        <v>552</v>
      </c>
      <c r="AD1342" s="37"/>
      <c r="AE1342" s="32"/>
      <c r="AF1342" s="32"/>
      <c r="AG1342" s="32"/>
      <c r="AH1342" s="32"/>
      <c r="AI1342" s="30">
        <v>218076</v>
      </c>
      <c r="AJ1342" s="30">
        <v>139569</v>
      </c>
      <c r="AK1342" s="30">
        <v>0</v>
      </c>
      <c r="AL1342" s="30">
        <v>0</v>
      </c>
      <c r="AM1342" s="30">
        <v>62500</v>
      </c>
      <c r="AN1342" s="30">
        <v>229200</v>
      </c>
      <c r="AO1342" s="30">
        <v>291700</v>
      </c>
      <c r="AP1342" s="30">
        <f>Lookups!$B$58*0.6</f>
        <v>132535.48800000001</v>
      </c>
      <c r="AQ1342" s="30">
        <f>Lookups!$B$58*0.4</f>
        <v>88356.992000000013</v>
      </c>
      <c r="AR1342" s="30">
        <f>Lookups!$B$59*Inventory[[#This Row],[LnAcres]]</f>
        <v>-22505.565020573864</v>
      </c>
      <c r="AS1342" s="30">
        <f>VLOOKUP(Inventory[[#This Row],[Qlty]],Lookups!$A$66:$E$79,2,FALSE)</f>
        <v>-1240.8083630000001</v>
      </c>
      <c r="AT1342" s="30">
        <f>VLOOKUP(Inventory[[#This Row],[Cnd]],Lookups!$A$80:$E$88,2,FALSE)</f>
        <v>30300.329274</v>
      </c>
      <c r="AU1342" s="30">
        <f>Inventory[[#This Row],[EffAge]]*Lookups!$B$65</f>
        <v>-6306.9838</v>
      </c>
      <c r="AV1342" s="30">
        <f>Inventory[[#This Row],[MainFn]]*Lookups!$B$90</f>
        <v>50926.870080000001</v>
      </c>
      <c r="AW1342" s="30">
        <f>Inventory[[#This Row],[UpprFn]]*Lookups!$B$91</f>
        <v>28598.583839999999</v>
      </c>
      <c r="AX1342" s="30">
        <f>Inventory[[#This Row],[Bsmt Area]]*Lookups!$B$95</f>
        <v>0</v>
      </c>
      <c r="AY1342" s="30">
        <f>Inventory[[#This Row],[AttGar]]*Lookups!$B$93</f>
        <v>19486.169112</v>
      </c>
      <c r="AZ1342" s="30">
        <f>ROUND(Inventory[[#This Row],[25Det]],-2)</f>
        <v>0</v>
      </c>
      <c r="BA1342" s="30">
        <f>ROUND(SUM(Inventory[[#This Row],[Mdl Qlty]:[Mdl Garage Area]])+Inventory[[#This Row],[Mdl Res Intercept]],-2)</f>
        <v>254300</v>
      </c>
      <c r="BB1342" s="30">
        <f>ROUND(Inventory[[#This Row],[Mdl Land Intercept]]+Inventory[[#This Row],[Mdl LnAcres]],-2)</f>
        <v>65900</v>
      </c>
      <c r="BC1342" s="30">
        <f>Inventory[[#This Row],[Unadj Res Value]]+Inventory[[#This Row],[Unadj Det Value]]+Inventory[[#This Row],[Unadj Land Value]]</f>
        <v>320200</v>
      </c>
      <c r="BD1342" s="30">
        <f>(Inventory[[#This Row],[Unadj Total Value]]-Inventory[[#This Row],[24Final]])/Inventory[[#This Row],[24Final]]</f>
        <v>9.7703119643469324E-2</v>
      </c>
      <c r="BE1342" s="30">
        <f>VLOOKUP(Inventory[[#This Row],[Nbhd]],Lookups!$M$3:$P$5,4,FALSE)</f>
        <v>0.99970000000000003</v>
      </c>
      <c r="BF1342" s="30">
        <f>VLOOKUP(Inventory[[#This Row],[Qlty]],Lookups!$M$8:$P$22,4,FALSE)</f>
        <v>1.0022</v>
      </c>
      <c r="BG1342" s="30">
        <f>VLOOKUP(Inventory[[#This Row],[Cnd]],Lookups!$R$8:$U$17,4,FALSE)</f>
        <v>0.997</v>
      </c>
      <c r="BH1342" s="30">
        <f>VLOOKUP(Inventory[[#This Row],[LivArea Range]],Lookups!$R$25:$U$43,4,FALSE)</f>
        <v>0.99519999999999997</v>
      </c>
      <c r="BI1342" s="30">
        <f>VLOOKUP(Inventory[[#This Row],[Decade]],Lookups!$M$24:$P$40,4,FALSE)</f>
        <v>0.99960000000000004</v>
      </c>
      <c r="BJ1342" s="30">
        <f>Inventory[[#This Row],[Nbhd Adj]]*0.95</f>
        <v>0.94971499999999998</v>
      </c>
      <c r="BK1342" s="30">
        <f>AVERAGE(Inventory[[#This Row],[Nbhd Adj]],Inventory[[#This Row],[Quality Adj]],Inventory[[#This Row],[Condition Adj]],Inventory[[#This Row],[Living Area Adj]],Inventory[[#This Row],[Decade Adj]])*0.95</f>
        <v>0.94880300000000006</v>
      </c>
      <c r="BL1342" s="30">
        <f>ROUND((SUM(Inventory[[#This Row],[Mdl Qlty]:[Mdl Garage Area]])+Inventory[[#This Row],[Mdl Res Intercept]])*Inventory[[#This Row],[Res Adj ]],-2)</f>
        <v>241300</v>
      </c>
      <c r="BM1342" s="30">
        <f>ROUND(Inventory[[#This Row],[25Det]]*Inventory[[#This Row],[Det/Nbhd Adj]],-2)</f>
        <v>0</v>
      </c>
      <c r="BN1342" s="30">
        <f>Inventory[[#This Row],[Adjusted Res]]+Inventory[[#This Row],[Adj Det ]]</f>
        <v>241300</v>
      </c>
      <c r="BO1342" s="30">
        <f>ROUND((Inventory[[#This Row],[Mdl Land Intercept]]+Inventory[[#This Row],[Mdl LnAcres]])*Inventory[[#This Row],[Det/Nbhd Adj]],-2)</f>
        <v>62500</v>
      </c>
      <c r="BP1342" s="30">
        <f>Inventory[[#This Row],[Adjusted Impr Total]]+Inventory[[#This Row],[Adjusted Land Total]]</f>
        <v>303800</v>
      </c>
      <c r="BQ1342" s="30">
        <f>IFERROR((Inventory[[#This Row],[Adjusted Impr Total]]-Inventory[[#This Row],[24Bldg]])/Inventory[[#This Row],[24Bldg]],0)</f>
        <v>5.2792321116928449E-2</v>
      </c>
      <c r="BR1342" s="43">
        <f>(Inventory[[#This Row],[Adjusted Land Total]]-Inventory[[#This Row],[24Lnd]])/Inventory[[#This Row],[24Lnd]]</f>
        <v>0</v>
      </c>
      <c r="BS1342" s="43">
        <f>(Inventory[[#This Row],[Adjusted Total]]-Inventory[[#This Row],[24Final]])/Inventory[[#This Row],[24Final]]</f>
        <v>4.1480973603016801E-2</v>
      </c>
    </row>
    <row r="1343" spans="1:71">
      <c r="A1343" s="30">
        <v>2025</v>
      </c>
      <c r="B1343" s="31" t="s">
        <v>1862</v>
      </c>
      <c r="C1343" s="36">
        <f>LN(Inventory[[#This Row],[Acres]])</f>
        <v>-1.7147984280919266</v>
      </c>
      <c r="D1343" s="38">
        <v>0.18</v>
      </c>
      <c r="E1343" s="30">
        <v>7800</v>
      </c>
      <c r="F1343" s="31" t="s">
        <v>505</v>
      </c>
      <c r="G1343" s="31" t="s">
        <v>155</v>
      </c>
      <c r="H1343" s="31" t="s">
        <v>5</v>
      </c>
      <c r="I1343" s="31" t="s">
        <v>506</v>
      </c>
      <c r="J1343" s="31" t="s">
        <v>507</v>
      </c>
      <c r="K1343" s="31" t="s">
        <v>475</v>
      </c>
      <c r="L1343" s="31" t="s">
        <v>13</v>
      </c>
      <c r="M1343" s="31" t="s">
        <v>16</v>
      </c>
      <c r="N1343" s="31">
        <v>100</v>
      </c>
      <c r="O1343" s="31">
        <f>2024-Inventory[[#This Row],[YrBlt]]</f>
        <v>104</v>
      </c>
      <c r="P1343" s="31">
        <f>2024-Inventory[[#This Row],[EffYr]]</f>
        <v>58</v>
      </c>
      <c r="Q1343" s="30">
        <v>1920</v>
      </c>
      <c r="R1343" s="30">
        <v>1966</v>
      </c>
      <c r="S1343" s="30">
        <v>830</v>
      </c>
      <c r="T1343" s="32"/>
      <c r="U1343" s="32"/>
      <c r="V1343" s="32"/>
      <c r="W1343" s="32"/>
      <c r="X1343" s="32">
        <f>Inventory[[#This Row],[Bsmt Area]]-Inventory[[#This Row],[FnBsmt]]</f>
        <v>0</v>
      </c>
      <c r="Y1343" s="32">
        <f>Inventory[[#This Row],[MainFn]]+Inventory[[#This Row],[UpprFn]]+Inventory[[#This Row],[AddFn]]+Inventory[[#This Row],[FnBsmt]]</f>
        <v>830</v>
      </c>
      <c r="Z1343" s="32">
        <v>1000</v>
      </c>
      <c r="AA1343" s="31" t="s">
        <v>56</v>
      </c>
      <c r="AB1343" s="32"/>
      <c r="AC1343" s="37"/>
      <c r="AD1343" s="32"/>
      <c r="AE1343" s="32"/>
      <c r="AF1343" s="32"/>
      <c r="AG1343" s="32"/>
      <c r="AH1343" s="32"/>
      <c r="AI1343" s="30">
        <v>136314</v>
      </c>
      <c r="AJ1343" s="30">
        <v>81788</v>
      </c>
      <c r="AK1343" s="30">
        <v>17834</v>
      </c>
      <c r="AL1343" s="30">
        <v>0</v>
      </c>
      <c r="AM1343" s="30">
        <v>62500</v>
      </c>
      <c r="AN1343" s="30">
        <v>165700</v>
      </c>
      <c r="AO1343" s="30">
        <v>228200</v>
      </c>
      <c r="AP1343" s="30">
        <f>Lookups!$B$58*0.6</f>
        <v>132535.48800000001</v>
      </c>
      <c r="AQ1343" s="30">
        <f>Lookups!$B$58*0.4</f>
        <v>88356.992000000013</v>
      </c>
      <c r="AR1343" s="30">
        <f>Lookups!$B$59*Inventory[[#This Row],[LnAcres]]</f>
        <v>-22505.565020573864</v>
      </c>
      <c r="AS1343" s="30">
        <f>VLOOKUP(Inventory[[#This Row],[Qlty]],Lookups!$A$66:$E$79,2,FALSE)</f>
        <v>0</v>
      </c>
      <c r="AT1343" s="30">
        <f>VLOOKUP(Inventory[[#This Row],[Cnd]],Lookups!$A$80:$E$88,2,FALSE)</f>
        <v>0</v>
      </c>
      <c r="AU1343" s="30">
        <f>Inventory[[#This Row],[EffAge]]*Lookups!$B$65</f>
        <v>-6306.9838</v>
      </c>
      <c r="AV1343" s="30">
        <f>Inventory[[#This Row],[MainFn]]*Lookups!$B$90</f>
        <v>51800.615400000002</v>
      </c>
      <c r="AW1343" s="30">
        <f>Inventory[[#This Row],[UpprFn]]*Lookups!$B$91</f>
        <v>0</v>
      </c>
      <c r="AX1343" s="30">
        <f>Inventory[[#This Row],[Bsmt Area]]*Lookups!$B$95</f>
        <v>0</v>
      </c>
      <c r="AY1343" s="30">
        <f>Inventory[[#This Row],[AttGar]]*Lookups!$B$93</f>
        <v>0</v>
      </c>
      <c r="AZ1343" s="30">
        <f>ROUND(Inventory[[#This Row],[25Det]],-2)</f>
        <v>17800</v>
      </c>
      <c r="BA1343" s="30">
        <f>ROUND(SUM(Inventory[[#This Row],[Mdl Qlty]:[Mdl Garage Area]])+Inventory[[#This Row],[Mdl Res Intercept]],-2)</f>
        <v>178000</v>
      </c>
      <c r="BB1343" s="30">
        <f>ROUND(Inventory[[#This Row],[Mdl Land Intercept]]+Inventory[[#This Row],[Mdl LnAcres]],-2)</f>
        <v>65900</v>
      </c>
      <c r="BC1343" s="30">
        <f>Inventory[[#This Row],[Unadj Res Value]]+Inventory[[#This Row],[Unadj Det Value]]+Inventory[[#This Row],[Unadj Land Value]]</f>
        <v>261700</v>
      </c>
      <c r="BD1343" s="30">
        <f>(Inventory[[#This Row],[Unadj Total Value]]-Inventory[[#This Row],[24Final]])/Inventory[[#This Row],[24Final]]</f>
        <v>0.14680105170902716</v>
      </c>
      <c r="BE1343" s="30">
        <f>VLOOKUP(Inventory[[#This Row],[Nbhd]],Lookups!$M$3:$P$5,4,FALSE)</f>
        <v>0.99970000000000003</v>
      </c>
      <c r="BF1343" s="30">
        <f>VLOOKUP(Inventory[[#This Row],[Qlty]],Lookups!$M$8:$P$22,4,FALSE)</f>
        <v>1.0003</v>
      </c>
      <c r="BG1343" s="30">
        <f>VLOOKUP(Inventory[[#This Row],[Cnd]],Lookups!$R$8:$U$17,4,FALSE)</f>
        <v>1</v>
      </c>
      <c r="BH1343" s="30">
        <f>VLOOKUP(Inventory[[#This Row],[LivArea Range]],Lookups!$R$25:$U$43,4,FALSE)</f>
        <v>1</v>
      </c>
      <c r="BI1343" s="30">
        <f>VLOOKUP(Inventory[[#This Row],[Decade]],Lookups!$M$24:$P$40,4,FALSE)</f>
        <v>0.99960000000000004</v>
      </c>
      <c r="BJ1343" s="30">
        <f>Inventory[[#This Row],[Nbhd Adj]]*0.95</f>
        <v>0.94971499999999998</v>
      </c>
      <c r="BK1343" s="30">
        <f>AVERAGE(Inventory[[#This Row],[Nbhd Adj]],Inventory[[#This Row],[Quality Adj]],Inventory[[#This Row],[Condition Adj]],Inventory[[#This Row],[Living Area Adj]],Inventory[[#This Row],[Decade Adj]])*0.95</f>
        <v>0.94992399999999999</v>
      </c>
      <c r="BL1343" s="30">
        <f>ROUND((SUM(Inventory[[#This Row],[Mdl Qlty]:[Mdl Garage Area]])+Inventory[[#This Row],[Mdl Res Intercept]])*Inventory[[#This Row],[Res Adj ]],-2)</f>
        <v>169100</v>
      </c>
      <c r="BM1343" s="30">
        <f>ROUND(Inventory[[#This Row],[25Det]]*Inventory[[#This Row],[Det/Nbhd Adj]],-2)</f>
        <v>16900</v>
      </c>
      <c r="BN1343" s="30">
        <f>Inventory[[#This Row],[Adjusted Res]]+Inventory[[#This Row],[Adj Det ]]</f>
        <v>186000</v>
      </c>
      <c r="BO1343" s="30">
        <f>ROUND((Inventory[[#This Row],[Mdl Land Intercept]]+Inventory[[#This Row],[Mdl LnAcres]])*Inventory[[#This Row],[Det/Nbhd Adj]],-2)</f>
        <v>62500</v>
      </c>
      <c r="BP1343" s="30">
        <f>Inventory[[#This Row],[Adjusted Impr Total]]+Inventory[[#This Row],[Adjusted Land Total]]</f>
        <v>248500</v>
      </c>
      <c r="BQ1343" s="30">
        <f>IFERROR((Inventory[[#This Row],[Adjusted Impr Total]]-Inventory[[#This Row],[24Bldg]])/Inventory[[#This Row],[24Bldg]],0)</f>
        <v>0.12251056125528063</v>
      </c>
      <c r="BR1343" s="43">
        <f>(Inventory[[#This Row],[Adjusted Land Total]]-Inventory[[#This Row],[24Lnd]])/Inventory[[#This Row],[24Lnd]]</f>
        <v>0</v>
      </c>
      <c r="BS1343" s="43">
        <f>(Inventory[[#This Row],[Adjusted Total]]-Inventory[[#This Row],[24Final]])/Inventory[[#This Row],[24Final]]</f>
        <v>8.8957055214723926E-2</v>
      </c>
    </row>
    <row r="1344" spans="1:71">
      <c r="A1344" s="30">
        <v>2025</v>
      </c>
      <c r="B1344" s="31" t="s">
        <v>1863</v>
      </c>
      <c r="C1344" s="36">
        <f>LN(Inventory[[#This Row],[Acres]])</f>
        <v>-1.6607312068216509</v>
      </c>
      <c r="D1344" s="38">
        <v>0.19</v>
      </c>
      <c r="E1344" s="30">
        <v>8083</v>
      </c>
      <c r="F1344" s="31" t="s">
        <v>505</v>
      </c>
      <c r="G1344" s="31" t="s">
        <v>155</v>
      </c>
      <c r="H1344" s="31" t="s">
        <v>5</v>
      </c>
      <c r="I1344" s="31" t="s">
        <v>506</v>
      </c>
      <c r="J1344" s="31" t="s">
        <v>507</v>
      </c>
      <c r="K1344" s="31" t="s">
        <v>475</v>
      </c>
      <c r="L1344" s="31" t="s">
        <v>13</v>
      </c>
      <c r="M1344" s="31" t="s">
        <v>16</v>
      </c>
      <c r="N1344" s="31">
        <v>100</v>
      </c>
      <c r="O1344" s="31">
        <f>2024-Inventory[[#This Row],[YrBlt]]</f>
        <v>104</v>
      </c>
      <c r="P1344" s="31">
        <f>2024-Inventory[[#This Row],[EffYr]]</f>
        <v>58</v>
      </c>
      <c r="Q1344" s="30">
        <v>1920</v>
      </c>
      <c r="R1344" s="30">
        <v>1966</v>
      </c>
      <c r="S1344" s="30">
        <v>985</v>
      </c>
      <c r="T1344" s="37"/>
      <c r="U1344" s="32"/>
      <c r="V1344" s="32"/>
      <c r="W1344" s="32"/>
      <c r="X1344" s="32">
        <f>Inventory[[#This Row],[Bsmt Area]]-Inventory[[#This Row],[FnBsmt]]</f>
        <v>0</v>
      </c>
      <c r="Y1344" s="32">
        <f>Inventory[[#This Row],[MainFn]]+Inventory[[#This Row],[UpprFn]]+Inventory[[#This Row],[AddFn]]+Inventory[[#This Row],[FnBsmt]]</f>
        <v>985</v>
      </c>
      <c r="Z1344" s="32">
        <v>1000</v>
      </c>
      <c r="AA1344" s="31" t="s">
        <v>56</v>
      </c>
      <c r="AB1344" s="37"/>
      <c r="AC1344" s="38">
        <v>240</v>
      </c>
      <c r="AD1344" s="37"/>
      <c r="AE1344" s="32"/>
      <c r="AF1344" s="32"/>
      <c r="AG1344" s="32"/>
      <c r="AH1344" s="32"/>
      <c r="AI1344" s="30">
        <v>146133</v>
      </c>
      <c r="AJ1344" s="30">
        <v>87680</v>
      </c>
      <c r="AK1344" s="30">
        <v>0</v>
      </c>
      <c r="AL1344" s="30">
        <v>0</v>
      </c>
      <c r="AM1344" s="30">
        <v>63200</v>
      </c>
      <c r="AN1344" s="30">
        <v>168500</v>
      </c>
      <c r="AO1344" s="30">
        <v>231700</v>
      </c>
      <c r="AP1344" s="30">
        <f>Lookups!$B$58*0.6</f>
        <v>132535.48800000001</v>
      </c>
      <c r="AQ1344" s="30">
        <f>Lookups!$B$58*0.4</f>
        <v>88356.992000000013</v>
      </c>
      <c r="AR1344" s="30">
        <f>Lookups!$B$59*Inventory[[#This Row],[LnAcres]]</f>
        <v>-21795.969453044734</v>
      </c>
      <c r="AS1344" s="30">
        <f>VLOOKUP(Inventory[[#This Row],[Qlty]],Lookups!$A$66:$E$79,2,FALSE)</f>
        <v>0</v>
      </c>
      <c r="AT1344" s="30">
        <f>VLOOKUP(Inventory[[#This Row],[Cnd]],Lookups!$A$80:$E$88,2,FALSE)</f>
        <v>0</v>
      </c>
      <c r="AU1344" s="30">
        <f>Inventory[[#This Row],[EffAge]]*Lookups!$B$65</f>
        <v>-6306.9838</v>
      </c>
      <c r="AV1344" s="30">
        <f>Inventory[[#This Row],[MainFn]]*Lookups!$B$90</f>
        <v>61474.224300000002</v>
      </c>
      <c r="AW1344" s="30">
        <f>Inventory[[#This Row],[UpprFn]]*Lookups!$B$91</f>
        <v>0</v>
      </c>
      <c r="AX1344" s="30">
        <f>Inventory[[#This Row],[Bsmt Area]]*Lookups!$B$95</f>
        <v>0</v>
      </c>
      <c r="AY1344" s="30">
        <f>Inventory[[#This Row],[AttGar]]*Lookups!$B$93</f>
        <v>8472.247440000001</v>
      </c>
      <c r="AZ1344" s="30">
        <f>ROUND(Inventory[[#This Row],[25Det]],-2)</f>
        <v>0</v>
      </c>
      <c r="BA1344" s="30">
        <f>ROUND(SUM(Inventory[[#This Row],[Mdl Qlty]:[Mdl Garage Area]])+Inventory[[#This Row],[Mdl Res Intercept]],-2)</f>
        <v>196200</v>
      </c>
      <c r="BB1344" s="30">
        <f>ROUND(Inventory[[#This Row],[Mdl Land Intercept]]+Inventory[[#This Row],[Mdl LnAcres]],-2)</f>
        <v>66600</v>
      </c>
      <c r="BC1344" s="30">
        <f>Inventory[[#This Row],[Unadj Res Value]]+Inventory[[#This Row],[Unadj Det Value]]+Inventory[[#This Row],[Unadj Land Value]]</f>
        <v>262800</v>
      </c>
      <c r="BD1344" s="30">
        <f>(Inventory[[#This Row],[Unadj Total Value]]-Inventory[[#This Row],[24Final]])/Inventory[[#This Row],[24Final]]</f>
        <v>0.1342252913249892</v>
      </c>
      <c r="BE1344" s="30">
        <f>VLOOKUP(Inventory[[#This Row],[Nbhd]],Lookups!$M$3:$P$5,4,FALSE)</f>
        <v>0.99970000000000003</v>
      </c>
      <c r="BF1344" s="30">
        <f>VLOOKUP(Inventory[[#This Row],[Qlty]],Lookups!$M$8:$P$22,4,FALSE)</f>
        <v>1.0003</v>
      </c>
      <c r="BG1344" s="30">
        <f>VLOOKUP(Inventory[[#This Row],[Cnd]],Lookups!$R$8:$U$17,4,FALSE)</f>
        <v>1</v>
      </c>
      <c r="BH1344" s="30">
        <f>VLOOKUP(Inventory[[#This Row],[LivArea Range]],Lookups!$R$25:$U$43,4,FALSE)</f>
        <v>1</v>
      </c>
      <c r="BI1344" s="30">
        <f>VLOOKUP(Inventory[[#This Row],[Decade]],Lookups!$M$24:$P$40,4,FALSE)</f>
        <v>0.99960000000000004</v>
      </c>
      <c r="BJ1344" s="30">
        <f>Inventory[[#This Row],[Nbhd Adj]]*0.95</f>
        <v>0.94971499999999998</v>
      </c>
      <c r="BK1344" s="30">
        <f>AVERAGE(Inventory[[#This Row],[Nbhd Adj]],Inventory[[#This Row],[Quality Adj]],Inventory[[#This Row],[Condition Adj]],Inventory[[#This Row],[Living Area Adj]],Inventory[[#This Row],[Decade Adj]])*0.95</f>
        <v>0.94992399999999999</v>
      </c>
      <c r="BL1344" s="30">
        <f>ROUND((SUM(Inventory[[#This Row],[Mdl Qlty]:[Mdl Garage Area]])+Inventory[[#This Row],[Mdl Res Intercept]])*Inventory[[#This Row],[Res Adj ]],-2)</f>
        <v>186400</v>
      </c>
      <c r="BM1344" s="30">
        <f>ROUND(Inventory[[#This Row],[25Det]]*Inventory[[#This Row],[Det/Nbhd Adj]],-2)</f>
        <v>0</v>
      </c>
      <c r="BN1344" s="30">
        <f>Inventory[[#This Row],[Adjusted Res]]+Inventory[[#This Row],[Adj Det ]]</f>
        <v>186400</v>
      </c>
      <c r="BO1344" s="30">
        <f>ROUND((Inventory[[#This Row],[Mdl Land Intercept]]+Inventory[[#This Row],[Mdl LnAcres]])*Inventory[[#This Row],[Det/Nbhd Adj]],-2)</f>
        <v>63200</v>
      </c>
      <c r="BP1344" s="30">
        <f>Inventory[[#This Row],[Adjusted Impr Total]]+Inventory[[#This Row],[Adjusted Land Total]]</f>
        <v>249600</v>
      </c>
      <c r="BQ1344" s="30">
        <f>IFERROR((Inventory[[#This Row],[Adjusted Impr Total]]-Inventory[[#This Row],[24Bldg]])/Inventory[[#This Row],[24Bldg]],0)</f>
        <v>0.10623145400593471</v>
      </c>
      <c r="BR1344" s="43">
        <f>(Inventory[[#This Row],[Adjusted Land Total]]-Inventory[[#This Row],[24Lnd]])/Inventory[[#This Row],[24Lnd]]</f>
        <v>0</v>
      </c>
      <c r="BS1344" s="43">
        <f>(Inventory[[#This Row],[Adjusted Total]]-Inventory[[#This Row],[24Final]])/Inventory[[#This Row],[24Final]]</f>
        <v>7.7255071212775139E-2</v>
      </c>
    </row>
    <row r="1345" spans="1:71">
      <c r="A1345" s="30">
        <v>2025</v>
      </c>
      <c r="B1345" s="31" t="s">
        <v>1864</v>
      </c>
      <c r="C1345" s="36">
        <f>LN(Inventory[[#This Row],[Acres]])</f>
        <v>-1.6094379124341003</v>
      </c>
      <c r="D1345" s="38">
        <v>0.2</v>
      </c>
      <c r="E1345" s="30">
        <v>8618</v>
      </c>
      <c r="F1345" s="31" t="s">
        <v>505</v>
      </c>
      <c r="G1345" s="31" t="s">
        <v>155</v>
      </c>
      <c r="H1345" s="31" t="s">
        <v>5</v>
      </c>
      <c r="I1345" s="31" t="s">
        <v>506</v>
      </c>
      <c r="J1345" s="31" t="s">
        <v>507</v>
      </c>
      <c r="K1345" s="31" t="s">
        <v>473</v>
      </c>
      <c r="L1345" s="31" t="s">
        <v>15</v>
      </c>
      <c r="M1345" s="31" t="s">
        <v>18</v>
      </c>
      <c r="N1345" s="31">
        <v>100</v>
      </c>
      <c r="O1345" s="31">
        <f>2024-Inventory[[#This Row],[YrBlt]]</f>
        <v>104</v>
      </c>
      <c r="P1345" s="31">
        <f>2024-Inventory[[#This Row],[EffYr]]</f>
        <v>58</v>
      </c>
      <c r="Q1345" s="30">
        <v>1920</v>
      </c>
      <c r="R1345" s="30">
        <v>1966</v>
      </c>
      <c r="S1345" s="30">
        <v>1616</v>
      </c>
      <c r="T1345" s="37"/>
      <c r="U1345" s="32"/>
      <c r="V1345" s="32"/>
      <c r="W1345" s="32"/>
      <c r="X1345" s="32">
        <f>Inventory[[#This Row],[Bsmt Area]]-Inventory[[#This Row],[FnBsmt]]</f>
        <v>0</v>
      </c>
      <c r="Y1345" s="32">
        <f>Inventory[[#This Row],[MainFn]]+Inventory[[#This Row],[UpprFn]]+Inventory[[#This Row],[AddFn]]+Inventory[[#This Row],[FnBsmt]]</f>
        <v>1616</v>
      </c>
      <c r="Z1345" s="32">
        <v>2000</v>
      </c>
      <c r="AA1345" s="31" t="s">
        <v>56</v>
      </c>
      <c r="AB1345" s="37"/>
      <c r="AC1345" s="32"/>
      <c r="AD1345" s="37"/>
      <c r="AE1345" s="32"/>
      <c r="AF1345" s="32"/>
      <c r="AG1345" s="32"/>
      <c r="AH1345" s="32"/>
      <c r="AI1345" s="30">
        <v>223513</v>
      </c>
      <c r="AJ1345" s="30">
        <v>138578</v>
      </c>
      <c r="AK1345" s="30">
        <v>12228</v>
      </c>
      <c r="AL1345" s="30">
        <v>0</v>
      </c>
      <c r="AM1345" s="30">
        <v>64000</v>
      </c>
      <c r="AN1345" s="30">
        <v>211600</v>
      </c>
      <c r="AO1345" s="30">
        <v>275600</v>
      </c>
      <c r="AP1345" s="30">
        <f>Lookups!$B$58*0.6</f>
        <v>132535.48800000001</v>
      </c>
      <c r="AQ1345" s="30">
        <f>Lookups!$B$58*0.4</f>
        <v>88356.992000000013</v>
      </c>
      <c r="AR1345" s="30">
        <f>Lookups!$B$59*Inventory[[#This Row],[LnAcres]]</f>
        <v>-21122.779792355024</v>
      </c>
      <c r="AS1345" s="30">
        <f>VLOOKUP(Inventory[[#This Row],[Qlty]],Lookups!$A$66:$E$79,2,FALSE)</f>
        <v>-1240.8083630000001</v>
      </c>
      <c r="AT1345" s="30">
        <f>VLOOKUP(Inventory[[#This Row],[Cnd]],Lookups!$A$80:$E$88,2,FALSE)</f>
        <v>17761.121909000001</v>
      </c>
      <c r="AU1345" s="30">
        <f>Inventory[[#This Row],[EffAge]]*Lookups!$B$65</f>
        <v>-6306.9838</v>
      </c>
      <c r="AV1345" s="30">
        <f>Inventory[[#This Row],[MainFn]]*Lookups!$B$90</f>
        <v>100855.17408000001</v>
      </c>
      <c r="AW1345" s="30">
        <f>Inventory[[#This Row],[UpprFn]]*Lookups!$B$91</f>
        <v>0</v>
      </c>
      <c r="AX1345" s="30">
        <f>Inventory[[#This Row],[Bsmt Area]]*Lookups!$B$95</f>
        <v>0</v>
      </c>
      <c r="AY1345" s="30">
        <f>Inventory[[#This Row],[AttGar]]*Lookups!$B$93</f>
        <v>0</v>
      </c>
      <c r="AZ1345" s="30">
        <f>ROUND(Inventory[[#This Row],[25Det]],-2)</f>
        <v>12200</v>
      </c>
      <c r="BA1345" s="30">
        <f>ROUND(SUM(Inventory[[#This Row],[Mdl Qlty]:[Mdl Garage Area]])+Inventory[[#This Row],[Mdl Res Intercept]],-2)</f>
        <v>243600</v>
      </c>
      <c r="BB1345" s="30">
        <f>ROUND(Inventory[[#This Row],[Mdl Land Intercept]]+Inventory[[#This Row],[Mdl LnAcres]],-2)</f>
        <v>67200</v>
      </c>
      <c r="BC1345" s="30">
        <f>Inventory[[#This Row],[Unadj Res Value]]+Inventory[[#This Row],[Unadj Det Value]]+Inventory[[#This Row],[Unadj Land Value]]</f>
        <v>323000</v>
      </c>
      <c r="BD1345" s="30">
        <f>(Inventory[[#This Row],[Unadj Total Value]]-Inventory[[#This Row],[24Final]])/Inventory[[#This Row],[24Final]]</f>
        <v>0.17198838896952104</v>
      </c>
      <c r="BE1345" s="30">
        <f>VLOOKUP(Inventory[[#This Row],[Nbhd]],Lookups!$M$3:$P$5,4,FALSE)</f>
        <v>0.99970000000000003</v>
      </c>
      <c r="BF1345" s="30">
        <f>VLOOKUP(Inventory[[#This Row],[Qlty]],Lookups!$M$8:$P$22,4,FALSE)</f>
        <v>1.0022</v>
      </c>
      <c r="BG1345" s="30">
        <f>VLOOKUP(Inventory[[#This Row],[Cnd]],Lookups!$R$8:$U$17,4,FALSE)</f>
        <v>0.99680000000000002</v>
      </c>
      <c r="BH1345" s="30">
        <f>VLOOKUP(Inventory[[#This Row],[LivArea Range]],Lookups!$R$25:$U$43,4,FALSE)</f>
        <v>1.0007999999999999</v>
      </c>
      <c r="BI1345" s="30">
        <f>VLOOKUP(Inventory[[#This Row],[Decade]],Lookups!$M$24:$P$40,4,FALSE)</f>
        <v>0.99960000000000004</v>
      </c>
      <c r="BJ1345" s="30">
        <f>Inventory[[#This Row],[Nbhd Adj]]*0.95</f>
        <v>0.94971499999999998</v>
      </c>
      <c r="BK1345" s="30">
        <f>AVERAGE(Inventory[[#This Row],[Nbhd Adj]],Inventory[[#This Row],[Quality Adj]],Inventory[[#This Row],[Condition Adj]],Inventory[[#This Row],[Living Area Adj]],Inventory[[#This Row],[Decade Adj]])*0.95</f>
        <v>0.94982900000000003</v>
      </c>
      <c r="BL1345" s="30">
        <f>ROUND((SUM(Inventory[[#This Row],[Mdl Qlty]:[Mdl Garage Area]])+Inventory[[#This Row],[Mdl Res Intercept]])*Inventory[[#This Row],[Res Adj ]],-2)</f>
        <v>231400</v>
      </c>
      <c r="BM1345" s="30">
        <f>ROUND(Inventory[[#This Row],[25Det]]*Inventory[[#This Row],[Det/Nbhd Adj]],-2)</f>
        <v>11600</v>
      </c>
      <c r="BN1345" s="30">
        <f>Inventory[[#This Row],[Adjusted Res]]+Inventory[[#This Row],[Adj Det ]]</f>
        <v>243000</v>
      </c>
      <c r="BO1345" s="30">
        <f>ROUND((Inventory[[#This Row],[Mdl Land Intercept]]+Inventory[[#This Row],[Mdl LnAcres]])*Inventory[[#This Row],[Det/Nbhd Adj]],-2)</f>
        <v>63900</v>
      </c>
      <c r="BP1345" s="30">
        <f>Inventory[[#This Row],[Adjusted Impr Total]]+Inventory[[#This Row],[Adjusted Land Total]]</f>
        <v>306900</v>
      </c>
      <c r="BQ1345" s="30">
        <f>IFERROR((Inventory[[#This Row],[Adjusted Impr Total]]-Inventory[[#This Row],[24Bldg]])/Inventory[[#This Row],[24Bldg]],0)</f>
        <v>0.14839319470699433</v>
      </c>
      <c r="BR1345" s="43">
        <f>(Inventory[[#This Row],[Adjusted Land Total]]-Inventory[[#This Row],[24Lnd]])/Inventory[[#This Row],[24Lnd]]</f>
        <v>-1.5625000000000001E-3</v>
      </c>
      <c r="BS1345" s="43">
        <f>(Inventory[[#This Row],[Adjusted Total]]-Inventory[[#This Row],[24Final]])/Inventory[[#This Row],[24Final]]</f>
        <v>0.11357039187227866</v>
      </c>
    </row>
    <row r="1346" spans="1:71">
      <c r="A1346" s="30">
        <v>2025</v>
      </c>
      <c r="B1346" s="31" t="s">
        <v>1865</v>
      </c>
      <c r="C1346" s="36">
        <f>LN(Inventory[[#This Row],[Acres]])</f>
        <v>-1.5141277326297755</v>
      </c>
      <c r="D1346" s="38">
        <v>0.22</v>
      </c>
      <c r="E1346" s="30">
        <v>9778</v>
      </c>
      <c r="F1346" s="31" t="s">
        <v>505</v>
      </c>
      <c r="G1346" s="31" t="s">
        <v>155</v>
      </c>
      <c r="H1346" s="31" t="s">
        <v>5</v>
      </c>
      <c r="I1346" s="31" t="s">
        <v>506</v>
      </c>
      <c r="J1346" s="31" t="s">
        <v>507</v>
      </c>
      <c r="K1346" s="31" t="s">
        <v>193</v>
      </c>
      <c r="L1346" s="31" t="s">
        <v>15</v>
      </c>
      <c r="M1346" s="31" t="s">
        <v>20</v>
      </c>
      <c r="N1346" s="31">
        <v>100</v>
      </c>
      <c r="O1346" s="31">
        <f>2024-Inventory[[#This Row],[YrBlt]]</f>
        <v>104</v>
      </c>
      <c r="P1346" s="31">
        <f>2024-Inventory[[#This Row],[EffYr]]</f>
        <v>33</v>
      </c>
      <c r="Q1346" s="30">
        <v>1920</v>
      </c>
      <c r="R1346" s="30">
        <v>1991</v>
      </c>
      <c r="S1346" s="30">
        <v>1430</v>
      </c>
      <c r="T1346" s="32"/>
      <c r="U1346" s="32"/>
      <c r="V1346" s="32"/>
      <c r="W1346" s="32"/>
      <c r="X1346" s="32">
        <f>Inventory[[#This Row],[Bsmt Area]]-Inventory[[#This Row],[FnBsmt]]</f>
        <v>0</v>
      </c>
      <c r="Y1346" s="32">
        <f>Inventory[[#This Row],[MainFn]]+Inventory[[#This Row],[UpprFn]]+Inventory[[#This Row],[AddFn]]+Inventory[[#This Row],[FnBsmt]]</f>
        <v>1430</v>
      </c>
      <c r="Z1346" s="32">
        <v>1500</v>
      </c>
      <c r="AA1346" s="31" t="s">
        <v>56</v>
      </c>
      <c r="AB1346" s="37"/>
      <c r="AC1346" s="37"/>
      <c r="AD1346" s="32"/>
      <c r="AE1346" s="32"/>
      <c r="AF1346" s="32"/>
      <c r="AG1346" s="32"/>
      <c r="AH1346" s="32"/>
      <c r="AI1346" s="30">
        <v>212917</v>
      </c>
      <c r="AJ1346" s="30">
        <v>180979</v>
      </c>
      <c r="AK1346" s="30">
        <v>0</v>
      </c>
      <c r="AL1346" s="30">
        <v>0</v>
      </c>
      <c r="AM1346" s="30">
        <v>65300</v>
      </c>
      <c r="AN1346" s="30">
        <v>225500</v>
      </c>
      <c r="AO1346" s="30">
        <v>290800</v>
      </c>
      <c r="AP1346" s="30">
        <f>Lookups!$B$58*0.6</f>
        <v>132535.48800000001</v>
      </c>
      <c r="AQ1346" s="30">
        <f>Lookups!$B$58*0.4</f>
        <v>88356.992000000013</v>
      </c>
      <c r="AR1346" s="30">
        <f>Lookups!$B$59*Inventory[[#This Row],[LnAcres]]</f>
        <v>-19871.898398035348</v>
      </c>
      <c r="AS1346" s="30">
        <f>VLOOKUP(Inventory[[#This Row],[Qlty]],Lookups!$A$66:$E$79,2,FALSE)</f>
        <v>-1240.8083630000001</v>
      </c>
      <c r="AT1346" s="30">
        <f>VLOOKUP(Inventory[[#This Row],[Cnd]],Lookups!$A$80:$E$88,2,FALSE)</f>
        <v>30300.329274</v>
      </c>
      <c r="AU1346" s="30">
        <f>Inventory[[#This Row],[EffAge]]*Lookups!$B$65</f>
        <v>-3588.4563000000003</v>
      </c>
      <c r="AV1346" s="30">
        <f>Inventory[[#This Row],[MainFn]]*Lookups!$B$90</f>
        <v>89246.843399999998</v>
      </c>
      <c r="AW1346" s="30">
        <f>Inventory[[#This Row],[UpprFn]]*Lookups!$B$91</f>
        <v>0</v>
      </c>
      <c r="AX1346" s="30">
        <f>Inventory[[#This Row],[Bsmt Area]]*Lookups!$B$95</f>
        <v>0</v>
      </c>
      <c r="AY1346" s="30">
        <f>Inventory[[#This Row],[AttGar]]*Lookups!$B$93</f>
        <v>0</v>
      </c>
      <c r="AZ1346" s="30">
        <f>ROUND(Inventory[[#This Row],[25Det]],-2)</f>
        <v>0</v>
      </c>
      <c r="BA1346" s="30">
        <f>ROUND(SUM(Inventory[[#This Row],[Mdl Qlty]:[Mdl Garage Area]])+Inventory[[#This Row],[Mdl Res Intercept]],-2)</f>
        <v>247300</v>
      </c>
      <c r="BB1346" s="30">
        <f>ROUND(Inventory[[#This Row],[Mdl Land Intercept]]+Inventory[[#This Row],[Mdl LnAcres]],-2)</f>
        <v>68500</v>
      </c>
      <c r="BC1346" s="30">
        <f>Inventory[[#This Row],[Unadj Res Value]]+Inventory[[#This Row],[Unadj Det Value]]+Inventory[[#This Row],[Unadj Land Value]]</f>
        <v>315800</v>
      </c>
      <c r="BD1346" s="30">
        <f>(Inventory[[#This Row],[Unadj Total Value]]-Inventory[[#This Row],[24Final]])/Inventory[[#This Row],[24Final]]</f>
        <v>8.5969738651994504E-2</v>
      </c>
      <c r="BE1346" s="30">
        <f>VLOOKUP(Inventory[[#This Row],[Nbhd]],Lookups!$M$3:$P$5,4,FALSE)</f>
        <v>0.99970000000000003</v>
      </c>
      <c r="BF1346" s="30">
        <f>VLOOKUP(Inventory[[#This Row],[Qlty]],Lookups!$M$8:$P$22,4,FALSE)</f>
        <v>1.0022</v>
      </c>
      <c r="BG1346" s="30">
        <f>VLOOKUP(Inventory[[#This Row],[Cnd]],Lookups!$R$8:$U$17,4,FALSE)</f>
        <v>0.997</v>
      </c>
      <c r="BH1346" s="30">
        <f>VLOOKUP(Inventory[[#This Row],[LivArea Range]],Lookups!$R$25:$U$43,4,FALSE)</f>
        <v>0.99519999999999997</v>
      </c>
      <c r="BI1346" s="30">
        <f>VLOOKUP(Inventory[[#This Row],[Decade]],Lookups!$M$24:$P$40,4,FALSE)</f>
        <v>0.99960000000000004</v>
      </c>
      <c r="BJ1346" s="30">
        <f>Inventory[[#This Row],[Nbhd Adj]]*0.95</f>
        <v>0.94971499999999998</v>
      </c>
      <c r="BK1346" s="30">
        <f>AVERAGE(Inventory[[#This Row],[Nbhd Adj]],Inventory[[#This Row],[Quality Adj]],Inventory[[#This Row],[Condition Adj]],Inventory[[#This Row],[Living Area Adj]],Inventory[[#This Row],[Decade Adj]])*0.95</f>
        <v>0.94880300000000006</v>
      </c>
      <c r="BL1346" s="30">
        <f>ROUND((SUM(Inventory[[#This Row],[Mdl Qlty]:[Mdl Garage Area]])+Inventory[[#This Row],[Mdl Res Intercept]])*Inventory[[#This Row],[Res Adj ]],-2)</f>
        <v>234600</v>
      </c>
      <c r="BM1346" s="30">
        <f>ROUND(Inventory[[#This Row],[25Det]]*Inventory[[#This Row],[Det/Nbhd Adj]],-2)</f>
        <v>0</v>
      </c>
      <c r="BN1346" s="30">
        <f>Inventory[[#This Row],[Adjusted Res]]+Inventory[[#This Row],[Adj Det ]]</f>
        <v>234600</v>
      </c>
      <c r="BO1346" s="30">
        <f>ROUND((Inventory[[#This Row],[Mdl Land Intercept]]+Inventory[[#This Row],[Mdl LnAcres]])*Inventory[[#This Row],[Det/Nbhd Adj]],-2)</f>
        <v>65000</v>
      </c>
      <c r="BP1346" s="30">
        <f>Inventory[[#This Row],[Adjusted Impr Total]]+Inventory[[#This Row],[Adjusted Land Total]]</f>
        <v>299600</v>
      </c>
      <c r="BQ1346" s="30">
        <f>IFERROR((Inventory[[#This Row],[Adjusted Impr Total]]-Inventory[[#This Row],[24Bldg]])/Inventory[[#This Row],[24Bldg]],0)</f>
        <v>4.0354767184035474E-2</v>
      </c>
      <c r="BR1346" s="43">
        <f>(Inventory[[#This Row],[Adjusted Land Total]]-Inventory[[#This Row],[24Lnd]])/Inventory[[#This Row],[24Lnd]]</f>
        <v>-4.5941807044410417E-3</v>
      </c>
      <c r="BS1346" s="43">
        <f>(Inventory[[#This Row],[Adjusted Total]]-Inventory[[#This Row],[24Final]])/Inventory[[#This Row],[24Final]]</f>
        <v>3.0261348005502064E-2</v>
      </c>
    </row>
    <row r="1347" spans="1:71">
      <c r="A1347" s="30">
        <v>2025</v>
      </c>
      <c r="B1347" s="31" t="s">
        <v>1866</v>
      </c>
      <c r="C1347" s="36">
        <f>LN(Inventory[[#This Row],[Acres]])</f>
        <v>-1.5141277326297755</v>
      </c>
      <c r="D1347" s="38">
        <v>0.22</v>
      </c>
      <c r="E1347" s="30">
        <v>9515</v>
      </c>
      <c r="F1347" s="31" t="s">
        <v>505</v>
      </c>
      <c r="G1347" s="31" t="s">
        <v>155</v>
      </c>
      <c r="H1347" s="31" t="s">
        <v>5</v>
      </c>
      <c r="I1347" s="31" t="s">
        <v>506</v>
      </c>
      <c r="J1347" s="31" t="s">
        <v>507</v>
      </c>
      <c r="K1347" s="31" t="s">
        <v>1786</v>
      </c>
      <c r="L1347" s="31" t="s">
        <v>9</v>
      </c>
      <c r="M1347" s="31" t="s">
        <v>18</v>
      </c>
      <c r="N1347" s="31">
        <v>100</v>
      </c>
      <c r="O1347" s="31">
        <f>2024-Inventory[[#This Row],[YrBlt]]</f>
        <v>104</v>
      </c>
      <c r="P1347" s="31">
        <f>2024-Inventory[[#This Row],[EffYr]]</f>
        <v>58</v>
      </c>
      <c r="Q1347" s="30">
        <v>1920</v>
      </c>
      <c r="R1347" s="30">
        <v>1966</v>
      </c>
      <c r="S1347" s="30">
        <v>528</v>
      </c>
      <c r="T1347" s="32"/>
      <c r="U1347" s="32"/>
      <c r="V1347" s="32"/>
      <c r="W1347" s="32"/>
      <c r="X1347" s="32">
        <f>Inventory[[#This Row],[Bsmt Area]]-Inventory[[#This Row],[FnBsmt]]</f>
        <v>0</v>
      </c>
      <c r="Y1347" s="32">
        <f>Inventory[[#This Row],[MainFn]]+Inventory[[#This Row],[UpprFn]]+Inventory[[#This Row],[AddFn]]+Inventory[[#This Row],[FnBsmt]]</f>
        <v>528</v>
      </c>
      <c r="Z1347" s="32">
        <v>1000</v>
      </c>
      <c r="AA1347" s="31" t="s">
        <v>56</v>
      </c>
      <c r="AB1347" s="32"/>
      <c r="AC1347" s="37"/>
      <c r="AD1347" s="32"/>
      <c r="AE1347" s="32"/>
      <c r="AF1347" s="32"/>
      <c r="AG1347" s="32"/>
      <c r="AH1347" s="32"/>
      <c r="AI1347" s="30">
        <v>65606</v>
      </c>
      <c r="AJ1347" s="30">
        <v>40020</v>
      </c>
      <c r="AK1347" s="30">
        <v>0</v>
      </c>
      <c r="AL1347" s="30">
        <v>0</v>
      </c>
      <c r="AM1347" s="30">
        <v>65300</v>
      </c>
      <c r="AN1347" s="30">
        <v>111800</v>
      </c>
      <c r="AO1347" s="30">
        <v>177100</v>
      </c>
      <c r="AP1347" s="30">
        <f>Lookups!$B$58*0.6</f>
        <v>132535.48800000001</v>
      </c>
      <c r="AQ1347" s="30">
        <f>Lookups!$B$58*0.4</f>
        <v>88356.992000000013</v>
      </c>
      <c r="AR1347" s="30">
        <f>Lookups!$B$59*Inventory[[#This Row],[LnAcres]]</f>
        <v>-19871.898398035348</v>
      </c>
      <c r="AS1347" s="30">
        <f>VLOOKUP(Inventory[[#This Row],[Qlty]],Lookups!$A$66:$E$79,2,FALSE)</f>
        <v>-18031.051255923801</v>
      </c>
      <c r="AT1347" s="30">
        <f>VLOOKUP(Inventory[[#This Row],[Cnd]],Lookups!$A$80:$E$88,2,FALSE)</f>
        <v>17761.121909000001</v>
      </c>
      <c r="AU1347" s="30">
        <f>Inventory[[#This Row],[EffAge]]*Lookups!$B$65</f>
        <v>-6306.9838</v>
      </c>
      <c r="AV1347" s="30">
        <f>Inventory[[#This Row],[MainFn]]*Lookups!$B$90</f>
        <v>32952.680639999999</v>
      </c>
      <c r="AW1347" s="30">
        <f>Inventory[[#This Row],[UpprFn]]*Lookups!$B$91</f>
        <v>0</v>
      </c>
      <c r="AX1347" s="30">
        <f>Inventory[[#This Row],[Bsmt Area]]*Lookups!$B$95</f>
        <v>0</v>
      </c>
      <c r="AY1347" s="30">
        <f>Inventory[[#This Row],[AttGar]]*Lookups!$B$93</f>
        <v>0</v>
      </c>
      <c r="AZ1347" s="30">
        <f>ROUND(Inventory[[#This Row],[25Det]],-2)</f>
        <v>0</v>
      </c>
      <c r="BA1347" s="30">
        <f>ROUND(SUM(Inventory[[#This Row],[Mdl Qlty]:[Mdl Garage Area]])+Inventory[[#This Row],[Mdl Res Intercept]],-2)</f>
        <v>158900</v>
      </c>
      <c r="BB1347" s="30">
        <f>ROUND(Inventory[[#This Row],[Mdl Land Intercept]]+Inventory[[#This Row],[Mdl LnAcres]],-2)</f>
        <v>68500</v>
      </c>
      <c r="BC1347" s="30">
        <f>Inventory[[#This Row],[Unadj Res Value]]+Inventory[[#This Row],[Unadj Det Value]]+Inventory[[#This Row],[Unadj Land Value]]</f>
        <v>227400</v>
      </c>
      <c r="BD1347" s="30">
        <f>(Inventory[[#This Row],[Unadj Total Value]]-Inventory[[#This Row],[24Final]])/Inventory[[#This Row],[24Final]]</f>
        <v>0.28402032749858835</v>
      </c>
      <c r="BE1347" s="30">
        <f>VLOOKUP(Inventory[[#This Row],[Nbhd]],Lookups!$M$3:$P$5,4,FALSE)</f>
        <v>0.99970000000000003</v>
      </c>
      <c r="BF1347" s="30">
        <f>VLOOKUP(Inventory[[#This Row],[Qlty]],Lookups!$M$8:$P$22,4,FALSE)</f>
        <v>1</v>
      </c>
      <c r="BG1347" s="30">
        <f>VLOOKUP(Inventory[[#This Row],[Cnd]],Lookups!$R$8:$U$17,4,FALSE)</f>
        <v>0.99680000000000002</v>
      </c>
      <c r="BH1347" s="30">
        <f>VLOOKUP(Inventory[[#This Row],[LivArea Range]],Lookups!$R$25:$U$43,4,FALSE)</f>
        <v>1</v>
      </c>
      <c r="BI1347" s="30">
        <f>VLOOKUP(Inventory[[#This Row],[Decade]],Lookups!$M$24:$P$40,4,FALSE)</f>
        <v>0.99960000000000004</v>
      </c>
      <c r="BJ1347" s="30">
        <f>Inventory[[#This Row],[Nbhd Adj]]*0.95</f>
        <v>0.94971499999999998</v>
      </c>
      <c r="BK1347" s="30">
        <f>AVERAGE(Inventory[[#This Row],[Nbhd Adj]],Inventory[[#This Row],[Quality Adj]],Inventory[[#This Row],[Condition Adj]],Inventory[[#This Row],[Living Area Adj]],Inventory[[#This Row],[Decade Adj]])*0.95</f>
        <v>0.94925899999999996</v>
      </c>
      <c r="BL1347" s="30">
        <f>ROUND((SUM(Inventory[[#This Row],[Mdl Qlty]:[Mdl Garage Area]])+Inventory[[#This Row],[Mdl Res Intercept]])*Inventory[[#This Row],[Res Adj ]],-2)</f>
        <v>150800</v>
      </c>
      <c r="BM1347" s="30">
        <f>ROUND(Inventory[[#This Row],[25Det]]*Inventory[[#This Row],[Det/Nbhd Adj]],-2)</f>
        <v>0</v>
      </c>
      <c r="BN1347" s="30">
        <f>Inventory[[#This Row],[Adjusted Res]]+Inventory[[#This Row],[Adj Det ]]</f>
        <v>150800</v>
      </c>
      <c r="BO1347" s="30">
        <f>ROUND((Inventory[[#This Row],[Mdl Land Intercept]]+Inventory[[#This Row],[Mdl LnAcres]])*Inventory[[#This Row],[Det/Nbhd Adj]],-2)</f>
        <v>65000</v>
      </c>
      <c r="BP1347" s="30">
        <f>Inventory[[#This Row],[Adjusted Impr Total]]+Inventory[[#This Row],[Adjusted Land Total]]</f>
        <v>215800</v>
      </c>
      <c r="BQ1347" s="30">
        <f>IFERROR((Inventory[[#This Row],[Adjusted Impr Total]]-Inventory[[#This Row],[24Bldg]])/Inventory[[#This Row],[24Bldg]],0)</f>
        <v>0.34883720930232559</v>
      </c>
      <c r="BR1347" s="43">
        <f>(Inventory[[#This Row],[Adjusted Land Total]]-Inventory[[#This Row],[24Lnd]])/Inventory[[#This Row],[24Lnd]]</f>
        <v>-4.5941807044410417E-3</v>
      </c>
      <c r="BS1347" s="43">
        <f>(Inventory[[#This Row],[Adjusted Total]]-Inventory[[#This Row],[24Final]])/Inventory[[#This Row],[24Final]]</f>
        <v>0.21852060982495766</v>
      </c>
    </row>
    <row r="1348" spans="1:71">
      <c r="A1348" s="30">
        <v>2025</v>
      </c>
      <c r="B1348" s="31" t="s">
        <v>1867</v>
      </c>
      <c r="C1348" s="36">
        <f>LN(Inventory[[#This Row],[Acres]])</f>
        <v>-1.4696759700589417</v>
      </c>
      <c r="D1348" s="38">
        <v>0.23</v>
      </c>
      <c r="E1348" s="30">
        <v>9822</v>
      </c>
      <c r="F1348" s="31" t="s">
        <v>505</v>
      </c>
      <c r="G1348" s="31" t="s">
        <v>155</v>
      </c>
      <c r="H1348" s="31" t="s">
        <v>5</v>
      </c>
      <c r="I1348" s="31" t="s">
        <v>506</v>
      </c>
      <c r="J1348" s="31" t="s">
        <v>507</v>
      </c>
      <c r="K1348" s="31" t="s">
        <v>473</v>
      </c>
      <c r="L1348" s="31" t="s">
        <v>15</v>
      </c>
      <c r="M1348" s="31" t="s">
        <v>18</v>
      </c>
      <c r="N1348" s="31">
        <v>100</v>
      </c>
      <c r="O1348" s="31">
        <f>2024-Inventory[[#This Row],[YrBlt]]</f>
        <v>104</v>
      </c>
      <c r="P1348" s="31">
        <f>2024-Inventory[[#This Row],[EffYr]]</f>
        <v>58</v>
      </c>
      <c r="Q1348" s="30">
        <v>1920</v>
      </c>
      <c r="R1348" s="30">
        <v>1966</v>
      </c>
      <c r="S1348" s="30">
        <v>1010</v>
      </c>
      <c r="T1348" s="32"/>
      <c r="U1348" s="32"/>
      <c r="V1348" s="32"/>
      <c r="W1348" s="32"/>
      <c r="X1348" s="32">
        <f>Inventory[[#This Row],[Bsmt Area]]-Inventory[[#This Row],[FnBsmt]]</f>
        <v>0</v>
      </c>
      <c r="Y1348" s="32">
        <f>Inventory[[#This Row],[MainFn]]+Inventory[[#This Row],[UpprFn]]+Inventory[[#This Row],[AddFn]]+Inventory[[#This Row],[FnBsmt]]</f>
        <v>1010</v>
      </c>
      <c r="Z1348" s="32">
        <v>1500</v>
      </c>
      <c r="AA1348" s="31" t="s">
        <v>56</v>
      </c>
      <c r="AB1348" s="37"/>
      <c r="AC1348" s="37"/>
      <c r="AD1348" s="32"/>
      <c r="AE1348" s="32"/>
      <c r="AF1348" s="32"/>
      <c r="AG1348" s="32"/>
      <c r="AH1348" s="32"/>
      <c r="AI1348" s="30">
        <v>153988</v>
      </c>
      <c r="AJ1348" s="30">
        <v>95473</v>
      </c>
      <c r="AK1348" s="30">
        <v>0</v>
      </c>
      <c r="AL1348" s="30">
        <v>0</v>
      </c>
      <c r="AM1348" s="30">
        <v>65900</v>
      </c>
      <c r="AN1348" s="30">
        <v>171200</v>
      </c>
      <c r="AO1348" s="30">
        <v>237100</v>
      </c>
      <c r="AP1348" s="30">
        <f>Lookups!$B$58*0.6</f>
        <v>132535.48800000001</v>
      </c>
      <c r="AQ1348" s="30">
        <f>Lookups!$B$58*0.4</f>
        <v>88356.992000000013</v>
      </c>
      <c r="AR1348" s="30">
        <f>Lookups!$B$59*Inventory[[#This Row],[LnAcres]]</f>
        <v>-19288.499197039939</v>
      </c>
      <c r="AS1348" s="30">
        <f>VLOOKUP(Inventory[[#This Row],[Qlty]],Lookups!$A$66:$E$79,2,FALSE)</f>
        <v>-1240.8083630000001</v>
      </c>
      <c r="AT1348" s="30">
        <f>VLOOKUP(Inventory[[#This Row],[Cnd]],Lookups!$A$80:$E$88,2,FALSE)</f>
        <v>17761.121909000001</v>
      </c>
      <c r="AU1348" s="30">
        <f>Inventory[[#This Row],[EffAge]]*Lookups!$B$65</f>
        <v>-6306.9838</v>
      </c>
      <c r="AV1348" s="30">
        <f>Inventory[[#This Row],[MainFn]]*Lookups!$B$90</f>
        <v>63034.483800000002</v>
      </c>
      <c r="AW1348" s="30">
        <f>Inventory[[#This Row],[UpprFn]]*Lookups!$B$91</f>
        <v>0</v>
      </c>
      <c r="AX1348" s="30">
        <f>Inventory[[#This Row],[Bsmt Area]]*Lookups!$B$95</f>
        <v>0</v>
      </c>
      <c r="AY1348" s="30">
        <f>Inventory[[#This Row],[AttGar]]*Lookups!$B$93</f>
        <v>0</v>
      </c>
      <c r="AZ1348" s="30">
        <f>ROUND(Inventory[[#This Row],[25Det]],-2)</f>
        <v>0</v>
      </c>
      <c r="BA1348" s="30">
        <f>ROUND(SUM(Inventory[[#This Row],[Mdl Qlty]:[Mdl Garage Area]])+Inventory[[#This Row],[Mdl Res Intercept]],-2)</f>
        <v>205800</v>
      </c>
      <c r="BB1348" s="30">
        <f>ROUND(Inventory[[#This Row],[Mdl Land Intercept]]+Inventory[[#This Row],[Mdl LnAcres]],-2)</f>
        <v>69100</v>
      </c>
      <c r="BC1348" s="30">
        <f>Inventory[[#This Row],[Unadj Res Value]]+Inventory[[#This Row],[Unadj Det Value]]+Inventory[[#This Row],[Unadj Land Value]]</f>
        <v>274900</v>
      </c>
      <c r="BD1348" s="30">
        <f>(Inventory[[#This Row],[Unadj Total Value]]-Inventory[[#This Row],[24Final]])/Inventory[[#This Row],[24Final]]</f>
        <v>0.15942640236187264</v>
      </c>
      <c r="BE1348" s="30">
        <f>VLOOKUP(Inventory[[#This Row],[Nbhd]],Lookups!$M$3:$P$5,4,FALSE)</f>
        <v>0.99970000000000003</v>
      </c>
      <c r="BF1348" s="30">
        <f>VLOOKUP(Inventory[[#This Row],[Qlty]],Lookups!$M$8:$P$22,4,FALSE)</f>
        <v>1.0022</v>
      </c>
      <c r="BG1348" s="30">
        <f>VLOOKUP(Inventory[[#This Row],[Cnd]],Lookups!$R$8:$U$17,4,FALSE)</f>
        <v>0.99680000000000002</v>
      </c>
      <c r="BH1348" s="30">
        <f>VLOOKUP(Inventory[[#This Row],[LivArea Range]],Lookups!$R$25:$U$43,4,FALSE)</f>
        <v>0.99519999999999997</v>
      </c>
      <c r="BI1348" s="30">
        <f>VLOOKUP(Inventory[[#This Row],[Decade]],Lookups!$M$24:$P$40,4,FALSE)</f>
        <v>0.99960000000000004</v>
      </c>
      <c r="BJ1348" s="30">
        <f>Inventory[[#This Row],[Nbhd Adj]]*0.95</f>
        <v>0.94971499999999998</v>
      </c>
      <c r="BK1348" s="30">
        <f>AVERAGE(Inventory[[#This Row],[Nbhd Adj]],Inventory[[#This Row],[Quality Adj]],Inventory[[#This Row],[Condition Adj]],Inventory[[#This Row],[Living Area Adj]],Inventory[[#This Row],[Decade Adj]])*0.95</f>
        <v>0.94876499999999997</v>
      </c>
      <c r="BL1348" s="30">
        <f>ROUND((SUM(Inventory[[#This Row],[Mdl Qlty]:[Mdl Garage Area]])+Inventory[[#This Row],[Mdl Res Intercept]])*Inventory[[#This Row],[Res Adj ]],-2)</f>
        <v>195200</v>
      </c>
      <c r="BM1348" s="30">
        <f>ROUND(Inventory[[#This Row],[25Det]]*Inventory[[#This Row],[Det/Nbhd Adj]],-2)</f>
        <v>0</v>
      </c>
      <c r="BN1348" s="30">
        <f>Inventory[[#This Row],[Adjusted Res]]+Inventory[[#This Row],[Adj Det ]]</f>
        <v>195200</v>
      </c>
      <c r="BO1348" s="30">
        <f>ROUND((Inventory[[#This Row],[Mdl Land Intercept]]+Inventory[[#This Row],[Mdl LnAcres]])*Inventory[[#This Row],[Det/Nbhd Adj]],-2)</f>
        <v>65600</v>
      </c>
      <c r="BP1348" s="30">
        <f>Inventory[[#This Row],[Adjusted Impr Total]]+Inventory[[#This Row],[Adjusted Land Total]]</f>
        <v>260800</v>
      </c>
      <c r="BQ1348" s="30">
        <f>IFERROR((Inventory[[#This Row],[Adjusted Impr Total]]-Inventory[[#This Row],[24Bldg]])/Inventory[[#This Row],[24Bldg]],0)</f>
        <v>0.14018691588785046</v>
      </c>
      <c r="BR1348" s="43">
        <f>(Inventory[[#This Row],[Adjusted Land Total]]-Inventory[[#This Row],[24Lnd]])/Inventory[[#This Row],[24Lnd]]</f>
        <v>-4.552352048558422E-3</v>
      </c>
      <c r="BS1348" s="43">
        <f>(Inventory[[#This Row],[Adjusted Total]]-Inventory[[#This Row],[24Final]])/Inventory[[#This Row],[24Final]]</f>
        <v>9.9957823703078874E-2</v>
      </c>
    </row>
    <row r="1349" spans="1:71">
      <c r="A1349" s="30">
        <v>2025</v>
      </c>
      <c r="B1349" s="31" t="s">
        <v>1868</v>
      </c>
      <c r="C1349" s="36">
        <f>LN(Inventory[[#This Row],[Acres]])</f>
        <v>-1.3093333199837622</v>
      </c>
      <c r="D1349" s="38">
        <v>0.27</v>
      </c>
      <c r="E1349" s="30">
        <v>11864</v>
      </c>
      <c r="F1349" s="31" t="s">
        <v>505</v>
      </c>
      <c r="G1349" s="31" t="s">
        <v>155</v>
      </c>
      <c r="H1349" s="31" t="s">
        <v>5</v>
      </c>
      <c r="I1349" s="31" t="s">
        <v>506</v>
      </c>
      <c r="J1349" s="31" t="s">
        <v>507</v>
      </c>
      <c r="K1349" s="31" t="s">
        <v>475</v>
      </c>
      <c r="L1349" s="31" t="s">
        <v>13</v>
      </c>
      <c r="M1349" s="31" t="s">
        <v>18</v>
      </c>
      <c r="N1349" s="31">
        <v>100</v>
      </c>
      <c r="O1349" s="31">
        <f>2024-Inventory[[#This Row],[YrBlt]]</f>
        <v>104</v>
      </c>
      <c r="P1349" s="31">
        <f>2024-Inventory[[#This Row],[EffYr]]</f>
        <v>58</v>
      </c>
      <c r="Q1349" s="30">
        <v>1920</v>
      </c>
      <c r="R1349" s="30">
        <v>1966</v>
      </c>
      <c r="S1349" s="30">
        <v>860</v>
      </c>
      <c r="T1349" s="30">
        <v>260</v>
      </c>
      <c r="U1349" s="32"/>
      <c r="V1349" s="32"/>
      <c r="W1349" s="32"/>
      <c r="X1349" s="32">
        <f>Inventory[[#This Row],[Bsmt Area]]-Inventory[[#This Row],[FnBsmt]]</f>
        <v>0</v>
      </c>
      <c r="Y1349" s="32">
        <f>Inventory[[#This Row],[MainFn]]+Inventory[[#This Row],[UpprFn]]+Inventory[[#This Row],[AddFn]]+Inventory[[#This Row],[FnBsmt]]</f>
        <v>1120</v>
      </c>
      <c r="Z1349" s="32">
        <v>1500</v>
      </c>
      <c r="AA1349" s="31" t="s">
        <v>56</v>
      </c>
      <c r="AB1349" s="37"/>
      <c r="AC1349" s="32"/>
      <c r="AD1349" s="37"/>
      <c r="AE1349" s="32"/>
      <c r="AF1349" s="32"/>
      <c r="AG1349" s="32"/>
      <c r="AH1349" s="32"/>
      <c r="AI1349" s="30">
        <v>151329</v>
      </c>
      <c r="AJ1349" s="30">
        <v>93824</v>
      </c>
      <c r="AK1349" s="30">
        <v>35369</v>
      </c>
      <c r="AL1349" s="30">
        <v>0</v>
      </c>
      <c r="AM1349" s="30">
        <v>68200</v>
      </c>
      <c r="AN1349" s="30">
        <v>196500</v>
      </c>
      <c r="AO1349" s="30">
        <v>264700</v>
      </c>
      <c r="AP1349" s="30">
        <f>Lookups!$B$58*0.6</f>
        <v>132535.48800000001</v>
      </c>
      <c r="AQ1349" s="30">
        <f>Lookups!$B$58*0.4</f>
        <v>88356.992000000013</v>
      </c>
      <c r="AR1349" s="30">
        <f>Lookups!$B$59*Inventory[[#This Row],[LnAcres]]</f>
        <v>-17184.11078746261</v>
      </c>
      <c r="AS1349" s="30">
        <f>VLOOKUP(Inventory[[#This Row],[Qlty]],Lookups!$A$66:$E$79,2,FALSE)</f>
        <v>0</v>
      </c>
      <c r="AT1349" s="30">
        <f>VLOOKUP(Inventory[[#This Row],[Cnd]],Lookups!$A$80:$E$88,2,FALSE)</f>
        <v>17761.121909000001</v>
      </c>
      <c r="AU1349" s="30">
        <f>Inventory[[#This Row],[EffAge]]*Lookups!$B$65</f>
        <v>-6306.9838</v>
      </c>
      <c r="AV1349" s="30">
        <f>Inventory[[#This Row],[MainFn]]*Lookups!$B$90</f>
        <v>53672.926800000001</v>
      </c>
      <c r="AW1349" s="30">
        <f>Inventory[[#This Row],[UpprFn]]*Lookups!$B$91</f>
        <v>15490.899579999999</v>
      </c>
      <c r="AX1349" s="30">
        <f>Inventory[[#This Row],[Bsmt Area]]*Lookups!$B$95</f>
        <v>0</v>
      </c>
      <c r="AY1349" s="30">
        <f>Inventory[[#This Row],[AttGar]]*Lookups!$B$93</f>
        <v>0</v>
      </c>
      <c r="AZ1349" s="30">
        <f>ROUND(Inventory[[#This Row],[25Det]],-2)</f>
        <v>35400</v>
      </c>
      <c r="BA1349" s="30">
        <f>ROUND(SUM(Inventory[[#This Row],[Mdl Qlty]:[Mdl Garage Area]])+Inventory[[#This Row],[Mdl Res Intercept]],-2)</f>
        <v>213200</v>
      </c>
      <c r="BB1349" s="30">
        <f>ROUND(Inventory[[#This Row],[Mdl Land Intercept]]+Inventory[[#This Row],[Mdl LnAcres]],-2)</f>
        <v>71200</v>
      </c>
      <c r="BC1349" s="30">
        <f>Inventory[[#This Row],[Unadj Res Value]]+Inventory[[#This Row],[Unadj Det Value]]+Inventory[[#This Row],[Unadj Land Value]]</f>
        <v>319800</v>
      </c>
      <c r="BD1349" s="30">
        <f>(Inventory[[#This Row],[Unadj Total Value]]-Inventory[[#This Row],[24Final]])/Inventory[[#This Row],[24Final]]</f>
        <v>0.20816018133736305</v>
      </c>
      <c r="BE1349" s="30">
        <f>VLOOKUP(Inventory[[#This Row],[Nbhd]],Lookups!$M$3:$P$5,4,FALSE)</f>
        <v>0.99970000000000003</v>
      </c>
      <c r="BF1349" s="30">
        <f>VLOOKUP(Inventory[[#This Row],[Qlty]],Lookups!$M$8:$P$22,4,FALSE)</f>
        <v>1.0003</v>
      </c>
      <c r="BG1349" s="30">
        <f>VLOOKUP(Inventory[[#This Row],[Cnd]],Lookups!$R$8:$U$17,4,FALSE)</f>
        <v>0.99680000000000002</v>
      </c>
      <c r="BH1349" s="30">
        <f>VLOOKUP(Inventory[[#This Row],[LivArea Range]],Lookups!$R$25:$U$43,4,FALSE)</f>
        <v>0.99519999999999997</v>
      </c>
      <c r="BI1349" s="30">
        <f>VLOOKUP(Inventory[[#This Row],[Decade]],Lookups!$M$24:$P$40,4,FALSE)</f>
        <v>0.99960000000000004</v>
      </c>
      <c r="BJ1349" s="30">
        <f>Inventory[[#This Row],[Nbhd Adj]]*0.95</f>
        <v>0.94971499999999998</v>
      </c>
      <c r="BK1349" s="30">
        <f>AVERAGE(Inventory[[#This Row],[Nbhd Adj]],Inventory[[#This Row],[Quality Adj]],Inventory[[#This Row],[Condition Adj]],Inventory[[#This Row],[Living Area Adj]],Inventory[[#This Row],[Decade Adj]])*0.95</f>
        <v>0.94840399999999991</v>
      </c>
      <c r="BL1349" s="30">
        <f>ROUND((SUM(Inventory[[#This Row],[Mdl Qlty]:[Mdl Garage Area]])+Inventory[[#This Row],[Mdl Res Intercept]])*Inventory[[#This Row],[Res Adj ]],-2)</f>
        <v>202200</v>
      </c>
      <c r="BM1349" s="30">
        <f>ROUND(Inventory[[#This Row],[25Det]]*Inventory[[#This Row],[Det/Nbhd Adj]],-2)</f>
        <v>33600</v>
      </c>
      <c r="BN1349" s="30">
        <f>Inventory[[#This Row],[Adjusted Res]]+Inventory[[#This Row],[Adj Det ]]</f>
        <v>235800</v>
      </c>
      <c r="BO1349" s="30">
        <f>ROUND((Inventory[[#This Row],[Mdl Land Intercept]]+Inventory[[#This Row],[Mdl LnAcres]])*Inventory[[#This Row],[Det/Nbhd Adj]],-2)</f>
        <v>67600</v>
      </c>
      <c r="BP1349" s="30">
        <f>Inventory[[#This Row],[Adjusted Impr Total]]+Inventory[[#This Row],[Adjusted Land Total]]</f>
        <v>303400</v>
      </c>
      <c r="BQ1349" s="30">
        <f>IFERROR((Inventory[[#This Row],[Adjusted Impr Total]]-Inventory[[#This Row],[24Bldg]])/Inventory[[#This Row],[24Bldg]],0)</f>
        <v>0.2</v>
      </c>
      <c r="BR1349" s="43">
        <f>(Inventory[[#This Row],[Adjusted Land Total]]-Inventory[[#This Row],[24Lnd]])/Inventory[[#This Row],[24Lnd]]</f>
        <v>-8.7976539589442824E-3</v>
      </c>
      <c r="BS1349" s="43">
        <f>(Inventory[[#This Row],[Adjusted Total]]-Inventory[[#This Row],[24Final]])/Inventory[[#This Row],[24Final]]</f>
        <v>0.14620324896108802</v>
      </c>
    </row>
    <row r="1350" spans="1:71">
      <c r="A1350" s="30">
        <v>2025</v>
      </c>
      <c r="B1350" s="31" t="s">
        <v>1869</v>
      </c>
      <c r="C1350" s="36">
        <f>LN(Inventory[[#This Row],[Acres]])</f>
        <v>-1.2378743560016174</v>
      </c>
      <c r="D1350" s="38">
        <v>0.28999999999999998</v>
      </c>
      <c r="E1350" s="30">
        <v>12803</v>
      </c>
      <c r="F1350" s="31" t="s">
        <v>505</v>
      </c>
      <c r="G1350" s="31" t="s">
        <v>155</v>
      </c>
      <c r="H1350" s="31" t="s">
        <v>5</v>
      </c>
      <c r="I1350" s="31" t="s">
        <v>506</v>
      </c>
      <c r="J1350" s="31" t="s">
        <v>507</v>
      </c>
      <c r="K1350" s="31" t="s">
        <v>473</v>
      </c>
      <c r="L1350" s="31" t="s">
        <v>15</v>
      </c>
      <c r="M1350" s="31" t="s">
        <v>18</v>
      </c>
      <c r="N1350" s="31">
        <v>100</v>
      </c>
      <c r="O1350" s="31">
        <f>2024-Inventory[[#This Row],[YrBlt]]</f>
        <v>104</v>
      </c>
      <c r="P1350" s="31">
        <f>2024-Inventory[[#This Row],[EffYr]]</f>
        <v>58</v>
      </c>
      <c r="Q1350" s="30">
        <v>1920</v>
      </c>
      <c r="R1350" s="30">
        <v>1966</v>
      </c>
      <c r="S1350" s="30">
        <v>1104</v>
      </c>
      <c r="T1350" s="32"/>
      <c r="U1350" s="32"/>
      <c r="V1350" s="38">
        <v>299</v>
      </c>
      <c r="W1350" s="32"/>
      <c r="X1350" s="32">
        <f>Inventory[[#This Row],[Bsmt Area]]-Inventory[[#This Row],[FnBsmt]]</f>
        <v>0</v>
      </c>
      <c r="Y1350" s="32">
        <f>Inventory[[#This Row],[MainFn]]+Inventory[[#This Row],[UpprFn]]+Inventory[[#This Row],[AddFn]]+Inventory[[#This Row],[FnBsmt]]</f>
        <v>1403</v>
      </c>
      <c r="Z1350" s="32">
        <v>1500</v>
      </c>
      <c r="AA1350" s="31" t="s">
        <v>56</v>
      </c>
      <c r="AB1350" s="38">
        <v>1</v>
      </c>
      <c r="AC1350" s="37"/>
      <c r="AD1350" s="32"/>
      <c r="AE1350" s="32"/>
      <c r="AF1350" s="32"/>
      <c r="AG1350" s="32"/>
      <c r="AH1350" s="32"/>
      <c r="AI1350" s="30">
        <v>218270</v>
      </c>
      <c r="AJ1350" s="30">
        <v>135327</v>
      </c>
      <c r="AK1350" s="30">
        <v>0</v>
      </c>
      <c r="AL1350" s="30">
        <v>0</v>
      </c>
      <c r="AM1350" s="30">
        <v>69200</v>
      </c>
      <c r="AN1350" s="30">
        <v>175800</v>
      </c>
      <c r="AO1350" s="30">
        <v>245000</v>
      </c>
      <c r="AP1350" s="30">
        <f>Lookups!$B$58*0.6</f>
        <v>132535.48800000001</v>
      </c>
      <c r="AQ1350" s="30">
        <f>Lookups!$B$58*0.4</f>
        <v>88356.992000000013</v>
      </c>
      <c r="AR1350" s="30">
        <f>Lookups!$B$59*Inventory[[#This Row],[LnAcres]]</f>
        <v>-16246.260405833504</v>
      </c>
      <c r="AS1350" s="30">
        <f>VLOOKUP(Inventory[[#This Row],[Qlty]],Lookups!$A$66:$E$79,2,FALSE)</f>
        <v>-1240.8083630000001</v>
      </c>
      <c r="AT1350" s="30">
        <f>VLOOKUP(Inventory[[#This Row],[Cnd]],Lookups!$A$80:$E$88,2,FALSE)</f>
        <v>17761.121909000001</v>
      </c>
      <c r="AU1350" s="30">
        <f>Inventory[[#This Row],[EffAge]]*Lookups!$B$65</f>
        <v>-6306.9838</v>
      </c>
      <c r="AV1350" s="30">
        <f>Inventory[[#This Row],[MainFn]]*Lookups!$B$90</f>
        <v>68901.05952000001</v>
      </c>
      <c r="AW1350" s="30">
        <f>Inventory[[#This Row],[UpprFn]]*Lookups!$B$91</f>
        <v>0</v>
      </c>
      <c r="AX1350" s="30">
        <f>Inventory[[#This Row],[Bsmt Area]]*Lookups!$B$95</f>
        <v>0</v>
      </c>
      <c r="AY1350" s="30">
        <f>Inventory[[#This Row],[AttGar]]*Lookups!$B$93</f>
        <v>0</v>
      </c>
      <c r="AZ1350" s="30">
        <f>ROUND(Inventory[[#This Row],[25Det]],-2)</f>
        <v>0</v>
      </c>
      <c r="BA1350" s="30">
        <f>ROUND(SUM(Inventory[[#This Row],[Mdl Qlty]:[Mdl Garage Area]])+Inventory[[#This Row],[Mdl Res Intercept]],-2)</f>
        <v>211600</v>
      </c>
      <c r="BB1350" s="30">
        <f>ROUND(Inventory[[#This Row],[Mdl Land Intercept]]+Inventory[[#This Row],[Mdl LnAcres]],-2)</f>
        <v>72100</v>
      </c>
      <c r="BC1350" s="30">
        <f>Inventory[[#This Row],[Unadj Res Value]]+Inventory[[#This Row],[Unadj Det Value]]+Inventory[[#This Row],[Unadj Land Value]]</f>
        <v>283700</v>
      </c>
      <c r="BD1350" s="30">
        <f>(Inventory[[#This Row],[Unadj Total Value]]-Inventory[[#This Row],[24Final]])/Inventory[[#This Row],[24Final]]</f>
        <v>0.15795918367346939</v>
      </c>
      <c r="BE1350" s="30">
        <f>VLOOKUP(Inventory[[#This Row],[Nbhd]],Lookups!$M$3:$P$5,4,FALSE)</f>
        <v>0.99970000000000003</v>
      </c>
      <c r="BF1350" s="30">
        <f>VLOOKUP(Inventory[[#This Row],[Qlty]],Lookups!$M$8:$P$22,4,FALSE)</f>
        <v>1.0022</v>
      </c>
      <c r="BG1350" s="30">
        <f>VLOOKUP(Inventory[[#This Row],[Cnd]],Lookups!$R$8:$U$17,4,FALSE)</f>
        <v>0.99680000000000002</v>
      </c>
      <c r="BH1350" s="30">
        <f>VLOOKUP(Inventory[[#This Row],[LivArea Range]],Lookups!$R$25:$U$43,4,FALSE)</f>
        <v>0.99519999999999997</v>
      </c>
      <c r="BI1350" s="30">
        <f>VLOOKUP(Inventory[[#This Row],[Decade]],Lookups!$M$24:$P$40,4,FALSE)</f>
        <v>0.99960000000000004</v>
      </c>
      <c r="BJ1350" s="30">
        <f>Inventory[[#This Row],[Nbhd Adj]]*0.95</f>
        <v>0.94971499999999998</v>
      </c>
      <c r="BK1350" s="30">
        <f>AVERAGE(Inventory[[#This Row],[Nbhd Adj]],Inventory[[#This Row],[Quality Adj]],Inventory[[#This Row],[Condition Adj]],Inventory[[#This Row],[Living Area Adj]],Inventory[[#This Row],[Decade Adj]])*0.95</f>
        <v>0.94876499999999997</v>
      </c>
      <c r="BL1350" s="30">
        <f>ROUND((SUM(Inventory[[#This Row],[Mdl Qlty]:[Mdl Garage Area]])+Inventory[[#This Row],[Mdl Res Intercept]])*Inventory[[#This Row],[Res Adj ]],-2)</f>
        <v>200800</v>
      </c>
      <c r="BM1350" s="30">
        <f>ROUND(Inventory[[#This Row],[25Det]]*Inventory[[#This Row],[Det/Nbhd Adj]],-2)</f>
        <v>0</v>
      </c>
      <c r="BN1350" s="30">
        <f>Inventory[[#This Row],[Adjusted Res]]+Inventory[[#This Row],[Adj Det ]]</f>
        <v>200800</v>
      </c>
      <c r="BO1350" s="30">
        <f>ROUND((Inventory[[#This Row],[Mdl Land Intercept]]+Inventory[[#This Row],[Mdl LnAcres]])*Inventory[[#This Row],[Det/Nbhd Adj]],-2)</f>
        <v>68500</v>
      </c>
      <c r="BP1350" s="30">
        <f>Inventory[[#This Row],[Adjusted Impr Total]]+Inventory[[#This Row],[Adjusted Land Total]]</f>
        <v>269300</v>
      </c>
      <c r="BQ1350" s="30">
        <f>IFERROR((Inventory[[#This Row],[Adjusted Impr Total]]-Inventory[[#This Row],[24Bldg]])/Inventory[[#This Row],[24Bldg]],0)</f>
        <v>0.1422070534698521</v>
      </c>
      <c r="BR1350" s="43">
        <f>(Inventory[[#This Row],[Adjusted Land Total]]-Inventory[[#This Row],[24Lnd]])/Inventory[[#This Row],[24Lnd]]</f>
        <v>-1.0115606936416185E-2</v>
      </c>
      <c r="BS1350" s="43">
        <f>(Inventory[[#This Row],[Adjusted Total]]-Inventory[[#This Row],[24Final]])/Inventory[[#This Row],[24Final]]</f>
        <v>9.9183673469387751E-2</v>
      </c>
    </row>
    <row r="1351" spans="1:71">
      <c r="A1351" s="30">
        <v>2025</v>
      </c>
      <c r="B1351" s="31" t="s">
        <v>1870</v>
      </c>
      <c r="C1351" s="36">
        <f>LN(Inventory[[#This Row],[Acres]])</f>
        <v>-0.84397007029452897</v>
      </c>
      <c r="D1351" s="38">
        <v>0.43</v>
      </c>
      <c r="E1351" s="30">
        <v>18878</v>
      </c>
      <c r="F1351" s="31" t="s">
        <v>505</v>
      </c>
      <c r="G1351" s="31" t="s">
        <v>155</v>
      </c>
      <c r="H1351" s="31" t="s">
        <v>5</v>
      </c>
      <c r="I1351" s="31" t="s">
        <v>506</v>
      </c>
      <c r="J1351" s="31" t="s">
        <v>507</v>
      </c>
      <c r="K1351" s="31" t="s">
        <v>473</v>
      </c>
      <c r="L1351" s="31" t="s">
        <v>17</v>
      </c>
      <c r="M1351" s="31" t="s">
        <v>20</v>
      </c>
      <c r="N1351" s="31">
        <v>100</v>
      </c>
      <c r="O1351" s="31">
        <f>2024-Inventory[[#This Row],[YrBlt]]</f>
        <v>104</v>
      </c>
      <c r="P1351" s="31">
        <f>2024-Inventory[[#This Row],[EffYr]]</f>
        <v>58</v>
      </c>
      <c r="Q1351" s="30">
        <v>1920</v>
      </c>
      <c r="R1351" s="30">
        <v>1966</v>
      </c>
      <c r="S1351" s="30">
        <v>1036</v>
      </c>
      <c r="T1351" s="32"/>
      <c r="U1351" s="38">
        <v>1036</v>
      </c>
      <c r="V1351" s="32"/>
      <c r="W1351" s="38">
        <v>1036</v>
      </c>
      <c r="X1351" s="38">
        <f>Inventory[[#This Row],[Bsmt Area]]-Inventory[[#This Row],[FnBsmt]]</f>
        <v>0</v>
      </c>
      <c r="Y1351" s="38">
        <f>Inventory[[#This Row],[MainFn]]+Inventory[[#This Row],[UpprFn]]+Inventory[[#This Row],[AddFn]]+Inventory[[#This Row],[FnBsmt]]</f>
        <v>2072</v>
      </c>
      <c r="Z1351" s="32">
        <v>2500</v>
      </c>
      <c r="AA1351" s="31" t="s">
        <v>56</v>
      </c>
      <c r="AB1351" s="32"/>
      <c r="AC1351" s="37"/>
      <c r="AD1351" s="32"/>
      <c r="AE1351" s="32"/>
      <c r="AF1351" s="32"/>
      <c r="AG1351" s="32"/>
      <c r="AH1351" s="32"/>
      <c r="AI1351" s="30">
        <v>274874</v>
      </c>
      <c r="AJ1351" s="30">
        <v>175919</v>
      </c>
      <c r="AK1351" s="30">
        <v>20191</v>
      </c>
      <c r="AL1351" s="30">
        <v>0</v>
      </c>
      <c r="AM1351" s="30">
        <v>74700</v>
      </c>
      <c r="AN1351" s="30">
        <v>220600</v>
      </c>
      <c r="AO1351" s="30">
        <v>295300</v>
      </c>
      <c r="AP1351" s="30">
        <f>Lookups!$B$58*0.6</f>
        <v>132535.48800000001</v>
      </c>
      <c r="AQ1351" s="30">
        <f>Lookups!$B$58*0.4</f>
        <v>88356.992000000013</v>
      </c>
      <c r="AR1351" s="30">
        <f>Lookups!$B$59*Inventory[[#This Row],[LnAcres]]</f>
        <v>-11076.534116937963</v>
      </c>
      <c r="AS1351" s="30">
        <f>VLOOKUP(Inventory[[#This Row],[Qlty]],Lookups!$A$66:$E$79,2,FALSE)</f>
        <v>24371.765965999999</v>
      </c>
      <c r="AT1351" s="30">
        <f>VLOOKUP(Inventory[[#This Row],[Cnd]],Lookups!$A$80:$E$88,2,FALSE)</f>
        <v>30300.329274</v>
      </c>
      <c r="AU1351" s="30">
        <f>Inventory[[#This Row],[EffAge]]*Lookups!$B$65</f>
        <v>-6306.9838</v>
      </c>
      <c r="AV1351" s="30">
        <f>Inventory[[#This Row],[MainFn]]*Lookups!$B$90</f>
        <v>64657.153680000003</v>
      </c>
      <c r="AW1351" s="30">
        <f>Inventory[[#This Row],[UpprFn]]*Lookups!$B$91</f>
        <v>0</v>
      </c>
      <c r="AX1351" s="30">
        <f>Inventory[[#This Row],[Bsmt Area]]*Lookups!$B$95</f>
        <v>64839.609855999995</v>
      </c>
      <c r="AY1351" s="30">
        <f>Inventory[[#This Row],[AttGar]]*Lookups!$B$93</f>
        <v>0</v>
      </c>
      <c r="AZ1351" s="30">
        <f>ROUND(Inventory[[#This Row],[25Det]],-2)</f>
        <v>20200</v>
      </c>
      <c r="BA1351" s="30">
        <f>ROUND(SUM(Inventory[[#This Row],[Mdl Qlty]:[Mdl Garage Area]])+Inventory[[#This Row],[Mdl Res Intercept]],-2)</f>
        <v>310400</v>
      </c>
      <c r="BB1351" s="30">
        <f>ROUND(Inventory[[#This Row],[Mdl Land Intercept]]+Inventory[[#This Row],[Mdl LnAcres]],-2)</f>
        <v>77300</v>
      </c>
      <c r="BC1351" s="30">
        <f>Inventory[[#This Row],[Unadj Res Value]]+Inventory[[#This Row],[Unadj Det Value]]+Inventory[[#This Row],[Unadj Land Value]]</f>
        <v>407900</v>
      </c>
      <c r="BD1351" s="30">
        <f>(Inventory[[#This Row],[Unadj Total Value]]-Inventory[[#This Row],[24Final]])/Inventory[[#This Row],[24Final]]</f>
        <v>0.38130714527599052</v>
      </c>
      <c r="BE1351" s="30">
        <f>VLOOKUP(Inventory[[#This Row],[Nbhd]],Lookups!$M$3:$P$5,4,FALSE)</f>
        <v>0.99970000000000003</v>
      </c>
      <c r="BF1351" s="30">
        <f>VLOOKUP(Inventory[[#This Row],[Qlty]],Lookups!$M$8:$P$22,4,FALSE)</f>
        <v>0.99199999999999999</v>
      </c>
      <c r="BG1351" s="30">
        <f>VLOOKUP(Inventory[[#This Row],[Cnd]],Lookups!$R$8:$U$17,4,FALSE)</f>
        <v>0.997</v>
      </c>
      <c r="BH1351" s="30">
        <f>VLOOKUP(Inventory[[#This Row],[LivArea Range]],Lookups!$R$25:$U$43,4,FALSE)</f>
        <v>1.0008999999999999</v>
      </c>
      <c r="BI1351" s="30">
        <f>VLOOKUP(Inventory[[#This Row],[Decade]],Lookups!$M$24:$P$40,4,FALSE)</f>
        <v>0.99960000000000004</v>
      </c>
      <c r="BJ1351" s="30">
        <f>Inventory[[#This Row],[Nbhd Adj]]*0.95</f>
        <v>0.94971499999999998</v>
      </c>
      <c r="BK1351" s="30">
        <f>AVERAGE(Inventory[[#This Row],[Nbhd Adj]],Inventory[[#This Row],[Quality Adj]],Inventory[[#This Row],[Condition Adj]],Inventory[[#This Row],[Living Area Adj]],Inventory[[#This Row],[Decade Adj]])*0.95</f>
        <v>0.94794800000000001</v>
      </c>
      <c r="BL1351" s="30">
        <f>ROUND((SUM(Inventory[[#This Row],[Mdl Qlty]:[Mdl Garage Area]])+Inventory[[#This Row],[Mdl Res Intercept]])*Inventory[[#This Row],[Res Adj ]],-2)</f>
        <v>294200</v>
      </c>
      <c r="BM1351" s="30">
        <f>ROUND(Inventory[[#This Row],[25Det]]*Inventory[[#This Row],[Det/Nbhd Adj]],-2)</f>
        <v>19200</v>
      </c>
      <c r="BN1351" s="30">
        <f>Inventory[[#This Row],[Adjusted Res]]+Inventory[[#This Row],[Adj Det ]]</f>
        <v>313400</v>
      </c>
      <c r="BO1351" s="30">
        <f>ROUND((Inventory[[#This Row],[Mdl Land Intercept]]+Inventory[[#This Row],[Mdl LnAcres]])*Inventory[[#This Row],[Det/Nbhd Adj]],-2)</f>
        <v>73400</v>
      </c>
      <c r="BP1351" s="30">
        <f>Inventory[[#This Row],[Adjusted Impr Total]]+Inventory[[#This Row],[Adjusted Land Total]]</f>
        <v>386800</v>
      </c>
      <c r="BQ1351" s="30">
        <f>IFERROR((Inventory[[#This Row],[Adjusted Impr Total]]-Inventory[[#This Row],[24Bldg]])/Inventory[[#This Row],[24Bldg]],0)</f>
        <v>0.42067089755213055</v>
      </c>
      <c r="BR1351" s="43">
        <f>(Inventory[[#This Row],[Adjusted Land Total]]-Inventory[[#This Row],[24Lnd]])/Inventory[[#This Row],[24Lnd]]</f>
        <v>-1.7402945113788489E-2</v>
      </c>
      <c r="BS1351" s="43">
        <f>(Inventory[[#This Row],[Adjusted Total]]-Inventory[[#This Row],[24Final]])/Inventory[[#This Row],[24Final]]</f>
        <v>0.30985438537080934</v>
      </c>
    </row>
    <row r="1352" spans="1:71">
      <c r="A1352" s="30">
        <v>2025</v>
      </c>
      <c r="B1352" s="31" t="s">
        <v>1871</v>
      </c>
      <c r="C1352" s="36">
        <f>LN(Inventory[[#This Row],[Acres]])</f>
        <v>-0.75502258427803282</v>
      </c>
      <c r="D1352" s="38">
        <v>0.47</v>
      </c>
      <c r="E1352" s="30">
        <v>20526</v>
      </c>
      <c r="F1352" s="31" t="s">
        <v>505</v>
      </c>
      <c r="G1352" s="31" t="s">
        <v>155</v>
      </c>
      <c r="H1352" s="31" t="s">
        <v>5</v>
      </c>
      <c r="I1352" s="31" t="s">
        <v>506</v>
      </c>
      <c r="J1352" s="31" t="s">
        <v>507</v>
      </c>
      <c r="K1352" s="31" t="s">
        <v>473</v>
      </c>
      <c r="L1352" s="31" t="s">
        <v>15</v>
      </c>
      <c r="M1352" s="31" t="s">
        <v>20</v>
      </c>
      <c r="N1352" s="31">
        <v>100</v>
      </c>
      <c r="O1352" s="31">
        <f>2024-Inventory[[#This Row],[YrBlt]]</f>
        <v>104</v>
      </c>
      <c r="P1352" s="31">
        <f>2024-Inventory[[#This Row],[EffYr]]</f>
        <v>58</v>
      </c>
      <c r="Q1352" s="30">
        <v>1920</v>
      </c>
      <c r="R1352" s="30">
        <v>1966</v>
      </c>
      <c r="S1352" s="30">
        <v>912</v>
      </c>
      <c r="T1352" s="37"/>
      <c r="U1352" s="32"/>
      <c r="V1352" s="32"/>
      <c r="W1352" s="32"/>
      <c r="X1352" s="32">
        <f>Inventory[[#This Row],[Bsmt Area]]-Inventory[[#This Row],[FnBsmt]]</f>
        <v>0</v>
      </c>
      <c r="Y1352" s="32">
        <f>Inventory[[#This Row],[MainFn]]+Inventory[[#This Row],[UpprFn]]+Inventory[[#This Row],[AddFn]]+Inventory[[#This Row],[FnBsmt]]</f>
        <v>912</v>
      </c>
      <c r="Z1352" s="32">
        <v>1000</v>
      </c>
      <c r="AA1352" s="31" t="s">
        <v>56</v>
      </c>
      <c r="AB1352" s="32"/>
      <c r="AC1352" s="37"/>
      <c r="AD1352" s="37"/>
      <c r="AE1352" s="32"/>
      <c r="AF1352" s="32"/>
      <c r="AG1352" s="32"/>
      <c r="AH1352" s="32"/>
      <c r="AI1352" s="30">
        <v>143922</v>
      </c>
      <c r="AJ1352" s="30">
        <v>92110</v>
      </c>
      <c r="AK1352" s="30">
        <v>37556</v>
      </c>
      <c r="AL1352" s="30">
        <v>0</v>
      </c>
      <c r="AM1352" s="30">
        <v>75900</v>
      </c>
      <c r="AN1352" s="30">
        <v>209900</v>
      </c>
      <c r="AO1352" s="30">
        <v>285800</v>
      </c>
      <c r="AP1352" s="30">
        <f>Lookups!$B$58*0.6</f>
        <v>132535.48800000001</v>
      </c>
      <c r="AQ1352" s="30">
        <f>Lookups!$B$58*0.4</f>
        <v>88356.992000000013</v>
      </c>
      <c r="AR1352" s="30">
        <f>Lookups!$B$59*Inventory[[#This Row],[LnAcres]]</f>
        <v>-9909.1587583144556</v>
      </c>
      <c r="AS1352" s="30">
        <f>VLOOKUP(Inventory[[#This Row],[Qlty]],Lookups!$A$66:$E$79,2,FALSE)</f>
        <v>-1240.8083630000001</v>
      </c>
      <c r="AT1352" s="30">
        <f>VLOOKUP(Inventory[[#This Row],[Cnd]],Lookups!$A$80:$E$88,2,FALSE)</f>
        <v>30300.329274</v>
      </c>
      <c r="AU1352" s="30">
        <f>Inventory[[#This Row],[EffAge]]*Lookups!$B$65</f>
        <v>-6306.9838</v>
      </c>
      <c r="AV1352" s="30">
        <f>Inventory[[#This Row],[MainFn]]*Lookups!$B$90</f>
        <v>56918.266560000004</v>
      </c>
      <c r="AW1352" s="30">
        <f>Inventory[[#This Row],[UpprFn]]*Lookups!$B$91</f>
        <v>0</v>
      </c>
      <c r="AX1352" s="30">
        <f>Inventory[[#This Row],[Bsmt Area]]*Lookups!$B$95</f>
        <v>0</v>
      </c>
      <c r="AY1352" s="30">
        <f>Inventory[[#This Row],[AttGar]]*Lookups!$B$93</f>
        <v>0</v>
      </c>
      <c r="AZ1352" s="30">
        <f>ROUND(Inventory[[#This Row],[25Det]],-2)</f>
        <v>37600</v>
      </c>
      <c r="BA1352" s="30">
        <f>ROUND(SUM(Inventory[[#This Row],[Mdl Qlty]:[Mdl Garage Area]])+Inventory[[#This Row],[Mdl Res Intercept]],-2)</f>
        <v>212200</v>
      </c>
      <c r="BB1352" s="30">
        <f>ROUND(Inventory[[#This Row],[Mdl Land Intercept]]+Inventory[[#This Row],[Mdl LnAcres]],-2)</f>
        <v>78400</v>
      </c>
      <c r="BC1352" s="30">
        <f>Inventory[[#This Row],[Unadj Res Value]]+Inventory[[#This Row],[Unadj Det Value]]+Inventory[[#This Row],[Unadj Land Value]]</f>
        <v>328200</v>
      </c>
      <c r="BD1352" s="30">
        <f>(Inventory[[#This Row],[Unadj Total Value]]-Inventory[[#This Row],[24Final]])/Inventory[[#This Row],[24Final]]</f>
        <v>0.14835549335199441</v>
      </c>
      <c r="BE1352" s="30">
        <f>VLOOKUP(Inventory[[#This Row],[Nbhd]],Lookups!$M$3:$P$5,4,FALSE)</f>
        <v>0.99970000000000003</v>
      </c>
      <c r="BF1352" s="30">
        <f>VLOOKUP(Inventory[[#This Row],[Qlty]],Lookups!$M$8:$P$22,4,FALSE)</f>
        <v>1.0022</v>
      </c>
      <c r="BG1352" s="30">
        <f>VLOOKUP(Inventory[[#This Row],[Cnd]],Lookups!$R$8:$U$17,4,FALSE)</f>
        <v>0.997</v>
      </c>
      <c r="BH1352" s="30">
        <f>VLOOKUP(Inventory[[#This Row],[LivArea Range]],Lookups!$R$25:$U$43,4,FALSE)</f>
        <v>1</v>
      </c>
      <c r="BI1352" s="30">
        <f>VLOOKUP(Inventory[[#This Row],[Decade]],Lookups!$M$24:$P$40,4,FALSE)</f>
        <v>0.99960000000000004</v>
      </c>
      <c r="BJ1352" s="30">
        <f>Inventory[[#This Row],[Nbhd Adj]]*0.95</f>
        <v>0.94971499999999998</v>
      </c>
      <c r="BK1352" s="30">
        <f>AVERAGE(Inventory[[#This Row],[Nbhd Adj]],Inventory[[#This Row],[Quality Adj]],Inventory[[#This Row],[Condition Adj]],Inventory[[#This Row],[Living Area Adj]],Inventory[[#This Row],[Decade Adj]])*0.95</f>
        <v>0.94971499999999998</v>
      </c>
      <c r="BL1352" s="30">
        <f>ROUND((SUM(Inventory[[#This Row],[Mdl Qlty]:[Mdl Garage Area]])+Inventory[[#This Row],[Mdl Res Intercept]])*Inventory[[#This Row],[Res Adj ]],-2)</f>
        <v>201500</v>
      </c>
      <c r="BM1352" s="30">
        <f>ROUND(Inventory[[#This Row],[25Det]]*Inventory[[#This Row],[Det/Nbhd Adj]],-2)</f>
        <v>35700</v>
      </c>
      <c r="BN1352" s="30">
        <f>Inventory[[#This Row],[Adjusted Res]]+Inventory[[#This Row],[Adj Det ]]</f>
        <v>237200</v>
      </c>
      <c r="BO1352" s="30">
        <f>ROUND((Inventory[[#This Row],[Mdl Land Intercept]]+Inventory[[#This Row],[Mdl LnAcres]])*Inventory[[#This Row],[Det/Nbhd Adj]],-2)</f>
        <v>74500</v>
      </c>
      <c r="BP1352" s="30">
        <f>Inventory[[#This Row],[Adjusted Impr Total]]+Inventory[[#This Row],[Adjusted Land Total]]</f>
        <v>311700</v>
      </c>
      <c r="BQ1352" s="30">
        <f>IFERROR((Inventory[[#This Row],[Adjusted Impr Total]]-Inventory[[#This Row],[24Bldg]])/Inventory[[#This Row],[24Bldg]],0)</f>
        <v>0.13006193425440685</v>
      </c>
      <c r="BR1352" s="43">
        <f>(Inventory[[#This Row],[Adjusted Land Total]]-Inventory[[#This Row],[24Lnd]])/Inventory[[#This Row],[24Lnd]]</f>
        <v>-1.844532279314888E-2</v>
      </c>
      <c r="BS1352" s="43">
        <f>(Inventory[[#This Row],[Adjusted Total]]-Inventory[[#This Row],[24Final]])/Inventory[[#This Row],[24Final]]</f>
        <v>9.0622813156053181E-2</v>
      </c>
    </row>
    <row r="1353" spans="1:71">
      <c r="A1353" s="30">
        <v>2025</v>
      </c>
      <c r="B1353" s="31" t="s">
        <v>1872</v>
      </c>
      <c r="C1353" s="36">
        <f>LN(Inventory[[#This Row],[Acres]])</f>
        <v>-0.57981849525294205</v>
      </c>
      <c r="D1353" s="38">
        <v>0.56000000000000005</v>
      </c>
      <c r="E1353" s="37"/>
      <c r="F1353" s="31" t="s">
        <v>505</v>
      </c>
      <c r="G1353" s="31" t="s">
        <v>155</v>
      </c>
      <c r="H1353" s="31" t="s">
        <v>5</v>
      </c>
      <c r="I1353" s="31" t="s">
        <v>506</v>
      </c>
      <c r="J1353" s="31" t="s">
        <v>507</v>
      </c>
      <c r="K1353" s="31" t="s">
        <v>473</v>
      </c>
      <c r="L1353" s="31" t="s">
        <v>15</v>
      </c>
      <c r="M1353" s="31" t="s">
        <v>20</v>
      </c>
      <c r="N1353" s="31">
        <v>100</v>
      </c>
      <c r="O1353" s="31">
        <f>2024-Inventory[[#This Row],[YrBlt]]</f>
        <v>104</v>
      </c>
      <c r="P1353" s="31">
        <f>2024-Inventory[[#This Row],[EffYr]]</f>
        <v>58</v>
      </c>
      <c r="Q1353" s="30">
        <v>1920</v>
      </c>
      <c r="R1353" s="30">
        <v>1966</v>
      </c>
      <c r="S1353" s="30">
        <v>1418</v>
      </c>
      <c r="T1353" s="32"/>
      <c r="U1353" s="32"/>
      <c r="V1353" s="32"/>
      <c r="W1353" s="32"/>
      <c r="X1353" s="32">
        <f>Inventory[[#This Row],[Bsmt Area]]-Inventory[[#This Row],[FnBsmt]]</f>
        <v>0</v>
      </c>
      <c r="Y1353" s="32">
        <f>Inventory[[#This Row],[MainFn]]+Inventory[[#This Row],[UpprFn]]+Inventory[[#This Row],[AddFn]]+Inventory[[#This Row],[FnBsmt]]</f>
        <v>1418</v>
      </c>
      <c r="Z1353" s="32">
        <v>1500</v>
      </c>
      <c r="AA1353" s="31" t="s">
        <v>56</v>
      </c>
      <c r="AB1353" s="32"/>
      <c r="AC1353" s="37"/>
      <c r="AD1353" s="32"/>
      <c r="AE1353" s="32"/>
      <c r="AF1353" s="32"/>
      <c r="AG1353" s="32"/>
      <c r="AH1353" s="32"/>
      <c r="AI1353" s="30">
        <v>214116</v>
      </c>
      <c r="AJ1353" s="30">
        <v>137034</v>
      </c>
      <c r="AK1353" s="30">
        <v>25619</v>
      </c>
      <c r="AL1353" s="30">
        <v>0</v>
      </c>
      <c r="AM1353" s="30">
        <v>78400</v>
      </c>
      <c r="AN1353" s="30">
        <v>237900</v>
      </c>
      <c r="AO1353" s="30">
        <v>316300</v>
      </c>
      <c r="AP1353" s="30">
        <f>Lookups!$B$58*0.6</f>
        <v>132535.48800000001</v>
      </c>
      <c r="AQ1353" s="30">
        <f>Lookups!$B$58*0.4</f>
        <v>88356.992000000013</v>
      </c>
      <c r="AR1353" s="30">
        <f>Lookups!$B$59*Inventory[[#This Row],[LnAcres]]</f>
        <v>-7609.7240534365874</v>
      </c>
      <c r="AS1353" s="30">
        <f>VLOOKUP(Inventory[[#This Row],[Qlty]],Lookups!$A$66:$E$79,2,FALSE)</f>
        <v>-1240.8083630000001</v>
      </c>
      <c r="AT1353" s="30">
        <f>VLOOKUP(Inventory[[#This Row],[Cnd]],Lookups!$A$80:$E$88,2,FALSE)</f>
        <v>30300.329274</v>
      </c>
      <c r="AU1353" s="30">
        <f>Inventory[[#This Row],[EffAge]]*Lookups!$B$65</f>
        <v>-6306.9838</v>
      </c>
      <c r="AV1353" s="30">
        <f>Inventory[[#This Row],[MainFn]]*Lookups!$B$90</f>
        <v>88497.918839999998</v>
      </c>
      <c r="AW1353" s="30">
        <f>Inventory[[#This Row],[UpprFn]]*Lookups!$B$91</f>
        <v>0</v>
      </c>
      <c r="AX1353" s="30">
        <f>Inventory[[#This Row],[Bsmt Area]]*Lookups!$B$95</f>
        <v>0</v>
      </c>
      <c r="AY1353" s="30">
        <f>Inventory[[#This Row],[AttGar]]*Lookups!$B$93</f>
        <v>0</v>
      </c>
      <c r="AZ1353" s="30">
        <f>ROUND(Inventory[[#This Row],[25Det]],-2)</f>
        <v>25600</v>
      </c>
      <c r="BA1353" s="30">
        <f>ROUND(SUM(Inventory[[#This Row],[Mdl Qlty]:[Mdl Garage Area]])+Inventory[[#This Row],[Mdl Res Intercept]],-2)</f>
        <v>243800</v>
      </c>
      <c r="BB1353" s="30">
        <f>ROUND(Inventory[[#This Row],[Mdl Land Intercept]]+Inventory[[#This Row],[Mdl LnAcres]],-2)</f>
        <v>80700</v>
      </c>
      <c r="BC1353" s="30">
        <f>Inventory[[#This Row],[Unadj Res Value]]+Inventory[[#This Row],[Unadj Det Value]]+Inventory[[#This Row],[Unadj Land Value]]</f>
        <v>350100</v>
      </c>
      <c r="BD1353" s="30">
        <f>(Inventory[[#This Row],[Unadj Total Value]]-Inventory[[#This Row],[24Final]])/Inventory[[#This Row],[24Final]]</f>
        <v>0.10686057540309832</v>
      </c>
      <c r="BE1353" s="30">
        <f>VLOOKUP(Inventory[[#This Row],[Nbhd]],Lookups!$M$3:$P$5,4,FALSE)</f>
        <v>0.99970000000000003</v>
      </c>
      <c r="BF1353" s="30">
        <f>VLOOKUP(Inventory[[#This Row],[Qlty]],Lookups!$M$8:$P$22,4,FALSE)</f>
        <v>1.0022</v>
      </c>
      <c r="BG1353" s="30">
        <f>VLOOKUP(Inventory[[#This Row],[Cnd]],Lookups!$R$8:$U$17,4,FALSE)</f>
        <v>0.997</v>
      </c>
      <c r="BH1353" s="30">
        <f>VLOOKUP(Inventory[[#This Row],[LivArea Range]],Lookups!$R$25:$U$43,4,FALSE)</f>
        <v>0.99519999999999997</v>
      </c>
      <c r="BI1353" s="30">
        <f>VLOOKUP(Inventory[[#This Row],[Decade]],Lookups!$M$24:$P$40,4,FALSE)</f>
        <v>0.99960000000000004</v>
      </c>
      <c r="BJ1353" s="30">
        <f>Inventory[[#This Row],[Nbhd Adj]]*0.95</f>
        <v>0.94971499999999998</v>
      </c>
      <c r="BK1353" s="30">
        <f>AVERAGE(Inventory[[#This Row],[Nbhd Adj]],Inventory[[#This Row],[Quality Adj]],Inventory[[#This Row],[Condition Adj]],Inventory[[#This Row],[Living Area Adj]],Inventory[[#This Row],[Decade Adj]])*0.95</f>
        <v>0.94880300000000006</v>
      </c>
      <c r="BL1353" s="30">
        <f>ROUND((SUM(Inventory[[#This Row],[Mdl Qlty]:[Mdl Garage Area]])+Inventory[[#This Row],[Mdl Res Intercept]])*Inventory[[#This Row],[Res Adj ]],-2)</f>
        <v>231300</v>
      </c>
      <c r="BM1353" s="30">
        <f>ROUND(Inventory[[#This Row],[25Det]]*Inventory[[#This Row],[Det/Nbhd Adj]],-2)</f>
        <v>24300</v>
      </c>
      <c r="BN1353" s="30">
        <f>Inventory[[#This Row],[Adjusted Res]]+Inventory[[#This Row],[Adj Det ]]</f>
        <v>255600</v>
      </c>
      <c r="BO1353" s="30">
        <f>ROUND((Inventory[[#This Row],[Mdl Land Intercept]]+Inventory[[#This Row],[Mdl LnAcres]])*Inventory[[#This Row],[Det/Nbhd Adj]],-2)</f>
        <v>76700</v>
      </c>
      <c r="BP1353" s="30">
        <f>Inventory[[#This Row],[Adjusted Impr Total]]+Inventory[[#This Row],[Adjusted Land Total]]</f>
        <v>332300</v>
      </c>
      <c r="BQ1353" s="30">
        <f>IFERROR((Inventory[[#This Row],[Adjusted Impr Total]]-Inventory[[#This Row],[24Bldg]])/Inventory[[#This Row],[24Bldg]],0)</f>
        <v>7.4401008827238338E-2</v>
      </c>
      <c r="BR1353" s="43">
        <f>(Inventory[[#This Row],[Adjusted Land Total]]-Inventory[[#This Row],[24Lnd]])/Inventory[[#This Row],[24Lnd]]</f>
        <v>-2.1683673469387755E-2</v>
      </c>
      <c r="BS1353" s="43">
        <f>(Inventory[[#This Row],[Adjusted Total]]-Inventory[[#This Row],[24Final]])/Inventory[[#This Row],[24Final]]</f>
        <v>5.0584887764780269E-2</v>
      </c>
    </row>
    <row r="1354" spans="1:71">
      <c r="A1354" s="30">
        <v>2025</v>
      </c>
      <c r="B1354" s="31" t="s">
        <v>1873</v>
      </c>
      <c r="C1354" s="36">
        <f>LN(Inventory[[#This Row],[Acres]])</f>
        <v>2.9558802241544429E-2</v>
      </c>
      <c r="D1354" s="38">
        <v>1.03</v>
      </c>
      <c r="E1354" s="30">
        <v>44782</v>
      </c>
      <c r="F1354" s="31" t="s">
        <v>505</v>
      </c>
      <c r="G1354" s="31" t="s">
        <v>155</v>
      </c>
      <c r="H1354" s="31" t="s">
        <v>5</v>
      </c>
      <c r="I1354" s="31" t="s">
        <v>506</v>
      </c>
      <c r="J1354" s="31" t="s">
        <v>507</v>
      </c>
      <c r="K1354" s="31" t="s">
        <v>473</v>
      </c>
      <c r="L1354" s="31" t="s">
        <v>13</v>
      </c>
      <c r="M1354" s="31" t="s">
        <v>18</v>
      </c>
      <c r="N1354" s="31">
        <v>100</v>
      </c>
      <c r="O1354" s="31">
        <f>2024-Inventory[[#This Row],[YrBlt]]</f>
        <v>104</v>
      </c>
      <c r="P1354" s="31">
        <f>2024-Inventory[[#This Row],[EffYr]]</f>
        <v>58</v>
      </c>
      <c r="Q1354" s="30">
        <v>1920</v>
      </c>
      <c r="R1354" s="30">
        <v>1966</v>
      </c>
      <c r="S1354" s="30">
        <v>1102</v>
      </c>
      <c r="T1354" s="32"/>
      <c r="U1354" s="38">
        <v>780</v>
      </c>
      <c r="V1354" s="32"/>
      <c r="W1354" s="32"/>
      <c r="X1354" s="32">
        <f>Inventory[[#This Row],[Bsmt Area]]-Inventory[[#This Row],[FnBsmt]]</f>
        <v>780</v>
      </c>
      <c r="Y1354" s="32">
        <f>Inventory[[#This Row],[MainFn]]+Inventory[[#This Row],[UpprFn]]+Inventory[[#This Row],[AddFn]]+Inventory[[#This Row],[FnBsmt]]</f>
        <v>1102</v>
      </c>
      <c r="Z1354" s="32">
        <v>1500</v>
      </c>
      <c r="AA1354" s="31" t="s">
        <v>56</v>
      </c>
      <c r="AB1354" s="32"/>
      <c r="AC1354" s="37"/>
      <c r="AD1354" s="32"/>
      <c r="AE1354" s="32"/>
      <c r="AF1354" s="32"/>
      <c r="AG1354" s="32"/>
      <c r="AH1354" s="32"/>
      <c r="AI1354" s="30">
        <v>180965</v>
      </c>
      <c r="AJ1354" s="30">
        <v>114008</v>
      </c>
      <c r="AK1354" s="30">
        <v>135645</v>
      </c>
      <c r="AL1354" s="30">
        <v>0</v>
      </c>
      <c r="AM1354" s="30">
        <v>86900</v>
      </c>
      <c r="AN1354" s="30">
        <v>301800</v>
      </c>
      <c r="AO1354" s="30">
        <v>388700</v>
      </c>
      <c r="AP1354" s="30">
        <f>Lookups!$B$58*0.6</f>
        <v>132535.48800000001</v>
      </c>
      <c r="AQ1354" s="30">
        <f>Lookups!$B$58*0.4</f>
        <v>88356.992000000013</v>
      </c>
      <c r="AR1354" s="30">
        <f>Lookups!$B$59*Inventory[[#This Row],[LnAcres]]</f>
        <v>387.93920899354862</v>
      </c>
      <c r="AS1354" s="30">
        <f>VLOOKUP(Inventory[[#This Row],[Qlty]],Lookups!$A$66:$E$79,2,FALSE)</f>
        <v>0</v>
      </c>
      <c r="AT1354" s="30">
        <f>VLOOKUP(Inventory[[#This Row],[Cnd]],Lookups!$A$80:$E$88,2,FALSE)</f>
        <v>17761.121909000001</v>
      </c>
      <c r="AU1354" s="30">
        <f>Inventory[[#This Row],[EffAge]]*Lookups!$B$65</f>
        <v>-6306.9838</v>
      </c>
      <c r="AV1354" s="30">
        <f>Inventory[[#This Row],[MainFn]]*Lookups!$B$90</f>
        <v>68776.238760000007</v>
      </c>
      <c r="AW1354" s="30">
        <f>Inventory[[#This Row],[UpprFn]]*Lookups!$B$91</f>
        <v>0</v>
      </c>
      <c r="AX1354" s="30">
        <f>Inventory[[#This Row],[Bsmt Area]]*Lookups!$B$95</f>
        <v>48817.46688</v>
      </c>
      <c r="AY1354" s="30">
        <f>Inventory[[#This Row],[AttGar]]*Lookups!$B$93</f>
        <v>0</v>
      </c>
      <c r="AZ1354" s="30">
        <f>ROUND(Inventory[[#This Row],[25Det]],-2)</f>
        <v>135600</v>
      </c>
      <c r="BA1354" s="30">
        <f>ROUND(SUM(Inventory[[#This Row],[Mdl Qlty]:[Mdl Garage Area]])+Inventory[[#This Row],[Mdl Res Intercept]],-2)</f>
        <v>261600</v>
      </c>
      <c r="BB1354" s="30">
        <f>ROUND(Inventory[[#This Row],[Mdl Land Intercept]]+Inventory[[#This Row],[Mdl LnAcres]],-2)</f>
        <v>88700</v>
      </c>
      <c r="BC1354" s="30">
        <f>Inventory[[#This Row],[Unadj Res Value]]+Inventory[[#This Row],[Unadj Det Value]]+Inventory[[#This Row],[Unadj Land Value]]</f>
        <v>485900</v>
      </c>
      <c r="BD1354" s="30">
        <f>(Inventory[[#This Row],[Unadj Total Value]]-Inventory[[#This Row],[24Final]])/Inventory[[#This Row],[24Final]]</f>
        <v>0.25006431695394904</v>
      </c>
      <c r="BE1354" s="30">
        <f>VLOOKUP(Inventory[[#This Row],[Nbhd]],Lookups!$M$3:$P$5,4,FALSE)</f>
        <v>0.99970000000000003</v>
      </c>
      <c r="BF1354" s="30">
        <f>VLOOKUP(Inventory[[#This Row],[Qlty]],Lookups!$M$8:$P$22,4,FALSE)</f>
        <v>1.0003</v>
      </c>
      <c r="BG1354" s="30">
        <f>VLOOKUP(Inventory[[#This Row],[Cnd]],Lookups!$R$8:$U$17,4,FALSE)</f>
        <v>0.99680000000000002</v>
      </c>
      <c r="BH1354" s="30">
        <f>VLOOKUP(Inventory[[#This Row],[LivArea Range]],Lookups!$R$25:$U$43,4,FALSE)</f>
        <v>0.99519999999999997</v>
      </c>
      <c r="BI1354" s="30">
        <f>VLOOKUP(Inventory[[#This Row],[Decade]],Lookups!$M$24:$P$40,4,FALSE)</f>
        <v>0.99960000000000004</v>
      </c>
      <c r="BJ1354" s="30">
        <f>Inventory[[#This Row],[Nbhd Adj]]*0.95</f>
        <v>0.94971499999999998</v>
      </c>
      <c r="BK1354" s="30">
        <f>AVERAGE(Inventory[[#This Row],[Nbhd Adj]],Inventory[[#This Row],[Quality Adj]],Inventory[[#This Row],[Condition Adj]],Inventory[[#This Row],[Living Area Adj]],Inventory[[#This Row],[Decade Adj]])*0.95</f>
        <v>0.94840399999999991</v>
      </c>
      <c r="BL1354" s="30">
        <f>ROUND((SUM(Inventory[[#This Row],[Mdl Qlty]:[Mdl Garage Area]])+Inventory[[#This Row],[Mdl Res Intercept]])*Inventory[[#This Row],[Res Adj ]],-2)</f>
        <v>248100</v>
      </c>
      <c r="BM1354" s="30">
        <f>ROUND(Inventory[[#This Row],[25Det]]*Inventory[[#This Row],[Det/Nbhd Adj]],-2)</f>
        <v>128800</v>
      </c>
      <c r="BN1354" s="30">
        <f>Inventory[[#This Row],[Adjusted Res]]+Inventory[[#This Row],[Adj Det ]]</f>
        <v>376900</v>
      </c>
      <c r="BO1354" s="30">
        <f>ROUND((Inventory[[#This Row],[Mdl Land Intercept]]+Inventory[[#This Row],[Mdl LnAcres]])*Inventory[[#This Row],[Det/Nbhd Adj]],-2)</f>
        <v>84300</v>
      </c>
      <c r="BP1354" s="30">
        <f>Inventory[[#This Row],[Adjusted Impr Total]]+Inventory[[#This Row],[Adjusted Land Total]]</f>
        <v>461200</v>
      </c>
      <c r="BQ1354" s="30">
        <f>IFERROR((Inventory[[#This Row],[Adjusted Impr Total]]-Inventory[[#This Row],[24Bldg]])/Inventory[[#This Row],[24Bldg]],0)</f>
        <v>0.24884029158383036</v>
      </c>
      <c r="BR1354" s="43">
        <f>(Inventory[[#This Row],[Adjusted Land Total]]-Inventory[[#This Row],[24Lnd]])/Inventory[[#This Row],[24Lnd]]</f>
        <v>-2.9919447640966629E-2</v>
      </c>
      <c r="BS1354" s="43">
        <f>(Inventory[[#This Row],[Adjusted Total]]-Inventory[[#This Row],[24Final]])/Inventory[[#This Row],[24Final]]</f>
        <v>0.18651916645227681</v>
      </c>
    </row>
    <row r="1355" spans="1:71">
      <c r="A1355" s="30">
        <v>2025</v>
      </c>
      <c r="B1355" s="31" t="s">
        <v>1874</v>
      </c>
      <c r="C1355" s="36">
        <f>LN(Inventory[[#This Row],[Acres]])</f>
        <v>7.6961041136128394E-2</v>
      </c>
      <c r="D1355" s="38">
        <v>1.08</v>
      </c>
      <c r="E1355" s="30">
        <v>46915</v>
      </c>
      <c r="F1355" s="31" t="s">
        <v>505</v>
      </c>
      <c r="G1355" s="31" t="s">
        <v>155</v>
      </c>
      <c r="H1355" s="31" t="s">
        <v>5</v>
      </c>
      <c r="I1355" s="31" t="s">
        <v>506</v>
      </c>
      <c r="J1355" s="31" t="s">
        <v>507</v>
      </c>
      <c r="K1355" s="31" t="s">
        <v>157</v>
      </c>
      <c r="L1355" s="31" t="s">
        <v>17</v>
      </c>
      <c r="M1355" s="31" t="s">
        <v>18</v>
      </c>
      <c r="N1355" s="31">
        <v>100</v>
      </c>
      <c r="O1355" s="31">
        <f>2024-Inventory[[#This Row],[YrBlt]]</f>
        <v>104</v>
      </c>
      <c r="P1355" s="31">
        <f>2024-Inventory[[#This Row],[EffYr]]</f>
        <v>58</v>
      </c>
      <c r="Q1355" s="30">
        <v>1920</v>
      </c>
      <c r="R1355" s="30">
        <v>1966</v>
      </c>
      <c r="S1355" s="30">
        <v>974</v>
      </c>
      <c r="T1355" s="30">
        <v>896</v>
      </c>
      <c r="U1355" s="32"/>
      <c r="V1355" s="32"/>
      <c r="W1355" s="32"/>
      <c r="X1355" s="32">
        <f>Inventory[[#This Row],[Bsmt Area]]-Inventory[[#This Row],[FnBsmt]]</f>
        <v>0</v>
      </c>
      <c r="Y1355" s="32">
        <f>Inventory[[#This Row],[MainFn]]+Inventory[[#This Row],[UpprFn]]+Inventory[[#This Row],[AddFn]]+Inventory[[#This Row],[FnBsmt]]</f>
        <v>1870</v>
      </c>
      <c r="Z1355" s="32">
        <v>2000</v>
      </c>
      <c r="AA1355" s="31" t="s">
        <v>56</v>
      </c>
      <c r="AB1355" s="32"/>
      <c r="AC1355" s="37"/>
      <c r="AD1355" s="37"/>
      <c r="AE1355" s="32"/>
      <c r="AF1355" s="32"/>
      <c r="AG1355" s="32"/>
      <c r="AH1355" s="32"/>
      <c r="AI1355" s="30">
        <v>271956</v>
      </c>
      <c r="AJ1355" s="30">
        <v>168613</v>
      </c>
      <c r="AK1355" s="30">
        <v>22745</v>
      </c>
      <c r="AL1355" s="30">
        <v>0</v>
      </c>
      <c r="AM1355" s="30">
        <v>87600</v>
      </c>
      <c r="AN1355" s="30">
        <v>262700</v>
      </c>
      <c r="AO1355" s="30">
        <v>350300</v>
      </c>
      <c r="AP1355" s="30">
        <f>Lookups!$B$58*0.6</f>
        <v>132535.48800000001</v>
      </c>
      <c r="AQ1355" s="30">
        <f>Lookups!$B$58*0.4</f>
        <v>88356.992000000013</v>
      </c>
      <c r="AR1355" s="30">
        <f>Lookups!$B$59*Inventory[[#This Row],[LnAcres]]</f>
        <v>1010.0614083647538</v>
      </c>
      <c r="AS1355" s="30">
        <f>VLOOKUP(Inventory[[#This Row],[Qlty]],Lookups!$A$66:$E$79,2,FALSE)</f>
        <v>24371.765965999999</v>
      </c>
      <c r="AT1355" s="30">
        <f>VLOOKUP(Inventory[[#This Row],[Cnd]],Lookups!$A$80:$E$88,2,FALSE)</f>
        <v>17761.121909000001</v>
      </c>
      <c r="AU1355" s="30">
        <f>Inventory[[#This Row],[EffAge]]*Lookups!$B$65</f>
        <v>-6306.9838</v>
      </c>
      <c r="AV1355" s="30">
        <f>Inventory[[#This Row],[MainFn]]*Lookups!$B$90</f>
        <v>60787.710120000003</v>
      </c>
      <c r="AW1355" s="30">
        <f>Inventory[[#This Row],[UpprFn]]*Lookups!$B$91</f>
        <v>53384.023168</v>
      </c>
      <c r="AX1355" s="30">
        <f>Inventory[[#This Row],[Bsmt Area]]*Lookups!$B$95</f>
        <v>0</v>
      </c>
      <c r="AY1355" s="30">
        <f>Inventory[[#This Row],[AttGar]]*Lookups!$B$93</f>
        <v>0</v>
      </c>
      <c r="AZ1355" s="30">
        <f>ROUND(Inventory[[#This Row],[25Det]],-2)</f>
        <v>22700</v>
      </c>
      <c r="BA1355" s="30">
        <f>ROUND(SUM(Inventory[[#This Row],[Mdl Qlty]:[Mdl Garage Area]])+Inventory[[#This Row],[Mdl Res Intercept]],-2)</f>
        <v>282500</v>
      </c>
      <c r="BB1355" s="30">
        <f>ROUND(Inventory[[#This Row],[Mdl Land Intercept]]+Inventory[[#This Row],[Mdl LnAcres]],-2)</f>
        <v>89400</v>
      </c>
      <c r="BC1355" s="30">
        <f>Inventory[[#This Row],[Unadj Res Value]]+Inventory[[#This Row],[Unadj Det Value]]+Inventory[[#This Row],[Unadj Land Value]]</f>
        <v>394600</v>
      </c>
      <c r="BD1355" s="30">
        <f>(Inventory[[#This Row],[Unadj Total Value]]-Inventory[[#This Row],[24Final]])/Inventory[[#This Row],[24Final]]</f>
        <v>0.12646303168712533</v>
      </c>
      <c r="BE1355" s="30">
        <f>VLOOKUP(Inventory[[#This Row],[Nbhd]],Lookups!$M$3:$P$5,4,FALSE)</f>
        <v>0.99970000000000003</v>
      </c>
      <c r="BF1355" s="30">
        <f>VLOOKUP(Inventory[[#This Row],[Qlty]],Lookups!$M$8:$P$22,4,FALSE)</f>
        <v>0.99199999999999999</v>
      </c>
      <c r="BG1355" s="30">
        <f>VLOOKUP(Inventory[[#This Row],[Cnd]],Lookups!$R$8:$U$17,4,FALSE)</f>
        <v>0.99680000000000002</v>
      </c>
      <c r="BH1355" s="30">
        <f>VLOOKUP(Inventory[[#This Row],[LivArea Range]],Lookups!$R$25:$U$43,4,FALSE)</f>
        <v>1.0007999999999999</v>
      </c>
      <c r="BI1355" s="30">
        <f>VLOOKUP(Inventory[[#This Row],[Decade]],Lookups!$M$24:$P$40,4,FALSE)</f>
        <v>0.99960000000000004</v>
      </c>
      <c r="BJ1355" s="30">
        <f>Inventory[[#This Row],[Nbhd Adj]]*0.95</f>
        <v>0.94971499999999998</v>
      </c>
      <c r="BK1355" s="30">
        <f>AVERAGE(Inventory[[#This Row],[Nbhd Adj]],Inventory[[#This Row],[Quality Adj]],Inventory[[#This Row],[Condition Adj]],Inventory[[#This Row],[Living Area Adj]],Inventory[[#This Row],[Decade Adj]])*0.95</f>
        <v>0.94789099999999993</v>
      </c>
      <c r="BL1355" s="30">
        <f>ROUND((SUM(Inventory[[#This Row],[Mdl Qlty]:[Mdl Garage Area]])+Inventory[[#This Row],[Mdl Res Intercept]])*Inventory[[#This Row],[Res Adj ]],-2)</f>
        <v>267800</v>
      </c>
      <c r="BM1355" s="30">
        <f>ROUND(Inventory[[#This Row],[25Det]]*Inventory[[#This Row],[Det/Nbhd Adj]],-2)</f>
        <v>21600</v>
      </c>
      <c r="BN1355" s="30">
        <f>Inventory[[#This Row],[Adjusted Res]]+Inventory[[#This Row],[Adj Det ]]</f>
        <v>289400</v>
      </c>
      <c r="BO1355" s="30">
        <f>ROUND((Inventory[[#This Row],[Mdl Land Intercept]]+Inventory[[#This Row],[Mdl LnAcres]])*Inventory[[#This Row],[Det/Nbhd Adj]],-2)</f>
        <v>84900</v>
      </c>
      <c r="BP1355" s="30">
        <f>Inventory[[#This Row],[Adjusted Impr Total]]+Inventory[[#This Row],[Adjusted Land Total]]</f>
        <v>374300</v>
      </c>
      <c r="BQ1355" s="30">
        <f>IFERROR((Inventory[[#This Row],[Adjusted Impr Total]]-Inventory[[#This Row],[24Bldg]])/Inventory[[#This Row],[24Bldg]],0)</f>
        <v>0.10163684811572135</v>
      </c>
      <c r="BR1355" s="43">
        <f>(Inventory[[#This Row],[Adjusted Land Total]]-Inventory[[#This Row],[24Lnd]])/Inventory[[#This Row],[24Lnd]]</f>
        <v>-3.0821917808219176E-2</v>
      </c>
      <c r="BS1355" s="43">
        <f>(Inventory[[#This Row],[Adjusted Total]]-Inventory[[#This Row],[24Final]])/Inventory[[#This Row],[24Final]]</f>
        <v>6.8512703397088204E-2</v>
      </c>
    </row>
    <row r="1356" spans="1:71">
      <c r="A1356" s="30">
        <v>2025</v>
      </c>
      <c r="B1356" s="31" t="s">
        <v>1875</v>
      </c>
      <c r="C1356" s="36">
        <f>LN(Inventory[[#This Row],[Acres]])</f>
        <v>0.23111172096338664</v>
      </c>
      <c r="D1356" s="38">
        <v>1.26</v>
      </c>
      <c r="E1356" s="37"/>
      <c r="F1356" s="31" t="s">
        <v>505</v>
      </c>
      <c r="G1356" s="31" t="s">
        <v>155</v>
      </c>
      <c r="H1356" s="31" t="s">
        <v>5</v>
      </c>
      <c r="I1356" s="31" t="s">
        <v>506</v>
      </c>
      <c r="J1356" s="31" t="s">
        <v>507</v>
      </c>
      <c r="K1356" s="31" t="s">
        <v>485</v>
      </c>
      <c r="L1356" s="31" t="s">
        <v>11</v>
      </c>
      <c r="M1356" s="31" t="s">
        <v>18</v>
      </c>
      <c r="N1356" s="31">
        <v>100</v>
      </c>
      <c r="O1356" s="31">
        <f>2024-Inventory[[#This Row],[YrBlt]]</f>
        <v>104</v>
      </c>
      <c r="P1356" s="31">
        <f>2024-Inventory[[#This Row],[EffYr]]</f>
        <v>58</v>
      </c>
      <c r="Q1356" s="30">
        <v>1920</v>
      </c>
      <c r="R1356" s="30">
        <v>1966</v>
      </c>
      <c r="S1356" s="30">
        <v>1104</v>
      </c>
      <c r="T1356" s="38">
        <v>456</v>
      </c>
      <c r="U1356" s="38">
        <v>364</v>
      </c>
      <c r="V1356" s="32"/>
      <c r="W1356" s="32"/>
      <c r="X1356" s="32">
        <f>Inventory[[#This Row],[Bsmt Area]]-Inventory[[#This Row],[FnBsmt]]</f>
        <v>364</v>
      </c>
      <c r="Y1356" s="32">
        <f>Inventory[[#This Row],[MainFn]]+Inventory[[#This Row],[UpprFn]]+Inventory[[#This Row],[AddFn]]+Inventory[[#This Row],[FnBsmt]]</f>
        <v>1560</v>
      </c>
      <c r="Z1356" s="32">
        <v>2000</v>
      </c>
      <c r="AA1356" s="31" t="s">
        <v>56</v>
      </c>
      <c r="AB1356" s="37"/>
      <c r="AC1356" s="37"/>
      <c r="AD1356" s="32"/>
      <c r="AE1356" s="32"/>
      <c r="AF1356" s="32"/>
      <c r="AG1356" s="32"/>
      <c r="AH1356" s="32"/>
      <c r="AI1356" s="30">
        <v>213926</v>
      </c>
      <c r="AJ1356" s="30">
        <v>132634</v>
      </c>
      <c r="AK1356" s="30">
        <v>3761</v>
      </c>
      <c r="AL1356" s="30">
        <v>0</v>
      </c>
      <c r="AM1356" s="30">
        <v>89700</v>
      </c>
      <c r="AN1356" s="30">
        <v>180000</v>
      </c>
      <c r="AO1356" s="30">
        <v>269700</v>
      </c>
      <c r="AP1356" s="30">
        <f>Lookups!$B$58*0.6</f>
        <v>132535.48800000001</v>
      </c>
      <c r="AQ1356" s="30">
        <f>Lookups!$B$58*0.4</f>
        <v>88356.992000000013</v>
      </c>
      <c r="AR1356" s="30">
        <f>Lookups!$B$59*Inventory[[#This Row],[LnAcres]]</f>
        <v>3033.1844127859154</v>
      </c>
      <c r="AS1356" s="30">
        <f>VLOOKUP(Inventory[[#This Row],[Qlty]],Lookups!$A$66:$E$79,2,FALSE)</f>
        <v>-9114.1675108666695</v>
      </c>
      <c r="AT1356" s="30">
        <f>VLOOKUP(Inventory[[#This Row],[Cnd]],Lookups!$A$80:$E$88,2,FALSE)</f>
        <v>17761.121909000001</v>
      </c>
      <c r="AU1356" s="30">
        <f>Inventory[[#This Row],[EffAge]]*Lookups!$B$65</f>
        <v>-6306.9838</v>
      </c>
      <c r="AV1356" s="30">
        <f>Inventory[[#This Row],[MainFn]]*Lookups!$B$90</f>
        <v>68901.05952000001</v>
      </c>
      <c r="AW1356" s="30">
        <f>Inventory[[#This Row],[UpprFn]]*Lookups!$B$91</f>
        <v>27168.654648</v>
      </c>
      <c r="AX1356" s="30">
        <f>Inventory[[#This Row],[Bsmt Area]]*Lookups!$B$95</f>
        <v>22781.484543999999</v>
      </c>
      <c r="AY1356" s="30">
        <f>Inventory[[#This Row],[AttGar]]*Lookups!$B$93</f>
        <v>0</v>
      </c>
      <c r="AZ1356" s="30">
        <f>ROUND(Inventory[[#This Row],[25Det]],-2)</f>
        <v>3800</v>
      </c>
      <c r="BA1356" s="30">
        <f>ROUND(SUM(Inventory[[#This Row],[Mdl Qlty]:[Mdl Garage Area]])+Inventory[[#This Row],[Mdl Res Intercept]],-2)</f>
        <v>253700</v>
      </c>
      <c r="BB1356" s="30">
        <f>ROUND(Inventory[[#This Row],[Mdl Land Intercept]]+Inventory[[#This Row],[Mdl LnAcres]],-2)</f>
        <v>91400</v>
      </c>
      <c r="BC1356" s="30">
        <f>Inventory[[#This Row],[Unadj Res Value]]+Inventory[[#This Row],[Unadj Det Value]]+Inventory[[#This Row],[Unadj Land Value]]</f>
        <v>348900</v>
      </c>
      <c r="BD1356" s="30">
        <f>(Inventory[[#This Row],[Unadj Total Value]]-Inventory[[#This Row],[24Final]])/Inventory[[#This Row],[24Final]]</f>
        <v>0.29365962180200222</v>
      </c>
      <c r="BE1356" s="30">
        <f>VLOOKUP(Inventory[[#This Row],[Nbhd]],Lookups!$M$3:$P$5,4,FALSE)</f>
        <v>0.99970000000000003</v>
      </c>
      <c r="BF1356" s="30">
        <f>VLOOKUP(Inventory[[#This Row],[Qlty]],Lookups!$M$8:$P$22,4,FALSE)</f>
        <v>1</v>
      </c>
      <c r="BG1356" s="30">
        <f>VLOOKUP(Inventory[[#This Row],[Cnd]],Lookups!$R$8:$U$17,4,FALSE)</f>
        <v>0.99680000000000002</v>
      </c>
      <c r="BH1356" s="30">
        <f>VLOOKUP(Inventory[[#This Row],[LivArea Range]],Lookups!$R$25:$U$43,4,FALSE)</f>
        <v>1.0007999999999999</v>
      </c>
      <c r="BI1356" s="30">
        <f>VLOOKUP(Inventory[[#This Row],[Decade]],Lookups!$M$24:$P$40,4,FALSE)</f>
        <v>0.99960000000000004</v>
      </c>
      <c r="BJ1356" s="30">
        <f>Inventory[[#This Row],[Nbhd Adj]]*0.95</f>
        <v>0.94971499999999998</v>
      </c>
      <c r="BK1356" s="30">
        <f>AVERAGE(Inventory[[#This Row],[Nbhd Adj]],Inventory[[#This Row],[Quality Adj]],Inventory[[#This Row],[Condition Adj]],Inventory[[#This Row],[Living Area Adj]],Inventory[[#This Row],[Decade Adj]])*0.95</f>
        <v>0.949411</v>
      </c>
      <c r="BL1356" s="30">
        <f>ROUND((SUM(Inventory[[#This Row],[Mdl Qlty]:[Mdl Garage Area]])+Inventory[[#This Row],[Mdl Res Intercept]])*Inventory[[#This Row],[Res Adj ]],-2)</f>
        <v>240900</v>
      </c>
      <c r="BM1356" s="30">
        <f>ROUND(Inventory[[#This Row],[25Det]]*Inventory[[#This Row],[Det/Nbhd Adj]],-2)</f>
        <v>3600</v>
      </c>
      <c r="BN1356" s="30">
        <f>Inventory[[#This Row],[Adjusted Res]]+Inventory[[#This Row],[Adj Det ]]</f>
        <v>244500</v>
      </c>
      <c r="BO1356" s="30">
        <f>ROUND((Inventory[[#This Row],[Mdl Land Intercept]]+Inventory[[#This Row],[Mdl LnAcres]])*Inventory[[#This Row],[Det/Nbhd Adj]],-2)</f>
        <v>86800</v>
      </c>
      <c r="BP1356" s="30">
        <f>Inventory[[#This Row],[Adjusted Impr Total]]+Inventory[[#This Row],[Adjusted Land Total]]</f>
        <v>331300</v>
      </c>
      <c r="BQ1356" s="30">
        <f>IFERROR((Inventory[[#This Row],[Adjusted Impr Total]]-Inventory[[#This Row],[24Bldg]])/Inventory[[#This Row],[24Bldg]],0)</f>
        <v>0.35833333333333334</v>
      </c>
      <c r="BR1356" s="43">
        <f>(Inventory[[#This Row],[Adjusted Land Total]]-Inventory[[#This Row],[24Lnd]])/Inventory[[#This Row],[24Lnd]]</f>
        <v>-3.2329988851727984E-2</v>
      </c>
      <c r="BS1356" s="43">
        <f>(Inventory[[#This Row],[Adjusted Total]]-Inventory[[#This Row],[24Final]])/Inventory[[#This Row],[24Final]]</f>
        <v>0.22840192806822396</v>
      </c>
    </row>
    <row r="1357" spans="1:71">
      <c r="A1357" s="30">
        <v>2025</v>
      </c>
      <c r="B1357" s="31" t="s">
        <v>1876</v>
      </c>
      <c r="C1357" s="36">
        <f>LN(Inventory[[#This Row],[Acres]])</f>
        <v>0.27763173659827955</v>
      </c>
      <c r="D1357" s="38">
        <v>1.32</v>
      </c>
      <c r="E1357" s="30">
        <v>57583</v>
      </c>
      <c r="F1357" s="31" t="s">
        <v>505</v>
      </c>
      <c r="G1357" s="31" t="s">
        <v>155</v>
      </c>
      <c r="H1357" s="31" t="s">
        <v>5</v>
      </c>
      <c r="I1357" s="31" t="s">
        <v>506</v>
      </c>
      <c r="J1357" s="31" t="s">
        <v>507</v>
      </c>
      <c r="K1357" s="31" t="s">
        <v>485</v>
      </c>
      <c r="L1357" s="31" t="s">
        <v>15</v>
      </c>
      <c r="M1357" s="31" t="s">
        <v>20</v>
      </c>
      <c r="N1357" s="31">
        <v>100</v>
      </c>
      <c r="O1357" s="31">
        <f>2024-Inventory[[#This Row],[YrBlt]]</f>
        <v>104</v>
      </c>
      <c r="P1357" s="31">
        <f>2024-Inventory[[#This Row],[EffYr]]</f>
        <v>58</v>
      </c>
      <c r="Q1357" s="30">
        <v>1920</v>
      </c>
      <c r="R1357" s="30">
        <v>1966</v>
      </c>
      <c r="S1357" s="30">
        <v>1386</v>
      </c>
      <c r="T1357" s="38">
        <v>936</v>
      </c>
      <c r="U1357" s="38">
        <v>1080</v>
      </c>
      <c r="V1357" s="32"/>
      <c r="W1357" s="32"/>
      <c r="X1357" s="32">
        <f>Inventory[[#This Row],[Bsmt Area]]-Inventory[[#This Row],[FnBsmt]]</f>
        <v>1080</v>
      </c>
      <c r="Y1357" s="32">
        <f>Inventory[[#This Row],[MainFn]]+Inventory[[#This Row],[UpprFn]]+Inventory[[#This Row],[AddFn]]+Inventory[[#This Row],[FnBsmt]]</f>
        <v>2322</v>
      </c>
      <c r="Z1357" s="32">
        <v>2500</v>
      </c>
      <c r="AA1357" s="31" t="s">
        <v>56</v>
      </c>
      <c r="AB1357" s="38">
        <v>2</v>
      </c>
      <c r="AC1357" s="37"/>
      <c r="AD1357" s="32"/>
      <c r="AE1357" s="32"/>
      <c r="AF1357" s="32"/>
      <c r="AG1357" s="32"/>
      <c r="AH1357" s="32"/>
      <c r="AI1357" s="30">
        <v>321224</v>
      </c>
      <c r="AJ1357" s="30">
        <v>205583</v>
      </c>
      <c r="AK1357" s="30">
        <v>0</v>
      </c>
      <c r="AL1357" s="30">
        <v>0</v>
      </c>
      <c r="AM1357" s="30">
        <v>90400</v>
      </c>
      <c r="AN1357" s="30">
        <v>252100</v>
      </c>
      <c r="AO1357" s="30">
        <v>342500</v>
      </c>
      <c r="AP1357" s="30">
        <f>Lookups!$B$58*0.6</f>
        <v>132535.48800000001</v>
      </c>
      <c r="AQ1357" s="30">
        <f>Lookups!$B$58*0.4</f>
        <v>88356.992000000013</v>
      </c>
      <c r="AR1357" s="30">
        <f>Lookups!$B$59*Inventory[[#This Row],[LnAcres]]</f>
        <v>3643.728030903269</v>
      </c>
      <c r="AS1357" s="30">
        <f>VLOOKUP(Inventory[[#This Row],[Qlty]],Lookups!$A$66:$E$79,2,FALSE)</f>
        <v>-1240.8083630000001</v>
      </c>
      <c r="AT1357" s="30">
        <f>VLOOKUP(Inventory[[#This Row],[Cnd]],Lookups!$A$80:$E$88,2,FALSE)</f>
        <v>30300.329274</v>
      </c>
      <c r="AU1357" s="30">
        <f>Inventory[[#This Row],[EffAge]]*Lookups!$B$65</f>
        <v>-6306.9838</v>
      </c>
      <c r="AV1357" s="30">
        <f>Inventory[[#This Row],[MainFn]]*Lookups!$B$90</f>
        <v>86500.786680000005</v>
      </c>
      <c r="AW1357" s="30">
        <f>Inventory[[#This Row],[UpprFn]]*Lookups!$B$91</f>
        <v>55767.238487999995</v>
      </c>
      <c r="AX1357" s="30">
        <f>Inventory[[#This Row],[Bsmt Area]]*Lookups!$B$95</f>
        <v>67593.415679999991</v>
      </c>
      <c r="AY1357" s="30">
        <f>Inventory[[#This Row],[AttGar]]*Lookups!$B$93</f>
        <v>0</v>
      </c>
      <c r="AZ1357" s="30">
        <f>ROUND(Inventory[[#This Row],[25Det]],-2)</f>
        <v>0</v>
      </c>
      <c r="BA1357" s="30">
        <f>ROUND(SUM(Inventory[[#This Row],[Mdl Qlty]:[Mdl Garage Area]])+Inventory[[#This Row],[Mdl Res Intercept]],-2)</f>
        <v>365100</v>
      </c>
      <c r="BB1357" s="30">
        <f>ROUND(Inventory[[#This Row],[Mdl Land Intercept]]+Inventory[[#This Row],[Mdl LnAcres]],-2)</f>
        <v>92000</v>
      </c>
      <c r="BC1357" s="30">
        <f>Inventory[[#This Row],[Unadj Res Value]]+Inventory[[#This Row],[Unadj Det Value]]+Inventory[[#This Row],[Unadj Land Value]]</f>
        <v>457100</v>
      </c>
      <c r="BD1357" s="30">
        <f>(Inventory[[#This Row],[Unadj Total Value]]-Inventory[[#This Row],[24Final]])/Inventory[[#This Row],[24Final]]</f>
        <v>0.33459854014598539</v>
      </c>
      <c r="BE1357" s="30">
        <f>VLOOKUP(Inventory[[#This Row],[Nbhd]],Lookups!$M$3:$P$5,4,FALSE)</f>
        <v>0.99970000000000003</v>
      </c>
      <c r="BF1357" s="30">
        <f>VLOOKUP(Inventory[[#This Row],[Qlty]],Lookups!$M$8:$P$22,4,FALSE)</f>
        <v>1.0022</v>
      </c>
      <c r="BG1357" s="30">
        <f>VLOOKUP(Inventory[[#This Row],[Cnd]],Lookups!$R$8:$U$17,4,FALSE)</f>
        <v>0.997</v>
      </c>
      <c r="BH1357" s="30">
        <f>VLOOKUP(Inventory[[#This Row],[LivArea Range]],Lookups!$R$25:$U$43,4,FALSE)</f>
        <v>1.0008999999999999</v>
      </c>
      <c r="BI1357" s="30">
        <f>VLOOKUP(Inventory[[#This Row],[Decade]],Lookups!$M$24:$P$40,4,FALSE)</f>
        <v>0.99960000000000004</v>
      </c>
      <c r="BJ1357" s="30">
        <f>Inventory[[#This Row],[Nbhd Adj]]*0.95</f>
        <v>0.94971499999999998</v>
      </c>
      <c r="BK1357" s="30">
        <f>AVERAGE(Inventory[[#This Row],[Nbhd Adj]],Inventory[[#This Row],[Quality Adj]],Inventory[[#This Row],[Condition Adj]],Inventory[[#This Row],[Living Area Adj]],Inventory[[#This Row],[Decade Adj]])*0.95</f>
        <v>0.94988599999999979</v>
      </c>
      <c r="BL1357" s="30">
        <f>ROUND((SUM(Inventory[[#This Row],[Mdl Qlty]:[Mdl Garage Area]])+Inventory[[#This Row],[Mdl Res Intercept]])*Inventory[[#This Row],[Res Adj ]],-2)</f>
        <v>346900</v>
      </c>
      <c r="BM1357" s="30">
        <f>ROUND(Inventory[[#This Row],[25Det]]*Inventory[[#This Row],[Det/Nbhd Adj]],-2)</f>
        <v>0</v>
      </c>
      <c r="BN1357" s="30">
        <f>Inventory[[#This Row],[Adjusted Res]]+Inventory[[#This Row],[Adj Det ]]</f>
        <v>346900</v>
      </c>
      <c r="BO1357" s="30">
        <f>ROUND((Inventory[[#This Row],[Mdl Land Intercept]]+Inventory[[#This Row],[Mdl LnAcres]])*Inventory[[#This Row],[Det/Nbhd Adj]],-2)</f>
        <v>87400</v>
      </c>
      <c r="BP1357" s="30">
        <f>Inventory[[#This Row],[Adjusted Impr Total]]+Inventory[[#This Row],[Adjusted Land Total]]</f>
        <v>434300</v>
      </c>
      <c r="BQ1357" s="30">
        <f>IFERROR((Inventory[[#This Row],[Adjusted Impr Total]]-Inventory[[#This Row],[24Bldg]])/Inventory[[#This Row],[24Bldg]],0)</f>
        <v>0.37604125347084488</v>
      </c>
      <c r="BR1357" s="43">
        <f>(Inventory[[#This Row],[Adjusted Land Total]]-Inventory[[#This Row],[24Lnd]])/Inventory[[#This Row],[24Lnd]]</f>
        <v>-3.3185840707964605E-2</v>
      </c>
      <c r="BS1357" s="43">
        <f>(Inventory[[#This Row],[Adjusted Total]]-Inventory[[#This Row],[24Final]])/Inventory[[#This Row],[24Final]]</f>
        <v>0.26802919708029199</v>
      </c>
    </row>
    <row r="1358" spans="1:71">
      <c r="A1358" s="30">
        <v>2025</v>
      </c>
      <c r="B1358" s="31" t="s">
        <v>1877</v>
      </c>
      <c r="C1358" s="36">
        <f>LN(Inventory[[#This Row],[Acres]])</f>
        <v>0.57661336430399379</v>
      </c>
      <c r="D1358" s="38">
        <v>1.78</v>
      </c>
      <c r="E1358" s="37"/>
      <c r="F1358" s="31" t="s">
        <v>505</v>
      </c>
      <c r="G1358" s="31" t="s">
        <v>155</v>
      </c>
      <c r="H1358" s="31" t="s">
        <v>5</v>
      </c>
      <c r="I1358" s="31" t="s">
        <v>506</v>
      </c>
      <c r="J1358" s="31" t="s">
        <v>507</v>
      </c>
      <c r="K1358" s="31" t="s">
        <v>485</v>
      </c>
      <c r="L1358" s="31" t="s">
        <v>17</v>
      </c>
      <c r="M1358" s="31" t="s">
        <v>18</v>
      </c>
      <c r="N1358" s="31">
        <v>100</v>
      </c>
      <c r="O1358" s="31">
        <f>2024-Inventory[[#This Row],[YrBlt]]</f>
        <v>104</v>
      </c>
      <c r="P1358" s="31">
        <f>2024-Inventory[[#This Row],[EffYr]]</f>
        <v>58</v>
      </c>
      <c r="Q1358" s="30">
        <v>1920</v>
      </c>
      <c r="R1358" s="30">
        <v>1966</v>
      </c>
      <c r="S1358" s="30">
        <v>1008</v>
      </c>
      <c r="T1358" s="38">
        <v>664</v>
      </c>
      <c r="U1358" s="38">
        <v>780</v>
      </c>
      <c r="V1358" s="32"/>
      <c r="W1358" s="32"/>
      <c r="X1358" s="32">
        <f>Inventory[[#This Row],[Bsmt Area]]-Inventory[[#This Row],[FnBsmt]]</f>
        <v>780</v>
      </c>
      <c r="Y1358" s="32">
        <f>Inventory[[#This Row],[MainFn]]+Inventory[[#This Row],[UpprFn]]+Inventory[[#This Row],[AddFn]]+Inventory[[#This Row],[FnBsmt]]</f>
        <v>1672</v>
      </c>
      <c r="Z1358" s="32">
        <v>2000</v>
      </c>
      <c r="AA1358" s="31" t="s">
        <v>56</v>
      </c>
      <c r="AB1358" s="32"/>
      <c r="AC1358" s="37"/>
      <c r="AD1358" s="32"/>
      <c r="AE1358" s="32"/>
      <c r="AF1358" s="32"/>
      <c r="AG1358" s="32"/>
      <c r="AH1358" s="32"/>
      <c r="AI1358" s="30">
        <v>282829</v>
      </c>
      <c r="AJ1358" s="30">
        <v>175354</v>
      </c>
      <c r="AK1358" s="30">
        <v>40843</v>
      </c>
      <c r="AL1358" s="30">
        <v>0</v>
      </c>
      <c r="AM1358" s="30">
        <v>94600</v>
      </c>
      <c r="AN1358" s="30">
        <v>259200</v>
      </c>
      <c r="AO1358" s="30">
        <v>353800</v>
      </c>
      <c r="AP1358" s="30">
        <f>Lookups!$B$58*0.6</f>
        <v>132535.48800000001</v>
      </c>
      <c r="AQ1358" s="30">
        <f>Lookups!$B$58*0.4</f>
        <v>88356.992000000013</v>
      </c>
      <c r="AR1358" s="30">
        <f>Lookups!$B$59*Inventory[[#This Row],[LnAcres]]</f>
        <v>7567.6588860155562</v>
      </c>
      <c r="AS1358" s="30">
        <f>VLOOKUP(Inventory[[#This Row],[Qlty]],Lookups!$A$66:$E$79,2,FALSE)</f>
        <v>24371.765965999999</v>
      </c>
      <c r="AT1358" s="30">
        <f>VLOOKUP(Inventory[[#This Row],[Cnd]],Lookups!$A$80:$E$88,2,FALSE)</f>
        <v>17761.121909000001</v>
      </c>
      <c r="AU1358" s="30">
        <f>Inventory[[#This Row],[EffAge]]*Lookups!$B$65</f>
        <v>-6306.9838</v>
      </c>
      <c r="AV1358" s="30">
        <f>Inventory[[#This Row],[MainFn]]*Lookups!$B$90</f>
        <v>62909.663040000007</v>
      </c>
      <c r="AW1358" s="30">
        <f>Inventory[[#This Row],[UpprFn]]*Lookups!$B$91</f>
        <v>39561.374312</v>
      </c>
      <c r="AX1358" s="30">
        <f>Inventory[[#This Row],[Bsmt Area]]*Lookups!$B$95</f>
        <v>48817.46688</v>
      </c>
      <c r="AY1358" s="30">
        <f>Inventory[[#This Row],[AttGar]]*Lookups!$B$93</f>
        <v>0</v>
      </c>
      <c r="AZ1358" s="30">
        <f>ROUND(Inventory[[#This Row],[25Det]],-2)</f>
        <v>40800</v>
      </c>
      <c r="BA1358" s="30">
        <f>ROUND(SUM(Inventory[[#This Row],[Mdl Qlty]:[Mdl Garage Area]])+Inventory[[#This Row],[Mdl Res Intercept]],-2)</f>
        <v>319600</v>
      </c>
      <c r="BB1358" s="30">
        <f>ROUND(Inventory[[#This Row],[Mdl Land Intercept]]+Inventory[[#This Row],[Mdl LnAcres]],-2)</f>
        <v>95900</v>
      </c>
      <c r="BC1358" s="30">
        <f>Inventory[[#This Row],[Unadj Res Value]]+Inventory[[#This Row],[Unadj Det Value]]+Inventory[[#This Row],[Unadj Land Value]]</f>
        <v>456300</v>
      </c>
      <c r="BD1358" s="30">
        <f>(Inventory[[#This Row],[Unadj Total Value]]-Inventory[[#This Row],[24Final]])/Inventory[[#This Row],[24Final]]</f>
        <v>0.28971170152628606</v>
      </c>
      <c r="BE1358" s="30">
        <f>VLOOKUP(Inventory[[#This Row],[Nbhd]],Lookups!$M$3:$P$5,4,FALSE)</f>
        <v>0.99970000000000003</v>
      </c>
      <c r="BF1358" s="30">
        <f>VLOOKUP(Inventory[[#This Row],[Qlty]],Lookups!$M$8:$P$22,4,FALSE)</f>
        <v>0.99199999999999999</v>
      </c>
      <c r="BG1358" s="30">
        <f>VLOOKUP(Inventory[[#This Row],[Cnd]],Lookups!$R$8:$U$17,4,FALSE)</f>
        <v>0.99680000000000002</v>
      </c>
      <c r="BH1358" s="30">
        <f>VLOOKUP(Inventory[[#This Row],[LivArea Range]],Lookups!$R$25:$U$43,4,FALSE)</f>
        <v>1.0007999999999999</v>
      </c>
      <c r="BI1358" s="30">
        <f>VLOOKUP(Inventory[[#This Row],[Decade]],Lookups!$M$24:$P$40,4,FALSE)</f>
        <v>0.99960000000000004</v>
      </c>
      <c r="BJ1358" s="30">
        <f>Inventory[[#This Row],[Nbhd Adj]]*0.95</f>
        <v>0.94971499999999998</v>
      </c>
      <c r="BK1358" s="30">
        <f>AVERAGE(Inventory[[#This Row],[Nbhd Adj]],Inventory[[#This Row],[Quality Adj]],Inventory[[#This Row],[Condition Adj]],Inventory[[#This Row],[Living Area Adj]],Inventory[[#This Row],[Decade Adj]])*0.95</f>
        <v>0.94789099999999993</v>
      </c>
      <c r="BL1358" s="30">
        <f>ROUND((SUM(Inventory[[#This Row],[Mdl Qlty]:[Mdl Garage Area]])+Inventory[[#This Row],[Mdl Res Intercept]])*Inventory[[#This Row],[Res Adj ]],-2)</f>
        <v>303000</v>
      </c>
      <c r="BM1358" s="30">
        <f>ROUND(Inventory[[#This Row],[25Det]]*Inventory[[#This Row],[Det/Nbhd Adj]],-2)</f>
        <v>38800</v>
      </c>
      <c r="BN1358" s="30">
        <f>Inventory[[#This Row],[Adjusted Res]]+Inventory[[#This Row],[Adj Det ]]</f>
        <v>341800</v>
      </c>
      <c r="BO1358" s="30">
        <f>ROUND((Inventory[[#This Row],[Mdl Land Intercept]]+Inventory[[#This Row],[Mdl LnAcres]])*Inventory[[#This Row],[Det/Nbhd Adj]],-2)</f>
        <v>91100</v>
      </c>
      <c r="BP1358" s="30">
        <f>Inventory[[#This Row],[Adjusted Impr Total]]+Inventory[[#This Row],[Adjusted Land Total]]</f>
        <v>432900</v>
      </c>
      <c r="BQ1358" s="30">
        <f>IFERROR((Inventory[[#This Row],[Adjusted Impr Total]]-Inventory[[#This Row],[24Bldg]])/Inventory[[#This Row],[24Bldg]],0)</f>
        <v>0.31867283950617287</v>
      </c>
      <c r="BR1358" s="43">
        <f>(Inventory[[#This Row],[Adjusted Land Total]]-Inventory[[#This Row],[24Lnd]])/Inventory[[#This Row],[24Lnd]]</f>
        <v>-3.699788583509514E-2</v>
      </c>
      <c r="BS1358" s="43">
        <f>(Inventory[[#This Row],[Adjusted Total]]-Inventory[[#This Row],[24Final]])/Inventory[[#This Row],[24Final]]</f>
        <v>0.22357263990955342</v>
      </c>
    </row>
    <row r="1359" spans="1:71">
      <c r="A1359" s="30">
        <v>2025</v>
      </c>
      <c r="B1359" s="31" t="s">
        <v>1878</v>
      </c>
      <c r="C1359" s="31">
        <f>LN(Inventory[[#This Row],[Acres]])</f>
        <v>0.82417544296634937</v>
      </c>
      <c r="D1359" s="38">
        <v>2.2799999999999998</v>
      </c>
      <c r="E1359" s="38">
        <v>99438</v>
      </c>
      <c r="F1359" s="31" t="s">
        <v>505</v>
      </c>
      <c r="G1359" s="31" t="s">
        <v>155</v>
      </c>
      <c r="H1359" s="31" t="s">
        <v>5</v>
      </c>
      <c r="I1359" s="31" t="s">
        <v>506</v>
      </c>
      <c r="J1359" s="31" t="s">
        <v>874</v>
      </c>
      <c r="K1359" s="31" t="s">
        <v>157</v>
      </c>
      <c r="L1359" s="31" t="s">
        <v>15</v>
      </c>
      <c r="M1359" s="31" t="s">
        <v>20</v>
      </c>
      <c r="N1359" s="31">
        <v>100</v>
      </c>
      <c r="O1359" s="31">
        <f>2024-Inventory[[#This Row],[YrBlt]]</f>
        <v>104</v>
      </c>
      <c r="P1359" s="31">
        <f>2024-Inventory[[#This Row],[EffYr]]</f>
        <v>58</v>
      </c>
      <c r="Q1359" s="30">
        <v>1920</v>
      </c>
      <c r="R1359" s="30">
        <v>1966</v>
      </c>
      <c r="S1359" s="30">
        <v>966</v>
      </c>
      <c r="T1359" s="38">
        <v>250</v>
      </c>
      <c r="U1359" s="32"/>
      <c r="V1359" s="32"/>
      <c r="W1359" s="32"/>
      <c r="X1359" s="32">
        <f>Inventory[[#This Row],[Bsmt Area]]-Inventory[[#This Row],[FnBsmt]]</f>
        <v>0</v>
      </c>
      <c r="Y1359" s="32">
        <f>Inventory[[#This Row],[MainFn]]+Inventory[[#This Row],[UpprFn]]+Inventory[[#This Row],[AddFn]]+Inventory[[#This Row],[FnBsmt]]</f>
        <v>1216</v>
      </c>
      <c r="Z1359" s="32">
        <v>1500</v>
      </c>
      <c r="AA1359" s="31" t="s">
        <v>56</v>
      </c>
      <c r="AB1359" s="37"/>
      <c r="AC1359" s="37"/>
      <c r="AD1359" s="32"/>
      <c r="AE1359" s="32"/>
      <c r="AF1359" s="32"/>
      <c r="AG1359" s="32"/>
      <c r="AH1359" s="32"/>
      <c r="AI1359" s="30">
        <v>189926</v>
      </c>
      <c r="AJ1359" s="30">
        <v>121553</v>
      </c>
      <c r="AK1359" s="30">
        <v>3740</v>
      </c>
      <c r="AL1359" s="30">
        <v>0</v>
      </c>
      <c r="AM1359" s="30">
        <v>98100</v>
      </c>
      <c r="AN1359" s="30">
        <v>197100</v>
      </c>
      <c r="AO1359" s="30">
        <v>295200</v>
      </c>
      <c r="AP1359" s="30">
        <f>Lookups!$B$58*0.6</f>
        <v>132535.48800000001</v>
      </c>
      <c r="AQ1359" s="30">
        <f>Lookups!$B$58*0.4</f>
        <v>88356.992000000013</v>
      </c>
      <c r="AR1359" s="30">
        <f>Lookups!$B$59*Inventory[[#This Row],[LnAcres]]</f>
        <v>10816.743073807562</v>
      </c>
      <c r="AS1359" s="30">
        <f>VLOOKUP(Inventory[[#This Row],[Qlty]],Lookups!$A$66:$E$79,2,FALSE)</f>
        <v>-1240.8083630000001</v>
      </c>
      <c r="AT1359" s="30">
        <f>VLOOKUP(Inventory[[#This Row],[Cnd]],Lookups!$A$80:$E$88,2,FALSE)</f>
        <v>30300.329274</v>
      </c>
      <c r="AU1359" s="30">
        <f>Inventory[[#This Row],[EffAge]]*Lookups!$B$65</f>
        <v>-6306.9838</v>
      </c>
      <c r="AV1359" s="30">
        <f>Inventory[[#This Row],[MainFn]]*Lookups!$B$90</f>
        <v>60288.427080000001</v>
      </c>
      <c r="AW1359" s="30">
        <f>Inventory[[#This Row],[UpprFn]]*Lookups!$B$91</f>
        <v>14895.095749999999</v>
      </c>
      <c r="AX1359" s="30">
        <f>Inventory[[#This Row],[Bsmt Area]]*Lookups!$B$95</f>
        <v>0</v>
      </c>
      <c r="AY1359" s="30">
        <f>Inventory[[#This Row],[AttGar]]*Lookups!$B$93</f>
        <v>0</v>
      </c>
      <c r="AZ1359" s="30">
        <f>ROUND(Inventory[[#This Row],[25Det]],-2)</f>
        <v>3700</v>
      </c>
      <c r="BA1359" s="30">
        <f>ROUND(SUM(Inventory[[#This Row],[Mdl Qlty]:[Mdl Garage Area]])+Inventory[[#This Row],[Mdl Res Intercept]],-2)</f>
        <v>230500</v>
      </c>
      <c r="BB1359" s="30">
        <f>ROUND(Inventory[[#This Row],[Mdl Land Intercept]]+Inventory[[#This Row],[Mdl LnAcres]],-2)</f>
        <v>99200</v>
      </c>
      <c r="BC1359" s="30">
        <f>Inventory[[#This Row],[Unadj Res Value]]+Inventory[[#This Row],[Unadj Det Value]]+Inventory[[#This Row],[Unadj Land Value]]</f>
        <v>333400</v>
      </c>
      <c r="BD1359" s="30">
        <f>(Inventory[[#This Row],[Unadj Total Value]]-Inventory[[#This Row],[24Final]])/Inventory[[#This Row],[24Final]]</f>
        <v>0.12940379403794039</v>
      </c>
      <c r="BE1359" s="30">
        <f>VLOOKUP(Inventory[[#This Row],[Nbhd]],Lookups!$M$3:$P$5,4,FALSE)</f>
        <v>0.99970000000000003</v>
      </c>
      <c r="BF1359" s="30">
        <f>VLOOKUP(Inventory[[#This Row],[Qlty]],Lookups!$M$8:$P$22,4,FALSE)</f>
        <v>1.0022</v>
      </c>
      <c r="BG1359" s="30">
        <f>VLOOKUP(Inventory[[#This Row],[Cnd]],Lookups!$R$8:$U$17,4,FALSE)</f>
        <v>0.997</v>
      </c>
      <c r="BH1359" s="30">
        <f>VLOOKUP(Inventory[[#This Row],[LivArea Range]],Lookups!$R$25:$U$43,4,FALSE)</f>
        <v>0.99519999999999997</v>
      </c>
      <c r="BI1359" s="30">
        <f>VLOOKUP(Inventory[[#This Row],[Decade]],Lookups!$M$24:$P$40,4,FALSE)</f>
        <v>0.99960000000000004</v>
      </c>
      <c r="BJ1359" s="30">
        <f>Inventory[[#This Row],[Nbhd Adj]]*0.95</f>
        <v>0.94971499999999998</v>
      </c>
      <c r="BK1359" s="30">
        <f>AVERAGE(Inventory[[#This Row],[Nbhd Adj]],Inventory[[#This Row],[Quality Adj]],Inventory[[#This Row],[Condition Adj]],Inventory[[#This Row],[Living Area Adj]],Inventory[[#This Row],[Decade Adj]])*0.95</f>
        <v>0.94880300000000006</v>
      </c>
      <c r="BL1359" s="30">
        <f>ROUND((SUM(Inventory[[#This Row],[Mdl Qlty]:[Mdl Garage Area]])+Inventory[[#This Row],[Mdl Res Intercept]])*Inventory[[#This Row],[Res Adj ]],-2)</f>
        <v>218700</v>
      </c>
      <c r="BM1359" s="30">
        <f>ROUND(Inventory[[#This Row],[25Det]]*Inventory[[#This Row],[Det/Nbhd Adj]],-2)</f>
        <v>3600</v>
      </c>
      <c r="BN1359" s="30">
        <f>Inventory[[#This Row],[Adjusted Res]]+Inventory[[#This Row],[Adj Det ]]</f>
        <v>222300</v>
      </c>
      <c r="BO1359" s="30">
        <f>ROUND((Inventory[[#This Row],[Mdl Land Intercept]]+Inventory[[#This Row],[Mdl LnAcres]])*Inventory[[#This Row],[Det/Nbhd Adj]],-2)</f>
        <v>94200</v>
      </c>
      <c r="BP1359" s="30">
        <f>Inventory[[#This Row],[Adjusted Impr Total]]+Inventory[[#This Row],[Adjusted Land Total]]</f>
        <v>316500</v>
      </c>
      <c r="BQ1359" s="30">
        <f>IFERROR((Inventory[[#This Row],[Adjusted Impr Total]]-Inventory[[#This Row],[24Bldg]])/Inventory[[#This Row],[24Bldg]],0)</f>
        <v>0.12785388127853881</v>
      </c>
      <c r="BR1359" s="43">
        <f>(Inventory[[#This Row],[Adjusted Land Total]]-Inventory[[#This Row],[24Lnd]])/Inventory[[#This Row],[24Lnd]]</f>
        <v>-3.9755351681957186E-2</v>
      </c>
      <c r="BS1359" s="43">
        <f>(Inventory[[#This Row],[Adjusted Total]]-Inventory[[#This Row],[24Final]])/Inventory[[#This Row],[24Final]]</f>
        <v>7.2154471544715451E-2</v>
      </c>
    </row>
    <row r="1360" spans="1:71">
      <c r="A1360" s="30">
        <v>2025</v>
      </c>
      <c r="B1360" s="31" t="s">
        <v>1879</v>
      </c>
      <c r="C1360" s="36">
        <f>LN(Inventory[[#This Row],[Acres]])</f>
        <v>0.85441532815606758</v>
      </c>
      <c r="D1360" s="38">
        <v>2.35</v>
      </c>
      <c r="E1360" s="30">
        <v>102501</v>
      </c>
      <c r="F1360" s="31" t="s">
        <v>505</v>
      </c>
      <c r="G1360" s="31" t="s">
        <v>155</v>
      </c>
      <c r="H1360" s="31" t="s">
        <v>5</v>
      </c>
      <c r="I1360" s="31" t="s">
        <v>506</v>
      </c>
      <c r="J1360" s="31" t="s">
        <v>507</v>
      </c>
      <c r="K1360" s="31" t="s">
        <v>485</v>
      </c>
      <c r="L1360" s="31" t="s">
        <v>13</v>
      </c>
      <c r="M1360" s="31" t="s">
        <v>18</v>
      </c>
      <c r="N1360" s="31">
        <v>100</v>
      </c>
      <c r="O1360" s="31">
        <f>2024-Inventory[[#This Row],[YrBlt]]</f>
        <v>104</v>
      </c>
      <c r="P1360" s="31">
        <f>2024-Inventory[[#This Row],[EffYr]]</f>
        <v>58</v>
      </c>
      <c r="Q1360" s="30">
        <v>1920</v>
      </c>
      <c r="R1360" s="30">
        <v>1966</v>
      </c>
      <c r="S1360" s="30">
        <v>1100</v>
      </c>
      <c r="T1360" s="38">
        <v>576</v>
      </c>
      <c r="U1360" s="32"/>
      <c r="V1360" s="32"/>
      <c r="W1360" s="32"/>
      <c r="X1360" s="32">
        <f>Inventory[[#This Row],[Bsmt Area]]-Inventory[[#This Row],[FnBsmt]]</f>
        <v>0</v>
      </c>
      <c r="Y1360" s="32">
        <f>Inventory[[#This Row],[MainFn]]+Inventory[[#This Row],[UpprFn]]+Inventory[[#This Row],[AddFn]]+Inventory[[#This Row],[FnBsmt]]</f>
        <v>1676</v>
      </c>
      <c r="Z1360" s="32">
        <v>2000</v>
      </c>
      <c r="AA1360" s="31" t="s">
        <v>56</v>
      </c>
      <c r="AB1360" s="32"/>
      <c r="AC1360" s="37"/>
      <c r="AD1360" s="32"/>
      <c r="AE1360" s="32"/>
      <c r="AF1360" s="32"/>
      <c r="AG1360" s="32"/>
      <c r="AH1360" s="32"/>
      <c r="AI1360" s="30">
        <v>213346</v>
      </c>
      <c r="AJ1360" s="30">
        <v>132275</v>
      </c>
      <c r="AK1360" s="30">
        <v>10659</v>
      </c>
      <c r="AL1360" s="30">
        <v>0</v>
      </c>
      <c r="AM1360" s="30">
        <v>98500</v>
      </c>
      <c r="AN1360" s="30">
        <v>204200</v>
      </c>
      <c r="AO1360" s="30">
        <v>302700</v>
      </c>
      <c r="AP1360" s="30">
        <f>Lookups!$B$58*0.6</f>
        <v>132535.48800000001</v>
      </c>
      <c r="AQ1360" s="30">
        <f>Lookups!$B$58*0.4</f>
        <v>88356.992000000013</v>
      </c>
      <c r="AR1360" s="30">
        <f>Lookups!$B$59*Inventory[[#This Row],[LnAcres]]</f>
        <v>11213.621034040569</v>
      </c>
      <c r="AS1360" s="30">
        <f>VLOOKUP(Inventory[[#This Row],[Qlty]],Lookups!$A$66:$E$79,2,FALSE)</f>
        <v>0</v>
      </c>
      <c r="AT1360" s="30">
        <f>VLOOKUP(Inventory[[#This Row],[Cnd]],Lookups!$A$80:$E$88,2,FALSE)</f>
        <v>17761.121909000001</v>
      </c>
      <c r="AU1360" s="30">
        <f>Inventory[[#This Row],[EffAge]]*Lookups!$B$65</f>
        <v>-6306.9838</v>
      </c>
      <c r="AV1360" s="30">
        <f>Inventory[[#This Row],[MainFn]]*Lookups!$B$90</f>
        <v>68651.418000000005</v>
      </c>
      <c r="AW1360" s="30">
        <f>Inventory[[#This Row],[UpprFn]]*Lookups!$B$91</f>
        <v>34318.300607999998</v>
      </c>
      <c r="AX1360" s="30">
        <f>Inventory[[#This Row],[Bsmt Area]]*Lookups!$B$95</f>
        <v>0</v>
      </c>
      <c r="AY1360" s="30">
        <f>Inventory[[#This Row],[AttGar]]*Lookups!$B$93</f>
        <v>0</v>
      </c>
      <c r="AZ1360" s="30">
        <f>ROUND(Inventory[[#This Row],[25Det]],-2)</f>
        <v>10700</v>
      </c>
      <c r="BA1360" s="30">
        <f>ROUND(SUM(Inventory[[#This Row],[Mdl Qlty]:[Mdl Garage Area]])+Inventory[[#This Row],[Mdl Res Intercept]],-2)</f>
        <v>247000</v>
      </c>
      <c r="BB1360" s="30">
        <f>ROUND(Inventory[[#This Row],[Mdl Land Intercept]]+Inventory[[#This Row],[Mdl LnAcres]],-2)</f>
        <v>99600</v>
      </c>
      <c r="BC1360" s="30">
        <f>Inventory[[#This Row],[Unadj Res Value]]+Inventory[[#This Row],[Unadj Det Value]]+Inventory[[#This Row],[Unadj Land Value]]</f>
        <v>357300</v>
      </c>
      <c r="BD1360" s="30">
        <f>(Inventory[[#This Row],[Unadj Total Value]]-Inventory[[#This Row],[24Final]])/Inventory[[#This Row],[24Final]]</f>
        <v>0.18037661050545095</v>
      </c>
      <c r="BE1360" s="30">
        <f>VLOOKUP(Inventory[[#This Row],[Nbhd]],Lookups!$M$3:$P$5,4,FALSE)</f>
        <v>0.99970000000000003</v>
      </c>
      <c r="BF1360" s="30">
        <f>VLOOKUP(Inventory[[#This Row],[Qlty]],Lookups!$M$8:$P$22,4,FALSE)</f>
        <v>1.0003</v>
      </c>
      <c r="BG1360" s="30">
        <f>VLOOKUP(Inventory[[#This Row],[Cnd]],Lookups!$R$8:$U$17,4,FALSE)</f>
        <v>0.99680000000000002</v>
      </c>
      <c r="BH1360" s="30">
        <f>VLOOKUP(Inventory[[#This Row],[LivArea Range]],Lookups!$R$25:$U$43,4,FALSE)</f>
        <v>1.0007999999999999</v>
      </c>
      <c r="BI1360" s="30">
        <f>VLOOKUP(Inventory[[#This Row],[Decade]],Lookups!$M$24:$P$40,4,FALSE)</f>
        <v>0.99960000000000004</v>
      </c>
      <c r="BJ1360" s="30">
        <f>Inventory[[#This Row],[Nbhd Adj]]*0.95</f>
        <v>0.94971499999999998</v>
      </c>
      <c r="BK1360" s="30">
        <f>AVERAGE(Inventory[[#This Row],[Nbhd Adj]],Inventory[[#This Row],[Quality Adj]],Inventory[[#This Row],[Condition Adj]],Inventory[[#This Row],[Living Area Adj]],Inventory[[#This Row],[Decade Adj]])*0.95</f>
        <v>0.94946799999999987</v>
      </c>
      <c r="BL1360" s="30">
        <f>ROUND((SUM(Inventory[[#This Row],[Mdl Qlty]:[Mdl Garage Area]])+Inventory[[#This Row],[Mdl Res Intercept]])*Inventory[[#This Row],[Res Adj ]],-2)</f>
        <v>234500</v>
      </c>
      <c r="BM1360" s="30">
        <f>ROUND(Inventory[[#This Row],[25Det]]*Inventory[[#This Row],[Det/Nbhd Adj]],-2)</f>
        <v>10100</v>
      </c>
      <c r="BN1360" s="30">
        <f>Inventory[[#This Row],[Adjusted Res]]+Inventory[[#This Row],[Adj Det ]]</f>
        <v>244600</v>
      </c>
      <c r="BO1360" s="30">
        <f>ROUND((Inventory[[#This Row],[Mdl Land Intercept]]+Inventory[[#This Row],[Mdl LnAcres]])*Inventory[[#This Row],[Det/Nbhd Adj]],-2)</f>
        <v>94600</v>
      </c>
      <c r="BP1360" s="30">
        <f>Inventory[[#This Row],[Adjusted Impr Total]]+Inventory[[#This Row],[Adjusted Land Total]]</f>
        <v>339200</v>
      </c>
      <c r="BQ1360" s="30">
        <f>IFERROR((Inventory[[#This Row],[Adjusted Impr Total]]-Inventory[[#This Row],[24Bldg]])/Inventory[[#This Row],[24Bldg]],0)</f>
        <v>0.19784524975514201</v>
      </c>
      <c r="BR1360" s="43">
        <f>(Inventory[[#This Row],[Adjusted Land Total]]-Inventory[[#This Row],[24Lnd]])/Inventory[[#This Row],[24Lnd]]</f>
        <v>-3.9593908629441621E-2</v>
      </c>
      <c r="BS1360" s="43">
        <f>(Inventory[[#This Row],[Adjusted Total]]-Inventory[[#This Row],[24Final]])/Inventory[[#This Row],[24Final]]</f>
        <v>0.12058143376280145</v>
      </c>
    </row>
    <row r="1361" spans="1:71">
      <c r="A1361" s="30">
        <v>2025</v>
      </c>
      <c r="B1361" s="31" t="s">
        <v>1880</v>
      </c>
      <c r="C1361" s="36">
        <f>LN(Inventory[[#This Row],[Acres]])</f>
        <v>1.5432981099295553</v>
      </c>
      <c r="D1361" s="38">
        <v>4.68</v>
      </c>
      <c r="E1361" s="37"/>
      <c r="F1361" s="31" t="s">
        <v>505</v>
      </c>
      <c r="G1361" s="31" t="s">
        <v>155</v>
      </c>
      <c r="H1361" s="31" t="s">
        <v>5</v>
      </c>
      <c r="I1361" s="31" t="s">
        <v>506</v>
      </c>
      <c r="J1361" s="31" t="s">
        <v>507</v>
      </c>
      <c r="K1361" s="31" t="s">
        <v>193</v>
      </c>
      <c r="L1361" s="31" t="s">
        <v>13</v>
      </c>
      <c r="M1361" s="31" t="s">
        <v>18</v>
      </c>
      <c r="N1361" s="31">
        <v>100</v>
      </c>
      <c r="O1361" s="31">
        <f>2024-Inventory[[#This Row],[YrBlt]]</f>
        <v>104</v>
      </c>
      <c r="P1361" s="31">
        <f>2024-Inventory[[#This Row],[EffYr]]</f>
        <v>63</v>
      </c>
      <c r="Q1361" s="30">
        <v>1920</v>
      </c>
      <c r="R1361" s="30">
        <v>1961</v>
      </c>
      <c r="S1361" s="30">
        <v>1360</v>
      </c>
      <c r="T1361" s="32"/>
      <c r="U1361" s="38">
        <v>748</v>
      </c>
      <c r="V1361" s="32"/>
      <c r="W1361" s="38">
        <v>748</v>
      </c>
      <c r="X1361" s="38">
        <f>Inventory[[#This Row],[Bsmt Area]]-Inventory[[#This Row],[FnBsmt]]</f>
        <v>0</v>
      </c>
      <c r="Y1361" s="38">
        <f>Inventory[[#This Row],[MainFn]]+Inventory[[#This Row],[UpprFn]]+Inventory[[#This Row],[AddFn]]+Inventory[[#This Row],[FnBsmt]]</f>
        <v>2108</v>
      </c>
      <c r="Z1361" s="32">
        <v>2500</v>
      </c>
      <c r="AA1361" s="31" t="s">
        <v>56</v>
      </c>
      <c r="AB1361" s="32"/>
      <c r="AC1361" s="37"/>
      <c r="AD1361" s="32"/>
      <c r="AE1361" s="32"/>
      <c r="AF1361" s="32"/>
      <c r="AG1361" s="32"/>
      <c r="AH1361" s="32"/>
      <c r="AI1361" s="30">
        <v>251568</v>
      </c>
      <c r="AJ1361" s="30">
        <v>143394</v>
      </c>
      <c r="AK1361" s="30">
        <v>59453</v>
      </c>
      <c r="AL1361" s="30">
        <v>0</v>
      </c>
      <c r="AM1361" s="30">
        <v>108100</v>
      </c>
      <c r="AN1361" s="30">
        <v>222700</v>
      </c>
      <c r="AO1361" s="30">
        <v>330800</v>
      </c>
      <c r="AP1361" s="30">
        <f>Lookups!$B$58*0.6</f>
        <v>132535.48800000001</v>
      </c>
      <c r="AQ1361" s="30">
        <f>Lookups!$B$58*0.4</f>
        <v>88356.992000000013</v>
      </c>
      <c r="AR1361" s="30">
        <f>Lookups!$B$59*Inventory[[#This Row],[LnAcres]]</f>
        <v>20254.739793408771</v>
      </c>
      <c r="AS1361" s="30">
        <f>VLOOKUP(Inventory[[#This Row],[Qlty]],Lookups!$A$66:$E$79,2,FALSE)</f>
        <v>0</v>
      </c>
      <c r="AT1361" s="30">
        <f>VLOOKUP(Inventory[[#This Row],[Cnd]],Lookups!$A$80:$E$88,2,FALSE)</f>
        <v>17761.121909000001</v>
      </c>
      <c r="AU1361" s="30">
        <f>Inventory[[#This Row],[EffAge]]*Lookups!$B$65</f>
        <v>-6850.6893</v>
      </c>
      <c r="AV1361" s="30">
        <f>Inventory[[#This Row],[MainFn]]*Lookups!$B$90</f>
        <v>84878.116800000003</v>
      </c>
      <c r="AW1361" s="30">
        <f>Inventory[[#This Row],[UpprFn]]*Lookups!$B$91</f>
        <v>0</v>
      </c>
      <c r="AX1361" s="30">
        <f>Inventory[[#This Row],[Bsmt Area]]*Lookups!$B$95</f>
        <v>46814.699007999996</v>
      </c>
      <c r="AY1361" s="30">
        <f>Inventory[[#This Row],[AttGar]]*Lookups!$B$93</f>
        <v>0</v>
      </c>
      <c r="AZ1361" s="30">
        <f>ROUND(Inventory[[#This Row],[25Det]],-2)</f>
        <v>59500</v>
      </c>
      <c r="BA1361" s="30">
        <f>ROUND(SUM(Inventory[[#This Row],[Mdl Qlty]:[Mdl Garage Area]])+Inventory[[#This Row],[Mdl Res Intercept]],-2)</f>
        <v>275100</v>
      </c>
      <c r="BB1361" s="30">
        <f>ROUND(Inventory[[#This Row],[Mdl Land Intercept]]+Inventory[[#This Row],[Mdl LnAcres]],-2)</f>
        <v>108600</v>
      </c>
      <c r="BC1361" s="30">
        <f>Inventory[[#This Row],[Unadj Res Value]]+Inventory[[#This Row],[Unadj Det Value]]+Inventory[[#This Row],[Unadj Land Value]]</f>
        <v>443200</v>
      </c>
      <c r="BD1361" s="30">
        <f>(Inventory[[#This Row],[Unadj Total Value]]-Inventory[[#This Row],[24Final]])/Inventory[[#This Row],[24Final]]</f>
        <v>0.33978234582829503</v>
      </c>
      <c r="BE1361" s="30">
        <f>VLOOKUP(Inventory[[#This Row],[Nbhd]],Lookups!$M$3:$P$5,4,FALSE)</f>
        <v>0.99970000000000003</v>
      </c>
      <c r="BF1361" s="30">
        <f>VLOOKUP(Inventory[[#This Row],[Qlty]],Lookups!$M$8:$P$22,4,FALSE)</f>
        <v>1.0003</v>
      </c>
      <c r="BG1361" s="30">
        <f>VLOOKUP(Inventory[[#This Row],[Cnd]],Lookups!$R$8:$U$17,4,FALSE)</f>
        <v>0.99680000000000002</v>
      </c>
      <c r="BH1361" s="30">
        <f>VLOOKUP(Inventory[[#This Row],[LivArea Range]],Lookups!$R$25:$U$43,4,FALSE)</f>
        <v>1.0008999999999999</v>
      </c>
      <c r="BI1361" s="30">
        <f>VLOOKUP(Inventory[[#This Row],[Decade]],Lookups!$M$24:$P$40,4,FALSE)</f>
        <v>0.99960000000000004</v>
      </c>
      <c r="BJ1361" s="30">
        <f>Inventory[[#This Row],[Nbhd Adj]]*0.95</f>
        <v>0.94971499999999998</v>
      </c>
      <c r="BK1361" s="30">
        <f>AVERAGE(Inventory[[#This Row],[Nbhd Adj]],Inventory[[#This Row],[Quality Adj]],Inventory[[#This Row],[Condition Adj]],Inventory[[#This Row],[Living Area Adj]],Inventory[[#This Row],[Decade Adj]])*0.95</f>
        <v>0.94948699999999997</v>
      </c>
      <c r="BL1361" s="30">
        <f>ROUND((SUM(Inventory[[#This Row],[Mdl Qlty]:[Mdl Garage Area]])+Inventory[[#This Row],[Mdl Res Intercept]])*Inventory[[#This Row],[Res Adj ]],-2)</f>
        <v>261200</v>
      </c>
      <c r="BM1361" s="30">
        <f>ROUND(Inventory[[#This Row],[25Det]]*Inventory[[#This Row],[Det/Nbhd Adj]],-2)</f>
        <v>56500</v>
      </c>
      <c r="BN1361" s="30">
        <f>Inventory[[#This Row],[Adjusted Res]]+Inventory[[#This Row],[Adj Det ]]</f>
        <v>317700</v>
      </c>
      <c r="BO1361" s="30">
        <f>ROUND((Inventory[[#This Row],[Mdl Land Intercept]]+Inventory[[#This Row],[Mdl LnAcres]])*Inventory[[#This Row],[Det/Nbhd Adj]],-2)</f>
        <v>103200</v>
      </c>
      <c r="BP1361" s="30">
        <f>Inventory[[#This Row],[Adjusted Impr Total]]+Inventory[[#This Row],[Adjusted Land Total]]</f>
        <v>420900</v>
      </c>
      <c r="BQ1361" s="30">
        <f>IFERROR((Inventory[[#This Row],[Adjusted Impr Total]]-Inventory[[#This Row],[24Bldg]])/Inventory[[#This Row],[24Bldg]],0)</f>
        <v>0.42658284687920972</v>
      </c>
      <c r="BR1361" s="43">
        <f>(Inventory[[#This Row],[Adjusted Land Total]]-Inventory[[#This Row],[24Lnd]])/Inventory[[#This Row],[24Lnd]]</f>
        <v>-4.5328399629972246E-2</v>
      </c>
      <c r="BS1361" s="43">
        <f>(Inventory[[#This Row],[Adjusted Total]]-Inventory[[#This Row],[24Final]])/Inventory[[#This Row],[24Final]]</f>
        <v>0.27237001209189843</v>
      </c>
    </row>
    <row r="1362" spans="1:71">
      <c r="A1362" s="30">
        <v>2025</v>
      </c>
      <c r="B1362" s="31" t="s">
        <v>1881</v>
      </c>
      <c r="C1362" s="36">
        <f>LN(Inventory[[#This Row],[Acres]])</f>
        <v>-2.5257286443082556</v>
      </c>
      <c r="D1362" s="38">
        <v>0.08</v>
      </c>
      <c r="E1362" s="37"/>
      <c r="F1362" s="31" t="s">
        <v>505</v>
      </c>
      <c r="G1362" s="31" t="s">
        <v>155</v>
      </c>
      <c r="H1362" s="31" t="s">
        <v>5</v>
      </c>
      <c r="I1362" s="31" t="s">
        <v>506</v>
      </c>
      <c r="J1362" s="31" t="s">
        <v>507</v>
      </c>
      <c r="K1362" s="31" t="s">
        <v>475</v>
      </c>
      <c r="L1362" s="31" t="s">
        <v>13</v>
      </c>
      <c r="M1362" s="31" t="s">
        <v>18</v>
      </c>
      <c r="N1362" s="31">
        <v>100</v>
      </c>
      <c r="O1362" s="31">
        <f>2024-Inventory[[#This Row],[YrBlt]]</f>
        <v>109</v>
      </c>
      <c r="P1362" s="31">
        <f>2024-Inventory[[#This Row],[EffYr]]</f>
        <v>61</v>
      </c>
      <c r="Q1362" s="30">
        <v>1915</v>
      </c>
      <c r="R1362" s="30">
        <v>1963</v>
      </c>
      <c r="S1362" s="30">
        <v>880</v>
      </c>
      <c r="T1362" s="32"/>
      <c r="U1362" s="32"/>
      <c r="V1362" s="32"/>
      <c r="W1362" s="32"/>
      <c r="X1362" s="32">
        <f>Inventory[[#This Row],[Bsmt Area]]-Inventory[[#This Row],[FnBsmt]]</f>
        <v>0</v>
      </c>
      <c r="Y1362" s="32">
        <f>Inventory[[#This Row],[MainFn]]+Inventory[[#This Row],[UpprFn]]+Inventory[[#This Row],[AddFn]]+Inventory[[#This Row],[FnBsmt]]</f>
        <v>880</v>
      </c>
      <c r="Z1362" s="32">
        <v>1000</v>
      </c>
      <c r="AA1362" s="31" t="s">
        <v>55</v>
      </c>
      <c r="AB1362" s="37"/>
      <c r="AC1362" s="37"/>
      <c r="AD1362" s="32"/>
      <c r="AE1362" s="32"/>
      <c r="AF1362" s="32"/>
      <c r="AG1362" s="32"/>
      <c r="AH1362" s="32"/>
      <c r="AI1362" s="30">
        <v>129353</v>
      </c>
      <c r="AJ1362" s="30">
        <v>76318</v>
      </c>
      <c r="AK1362" s="30">
        <v>0</v>
      </c>
      <c r="AL1362" s="30">
        <v>0</v>
      </c>
      <c r="AM1362" s="30">
        <v>51100</v>
      </c>
      <c r="AN1362" s="30">
        <v>163300</v>
      </c>
      <c r="AO1362" s="30">
        <v>214400</v>
      </c>
      <c r="AP1362" s="30">
        <f>Lookups!$B$58*0.6</f>
        <v>132535.48800000001</v>
      </c>
      <c r="AQ1362" s="30">
        <f>Lookups!$B$58*0.4</f>
        <v>88356.992000000013</v>
      </c>
      <c r="AR1362" s="30">
        <f>Lookups!$B$59*Inventory[[#This Row],[LnAcres]]</f>
        <v>-33148.473486796371</v>
      </c>
      <c r="AS1362" s="30">
        <f>VLOOKUP(Inventory[[#This Row],[Qlty]],Lookups!$A$66:$E$79,2,FALSE)</f>
        <v>0</v>
      </c>
      <c r="AT1362" s="30">
        <f>VLOOKUP(Inventory[[#This Row],[Cnd]],Lookups!$A$80:$E$88,2,FALSE)</f>
        <v>17761.121909000001</v>
      </c>
      <c r="AU1362" s="30">
        <f>Inventory[[#This Row],[EffAge]]*Lookups!$B$65</f>
        <v>-6633.2071000000005</v>
      </c>
      <c r="AV1362" s="30">
        <f>Inventory[[#This Row],[MainFn]]*Lookups!$B$90</f>
        <v>54921.134400000003</v>
      </c>
      <c r="AW1362" s="30">
        <f>Inventory[[#This Row],[UpprFn]]*Lookups!$B$91</f>
        <v>0</v>
      </c>
      <c r="AX1362" s="30">
        <f>Inventory[[#This Row],[Bsmt Area]]*Lookups!$B$95</f>
        <v>0</v>
      </c>
      <c r="AY1362" s="30">
        <f>Inventory[[#This Row],[AttGar]]*Lookups!$B$93</f>
        <v>0</v>
      </c>
      <c r="AZ1362" s="30">
        <f>ROUND(Inventory[[#This Row],[25Det]],-2)</f>
        <v>0</v>
      </c>
      <c r="BA1362" s="30">
        <f>ROUND(SUM(Inventory[[#This Row],[Mdl Qlty]:[Mdl Garage Area]])+Inventory[[#This Row],[Mdl Res Intercept]],-2)</f>
        <v>198600</v>
      </c>
      <c r="BB1362" s="30">
        <f>ROUND(Inventory[[#This Row],[Mdl Land Intercept]]+Inventory[[#This Row],[Mdl LnAcres]],-2)</f>
        <v>55200</v>
      </c>
      <c r="BC1362" s="30">
        <f>Inventory[[#This Row],[Unadj Res Value]]+Inventory[[#This Row],[Unadj Det Value]]+Inventory[[#This Row],[Unadj Land Value]]</f>
        <v>253800</v>
      </c>
      <c r="BD1362" s="30">
        <f>(Inventory[[#This Row],[Unadj Total Value]]-Inventory[[#This Row],[24Final]])/Inventory[[#This Row],[24Final]]</f>
        <v>0.1837686567164179</v>
      </c>
      <c r="BE1362" s="30">
        <f>VLOOKUP(Inventory[[#This Row],[Nbhd]],Lookups!$M$3:$P$5,4,FALSE)</f>
        <v>0.99970000000000003</v>
      </c>
      <c r="BF1362" s="30">
        <f>VLOOKUP(Inventory[[#This Row],[Qlty]],Lookups!$M$8:$P$22,4,FALSE)</f>
        <v>1.0003</v>
      </c>
      <c r="BG1362" s="30">
        <f>VLOOKUP(Inventory[[#This Row],[Cnd]],Lookups!$R$8:$U$17,4,FALSE)</f>
        <v>0.99680000000000002</v>
      </c>
      <c r="BH1362" s="30">
        <f>VLOOKUP(Inventory[[#This Row],[LivArea Range]],Lookups!$R$25:$U$43,4,FALSE)</f>
        <v>1</v>
      </c>
      <c r="BI1362" s="30">
        <f>VLOOKUP(Inventory[[#This Row],[Decade]],Lookups!$M$24:$P$40,4,FALSE)</f>
        <v>0.99960000000000004</v>
      </c>
      <c r="BJ1362" s="30">
        <f>Inventory[[#This Row],[Nbhd Adj]]*0.95</f>
        <v>0.94971499999999998</v>
      </c>
      <c r="BK1362" s="30">
        <f>AVERAGE(Inventory[[#This Row],[Nbhd Adj]],Inventory[[#This Row],[Quality Adj]],Inventory[[#This Row],[Condition Adj]],Inventory[[#This Row],[Living Area Adj]],Inventory[[#This Row],[Decade Adj]])*0.95</f>
        <v>0.94931599999999994</v>
      </c>
      <c r="BL1362" s="30">
        <f>ROUND((SUM(Inventory[[#This Row],[Mdl Qlty]:[Mdl Garage Area]])+Inventory[[#This Row],[Mdl Res Intercept]])*Inventory[[#This Row],[Res Adj ]],-2)</f>
        <v>188500</v>
      </c>
      <c r="BM1362" s="30">
        <f>ROUND(Inventory[[#This Row],[25Det]]*Inventory[[#This Row],[Det/Nbhd Adj]],-2)</f>
        <v>0</v>
      </c>
      <c r="BN1362" s="30">
        <f>Inventory[[#This Row],[Adjusted Res]]+Inventory[[#This Row],[Adj Det ]]</f>
        <v>188500</v>
      </c>
      <c r="BO1362" s="30">
        <f>ROUND((Inventory[[#This Row],[Mdl Land Intercept]]+Inventory[[#This Row],[Mdl LnAcres]])*Inventory[[#This Row],[Det/Nbhd Adj]],-2)</f>
        <v>52400</v>
      </c>
      <c r="BP1362" s="30">
        <f>Inventory[[#This Row],[Adjusted Impr Total]]+Inventory[[#This Row],[Adjusted Land Total]]</f>
        <v>240900</v>
      </c>
      <c r="BQ1362" s="30">
        <f>IFERROR((Inventory[[#This Row],[Adjusted Impr Total]]-Inventory[[#This Row],[24Bldg]])/Inventory[[#This Row],[24Bldg]],0)</f>
        <v>0.15431720759338641</v>
      </c>
      <c r="BR1362" s="43">
        <f>(Inventory[[#This Row],[Adjusted Land Total]]-Inventory[[#This Row],[24Lnd]])/Inventory[[#This Row],[24Lnd]]</f>
        <v>2.5440313111545987E-2</v>
      </c>
      <c r="BS1362" s="43">
        <f>(Inventory[[#This Row],[Adjusted Total]]-Inventory[[#This Row],[24Final]])/Inventory[[#This Row],[24Final]]</f>
        <v>0.12360074626865672</v>
      </c>
    </row>
    <row r="1363" spans="1:71">
      <c r="A1363" s="30">
        <v>2025</v>
      </c>
      <c r="B1363" s="31" t="s">
        <v>1882</v>
      </c>
      <c r="C1363" s="36">
        <f>LN(Inventory[[#This Row],[Acres]])</f>
        <v>-2.0402208285265546</v>
      </c>
      <c r="D1363" s="38">
        <v>0.13</v>
      </c>
      <c r="E1363" s="30">
        <v>5801</v>
      </c>
      <c r="F1363" s="31" t="s">
        <v>505</v>
      </c>
      <c r="G1363" s="31" t="s">
        <v>155</v>
      </c>
      <c r="H1363" s="31" t="s">
        <v>5</v>
      </c>
      <c r="I1363" s="31" t="s">
        <v>506</v>
      </c>
      <c r="J1363" s="31" t="s">
        <v>507</v>
      </c>
      <c r="K1363" s="31" t="s">
        <v>473</v>
      </c>
      <c r="L1363" s="31" t="s">
        <v>13</v>
      </c>
      <c r="M1363" s="31" t="s">
        <v>18</v>
      </c>
      <c r="N1363" s="31">
        <v>100</v>
      </c>
      <c r="O1363" s="31">
        <f>2024-Inventory[[#This Row],[YrBlt]]</f>
        <v>109</v>
      </c>
      <c r="P1363" s="31">
        <f>2024-Inventory[[#This Row],[EffYr]]</f>
        <v>61</v>
      </c>
      <c r="Q1363" s="30">
        <v>1915</v>
      </c>
      <c r="R1363" s="30">
        <v>1963</v>
      </c>
      <c r="S1363" s="30">
        <v>869</v>
      </c>
      <c r="T1363" s="38">
        <v>316</v>
      </c>
      <c r="U1363" s="32"/>
      <c r="V1363" s="32"/>
      <c r="W1363" s="32"/>
      <c r="X1363" s="32">
        <f>Inventory[[#This Row],[Bsmt Area]]-Inventory[[#This Row],[FnBsmt]]</f>
        <v>0</v>
      </c>
      <c r="Y1363" s="32">
        <f>Inventory[[#This Row],[MainFn]]+Inventory[[#This Row],[UpprFn]]+Inventory[[#This Row],[AddFn]]+Inventory[[#This Row],[FnBsmt]]</f>
        <v>1185</v>
      </c>
      <c r="Z1363" s="32">
        <v>1500</v>
      </c>
      <c r="AA1363" s="31" t="s">
        <v>56</v>
      </c>
      <c r="AB1363" s="32"/>
      <c r="AC1363" s="37"/>
      <c r="AD1363" s="32"/>
      <c r="AE1363" s="32"/>
      <c r="AF1363" s="32"/>
      <c r="AG1363" s="32"/>
      <c r="AH1363" s="32"/>
      <c r="AI1363" s="30">
        <v>153556</v>
      </c>
      <c r="AJ1363" s="30">
        <v>90598</v>
      </c>
      <c r="AK1363" s="30">
        <v>26953</v>
      </c>
      <c r="AL1363" s="30">
        <v>0</v>
      </c>
      <c r="AM1363" s="30">
        <v>57900</v>
      </c>
      <c r="AN1363" s="30">
        <v>193500</v>
      </c>
      <c r="AO1363" s="30">
        <v>251400</v>
      </c>
      <c r="AP1363" s="30">
        <f>Lookups!$B$58*0.6</f>
        <v>132535.48800000001</v>
      </c>
      <c r="AQ1363" s="30">
        <f>Lookups!$B$58*0.4</f>
        <v>88356.992000000013</v>
      </c>
      <c r="AR1363" s="30">
        <f>Lookups!$B$59*Inventory[[#This Row],[LnAcres]]</f>
        <v>-26776.513064468461</v>
      </c>
      <c r="AS1363" s="30">
        <f>VLOOKUP(Inventory[[#This Row],[Qlty]],Lookups!$A$66:$E$79,2,FALSE)</f>
        <v>0</v>
      </c>
      <c r="AT1363" s="30">
        <f>VLOOKUP(Inventory[[#This Row],[Cnd]],Lookups!$A$80:$E$88,2,FALSE)</f>
        <v>17761.121909000001</v>
      </c>
      <c r="AU1363" s="30">
        <f>Inventory[[#This Row],[EffAge]]*Lookups!$B$65</f>
        <v>-6633.2071000000005</v>
      </c>
      <c r="AV1363" s="30">
        <f>Inventory[[#This Row],[MainFn]]*Lookups!$B$90</f>
        <v>54234.620220000004</v>
      </c>
      <c r="AW1363" s="30">
        <f>Inventory[[#This Row],[UpprFn]]*Lookups!$B$91</f>
        <v>18827.401028</v>
      </c>
      <c r="AX1363" s="30">
        <f>Inventory[[#This Row],[Bsmt Area]]*Lookups!$B$95</f>
        <v>0</v>
      </c>
      <c r="AY1363" s="30">
        <f>Inventory[[#This Row],[AttGar]]*Lookups!$B$93</f>
        <v>0</v>
      </c>
      <c r="AZ1363" s="30">
        <f>ROUND(Inventory[[#This Row],[25Det]],-2)</f>
        <v>27000</v>
      </c>
      <c r="BA1363" s="30">
        <f>ROUND(SUM(Inventory[[#This Row],[Mdl Qlty]:[Mdl Garage Area]])+Inventory[[#This Row],[Mdl Res Intercept]],-2)</f>
        <v>216700</v>
      </c>
      <c r="BB1363" s="30">
        <f>ROUND(Inventory[[#This Row],[Mdl Land Intercept]]+Inventory[[#This Row],[Mdl LnAcres]],-2)</f>
        <v>61600</v>
      </c>
      <c r="BC1363" s="30">
        <f>Inventory[[#This Row],[Unadj Res Value]]+Inventory[[#This Row],[Unadj Det Value]]+Inventory[[#This Row],[Unadj Land Value]]</f>
        <v>305300</v>
      </c>
      <c r="BD1363" s="30">
        <f>(Inventory[[#This Row],[Unadj Total Value]]-Inventory[[#This Row],[24Final]])/Inventory[[#This Row],[24Final]]</f>
        <v>0.21439936356404138</v>
      </c>
      <c r="BE1363" s="30">
        <f>VLOOKUP(Inventory[[#This Row],[Nbhd]],Lookups!$M$3:$P$5,4,FALSE)</f>
        <v>0.99970000000000003</v>
      </c>
      <c r="BF1363" s="30">
        <f>VLOOKUP(Inventory[[#This Row],[Qlty]],Lookups!$M$8:$P$22,4,FALSE)</f>
        <v>1.0003</v>
      </c>
      <c r="BG1363" s="30">
        <f>VLOOKUP(Inventory[[#This Row],[Cnd]],Lookups!$R$8:$U$17,4,FALSE)</f>
        <v>0.99680000000000002</v>
      </c>
      <c r="BH1363" s="30">
        <f>VLOOKUP(Inventory[[#This Row],[LivArea Range]],Lookups!$R$25:$U$43,4,FALSE)</f>
        <v>0.99519999999999997</v>
      </c>
      <c r="BI1363" s="30">
        <f>VLOOKUP(Inventory[[#This Row],[Decade]],Lookups!$M$24:$P$40,4,FALSE)</f>
        <v>0.99960000000000004</v>
      </c>
      <c r="BJ1363" s="30">
        <f>Inventory[[#This Row],[Nbhd Adj]]*0.95</f>
        <v>0.94971499999999998</v>
      </c>
      <c r="BK1363" s="30">
        <f>AVERAGE(Inventory[[#This Row],[Nbhd Adj]],Inventory[[#This Row],[Quality Adj]],Inventory[[#This Row],[Condition Adj]],Inventory[[#This Row],[Living Area Adj]],Inventory[[#This Row],[Decade Adj]])*0.95</f>
        <v>0.94840399999999991</v>
      </c>
      <c r="BL1363" s="30">
        <f>ROUND((SUM(Inventory[[#This Row],[Mdl Qlty]:[Mdl Garage Area]])+Inventory[[#This Row],[Mdl Res Intercept]])*Inventory[[#This Row],[Res Adj ]],-2)</f>
        <v>205500</v>
      </c>
      <c r="BM1363" s="30">
        <f>ROUND(Inventory[[#This Row],[25Det]]*Inventory[[#This Row],[Det/Nbhd Adj]],-2)</f>
        <v>25600</v>
      </c>
      <c r="BN1363" s="30">
        <f>Inventory[[#This Row],[Adjusted Res]]+Inventory[[#This Row],[Adj Det ]]</f>
        <v>231100</v>
      </c>
      <c r="BO1363" s="30">
        <f>ROUND((Inventory[[#This Row],[Mdl Land Intercept]]+Inventory[[#This Row],[Mdl LnAcres]])*Inventory[[#This Row],[Det/Nbhd Adj]],-2)</f>
        <v>58500</v>
      </c>
      <c r="BP1363" s="30">
        <f>Inventory[[#This Row],[Adjusted Impr Total]]+Inventory[[#This Row],[Adjusted Land Total]]</f>
        <v>289600</v>
      </c>
      <c r="BQ1363" s="30">
        <f>IFERROR((Inventory[[#This Row],[Adjusted Impr Total]]-Inventory[[#This Row],[24Bldg]])/Inventory[[#This Row],[24Bldg]],0)</f>
        <v>0.19431524547803616</v>
      </c>
      <c r="BR1363" s="43">
        <f>(Inventory[[#This Row],[Adjusted Land Total]]-Inventory[[#This Row],[24Lnd]])/Inventory[[#This Row],[24Lnd]]</f>
        <v>1.0362694300518135E-2</v>
      </c>
      <c r="BS1363" s="43">
        <f>(Inventory[[#This Row],[Adjusted Total]]-Inventory[[#This Row],[24Final]])/Inventory[[#This Row],[24Final]]</f>
        <v>0.15194908512330946</v>
      </c>
    </row>
    <row r="1364" spans="1:71">
      <c r="A1364" s="30">
        <v>2025</v>
      </c>
      <c r="B1364" s="31" t="s">
        <v>1883</v>
      </c>
      <c r="C1364" s="36">
        <f>LN(Inventory[[#This Row],[Acres]])</f>
        <v>-2.0402208285265546</v>
      </c>
      <c r="D1364" s="38">
        <v>0.13</v>
      </c>
      <c r="E1364" s="30">
        <v>5867</v>
      </c>
      <c r="F1364" s="31" t="s">
        <v>505</v>
      </c>
      <c r="G1364" s="31" t="s">
        <v>155</v>
      </c>
      <c r="H1364" s="31" t="s">
        <v>5</v>
      </c>
      <c r="I1364" s="31" t="s">
        <v>506</v>
      </c>
      <c r="J1364" s="31" t="s">
        <v>507</v>
      </c>
      <c r="K1364" s="31" t="s">
        <v>1815</v>
      </c>
      <c r="L1364" s="31" t="s">
        <v>17</v>
      </c>
      <c r="M1364" s="31" t="s">
        <v>22</v>
      </c>
      <c r="N1364" s="31">
        <v>100</v>
      </c>
      <c r="O1364" s="31">
        <f>2024-Inventory[[#This Row],[YrBlt]]</f>
        <v>109</v>
      </c>
      <c r="P1364" s="31">
        <f>2024-Inventory[[#This Row],[EffYr]]</f>
        <v>61</v>
      </c>
      <c r="Q1364" s="30">
        <v>1915</v>
      </c>
      <c r="R1364" s="30">
        <v>1963</v>
      </c>
      <c r="S1364" s="30">
        <v>1056</v>
      </c>
      <c r="T1364" s="38">
        <v>360</v>
      </c>
      <c r="U1364" s="32"/>
      <c r="V1364" s="32"/>
      <c r="W1364" s="32"/>
      <c r="X1364" s="32">
        <f>Inventory[[#This Row],[Bsmt Area]]-Inventory[[#This Row],[FnBsmt]]</f>
        <v>0</v>
      </c>
      <c r="Y1364" s="32">
        <f>Inventory[[#This Row],[MainFn]]+Inventory[[#This Row],[UpprFn]]+Inventory[[#This Row],[AddFn]]+Inventory[[#This Row],[FnBsmt]]</f>
        <v>1416</v>
      </c>
      <c r="Z1364" s="32">
        <v>1500</v>
      </c>
      <c r="AA1364" s="31" t="s">
        <v>56</v>
      </c>
      <c r="AB1364" s="32"/>
      <c r="AC1364" s="37"/>
      <c r="AD1364" s="32"/>
      <c r="AE1364" s="32"/>
      <c r="AF1364" s="32"/>
      <c r="AG1364" s="32"/>
      <c r="AH1364" s="32"/>
      <c r="AI1364" s="30">
        <v>222065</v>
      </c>
      <c r="AJ1364" s="30">
        <v>139901</v>
      </c>
      <c r="AK1364" s="30">
        <v>11988</v>
      </c>
      <c r="AL1364" s="30">
        <v>0</v>
      </c>
      <c r="AM1364" s="30">
        <v>57900</v>
      </c>
      <c r="AN1364" s="30">
        <v>239700</v>
      </c>
      <c r="AO1364" s="30">
        <v>297600</v>
      </c>
      <c r="AP1364" s="30">
        <f>Lookups!$B$58*0.6</f>
        <v>132535.48800000001</v>
      </c>
      <c r="AQ1364" s="30">
        <f>Lookups!$B$58*0.4</f>
        <v>88356.992000000013</v>
      </c>
      <c r="AR1364" s="30">
        <f>Lookups!$B$59*Inventory[[#This Row],[LnAcres]]</f>
        <v>-26776.513064468461</v>
      </c>
      <c r="AS1364" s="30">
        <f>VLOOKUP(Inventory[[#This Row],[Qlty]],Lookups!$A$66:$E$79,2,FALSE)</f>
        <v>24371.765965999999</v>
      </c>
      <c r="AT1364" s="30">
        <f>VLOOKUP(Inventory[[#This Row],[Cnd]],Lookups!$A$80:$E$88,2,FALSE)</f>
        <v>50438.379078999998</v>
      </c>
      <c r="AU1364" s="30">
        <f>Inventory[[#This Row],[EffAge]]*Lookups!$B$65</f>
        <v>-6633.2071000000005</v>
      </c>
      <c r="AV1364" s="30">
        <f>Inventory[[#This Row],[MainFn]]*Lookups!$B$90</f>
        <v>65905.361279999997</v>
      </c>
      <c r="AW1364" s="30">
        <f>Inventory[[#This Row],[UpprFn]]*Lookups!$B$91</f>
        <v>21448.937879999998</v>
      </c>
      <c r="AX1364" s="30">
        <f>Inventory[[#This Row],[Bsmt Area]]*Lookups!$B$95</f>
        <v>0</v>
      </c>
      <c r="AY1364" s="30">
        <f>Inventory[[#This Row],[AttGar]]*Lookups!$B$93</f>
        <v>0</v>
      </c>
      <c r="AZ1364" s="30">
        <f>ROUND(Inventory[[#This Row],[25Det]],-2)</f>
        <v>12000</v>
      </c>
      <c r="BA1364" s="30">
        <f>ROUND(SUM(Inventory[[#This Row],[Mdl Qlty]:[Mdl Garage Area]])+Inventory[[#This Row],[Mdl Res Intercept]],-2)</f>
        <v>288100</v>
      </c>
      <c r="BB1364" s="30">
        <f>ROUND(Inventory[[#This Row],[Mdl Land Intercept]]+Inventory[[#This Row],[Mdl LnAcres]],-2)</f>
        <v>61600</v>
      </c>
      <c r="BC1364" s="30">
        <f>Inventory[[#This Row],[Unadj Res Value]]+Inventory[[#This Row],[Unadj Det Value]]+Inventory[[#This Row],[Unadj Land Value]]</f>
        <v>361700</v>
      </c>
      <c r="BD1364" s="30">
        <f>(Inventory[[#This Row],[Unadj Total Value]]-Inventory[[#This Row],[24Final]])/Inventory[[#This Row],[24Final]]</f>
        <v>0.21538978494623656</v>
      </c>
      <c r="BE1364" s="30">
        <f>VLOOKUP(Inventory[[#This Row],[Nbhd]],Lookups!$M$3:$P$5,4,FALSE)</f>
        <v>0.99970000000000003</v>
      </c>
      <c r="BF1364" s="30">
        <f>VLOOKUP(Inventory[[#This Row],[Qlty]],Lookups!$M$8:$P$22,4,FALSE)</f>
        <v>0.99199999999999999</v>
      </c>
      <c r="BG1364" s="30">
        <f>VLOOKUP(Inventory[[#This Row],[Cnd]],Lookups!$R$8:$U$17,4,FALSE)</f>
        <v>1.0007999999999999</v>
      </c>
      <c r="BH1364" s="30">
        <f>VLOOKUP(Inventory[[#This Row],[LivArea Range]],Lookups!$R$25:$U$43,4,FALSE)</f>
        <v>0.99519999999999997</v>
      </c>
      <c r="BI1364" s="30">
        <f>VLOOKUP(Inventory[[#This Row],[Decade]],Lookups!$M$24:$P$40,4,FALSE)</f>
        <v>0.99960000000000004</v>
      </c>
      <c r="BJ1364" s="30">
        <f>Inventory[[#This Row],[Nbhd Adj]]*0.95</f>
        <v>0.94971499999999998</v>
      </c>
      <c r="BK1364" s="30">
        <f>AVERAGE(Inventory[[#This Row],[Nbhd Adj]],Inventory[[#This Row],[Quality Adj]],Inventory[[#This Row],[Condition Adj]],Inventory[[#This Row],[Living Area Adj]],Inventory[[#This Row],[Decade Adj]])*0.95</f>
        <v>0.94758699999999985</v>
      </c>
      <c r="BL1364" s="30">
        <f>ROUND((SUM(Inventory[[#This Row],[Mdl Qlty]:[Mdl Garage Area]])+Inventory[[#This Row],[Mdl Res Intercept]])*Inventory[[#This Row],[Res Adj ]],-2)</f>
        <v>273000</v>
      </c>
      <c r="BM1364" s="30">
        <f>ROUND(Inventory[[#This Row],[25Det]]*Inventory[[#This Row],[Det/Nbhd Adj]],-2)</f>
        <v>11400</v>
      </c>
      <c r="BN1364" s="30">
        <f>Inventory[[#This Row],[Adjusted Res]]+Inventory[[#This Row],[Adj Det ]]</f>
        <v>284400</v>
      </c>
      <c r="BO1364" s="30">
        <f>ROUND((Inventory[[#This Row],[Mdl Land Intercept]]+Inventory[[#This Row],[Mdl LnAcres]])*Inventory[[#This Row],[Det/Nbhd Adj]],-2)</f>
        <v>58500</v>
      </c>
      <c r="BP1364" s="30">
        <f>Inventory[[#This Row],[Adjusted Impr Total]]+Inventory[[#This Row],[Adjusted Land Total]]</f>
        <v>342900</v>
      </c>
      <c r="BQ1364" s="30">
        <f>IFERROR((Inventory[[#This Row],[Adjusted Impr Total]]-Inventory[[#This Row],[24Bldg]])/Inventory[[#This Row],[24Bldg]],0)</f>
        <v>0.18648310387984982</v>
      </c>
      <c r="BR1364" s="43">
        <f>(Inventory[[#This Row],[Adjusted Land Total]]-Inventory[[#This Row],[24Lnd]])/Inventory[[#This Row],[24Lnd]]</f>
        <v>1.0362694300518135E-2</v>
      </c>
      <c r="BS1364" s="43">
        <f>(Inventory[[#This Row],[Adjusted Total]]-Inventory[[#This Row],[24Final]])/Inventory[[#This Row],[24Final]]</f>
        <v>0.15221774193548387</v>
      </c>
    </row>
    <row r="1365" spans="1:71">
      <c r="A1365" s="30">
        <v>2025</v>
      </c>
      <c r="B1365" s="31" t="s">
        <v>1884</v>
      </c>
      <c r="C1365" s="36">
        <f>LN(Inventory[[#This Row],[Acres]])</f>
        <v>-1.9661128563728327</v>
      </c>
      <c r="D1365" s="38">
        <v>0.14000000000000001</v>
      </c>
      <c r="E1365" s="30">
        <v>6001</v>
      </c>
      <c r="F1365" s="31" t="s">
        <v>505</v>
      </c>
      <c r="G1365" s="31" t="s">
        <v>155</v>
      </c>
      <c r="H1365" s="31" t="s">
        <v>5</v>
      </c>
      <c r="I1365" s="31" t="s">
        <v>506</v>
      </c>
      <c r="J1365" s="31" t="s">
        <v>507</v>
      </c>
      <c r="K1365" s="31" t="s">
        <v>157</v>
      </c>
      <c r="L1365" s="31" t="s">
        <v>15</v>
      </c>
      <c r="M1365" s="31" t="s">
        <v>20</v>
      </c>
      <c r="N1365" s="31">
        <v>100</v>
      </c>
      <c r="O1365" s="31">
        <f>2024-Inventory[[#This Row],[YrBlt]]</f>
        <v>109</v>
      </c>
      <c r="P1365" s="31">
        <f>2024-Inventory[[#This Row],[EffYr]]</f>
        <v>61</v>
      </c>
      <c r="Q1365" s="30">
        <v>1915</v>
      </c>
      <c r="R1365" s="30">
        <v>1963</v>
      </c>
      <c r="S1365" s="30">
        <v>884</v>
      </c>
      <c r="T1365" s="38">
        <v>480</v>
      </c>
      <c r="U1365" s="32"/>
      <c r="V1365" s="32"/>
      <c r="W1365" s="32"/>
      <c r="X1365" s="32">
        <f>Inventory[[#This Row],[Bsmt Area]]-Inventory[[#This Row],[FnBsmt]]</f>
        <v>0</v>
      </c>
      <c r="Y1365" s="32">
        <f>Inventory[[#This Row],[MainFn]]+Inventory[[#This Row],[UpprFn]]+Inventory[[#This Row],[AddFn]]+Inventory[[#This Row],[FnBsmt]]</f>
        <v>1364</v>
      </c>
      <c r="Z1365" s="32">
        <v>1500</v>
      </c>
      <c r="AA1365" s="31" t="s">
        <v>56</v>
      </c>
      <c r="AB1365" s="37"/>
      <c r="AC1365" s="37"/>
      <c r="AD1365" s="32"/>
      <c r="AE1365" s="32"/>
      <c r="AF1365" s="32"/>
      <c r="AG1365" s="32"/>
      <c r="AH1365" s="32"/>
      <c r="AI1365" s="30">
        <v>190417</v>
      </c>
      <c r="AJ1365" s="30">
        <v>116154</v>
      </c>
      <c r="AK1365" s="30">
        <v>0</v>
      </c>
      <c r="AL1365" s="30">
        <v>0</v>
      </c>
      <c r="AM1365" s="30">
        <v>59000</v>
      </c>
      <c r="AN1365" s="30">
        <v>205400</v>
      </c>
      <c r="AO1365" s="30">
        <v>264400</v>
      </c>
      <c r="AP1365" s="30">
        <f>Lookups!$B$58*0.6</f>
        <v>132535.48800000001</v>
      </c>
      <c r="AQ1365" s="30">
        <f>Lookups!$B$58*0.4</f>
        <v>88356.992000000013</v>
      </c>
      <c r="AR1365" s="30">
        <f>Lookups!$B$59*Inventory[[#This Row],[LnAcres]]</f>
        <v>-25803.896249263951</v>
      </c>
      <c r="AS1365" s="30">
        <f>VLOOKUP(Inventory[[#This Row],[Qlty]],Lookups!$A$66:$E$79,2,FALSE)</f>
        <v>-1240.8083630000001</v>
      </c>
      <c r="AT1365" s="30">
        <f>VLOOKUP(Inventory[[#This Row],[Cnd]],Lookups!$A$80:$E$88,2,FALSE)</f>
        <v>30300.329274</v>
      </c>
      <c r="AU1365" s="30">
        <f>Inventory[[#This Row],[EffAge]]*Lookups!$B$65</f>
        <v>-6633.2071000000005</v>
      </c>
      <c r="AV1365" s="30">
        <f>Inventory[[#This Row],[MainFn]]*Lookups!$B$90</f>
        <v>55170.77592</v>
      </c>
      <c r="AW1365" s="30">
        <f>Inventory[[#This Row],[UpprFn]]*Lookups!$B$91</f>
        <v>28598.583839999999</v>
      </c>
      <c r="AX1365" s="30">
        <f>Inventory[[#This Row],[Bsmt Area]]*Lookups!$B$95</f>
        <v>0</v>
      </c>
      <c r="AY1365" s="30">
        <f>Inventory[[#This Row],[AttGar]]*Lookups!$B$93</f>
        <v>0</v>
      </c>
      <c r="AZ1365" s="30">
        <f>ROUND(Inventory[[#This Row],[25Det]],-2)</f>
        <v>0</v>
      </c>
      <c r="BA1365" s="30">
        <f>ROUND(SUM(Inventory[[#This Row],[Mdl Qlty]:[Mdl Garage Area]])+Inventory[[#This Row],[Mdl Res Intercept]],-2)</f>
        <v>238700</v>
      </c>
      <c r="BB1365" s="30">
        <f>ROUND(Inventory[[#This Row],[Mdl Land Intercept]]+Inventory[[#This Row],[Mdl LnAcres]],-2)</f>
        <v>62600</v>
      </c>
      <c r="BC1365" s="30">
        <f>Inventory[[#This Row],[Unadj Res Value]]+Inventory[[#This Row],[Unadj Det Value]]+Inventory[[#This Row],[Unadj Land Value]]</f>
        <v>301300</v>
      </c>
      <c r="BD1365" s="30">
        <f>(Inventory[[#This Row],[Unadj Total Value]]-Inventory[[#This Row],[24Final]])/Inventory[[#This Row],[24Final]]</f>
        <v>0.13956127080181543</v>
      </c>
      <c r="BE1365" s="30">
        <f>VLOOKUP(Inventory[[#This Row],[Nbhd]],Lookups!$M$3:$P$5,4,FALSE)</f>
        <v>0.99970000000000003</v>
      </c>
      <c r="BF1365" s="30">
        <f>VLOOKUP(Inventory[[#This Row],[Qlty]],Lookups!$M$8:$P$22,4,FALSE)</f>
        <v>1.0022</v>
      </c>
      <c r="BG1365" s="30">
        <f>VLOOKUP(Inventory[[#This Row],[Cnd]],Lookups!$R$8:$U$17,4,FALSE)</f>
        <v>0.997</v>
      </c>
      <c r="BH1365" s="30">
        <f>VLOOKUP(Inventory[[#This Row],[LivArea Range]],Lookups!$R$25:$U$43,4,FALSE)</f>
        <v>0.99519999999999997</v>
      </c>
      <c r="BI1365" s="30">
        <f>VLOOKUP(Inventory[[#This Row],[Decade]],Lookups!$M$24:$P$40,4,FALSE)</f>
        <v>0.99960000000000004</v>
      </c>
      <c r="BJ1365" s="30">
        <f>Inventory[[#This Row],[Nbhd Adj]]*0.95</f>
        <v>0.94971499999999998</v>
      </c>
      <c r="BK1365" s="30">
        <f>AVERAGE(Inventory[[#This Row],[Nbhd Adj]],Inventory[[#This Row],[Quality Adj]],Inventory[[#This Row],[Condition Adj]],Inventory[[#This Row],[Living Area Adj]],Inventory[[#This Row],[Decade Adj]])*0.95</f>
        <v>0.94880300000000006</v>
      </c>
      <c r="BL1365" s="30">
        <f>ROUND((SUM(Inventory[[#This Row],[Mdl Qlty]:[Mdl Garage Area]])+Inventory[[#This Row],[Mdl Res Intercept]])*Inventory[[#This Row],[Res Adj ]],-2)</f>
        <v>226500</v>
      </c>
      <c r="BM1365" s="30">
        <f>ROUND(Inventory[[#This Row],[25Det]]*Inventory[[#This Row],[Det/Nbhd Adj]],-2)</f>
        <v>0</v>
      </c>
      <c r="BN1365" s="30">
        <f>Inventory[[#This Row],[Adjusted Res]]+Inventory[[#This Row],[Adj Det ]]</f>
        <v>226500</v>
      </c>
      <c r="BO1365" s="30">
        <f>ROUND((Inventory[[#This Row],[Mdl Land Intercept]]+Inventory[[#This Row],[Mdl LnAcres]])*Inventory[[#This Row],[Det/Nbhd Adj]],-2)</f>
        <v>59400</v>
      </c>
      <c r="BP1365" s="30">
        <f>Inventory[[#This Row],[Adjusted Impr Total]]+Inventory[[#This Row],[Adjusted Land Total]]</f>
        <v>285900</v>
      </c>
      <c r="BQ1365" s="30">
        <f>IFERROR((Inventory[[#This Row],[Adjusted Impr Total]]-Inventory[[#This Row],[24Bldg]])/Inventory[[#This Row],[24Bldg]],0)</f>
        <v>0.10272638753651411</v>
      </c>
      <c r="BR1365" s="43">
        <f>(Inventory[[#This Row],[Adjusted Land Total]]-Inventory[[#This Row],[24Lnd]])/Inventory[[#This Row],[24Lnd]]</f>
        <v>6.7796610169491523E-3</v>
      </c>
      <c r="BS1365" s="43">
        <f>(Inventory[[#This Row],[Adjusted Total]]-Inventory[[#This Row],[24Final]])/Inventory[[#This Row],[24Final]]</f>
        <v>8.131618759455371E-2</v>
      </c>
    </row>
    <row r="1366" spans="1:71">
      <c r="A1366" s="30">
        <v>2025</v>
      </c>
      <c r="B1366" s="31" t="s">
        <v>1885</v>
      </c>
      <c r="C1366" s="36">
        <f>LN(Inventory[[#This Row],[Acres]])</f>
        <v>-1.9661128563728327</v>
      </c>
      <c r="D1366" s="38">
        <v>0.14000000000000001</v>
      </c>
      <c r="E1366" s="30">
        <v>6271</v>
      </c>
      <c r="F1366" s="31" t="s">
        <v>505</v>
      </c>
      <c r="G1366" s="31" t="s">
        <v>155</v>
      </c>
      <c r="H1366" s="31" t="s">
        <v>5</v>
      </c>
      <c r="I1366" s="31" t="s">
        <v>506</v>
      </c>
      <c r="J1366" s="31" t="s">
        <v>507</v>
      </c>
      <c r="K1366" s="31" t="s">
        <v>485</v>
      </c>
      <c r="L1366" s="31" t="s">
        <v>17</v>
      </c>
      <c r="M1366" s="31" t="s">
        <v>20</v>
      </c>
      <c r="N1366" s="31">
        <v>100</v>
      </c>
      <c r="O1366" s="31">
        <f>2024-Inventory[[#This Row],[YrBlt]]</f>
        <v>109</v>
      </c>
      <c r="P1366" s="31">
        <f>2024-Inventory[[#This Row],[EffYr]]</f>
        <v>61</v>
      </c>
      <c r="Q1366" s="30">
        <v>1915</v>
      </c>
      <c r="R1366" s="30">
        <v>1963</v>
      </c>
      <c r="S1366" s="30">
        <v>1426</v>
      </c>
      <c r="T1366" s="38">
        <v>384</v>
      </c>
      <c r="U1366" s="32"/>
      <c r="V1366" s="32"/>
      <c r="W1366" s="32"/>
      <c r="X1366" s="32">
        <f>Inventory[[#This Row],[Bsmt Area]]-Inventory[[#This Row],[FnBsmt]]</f>
        <v>0</v>
      </c>
      <c r="Y1366" s="32">
        <f>Inventory[[#This Row],[MainFn]]+Inventory[[#This Row],[UpprFn]]+Inventory[[#This Row],[AddFn]]+Inventory[[#This Row],[FnBsmt]]</f>
        <v>1810</v>
      </c>
      <c r="Z1366" s="32">
        <v>2000</v>
      </c>
      <c r="AA1366" s="31" t="s">
        <v>56</v>
      </c>
      <c r="AB1366" s="32"/>
      <c r="AC1366" s="37"/>
      <c r="AD1366" s="32"/>
      <c r="AE1366" s="32"/>
      <c r="AF1366" s="32"/>
      <c r="AG1366" s="32"/>
      <c r="AH1366" s="32"/>
      <c r="AI1366" s="30">
        <v>251625</v>
      </c>
      <c r="AJ1366" s="30">
        <v>153491</v>
      </c>
      <c r="AK1366" s="30">
        <v>11010</v>
      </c>
      <c r="AL1366" s="30">
        <v>0</v>
      </c>
      <c r="AM1366" s="30">
        <v>59000</v>
      </c>
      <c r="AN1366" s="30">
        <v>242600</v>
      </c>
      <c r="AO1366" s="30">
        <v>301600</v>
      </c>
      <c r="AP1366" s="30">
        <f>Lookups!$B$58*0.6</f>
        <v>132535.48800000001</v>
      </c>
      <c r="AQ1366" s="30">
        <f>Lookups!$B$58*0.4</f>
        <v>88356.992000000013</v>
      </c>
      <c r="AR1366" s="30">
        <f>Lookups!$B$59*Inventory[[#This Row],[LnAcres]]</f>
        <v>-25803.896249263951</v>
      </c>
      <c r="AS1366" s="30">
        <f>VLOOKUP(Inventory[[#This Row],[Qlty]],Lookups!$A$66:$E$79,2,FALSE)</f>
        <v>24371.765965999999</v>
      </c>
      <c r="AT1366" s="30">
        <f>VLOOKUP(Inventory[[#This Row],[Cnd]],Lookups!$A$80:$E$88,2,FALSE)</f>
        <v>30300.329274</v>
      </c>
      <c r="AU1366" s="30">
        <f>Inventory[[#This Row],[EffAge]]*Lookups!$B$65</f>
        <v>-6633.2071000000005</v>
      </c>
      <c r="AV1366" s="30">
        <f>Inventory[[#This Row],[MainFn]]*Lookups!$B$90</f>
        <v>88997.201880000008</v>
      </c>
      <c r="AW1366" s="30">
        <f>Inventory[[#This Row],[UpprFn]]*Lookups!$B$91</f>
        <v>22878.867072000001</v>
      </c>
      <c r="AX1366" s="30">
        <f>Inventory[[#This Row],[Bsmt Area]]*Lookups!$B$95</f>
        <v>0</v>
      </c>
      <c r="AY1366" s="30">
        <f>Inventory[[#This Row],[AttGar]]*Lookups!$B$93</f>
        <v>0</v>
      </c>
      <c r="AZ1366" s="30">
        <f>ROUND(Inventory[[#This Row],[25Det]],-2)</f>
        <v>11000</v>
      </c>
      <c r="BA1366" s="30">
        <f>ROUND(SUM(Inventory[[#This Row],[Mdl Qlty]:[Mdl Garage Area]])+Inventory[[#This Row],[Mdl Res Intercept]],-2)</f>
        <v>292500</v>
      </c>
      <c r="BB1366" s="30">
        <f>ROUND(Inventory[[#This Row],[Mdl Land Intercept]]+Inventory[[#This Row],[Mdl LnAcres]],-2)</f>
        <v>62600</v>
      </c>
      <c r="BC1366" s="30">
        <f>Inventory[[#This Row],[Unadj Res Value]]+Inventory[[#This Row],[Unadj Det Value]]+Inventory[[#This Row],[Unadj Land Value]]</f>
        <v>366100</v>
      </c>
      <c r="BD1366" s="30">
        <f>(Inventory[[#This Row],[Unadj Total Value]]-Inventory[[#This Row],[24Final]])/Inventory[[#This Row],[24Final]]</f>
        <v>0.21385941644562334</v>
      </c>
      <c r="BE1366" s="30">
        <f>VLOOKUP(Inventory[[#This Row],[Nbhd]],Lookups!$M$3:$P$5,4,FALSE)</f>
        <v>0.99970000000000003</v>
      </c>
      <c r="BF1366" s="30">
        <f>VLOOKUP(Inventory[[#This Row],[Qlty]],Lookups!$M$8:$P$22,4,FALSE)</f>
        <v>0.99199999999999999</v>
      </c>
      <c r="BG1366" s="30">
        <f>VLOOKUP(Inventory[[#This Row],[Cnd]],Lookups!$R$8:$U$17,4,FALSE)</f>
        <v>0.997</v>
      </c>
      <c r="BH1366" s="30">
        <f>VLOOKUP(Inventory[[#This Row],[LivArea Range]],Lookups!$R$25:$U$43,4,FALSE)</f>
        <v>1.0007999999999999</v>
      </c>
      <c r="BI1366" s="30">
        <f>VLOOKUP(Inventory[[#This Row],[Decade]],Lookups!$M$24:$P$40,4,FALSE)</f>
        <v>0.99960000000000004</v>
      </c>
      <c r="BJ1366" s="30">
        <f>Inventory[[#This Row],[Nbhd Adj]]*0.95</f>
        <v>0.94971499999999998</v>
      </c>
      <c r="BK1366" s="30">
        <f>AVERAGE(Inventory[[#This Row],[Nbhd Adj]],Inventory[[#This Row],[Quality Adj]],Inventory[[#This Row],[Condition Adj]],Inventory[[#This Row],[Living Area Adj]],Inventory[[#This Row],[Decade Adj]])*0.95</f>
        <v>0.94792900000000013</v>
      </c>
      <c r="BL1366" s="30">
        <f>ROUND((SUM(Inventory[[#This Row],[Mdl Qlty]:[Mdl Garage Area]])+Inventory[[#This Row],[Mdl Res Intercept]])*Inventory[[#This Row],[Res Adj ]],-2)</f>
        <v>277200</v>
      </c>
      <c r="BM1366" s="30">
        <f>ROUND(Inventory[[#This Row],[25Det]]*Inventory[[#This Row],[Det/Nbhd Adj]],-2)</f>
        <v>10500</v>
      </c>
      <c r="BN1366" s="30">
        <f>Inventory[[#This Row],[Adjusted Res]]+Inventory[[#This Row],[Adj Det ]]</f>
        <v>287700</v>
      </c>
      <c r="BO1366" s="30">
        <f>ROUND((Inventory[[#This Row],[Mdl Land Intercept]]+Inventory[[#This Row],[Mdl LnAcres]])*Inventory[[#This Row],[Det/Nbhd Adj]],-2)</f>
        <v>59400</v>
      </c>
      <c r="BP1366" s="30">
        <f>Inventory[[#This Row],[Adjusted Impr Total]]+Inventory[[#This Row],[Adjusted Land Total]]</f>
        <v>347100</v>
      </c>
      <c r="BQ1366" s="30">
        <f>IFERROR((Inventory[[#This Row],[Adjusted Impr Total]]-Inventory[[#This Row],[24Bldg]])/Inventory[[#This Row],[24Bldg]],0)</f>
        <v>0.18590272052761747</v>
      </c>
      <c r="BR1366" s="43">
        <f>(Inventory[[#This Row],[Adjusted Land Total]]-Inventory[[#This Row],[24Lnd]])/Inventory[[#This Row],[24Lnd]]</f>
        <v>6.7796610169491523E-3</v>
      </c>
      <c r="BS1366" s="43">
        <f>(Inventory[[#This Row],[Adjusted Total]]-Inventory[[#This Row],[24Final]])/Inventory[[#This Row],[24Final]]</f>
        <v>0.15086206896551724</v>
      </c>
    </row>
    <row r="1367" spans="1:71">
      <c r="A1367" s="30">
        <v>2025</v>
      </c>
      <c r="B1367" s="31" t="s">
        <v>1886</v>
      </c>
      <c r="C1367" s="36">
        <f>LN(Inventory[[#This Row],[Acres]])</f>
        <v>-1.9661128563728327</v>
      </c>
      <c r="D1367" s="38">
        <v>0.14000000000000001</v>
      </c>
      <c r="E1367" s="30">
        <v>6236</v>
      </c>
      <c r="F1367" s="31" t="s">
        <v>505</v>
      </c>
      <c r="G1367" s="31" t="s">
        <v>155</v>
      </c>
      <c r="H1367" s="31" t="s">
        <v>5</v>
      </c>
      <c r="I1367" s="31" t="s">
        <v>506</v>
      </c>
      <c r="J1367" s="31" t="s">
        <v>507</v>
      </c>
      <c r="K1367" s="31" t="s">
        <v>475</v>
      </c>
      <c r="L1367" s="31" t="s">
        <v>13</v>
      </c>
      <c r="M1367" s="31" t="s">
        <v>20</v>
      </c>
      <c r="N1367" s="31">
        <v>100</v>
      </c>
      <c r="O1367" s="31">
        <f>2024-Inventory[[#This Row],[YrBlt]]</f>
        <v>109</v>
      </c>
      <c r="P1367" s="31">
        <f>2024-Inventory[[#This Row],[EffYr]]</f>
        <v>61</v>
      </c>
      <c r="Q1367" s="30">
        <v>1915</v>
      </c>
      <c r="R1367" s="30">
        <v>1963</v>
      </c>
      <c r="S1367" s="30">
        <v>852</v>
      </c>
      <c r="T1367" s="32"/>
      <c r="U1367" s="32"/>
      <c r="V1367" s="32"/>
      <c r="W1367" s="32"/>
      <c r="X1367" s="32">
        <f>Inventory[[#This Row],[Bsmt Area]]-Inventory[[#This Row],[FnBsmt]]</f>
        <v>0</v>
      </c>
      <c r="Y1367" s="32">
        <f>Inventory[[#This Row],[MainFn]]+Inventory[[#This Row],[UpprFn]]+Inventory[[#This Row],[AddFn]]+Inventory[[#This Row],[FnBsmt]]</f>
        <v>852</v>
      </c>
      <c r="Z1367" s="32">
        <v>1000</v>
      </c>
      <c r="AA1367" s="31" t="s">
        <v>56</v>
      </c>
      <c r="AB1367" s="32"/>
      <c r="AC1367" s="37"/>
      <c r="AD1367" s="32"/>
      <c r="AE1367" s="32"/>
      <c r="AF1367" s="32"/>
      <c r="AG1367" s="32"/>
      <c r="AH1367" s="32"/>
      <c r="AI1367" s="30">
        <v>125075</v>
      </c>
      <c r="AJ1367" s="30">
        <v>76296</v>
      </c>
      <c r="AK1367" s="30">
        <v>2727</v>
      </c>
      <c r="AL1367" s="30">
        <v>0</v>
      </c>
      <c r="AM1367" s="30">
        <v>59000</v>
      </c>
      <c r="AN1367" s="30">
        <v>162400</v>
      </c>
      <c r="AO1367" s="30">
        <v>221400</v>
      </c>
      <c r="AP1367" s="30">
        <f>Lookups!$B$58*0.6</f>
        <v>132535.48800000001</v>
      </c>
      <c r="AQ1367" s="30">
        <f>Lookups!$B$58*0.4</f>
        <v>88356.992000000013</v>
      </c>
      <c r="AR1367" s="30">
        <f>Lookups!$B$59*Inventory[[#This Row],[LnAcres]]</f>
        <v>-25803.896249263951</v>
      </c>
      <c r="AS1367" s="30">
        <f>VLOOKUP(Inventory[[#This Row],[Qlty]],Lookups!$A$66:$E$79,2,FALSE)</f>
        <v>0</v>
      </c>
      <c r="AT1367" s="30">
        <f>VLOOKUP(Inventory[[#This Row],[Cnd]],Lookups!$A$80:$E$88,2,FALSE)</f>
        <v>30300.329274</v>
      </c>
      <c r="AU1367" s="30">
        <f>Inventory[[#This Row],[EffAge]]*Lookups!$B$65</f>
        <v>-6633.2071000000005</v>
      </c>
      <c r="AV1367" s="30">
        <f>Inventory[[#This Row],[MainFn]]*Lookups!$B$90</f>
        <v>53173.643760000006</v>
      </c>
      <c r="AW1367" s="30">
        <f>Inventory[[#This Row],[UpprFn]]*Lookups!$B$91</f>
        <v>0</v>
      </c>
      <c r="AX1367" s="30">
        <f>Inventory[[#This Row],[Bsmt Area]]*Lookups!$B$95</f>
        <v>0</v>
      </c>
      <c r="AY1367" s="30">
        <f>Inventory[[#This Row],[AttGar]]*Lookups!$B$93</f>
        <v>0</v>
      </c>
      <c r="AZ1367" s="30">
        <f>ROUND(Inventory[[#This Row],[25Det]],-2)</f>
        <v>2700</v>
      </c>
      <c r="BA1367" s="30">
        <f>ROUND(SUM(Inventory[[#This Row],[Mdl Qlty]:[Mdl Garage Area]])+Inventory[[#This Row],[Mdl Res Intercept]],-2)</f>
        <v>209400</v>
      </c>
      <c r="BB1367" s="30">
        <f>ROUND(Inventory[[#This Row],[Mdl Land Intercept]]+Inventory[[#This Row],[Mdl LnAcres]],-2)</f>
        <v>62600</v>
      </c>
      <c r="BC1367" s="30">
        <f>Inventory[[#This Row],[Unadj Res Value]]+Inventory[[#This Row],[Unadj Det Value]]+Inventory[[#This Row],[Unadj Land Value]]</f>
        <v>274700</v>
      </c>
      <c r="BD1367" s="30">
        <f>(Inventory[[#This Row],[Unadj Total Value]]-Inventory[[#This Row],[24Final]])/Inventory[[#This Row],[24Final]]</f>
        <v>0.24074074074074073</v>
      </c>
      <c r="BE1367" s="30">
        <f>VLOOKUP(Inventory[[#This Row],[Nbhd]],Lookups!$M$3:$P$5,4,FALSE)</f>
        <v>0.99970000000000003</v>
      </c>
      <c r="BF1367" s="30">
        <f>VLOOKUP(Inventory[[#This Row],[Qlty]],Lookups!$M$8:$P$22,4,FALSE)</f>
        <v>1.0003</v>
      </c>
      <c r="BG1367" s="30">
        <f>VLOOKUP(Inventory[[#This Row],[Cnd]],Lookups!$R$8:$U$17,4,FALSE)</f>
        <v>0.997</v>
      </c>
      <c r="BH1367" s="30">
        <f>VLOOKUP(Inventory[[#This Row],[LivArea Range]],Lookups!$R$25:$U$43,4,FALSE)</f>
        <v>1</v>
      </c>
      <c r="BI1367" s="30">
        <f>VLOOKUP(Inventory[[#This Row],[Decade]],Lookups!$M$24:$P$40,4,FALSE)</f>
        <v>0.99960000000000004</v>
      </c>
      <c r="BJ1367" s="30">
        <f>Inventory[[#This Row],[Nbhd Adj]]*0.95</f>
        <v>0.94971499999999998</v>
      </c>
      <c r="BK1367" s="30">
        <f>AVERAGE(Inventory[[#This Row],[Nbhd Adj]],Inventory[[#This Row],[Quality Adj]],Inventory[[#This Row],[Condition Adj]],Inventory[[#This Row],[Living Area Adj]],Inventory[[#This Row],[Decade Adj]])*0.95</f>
        <v>0.94935399999999992</v>
      </c>
      <c r="BL1367" s="30">
        <f>ROUND((SUM(Inventory[[#This Row],[Mdl Qlty]:[Mdl Garage Area]])+Inventory[[#This Row],[Mdl Res Intercept]])*Inventory[[#This Row],[Res Adj ]],-2)</f>
        <v>198800</v>
      </c>
      <c r="BM1367" s="30">
        <f>ROUND(Inventory[[#This Row],[25Det]]*Inventory[[#This Row],[Det/Nbhd Adj]],-2)</f>
        <v>2600</v>
      </c>
      <c r="BN1367" s="30">
        <f>Inventory[[#This Row],[Adjusted Res]]+Inventory[[#This Row],[Adj Det ]]</f>
        <v>201400</v>
      </c>
      <c r="BO1367" s="30">
        <f>ROUND((Inventory[[#This Row],[Mdl Land Intercept]]+Inventory[[#This Row],[Mdl LnAcres]])*Inventory[[#This Row],[Det/Nbhd Adj]],-2)</f>
        <v>59400</v>
      </c>
      <c r="BP1367" s="30">
        <f>Inventory[[#This Row],[Adjusted Impr Total]]+Inventory[[#This Row],[Adjusted Land Total]]</f>
        <v>260800</v>
      </c>
      <c r="BQ1367" s="30">
        <f>IFERROR((Inventory[[#This Row],[Adjusted Impr Total]]-Inventory[[#This Row],[24Bldg]])/Inventory[[#This Row],[24Bldg]],0)</f>
        <v>0.24014778325123154</v>
      </c>
      <c r="BR1367" s="43">
        <f>(Inventory[[#This Row],[Adjusted Land Total]]-Inventory[[#This Row],[24Lnd]])/Inventory[[#This Row],[24Lnd]]</f>
        <v>6.7796610169491523E-3</v>
      </c>
      <c r="BS1367" s="43">
        <f>(Inventory[[#This Row],[Adjusted Total]]-Inventory[[#This Row],[24Final]])/Inventory[[#This Row],[24Final]]</f>
        <v>0.17795844625112917</v>
      </c>
    </row>
    <row r="1368" spans="1:71">
      <c r="A1368" s="30">
        <v>2025</v>
      </c>
      <c r="B1368" s="31" t="s">
        <v>1887</v>
      </c>
      <c r="C1368" s="36">
        <f>LN(Inventory[[#This Row],[Acres]])</f>
        <v>-1.8971199848858813</v>
      </c>
      <c r="D1368" s="38">
        <v>0.15</v>
      </c>
      <c r="E1368" s="30">
        <v>6747</v>
      </c>
      <c r="F1368" s="31" t="s">
        <v>505</v>
      </c>
      <c r="G1368" s="31" t="s">
        <v>155</v>
      </c>
      <c r="H1368" s="31" t="s">
        <v>5</v>
      </c>
      <c r="I1368" s="31" t="s">
        <v>506</v>
      </c>
      <c r="J1368" s="31" t="s">
        <v>507</v>
      </c>
      <c r="K1368" s="31" t="s">
        <v>193</v>
      </c>
      <c r="L1368" s="31" t="s">
        <v>15</v>
      </c>
      <c r="M1368" s="31" t="s">
        <v>18</v>
      </c>
      <c r="N1368" s="31">
        <v>100</v>
      </c>
      <c r="O1368" s="31">
        <f>2024-Inventory[[#This Row],[YrBlt]]</f>
        <v>109</v>
      </c>
      <c r="P1368" s="31">
        <f>2024-Inventory[[#This Row],[EffYr]]</f>
        <v>51</v>
      </c>
      <c r="Q1368" s="30">
        <v>1915</v>
      </c>
      <c r="R1368" s="30">
        <v>1973</v>
      </c>
      <c r="S1368" s="30">
        <v>1200</v>
      </c>
      <c r="T1368" s="37"/>
      <c r="U1368" s="32"/>
      <c r="V1368" s="32"/>
      <c r="W1368" s="32"/>
      <c r="X1368" s="32">
        <f>Inventory[[#This Row],[Bsmt Area]]-Inventory[[#This Row],[FnBsmt]]</f>
        <v>0</v>
      </c>
      <c r="Y1368" s="32">
        <f>Inventory[[#This Row],[MainFn]]+Inventory[[#This Row],[UpprFn]]+Inventory[[#This Row],[AddFn]]+Inventory[[#This Row],[FnBsmt]]</f>
        <v>1200</v>
      </c>
      <c r="Z1368" s="32">
        <v>1500</v>
      </c>
      <c r="AA1368" s="31" t="s">
        <v>56</v>
      </c>
      <c r="AB1368" s="37"/>
      <c r="AC1368" s="38">
        <v>714</v>
      </c>
      <c r="AD1368" s="37"/>
      <c r="AE1368" s="32"/>
      <c r="AF1368" s="32"/>
      <c r="AG1368" s="32"/>
      <c r="AH1368" s="32"/>
      <c r="AI1368" s="30">
        <v>202771</v>
      </c>
      <c r="AJ1368" s="30">
        <v>139912</v>
      </c>
      <c r="AK1368" s="30">
        <v>0</v>
      </c>
      <c r="AL1368" s="30">
        <v>0</v>
      </c>
      <c r="AM1368" s="30">
        <v>59900</v>
      </c>
      <c r="AN1368" s="30">
        <v>220300</v>
      </c>
      <c r="AO1368" s="30">
        <v>280200</v>
      </c>
      <c r="AP1368" s="30">
        <f>Lookups!$B$58*0.6</f>
        <v>132535.48800000001</v>
      </c>
      <c r="AQ1368" s="30">
        <f>Lookups!$B$58*0.4</f>
        <v>88356.992000000013</v>
      </c>
      <c r="AR1368" s="30">
        <f>Lookups!$B$59*Inventory[[#This Row],[LnAcres]]</f>
        <v>-24898.411657157456</v>
      </c>
      <c r="AS1368" s="30">
        <f>VLOOKUP(Inventory[[#This Row],[Qlty]],Lookups!$A$66:$E$79,2,FALSE)</f>
        <v>-1240.8083630000001</v>
      </c>
      <c r="AT1368" s="30">
        <f>VLOOKUP(Inventory[[#This Row],[Cnd]],Lookups!$A$80:$E$88,2,FALSE)</f>
        <v>17761.121909000001</v>
      </c>
      <c r="AU1368" s="30">
        <f>Inventory[[#This Row],[EffAge]]*Lookups!$B$65</f>
        <v>-5545.7961000000005</v>
      </c>
      <c r="AV1368" s="30">
        <f>Inventory[[#This Row],[MainFn]]*Lookups!$B$90</f>
        <v>74892.456000000006</v>
      </c>
      <c r="AW1368" s="30">
        <f>Inventory[[#This Row],[UpprFn]]*Lookups!$B$91</f>
        <v>0</v>
      </c>
      <c r="AX1368" s="30">
        <f>Inventory[[#This Row],[Bsmt Area]]*Lookups!$B$95</f>
        <v>0</v>
      </c>
      <c r="AY1368" s="30">
        <f>Inventory[[#This Row],[AttGar]]*Lookups!$B$93</f>
        <v>25204.936134</v>
      </c>
      <c r="AZ1368" s="30">
        <f>ROUND(Inventory[[#This Row],[25Det]],-2)</f>
        <v>0</v>
      </c>
      <c r="BA1368" s="30">
        <f>ROUND(SUM(Inventory[[#This Row],[Mdl Qlty]:[Mdl Garage Area]])+Inventory[[#This Row],[Mdl Res Intercept]],-2)</f>
        <v>243600</v>
      </c>
      <c r="BB1368" s="30">
        <f>ROUND(Inventory[[#This Row],[Mdl Land Intercept]]+Inventory[[#This Row],[Mdl LnAcres]],-2)</f>
        <v>63500</v>
      </c>
      <c r="BC1368" s="30">
        <f>Inventory[[#This Row],[Unadj Res Value]]+Inventory[[#This Row],[Unadj Det Value]]+Inventory[[#This Row],[Unadj Land Value]]</f>
        <v>307100</v>
      </c>
      <c r="BD1368" s="30">
        <f>(Inventory[[#This Row],[Unadj Total Value]]-Inventory[[#This Row],[24Final]])/Inventory[[#This Row],[24Final]]</f>
        <v>9.60028551034975E-2</v>
      </c>
      <c r="BE1368" s="30">
        <f>VLOOKUP(Inventory[[#This Row],[Nbhd]],Lookups!$M$3:$P$5,4,FALSE)</f>
        <v>0.99970000000000003</v>
      </c>
      <c r="BF1368" s="30">
        <f>VLOOKUP(Inventory[[#This Row],[Qlty]],Lookups!$M$8:$P$22,4,FALSE)</f>
        <v>1.0022</v>
      </c>
      <c r="BG1368" s="30">
        <f>VLOOKUP(Inventory[[#This Row],[Cnd]],Lookups!$R$8:$U$17,4,FALSE)</f>
        <v>0.99680000000000002</v>
      </c>
      <c r="BH1368" s="30">
        <f>VLOOKUP(Inventory[[#This Row],[LivArea Range]],Lookups!$R$25:$U$43,4,FALSE)</f>
        <v>0.99519999999999997</v>
      </c>
      <c r="BI1368" s="30">
        <f>VLOOKUP(Inventory[[#This Row],[Decade]],Lookups!$M$24:$P$40,4,FALSE)</f>
        <v>0.99960000000000004</v>
      </c>
      <c r="BJ1368" s="30">
        <f>Inventory[[#This Row],[Nbhd Adj]]*0.95</f>
        <v>0.94971499999999998</v>
      </c>
      <c r="BK1368" s="30">
        <f>AVERAGE(Inventory[[#This Row],[Nbhd Adj]],Inventory[[#This Row],[Quality Adj]],Inventory[[#This Row],[Condition Adj]],Inventory[[#This Row],[Living Area Adj]],Inventory[[#This Row],[Decade Adj]])*0.95</f>
        <v>0.94876499999999997</v>
      </c>
      <c r="BL1368" s="30">
        <f>ROUND((SUM(Inventory[[#This Row],[Mdl Qlty]:[Mdl Garage Area]])+Inventory[[#This Row],[Mdl Res Intercept]])*Inventory[[#This Row],[Res Adj ]],-2)</f>
        <v>231100</v>
      </c>
      <c r="BM1368" s="30">
        <f>ROUND(Inventory[[#This Row],[25Det]]*Inventory[[#This Row],[Det/Nbhd Adj]],-2)</f>
        <v>0</v>
      </c>
      <c r="BN1368" s="30">
        <f>Inventory[[#This Row],[Adjusted Res]]+Inventory[[#This Row],[Adj Det ]]</f>
        <v>231100</v>
      </c>
      <c r="BO1368" s="30">
        <f>ROUND((Inventory[[#This Row],[Mdl Land Intercept]]+Inventory[[#This Row],[Mdl LnAcres]])*Inventory[[#This Row],[Det/Nbhd Adj]],-2)</f>
        <v>60300</v>
      </c>
      <c r="BP1368" s="30">
        <f>Inventory[[#This Row],[Adjusted Impr Total]]+Inventory[[#This Row],[Adjusted Land Total]]</f>
        <v>291400</v>
      </c>
      <c r="BQ1368" s="30">
        <f>IFERROR((Inventory[[#This Row],[Adjusted Impr Total]]-Inventory[[#This Row],[24Bldg]])/Inventory[[#This Row],[24Bldg]],0)</f>
        <v>4.9024058102587378E-2</v>
      </c>
      <c r="BR1368" s="43">
        <f>(Inventory[[#This Row],[Adjusted Land Total]]-Inventory[[#This Row],[24Lnd]])/Inventory[[#This Row],[24Lnd]]</f>
        <v>6.6777963272120202E-3</v>
      </c>
      <c r="BS1368" s="43">
        <f>(Inventory[[#This Row],[Adjusted Total]]-Inventory[[#This Row],[24Final]])/Inventory[[#This Row],[24Final]]</f>
        <v>3.9971448965024983E-2</v>
      </c>
    </row>
    <row r="1369" spans="1:71">
      <c r="A1369" s="30">
        <v>2025</v>
      </c>
      <c r="B1369" s="31" t="s">
        <v>1888</v>
      </c>
      <c r="C1369" s="36">
        <f>LN(Inventory[[#This Row],[Acres]])</f>
        <v>-1.8325814637483102</v>
      </c>
      <c r="D1369" s="38">
        <v>0.16</v>
      </c>
      <c r="E1369" s="30">
        <v>6889</v>
      </c>
      <c r="F1369" s="31" t="s">
        <v>505</v>
      </c>
      <c r="G1369" s="31" t="s">
        <v>155</v>
      </c>
      <c r="H1369" s="31" t="s">
        <v>5</v>
      </c>
      <c r="I1369" s="31" t="s">
        <v>506</v>
      </c>
      <c r="J1369" s="31" t="s">
        <v>507</v>
      </c>
      <c r="K1369" s="31" t="s">
        <v>475</v>
      </c>
      <c r="L1369" s="31" t="s">
        <v>11</v>
      </c>
      <c r="M1369" s="31" t="s">
        <v>18</v>
      </c>
      <c r="N1369" s="31">
        <v>100</v>
      </c>
      <c r="O1369" s="31">
        <f>2024-Inventory[[#This Row],[YrBlt]]</f>
        <v>109</v>
      </c>
      <c r="P1369" s="31">
        <f>2024-Inventory[[#This Row],[EffYr]]</f>
        <v>61</v>
      </c>
      <c r="Q1369" s="30">
        <v>1915</v>
      </c>
      <c r="R1369" s="30">
        <v>1963</v>
      </c>
      <c r="S1369" s="30">
        <v>810</v>
      </c>
      <c r="T1369" s="38">
        <v>270</v>
      </c>
      <c r="U1369" s="32"/>
      <c r="V1369" s="32"/>
      <c r="W1369" s="32"/>
      <c r="X1369" s="32">
        <f>Inventory[[#This Row],[Bsmt Area]]-Inventory[[#This Row],[FnBsmt]]</f>
        <v>0</v>
      </c>
      <c r="Y1369" s="32">
        <f>Inventory[[#This Row],[MainFn]]+Inventory[[#This Row],[UpprFn]]+Inventory[[#This Row],[AddFn]]+Inventory[[#This Row],[FnBsmt]]</f>
        <v>1080</v>
      </c>
      <c r="Z1369" s="32">
        <v>1500</v>
      </c>
      <c r="AA1369" s="31" t="s">
        <v>56</v>
      </c>
      <c r="AB1369" s="37"/>
      <c r="AC1369" s="37"/>
      <c r="AD1369" s="32"/>
      <c r="AE1369" s="32"/>
      <c r="AF1369" s="32"/>
      <c r="AG1369" s="32"/>
      <c r="AH1369" s="32"/>
      <c r="AI1369" s="30">
        <v>146657</v>
      </c>
      <c r="AJ1369" s="30">
        <v>86528</v>
      </c>
      <c r="AK1369" s="30">
        <v>0</v>
      </c>
      <c r="AL1369" s="30">
        <v>0</v>
      </c>
      <c r="AM1369" s="30">
        <v>60800</v>
      </c>
      <c r="AN1369" s="30">
        <v>155100</v>
      </c>
      <c r="AO1369" s="30">
        <v>215900</v>
      </c>
      <c r="AP1369" s="30">
        <f>Lookups!$B$58*0.6</f>
        <v>132535.48800000001</v>
      </c>
      <c r="AQ1369" s="30">
        <f>Lookups!$B$58*0.4</f>
        <v>88356.992000000013</v>
      </c>
      <c r="AR1369" s="30">
        <f>Lookups!$B$59*Inventory[[#This Row],[LnAcres]]</f>
        <v>-24051.387388882686</v>
      </c>
      <c r="AS1369" s="30">
        <f>VLOOKUP(Inventory[[#This Row],[Qlty]],Lookups!$A$66:$E$79,2,FALSE)</f>
        <v>-9114.1675108666695</v>
      </c>
      <c r="AT1369" s="30">
        <f>VLOOKUP(Inventory[[#This Row],[Cnd]],Lookups!$A$80:$E$88,2,FALSE)</f>
        <v>17761.121909000001</v>
      </c>
      <c r="AU1369" s="30">
        <f>Inventory[[#This Row],[EffAge]]*Lookups!$B$65</f>
        <v>-6633.2071000000005</v>
      </c>
      <c r="AV1369" s="30">
        <f>Inventory[[#This Row],[MainFn]]*Lookups!$B$90</f>
        <v>50552.407800000001</v>
      </c>
      <c r="AW1369" s="30">
        <f>Inventory[[#This Row],[UpprFn]]*Lookups!$B$91</f>
        <v>16086.70341</v>
      </c>
      <c r="AX1369" s="30">
        <f>Inventory[[#This Row],[Bsmt Area]]*Lookups!$B$95</f>
        <v>0</v>
      </c>
      <c r="AY1369" s="30">
        <f>Inventory[[#This Row],[AttGar]]*Lookups!$B$93</f>
        <v>0</v>
      </c>
      <c r="AZ1369" s="30">
        <f>ROUND(Inventory[[#This Row],[25Det]],-2)</f>
        <v>0</v>
      </c>
      <c r="BA1369" s="30">
        <f>ROUND(SUM(Inventory[[#This Row],[Mdl Qlty]:[Mdl Garage Area]])+Inventory[[#This Row],[Mdl Res Intercept]],-2)</f>
        <v>201200</v>
      </c>
      <c r="BB1369" s="30">
        <f>ROUND(Inventory[[#This Row],[Mdl Land Intercept]]+Inventory[[#This Row],[Mdl LnAcres]],-2)</f>
        <v>64300</v>
      </c>
      <c r="BC1369" s="30">
        <f>Inventory[[#This Row],[Unadj Res Value]]+Inventory[[#This Row],[Unadj Det Value]]+Inventory[[#This Row],[Unadj Land Value]]</f>
        <v>265500</v>
      </c>
      <c r="BD1369" s="30">
        <f>(Inventory[[#This Row],[Unadj Total Value]]-Inventory[[#This Row],[24Final]])/Inventory[[#This Row],[24Final]]</f>
        <v>0.22973598888374247</v>
      </c>
      <c r="BE1369" s="30">
        <f>VLOOKUP(Inventory[[#This Row],[Nbhd]],Lookups!$M$3:$P$5,4,FALSE)</f>
        <v>0.99970000000000003</v>
      </c>
      <c r="BF1369" s="30">
        <f>VLOOKUP(Inventory[[#This Row],[Qlty]],Lookups!$M$8:$P$22,4,FALSE)</f>
        <v>1</v>
      </c>
      <c r="BG1369" s="30">
        <f>VLOOKUP(Inventory[[#This Row],[Cnd]],Lookups!$R$8:$U$17,4,FALSE)</f>
        <v>0.99680000000000002</v>
      </c>
      <c r="BH1369" s="30">
        <f>VLOOKUP(Inventory[[#This Row],[LivArea Range]],Lookups!$R$25:$U$43,4,FALSE)</f>
        <v>0.99519999999999997</v>
      </c>
      <c r="BI1369" s="30">
        <f>VLOOKUP(Inventory[[#This Row],[Decade]],Lookups!$M$24:$P$40,4,FALSE)</f>
        <v>0.99960000000000004</v>
      </c>
      <c r="BJ1369" s="30">
        <f>Inventory[[#This Row],[Nbhd Adj]]*0.95</f>
        <v>0.94971499999999998</v>
      </c>
      <c r="BK1369" s="30">
        <f>AVERAGE(Inventory[[#This Row],[Nbhd Adj]],Inventory[[#This Row],[Quality Adj]],Inventory[[#This Row],[Condition Adj]],Inventory[[#This Row],[Living Area Adj]],Inventory[[#This Row],[Decade Adj]])*0.95</f>
        <v>0.94834700000000005</v>
      </c>
      <c r="BL1369" s="30">
        <f>ROUND((SUM(Inventory[[#This Row],[Mdl Qlty]:[Mdl Garage Area]])+Inventory[[#This Row],[Mdl Res Intercept]])*Inventory[[#This Row],[Res Adj ]],-2)</f>
        <v>190800</v>
      </c>
      <c r="BM1369" s="30">
        <f>ROUND(Inventory[[#This Row],[25Det]]*Inventory[[#This Row],[Det/Nbhd Adj]],-2)</f>
        <v>0</v>
      </c>
      <c r="BN1369" s="30">
        <f>Inventory[[#This Row],[Adjusted Res]]+Inventory[[#This Row],[Adj Det ]]</f>
        <v>190800</v>
      </c>
      <c r="BO1369" s="30">
        <f>ROUND((Inventory[[#This Row],[Mdl Land Intercept]]+Inventory[[#This Row],[Mdl LnAcres]])*Inventory[[#This Row],[Det/Nbhd Adj]],-2)</f>
        <v>61100</v>
      </c>
      <c r="BP1369" s="30">
        <f>Inventory[[#This Row],[Adjusted Impr Total]]+Inventory[[#This Row],[Adjusted Land Total]]</f>
        <v>251900</v>
      </c>
      <c r="BQ1369" s="30">
        <f>IFERROR((Inventory[[#This Row],[Adjusted Impr Total]]-Inventory[[#This Row],[24Bldg]])/Inventory[[#This Row],[24Bldg]],0)</f>
        <v>0.23017408123791103</v>
      </c>
      <c r="BR1369" s="43">
        <f>(Inventory[[#This Row],[Adjusted Land Total]]-Inventory[[#This Row],[24Lnd]])/Inventory[[#This Row],[24Lnd]]</f>
        <v>4.9342105263157892E-3</v>
      </c>
      <c r="BS1369" s="43">
        <f>(Inventory[[#This Row],[Adjusted Total]]-Inventory[[#This Row],[24Final]])/Inventory[[#This Row],[24Final]]</f>
        <v>0.1667438628994905</v>
      </c>
    </row>
    <row r="1370" spans="1:71">
      <c r="A1370" s="30">
        <v>2025</v>
      </c>
      <c r="B1370" s="31" t="s">
        <v>1889</v>
      </c>
      <c r="C1370" s="36">
        <f>LN(Inventory[[#This Row],[Acres]])</f>
        <v>-1.6607312068216509</v>
      </c>
      <c r="D1370" s="38">
        <v>0.19</v>
      </c>
      <c r="E1370" s="30">
        <v>8411</v>
      </c>
      <c r="F1370" s="31" t="s">
        <v>505</v>
      </c>
      <c r="G1370" s="31" t="s">
        <v>155</v>
      </c>
      <c r="H1370" s="31" t="s">
        <v>5</v>
      </c>
      <c r="I1370" s="31" t="s">
        <v>506</v>
      </c>
      <c r="J1370" s="31" t="s">
        <v>507</v>
      </c>
      <c r="K1370" s="31" t="s">
        <v>475</v>
      </c>
      <c r="L1370" s="31" t="s">
        <v>13</v>
      </c>
      <c r="M1370" s="31" t="s">
        <v>18</v>
      </c>
      <c r="N1370" s="31">
        <v>100</v>
      </c>
      <c r="O1370" s="31">
        <f>2024-Inventory[[#This Row],[YrBlt]]</f>
        <v>109</v>
      </c>
      <c r="P1370" s="31">
        <f>2024-Inventory[[#This Row],[EffYr]]</f>
        <v>61</v>
      </c>
      <c r="Q1370" s="30">
        <v>1915</v>
      </c>
      <c r="R1370" s="30">
        <v>1963</v>
      </c>
      <c r="S1370" s="30">
        <v>872</v>
      </c>
      <c r="T1370" s="38">
        <v>280</v>
      </c>
      <c r="U1370" s="32"/>
      <c r="V1370" s="32"/>
      <c r="W1370" s="32"/>
      <c r="X1370" s="32">
        <f>Inventory[[#This Row],[Bsmt Area]]-Inventory[[#This Row],[FnBsmt]]</f>
        <v>0</v>
      </c>
      <c r="Y1370" s="32">
        <f>Inventory[[#This Row],[MainFn]]+Inventory[[#This Row],[UpprFn]]+Inventory[[#This Row],[AddFn]]+Inventory[[#This Row],[FnBsmt]]</f>
        <v>1152</v>
      </c>
      <c r="Z1370" s="32">
        <v>1500</v>
      </c>
      <c r="AA1370" s="31" t="s">
        <v>56</v>
      </c>
      <c r="AB1370" s="32"/>
      <c r="AC1370" s="37"/>
      <c r="AD1370" s="32"/>
      <c r="AE1370" s="32"/>
      <c r="AF1370" s="32"/>
      <c r="AG1370" s="32"/>
      <c r="AH1370" s="32"/>
      <c r="AI1370" s="30">
        <v>161389</v>
      </c>
      <c r="AJ1370" s="30">
        <v>95220</v>
      </c>
      <c r="AK1370" s="30">
        <v>0</v>
      </c>
      <c r="AL1370" s="30">
        <v>0</v>
      </c>
      <c r="AM1370" s="30">
        <v>63200</v>
      </c>
      <c r="AN1370" s="30">
        <v>167600</v>
      </c>
      <c r="AO1370" s="30">
        <v>230800</v>
      </c>
      <c r="AP1370" s="30">
        <f>Lookups!$B$58*0.6</f>
        <v>132535.48800000001</v>
      </c>
      <c r="AQ1370" s="30">
        <f>Lookups!$B$58*0.4</f>
        <v>88356.992000000013</v>
      </c>
      <c r="AR1370" s="30">
        <f>Lookups!$B$59*Inventory[[#This Row],[LnAcres]]</f>
        <v>-21795.969453044734</v>
      </c>
      <c r="AS1370" s="30">
        <f>VLOOKUP(Inventory[[#This Row],[Qlty]],Lookups!$A$66:$E$79,2,FALSE)</f>
        <v>0</v>
      </c>
      <c r="AT1370" s="30">
        <f>VLOOKUP(Inventory[[#This Row],[Cnd]],Lookups!$A$80:$E$88,2,FALSE)</f>
        <v>17761.121909000001</v>
      </c>
      <c r="AU1370" s="30">
        <f>Inventory[[#This Row],[EffAge]]*Lookups!$B$65</f>
        <v>-6633.2071000000005</v>
      </c>
      <c r="AV1370" s="30">
        <f>Inventory[[#This Row],[MainFn]]*Lookups!$B$90</f>
        <v>54421.851360000001</v>
      </c>
      <c r="AW1370" s="30">
        <f>Inventory[[#This Row],[UpprFn]]*Lookups!$B$91</f>
        <v>16682.507239999999</v>
      </c>
      <c r="AX1370" s="30">
        <f>Inventory[[#This Row],[Bsmt Area]]*Lookups!$B$95</f>
        <v>0</v>
      </c>
      <c r="AY1370" s="30">
        <f>Inventory[[#This Row],[AttGar]]*Lookups!$B$93</f>
        <v>0</v>
      </c>
      <c r="AZ1370" s="30">
        <f>ROUND(Inventory[[#This Row],[25Det]],-2)</f>
        <v>0</v>
      </c>
      <c r="BA1370" s="30">
        <f>ROUND(SUM(Inventory[[#This Row],[Mdl Qlty]:[Mdl Garage Area]])+Inventory[[#This Row],[Mdl Res Intercept]],-2)</f>
        <v>214800</v>
      </c>
      <c r="BB1370" s="30">
        <f>ROUND(Inventory[[#This Row],[Mdl Land Intercept]]+Inventory[[#This Row],[Mdl LnAcres]],-2)</f>
        <v>66600</v>
      </c>
      <c r="BC1370" s="30">
        <f>Inventory[[#This Row],[Unadj Res Value]]+Inventory[[#This Row],[Unadj Det Value]]+Inventory[[#This Row],[Unadj Land Value]]</f>
        <v>281400</v>
      </c>
      <c r="BD1370" s="30">
        <f>(Inventory[[#This Row],[Unadj Total Value]]-Inventory[[#This Row],[24Final]])/Inventory[[#This Row],[24Final]]</f>
        <v>0.21923743500866552</v>
      </c>
      <c r="BE1370" s="30">
        <f>VLOOKUP(Inventory[[#This Row],[Nbhd]],Lookups!$M$3:$P$5,4,FALSE)</f>
        <v>0.99970000000000003</v>
      </c>
      <c r="BF1370" s="30">
        <f>VLOOKUP(Inventory[[#This Row],[Qlty]],Lookups!$M$8:$P$22,4,FALSE)</f>
        <v>1.0003</v>
      </c>
      <c r="BG1370" s="30">
        <f>VLOOKUP(Inventory[[#This Row],[Cnd]],Lookups!$R$8:$U$17,4,FALSE)</f>
        <v>0.99680000000000002</v>
      </c>
      <c r="BH1370" s="30">
        <f>VLOOKUP(Inventory[[#This Row],[LivArea Range]],Lookups!$R$25:$U$43,4,FALSE)</f>
        <v>0.99519999999999997</v>
      </c>
      <c r="BI1370" s="30">
        <f>VLOOKUP(Inventory[[#This Row],[Decade]],Lookups!$M$24:$P$40,4,FALSE)</f>
        <v>0.99960000000000004</v>
      </c>
      <c r="BJ1370" s="30">
        <f>Inventory[[#This Row],[Nbhd Adj]]*0.95</f>
        <v>0.94971499999999998</v>
      </c>
      <c r="BK1370" s="30">
        <f>AVERAGE(Inventory[[#This Row],[Nbhd Adj]],Inventory[[#This Row],[Quality Adj]],Inventory[[#This Row],[Condition Adj]],Inventory[[#This Row],[Living Area Adj]],Inventory[[#This Row],[Decade Adj]])*0.95</f>
        <v>0.94840399999999991</v>
      </c>
      <c r="BL1370" s="30">
        <f>ROUND((SUM(Inventory[[#This Row],[Mdl Qlty]:[Mdl Garage Area]])+Inventory[[#This Row],[Mdl Res Intercept]])*Inventory[[#This Row],[Res Adj ]],-2)</f>
        <v>203700</v>
      </c>
      <c r="BM1370" s="30">
        <f>ROUND(Inventory[[#This Row],[25Det]]*Inventory[[#This Row],[Det/Nbhd Adj]],-2)</f>
        <v>0</v>
      </c>
      <c r="BN1370" s="30">
        <f>Inventory[[#This Row],[Adjusted Res]]+Inventory[[#This Row],[Adj Det ]]</f>
        <v>203700</v>
      </c>
      <c r="BO1370" s="30">
        <f>ROUND((Inventory[[#This Row],[Mdl Land Intercept]]+Inventory[[#This Row],[Mdl LnAcres]])*Inventory[[#This Row],[Det/Nbhd Adj]],-2)</f>
        <v>63200</v>
      </c>
      <c r="BP1370" s="30">
        <f>Inventory[[#This Row],[Adjusted Impr Total]]+Inventory[[#This Row],[Adjusted Land Total]]</f>
        <v>266900</v>
      </c>
      <c r="BQ1370" s="30">
        <f>IFERROR((Inventory[[#This Row],[Adjusted Impr Total]]-Inventory[[#This Row],[24Bldg]])/Inventory[[#This Row],[24Bldg]],0)</f>
        <v>0.21539379474940334</v>
      </c>
      <c r="BR1370" s="43">
        <f>(Inventory[[#This Row],[Adjusted Land Total]]-Inventory[[#This Row],[24Lnd]])/Inventory[[#This Row],[24Lnd]]</f>
        <v>0</v>
      </c>
      <c r="BS1370" s="43">
        <f>(Inventory[[#This Row],[Adjusted Total]]-Inventory[[#This Row],[24Final]])/Inventory[[#This Row],[24Final]]</f>
        <v>0.15641247833622185</v>
      </c>
    </row>
    <row r="1371" spans="1:71">
      <c r="A1371" s="30">
        <v>2025</v>
      </c>
      <c r="B1371" s="31" t="s">
        <v>1890</v>
      </c>
      <c r="C1371" s="36">
        <f>LN(Inventory[[#This Row],[Acres]])</f>
        <v>-1.6094379124341003</v>
      </c>
      <c r="D1371" s="38">
        <v>0.2</v>
      </c>
      <c r="E1371" s="30">
        <v>8882</v>
      </c>
      <c r="F1371" s="31" t="s">
        <v>505</v>
      </c>
      <c r="G1371" s="31" t="s">
        <v>155</v>
      </c>
      <c r="H1371" s="31" t="s">
        <v>5</v>
      </c>
      <c r="I1371" s="31" t="s">
        <v>506</v>
      </c>
      <c r="J1371" s="31" t="s">
        <v>507</v>
      </c>
      <c r="K1371" s="31" t="s">
        <v>157</v>
      </c>
      <c r="L1371" s="31" t="s">
        <v>15</v>
      </c>
      <c r="M1371" s="31" t="s">
        <v>18</v>
      </c>
      <c r="N1371" s="31">
        <v>100</v>
      </c>
      <c r="O1371" s="31">
        <f>2024-Inventory[[#This Row],[YrBlt]]</f>
        <v>109</v>
      </c>
      <c r="P1371" s="31">
        <f>2024-Inventory[[#This Row],[EffYr]]</f>
        <v>61</v>
      </c>
      <c r="Q1371" s="30">
        <v>1915</v>
      </c>
      <c r="R1371" s="30">
        <v>1963</v>
      </c>
      <c r="S1371" s="30">
        <v>1192</v>
      </c>
      <c r="T1371" s="38">
        <v>612</v>
      </c>
      <c r="U1371" s="38">
        <v>144</v>
      </c>
      <c r="V1371" s="32"/>
      <c r="W1371" s="32"/>
      <c r="X1371" s="32">
        <f>Inventory[[#This Row],[Bsmt Area]]-Inventory[[#This Row],[FnBsmt]]</f>
        <v>144</v>
      </c>
      <c r="Y1371" s="32">
        <f>Inventory[[#This Row],[MainFn]]+Inventory[[#This Row],[UpprFn]]+Inventory[[#This Row],[AddFn]]+Inventory[[#This Row],[FnBsmt]]</f>
        <v>1804</v>
      </c>
      <c r="Z1371" s="32">
        <v>2000</v>
      </c>
      <c r="AA1371" s="31" t="s">
        <v>56</v>
      </c>
      <c r="AB1371" s="32"/>
      <c r="AC1371" s="37"/>
      <c r="AD1371" s="32"/>
      <c r="AE1371" s="32"/>
      <c r="AF1371" s="32"/>
      <c r="AG1371" s="32"/>
      <c r="AH1371" s="32"/>
      <c r="AI1371" s="30">
        <v>242998</v>
      </c>
      <c r="AJ1371" s="30">
        <v>143369</v>
      </c>
      <c r="AK1371" s="30">
        <v>0</v>
      </c>
      <c r="AL1371" s="30">
        <v>0</v>
      </c>
      <c r="AM1371" s="30">
        <v>64000</v>
      </c>
      <c r="AN1371" s="30">
        <v>213600</v>
      </c>
      <c r="AO1371" s="30">
        <v>277600</v>
      </c>
      <c r="AP1371" s="30">
        <f>Lookups!$B$58*0.6</f>
        <v>132535.48800000001</v>
      </c>
      <c r="AQ1371" s="30">
        <f>Lookups!$B$58*0.4</f>
        <v>88356.992000000013</v>
      </c>
      <c r="AR1371" s="30">
        <f>Lookups!$B$59*Inventory[[#This Row],[LnAcres]]</f>
        <v>-21122.779792355024</v>
      </c>
      <c r="AS1371" s="30">
        <f>VLOOKUP(Inventory[[#This Row],[Qlty]],Lookups!$A$66:$E$79,2,FALSE)</f>
        <v>-1240.8083630000001</v>
      </c>
      <c r="AT1371" s="30">
        <f>VLOOKUP(Inventory[[#This Row],[Cnd]],Lookups!$A$80:$E$88,2,FALSE)</f>
        <v>17761.121909000001</v>
      </c>
      <c r="AU1371" s="30">
        <f>Inventory[[#This Row],[EffAge]]*Lookups!$B$65</f>
        <v>-6633.2071000000005</v>
      </c>
      <c r="AV1371" s="30">
        <f>Inventory[[#This Row],[MainFn]]*Lookups!$B$90</f>
        <v>74393.172960000011</v>
      </c>
      <c r="AW1371" s="30">
        <f>Inventory[[#This Row],[UpprFn]]*Lookups!$B$91</f>
        <v>36463.194395999999</v>
      </c>
      <c r="AX1371" s="30">
        <f>Inventory[[#This Row],[Bsmt Area]]*Lookups!$B$95</f>
        <v>9012.4554239999998</v>
      </c>
      <c r="AY1371" s="30">
        <f>Inventory[[#This Row],[AttGar]]*Lookups!$B$93</f>
        <v>0</v>
      </c>
      <c r="AZ1371" s="30">
        <f>ROUND(Inventory[[#This Row],[25Det]],-2)</f>
        <v>0</v>
      </c>
      <c r="BA1371" s="30">
        <f>ROUND(SUM(Inventory[[#This Row],[Mdl Qlty]:[Mdl Garage Area]])+Inventory[[#This Row],[Mdl Res Intercept]],-2)</f>
        <v>262300</v>
      </c>
      <c r="BB1371" s="30">
        <f>ROUND(Inventory[[#This Row],[Mdl Land Intercept]]+Inventory[[#This Row],[Mdl LnAcres]],-2)</f>
        <v>67200</v>
      </c>
      <c r="BC1371" s="30">
        <f>Inventory[[#This Row],[Unadj Res Value]]+Inventory[[#This Row],[Unadj Det Value]]+Inventory[[#This Row],[Unadj Land Value]]</f>
        <v>329500</v>
      </c>
      <c r="BD1371" s="30">
        <f>(Inventory[[#This Row],[Unadj Total Value]]-Inventory[[#This Row],[24Final]])/Inventory[[#This Row],[24Final]]</f>
        <v>0.18695965417867436</v>
      </c>
      <c r="BE1371" s="30">
        <f>VLOOKUP(Inventory[[#This Row],[Nbhd]],Lookups!$M$3:$P$5,4,FALSE)</f>
        <v>0.99970000000000003</v>
      </c>
      <c r="BF1371" s="30">
        <f>VLOOKUP(Inventory[[#This Row],[Qlty]],Lookups!$M$8:$P$22,4,FALSE)</f>
        <v>1.0022</v>
      </c>
      <c r="BG1371" s="30">
        <f>VLOOKUP(Inventory[[#This Row],[Cnd]],Lookups!$R$8:$U$17,4,FALSE)</f>
        <v>0.99680000000000002</v>
      </c>
      <c r="BH1371" s="30">
        <f>VLOOKUP(Inventory[[#This Row],[LivArea Range]],Lookups!$R$25:$U$43,4,FALSE)</f>
        <v>1.0007999999999999</v>
      </c>
      <c r="BI1371" s="30">
        <f>VLOOKUP(Inventory[[#This Row],[Decade]],Lookups!$M$24:$P$40,4,FALSE)</f>
        <v>0.99960000000000004</v>
      </c>
      <c r="BJ1371" s="30">
        <f>Inventory[[#This Row],[Nbhd Adj]]*0.95</f>
        <v>0.94971499999999998</v>
      </c>
      <c r="BK1371" s="30">
        <f>AVERAGE(Inventory[[#This Row],[Nbhd Adj]],Inventory[[#This Row],[Quality Adj]],Inventory[[#This Row],[Condition Adj]],Inventory[[#This Row],[Living Area Adj]],Inventory[[#This Row],[Decade Adj]])*0.95</f>
        <v>0.94982900000000003</v>
      </c>
      <c r="BL1371" s="30">
        <f>ROUND((SUM(Inventory[[#This Row],[Mdl Qlty]:[Mdl Garage Area]])+Inventory[[#This Row],[Mdl Res Intercept]])*Inventory[[#This Row],[Res Adj ]],-2)</f>
        <v>249100</v>
      </c>
      <c r="BM1371" s="30">
        <f>ROUND(Inventory[[#This Row],[25Det]]*Inventory[[#This Row],[Det/Nbhd Adj]],-2)</f>
        <v>0</v>
      </c>
      <c r="BN1371" s="30">
        <f>Inventory[[#This Row],[Adjusted Res]]+Inventory[[#This Row],[Adj Det ]]</f>
        <v>249100</v>
      </c>
      <c r="BO1371" s="30">
        <f>ROUND((Inventory[[#This Row],[Mdl Land Intercept]]+Inventory[[#This Row],[Mdl LnAcres]])*Inventory[[#This Row],[Det/Nbhd Adj]],-2)</f>
        <v>63900</v>
      </c>
      <c r="BP1371" s="30">
        <f>Inventory[[#This Row],[Adjusted Impr Total]]+Inventory[[#This Row],[Adjusted Land Total]]</f>
        <v>313000</v>
      </c>
      <c r="BQ1371" s="30">
        <f>IFERROR((Inventory[[#This Row],[Adjusted Impr Total]]-Inventory[[#This Row],[24Bldg]])/Inventory[[#This Row],[24Bldg]],0)</f>
        <v>0.16619850187265917</v>
      </c>
      <c r="BR1371" s="43">
        <f>(Inventory[[#This Row],[Adjusted Land Total]]-Inventory[[#This Row],[24Lnd]])/Inventory[[#This Row],[24Lnd]]</f>
        <v>-1.5625000000000001E-3</v>
      </c>
      <c r="BS1371" s="43">
        <f>(Inventory[[#This Row],[Adjusted Total]]-Inventory[[#This Row],[24Final]])/Inventory[[#This Row],[24Final]]</f>
        <v>0.12752161383285301</v>
      </c>
    </row>
    <row r="1372" spans="1:71">
      <c r="A1372" s="30">
        <v>2025</v>
      </c>
      <c r="B1372" s="31" t="s">
        <v>1891</v>
      </c>
      <c r="C1372" s="36">
        <f>LN(Inventory[[#This Row],[Acres]])</f>
        <v>-0.59783700075562041</v>
      </c>
      <c r="D1372" s="38">
        <v>0.55000000000000004</v>
      </c>
      <c r="E1372" s="30">
        <v>23908</v>
      </c>
      <c r="F1372" s="31" t="s">
        <v>505</v>
      </c>
      <c r="G1372" s="31" t="s">
        <v>155</v>
      </c>
      <c r="H1372" s="31" t="s">
        <v>5</v>
      </c>
      <c r="I1372" s="31" t="s">
        <v>506</v>
      </c>
      <c r="J1372" s="31" t="s">
        <v>773</v>
      </c>
      <c r="K1372" s="31" t="s">
        <v>485</v>
      </c>
      <c r="L1372" s="31" t="s">
        <v>11</v>
      </c>
      <c r="M1372" s="31" t="s">
        <v>18</v>
      </c>
      <c r="N1372" s="31">
        <v>100</v>
      </c>
      <c r="O1372" s="31">
        <f>2024-Inventory[[#This Row],[YrBlt]]</f>
        <v>109</v>
      </c>
      <c r="P1372" s="31">
        <f>2024-Inventory[[#This Row],[EffYr]]</f>
        <v>61</v>
      </c>
      <c r="Q1372" s="30">
        <v>1915</v>
      </c>
      <c r="R1372" s="30">
        <v>1963</v>
      </c>
      <c r="S1372" s="30">
        <v>1104</v>
      </c>
      <c r="T1372" s="30">
        <v>200</v>
      </c>
      <c r="U1372" s="38">
        <v>840</v>
      </c>
      <c r="V1372" s="32"/>
      <c r="W1372" s="32"/>
      <c r="X1372" s="32">
        <f>Inventory[[#This Row],[Bsmt Area]]-Inventory[[#This Row],[FnBsmt]]</f>
        <v>840</v>
      </c>
      <c r="Y1372" s="32">
        <f>Inventory[[#This Row],[MainFn]]+Inventory[[#This Row],[UpprFn]]+Inventory[[#This Row],[AddFn]]+Inventory[[#This Row],[FnBsmt]]</f>
        <v>1304</v>
      </c>
      <c r="Z1372" s="32">
        <v>1500</v>
      </c>
      <c r="AA1372" s="31" t="s">
        <v>56</v>
      </c>
      <c r="AB1372" s="32"/>
      <c r="AC1372" s="32"/>
      <c r="AD1372" s="37"/>
      <c r="AE1372" s="32"/>
      <c r="AF1372" s="32"/>
      <c r="AG1372" s="32"/>
      <c r="AH1372" s="32"/>
      <c r="AI1372" s="30">
        <v>188117</v>
      </c>
      <c r="AJ1372" s="30">
        <v>110989</v>
      </c>
      <c r="AK1372" s="30">
        <v>32848</v>
      </c>
      <c r="AL1372" s="30">
        <v>0</v>
      </c>
      <c r="AM1372" s="30">
        <v>78100</v>
      </c>
      <c r="AN1372" s="30">
        <v>198500</v>
      </c>
      <c r="AO1372" s="30">
        <v>276600</v>
      </c>
      <c r="AP1372" s="30">
        <f>Lookups!$B$58*0.6</f>
        <v>132535.48800000001</v>
      </c>
      <c r="AQ1372" s="30">
        <f>Lookups!$B$58*0.4</f>
        <v>88356.992000000013</v>
      </c>
      <c r="AR1372" s="30">
        <f>Lookups!$B$59*Inventory[[#This Row],[LnAcres]]</f>
        <v>-7846.204703594005</v>
      </c>
      <c r="AS1372" s="30">
        <f>VLOOKUP(Inventory[[#This Row],[Qlty]],Lookups!$A$66:$E$79,2,FALSE)</f>
        <v>-9114.1675108666695</v>
      </c>
      <c r="AT1372" s="30">
        <f>VLOOKUP(Inventory[[#This Row],[Cnd]],Lookups!$A$80:$E$88,2,FALSE)</f>
        <v>17761.121909000001</v>
      </c>
      <c r="AU1372" s="30">
        <f>Inventory[[#This Row],[EffAge]]*Lookups!$B$65</f>
        <v>-6633.2071000000005</v>
      </c>
      <c r="AV1372" s="30">
        <f>Inventory[[#This Row],[MainFn]]*Lookups!$B$90</f>
        <v>68901.05952000001</v>
      </c>
      <c r="AW1372" s="30">
        <f>Inventory[[#This Row],[UpprFn]]*Lookups!$B$91</f>
        <v>11916.0766</v>
      </c>
      <c r="AX1372" s="30">
        <f>Inventory[[#This Row],[Bsmt Area]]*Lookups!$B$95</f>
        <v>52572.656639999994</v>
      </c>
      <c r="AY1372" s="30">
        <f>Inventory[[#This Row],[AttGar]]*Lookups!$B$93</f>
        <v>0</v>
      </c>
      <c r="AZ1372" s="30">
        <f>ROUND(Inventory[[#This Row],[25Det]],-2)</f>
        <v>32800</v>
      </c>
      <c r="BA1372" s="30">
        <f>ROUND(SUM(Inventory[[#This Row],[Mdl Qlty]:[Mdl Garage Area]])+Inventory[[#This Row],[Mdl Res Intercept]],-2)</f>
        <v>267900</v>
      </c>
      <c r="BB1372" s="30">
        <f>ROUND(Inventory[[#This Row],[Mdl Land Intercept]]+Inventory[[#This Row],[Mdl LnAcres]],-2)</f>
        <v>80500</v>
      </c>
      <c r="BC1372" s="30">
        <f>Inventory[[#This Row],[Unadj Res Value]]+Inventory[[#This Row],[Unadj Det Value]]+Inventory[[#This Row],[Unadj Land Value]]</f>
        <v>381200</v>
      </c>
      <c r="BD1372" s="30">
        <f>(Inventory[[#This Row],[Unadj Total Value]]-Inventory[[#This Row],[24Final]])/Inventory[[#This Row],[24Final]]</f>
        <v>0.3781634128705712</v>
      </c>
      <c r="BE1372" s="30">
        <f>VLOOKUP(Inventory[[#This Row],[Nbhd]],Lookups!$M$3:$P$5,4,FALSE)</f>
        <v>0.99970000000000003</v>
      </c>
      <c r="BF1372" s="30">
        <f>VLOOKUP(Inventory[[#This Row],[Qlty]],Lookups!$M$8:$P$22,4,FALSE)</f>
        <v>1</v>
      </c>
      <c r="BG1372" s="30">
        <f>VLOOKUP(Inventory[[#This Row],[Cnd]],Lookups!$R$8:$U$17,4,FALSE)</f>
        <v>0.99680000000000002</v>
      </c>
      <c r="BH1372" s="30">
        <f>VLOOKUP(Inventory[[#This Row],[LivArea Range]],Lookups!$R$25:$U$43,4,FALSE)</f>
        <v>0.99519999999999997</v>
      </c>
      <c r="BI1372" s="30">
        <f>VLOOKUP(Inventory[[#This Row],[Decade]],Lookups!$M$24:$P$40,4,FALSE)</f>
        <v>0.99960000000000004</v>
      </c>
      <c r="BJ1372" s="30">
        <f>Inventory[[#This Row],[Nbhd Adj]]*0.95</f>
        <v>0.94971499999999998</v>
      </c>
      <c r="BK1372" s="30">
        <f>AVERAGE(Inventory[[#This Row],[Nbhd Adj]],Inventory[[#This Row],[Quality Adj]],Inventory[[#This Row],[Condition Adj]],Inventory[[#This Row],[Living Area Adj]],Inventory[[#This Row],[Decade Adj]])*0.95</f>
        <v>0.94834700000000005</v>
      </c>
      <c r="BL1372" s="30">
        <f>ROUND((SUM(Inventory[[#This Row],[Mdl Qlty]:[Mdl Garage Area]])+Inventory[[#This Row],[Mdl Res Intercept]])*Inventory[[#This Row],[Res Adj ]],-2)</f>
        <v>254100</v>
      </c>
      <c r="BM1372" s="30">
        <f>ROUND(Inventory[[#This Row],[25Det]]*Inventory[[#This Row],[Det/Nbhd Adj]],-2)</f>
        <v>31200</v>
      </c>
      <c r="BN1372" s="30">
        <f>Inventory[[#This Row],[Adjusted Res]]+Inventory[[#This Row],[Adj Det ]]</f>
        <v>285300</v>
      </c>
      <c r="BO1372" s="30">
        <f>ROUND((Inventory[[#This Row],[Mdl Land Intercept]]+Inventory[[#This Row],[Mdl LnAcres]])*Inventory[[#This Row],[Det/Nbhd Adj]],-2)</f>
        <v>76500</v>
      </c>
      <c r="BP1372" s="30">
        <f>Inventory[[#This Row],[Adjusted Impr Total]]+Inventory[[#This Row],[Adjusted Land Total]]</f>
        <v>361800</v>
      </c>
      <c r="BQ1372" s="30">
        <f>IFERROR((Inventory[[#This Row],[Adjusted Impr Total]]-Inventory[[#This Row],[24Bldg]])/Inventory[[#This Row],[24Bldg]],0)</f>
        <v>0.43727959697732999</v>
      </c>
      <c r="BR1372" s="43">
        <f>(Inventory[[#This Row],[Adjusted Land Total]]-Inventory[[#This Row],[24Lnd]])/Inventory[[#This Row],[24Lnd]]</f>
        <v>-2.0486555697823303E-2</v>
      </c>
      <c r="BS1372" s="43">
        <f>(Inventory[[#This Row],[Adjusted Total]]-Inventory[[#This Row],[24Final]])/Inventory[[#This Row],[24Final]]</f>
        <v>0.30802603036876358</v>
      </c>
    </row>
    <row r="1373" spans="1:71">
      <c r="A1373" s="30">
        <v>2025</v>
      </c>
      <c r="B1373" s="31" t="s">
        <v>1892</v>
      </c>
      <c r="C1373" s="36">
        <f>LN(Inventory[[#This Row],[Acres]])</f>
        <v>-0.2744368457017603</v>
      </c>
      <c r="D1373" s="38">
        <v>0.76</v>
      </c>
      <c r="E1373" s="30">
        <v>33119</v>
      </c>
      <c r="F1373" s="31" t="s">
        <v>505</v>
      </c>
      <c r="G1373" s="31" t="s">
        <v>155</v>
      </c>
      <c r="H1373" s="31" t="s">
        <v>5</v>
      </c>
      <c r="I1373" s="31" t="s">
        <v>506</v>
      </c>
      <c r="J1373" s="31" t="s">
        <v>507</v>
      </c>
      <c r="K1373" s="31" t="s">
        <v>157</v>
      </c>
      <c r="L1373" s="31" t="s">
        <v>13</v>
      </c>
      <c r="M1373" s="31" t="s">
        <v>18</v>
      </c>
      <c r="N1373" s="31">
        <v>100</v>
      </c>
      <c r="O1373" s="31">
        <f>2024-Inventory[[#This Row],[YrBlt]]</f>
        <v>109</v>
      </c>
      <c r="P1373" s="31">
        <f>2024-Inventory[[#This Row],[EffYr]]</f>
        <v>61</v>
      </c>
      <c r="Q1373" s="30">
        <v>1915</v>
      </c>
      <c r="R1373" s="30">
        <v>1963</v>
      </c>
      <c r="S1373" s="30">
        <v>1227</v>
      </c>
      <c r="T1373" s="38">
        <v>684</v>
      </c>
      <c r="U1373" s="32"/>
      <c r="V1373" s="32"/>
      <c r="W1373" s="32"/>
      <c r="X1373" s="32">
        <f>Inventory[[#This Row],[Bsmt Area]]-Inventory[[#This Row],[FnBsmt]]</f>
        <v>0</v>
      </c>
      <c r="Y1373" s="32">
        <f>Inventory[[#This Row],[MainFn]]+Inventory[[#This Row],[UpprFn]]+Inventory[[#This Row],[AddFn]]+Inventory[[#This Row],[FnBsmt]]</f>
        <v>1911</v>
      </c>
      <c r="Z1373" s="32">
        <v>2000</v>
      </c>
      <c r="AA1373" s="31" t="s">
        <v>56</v>
      </c>
      <c r="AB1373" s="37"/>
      <c r="AC1373" s="37"/>
      <c r="AD1373" s="32"/>
      <c r="AE1373" s="32"/>
      <c r="AF1373" s="32"/>
      <c r="AG1373" s="32"/>
      <c r="AH1373" s="32"/>
      <c r="AI1373" s="30">
        <v>232856</v>
      </c>
      <c r="AJ1373" s="30">
        <v>137385</v>
      </c>
      <c r="AK1373" s="30">
        <v>8662</v>
      </c>
      <c r="AL1373" s="30">
        <v>0</v>
      </c>
      <c r="AM1373" s="30">
        <v>82700</v>
      </c>
      <c r="AN1373" s="30">
        <v>227200</v>
      </c>
      <c r="AO1373" s="30">
        <v>309900</v>
      </c>
      <c r="AP1373" s="30">
        <f>Lookups!$B$58*0.6</f>
        <v>132535.48800000001</v>
      </c>
      <c r="AQ1373" s="30">
        <f>Lookups!$B$58*0.4</f>
        <v>88356.992000000013</v>
      </c>
      <c r="AR1373" s="30">
        <f>Lookups!$B$59*Inventory[[#This Row],[LnAcres]]</f>
        <v>-3601.7972572173726</v>
      </c>
      <c r="AS1373" s="30">
        <f>VLOOKUP(Inventory[[#This Row],[Qlty]],Lookups!$A$66:$E$79,2,FALSE)</f>
        <v>0</v>
      </c>
      <c r="AT1373" s="30">
        <f>VLOOKUP(Inventory[[#This Row],[Cnd]],Lookups!$A$80:$E$88,2,FALSE)</f>
        <v>17761.121909000001</v>
      </c>
      <c r="AU1373" s="30">
        <f>Inventory[[#This Row],[EffAge]]*Lookups!$B$65</f>
        <v>-6633.2071000000005</v>
      </c>
      <c r="AV1373" s="30">
        <f>Inventory[[#This Row],[MainFn]]*Lookups!$B$90</f>
        <v>76577.536260000008</v>
      </c>
      <c r="AW1373" s="30">
        <f>Inventory[[#This Row],[UpprFn]]*Lookups!$B$91</f>
        <v>40752.981972000001</v>
      </c>
      <c r="AX1373" s="30">
        <f>Inventory[[#This Row],[Bsmt Area]]*Lookups!$B$95</f>
        <v>0</v>
      </c>
      <c r="AY1373" s="30">
        <f>Inventory[[#This Row],[AttGar]]*Lookups!$B$93</f>
        <v>0</v>
      </c>
      <c r="AZ1373" s="30">
        <f>ROUND(Inventory[[#This Row],[25Det]],-2)</f>
        <v>8700</v>
      </c>
      <c r="BA1373" s="30">
        <f>ROUND(SUM(Inventory[[#This Row],[Mdl Qlty]:[Mdl Garage Area]])+Inventory[[#This Row],[Mdl Res Intercept]],-2)</f>
        <v>261000</v>
      </c>
      <c r="BB1373" s="30">
        <f>ROUND(Inventory[[#This Row],[Mdl Land Intercept]]+Inventory[[#This Row],[Mdl LnAcres]],-2)</f>
        <v>84800</v>
      </c>
      <c r="BC1373" s="30">
        <f>Inventory[[#This Row],[Unadj Res Value]]+Inventory[[#This Row],[Unadj Det Value]]+Inventory[[#This Row],[Unadj Land Value]]</f>
        <v>354500</v>
      </c>
      <c r="BD1373" s="30">
        <f>(Inventory[[#This Row],[Unadj Total Value]]-Inventory[[#This Row],[24Final]])/Inventory[[#This Row],[24Final]]</f>
        <v>0.14391739270732495</v>
      </c>
      <c r="BE1373" s="30">
        <f>VLOOKUP(Inventory[[#This Row],[Nbhd]],Lookups!$M$3:$P$5,4,FALSE)</f>
        <v>0.99970000000000003</v>
      </c>
      <c r="BF1373" s="30">
        <f>VLOOKUP(Inventory[[#This Row],[Qlty]],Lookups!$M$8:$P$22,4,FALSE)</f>
        <v>1.0003</v>
      </c>
      <c r="BG1373" s="30">
        <f>VLOOKUP(Inventory[[#This Row],[Cnd]],Lookups!$R$8:$U$17,4,FALSE)</f>
        <v>0.99680000000000002</v>
      </c>
      <c r="BH1373" s="30">
        <f>VLOOKUP(Inventory[[#This Row],[LivArea Range]],Lookups!$R$25:$U$43,4,FALSE)</f>
        <v>1.0007999999999999</v>
      </c>
      <c r="BI1373" s="30">
        <f>VLOOKUP(Inventory[[#This Row],[Decade]],Lookups!$M$24:$P$40,4,FALSE)</f>
        <v>0.99960000000000004</v>
      </c>
      <c r="BJ1373" s="30">
        <f>Inventory[[#This Row],[Nbhd Adj]]*0.95</f>
        <v>0.94971499999999998</v>
      </c>
      <c r="BK1373" s="30">
        <f>AVERAGE(Inventory[[#This Row],[Nbhd Adj]],Inventory[[#This Row],[Quality Adj]],Inventory[[#This Row],[Condition Adj]],Inventory[[#This Row],[Living Area Adj]],Inventory[[#This Row],[Decade Adj]])*0.95</f>
        <v>0.94946799999999987</v>
      </c>
      <c r="BL1373" s="30">
        <f>ROUND((SUM(Inventory[[#This Row],[Mdl Qlty]:[Mdl Garage Area]])+Inventory[[#This Row],[Mdl Res Intercept]])*Inventory[[#This Row],[Res Adj ]],-2)</f>
        <v>247800</v>
      </c>
      <c r="BM1373" s="30">
        <f>ROUND(Inventory[[#This Row],[25Det]]*Inventory[[#This Row],[Det/Nbhd Adj]],-2)</f>
        <v>8200</v>
      </c>
      <c r="BN1373" s="30">
        <f>Inventory[[#This Row],[Adjusted Res]]+Inventory[[#This Row],[Adj Det ]]</f>
        <v>256000</v>
      </c>
      <c r="BO1373" s="30">
        <f>ROUND((Inventory[[#This Row],[Mdl Land Intercept]]+Inventory[[#This Row],[Mdl LnAcres]])*Inventory[[#This Row],[Det/Nbhd Adj]],-2)</f>
        <v>80500</v>
      </c>
      <c r="BP1373" s="30">
        <f>Inventory[[#This Row],[Adjusted Impr Total]]+Inventory[[#This Row],[Adjusted Land Total]]</f>
        <v>336500</v>
      </c>
      <c r="BQ1373" s="30">
        <f>IFERROR((Inventory[[#This Row],[Adjusted Impr Total]]-Inventory[[#This Row],[24Bldg]])/Inventory[[#This Row],[24Bldg]],0)</f>
        <v>0.12676056338028169</v>
      </c>
      <c r="BR1373" s="43">
        <f>(Inventory[[#This Row],[Adjusted Land Total]]-Inventory[[#This Row],[24Lnd]])/Inventory[[#This Row],[24Lnd]]</f>
        <v>-2.6602176541717048E-2</v>
      </c>
      <c r="BS1373" s="43">
        <f>(Inventory[[#This Row],[Adjusted Total]]-Inventory[[#This Row],[24Final]])/Inventory[[#This Row],[24Final]]</f>
        <v>8.5834140045175866E-2</v>
      </c>
    </row>
    <row r="1374" spans="1:71">
      <c r="A1374" s="30">
        <v>2025</v>
      </c>
      <c r="B1374" s="31" t="s">
        <v>1893</v>
      </c>
      <c r="C1374" s="36">
        <f>LN(Inventory[[#This Row],[Acres]])</f>
        <v>4.8790164169432049E-2</v>
      </c>
      <c r="D1374" s="38">
        <v>1.05</v>
      </c>
      <c r="E1374" s="30">
        <v>45631</v>
      </c>
      <c r="F1374" s="31" t="s">
        <v>505</v>
      </c>
      <c r="G1374" s="31" t="s">
        <v>155</v>
      </c>
      <c r="H1374" s="31" t="s">
        <v>5</v>
      </c>
      <c r="I1374" s="31" t="s">
        <v>506</v>
      </c>
      <c r="J1374" s="31" t="s">
        <v>507</v>
      </c>
      <c r="K1374" s="31" t="s">
        <v>485</v>
      </c>
      <c r="L1374" s="31" t="s">
        <v>11</v>
      </c>
      <c r="M1374" s="31" t="s">
        <v>18</v>
      </c>
      <c r="N1374" s="31">
        <v>100</v>
      </c>
      <c r="O1374" s="31">
        <f>2024-Inventory[[#This Row],[YrBlt]]</f>
        <v>109</v>
      </c>
      <c r="P1374" s="31">
        <f>2024-Inventory[[#This Row],[EffYr]]</f>
        <v>49</v>
      </c>
      <c r="Q1374" s="30">
        <v>1915</v>
      </c>
      <c r="R1374" s="30">
        <v>1975</v>
      </c>
      <c r="S1374" s="30">
        <v>1008</v>
      </c>
      <c r="T1374" s="38">
        <v>384</v>
      </c>
      <c r="U1374" s="32"/>
      <c r="V1374" s="32"/>
      <c r="W1374" s="32"/>
      <c r="X1374" s="32">
        <f>Inventory[[#This Row],[Bsmt Area]]-Inventory[[#This Row],[FnBsmt]]</f>
        <v>0</v>
      </c>
      <c r="Y1374" s="32">
        <f>Inventory[[#This Row],[MainFn]]+Inventory[[#This Row],[UpprFn]]+Inventory[[#This Row],[AddFn]]+Inventory[[#This Row],[FnBsmt]]</f>
        <v>1392</v>
      </c>
      <c r="Z1374" s="32">
        <v>1500</v>
      </c>
      <c r="AA1374" s="31" t="s">
        <v>56</v>
      </c>
      <c r="AB1374" s="32"/>
      <c r="AC1374" s="37"/>
      <c r="AD1374" s="32"/>
      <c r="AE1374" s="32"/>
      <c r="AF1374" s="32"/>
      <c r="AG1374" s="32"/>
      <c r="AH1374" s="32"/>
      <c r="AI1374" s="30">
        <v>187375</v>
      </c>
      <c r="AJ1374" s="30">
        <v>133036</v>
      </c>
      <c r="AK1374" s="30">
        <v>0</v>
      </c>
      <c r="AL1374" s="30">
        <v>0</v>
      </c>
      <c r="AM1374" s="30">
        <v>87200</v>
      </c>
      <c r="AN1374" s="30">
        <v>176200</v>
      </c>
      <c r="AO1374" s="30">
        <v>263400</v>
      </c>
      <c r="AP1374" s="30">
        <f>Lookups!$B$58*0.6</f>
        <v>132535.48800000001</v>
      </c>
      <c r="AQ1374" s="30">
        <f>Lookups!$B$58*0.4</f>
        <v>88356.992000000013</v>
      </c>
      <c r="AR1374" s="30">
        <f>Lookups!$B$59*Inventory[[#This Row],[LnAcres]]</f>
        <v>640.33777620232456</v>
      </c>
      <c r="AS1374" s="30">
        <f>VLOOKUP(Inventory[[#This Row],[Qlty]],Lookups!$A$66:$E$79,2,FALSE)</f>
        <v>-9114.1675108666695</v>
      </c>
      <c r="AT1374" s="30">
        <f>VLOOKUP(Inventory[[#This Row],[Cnd]],Lookups!$A$80:$E$88,2,FALSE)</f>
        <v>17761.121909000001</v>
      </c>
      <c r="AU1374" s="30">
        <f>Inventory[[#This Row],[EffAge]]*Lookups!$B$65</f>
        <v>-5328.3139000000001</v>
      </c>
      <c r="AV1374" s="30">
        <f>Inventory[[#This Row],[MainFn]]*Lookups!$B$90</f>
        <v>62909.663040000007</v>
      </c>
      <c r="AW1374" s="30">
        <f>Inventory[[#This Row],[UpprFn]]*Lookups!$B$91</f>
        <v>22878.867072000001</v>
      </c>
      <c r="AX1374" s="30">
        <f>Inventory[[#This Row],[Bsmt Area]]*Lookups!$B$95</f>
        <v>0</v>
      </c>
      <c r="AY1374" s="30">
        <f>Inventory[[#This Row],[AttGar]]*Lookups!$B$93</f>
        <v>0</v>
      </c>
      <c r="AZ1374" s="30">
        <f>ROUND(Inventory[[#This Row],[25Det]],-2)</f>
        <v>0</v>
      </c>
      <c r="BA1374" s="30">
        <f>ROUND(SUM(Inventory[[#This Row],[Mdl Qlty]:[Mdl Garage Area]])+Inventory[[#This Row],[Mdl Res Intercept]],-2)</f>
        <v>221600</v>
      </c>
      <c r="BB1374" s="30">
        <f>ROUND(Inventory[[#This Row],[Mdl Land Intercept]]+Inventory[[#This Row],[Mdl LnAcres]],-2)</f>
        <v>89000</v>
      </c>
      <c r="BC1374" s="30">
        <f>Inventory[[#This Row],[Unadj Res Value]]+Inventory[[#This Row],[Unadj Det Value]]+Inventory[[#This Row],[Unadj Land Value]]</f>
        <v>310600</v>
      </c>
      <c r="BD1374" s="30">
        <f>(Inventory[[#This Row],[Unadj Total Value]]-Inventory[[#This Row],[24Final]])/Inventory[[#This Row],[24Final]]</f>
        <v>0.1791951404707669</v>
      </c>
      <c r="BE1374" s="30">
        <f>VLOOKUP(Inventory[[#This Row],[Nbhd]],Lookups!$M$3:$P$5,4,FALSE)</f>
        <v>0.99970000000000003</v>
      </c>
      <c r="BF1374" s="30">
        <f>VLOOKUP(Inventory[[#This Row],[Qlty]],Lookups!$M$8:$P$22,4,FALSE)</f>
        <v>1</v>
      </c>
      <c r="BG1374" s="30">
        <f>VLOOKUP(Inventory[[#This Row],[Cnd]],Lookups!$R$8:$U$17,4,FALSE)</f>
        <v>0.99680000000000002</v>
      </c>
      <c r="BH1374" s="30">
        <f>VLOOKUP(Inventory[[#This Row],[LivArea Range]],Lookups!$R$25:$U$43,4,FALSE)</f>
        <v>0.99519999999999997</v>
      </c>
      <c r="BI1374" s="30">
        <f>VLOOKUP(Inventory[[#This Row],[Decade]],Lookups!$M$24:$P$40,4,FALSE)</f>
        <v>0.99960000000000004</v>
      </c>
      <c r="BJ1374" s="30">
        <f>Inventory[[#This Row],[Nbhd Adj]]*0.95</f>
        <v>0.94971499999999998</v>
      </c>
      <c r="BK1374" s="30">
        <f>AVERAGE(Inventory[[#This Row],[Nbhd Adj]],Inventory[[#This Row],[Quality Adj]],Inventory[[#This Row],[Condition Adj]],Inventory[[#This Row],[Living Area Adj]],Inventory[[#This Row],[Decade Adj]])*0.95</f>
        <v>0.94834700000000005</v>
      </c>
      <c r="BL1374" s="30">
        <f>ROUND((SUM(Inventory[[#This Row],[Mdl Qlty]:[Mdl Garage Area]])+Inventory[[#This Row],[Mdl Res Intercept]])*Inventory[[#This Row],[Res Adj ]],-2)</f>
        <v>210200</v>
      </c>
      <c r="BM1374" s="30">
        <f>ROUND(Inventory[[#This Row],[25Det]]*Inventory[[#This Row],[Det/Nbhd Adj]],-2)</f>
        <v>0</v>
      </c>
      <c r="BN1374" s="30">
        <f>Inventory[[#This Row],[Adjusted Res]]+Inventory[[#This Row],[Adj Det ]]</f>
        <v>210200</v>
      </c>
      <c r="BO1374" s="30">
        <f>ROUND((Inventory[[#This Row],[Mdl Land Intercept]]+Inventory[[#This Row],[Mdl LnAcres]])*Inventory[[#This Row],[Det/Nbhd Adj]],-2)</f>
        <v>84500</v>
      </c>
      <c r="BP1374" s="30">
        <f>Inventory[[#This Row],[Adjusted Impr Total]]+Inventory[[#This Row],[Adjusted Land Total]]</f>
        <v>294700</v>
      </c>
      <c r="BQ1374" s="30">
        <f>IFERROR((Inventory[[#This Row],[Adjusted Impr Total]]-Inventory[[#This Row],[24Bldg]])/Inventory[[#This Row],[24Bldg]],0)</f>
        <v>0.19296254256526674</v>
      </c>
      <c r="BR1374" s="43">
        <f>(Inventory[[#This Row],[Adjusted Land Total]]-Inventory[[#This Row],[24Lnd]])/Inventory[[#This Row],[24Lnd]]</f>
        <v>-3.096330275229358E-2</v>
      </c>
      <c r="BS1374" s="43">
        <f>(Inventory[[#This Row],[Adjusted Total]]-Inventory[[#This Row],[24Final]])/Inventory[[#This Row],[24Final]]</f>
        <v>0.11883067577828398</v>
      </c>
    </row>
    <row r="1375" spans="1:71">
      <c r="A1375" s="30">
        <v>2025</v>
      </c>
      <c r="B1375" s="31" t="s">
        <v>1894</v>
      </c>
      <c r="C1375" s="36">
        <f>LN(Inventory[[#This Row],[Acres]])</f>
        <v>-2.0402208285265546</v>
      </c>
      <c r="D1375" s="38">
        <v>0.13</v>
      </c>
      <c r="E1375" s="30">
        <v>5572</v>
      </c>
      <c r="F1375" s="31" t="s">
        <v>505</v>
      </c>
      <c r="G1375" s="31" t="s">
        <v>155</v>
      </c>
      <c r="H1375" s="31" t="s">
        <v>5</v>
      </c>
      <c r="I1375" s="31" t="s">
        <v>506</v>
      </c>
      <c r="J1375" s="31" t="s">
        <v>507</v>
      </c>
      <c r="K1375" s="31" t="s">
        <v>475</v>
      </c>
      <c r="L1375" s="31" t="s">
        <v>11</v>
      </c>
      <c r="M1375" s="31" t="s">
        <v>18</v>
      </c>
      <c r="N1375" s="31">
        <v>110</v>
      </c>
      <c r="O1375" s="31">
        <f>2024-Inventory[[#This Row],[YrBlt]]</f>
        <v>114</v>
      </c>
      <c r="P1375" s="31">
        <f>2024-Inventory[[#This Row],[EffYr]]</f>
        <v>66</v>
      </c>
      <c r="Q1375" s="30">
        <v>1910</v>
      </c>
      <c r="R1375" s="30">
        <v>1958</v>
      </c>
      <c r="S1375" s="30">
        <v>780</v>
      </c>
      <c r="T1375" s="32"/>
      <c r="U1375" s="32"/>
      <c r="V1375" s="32"/>
      <c r="W1375" s="32"/>
      <c r="X1375" s="32">
        <f>Inventory[[#This Row],[Bsmt Area]]-Inventory[[#This Row],[FnBsmt]]</f>
        <v>0</v>
      </c>
      <c r="Y1375" s="32">
        <f>Inventory[[#This Row],[MainFn]]+Inventory[[#This Row],[UpprFn]]+Inventory[[#This Row],[AddFn]]+Inventory[[#This Row],[FnBsmt]]</f>
        <v>780</v>
      </c>
      <c r="Z1375" s="32">
        <v>1000</v>
      </c>
      <c r="AA1375" s="31" t="s">
        <v>56</v>
      </c>
      <c r="AB1375" s="32"/>
      <c r="AC1375" s="37"/>
      <c r="AD1375" s="32"/>
      <c r="AE1375" s="32"/>
      <c r="AF1375" s="32"/>
      <c r="AG1375" s="32"/>
      <c r="AH1375" s="32"/>
      <c r="AI1375" s="30">
        <v>111398</v>
      </c>
      <c r="AJ1375" s="30">
        <v>61269</v>
      </c>
      <c r="AK1375" s="30">
        <v>7573</v>
      </c>
      <c r="AL1375" s="30">
        <v>0</v>
      </c>
      <c r="AM1375" s="30">
        <v>57900</v>
      </c>
      <c r="AN1375" s="30">
        <v>141400</v>
      </c>
      <c r="AO1375" s="30">
        <v>199300</v>
      </c>
      <c r="AP1375" s="30">
        <f>Lookups!$B$58*0.6</f>
        <v>132535.48800000001</v>
      </c>
      <c r="AQ1375" s="30">
        <f>Lookups!$B$58*0.4</f>
        <v>88356.992000000013</v>
      </c>
      <c r="AR1375" s="30">
        <f>Lookups!$B$59*Inventory[[#This Row],[LnAcres]]</f>
        <v>-26776.513064468461</v>
      </c>
      <c r="AS1375" s="30">
        <f>VLOOKUP(Inventory[[#This Row],[Qlty]],Lookups!$A$66:$E$79,2,FALSE)</f>
        <v>-9114.1675108666695</v>
      </c>
      <c r="AT1375" s="30">
        <f>VLOOKUP(Inventory[[#This Row],[Cnd]],Lookups!$A$80:$E$88,2,FALSE)</f>
        <v>17761.121909000001</v>
      </c>
      <c r="AU1375" s="30">
        <f>Inventory[[#This Row],[EffAge]]*Lookups!$B$65</f>
        <v>-7176.9126000000006</v>
      </c>
      <c r="AV1375" s="30">
        <f>Inventory[[#This Row],[MainFn]]*Lookups!$B$90</f>
        <v>48680.096400000002</v>
      </c>
      <c r="AW1375" s="30">
        <f>Inventory[[#This Row],[UpprFn]]*Lookups!$B$91</f>
        <v>0</v>
      </c>
      <c r="AX1375" s="30">
        <f>Inventory[[#This Row],[Bsmt Area]]*Lookups!$B$95</f>
        <v>0</v>
      </c>
      <c r="AY1375" s="30">
        <f>Inventory[[#This Row],[AttGar]]*Lookups!$B$93</f>
        <v>0</v>
      </c>
      <c r="AZ1375" s="30">
        <f>ROUND(Inventory[[#This Row],[25Det]],-2)</f>
        <v>7600</v>
      </c>
      <c r="BA1375" s="30">
        <f>ROUND(SUM(Inventory[[#This Row],[Mdl Qlty]:[Mdl Garage Area]])+Inventory[[#This Row],[Mdl Res Intercept]],-2)</f>
        <v>182700</v>
      </c>
      <c r="BB1375" s="30">
        <f>ROUND(Inventory[[#This Row],[Mdl Land Intercept]]+Inventory[[#This Row],[Mdl LnAcres]],-2)</f>
        <v>61600</v>
      </c>
      <c r="BC1375" s="30">
        <f>Inventory[[#This Row],[Unadj Res Value]]+Inventory[[#This Row],[Unadj Det Value]]+Inventory[[#This Row],[Unadj Land Value]]</f>
        <v>251900</v>
      </c>
      <c r="BD1375" s="30">
        <f>(Inventory[[#This Row],[Unadj Total Value]]-Inventory[[#This Row],[24Final]])/Inventory[[#This Row],[24Final]]</f>
        <v>0.26392373306573008</v>
      </c>
      <c r="BE1375" s="30">
        <f>VLOOKUP(Inventory[[#This Row],[Nbhd]],Lookups!$M$3:$P$5,4,FALSE)</f>
        <v>0.99970000000000003</v>
      </c>
      <c r="BF1375" s="30">
        <f>VLOOKUP(Inventory[[#This Row],[Qlty]],Lookups!$M$8:$P$22,4,FALSE)</f>
        <v>1</v>
      </c>
      <c r="BG1375" s="30">
        <f>VLOOKUP(Inventory[[#This Row],[Cnd]],Lookups!$R$8:$U$17,4,FALSE)</f>
        <v>0.99680000000000002</v>
      </c>
      <c r="BH1375" s="30">
        <f>VLOOKUP(Inventory[[#This Row],[LivArea Range]],Lookups!$R$25:$U$43,4,FALSE)</f>
        <v>1</v>
      </c>
      <c r="BI1375" s="30">
        <f>VLOOKUP(Inventory[[#This Row],[Decade]],Lookups!$M$24:$P$40,4,FALSE)</f>
        <v>0.98240000000000005</v>
      </c>
      <c r="BJ1375" s="30">
        <f>Inventory[[#This Row],[Nbhd Adj]]*0.95</f>
        <v>0.94971499999999998</v>
      </c>
      <c r="BK1375" s="30">
        <f>AVERAGE(Inventory[[#This Row],[Nbhd Adj]],Inventory[[#This Row],[Quality Adj]],Inventory[[#This Row],[Condition Adj]],Inventory[[#This Row],[Living Area Adj]],Inventory[[#This Row],[Decade Adj]])*0.95</f>
        <v>0.94599100000000003</v>
      </c>
      <c r="BL1375" s="30">
        <f>ROUND((SUM(Inventory[[#This Row],[Mdl Qlty]:[Mdl Garage Area]])+Inventory[[#This Row],[Mdl Res Intercept]])*Inventory[[#This Row],[Res Adj ]],-2)</f>
        <v>172800</v>
      </c>
      <c r="BM1375" s="30">
        <f>ROUND(Inventory[[#This Row],[25Det]]*Inventory[[#This Row],[Det/Nbhd Adj]],-2)</f>
        <v>7200</v>
      </c>
      <c r="BN1375" s="30">
        <f>Inventory[[#This Row],[Adjusted Res]]+Inventory[[#This Row],[Adj Det ]]</f>
        <v>180000</v>
      </c>
      <c r="BO1375" s="30">
        <f>ROUND((Inventory[[#This Row],[Mdl Land Intercept]]+Inventory[[#This Row],[Mdl LnAcres]])*Inventory[[#This Row],[Det/Nbhd Adj]],-2)</f>
        <v>58500</v>
      </c>
      <c r="BP1375" s="30">
        <f>Inventory[[#This Row],[Adjusted Impr Total]]+Inventory[[#This Row],[Adjusted Land Total]]</f>
        <v>238500</v>
      </c>
      <c r="BQ1375" s="30">
        <f>IFERROR((Inventory[[#This Row],[Adjusted Impr Total]]-Inventory[[#This Row],[24Bldg]])/Inventory[[#This Row],[24Bldg]],0)</f>
        <v>0.27298444130127297</v>
      </c>
      <c r="BR1375" s="43">
        <f>(Inventory[[#This Row],[Adjusted Land Total]]-Inventory[[#This Row],[24Lnd]])/Inventory[[#This Row],[24Lnd]]</f>
        <v>1.0362694300518135E-2</v>
      </c>
      <c r="BS1375" s="43">
        <f>(Inventory[[#This Row],[Adjusted Total]]-Inventory[[#This Row],[24Final]])/Inventory[[#This Row],[24Final]]</f>
        <v>0.19668840943301555</v>
      </c>
    </row>
    <row r="1376" spans="1:71">
      <c r="A1376" s="30">
        <v>2025</v>
      </c>
      <c r="B1376" s="31" t="s">
        <v>1895</v>
      </c>
      <c r="C1376" s="36">
        <f>LN(Inventory[[#This Row],[Acres]])</f>
        <v>-1.4696759700589417</v>
      </c>
      <c r="D1376" s="38">
        <v>0.23</v>
      </c>
      <c r="E1376" s="30">
        <v>10215</v>
      </c>
      <c r="F1376" s="31" t="s">
        <v>505</v>
      </c>
      <c r="G1376" s="31" t="s">
        <v>155</v>
      </c>
      <c r="H1376" s="31" t="s">
        <v>5</v>
      </c>
      <c r="I1376" s="31" t="s">
        <v>506</v>
      </c>
      <c r="J1376" s="31" t="s">
        <v>507</v>
      </c>
      <c r="K1376" s="31" t="s">
        <v>157</v>
      </c>
      <c r="L1376" s="31" t="s">
        <v>17</v>
      </c>
      <c r="M1376" s="31" t="s">
        <v>20</v>
      </c>
      <c r="N1376" s="31">
        <v>110</v>
      </c>
      <c r="O1376" s="31">
        <f>2024-Inventory[[#This Row],[YrBlt]]</f>
        <v>114</v>
      </c>
      <c r="P1376" s="31">
        <f>2024-Inventory[[#This Row],[EffYr]]</f>
        <v>66</v>
      </c>
      <c r="Q1376" s="30">
        <v>1910</v>
      </c>
      <c r="R1376" s="30">
        <v>1958</v>
      </c>
      <c r="S1376" s="30">
        <v>1341</v>
      </c>
      <c r="T1376" s="38">
        <v>648</v>
      </c>
      <c r="U1376" s="38">
        <v>144</v>
      </c>
      <c r="V1376" s="32"/>
      <c r="W1376" s="32"/>
      <c r="X1376" s="32">
        <f>Inventory[[#This Row],[Bsmt Area]]-Inventory[[#This Row],[FnBsmt]]</f>
        <v>144</v>
      </c>
      <c r="Y1376" s="32">
        <f>Inventory[[#This Row],[MainFn]]+Inventory[[#This Row],[UpprFn]]+Inventory[[#This Row],[AddFn]]+Inventory[[#This Row],[FnBsmt]]</f>
        <v>1989</v>
      </c>
      <c r="Z1376" s="32">
        <v>2000</v>
      </c>
      <c r="AA1376" s="31" t="s">
        <v>56</v>
      </c>
      <c r="AB1376" s="37"/>
      <c r="AC1376" s="37"/>
      <c r="AD1376" s="32"/>
      <c r="AE1376" s="32"/>
      <c r="AF1376" s="32"/>
      <c r="AG1376" s="32"/>
      <c r="AH1376" s="32"/>
      <c r="AI1376" s="30">
        <v>293097</v>
      </c>
      <c r="AJ1376" s="30">
        <v>167065</v>
      </c>
      <c r="AK1376" s="30">
        <v>28507</v>
      </c>
      <c r="AL1376" s="30">
        <v>0</v>
      </c>
      <c r="AM1376" s="30">
        <v>65900</v>
      </c>
      <c r="AN1376" s="30">
        <v>270400</v>
      </c>
      <c r="AO1376" s="30">
        <v>336300</v>
      </c>
      <c r="AP1376" s="30">
        <f>Lookups!$B$58*0.6</f>
        <v>132535.48800000001</v>
      </c>
      <c r="AQ1376" s="30">
        <f>Lookups!$B$58*0.4</f>
        <v>88356.992000000013</v>
      </c>
      <c r="AR1376" s="30">
        <f>Lookups!$B$59*Inventory[[#This Row],[LnAcres]]</f>
        <v>-19288.499197039939</v>
      </c>
      <c r="AS1376" s="30">
        <f>VLOOKUP(Inventory[[#This Row],[Qlty]],Lookups!$A$66:$E$79,2,FALSE)</f>
        <v>24371.765965999999</v>
      </c>
      <c r="AT1376" s="30">
        <f>VLOOKUP(Inventory[[#This Row],[Cnd]],Lookups!$A$80:$E$88,2,FALSE)</f>
        <v>30300.329274</v>
      </c>
      <c r="AU1376" s="30">
        <f>Inventory[[#This Row],[EffAge]]*Lookups!$B$65</f>
        <v>-7176.9126000000006</v>
      </c>
      <c r="AV1376" s="30">
        <f>Inventory[[#This Row],[MainFn]]*Lookups!$B$90</f>
        <v>83692.31958000001</v>
      </c>
      <c r="AW1376" s="30">
        <f>Inventory[[#This Row],[UpprFn]]*Lookups!$B$91</f>
        <v>38608.088184</v>
      </c>
      <c r="AX1376" s="30">
        <f>Inventory[[#This Row],[Bsmt Area]]*Lookups!$B$95</f>
        <v>9012.4554239999998</v>
      </c>
      <c r="AY1376" s="30">
        <f>Inventory[[#This Row],[AttGar]]*Lookups!$B$93</f>
        <v>0</v>
      </c>
      <c r="AZ1376" s="30">
        <f>ROUND(Inventory[[#This Row],[25Det]],-2)</f>
        <v>28500</v>
      </c>
      <c r="BA1376" s="30">
        <f>ROUND(SUM(Inventory[[#This Row],[Mdl Qlty]:[Mdl Garage Area]])+Inventory[[#This Row],[Mdl Res Intercept]],-2)</f>
        <v>311300</v>
      </c>
      <c r="BB1376" s="30">
        <f>ROUND(Inventory[[#This Row],[Mdl Land Intercept]]+Inventory[[#This Row],[Mdl LnAcres]],-2)</f>
        <v>69100</v>
      </c>
      <c r="BC1376" s="30">
        <f>Inventory[[#This Row],[Unadj Res Value]]+Inventory[[#This Row],[Unadj Det Value]]+Inventory[[#This Row],[Unadj Land Value]]</f>
        <v>408900</v>
      </c>
      <c r="BD1376" s="30">
        <f>(Inventory[[#This Row],[Unadj Total Value]]-Inventory[[#This Row],[24Final]])/Inventory[[#This Row],[24Final]]</f>
        <v>0.21587867975022301</v>
      </c>
      <c r="BE1376" s="30">
        <f>VLOOKUP(Inventory[[#This Row],[Nbhd]],Lookups!$M$3:$P$5,4,FALSE)</f>
        <v>0.99970000000000003</v>
      </c>
      <c r="BF1376" s="30">
        <f>VLOOKUP(Inventory[[#This Row],[Qlty]],Lookups!$M$8:$P$22,4,FALSE)</f>
        <v>0.99199999999999999</v>
      </c>
      <c r="BG1376" s="30">
        <f>VLOOKUP(Inventory[[#This Row],[Cnd]],Lookups!$R$8:$U$17,4,FALSE)</f>
        <v>0.997</v>
      </c>
      <c r="BH1376" s="30">
        <f>VLOOKUP(Inventory[[#This Row],[LivArea Range]],Lookups!$R$25:$U$43,4,FALSE)</f>
        <v>1.0007999999999999</v>
      </c>
      <c r="BI1376" s="30">
        <f>VLOOKUP(Inventory[[#This Row],[Decade]],Lookups!$M$24:$P$40,4,FALSE)</f>
        <v>0.98240000000000005</v>
      </c>
      <c r="BJ1376" s="30">
        <f>Inventory[[#This Row],[Nbhd Adj]]*0.95</f>
        <v>0.94971499999999998</v>
      </c>
      <c r="BK1376" s="30">
        <f>AVERAGE(Inventory[[#This Row],[Nbhd Adj]],Inventory[[#This Row],[Quality Adj]],Inventory[[#This Row],[Condition Adj]],Inventory[[#This Row],[Living Area Adj]],Inventory[[#This Row],[Decade Adj]])*0.95</f>
        <v>0.94466099999999986</v>
      </c>
      <c r="BL1376" s="30">
        <f>ROUND((SUM(Inventory[[#This Row],[Mdl Qlty]:[Mdl Garage Area]])+Inventory[[#This Row],[Mdl Res Intercept]])*Inventory[[#This Row],[Res Adj ]],-2)</f>
        <v>294100</v>
      </c>
      <c r="BM1376" s="30">
        <f>ROUND(Inventory[[#This Row],[25Det]]*Inventory[[#This Row],[Det/Nbhd Adj]],-2)</f>
        <v>27100</v>
      </c>
      <c r="BN1376" s="30">
        <f>Inventory[[#This Row],[Adjusted Res]]+Inventory[[#This Row],[Adj Det ]]</f>
        <v>321200</v>
      </c>
      <c r="BO1376" s="30">
        <f>ROUND((Inventory[[#This Row],[Mdl Land Intercept]]+Inventory[[#This Row],[Mdl LnAcres]])*Inventory[[#This Row],[Det/Nbhd Adj]],-2)</f>
        <v>65600</v>
      </c>
      <c r="BP1376" s="30">
        <f>Inventory[[#This Row],[Adjusted Impr Total]]+Inventory[[#This Row],[Adjusted Land Total]]</f>
        <v>386800</v>
      </c>
      <c r="BQ1376" s="30">
        <f>IFERROR((Inventory[[#This Row],[Adjusted Impr Total]]-Inventory[[#This Row],[24Bldg]])/Inventory[[#This Row],[24Bldg]],0)</f>
        <v>0.18786982248520709</v>
      </c>
      <c r="BR1376" s="43">
        <f>(Inventory[[#This Row],[Adjusted Land Total]]-Inventory[[#This Row],[24Lnd]])/Inventory[[#This Row],[24Lnd]]</f>
        <v>-4.552352048558422E-3</v>
      </c>
      <c r="BS1376" s="43">
        <f>(Inventory[[#This Row],[Adjusted Total]]-Inventory[[#This Row],[24Final]])/Inventory[[#This Row],[24Final]]</f>
        <v>0.15016354445435623</v>
      </c>
    </row>
    <row r="1377" spans="1:71">
      <c r="A1377" s="30">
        <v>2025</v>
      </c>
      <c r="B1377" s="31" t="s">
        <v>1896</v>
      </c>
      <c r="C1377" s="36">
        <f>LN(Inventory[[#This Row],[Acres]])</f>
        <v>-1.2729656758128873</v>
      </c>
      <c r="D1377" s="38">
        <v>0.28000000000000003</v>
      </c>
      <c r="E1377" s="30">
        <v>12259</v>
      </c>
      <c r="F1377" s="31" t="s">
        <v>505</v>
      </c>
      <c r="G1377" s="31" t="s">
        <v>155</v>
      </c>
      <c r="H1377" s="31" t="s">
        <v>5</v>
      </c>
      <c r="I1377" s="31" t="s">
        <v>506</v>
      </c>
      <c r="J1377" s="31" t="s">
        <v>874</v>
      </c>
      <c r="K1377" s="31" t="s">
        <v>157</v>
      </c>
      <c r="L1377" s="31" t="s">
        <v>15</v>
      </c>
      <c r="M1377" s="31" t="s">
        <v>18</v>
      </c>
      <c r="N1377" s="31">
        <v>110</v>
      </c>
      <c r="O1377" s="31">
        <f>2024-Inventory[[#This Row],[YrBlt]]</f>
        <v>114</v>
      </c>
      <c r="P1377" s="31">
        <f>2024-Inventory[[#This Row],[EffYr]]</f>
        <v>66</v>
      </c>
      <c r="Q1377" s="30">
        <v>1910</v>
      </c>
      <c r="R1377" s="30">
        <v>1958</v>
      </c>
      <c r="S1377" s="30">
        <v>712</v>
      </c>
      <c r="T1377" s="38">
        <v>448</v>
      </c>
      <c r="U1377" s="32"/>
      <c r="V1377" s="32"/>
      <c r="W1377" s="32"/>
      <c r="X1377" s="32">
        <f>Inventory[[#This Row],[Bsmt Area]]-Inventory[[#This Row],[FnBsmt]]</f>
        <v>0</v>
      </c>
      <c r="Y1377" s="32">
        <f>Inventory[[#This Row],[MainFn]]+Inventory[[#This Row],[UpprFn]]+Inventory[[#This Row],[AddFn]]+Inventory[[#This Row],[FnBsmt]]</f>
        <v>1160</v>
      </c>
      <c r="Z1377" s="32">
        <v>1500</v>
      </c>
      <c r="AA1377" s="31" t="s">
        <v>56</v>
      </c>
      <c r="AB1377" s="32"/>
      <c r="AC1377" s="37"/>
      <c r="AD1377" s="32"/>
      <c r="AE1377" s="32"/>
      <c r="AF1377" s="32"/>
      <c r="AG1377" s="32"/>
      <c r="AH1377" s="32"/>
      <c r="AI1377" s="30">
        <v>186744</v>
      </c>
      <c r="AJ1377" s="30">
        <v>102709</v>
      </c>
      <c r="AK1377" s="30">
        <v>9725</v>
      </c>
      <c r="AL1377" s="30">
        <v>0</v>
      </c>
      <c r="AM1377" s="30">
        <v>68700</v>
      </c>
      <c r="AN1377" s="30">
        <v>197400</v>
      </c>
      <c r="AO1377" s="30">
        <v>266100</v>
      </c>
      <c r="AP1377" s="30">
        <f>Lookups!$B$58*0.6</f>
        <v>132535.48800000001</v>
      </c>
      <c r="AQ1377" s="30">
        <f>Lookups!$B$58*0.4</f>
        <v>88356.992000000013</v>
      </c>
      <c r="AR1377" s="30">
        <f>Lookups!$B$59*Inventory[[#This Row],[LnAcres]]</f>
        <v>-16706.81015135027</v>
      </c>
      <c r="AS1377" s="30">
        <f>VLOOKUP(Inventory[[#This Row],[Qlty]],Lookups!$A$66:$E$79,2,FALSE)</f>
        <v>-1240.8083630000001</v>
      </c>
      <c r="AT1377" s="30">
        <f>VLOOKUP(Inventory[[#This Row],[Cnd]],Lookups!$A$80:$E$88,2,FALSE)</f>
        <v>17761.121909000001</v>
      </c>
      <c r="AU1377" s="30">
        <f>Inventory[[#This Row],[EffAge]]*Lookups!$B$65</f>
        <v>-7176.9126000000006</v>
      </c>
      <c r="AV1377" s="30">
        <f>Inventory[[#This Row],[MainFn]]*Lookups!$B$90</f>
        <v>44436.190560000003</v>
      </c>
      <c r="AW1377" s="30">
        <f>Inventory[[#This Row],[UpprFn]]*Lookups!$B$91</f>
        <v>26692.011584</v>
      </c>
      <c r="AX1377" s="30">
        <f>Inventory[[#This Row],[Bsmt Area]]*Lookups!$B$95</f>
        <v>0</v>
      </c>
      <c r="AY1377" s="30">
        <f>Inventory[[#This Row],[AttGar]]*Lookups!$B$93</f>
        <v>0</v>
      </c>
      <c r="AZ1377" s="30">
        <f>ROUND(Inventory[[#This Row],[25Det]],-2)</f>
        <v>9700</v>
      </c>
      <c r="BA1377" s="30">
        <f>ROUND(SUM(Inventory[[#This Row],[Mdl Qlty]:[Mdl Garage Area]])+Inventory[[#This Row],[Mdl Res Intercept]],-2)</f>
        <v>213000</v>
      </c>
      <c r="BB1377" s="30">
        <f>ROUND(Inventory[[#This Row],[Mdl Land Intercept]]+Inventory[[#This Row],[Mdl LnAcres]],-2)</f>
        <v>71700</v>
      </c>
      <c r="BC1377" s="30">
        <f>Inventory[[#This Row],[Unadj Res Value]]+Inventory[[#This Row],[Unadj Det Value]]+Inventory[[#This Row],[Unadj Land Value]]</f>
        <v>294400</v>
      </c>
      <c r="BD1377" s="30">
        <f>(Inventory[[#This Row],[Unadj Total Value]]-Inventory[[#This Row],[24Final]])/Inventory[[#This Row],[24Final]]</f>
        <v>0.10635099586621571</v>
      </c>
      <c r="BE1377" s="30">
        <f>VLOOKUP(Inventory[[#This Row],[Nbhd]],Lookups!$M$3:$P$5,4,FALSE)</f>
        <v>0.99970000000000003</v>
      </c>
      <c r="BF1377" s="30">
        <f>VLOOKUP(Inventory[[#This Row],[Qlty]],Lookups!$M$8:$P$22,4,FALSE)</f>
        <v>1.0022</v>
      </c>
      <c r="BG1377" s="30">
        <f>VLOOKUP(Inventory[[#This Row],[Cnd]],Lookups!$R$8:$U$17,4,FALSE)</f>
        <v>0.99680000000000002</v>
      </c>
      <c r="BH1377" s="30">
        <f>VLOOKUP(Inventory[[#This Row],[LivArea Range]],Lookups!$R$25:$U$43,4,FALSE)</f>
        <v>0.99519999999999997</v>
      </c>
      <c r="BI1377" s="30">
        <f>VLOOKUP(Inventory[[#This Row],[Decade]],Lookups!$M$24:$P$40,4,FALSE)</f>
        <v>0.98240000000000005</v>
      </c>
      <c r="BJ1377" s="30">
        <f>Inventory[[#This Row],[Nbhd Adj]]*0.95</f>
        <v>0.94971499999999998</v>
      </c>
      <c r="BK1377" s="30">
        <f>AVERAGE(Inventory[[#This Row],[Nbhd Adj]],Inventory[[#This Row],[Quality Adj]],Inventory[[#This Row],[Condition Adj]],Inventory[[#This Row],[Living Area Adj]],Inventory[[#This Row],[Decade Adj]])*0.95</f>
        <v>0.94549700000000003</v>
      </c>
      <c r="BL1377" s="30">
        <f>ROUND((SUM(Inventory[[#This Row],[Mdl Qlty]:[Mdl Garage Area]])+Inventory[[#This Row],[Mdl Res Intercept]])*Inventory[[#This Row],[Res Adj ]],-2)</f>
        <v>201400</v>
      </c>
      <c r="BM1377" s="30">
        <f>ROUND(Inventory[[#This Row],[25Det]]*Inventory[[#This Row],[Det/Nbhd Adj]],-2)</f>
        <v>9200</v>
      </c>
      <c r="BN1377" s="30">
        <f>Inventory[[#This Row],[Adjusted Res]]+Inventory[[#This Row],[Adj Det ]]</f>
        <v>210600</v>
      </c>
      <c r="BO1377" s="30">
        <f>ROUND((Inventory[[#This Row],[Mdl Land Intercept]]+Inventory[[#This Row],[Mdl LnAcres]])*Inventory[[#This Row],[Det/Nbhd Adj]],-2)</f>
        <v>68000</v>
      </c>
      <c r="BP1377" s="30">
        <f>Inventory[[#This Row],[Adjusted Impr Total]]+Inventory[[#This Row],[Adjusted Land Total]]</f>
        <v>278600</v>
      </c>
      <c r="BQ1377" s="30">
        <f>IFERROR((Inventory[[#This Row],[Adjusted Impr Total]]-Inventory[[#This Row],[24Bldg]])/Inventory[[#This Row],[24Bldg]],0)</f>
        <v>6.6869300911854099E-2</v>
      </c>
      <c r="BR1377" s="43">
        <f>(Inventory[[#This Row],[Adjusted Land Total]]-Inventory[[#This Row],[24Lnd]])/Inventory[[#This Row],[24Lnd]]</f>
        <v>-1.0189228529839884E-2</v>
      </c>
      <c r="BS1377" s="43">
        <f>(Inventory[[#This Row],[Adjusted Total]]-Inventory[[#This Row],[24Final]])/Inventory[[#This Row],[24Final]]</f>
        <v>4.6974821495678318E-2</v>
      </c>
    </row>
    <row r="1378" spans="1:71">
      <c r="A1378" s="30">
        <v>2025</v>
      </c>
      <c r="B1378" s="31" t="s">
        <v>1897</v>
      </c>
      <c r="C1378" s="36">
        <f>LN(Inventory[[#This Row],[Acres]])</f>
        <v>-1.2729656758128873</v>
      </c>
      <c r="D1378" s="38">
        <v>0.28000000000000003</v>
      </c>
      <c r="E1378" s="30">
        <v>12231</v>
      </c>
      <c r="F1378" s="31" t="s">
        <v>505</v>
      </c>
      <c r="G1378" s="31" t="s">
        <v>155</v>
      </c>
      <c r="H1378" s="31" t="s">
        <v>5</v>
      </c>
      <c r="I1378" s="31" t="s">
        <v>506</v>
      </c>
      <c r="J1378" s="31" t="s">
        <v>507</v>
      </c>
      <c r="K1378" s="31" t="s">
        <v>485</v>
      </c>
      <c r="L1378" s="31" t="s">
        <v>13</v>
      </c>
      <c r="M1378" s="31" t="s">
        <v>18</v>
      </c>
      <c r="N1378" s="31">
        <v>110</v>
      </c>
      <c r="O1378" s="31">
        <f>2024-Inventory[[#This Row],[YrBlt]]</f>
        <v>114</v>
      </c>
      <c r="P1378" s="31">
        <f>2024-Inventory[[#This Row],[EffYr]]</f>
        <v>66</v>
      </c>
      <c r="Q1378" s="30">
        <v>1910</v>
      </c>
      <c r="R1378" s="30">
        <v>1958</v>
      </c>
      <c r="S1378" s="30">
        <v>1428</v>
      </c>
      <c r="T1378" s="38">
        <v>784</v>
      </c>
      <c r="U1378" s="32"/>
      <c r="V1378" s="32"/>
      <c r="W1378" s="32"/>
      <c r="X1378" s="32">
        <f>Inventory[[#This Row],[Bsmt Area]]-Inventory[[#This Row],[FnBsmt]]</f>
        <v>0</v>
      </c>
      <c r="Y1378" s="32">
        <f>Inventory[[#This Row],[MainFn]]+Inventory[[#This Row],[UpprFn]]+Inventory[[#This Row],[AddFn]]+Inventory[[#This Row],[FnBsmt]]</f>
        <v>2212</v>
      </c>
      <c r="Z1378" s="32">
        <v>2500</v>
      </c>
      <c r="AA1378" s="31" t="s">
        <v>56</v>
      </c>
      <c r="AB1378" s="37"/>
      <c r="AC1378" s="37"/>
      <c r="AD1378" s="32"/>
      <c r="AE1378" s="32"/>
      <c r="AF1378" s="32"/>
      <c r="AG1378" s="32"/>
      <c r="AH1378" s="32"/>
      <c r="AI1378" s="30">
        <v>280897</v>
      </c>
      <c r="AJ1378" s="30">
        <v>154493</v>
      </c>
      <c r="AK1378" s="30">
        <v>27250</v>
      </c>
      <c r="AL1378" s="30">
        <v>0</v>
      </c>
      <c r="AM1378" s="30">
        <v>68700</v>
      </c>
      <c r="AN1378" s="30">
        <v>251600</v>
      </c>
      <c r="AO1378" s="30">
        <v>320300</v>
      </c>
      <c r="AP1378" s="30">
        <f>Lookups!$B$58*0.6</f>
        <v>132535.48800000001</v>
      </c>
      <c r="AQ1378" s="30">
        <f>Lookups!$B$58*0.4</f>
        <v>88356.992000000013</v>
      </c>
      <c r="AR1378" s="30">
        <f>Lookups!$B$59*Inventory[[#This Row],[LnAcres]]</f>
        <v>-16706.81015135027</v>
      </c>
      <c r="AS1378" s="30">
        <f>VLOOKUP(Inventory[[#This Row],[Qlty]],Lookups!$A$66:$E$79,2,FALSE)</f>
        <v>0</v>
      </c>
      <c r="AT1378" s="30">
        <f>VLOOKUP(Inventory[[#This Row],[Cnd]],Lookups!$A$80:$E$88,2,FALSE)</f>
        <v>17761.121909000001</v>
      </c>
      <c r="AU1378" s="30">
        <f>Inventory[[#This Row],[EffAge]]*Lookups!$B$65</f>
        <v>-7176.9126000000006</v>
      </c>
      <c r="AV1378" s="30">
        <f>Inventory[[#This Row],[MainFn]]*Lookups!$B$90</f>
        <v>89122.02264000001</v>
      </c>
      <c r="AW1378" s="30">
        <f>Inventory[[#This Row],[UpprFn]]*Lookups!$B$91</f>
        <v>46711.020272000002</v>
      </c>
      <c r="AX1378" s="30">
        <f>Inventory[[#This Row],[Bsmt Area]]*Lookups!$B$95</f>
        <v>0</v>
      </c>
      <c r="AY1378" s="30">
        <f>Inventory[[#This Row],[AttGar]]*Lookups!$B$93</f>
        <v>0</v>
      </c>
      <c r="AZ1378" s="30">
        <f>ROUND(Inventory[[#This Row],[25Det]],-2)</f>
        <v>27300</v>
      </c>
      <c r="BA1378" s="30">
        <f>ROUND(SUM(Inventory[[#This Row],[Mdl Qlty]:[Mdl Garage Area]])+Inventory[[#This Row],[Mdl Res Intercept]],-2)</f>
        <v>279000</v>
      </c>
      <c r="BB1378" s="30">
        <f>ROUND(Inventory[[#This Row],[Mdl Land Intercept]]+Inventory[[#This Row],[Mdl LnAcres]],-2)</f>
        <v>71700</v>
      </c>
      <c r="BC1378" s="30">
        <f>Inventory[[#This Row],[Unadj Res Value]]+Inventory[[#This Row],[Unadj Det Value]]+Inventory[[#This Row],[Unadj Land Value]]</f>
        <v>378000</v>
      </c>
      <c r="BD1378" s="30">
        <f>(Inventory[[#This Row],[Unadj Total Value]]-Inventory[[#This Row],[24Final]])/Inventory[[#This Row],[24Final]]</f>
        <v>0.18014361536059945</v>
      </c>
      <c r="BE1378" s="30">
        <f>VLOOKUP(Inventory[[#This Row],[Nbhd]],Lookups!$M$3:$P$5,4,FALSE)</f>
        <v>0.99970000000000003</v>
      </c>
      <c r="BF1378" s="30">
        <f>VLOOKUP(Inventory[[#This Row],[Qlty]],Lookups!$M$8:$P$22,4,FALSE)</f>
        <v>1.0003</v>
      </c>
      <c r="BG1378" s="30">
        <f>VLOOKUP(Inventory[[#This Row],[Cnd]],Lookups!$R$8:$U$17,4,FALSE)</f>
        <v>0.99680000000000002</v>
      </c>
      <c r="BH1378" s="30">
        <f>VLOOKUP(Inventory[[#This Row],[LivArea Range]],Lookups!$R$25:$U$43,4,FALSE)</f>
        <v>1.0008999999999999</v>
      </c>
      <c r="BI1378" s="30">
        <f>VLOOKUP(Inventory[[#This Row],[Decade]],Lookups!$M$24:$P$40,4,FALSE)</f>
        <v>0.98240000000000005</v>
      </c>
      <c r="BJ1378" s="30">
        <f>Inventory[[#This Row],[Nbhd Adj]]*0.95</f>
        <v>0.94971499999999998</v>
      </c>
      <c r="BK1378" s="30">
        <f>AVERAGE(Inventory[[#This Row],[Nbhd Adj]],Inventory[[#This Row],[Quality Adj]],Inventory[[#This Row],[Condition Adj]],Inventory[[#This Row],[Living Area Adj]],Inventory[[#This Row],[Decade Adj]])*0.95</f>
        <v>0.94621899999999992</v>
      </c>
      <c r="BL1378" s="30">
        <f>ROUND((SUM(Inventory[[#This Row],[Mdl Qlty]:[Mdl Garage Area]])+Inventory[[#This Row],[Mdl Res Intercept]])*Inventory[[#This Row],[Res Adj ]],-2)</f>
        <v>264000</v>
      </c>
      <c r="BM1378" s="30">
        <f>ROUND(Inventory[[#This Row],[25Det]]*Inventory[[#This Row],[Det/Nbhd Adj]],-2)</f>
        <v>25900</v>
      </c>
      <c r="BN1378" s="30">
        <f>Inventory[[#This Row],[Adjusted Res]]+Inventory[[#This Row],[Adj Det ]]</f>
        <v>289900</v>
      </c>
      <c r="BO1378" s="30">
        <f>ROUND((Inventory[[#This Row],[Mdl Land Intercept]]+Inventory[[#This Row],[Mdl LnAcres]])*Inventory[[#This Row],[Det/Nbhd Adj]],-2)</f>
        <v>68000</v>
      </c>
      <c r="BP1378" s="30">
        <f>Inventory[[#This Row],[Adjusted Impr Total]]+Inventory[[#This Row],[Adjusted Land Total]]</f>
        <v>357900</v>
      </c>
      <c r="BQ1378" s="30">
        <f>IFERROR((Inventory[[#This Row],[Adjusted Impr Total]]-Inventory[[#This Row],[24Bldg]])/Inventory[[#This Row],[24Bldg]],0)</f>
        <v>0.15222575516693163</v>
      </c>
      <c r="BR1378" s="43">
        <f>(Inventory[[#This Row],[Adjusted Land Total]]-Inventory[[#This Row],[24Lnd]])/Inventory[[#This Row],[24Lnd]]</f>
        <v>-1.0189228529839884E-2</v>
      </c>
      <c r="BS1378" s="43">
        <f>(Inventory[[#This Row],[Adjusted Total]]-Inventory[[#This Row],[24Final]])/Inventory[[#This Row],[24Final]]</f>
        <v>0.11738994692475804</v>
      </c>
    </row>
    <row r="1379" spans="1:71">
      <c r="A1379" s="30">
        <v>2025</v>
      </c>
      <c r="B1379" s="31" t="s">
        <v>1898</v>
      </c>
      <c r="C1379" s="36">
        <f>LN(Inventory[[#This Row],[Acres]])</f>
        <v>-0.86750056770472306</v>
      </c>
      <c r="D1379" s="38">
        <v>0.42</v>
      </c>
      <c r="E1379" s="37"/>
      <c r="F1379" s="31" t="s">
        <v>505</v>
      </c>
      <c r="G1379" s="31" t="s">
        <v>155</v>
      </c>
      <c r="H1379" s="31" t="s">
        <v>5</v>
      </c>
      <c r="I1379" s="31" t="s">
        <v>506</v>
      </c>
      <c r="J1379" s="31" t="s">
        <v>507</v>
      </c>
      <c r="K1379" s="31" t="s">
        <v>473</v>
      </c>
      <c r="L1379" s="31" t="s">
        <v>17</v>
      </c>
      <c r="M1379" s="31" t="s">
        <v>20</v>
      </c>
      <c r="N1379" s="31">
        <v>110</v>
      </c>
      <c r="O1379" s="31">
        <f>2024-Inventory[[#This Row],[YrBlt]]</f>
        <v>114</v>
      </c>
      <c r="P1379" s="31">
        <f>2024-Inventory[[#This Row],[EffYr]]</f>
        <v>66</v>
      </c>
      <c r="Q1379" s="30">
        <v>1910</v>
      </c>
      <c r="R1379" s="30">
        <v>1958</v>
      </c>
      <c r="S1379" s="30">
        <v>1345</v>
      </c>
      <c r="T1379" s="30">
        <v>400</v>
      </c>
      <c r="U1379" s="38">
        <v>1069</v>
      </c>
      <c r="V1379" s="32"/>
      <c r="W1379" s="38">
        <v>1069</v>
      </c>
      <c r="X1379" s="38">
        <f>Inventory[[#This Row],[Bsmt Area]]-Inventory[[#This Row],[FnBsmt]]</f>
        <v>0</v>
      </c>
      <c r="Y1379" s="38">
        <f>Inventory[[#This Row],[MainFn]]+Inventory[[#This Row],[UpprFn]]+Inventory[[#This Row],[AddFn]]+Inventory[[#This Row],[FnBsmt]]</f>
        <v>2814</v>
      </c>
      <c r="Z1379" s="32">
        <v>3000</v>
      </c>
      <c r="AA1379" s="31" t="s">
        <v>56</v>
      </c>
      <c r="AB1379" s="32"/>
      <c r="AC1379" s="32"/>
      <c r="AD1379" s="37"/>
      <c r="AE1379" s="32"/>
      <c r="AF1379" s="32"/>
      <c r="AG1379" s="32"/>
      <c r="AH1379" s="32"/>
      <c r="AI1379" s="30">
        <v>339998</v>
      </c>
      <c r="AJ1379" s="30">
        <v>193799</v>
      </c>
      <c r="AK1379" s="30">
        <v>42600</v>
      </c>
      <c r="AL1379" s="30">
        <v>0</v>
      </c>
      <c r="AM1379" s="30">
        <v>74400</v>
      </c>
      <c r="AN1379" s="30">
        <v>267500</v>
      </c>
      <c r="AO1379" s="30">
        <v>341900</v>
      </c>
      <c r="AP1379" s="30">
        <f>Lookups!$B$58*0.6</f>
        <v>132535.48800000001</v>
      </c>
      <c r="AQ1379" s="30">
        <f>Lookups!$B$58*0.4</f>
        <v>88356.992000000013</v>
      </c>
      <c r="AR1379" s="30">
        <f>Lookups!$B$59*Inventory[[#This Row],[LnAcres]]</f>
        <v>-11385.355918239018</v>
      </c>
      <c r="AS1379" s="30">
        <f>VLOOKUP(Inventory[[#This Row],[Qlty]],Lookups!$A$66:$E$79,2,FALSE)</f>
        <v>24371.765965999999</v>
      </c>
      <c r="AT1379" s="30">
        <f>VLOOKUP(Inventory[[#This Row],[Cnd]],Lookups!$A$80:$E$88,2,FALSE)</f>
        <v>30300.329274</v>
      </c>
      <c r="AU1379" s="30">
        <f>Inventory[[#This Row],[EffAge]]*Lookups!$B$65</f>
        <v>-7176.9126000000006</v>
      </c>
      <c r="AV1379" s="30">
        <f>Inventory[[#This Row],[MainFn]]*Lookups!$B$90</f>
        <v>83941.9611</v>
      </c>
      <c r="AW1379" s="30">
        <f>Inventory[[#This Row],[UpprFn]]*Lookups!$B$91</f>
        <v>23832.153200000001</v>
      </c>
      <c r="AX1379" s="30">
        <f>Inventory[[#This Row],[Bsmt Area]]*Lookups!$B$95</f>
        <v>66904.964223999996</v>
      </c>
      <c r="AY1379" s="30">
        <f>Inventory[[#This Row],[AttGar]]*Lookups!$B$93</f>
        <v>0</v>
      </c>
      <c r="AZ1379" s="30">
        <f>ROUND(Inventory[[#This Row],[25Det]],-2)</f>
        <v>42600</v>
      </c>
      <c r="BA1379" s="30">
        <f>ROUND(SUM(Inventory[[#This Row],[Mdl Qlty]:[Mdl Garage Area]])+Inventory[[#This Row],[Mdl Res Intercept]],-2)</f>
        <v>354700</v>
      </c>
      <c r="BB1379" s="30">
        <f>ROUND(Inventory[[#This Row],[Mdl Land Intercept]]+Inventory[[#This Row],[Mdl LnAcres]],-2)</f>
        <v>77000</v>
      </c>
      <c r="BC1379" s="30">
        <f>Inventory[[#This Row],[Unadj Res Value]]+Inventory[[#This Row],[Unadj Det Value]]+Inventory[[#This Row],[Unadj Land Value]]</f>
        <v>474300</v>
      </c>
      <c r="BD1379" s="30">
        <f>(Inventory[[#This Row],[Unadj Total Value]]-Inventory[[#This Row],[24Final]])/Inventory[[#This Row],[24Final]]</f>
        <v>0.38724773325533784</v>
      </c>
      <c r="BE1379" s="30">
        <f>VLOOKUP(Inventory[[#This Row],[Nbhd]],Lookups!$M$3:$P$5,4,FALSE)</f>
        <v>0.99970000000000003</v>
      </c>
      <c r="BF1379" s="30">
        <f>VLOOKUP(Inventory[[#This Row],[Qlty]],Lookups!$M$8:$P$22,4,FALSE)</f>
        <v>0.99199999999999999</v>
      </c>
      <c r="BG1379" s="30">
        <f>VLOOKUP(Inventory[[#This Row],[Cnd]],Lookups!$R$8:$U$17,4,FALSE)</f>
        <v>0.997</v>
      </c>
      <c r="BH1379" s="30">
        <f>VLOOKUP(Inventory[[#This Row],[LivArea Range]],Lookups!$R$25:$U$43,4,FALSE)</f>
        <v>1.0099</v>
      </c>
      <c r="BI1379" s="30">
        <f>VLOOKUP(Inventory[[#This Row],[Decade]],Lookups!$M$24:$P$40,4,FALSE)</f>
        <v>0.98240000000000005</v>
      </c>
      <c r="BJ1379" s="30">
        <f>Inventory[[#This Row],[Nbhd Adj]]*0.95</f>
        <v>0.94971499999999998</v>
      </c>
      <c r="BK1379" s="30">
        <f>AVERAGE(Inventory[[#This Row],[Nbhd Adj]],Inventory[[#This Row],[Quality Adj]],Inventory[[#This Row],[Condition Adj]],Inventory[[#This Row],[Living Area Adj]],Inventory[[#This Row],[Decade Adj]])*0.95</f>
        <v>0.94638999999999995</v>
      </c>
      <c r="BL1379" s="30">
        <f>ROUND((SUM(Inventory[[#This Row],[Mdl Qlty]:[Mdl Garage Area]])+Inventory[[#This Row],[Mdl Res Intercept]])*Inventory[[#This Row],[Res Adj ]],-2)</f>
        <v>335700</v>
      </c>
      <c r="BM1379" s="30">
        <f>ROUND(Inventory[[#This Row],[25Det]]*Inventory[[#This Row],[Det/Nbhd Adj]],-2)</f>
        <v>40500</v>
      </c>
      <c r="BN1379" s="30">
        <f>Inventory[[#This Row],[Adjusted Res]]+Inventory[[#This Row],[Adj Det ]]</f>
        <v>376200</v>
      </c>
      <c r="BO1379" s="30">
        <f>ROUND((Inventory[[#This Row],[Mdl Land Intercept]]+Inventory[[#This Row],[Mdl LnAcres]])*Inventory[[#This Row],[Det/Nbhd Adj]],-2)</f>
        <v>73100</v>
      </c>
      <c r="BP1379" s="30">
        <f>Inventory[[#This Row],[Adjusted Impr Total]]+Inventory[[#This Row],[Adjusted Land Total]]</f>
        <v>449300</v>
      </c>
      <c r="BQ1379" s="30">
        <f>IFERROR((Inventory[[#This Row],[Adjusted Impr Total]]-Inventory[[#This Row],[24Bldg]])/Inventory[[#This Row],[24Bldg]],0)</f>
        <v>0.40635514018691588</v>
      </c>
      <c r="BR1379" s="43">
        <f>(Inventory[[#This Row],[Adjusted Land Total]]-Inventory[[#This Row],[24Lnd]])/Inventory[[#This Row],[24Lnd]]</f>
        <v>-1.7473118279569891E-2</v>
      </c>
      <c r="BS1379" s="43">
        <f>(Inventory[[#This Row],[Adjusted Total]]-Inventory[[#This Row],[24Final]])/Inventory[[#This Row],[24Final]]</f>
        <v>0.31412693770108219</v>
      </c>
    </row>
    <row r="1380" spans="1:71">
      <c r="A1380" s="30">
        <v>2025</v>
      </c>
      <c r="B1380" s="31" t="s">
        <v>1899</v>
      </c>
      <c r="C1380" s="36">
        <f>LN(Inventory[[#This Row],[Acres]])</f>
        <v>-0.75502258427803282</v>
      </c>
      <c r="D1380" s="38">
        <v>0.47</v>
      </c>
      <c r="E1380" s="30">
        <v>20465</v>
      </c>
      <c r="F1380" s="31" t="s">
        <v>505</v>
      </c>
      <c r="G1380" s="31" t="s">
        <v>155</v>
      </c>
      <c r="H1380" s="31" t="s">
        <v>5</v>
      </c>
      <c r="I1380" s="31" t="s">
        <v>506</v>
      </c>
      <c r="J1380" s="31" t="s">
        <v>507</v>
      </c>
      <c r="K1380" s="31" t="s">
        <v>475</v>
      </c>
      <c r="L1380" s="31" t="s">
        <v>11</v>
      </c>
      <c r="M1380" s="31" t="s">
        <v>18</v>
      </c>
      <c r="N1380" s="31">
        <v>110</v>
      </c>
      <c r="O1380" s="31">
        <f>2024-Inventory[[#This Row],[YrBlt]]</f>
        <v>114</v>
      </c>
      <c r="P1380" s="31">
        <f>2024-Inventory[[#This Row],[EffYr]]</f>
        <v>66</v>
      </c>
      <c r="Q1380" s="30">
        <v>1910</v>
      </c>
      <c r="R1380" s="30">
        <v>1958</v>
      </c>
      <c r="S1380" s="30">
        <v>766</v>
      </c>
      <c r="T1380" s="38">
        <v>224</v>
      </c>
      <c r="U1380" s="32"/>
      <c r="V1380" s="32"/>
      <c r="W1380" s="32"/>
      <c r="X1380" s="32">
        <f>Inventory[[#This Row],[Bsmt Area]]-Inventory[[#This Row],[FnBsmt]]</f>
        <v>0</v>
      </c>
      <c r="Y1380" s="32">
        <f>Inventory[[#This Row],[MainFn]]+Inventory[[#This Row],[UpprFn]]+Inventory[[#This Row],[AddFn]]+Inventory[[#This Row],[FnBsmt]]</f>
        <v>990</v>
      </c>
      <c r="Z1380" s="32">
        <v>1000</v>
      </c>
      <c r="AA1380" s="31" t="s">
        <v>56</v>
      </c>
      <c r="AB1380" s="32"/>
      <c r="AC1380" s="37"/>
      <c r="AD1380" s="32"/>
      <c r="AE1380" s="32"/>
      <c r="AF1380" s="32"/>
      <c r="AG1380" s="32"/>
      <c r="AH1380" s="32"/>
      <c r="AI1380" s="30">
        <v>138045</v>
      </c>
      <c r="AJ1380" s="30">
        <v>75925</v>
      </c>
      <c r="AK1380" s="30">
        <v>4558</v>
      </c>
      <c r="AL1380" s="30">
        <v>0</v>
      </c>
      <c r="AM1380" s="30">
        <v>75900</v>
      </c>
      <c r="AN1380" s="30">
        <v>144300</v>
      </c>
      <c r="AO1380" s="30">
        <v>220200</v>
      </c>
      <c r="AP1380" s="30">
        <f>Lookups!$B$58*0.6</f>
        <v>132535.48800000001</v>
      </c>
      <c r="AQ1380" s="30">
        <f>Lookups!$B$58*0.4</f>
        <v>88356.992000000013</v>
      </c>
      <c r="AR1380" s="30">
        <f>Lookups!$B$59*Inventory[[#This Row],[LnAcres]]</f>
        <v>-9909.1587583144556</v>
      </c>
      <c r="AS1380" s="30">
        <f>VLOOKUP(Inventory[[#This Row],[Qlty]],Lookups!$A$66:$E$79,2,FALSE)</f>
        <v>-9114.1675108666695</v>
      </c>
      <c r="AT1380" s="30">
        <f>VLOOKUP(Inventory[[#This Row],[Cnd]],Lookups!$A$80:$E$88,2,FALSE)</f>
        <v>17761.121909000001</v>
      </c>
      <c r="AU1380" s="30">
        <f>Inventory[[#This Row],[EffAge]]*Lookups!$B$65</f>
        <v>-7176.9126000000006</v>
      </c>
      <c r="AV1380" s="30">
        <f>Inventory[[#This Row],[MainFn]]*Lookups!$B$90</f>
        <v>47806.35108</v>
      </c>
      <c r="AW1380" s="30">
        <f>Inventory[[#This Row],[UpprFn]]*Lookups!$B$91</f>
        <v>13346.005792</v>
      </c>
      <c r="AX1380" s="30">
        <f>Inventory[[#This Row],[Bsmt Area]]*Lookups!$B$95</f>
        <v>0</v>
      </c>
      <c r="AY1380" s="30">
        <f>Inventory[[#This Row],[AttGar]]*Lookups!$B$93</f>
        <v>0</v>
      </c>
      <c r="AZ1380" s="30">
        <f>ROUND(Inventory[[#This Row],[25Det]],-2)</f>
        <v>4600</v>
      </c>
      <c r="BA1380" s="30">
        <f>ROUND(SUM(Inventory[[#This Row],[Mdl Qlty]:[Mdl Garage Area]])+Inventory[[#This Row],[Mdl Res Intercept]],-2)</f>
        <v>195200</v>
      </c>
      <c r="BB1380" s="30">
        <f>ROUND(Inventory[[#This Row],[Mdl Land Intercept]]+Inventory[[#This Row],[Mdl LnAcres]],-2)</f>
        <v>78400</v>
      </c>
      <c r="BC1380" s="30">
        <f>Inventory[[#This Row],[Unadj Res Value]]+Inventory[[#This Row],[Unadj Det Value]]+Inventory[[#This Row],[Unadj Land Value]]</f>
        <v>278200</v>
      </c>
      <c r="BD1380" s="30">
        <f>(Inventory[[#This Row],[Unadj Total Value]]-Inventory[[#This Row],[24Final]])/Inventory[[#This Row],[24Final]]</f>
        <v>0.2633969118982743</v>
      </c>
      <c r="BE1380" s="30">
        <f>VLOOKUP(Inventory[[#This Row],[Nbhd]],Lookups!$M$3:$P$5,4,FALSE)</f>
        <v>0.99970000000000003</v>
      </c>
      <c r="BF1380" s="30">
        <f>VLOOKUP(Inventory[[#This Row],[Qlty]],Lookups!$M$8:$P$22,4,FALSE)</f>
        <v>1</v>
      </c>
      <c r="BG1380" s="30">
        <f>VLOOKUP(Inventory[[#This Row],[Cnd]],Lookups!$R$8:$U$17,4,FALSE)</f>
        <v>0.99680000000000002</v>
      </c>
      <c r="BH1380" s="30">
        <f>VLOOKUP(Inventory[[#This Row],[LivArea Range]],Lookups!$R$25:$U$43,4,FALSE)</f>
        <v>1</v>
      </c>
      <c r="BI1380" s="30">
        <f>VLOOKUP(Inventory[[#This Row],[Decade]],Lookups!$M$24:$P$40,4,FALSE)</f>
        <v>0.98240000000000005</v>
      </c>
      <c r="BJ1380" s="30">
        <f>Inventory[[#This Row],[Nbhd Adj]]*0.95</f>
        <v>0.94971499999999998</v>
      </c>
      <c r="BK1380" s="30">
        <f>AVERAGE(Inventory[[#This Row],[Nbhd Adj]],Inventory[[#This Row],[Quality Adj]],Inventory[[#This Row],[Condition Adj]],Inventory[[#This Row],[Living Area Adj]],Inventory[[#This Row],[Decade Adj]])*0.95</f>
        <v>0.94599100000000003</v>
      </c>
      <c r="BL1380" s="30">
        <f>ROUND((SUM(Inventory[[#This Row],[Mdl Qlty]:[Mdl Garage Area]])+Inventory[[#This Row],[Mdl Res Intercept]])*Inventory[[#This Row],[Res Adj ]],-2)</f>
        <v>184600</v>
      </c>
      <c r="BM1380" s="30">
        <f>ROUND(Inventory[[#This Row],[25Det]]*Inventory[[#This Row],[Det/Nbhd Adj]],-2)</f>
        <v>4300</v>
      </c>
      <c r="BN1380" s="30">
        <f>Inventory[[#This Row],[Adjusted Res]]+Inventory[[#This Row],[Adj Det ]]</f>
        <v>188900</v>
      </c>
      <c r="BO1380" s="30">
        <f>ROUND((Inventory[[#This Row],[Mdl Land Intercept]]+Inventory[[#This Row],[Mdl LnAcres]])*Inventory[[#This Row],[Det/Nbhd Adj]],-2)</f>
        <v>74500</v>
      </c>
      <c r="BP1380" s="30">
        <f>Inventory[[#This Row],[Adjusted Impr Total]]+Inventory[[#This Row],[Adjusted Land Total]]</f>
        <v>263400</v>
      </c>
      <c r="BQ1380" s="30">
        <f>IFERROR((Inventory[[#This Row],[Adjusted Impr Total]]-Inventory[[#This Row],[24Bldg]])/Inventory[[#This Row],[24Bldg]],0)</f>
        <v>0.30907830907830908</v>
      </c>
      <c r="BR1380" s="43">
        <f>(Inventory[[#This Row],[Adjusted Land Total]]-Inventory[[#This Row],[24Lnd]])/Inventory[[#This Row],[24Lnd]]</f>
        <v>-1.844532279314888E-2</v>
      </c>
      <c r="BS1380" s="43">
        <f>(Inventory[[#This Row],[Adjusted Total]]-Inventory[[#This Row],[24Final]])/Inventory[[#This Row],[24Final]]</f>
        <v>0.19618528610354224</v>
      </c>
    </row>
    <row r="1381" spans="1:71">
      <c r="A1381" s="30">
        <v>2025</v>
      </c>
      <c r="B1381" s="31" t="s">
        <v>1900</v>
      </c>
      <c r="C1381" s="36">
        <f>LN(Inventory[[#This Row],[Acres]])</f>
        <v>-0.56211891815354131</v>
      </c>
      <c r="D1381" s="38">
        <v>0.56999999999999995</v>
      </c>
      <c r="E1381" s="30">
        <v>24636</v>
      </c>
      <c r="F1381" s="31" t="s">
        <v>505</v>
      </c>
      <c r="G1381" s="31" t="s">
        <v>155</v>
      </c>
      <c r="H1381" s="31" t="s">
        <v>5</v>
      </c>
      <c r="I1381" s="31" t="s">
        <v>506</v>
      </c>
      <c r="J1381" s="31" t="s">
        <v>507</v>
      </c>
      <c r="K1381" s="31" t="s">
        <v>475</v>
      </c>
      <c r="L1381" s="31" t="s">
        <v>15</v>
      </c>
      <c r="M1381" s="31" t="s">
        <v>20</v>
      </c>
      <c r="N1381" s="31">
        <v>110</v>
      </c>
      <c r="O1381" s="31">
        <f>2024-Inventory[[#This Row],[YrBlt]]</f>
        <v>114</v>
      </c>
      <c r="P1381" s="31">
        <f>2024-Inventory[[#This Row],[EffYr]]</f>
        <v>66</v>
      </c>
      <c r="Q1381" s="30">
        <v>1910</v>
      </c>
      <c r="R1381" s="30">
        <v>1958</v>
      </c>
      <c r="S1381" s="30">
        <v>1065</v>
      </c>
      <c r="T1381" s="37"/>
      <c r="U1381" s="32"/>
      <c r="V1381" s="32"/>
      <c r="W1381" s="32"/>
      <c r="X1381" s="32">
        <f>Inventory[[#This Row],[Bsmt Area]]-Inventory[[#This Row],[FnBsmt]]</f>
        <v>0</v>
      </c>
      <c r="Y1381" s="32">
        <f>Inventory[[#This Row],[MainFn]]+Inventory[[#This Row],[UpprFn]]+Inventory[[#This Row],[AddFn]]+Inventory[[#This Row],[FnBsmt]]</f>
        <v>1065</v>
      </c>
      <c r="Z1381" s="32">
        <v>1500</v>
      </c>
      <c r="AA1381" s="31" t="s">
        <v>55</v>
      </c>
      <c r="AB1381" s="32"/>
      <c r="AC1381" s="32"/>
      <c r="AD1381" s="37"/>
      <c r="AE1381" s="32"/>
      <c r="AF1381" s="32"/>
      <c r="AG1381" s="32"/>
      <c r="AH1381" s="32"/>
      <c r="AI1381" s="30">
        <v>175042</v>
      </c>
      <c r="AJ1381" s="30">
        <v>99774</v>
      </c>
      <c r="AK1381" s="30">
        <v>26317</v>
      </c>
      <c r="AL1381" s="30">
        <v>0</v>
      </c>
      <c r="AM1381" s="30">
        <v>78600</v>
      </c>
      <c r="AN1381" s="30">
        <v>206600</v>
      </c>
      <c r="AO1381" s="30">
        <v>285200</v>
      </c>
      <c r="AP1381" s="30">
        <f>Lookups!$B$58*0.6</f>
        <v>132535.48800000001</v>
      </c>
      <c r="AQ1381" s="30">
        <f>Lookups!$B$58*0.4</f>
        <v>88356.992000000013</v>
      </c>
      <c r="AR1381" s="30">
        <f>Lookups!$B$59*Inventory[[#This Row],[LnAcres]]</f>
        <v>-7377.4291220198038</v>
      </c>
      <c r="AS1381" s="30">
        <f>VLOOKUP(Inventory[[#This Row],[Qlty]],Lookups!$A$66:$E$79,2,FALSE)</f>
        <v>-1240.8083630000001</v>
      </c>
      <c r="AT1381" s="30">
        <f>VLOOKUP(Inventory[[#This Row],[Cnd]],Lookups!$A$80:$E$88,2,FALSE)</f>
        <v>30300.329274</v>
      </c>
      <c r="AU1381" s="30">
        <f>Inventory[[#This Row],[EffAge]]*Lookups!$B$65</f>
        <v>-7176.9126000000006</v>
      </c>
      <c r="AV1381" s="30">
        <f>Inventory[[#This Row],[MainFn]]*Lookups!$B$90</f>
        <v>66467.054700000008</v>
      </c>
      <c r="AW1381" s="30">
        <f>Inventory[[#This Row],[UpprFn]]*Lookups!$B$91</f>
        <v>0</v>
      </c>
      <c r="AX1381" s="30">
        <f>Inventory[[#This Row],[Bsmt Area]]*Lookups!$B$95</f>
        <v>0</v>
      </c>
      <c r="AY1381" s="30">
        <f>Inventory[[#This Row],[AttGar]]*Lookups!$B$93</f>
        <v>0</v>
      </c>
      <c r="AZ1381" s="30">
        <f>ROUND(Inventory[[#This Row],[25Det]],-2)</f>
        <v>26300</v>
      </c>
      <c r="BA1381" s="30">
        <f>ROUND(SUM(Inventory[[#This Row],[Mdl Qlty]:[Mdl Garage Area]])+Inventory[[#This Row],[Mdl Res Intercept]],-2)</f>
        <v>220900</v>
      </c>
      <c r="BB1381" s="30">
        <f>ROUND(Inventory[[#This Row],[Mdl Land Intercept]]+Inventory[[#This Row],[Mdl LnAcres]],-2)</f>
        <v>81000</v>
      </c>
      <c r="BC1381" s="30">
        <f>Inventory[[#This Row],[Unadj Res Value]]+Inventory[[#This Row],[Unadj Det Value]]+Inventory[[#This Row],[Unadj Land Value]]</f>
        <v>328200</v>
      </c>
      <c r="BD1381" s="30">
        <f>(Inventory[[#This Row],[Unadj Total Value]]-Inventory[[#This Row],[24Final]])/Inventory[[#This Row],[24Final]]</f>
        <v>0.15077138849929875</v>
      </c>
      <c r="BE1381" s="30">
        <f>VLOOKUP(Inventory[[#This Row],[Nbhd]],Lookups!$M$3:$P$5,4,FALSE)</f>
        <v>0.99970000000000003</v>
      </c>
      <c r="BF1381" s="30">
        <f>VLOOKUP(Inventory[[#This Row],[Qlty]],Lookups!$M$8:$P$22,4,FALSE)</f>
        <v>1.0022</v>
      </c>
      <c r="BG1381" s="30">
        <f>VLOOKUP(Inventory[[#This Row],[Cnd]],Lookups!$R$8:$U$17,4,FALSE)</f>
        <v>0.997</v>
      </c>
      <c r="BH1381" s="30">
        <f>VLOOKUP(Inventory[[#This Row],[LivArea Range]],Lookups!$R$25:$U$43,4,FALSE)</f>
        <v>0.99519999999999997</v>
      </c>
      <c r="BI1381" s="30">
        <f>VLOOKUP(Inventory[[#This Row],[Decade]],Lookups!$M$24:$P$40,4,FALSE)</f>
        <v>0.98240000000000005</v>
      </c>
      <c r="BJ1381" s="30">
        <f>Inventory[[#This Row],[Nbhd Adj]]*0.95</f>
        <v>0.94971499999999998</v>
      </c>
      <c r="BK1381" s="30">
        <f>AVERAGE(Inventory[[#This Row],[Nbhd Adj]],Inventory[[#This Row],[Quality Adj]],Inventory[[#This Row],[Condition Adj]],Inventory[[#This Row],[Living Area Adj]],Inventory[[#This Row],[Decade Adj]])*0.95</f>
        <v>0.9455349999999999</v>
      </c>
      <c r="BL1381" s="30">
        <f>ROUND((SUM(Inventory[[#This Row],[Mdl Qlty]:[Mdl Garage Area]])+Inventory[[#This Row],[Mdl Res Intercept]])*Inventory[[#This Row],[Res Adj ]],-2)</f>
        <v>208900</v>
      </c>
      <c r="BM1381" s="30">
        <f>ROUND(Inventory[[#This Row],[25Det]]*Inventory[[#This Row],[Det/Nbhd Adj]],-2)</f>
        <v>25000</v>
      </c>
      <c r="BN1381" s="30">
        <f>Inventory[[#This Row],[Adjusted Res]]+Inventory[[#This Row],[Adj Det ]]</f>
        <v>233900</v>
      </c>
      <c r="BO1381" s="30">
        <f>ROUND((Inventory[[#This Row],[Mdl Land Intercept]]+Inventory[[#This Row],[Mdl LnAcres]])*Inventory[[#This Row],[Det/Nbhd Adj]],-2)</f>
        <v>76900</v>
      </c>
      <c r="BP1381" s="30">
        <f>Inventory[[#This Row],[Adjusted Impr Total]]+Inventory[[#This Row],[Adjusted Land Total]]</f>
        <v>310800</v>
      </c>
      <c r="BQ1381" s="30">
        <f>IFERROR((Inventory[[#This Row],[Adjusted Impr Total]]-Inventory[[#This Row],[24Bldg]])/Inventory[[#This Row],[24Bldg]],0)</f>
        <v>0.13213939980638917</v>
      </c>
      <c r="BR1381" s="43">
        <f>(Inventory[[#This Row],[Adjusted Land Total]]-Inventory[[#This Row],[24Lnd]])/Inventory[[#This Row],[24Lnd]]</f>
        <v>-2.1628498727735368E-2</v>
      </c>
      <c r="BS1381" s="43">
        <f>(Inventory[[#This Row],[Adjusted Total]]-Inventory[[#This Row],[24Final]])/Inventory[[#This Row],[24Final]]</f>
        <v>8.9761570827489479E-2</v>
      </c>
    </row>
    <row r="1382" spans="1:71">
      <c r="A1382" s="30">
        <v>2025</v>
      </c>
      <c r="B1382" s="31" t="s">
        <v>1901</v>
      </c>
      <c r="C1382" s="36">
        <f>LN(Inventory[[#This Row],[Acres]])</f>
        <v>-0.54472717544167215</v>
      </c>
      <c r="D1382" s="38">
        <v>0.57999999999999996</v>
      </c>
      <c r="E1382" s="30">
        <v>25274</v>
      </c>
      <c r="F1382" s="31" t="s">
        <v>505</v>
      </c>
      <c r="G1382" s="31" t="s">
        <v>155</v>
      </c>
      <c r="H1382" s="31" t="s">
        <v>5</v>
      </c>
      <c r="I1382" s="31" t="s">
        <v>506</v>
      </c>
      <c r="J1382" s="31" t="s">
        <v>507</v>
      </c>
      <c r="K1382" s="31" t="s">
        <v>157</v>
      </c>
      <c r="L1382" s="31" t="s">
        <v>19</v>
      </c>
      <c r="M1382" s="31" t="s">
        <v>20</v>
      </c>
      <c r="N1382" s="31">
        <v>110</v>
      </c>
      <c r="O1382" s="31">
        <f>2024-Inventory[[#This Row],[YrBlt]]</f>
        <v>114</v>
      </c>
      <c r="P1382" s="31">
        <f>2024-Inventory[[#This Row],[EffYr]]</f>
        <v>66</v>
      </c>
      <c r="Q1382" s="30">
        <v>1910</v>
      </c>
      <c r="R1382" s="30">
        <v>1958</v>
      </c>
      <c r="S1382" s="30">
        <v>1848</v>
      </c>
      <c r="T1382" s="30">
        <v>1300</v>
      </c>
      <c r="U1382" s="38">
        <v>1624</v>
      </c>
      <c r="V1382" s="32"/>
      <c r="W1382" s="38">
        <v>500</v>
      </c>
      <c r="X1382" s="38">
        <f>Inventory[[#This Row],[Bsmt Area]]-Inventory[[#This Row],[FnBsmt]]</f>
        <v>1124</v>
      </c>
      <c r="Y1382" s="38">
        <f>Inventory[[#This Row],[MainFn]]+Inventory[[#This Row],[UpprFn]]+Inventory[[#This Row],[AddFn]]+Inventory[[#This Row],[FnBsmt]]</f>
        <v>3648</v>
      </c>
      <c r="Z1382" s="38">
        <v>4000</v>
      </c>
      <c r="AA1382" s="31" t="s">
        <v>56</v>
      </c>
      <c r="AB1382" s="37"/>
      <c r="AC1382" s="32"/>
      <c r="AD1382" s="37"/>
      <c r="AE1382" s="32"/>
      <c r="AF1382" s="32"/>
      <c r="AG1382" s="32"/>
      <c r="AH1382" s="32"/>
      <c r="AI1382" s="30">
        <v>586230</v>
      </c>
      <c r="AJ1382" s="30">
        <v>334151</v>
      </c>
      <c r="AK1382" s="30">
        <v>21440</v>
      </c>
      <c r="AL1382" s="30">
        <v>0</v>
      </c>
      <c r="AM1382" s="30">
        <v>78900</v>
      </c>
      <c r="AN1382" s="30">
        <v>345000</v>
      </c>
      <c r="AO1382" s="30">
        <v>423900</v>
      </c>
      <c r="AP1382" s="30">
        <f>Lookups!$B$58*0.6</f>
        <v>132535.48800000001</v>
      </c>
      <c r="AQ1382" s="30">
        <f>Lookups!$B$58*0.4</f>
        <v>88356.992000000013</v>
      </c>
      <c r="AR1382" s="30">
        <f>Lookups!$B$59*Inventory[[#This Row],[LnAcres]]</f>
        <v>-7149.1743079198222</v>
      </c>
      <c r="AS1382" s="30">
        <f>VLOOKUP(Inventory[[#This Row],[Qlty]],Lookups!$A$66:$E$79,2,FALSE)</f>
        <v>37154.252388000001</v>
      </c>
      <c r="AT1382" s="30">
        <f>VLOOKUP(Inventory[[#This Row],[Cnd]],Lookups!$A$80:$E$88,2,FALSE)</f>
        <v>30300.329274</v>
      </c>
      <c r="AU1382" s="30">
        <f>Inventory[[#This Row],[EffAge]]*Lookups!$B$65</f>
        <v>-7176.9126000000006</v>
      </c>
      <c r="AV1382" s="30">
        <f>Inventory[[#This Row],[MainFn]]*Lookups!$B$90</f>
        <v>115334.38224000001</v>
      </c>
      <c r="AW1382" s="30">
        <f>Inventory[[#This Row],[UpprFn]]*Lookups!$B$91</f>
        <v>77454.497900000002</v>
      </c>
      <c r="AX1382" s="30">
        <f>Inventory[[#This Row],[Bsmt Area]]*Lookups!$B$95</f>
        <v>101640.46950399999</v>
      </c>
      <c r="AY1382" s="30">
        <f>Inventory[[#This Row],[AttGar]]*Lookups!$B$93</f>
        <v>0</v>
      </c>
      <c r="AZ1382" s="30">
        <f>ROUND(Inventory[[#This Row],[25Det]],-2)</f>
        <v>21400</v>
      </c>
      <c r="BA1382" s="30">
        <f>ROUND(SUM(Inventory[[#This Row],[Mdl Qlty]:[Mdl Garage Area]])+Inventory[[#This Row],[Mdl Res Intercept]],-2)</f>
        <v>487200</v>
      </c>
      <c r="BB1382" s="30">
        <f>ROUND(Inventory[[#This Row],[Mdl Land Intercept]]+Inventory[[#This Row],[Mdl LnAcres]],-2)</f>
        <v>81200</v>
      </c>
      <c r="BC1382" s="30">
        <f>Inventory[[#This Row],[Unadj Res Value]]+Inventory[[#This Row],[Unadj Det Value]]+Inventory[[#This Row],[Unadj Land Value]]</f>
        <v>589800</v>
      </c>
      <c r="BD1382" s="30">
        <f>(Inventory[[#This Row],[Unadj Total Value]]-Inventory[[#This Row],[24Final]])/Inventory[[#This Row],[24Final]]</f>
        <v>0.39136588818117479</v>
      </c>
      <c r="BE1382" s="30">
        <f>VLOOKUP(Inventory[[#This Row],[Nbhd]],Lookups!$M$3:$P$5,4,FALSE)</f>
        <v>0.99970000000000003</v>
      </c>
      <c r="BF1382" s="30">
        <f>VLOOKUP(Inventory[[#This Row],[Qlty]],Lookups!$M$8:$P$22,4,FALSE)</f>
        <v>0.99819999999999998</v>
      </c>
      <c r="BG1382" s="30">
        <f>VLOOKUP(Inventory[[#This Row],[Cnd]],Lookups!$R$8:$U$17,4,FALSE)</f>
        <v>0.997</v>
      </c>
      <c r="BH1382" s="30">
        <f>VLOOKUP(Inventory[[#This Row],[LivArea Range]],Lookups!$R$25:$U$43,4,FALSE)</f>
        <v>1</v>
      </c>
      <c r="BI1382" s="30">
        <f>VLOOKUP(Inventory[[#This Row],[Decade]],Lookups!$M$24:$P$40,4,FALSE)</f>
        <v>0.98240000000000005</v>
      </c>
      <c r="BJ1382" s="30">
        <f>Inventory[[#This Row],[Nbhd Adj]]*0.95</f>
        <v>0.94971499999999998</v>
      </c>
      <c r="BK1382" s="30">
        <f>AVERAGE(Inventory[[#This Row],[Nbhd Adj]],Inventory[[#This Row],[Quality Adj]],Inventory[[#This Row],[Condition Adj]],Inventory[[#This Row],[Living Area Adj]],Inventory[[#This Row],[Decade Adj]])*0.95</f>
        <v>0.94568699999999983</v>
      </c>
      <c r="BL1382" s="30">
        <f>ROUND((SUM(Inventory[[#This Row],[Mdl Qlty]:[Mdl Garage Area]])+Inventory[[#This Row],[Mdl Res Intercept]])*Inventory[[#This Row],[Res Adj ]],-2)</f>
        <v>460800</v>
      </c>
      <c r="BM1382" s="30">
        <f>ROUND(Inventory[[#This Row],[25Det]]*Inventory[[#This Row],[Det/Nbhd Adj]],-2)</f>
        <v>20400</v>
      </c>
      <c r="BN1382" s="30">
        <f>Inventory[[#This Row],[Adjusted Res]]+Inventory[[#This Row],[Adj Det ]]</f>
        <v>481200</v>
      </c>
      <c r="BO1382" s="30">
        <f>ROUND((Inventory[[#This Row],[Mdl Land Intercept]]+Inventory[[#This Row],[Mdl LnAcres]])*Inventory[[#This Row],[Det/Nbhd Adj]],-2)</f>
        <v>77100</v>
      </c>
      <c r="BP1382" s="30">
        <f>Inventory[[#This Row],[Adjusted Impr Total]]+Inventory[[#This Row],[Adjusted Land Total]]</f>
        <v>558300</v>
      </c>
      <c r="BQ1382" s="30">
        <f>IFERROR((Inventory[[#This Row],[Adjusted Impr Total]]-Inventory[[#This Row],[24Bldg]])/Inventory[[#This Row],[24Bldg]],0)</f>
        <v>0.39478260869565218</v>
      </c>
      <c r="BR1382" s="43">
        <f>(Inventory[[#This Row],[Adjusted Land Total]]-Inventory[[#This Row],[24Lnd]])/Inventory[[#This Row],[24Lnd]]</f>
        <v>-2.2813688212927757E-2</v>
      </c>
      <c r="BS1382" s="43">
        <f>(Inventory[[#This Row],[Adjusted Total]]-Inventory[[#This Row],[24Final]])/Inventory[[#This Row],[24Final]]</f>
        <v>0.31705590941259731</v>
      </c>
    </row>
    <row r="1383" spans="1:71">
      <c r="A1383" s="30">
        <v>2025</v>
      </c>
      <c r="B1383" s="31" t="s">
        <v>1902</v>
      </c>
      <c r="C1383" s="36">
        <f>LN(Inventory[[#This Row],[Acres]])</f>
        <v>-0.22314355131420971</v>
      </c>
      <c r="D1383" s="38">
        <v>0.8</v>
      </c>
      <c r="E1383" s="37"/>
      <c r="F1383" s="31" t="s">
        <v>505</v>
      </c>
      <c r="G1383" s="31" t="s">
        <v>155</v>
      </c>
      <c r="H1383" s="31" t="s">
        <v>5</v>
      </c>
      <c r="I1383" s="31" t="s">
        <v>506</v>
      </c>
      <c r="J1383" s="31" t="s">
        <v>507</v>
      </c>
      <c r="K1383" s="31" t="s">
        <v>485</v>
      </c>
      <c r="L1383" s="31" t="s">
        <v>11</v>
      </c>
      <c r="M1383" s="31" t="s">
        <v>16</v>
      </c>
      <c r="N1383" s="31">
        <v>110</v>
      </c>
      <c r="O1383" s="31">
        <f>2024-Inventory[[#This Row],[YrBlt]]</f>
        <v>114</v>
      </c>
      <c r="P1383" s="31">
        <f>2024-Inventory[[#This Row],[EffYr]]</f>
        <v>66</v>
      </c>
      <c r="Q1383" s="30">
        <v>1910</v>
      </c>
      <c r="R1383" s="30">
        <v>1958</v>
      </c>
      <c r="S1383" s="30">
        <v>884</v>
      </c>
      <c r="T1383" s="38">
        <v>516</v>
      </c>
      <c r="U1383" s="32"/>
      <c r="V1383" s="32"/>
      <c r="W1383" s="32"/>
      <c r="X1383" s="32">
        <f>Inventory[[#This Row],[Bsmt Area]]-Inventory[[#This Row],[FnBsmt]]</f>
        <v>0</v>
      </c>
      <c r="Y1383" s="32">
        <f>Inventory[[#This Row],[MainFn]]+Inventory[[#This Row],[UpprFn]]+Inventory[[#This Row],[AddFn]]+Inventory[[#This Row],[FnBsmt]]</f>
        <v>1400</v>
      </c>
      <c r="Z1383" s="32">
        <v>1500</v>
      </c>
      <c r="AA1383" s="31" t="s">
        <v>56</v>
      </c>
      <c r="AB1383" s="32"/>
      <c r="AC1383" s="37"/>
      <c r="AD1383" s="32"/>
      <c r="AE1383" s="32"/>
      <c r="AF1383" s="32"/>
      <c r="AG1383" s="32"/>
      <c r="AH1383" s="32"/>
      <c r="AI1383" s="30">
        <v>168201</v>
      </c>
      <c r="AJ1383" s="30">
        <v>89147</v>
      </c>
      <c r="AK1383" s="30">
        <v>5595</v>
      </c>
      <c r="AL1383" s="30">
        <v>0</v>
      </c>
      <c r="AM1383" s="30">
        <v>83400</v>
      </c>
      <c r="AN1383" s="30">
        <v>174500</v>
      </c>
      <c r="AO1383" s="30">
        <v>257900</v>
      </c>
      <c r="AP1383" s="30">
        <f>Lookups!$B$58*0.6</f>
        <v>132535.48800000001</v>
      </c>
      <c r="AQ1383" s="30">
        <f>Lookups!$B$58*0.4</f>
        <v>88356.992000000013</v>
      </c>
      <c r="AR1383" s="30">
        <f>Lookups!$B$59*Inventory[[#This Row],[LnAcres]]</f>
        <v>-2928.60759652766</v>
      </c>
      <c r="AS1383" s="30">
        <f>VLOOKUP(Inventory[[#This Row],[Qlty]],Lookups!$A$66:$E$79,2,FALSE)</f>
        <v>-9114.1675108666695</v>
      </c>
      <c r="AT1383" s="30">
        <f>VLOOKUP(Inventory[[#This Row],[Cnd]],Lookups!$A$80:$E$88,2,FALSE)</f>
        <v>0</v>
      </c>
      <c r="AU1383" s="30">
        <f>Inventory[[#This Row],[EffAge]]*Lookups!$B$65</f>
        <v>-7176.9126000000006</v>
      </c>
      <c r="AV1383" s="30">
        <f>Inventory[[#This Row],[MainFn]]*Lookups!$B$90</f>
        <v>55170.77592</v>
      </c>
      <c r="AW1383" s="30">
        <f>Inventory[[#This Row],[UpprFn]]*Lookups!$B$91</f>
        <v>30743.477628000001</v>
      </c>
      <c r="AX1383" s="30">
        <f>Inventory[[#This Row],[Bsmt Area]]*Lookups!$B$95</f>
        <v>0</v>
      </c>
      <c r="AY1383" s="30">
        <f>Inventory[[#This Row],[AttGar]]*Lookups!$B$93</f>
        <v>0</v>
      </c>
      <c r="AZ1383" s="30">
        <f>ROUND(Inventory[[#This Row],[25Det]],-2)</f>
        <v>5600</v>
      </c>
      <c r="BA1383" s="30">
        <f>ROUND(SUM(Inventory[[#This Row],[Mdl Qlty]:[Mdl Garage Area]])+Inventory[[#This Row],[Mdl Res Intercept]],-2)</f>
        <v>202200</v>
      </c>
      <c r="BB1383" s="30">
        <f>ROUND(Inventory[[#This Row],[Mdl Land Intercept]]+Inventory[[#This Row],[Mdl LnAcres]],-2)</f>
        <v>85400</v>
      </c>
      <c r="BC1383" s="30">
        <f>Inventory[[#This Row],[Unadj Res Value]]+Inventory[[#This Row],[Unadj Det Value]]+Inventory[[#This Row],[Unadj Land Value]]</f>
        <v>293200</v>
      </c>
      <c r="BD1383" s="30">
        <f>(Inventory[[#This Row],[Unadj Total Value]]-Inventory[[#This Row],[24Final]])/Inventory[[#This Row],[24Final]]</f>
        <v>0.13687475765800697</v>
      </c>
      <c r="BE1383" s="30">
        <f>VLOOKUP(Inventory[[#This Row],[Nbhd]],Lookups!$M$3:$P$5,4,FALSE)</f>
        <v>0.99970000000000003</v>
      </c>
      <c r="BF1383" s="30">
        <f>VLOOKUP(Inventory[[#This Row],[Qlty]],Lookups!$M$8:$P$22,4,FALSE)</f>
        <v>1</v>
      </c>
      <c r="BG1383" s="30">
        <f>VLOOKUP(Inventory[[#This Row],[Cnd]],Lookups!$R$8:$U$17,4,FALSE)</f>
        <v>1</v>
      </c>
      <c r="BH1383" s="30">
        <f>VLOOKUP(Inventory[[#This Row],[LivArea Range]],Lookups!$R$25:$U$43,4,FALSE)</f>
        <v>0.99519999999999997</v>
      </c>
      <c r="BI1383" s="30">
        <f>VLOOKUP(Inventory[[#This Row],[Decade]],Lookups!$M$24:$P$40,4,FALSE)</f>
        <v>0.98240000000000005</v>
      </c>
      <c r="BJ1383" s="30">
        <f>Inventory[[#This Row],[Nbhd Adj]]*0.95</f>
        <v>0.94971499999999998</v>
      </c>
      <c r="BK1383" s="30">
        <f>AVERAGE(Inventory[[#This Row],[Nbhd Adj]],Inventory[[#This Row],[Quality Adj]],Inventory[[#This Row],[Condition Adj]],Inventory[[#This Row],[Living Area Adj]],Inventory[[#This Row],[Decade Adj]])*0.95</f>
        <v>0.94568699999999983</v>
      </c>
      <c r="BL1383" s="30">
        <f>ROUND((SUM(Inventory[[#This Row],[Mdl Qlty]:[Mdl Garage Area]])+Inventory[[#This Row],[Mdl Res Intercept]])*Inventory[[#This Row],[Res Adj ]],-2)</f>
        <v>191200</v>
      </c>
      <c r="BM1383" s="30">
        <f>ROUND(Inventory[[#This Row],[25Det]]*Inventory[[#This Row],[Det/Nbhd Adj]],-2)</f>
        <v>5300</v>
      </c>
      <c r="BN1383" s="30">
        <f>Inventory[[#This Row],[Adjusted Res]]+Inventory[[#This Row],[Adj Det ]]</f>
        <v>196500</v>
      </c>
      <c r="BO1383" s="30">
        <f>ROUND((Inventory[[#This Row],[Mdl Land Intercept]]+Inventory[[#This Row],[Mdl LnAcres]])*Inventory[[#This Row],[Det/Nbhd Adj]],-2)</f>
        <v>81100</v>
      </c>
      <c r="BP1383" s="30">
        <f>Inventory[[#This Row],[Adjusted Impr Total]]+Inventory[[#This Row],[Adjusted Land Total]]</f>
        <v>277600</v>
      </c>
      <c r="BQ1383" s="30">
        <f>IFERROR((Inventory[[#This Row],[Adjusted Impr Total]]-Inventory[[#This Row],[24Bldg]])/Inventory[[#This Row],[24Bldg]],0)</f>
        <v>0.12607449856733524</v>
      </c>
      <c r="BR1383" s="43">
        <f>(Inventory[[#This Row],[Adjusted Land Total]]-Inventory[[#This Row],[24Lnd]])/Inventory[[#This Row],[24Lnd]]</f>
        <v>-2.7577937649880094E-2</v>
      </c>
      <c r="BS1383" s="43">
        <f>(Inventory[[#This Row],[Adjusted Total]]-Inventory[[#This Row],[24Final]])/Inventory[[#This Row],[24Final]]</f>
        <v>7.6386196200077555E-2</v>
      </c>
    </row>
    <row r="1384" spans="1:71">
      <c r="A1384" s="30">
        <v>2025</v>
      </c>
      <c r="B1384" s="31" t="s">
        <v>1903</v>
      </c>
      <c r="C1384" s="36">
        <f>LN(Inventory[[#This Row],[Acres]])</f>
        <v>0</v>
      </c>
      <c r="D1384" s="38">
        <v>1</v>
      </c>
      <c r="E1384" s="37"/>
      <c r="F1384" s="31" t="s">
        <v>505</v>
      </c>
      <c r="G1384" s="31" t="s">
        <v>155</v>
      </c>
      <c r="H1384" s="31" t="s">
        <v>5</v>
      </c>
      <c r="I1384" s="31" t="s">
        <v>506</v>
      </c>
      <c r="J1384" s="31" t="s">
        <v>874</v>
      </c>
      <c r="K1384" s="31" t="s">
        <v>485</v>
      </c>
      <c r="L1384" s="31" t="s">
        <v>13</v>
      </c>
      <c r="M1384" s="31" t="s">
        <v>18</v>
      </c>
      <c r="N1384" s="31">
        <v>110</v>
      </c>
      <c r="O1384" s="31">
        <f>2024-Inventory[[#This Row],[YrBlt]]</f>
        <v>114</v>
      </c>
      <c r="P1384" s="31">
        <f>2024-Inventory[[#This Row],[EffYr]]</f>
        <v>66</v>
      </c>
      <c r="Q1384" s="30">
        <v>1910</v>
      </c>
      <c r="R1384" s="30">
        <v>1958</v>
      </c>
      <c r="S1384" s="30">
        <v>942</v>
      </c>
      <c r="T1384" s="30">
        <v>634</v>
      </c>
      <c r="U1384" s="32"/>
      <c r="V1384" s="32"/>
      <c r="W1384" s="32"/>
      <c r="X1384" s="32">
        <f>Inventory[[#This Row],[Bsmt Area]]-Inventory[[#This Row],[FnBsmt]]</f>
        <v>0</v>
      </c>
      <c r="Y1384" s="32">
        <f>Inventory[[#This Row],[MainFn]]+Inventory[[#This Row],[UpprFn]]+Inventory[[#This Row],[AddFn]]+Inventory[[#This Row],[FnBsmt]]</f>
        <v>1576</v>
      </c>
      <c r="Z1384" s="32">
        <v>2000</v>
      </c>
      <c r="AA1384" s="31" t="s">
        <v>56</v>
      </c>
      <c r="AB1384" s="32"/>
      <c r="AC1384" s="37"/>
      <c r="AD1384" s="37"/>
      <c r="AE1384" s="32"/>
      <c r="AF1384" s="32"/>
      <c r="AG1384" s="32"/>
      <c r="AH1384" s="32"/>
      <c r="AI1384" s="30">
        <v>197046</v>
      </c>
      <c r="AJ1384" s="30">
        <v>108375</v>
      </c>
      <c r="AK1384" s="30">
        <v>2834</v>
      </c>
      <c r="AL1384" s="30">
        <v>0</v>
      </c>
      <c r="AM1384" s="30">
        <v>86500</v>
      </c>
      <c r="AN1384" s="30">
        <v>185800</v>
      </c>
      <c r="AO1384" s="30">
        <v>272300</v>
      </c>
      <c r="AP1384" s="30">
        <f>Lookups!$B$58*0.6</f>
        <v>132535.48800000001</v>
      </c>
      <c r="AQ1384" s="30">
        <f>Lookups!$B$58*0.4</f>
        <v>88356.992000000013</v>
      </c>
      <c r="AR1384" s="30">
        <f>Lookups!$B$59*Inventory[[#This Row],[LnAcres]]</f>
        <v>0</v>
      </c>
      <c r="AS1384" s="30">
        <f>VLOOKUP(Inventory[[#This Row],[Qlty]],Lookups!$A$66:$E$79,2,FALSE)</f>
        <v>0</v>
      </c>
      <c r="AT1384" s="30">
        <f>VLOOKUP(Inventory[[#This Row],[Cnd]],Lookups!$A$80:$E$88,2,FALSE)</f>
        <v>17761.121909000001</v>
      </c>
      <c r="AU1384" s="30">
        <f>Inventory[[#This Row],[EffAge]]*Lookups!$B$65</f>
        <v>-7176.9126000000006</v>
      </c>
      <c r="AV1384" s="30">
        <f>Inventory[[#This Row],[MainFn]]*Lookups!$B$90</f>
        <v>58790.577960000002</v>
      </c>
      <c r="AW1384" s="30">
        <f>Inventory[[#This Row],[UpprFn]]*Lookups!$B$91</f>
        <v>37773.962822000001</v>
      </c>
      <c r="AX1384" s="30">
        <f>Inventory[[#This Row],[Bsmt Area]]*Lookups!$B$95</f>
        <v>0</v>
      </c>
      <c r="AY1384" s="30">
        <f>Inventory[[#This Row],[AttGar]]*Lookups!$B$93</f>
        <v>0</v>
      </c>
      <c r="AZ1384" s="30">
        <f>ROUND(Inventory[[#This Row],[25Det]],-2)</f>
        <v>2800</v>
      </c>
      <c r="BA1384" s="30">
        <f>ROUND(SUM(Inventory[[#This Row],[Mdl Qlty]:[Mdl Garage Area]])+Inventory[[#This Row],[Mdl Res Intercept]],-2)</f>
        <v>239700</v>
      </c>
      <c r="BB1384" s="30">
        <f>ROUND(Inventory[[#This Row],[Mdl Land Intercept]]+Inventory[[#This Row],[Mdl LnAcres]],-2)</f>
        <v>88400</v>
      </c>
      <c r="BC1384" s="30">
        <f>Inventory[[#This Row],[Unadj Res Value]]+Inventory[[#This Row],[Unadj Det Value]]+Inventory[[#This Row],[Unadj Land Value]]</f>
        <v>330900</v>
      </c>
      <c r="BD1384" s="30">
        <f>(Inventory[[#This Row],[Unadj Total Value]]-Inventory[[#This Row],[24Final]])/Inventory[[#This Row],[24Final]]</f>
        <v>0.21520381931692986</v>
      </c>
      <c r="BE1384" s="30">
        <f>VLOOKUP(Inventory[[#This Row],[Nbhd]],Lookups!$M$3:$P$5,4,FALSE)</f>
        <v>0.99970000000000003</v>
      </c>
      <c r="BF1384" s="30">
        <f>VLOOKUP(Inventory[[#This Row],[Qlty]],Lookups!$M$8:$P$22,4,FALSE)</f>
        <v>1.0003</v>
      </c>
      <c r="BG1384" s="30">
        <f>VLOOKUP(Inventory[[#This Row],[Cnd]],Lookups!$R$8:$U$17,4,FALSE)</f>
        <v>0.99680000000000002</v>
      </c>
      <c r="BH1384" s="30">
        <f>VLOOKUP(Inventory[[#This Row],[LivArea Range]],Lookups!$R$25:$U$43,4,FALSE)</f>
        <v>1.0007999999999999</v>
      </c>
      <c r="BI1384" s="30">
        <f>VLOOKUP(Inventory[[#This Row],[Decade]],Lookups!$M$24:$P$40,4,FALSE)</f>
        <v>0.98240000000000005</v>
      </c>
      <c r="BJ1384" s="30">
        <f>Inventory[[#This Row],[Nbhd Adj]]*0.95</f>
        <v>0.94971499999999998</v>
      </c>
      <c r="BK1384" s="30">
        <f>AVERAGE(Inventory[[#This Row],[Nbhd Adj]],Inventory[[#This Row],[Quality Adj]],Inventory[[#This Row],[Condition Adj]],Inventory[[#This Row],[Living Area Adj]],Inventory[[#This Row],[Decade Adj]])*0.95</f>
        <v>0.94619999999999982</v>
      </c>
      <c r="BL1384" s="30">
        <f>ROUND((SUM(Inventory[[#This Row],[Mdl Qlty]:[Mdl Garage Area]])+Inventory[[#This Row],[Mdl Res Intercept]])*Inventory[[#This Row],[Res Adj ]],-2)</f>
        <v>226800</v>
      </c>
      <c r="BM1384" s="30">
        <f>ROUND(Inventory[[#This Row],[25Det]]*Inventory[[#This Row],[Det/Nbhd Adj]],-2)</f>
        <v>2700</v>
      </c>
      <c r="BN1384" s="30">
        <f>Inventory[[#This Row],[Adjusted Res]]+Inventory[[#This Row],[Adj Det ]]</f>
        <v>229500</v>
      </c>
      <c r="BO1384" s="30">
        <f>ROUND((Inventory[[#This Row],[Mdl Land Intercept]]+Inventory[[#This Row],[Mdl LnAcres]])*Inventory[[#This Row],[Det/Nbhd Adj]],-2)</f>
        <v>83900</v>
      </c>
      <c r="BP1384" s="30">
        <f>Inventory[[#This Row],[Adjusted Impr Total]]+Inventory[[#This Row],[Adjusted Land Total]]</f>
        <v>313400</v>
      </c>
      <c r="BQ1384" s="30">
        <f>IFERROR((Inventory[[#This Row],[Adjusted Impr Total]]-Inventory[[#This Row],[24Bldg]])/Inventory[[#This Row],[24Bldg]],0)</f>
        <v>0.23519913885898816</v>
      </c>
      <c r="BR1384" s="43">
        <f>(Inventory[[#This Row],[Adjusted Land Total]]-Inventory[[#This Row],[24Lnd]])/Inventory[[#This Row],[24Lnd]]</f>
        <v>-3.0057803468208091E-2</v>
      </c>
      <c r="BS1384" s="43">
        <f>(Inventory[[#This Row],[Adjusted Total]]-Inventory[[#This Row],[24Final]])/Inventory[[#This Row],[24Final]]</f>
        <v>0.15093646713183989</v>
      </c>
    </row>
    <row r="1385" spans="1:71">
      <c r="A1385" s="30">
        <v>2025</v>
      </c>
      <c r="B1385" s="31" t="s">
        <v>1904</v>
      </c>
      <c r="C1385" s="36">
        <f>LN(Inventory[[#This Row],[Acres]])</f>
        <v>1.980262729617973E-2</v>
      </c>
      <c r="D1385" s="38">
        <v>1.02</v>
      </c>
      <c r="E1385" s="30">
        <v>44414</v>
      </c>
      <c r="F1385" s="31" t="s">
        <v>505</v>
      </c>
      <c r="G1385" s="31" t="s">
        <v>155</v>
      </c>
      <c r="H1385" s="31" t="s">
        <v>5</v>
      </c>
      <c r="I1385" s="31" t="s">
        <v>506</v>
      </c>
      <c r="J1385" s="31" t="s">
        <v>507</v>
      </c>
      <c r="K1385" s="31" t="s">
        <v>485</v>
      </c>
      <c r="L1385" s="31" t="s">
        <v>11</v>
      </c>
      <c r="M1385" s="31" t="s">
        <v>20</v>
      </c>
      <c r="N1385" s="31">
        <v>110</v>
      </c>
      <c r="O1385" s="31">
        <f>2024-Inventory[[#This Row],[YrBlt]]</f>
        <v>114</v>
      </c>
      <c r="P1385" s="31">
        <f>2024-Inventory[[#This Row],[EffYr]]</f>
        <v>66</v>
      </c>
      <c r="Q1385" s="30">
        <v>1910</v>
      </c>
      <c r="R1385" s="30">
        <v>1958</v>
      </c>
      <c r="S1385" s="30">
        <v>1081</v>
      </c>
      <c r="T1385" s="38">
        <v>406</v>
      </c>
      <c r="U1385" s="32"/>
      <c r="V1385" s="32"/>
      <c r="W1385" s="32"/>
      <c r="X1385" s="32">
        <f>Inventory[[#This Row],[Bsmt Area]]-Inventory[[#This Row],[FnBsmt]]</f>
        <v>0</v>
      </c>
      <c r="Y1385" s="32">
        <f>Inventory[[#This Row],[MainFn]]+Inventory[[#This Row],[UpprFn]]+Inventory[[#This Row],[AddFn]]+Inventory[[#This Row],[FnBsmt]]</f>
        <v>1487</v>
      </c>
      <c r="Z1385" s="32">
        <v>1500</v>
      </c>
      <c r="AA1385" s="31" t="s">
        <v>56</v>
      </c>
      <c r="AB1385" s="37"/>
      <c r="AC1385" s="37"/>
      <c r="AD1385" s="32"/>
      <c r="AE1385" s="32"/>
      <c r="AF1385" s="32"/>
      <c r="AG1385" s="32"/>
      <c r="AH1385" s="32"/>
      <c r="AI1385" s="30">
        <v>182064</v>
      </c>
      <c r="AJ1385" s="30">
        <v>103776</v>
      </c>
      <c r="AK1385" s="30">
        <v>27994</v>
      </c>
      <c r="AL1385" s="30">
        <v>0</v>
      </c>
      <c r="AM1385" s="30">
        <v>86800</v>
      </c>
      <c r="AN1385" s="30">
        <v>201100</v>
      </c>
      <c r="AO1385" s="30">
        <v>287900</v>
      </c>
      <c r="AP1385" s="30">
        <f>Lookups!$B$58*0.6</f>
        <v>132535.48800000001</v>
      </c>
      <c r="AQ1385" s="30">
        <f>Lookups!$B$58*0.4</f>
        <v>88356.992000000013</v>
      </c>
      <c r="AR1385" s="30">
        <f>Lookups!$B$59*Inventory[[#This Row],[LnAcres]]</f>
        <v>259.89603727842484</v>
      </c>
      <c r="AS1385" s="30">
        <f>VLOOKUP(Inventory[[#This Row],[Qlty]],Lookups!$A$66:$E$79,2,FALSE)</f>
        <v>-9114.1675108666695</v>
      </c>
      <c r="AT1385" s="30">
        <f>VLOOKUP(Inventory[[#This Row],[Cnd]],Lookups!$A$80:$E$88,2,FALSE)</f>
        <v>30300.329274</v>
      </c>
      <c r="AU1385" s="30">
        <f>Inventory[[#This Row],[EffAge]]*Lookups!$B$65</f>
        <v>-7176.9126000000006</v>
      </c>
      <c r="AV1385" s="30">
        <f>Inventory[[#This Row],[MainFn]]*Lookups!$B$90</f>
        <v>67465.620779999997</v>
      </c>
      <c r="AW1385" s="30">
        <f>Inventory[[#This Row],[UpprFn]]*Lookups!$B$91</f>
        <v>24189.635498</v>
      </c>
      <c r="AX1385" s="30">
        <f>Inventory[[#This Row],[Bsmt Area]]*Lookups!$B$95</f>
        <v>0</v>
      </c>
      <c r="AY1385" s="30">
        <f>Inventory[[#This Row],[AttGar]]*Lookups!$B$93</f>
        <v>0</v>
      </c>
      <c r="AZ1385" s="30">
        <f>ROUND(Inventory[[#This Row],[25Det]],-2)</f>
        <v>28000</v>
      </c>
      <c r="BA1385" s="30">
        <f>ROUND(SUM(Inventory[[#This Row],[Mdl Qlty]:[Mdl Garage Area]])+Inventory[[#This Row],[Mdl Res Intercept]],-2)</f>
        <v>238200</v>
      </c>
      <c r="BB1385" s="30">
        <f>ROUND(Inventory[[#This Row],[Mdl Land Intercept]]+Inventory[[#This Row],[Mdl LnAcres]],-2)</f>
        <v>88600</v>
      </c>
      <c r="BC1385" s="30">
        <f>Inventory[[#This Row],[Unadj Res Value]]+Inventory[[#This Row],[Unadj Det Value]]+Inventory[[#This Row],[Unadj Land Value]]</f>
        <v>354800</v>
      </c>
      <c r="BD1385" s="30">
        <f>(Inventory[[#This Row],[Unadj Total Value]]-Inventory[[#This Row],[24Final]])/Inventory[[#This Row],[24Final]]</f>
        <v>0.23237235151094129</v>
      </c>
      <c r="BE1385" s="30">
        <f>VLOOKUP(Inventory[[#This Row],[Nbhd]],Lookups!$M$3:$P$5,4,FALSE)</f>
        <v>0.99970000000000003</v>
      </c>
      <c r="BF1385" s="30">
        <f>VLOOKUP(Inventory[[#This Row],[Qlty]],Lookups!$M$8:$P$22,4,FALSE)</f>
        <v>1</v>
      </c>
      <c r="BG1385" s="30">
        <f>VLOOKUP(Inventory[[#This Row],[Cnd]],Lookups!$R$8:$U$17,4,FALSE)</f>
        <v>0.997</v>
      </c>
      <c r="BH1385" s="30">
        <f>VLOOKUP(Inventory[[#This Row],[LivArea Range]],Lookups!$R$25:$U$43,4,FALSE)</f>
        <v>0.99519999999999997</v>
      </c>
      <c r="BI1385" s="30">
        <f>VLOOKUP(Inventory[[#This Row],[Decade]],Lookups!$M$24:$P$40,4,FALSE)</f>
        <v>0.98240000000000005</v>
      </c>
      <c r="BJ1385" s="30">
        <f>Inventory[[#This Row],[Nbhd Adj]]*0.95</f>
        <v>0.94971499999999998</v>
      </c>
      <c r="BK1385" s="30">
        <f>AVERAGE(Inventory[[#This Row],[Nbhd Adj]],Inventory[[#This Row],[Quality Adj]],Inventory[[#This Row],[Condition Adj]],Inventory[[#This Row],[Living Area Adj]],Inventory[[#This Row],[Decade Adj]])*0.95</f>
        <v>0.94511699999999998</v>
      </c>
      <c r="BL1385" s="30">
        <f>ROUND((SUM(Inventory[[#This Row],[Mdl Qlty]:[Mdl Garage Area]])+Inventory[[#This Row],[Mdl Res Intercept]])*Inventory[[#This Row],[Res Adj ]],-2)</f>
        <v>225100</v>
      </c>
      <c r="BM1385" s="30">
        <f>ROUND(Inventory[[#This Row],[25Det]]*Inventory[[#This Row],[Det/Nbhd Adj]],-2)</f>
        <v>26600</v>
      </c>
      <c r="BN1385" s="30">
        <f>Inventory[[#This Row],[Adjusted Res]]+Inventory[[#This Row],[Adj Det ]]</f>
        <v>251700</v>
      </c>
      <c r="BO1385" s="30">
        <f>ROUND((Inventory[[#This Row],[Mdl Land Intercept]]+Inventory[[#This Row],[Mdl LnAcres]])*Inventory[[#This Row],[Det/Nbhd Adj]],-2)</f>
        <v>84200</v>
      </c>
      <c r="BP1385" s="30">
        <f>Inventory[[#This Row],[Adjusted Impr Total]]+Inventory[[#This Row],[Adjusted Land Total]]</f>
        <v>335900</v>
      </c>
      <c r="BQ1385" s="30">
        <f>IFERROR((Inventory[[#This Row],[Adjusted Impr Total]]-Inventory[[#This Row],[24Bldg]])/Inventory[[#This Row],[24Bldg]],0)</f>
        <v>0.25161611138736945</v>
      </c>
      <c r="BR1385" s="43">
        <f>(Inventory[[#This Row],[Adjusted Land Total]]-Inventory[[#This Row],[24Lnd]])/Inventory[[#This Row],[24Lnd]]</f>
        <v>-2.9953917050691243E-2</v>
      </c>
      <c r="BS1385" s="43">
        <f>(Inventory[[#This Row],[Adjusted Total]]-Inventory[[#This Row],[24Final]])/Inventory[[#This Row],[24Final]]</f>
        <v>0.16672455713789511</v>
      </c>
    </row>
    <row r="1386" spans="1:71">
      <c r="A1386" s="30">
        <v>2025</v>
      </c>
      <c r="B1386" s="31" t="s">
        <v>1905</v>
      </c>
      <c r="C1386" s="36">
        <f>LN(Inventory[[#This Row],[Acres]])</f>
        <v>0.33647223662121289</v>
      </c>
      <c r="D1386" s="38">
        <v>1.4</v>
      </c>
      <c r="E1386" s="37"/>
      <c r="F1386" s="31" t="s">
        <v>505</v>
      </c>
      <c r="G1386" s="31" t="s">
        <v>155</v>
      </c>
      <c r="H1386" s="31" t="s">
        <v>5</v>
      </c>
      <c r="I1386" s="31" t="s">
        <v>506</v>
      </c>
      <c r="J1386" s="31" t="s">
        <v>507</v>
      </c>
      <c r="K1386" s="31" t="s">
        <v>473</v>
      </c>
      <c r="L1386" s="31" t="s">
        <v>13</v>
      </c>
      <c r="M1386" s="31" t="s">
        <v>18</v>
      </c>
      <c r="N1386" s="31">
        <v>110</v>
      </c>
      <c r="O1386" s="31">
        <f>2024-Inventory[[#This Row],[YrBlt]]</f>
        <v>114</v>
      </c>
      <c r="P1386" s="31">
        <f>2024-Inventory[[#This Row],[EffYr]]</f>
        <v>66</v>
      </c>
      <c r="Q1386" s="30">
        <v>1910</v>
      </c>
      <c r="R1386" s="30">
        <v>1958</v>
      </c>
      <c r="S1386" s="30">
        <v>1064</v>
      </c>
      <c r="T1386" s="37"/>
      <c r="U1386" s="38">
        <v>1064</v>
      </c>
      <c r="V1386" s="32"/>
      <c r="W1386" s="38">
        <v>0</v>
      </c>
      <c r="X1386" s="38">
        <f>Inventory[[#This Row],[Bsmt Area]]-Inventory[[#This Row],[FnBsmt]]</f>
        <v>1064</v>
      </c>
      <c r="Y1386" s="38">
        <f>Inventory[[#This Row],[MainFn]]+Inventory[[#This Row],[UpprFn]]+Inventory[[#This Row],[AddFn]]+Inventory[[#This Row],[FnBsmt]]</f>
        <v>1064</v>
      </c>
      <c r="Z1386" s="32">
        <v>1500</v>
      </c>
      <c r="AA1386" s="31" t="s">
        <v>56</v>
      </c>
      <c r="AB1386" s="37"/>
      <c r="AC1386" s="32"/>
      <c r="AD1386" s="37"/>
      <c r="AE1386" s="32"/>
      <c r="AF1386" s="32"/>
      <c r="AG1386" s="32"/>
      <c r="AH1386" s="32"/>
      <c r="AI1386" s="30">
        <v>197283</v>
      </c>
      <c r="AJ1386" s="30">
        <v>108506</v>
      </c>
      <c r="AK1386" s="30">
        <v>9996</v>
      </c>
      <c r="AL1386" s="30">
        <v>0</v>
      </c>
      <c r="AM1386" s="30">
        <v>91200</v>
      </c>
      <c r="AN1386" s="30">
        <v>175500</v>
      </c>
      <c r="AO1386" s="30">
        <v>266700</v>
      </c>
      <c r="AP1386" s="30">
        <f>Lookups!$B$58*0.6</f>
        <v>132535.48800000001</v>
      </c>
      <c r="AQ1386" s="30">
        <f>Lookups!$B$58*0.4</f>
        <v>88356.992000000013</v>
      </c>
      <c r="AR1386" s="30">
        <f>Lookups!$B$59*Inventory[[#This Row],[LnAcres]]</f>
        <v>4415.9696410047536</v>
      </c>
      <c r="AS1386" s="30">
        <f>VLOOKUP(Inventory[[#This Row],[Qlty]],Lookups!$A$66:$E$79,2,FALSE)</f>
        <v>0</v>
      </c>
      <c r="AT1386" s="30">
        <f>VLOOKUP(Inventory[[#This Row],[Cnd]],Lookups!$A$80:$E$88,2,FALSE)</f>
        <v>17761.121909000001</v>
      </c>
      <c r="AU1386" s="30">
        <f>Inventory[[#This Row],[EffAge]]*Lookups!$B$65</f>
        <v>-7176.9126000000006</v>
      </c>
      <c r="AV1386" s="30">
        <f>Inventory[[#This Row],[MainFn]]*Lookups!$B$90</f>
        <v>66404.644320000007</v>
      </c>
      <c r="AW1386" s="30">
        <f>Inventory[[#This Row],[UpprFn]]*Lookups!$B$91</f>
        <v>0</v>
      </c>
      <c r="AX1386" s="30">
        <f>Inventory[[#This Row],[Bsmt Area]]*Lookups!$B$95</f>
        <v>66592.031743999993</v>
      </c>
      <c r="AY1386" s="30">
        <f>Inventory[[#This Row],[AttGar]]*Lookups!$B$93</f>
        <v>0</v>
      </c>
      <c r="AZ1386" s="30">
        <f>ROUND(Inventory[[#This Row],[25Det]],-2)</f>
        <v>10000</v>
      </c>
      <c r="BA1386" s="30">
        <f>ROUND(SUM(Inventory[[#This Row],[Mdl Qlty]:[Mdl Garage Area]])+Inventory[[#This Row],[Mdl Res Intercept]],-2)</f>
        <v>276100</v>
      </c>
      <c r="BB1386" s="30">
        <f>ROUND(Inventory[[#This Row],[Mdl Land Intercept]]+Inventory[[#This Row],[Mdl LnAcres]],-2)</f>
        <v>92800</v>
      </c>
      <c r="BC1386" s="30">
        <f>Inventory[[#This Row],[Unadj Res Value]]+Inventory[[#This Row],[Unadj Det Value]]+Inventory[[#This Row],[Unadj Land Value]]</f>
        <v>378900</v>
      </c>
      <c r="BD1386" s="30">
        <f>(Inventory[[#This Row],[Unadj Total Value]]-Inventory[[#This Row],[24Final]])/Inventory[[#This Row],[24Final]]</f>
        <v>0.42069741282339707</v>
      </c>
      <c r="BE1386" s="30">
        <f>VLOOKUP(Inventory[[#This Row],[Nbhd]],Lookups!$M$3:$P$5,4,FALSE)</f>
        <v>0.99970000000000003</v>
      </c>
      <c r="BF1386" s="30">
        <f>VLOOKUP(Inventory[[#This Row],[Qlty]],Lookups!$M$8:$P$22,4,FALSE)</f>
        <v>1.0003</v>
      </c>
      <c r="BG1386" s="30">
        <f>VLOOKUP(Inventory[[#This Row],[Cnd]],Lookups!$R$8:$U$17,4,FALSE)</f>
        <v>0.99680000000000002</v>
      </c>
      <c r="BH1386" s="30">
        <f>VLOOKUP(Inventory[[#This Row],[LivArea Range]],Lookups!$R$25:$U$43,4,FALSE)</f>
        <v>0.99519999999999997</v>
      </c>
      <c r="BI1386" s="30">
        <f>VLOOKUP(Inventory[[#This Row],[Decade]],Lookups!$M$24:$P$40,4,FALSE)</f>
        <v>0.98240000000000005</v>
      </c>
      <c r="BJ1386" s="30">
        <f>Inventory[[#This Row],[Nbhd Adj]]*0.95</f>
        <v>0.94971499999999998</v>
      </c>
      <c r="BK1386" s="30">
        <f>AVERAGE(Inventory[[#This Row],[Nbhd Adj]],Inventory[[#This Row],[Quality Adj]],Inventory[[#This Row],[Condition Adj]],Inventory[[#This Row],[Living Area Adj]],Inventory[[#This Row],[Decade Adj]])*0.95</f>
        <v>0.94513599999999998</v>
      </c>
      <c r="BL1386" s="30">
        <f>ROUND((SUM(Inventory[[#This Row],[Mdl Qlty]:[Mdl Garage Area]])+Inventory[[#This Row],[Mdl Res Intercept]])*Inventory[[#This Row],[Res Adj ]],-2)</f>
        <v>261000</v>
      </c>
      <c r="BM1386" s="30">
        <f>ROUND(Inventory[[#This Row],[25Det]]*Inventory[[#This Row],[Det/Nbhd Adj]],-2)</f>
        <v>9500</v>
      </c>
      <c r="BN1386" s="30">
        <f>Inventory[[#This Row],[Adjusted Res]]+Inventory[[#This Row],[Adj Det ]]</f>
        <v>270500</v>
      </c>
      <c r="BO1386" s="30">
        <f>ROUND((Inventory[[#This Row],[Mdl Land Intercept]]+Inventory[[#This Row],[Mdl LnAcres]])*Inventory[[#This Row],[Det/Nbhd Adj]],-2)</f>
        <v>88100</v>
      </c>
      <c r="BP1386" s="30">
        <f>Inventory[[#This Row],[Adjusted Impr Total]]+Inventory[[#This Row],[Adjusted Land Total]]</f>
        <v>358600</v>
      </c>
      <c r="BQ1386" s="30">
        <f>IFERROR((Inventory[[#This Row],[Adjusted Impr Total]]-Inventory[[#This Row],[24Bldg]])/Inventory[[#This Row],[24Bldg]],0)</f>
        <v>0.54131054131054135</v>
      </c>
      <c r="BR1386" s="43">
        <f>(Inventory[[#This Row],[Adjusted Land Total]]-Inventory[[#This Row],[24Lnd]])/Inventory[[#This Row],[24Lnd]]</f>
        <v>-3.399122807017544E-2</v>
      </c>
      <c r="BS1386" s="43">
        <f>(Inventory[[#This Row],[Adjusted Total]]-Inventory[[#This Row],[24Final]])/Inventory[[#This Row],[24Final]]</f>
        <v>0.34458192725909259</v>
      </c>
    </row>
    <row r="1387" spans="1:71">
      <c r="A1387" s="30">
        <v>2025</v>
      </c>
      <c r="B1387" s="31" t="s">
        <v>1906</v>
      </c>
      <c r="C1387" s="36">
        <f>LN(Inventory[[#This Row],[Acres]])</f>
        <v>0.61518563909023349</v>
      </c>
      <c r="D1387" s="38">
        <v>1.85</v>
      </c>
      <c r="E1387" s="30">
        <v>80769</v>
      </c>
      <c r="F1387" s="31" t="s">
        <v>505</v>
      </c>
      <c r="G1387" s="31" t="s">
        <v>155</v>
      </c>
      <c r="H1387" s="31" t="s">
        <v>5</v>
      </c>
      <c r="I1387" s="31" t="s">
        <v>506</v>
      </c>
      <c r="J1387" s="31" t="s">
        <v>507</v>
      </c>
      <c r="K1387" s="31" t="s">
        <v>473</v>
      </c>
      <c r="L1387" s="31" t="s">
        <v>13</v>
      </c>
      <c r="M1387" s="31" t="s">
        <v>20</v>
      </c>
      <c r="N1387" s="31">
        <v>110</v>
      </c>
      <c r="O1387" s="31">
        <f>2024-Inventory[[#This Row],[YrBlt]]</f>
        <v>117</v>
      </c>
      <c r="P1387" s="31">
        <f>2024-Inventory[[#This Row],[EffYr]]</f>
        <v>69</v>
      </c>
      <c r="Q1387" s="30">
        <v>1907</v>
      </c>
      <c r="R1387" s="30">
        <v>1955</v>
      </c>
      <c r="S1387" s="30">
        <v>1734</v>
      </c>
      <c r="T1387" s="32"/>
      <c r="U1387" s="32"/>
      <c r="V1387" s="32"/>
      <c r="W1387" s="32"/>
      <c r="X1387" s="32">
        <f>Inventory[[#This Row],[Bsmt Area]]-Inventory[[#This Row],[FnBsmt]]</f>
        <v>0</v>
      </c>
      <c r="Y1387" s="32">
        <f>Inventory[[#This Row],[MainFn]]+Inventory[[#This Row],[UpprFn]]+Inventory[[#This Row],[AddFn]]+Inventory[[#This Row],[FnBsmt]]</f>
        <v>1734</v>
      </c>
      <c r="Z1387" s="32">
        <v>2000</v>
      </c>
      <c r="AA1387" s="31" t="s">
        <v>56</v>
      </c>
      <c r="AB1387" s="37"/>
      <c r="AC1387" s="37"/>
      <c r="AD1387" s="32"/>
      <c r="AE1387" s="32"/>
      <c r="AF1387" s="32"/>
      <c r="AG1387" s="32"/>
      <c r="AH1387" s="32"/>
      <c r="AI1387" s="30">
        <v>226928</v>
      </c>
      <c r="AJ1387" s="30">
        <v>129349</v>
      </c>
      <c r="AK1387" s="30">
        <v>35979</v>
      </c>
      <c r="AL1387" s="30">
        <v>0</v>
      </c>
      <c r="AM1387" s="30">
        <v>95100</v>
      </c>
      <c r="AN1387" s="30">
        <v>227000</v>
      </c>
      <c r="AO1387" s="30">
        <v>322100</v>
      </c>
      <c r="AP1387" s="30">
        <f>Lookups!$B$58*0.6</f>
        <v>132535.48800000001</v>
      </c>
      <c r="AQ1387" s="30">
        <f>Lookups!$B$58*0.4</f>
        <v>88356.992000000013</v>
      </c>
      <c r="AR1387" s="30">
        <f>Lookups!$B$59*Inventory[[#This Row],[LnAcres]]</f>
        <v>8073.8938020103724</v>
      </c>
      <c r="AS1387" s="30">
        <f>VLOOKUP(Inventory[[#This Row],[Qlty]],Lookups!$A$66:$E$79,2,FALSE)</f>
        <v>0</v>
      </c>
      <c r="AT1387" s="30">
        <f>VLOOKUP(Inventory[[#This Row],[Cnd]],Lookups!$A$80:$E$88,2,FALSE)</f>
        <v>30300.329274</v>
      </c>
      <c r="AU1387" s="30">
        <f>Inventory[[#This Row],[EffAge]]*Lookups!$B$65</f>
        <v>-7503.1359000000002</v>
      </c>
      <c r="AV1387" s="30">
        <f>Inventory[[#This Row],[MainFn]]*Lookups!$B$90</f>
        <v>108219.59892</v>
      </c>
      <c r="AW1387" s="30">
        <f>Inventory[[#This Row],[UpprFn]]*Lookups!$B$91</f>
        <v>0</v>
      </c>
      <c r="AX1387" s="30">
        <f>Inventory[[#This Row],[Bsmt Area]]*Lookups!$B$95</f>
        <v>0</v>
      </c>
      <c r="AY1387" s="30">
        <f>Inventory[[#This Row],[AttGar]]*Lookups!$B$93</f>
        <v>0</v>
      </c>
      <c r="AZ1387" s="30">
        <f>ROUND(Inventory[[#This Row],[25Det]],-2)</f>
        <v>36000</v>
      </c>
      <c r="BA1387" s="30">
        <f>ROUND(SUM(Inventory[[#This Row],[Mdl Qlty]:[Mdl Garage Area]])+Inventory[[#This Row],[Mdl Res Intercept]],-2)</f>
        <v>263600</v>
      </c>
      <c r="BB1387" s="30">
        <f>ROUND(Inventory[[#This Row],[Mdl Land Intercept]]+Inventory[[#This Row],[Mdl LnAcres]],-2)</f>
        <v>96400</v>
      </c>
      <c r="BC1387" s="30">
        <f>Inventory[[#This Row],[Unadj Res Value]]+Inventory[[#This Row],[Unadj Det Value]]+Inventory[[#This Row],[Unadj Land Value]]</f>
        <v>396000</v>
      </c>
      <c r="BD1387" s="30">
        <f>(Inventory[[#This Row],[Unadj Total Value]]-Inventory[[#This Row],[24Final]])/Inventory[[#This Row],[24Final]]</f>
        <v>0.22943185346165787</v>
      </c>
      <c r="BE1387" s="30">
        <f>VLOOKUP(Inventory[[#This Row],[Nbhd]],Lookups!$M$3:$P$5,4,FALSE)</f>
        <v>0.99970000000000003</v>
      </c>
      <c r="BF1387" s="30">
        <f>VLOOKUP(Inventory[[#This Row],[Qlty]],Lookups!$M$8:$P$22,4,FALSE)</f>
        <v>1.0003</v>
      </c>
      <c r="BG1387" s="30">
        <f>VLOOKUP(Inventory[[#This Row],[Cnd]],Lookups!$R$8:$U$17,4,FALSE)</f>
        <v>0.997</v>
      </c>
      <c r="BH1387" s="30">
        <f>VLOOKUP(Inventory[[#This Row],[LivArea Range]],Lookups!$R$25:$U$43,4,FALSE)</f>
        <v>1.0007999999999999</v>
      </c>
      <c r="BI1387" s="30">
        <f>VLOOKUP(Inventory[[#This Row],[Decade]],Lookups!$M$24:$P$40,4,FALSE)</f>
        <v>0.98240000000000005</v>
      </c>
      <c r="BJ1387" s="30">
        <f>Inventory[[#This Row],[Nbhd Adj]]*0.95</f>
        <v>0.94971499999999998</v>
      </c>
      <c r="BK1387" s="30">
        <f>AVERAGE(Inventory[[#This Row],[Nbhd Adj]],Inventory[[#This Row],[Quality Adj]],Inventory[[#This Row],[Condition Adj]],Inventory[[#This Row],[Living Area Adj]],Inventory[[#This Row],[Decade Adj]])*0.95</f>
        <v>0.94623800000000002</v>
      </c>
      <c r="BL1387" s="30">
        <f>ROUND((SUM(Inventory[[#This Row],[Mdl Qlty]:[Mdl Garage Area]])+Inventory[[#This Row],[Mdl Res Intercept]])*Inventory[[#This Row],[Res Adj ]],-2)</f>
        <v>249400</v>
      </c>
      <c r="BM1387" s="30">
        <f>ROUND(Inventory[[#This Row],[25Det]]*Inventory[[#This Row],[Det/Nbhd Adj]],-2)</f>
        <v>34200</v>
      </c>
      <c r="BN1387" s="30">
        <f>Inventory[[#This Row],[Adjusted Res]]+Inventory[[#This Row],[Adj Det ]]</f>
        <v>283600</v>
      </c>
      <c r="BO1387" s="30">
        <f>ROUND((Inventory[[#This Row],[Mdl Land Intercept]]+Inventory[[#This Row],[Mdl LnAcres]])*Inventory[[#This Row],[Det/Nbhd Adj]],-2)</f>
        <v>91600</v>
      </c>
      <c r="BP1387" s="30">
        <f>Inventory[[#This Row],[Adjusted Impr Total]]+Inventory[[#This Row],[Adjusted Land Total]]</f>
        <v>375200</v>
      </c>
      <c r="BQ1387" s="30">
        <f>IFERROR((Inventory[[#This Row],[Adjusted Impr Total]]-Inventory[[#This Row],[24Bldg]])/Inventory[[#This Row],[24Bldg]],0)</f>
        <v>0.24933920704845816</v>
      </c>
      <c r="BR1387" s="43">
        <f>(Inventory[[#This Row],[Adjusted Land Total]]-Inventory[[#This Row],[24Lnd]])/Inventory[[#This Row],[24Lnd]]</f>
        <v>-3.6803364879074658E-2</v>
      </c>
      <c r="BS1387" s="43">
        <f>(Inventory[[#This Row],[Adjusted Total]]-Inventory[[#This Row],[24Final]])/Inventory[[#This Row],[24Final]]</f>
        <v>0.16485563489599503</v>
      </c>
    </row>
    <row r="1388" spans="1:71">
      <c r="A1388" s="30">
        <v>2025</v>
      </c>
      <c r="B1388" s="31" t="s">
        <v>1907</v>
      </c>
      <c r="C1388" s="36">
        <f>LN(Inventory[[#This Row],[Acres]])</f>
        <v>-8.3381608939051013E-2</v>
      </c>
      <c r="D1388" s="38">
        <v>0.92</v>
      </c>
      <c r="E1388" s="37"/>
      <c r="F1388" s="31" t="s">
        <v>505</v>
      </c>
      <c r="G1388" s="31" t="s">
        <v>155</v>
      </c>
      <c r="H1388" s="31" t="s">
        <v>5</v>
      </c>
      <c r="I1388" s="31" t="s">
        <v>506</v>
      </c>
      <c r="J1388" s="31" t="s">
        <v>507</v>
      </c>
      <c r="K1388" s="31" t="s">
        <v>485</v>
      </c>
      <c r="L1388" s="31" t="s">
        <v>15</v>
      </c>
      <c r="M1388" s="31" t="s">
        <v>14</v>
      </c>
      <c r="N1388" s="31">
        <v>110</v>
      </c>
      <c r="O1388" s="31">
        <f>2024-Inventory[[#This Row],[YrBlt]]</f>
        <v>118</v>
      </c>
      <c r="P1388" s="31">
        <f>2024-Inventory[[#This Row],[EffYr]]</f>
        <v>70</v>
      </c>
      <c r="Q1388" s="30">
        <v>1906</v>
      </c>
      <c r="R1388" s="30">
        <v>1954</v>
      </c>
      <c r="S1388" s="30">
        <v>1166</v>
      </c>
      <c r="T1388" s="38">
        <v>960</v>
      </c>
      <c r="U1388" s="32"/>
      <c r="V1388" s="32"/>
      <c r="W1388" s="32"/>
      <c r="X1388" s="32">
        <f>Inventory[[#This Row],[Bsmt Area]]-Inventory[[#This Row],[FnBsmt]]</f>
        <v>0</v>
      </c>
      <c r="Y1388" s="32">
        <f>Inventory[[#This Row],[MainFn]]+Inventory[[#This Row],[UpprFn]]+Inventory[[#This Row],[AddFn]]+Inventory[[#This Row],[FnBsmt]]</f>
        <v>2126</v>
      </c>
      <c r="Z1388" s="32">
        <v>2500</v>
      </c>
      <c r="AA1388" s="31" t="s">
        <v>56</v>
      </c>
      <c r="AB1388" s="37"/>
      <c r="AC1388" s="37"/>
      <c r="AD1388" s="32"/>
      <c r="AE1388" s="32"/>
      <c r="AF1388" s="32"/>
      <c r="AG1388" s="32"/>
      <c r="AH1388" s="32"/>
      <c r="AI1388" s="30">
        <v>259442</v>
      </c>
      <c r="AJ1388" s="30">
        <v>132315</v>
      </c>
      <c r="AK1388" s="30">
        <v>24843</v>
      </c>
      <c r="AL1388" s="30">
        <v>0</v>
      </c>
      <c r="AM1388" s="30">
        <v>85300</v>
      </c>
      <c r="AN1388" s="30">
        <v>224700</v>
      </c>
      <c r="AO1388" s="30">
        <v>310000</v>
      </c>
      <c r="AP1388" s="30">
        <f>Lookups!$B$58*0.6</f>
        <v>132535.48800000001</v>
      </c>
      <c r="AQ1388" s="30">
        <f>Lookups!$B$58*0.4</f>
        <v>88356.992000000013</v>
      </c>
      <c r="AR1388" s="30">
        <f>Lookups!$B$59*Inventory[[#This Row],[LnAcres]]</f>
        <v>-1094.3270012125749</v>
      </c>
      <c r="AS1388" s="30">
        <f>VLOOKUP(Inventory[[#This Row],[Qlty]],Lookups!$A$66:$E$79,2,FALSE)</f>
        <v>-1240.8083630000001</v>
      </c>
      <c r="AT1388" s="30">
        <f>VLOOKUP(Inventory[[#This Row],[Cnd]],Lookups!$A$80:$E$88,2,FALSE)</f>
        <v>-9051.7226098799892</v>
      </c>
      <c r="AU1388" s="30">
        <f>Inventory[[#This Row],[EffAge]]*Lookups!$B$65</f>
        <v>-7611.8770000000004</v>
      </c>
      <c r="AV1388" s="30">
        <f>Inventory[[#This Row],[MainFn]]*Lookups!$B$90</f>
        <v>72770.50308000001</v>
      </c>
      <c r="AW1388" s="30">
        <f>Inventory[[#This Row],[UpprFn]]*Lookups!$B$91</f>
        <v>57197.167679999999</v>
      </c>
      <c r="AX1388" s="30">
        <f>Inventory[[#This Row],[Bsmt Area]]*Lookups!$B$95</f>
        <v>0</v>
      </c>
      <c r="AY1388" s="30">
        <f>Inventory[[#This Row],[AttGar]]*Lookups!$B$93</f>
        <v>0</v>
      </c>
      <c r="AZ1388" s="30">
        <f>ROUND(Inventory[[#This Row],[25Det]],-2)</f>
        <v>24800</v>
      </c>
      <c r="BA1388" s="30">
        <f>ROUND(SUM(Inventory[[#This Row],[Mdl Qlty]:[Mdl Garage Area]])+Inventory[[#This Row],[Mdl Res Intercept]],-2)</f>
        <v>244600</v>
      </c>
      <c r="BB1388" s="30">
        <f>ROUND(Inventory[[#This Row],[Mdl Land Intercept]]+Inventory[[#This Row],[Mdl LnAcres]],-2)</f>
        <v>87300</v>
      </c>
      <c r="BC1388" s="30">
        <f>Inventory[[#This Row],[Unadj Res Value]]+Inventory[[#This Row],[Unadj Det Value]]+Inventory[[#This Row],[Unadj Land Value]]</f>
        <v>356700</v>
      </c>
      <c r="BD1388" s="30">
        <f>(Inventory[[#This Row],[Unadj Total Value]]-Inventory[[#This Row],[24Final]])/Inventory[[#This Row],[24Final]]</f>
        <v>0.15064516129032257</v>
      </c>
      <c r="BE1388" s="30">
        <f>VLOOKUP(Inventory[[#This Row],[Nbhd]],Lookups!$M$3:$P$5,4,FALSE)</f>
        <v>0.99970000000000003</v>
      </c>
      <c r="BF1388" s="30">
        <f>VLOOKUP(Inventory[[#This Row],[Qlty]],Lookups!$M$8:$P$22,4,FALSE)</f>
        <v>1.0022</v>
      </c>
      <c r="BG1388" s="30">
        <f>VLOOKUP(Inventory[[#This Row],[Cnd]],Lookups!$R$8:$U$17,4,FALSE)</f>
        <v>1</v>
      </c>
      <c r="BH1388" s="30">
        <f>VLOOKUP(Inventory[[#This Row],[LivArea Range]],Lookups!$R$25:$U$43,4,FALSE)</f>
        <v>1.0008999999999999</v>
      </c>
      <c r="BI1388" s="30">
        <f>VLOOKUP(Inventory[[#This Row],[Decade]],Lookups!$M$24:$P$40,4,FALSE)</f>
        <v>0.98240000000000005</v>
      </c>
      <c r="BJ1388" s="30">
        <f>Inventory[[#This Row],[Nbhd Adj]]*0.95</f>
        <v>0.94971499999999998</v>
      </c>
      <c r="BK1388" s="30">
        <f>AVERAGE(Inventory[[#This Row],[Nbhd Adj]],Inventory[[#This Row],[Quality Adj]],Inventory[[#This Row],[Condition Adj]],Inventory[[#This Row],[Living Area Adj]],Inventory[[#This Row],[Decade Adj]])*0.95</f>
        <v>0.94718799999999992</v>
      </c>
      <c r="BL1388" s="30">
        <f>ROUND((SUM(Inventory[[#This Row],[Mdl Qlty]:[Mdl Garage Area]])+Inventory[[#This Row],[Mdl Res Intercept]])*Inventory[[#This Row],[Res Adj ]],-2)</f>
        <v>231700</v>
      </c>
      <c r="BM1388" s="30">
        <f>ROUND(Inventory[[#This Row],[25Det]]*Inventory[[#This Row],[Det/Nbhd Adj]],-2)</f>
        <v>23600</v>
      </c>
      <c r="BN1388" s="30">
        <f>Inventory[[#This Row],[Adjusted Res]]+Inventory[[#This Row],[Adj Det ]]</f>
        <v>255300</v>
      </c>
      <c r="BO1388" s="30">
        <f>ROUND((Inventory[[#This Row],[Mdl Land Intercept]]+Inventory[[#This Row],[Mdl LnAcres]])*Inventory[[#This Row],[Det/Nbhd Adj]],-2)</f>
        <v>82900</v>
      </c>
      <c r="BP1388" s="30">
        <f>Inventory[[#This Row],[Adjusted Impr Total]]+Inventory[[#This Row],[Adjusted Land Total]]</f>
        <v>338200</v>
      </c>
      <c r="BQ1388" s="30">
        <f>IFERROR((Inventory[[#This Row],[Adjusted Impr Total]]-Inventory[[#This Row],[24Bldg]])/Inventory[[#This Row],[24Bldg]],0)</f>
        <v>0.13618157543391188</v>
      </c>
      <c r="BR1388" s="43">
        <f>(Inventory[[#This Row],[Adjusted Land Total]]-Inventory[[#This Row],[24Lnd]])/Inventory[[#This Row],[24Lnd]]</f>
        <v>-2.8135990621336461E-2</v>
      </c>
      <c r="BS1388" s="43">
        <f>(Inventory[[#This Row],[Adjusted Total]]-Inventory[[#This Row],[24Final]])/Inventory[[#This Row],[24Final]]</f>
        <v>9.0967741935483876E-2</v>
      </c>
    </row>
    <row r="1389" spans="1:71">
      <c r="A1389" s="30">
        <v>2025</v>
      </c>
      <c r="B1389" s="31" t="s">
        <v>1908</v>
      </c>
      <c r="C1389" s="36">
        <f>LN(Inventory[[#This Row],[Acres]])</f>
        <v>-1.3470736479666092</v>
      </c>
      <c r="D1389" s="38">
        <v>0.26</v>
      </c>
      <c r="E1389" s="30">
        <v>11504</v>
      </c>
      <c r="F1389" s="31" t="s">
        <v>505</v>
      </c>
      <c r="G1389" s="31" t="s">
        <v>155</v>
      </c>
      <c r="H1389" s="31" t="s">
        <v>5</v>
      </c>
      <c r="I1389" s="31" t="s">
        <v>506</v>
      </c>
      <c r="J1389" s="31" t="s">
        <v>507</v>
      </c>
      <c r="K1389" s="31" t="s">
        <v>157</v>
      </c>
      <c r="L1389" s="31" t="s">
        <v>17</v>
      </c>
      <c r="M1389" s="31" t="s">
        <v>18</v>
      </c>
      <c r="N1389" s="31">
        <v>110</v>
      </c>
      <c r="O1389" s="31">
        <f>2024-Inventory[[#This Row],[YrBlt]]</f>
        <v>119</v>
      </c>
      <c r="P1389" s="31">
        <f>2024-Inventory[[#This Row],[EffYr]]</f>
        <v>71</v>
      </c>
      <c r="Q1389" s="30">
        <v>1905</v>
      </c>
      <c r="R1389" s="30">
        <v>1953</v>
      </c>
      <c r="S1389" s="30">
        <v>1288</v>
      </c>
      <c r="T1389" s="38">
        <v>788</v>
      </c>
      <c r="U1389" s="38">
        <v>315</v>
      </c>
      <c r="V1389" s="32"/>
      <c r="W1389" s="32"/>
      <c r="X1389" s="32">
        <f>Inventory[[#This Row],[Bsmt Area]]-Inventory[[#This Row],[FnBsmt]]</f>
        <v>315</v>
      </c>
      <c r="Y1389" s="32">
        <f>Inventory[[#This Row],[MainFn]]+Inventory[[#This Row],[UpprFn]]+Inventory[[#This Row],[AddFn]]+Inventory[[#This Row],[FnBsmt]]</f>
        <v>2076</v>
      </c>
      <c r="Z1389" s="32">
        <v>2500</v>
      </c>
      <c r="AA1389" s="31" t="s">
        <v>56</v>
      </c>
      <c r="AB1389" s="37"/>
      <c r="AC1389" s="37"/>
      <c r="AD1389" s="32"/>
      <c r="AE1389" s="32"/>
      <c r="AF1389" s="32"/>
      <c r="AG1389" s="32"/>
      <c r="AH1389" s="32"/>
      <c r="AI1389" s="30">
        <v>320558</v>
      </c>
      <c r="AJ1389" s="30">
        <v>176307</v>
      </c>
      <c r="AK1389" s="30">
        <v>2738</v>
      </c>
      <c r="AL1389" s="30">
        <v>0</v>
      </c>
      <c r="AM1389" s="30">
        <v>67600</v>
      </c>
      <c r="AN1389" s="30">
        <v>240700</v>
      </c>
      <c r="AO1389" s="30">
        <v>308300</v>
      </c>
      <c r="AP1389" s="30">
        <f>Lookups!$B$58*0.6</f>
        <v>132535.48800000001</v>
      </c>
      <c r="AQ1389" s="30">
        <f>Lookups!$B$58*0.4</f>
        <v>88356.992000000013</v>
      </c>
      <c r="AR1389" s="30">
        <f>Lookups!$B$59*Inventory[[#This Row],[LnAcres]]</f>
        <v>-17679.426966554776</v>
      </c>
      <c r="AS1389" s="30">
        <f>VLOOKUP(Inventory[[#This Row],[Qlty]],Lookups!$A$66:$E$79,2,FALSE)</f>
        <v>24371.765965999999</v>
      </c>
      <c r="AT1389" s="30">
        <f>VLOOKUP(Inventory[[#This Row],[Cnd]],Lookups!$A$80:$E$88,2,FALSE)</f>
        <v>17761.121909000001</v>
      </c>
      <c r="AU1389" s="30">
        <f>Inventory[[#This Row],[EffAge]]*Lookups!$B$65</f>
        <v>-7720.6181000000006</v>
      </c>
      <c r="AV1389" s="30">
        <f>Inventory[[#This Row],[MainFn]]*Lookups!$B$90</f>
        <v>80384.569440000007</v>
      </c>
      <c r="AW1389" s="30">
        <f>Inventory[[#This Row],[UpprFn]]*Lookups!$B$91</f>
        <v>46949.341803999996</v>
      </c>
      <c r="AX1389" s="30">
        <f>Inventory[[#This Row],[Bsmt Area]]*Lookups!$B$95</f>
        <v>19714.74624</v>
      </c>
      <c r="AY1389" s="30">
        <f>Inventory[[#This Row],[AttGar]]*Lookups!$B$93</f>
        <v>0</v>
      </c>
      <c r="AZ1389" s="30">
        <f>ROUND(Inventory[[#This Row],[25Det]],-2)</f>
        <v>2700</v>
      </c>
      <c r="BA1389" s="30">
        <f>ROUND(SUM(Inventory[[#This Row],[Mdl Qlty]:[Mdl Garage Area]])+Inventory[[#This Row],[Mdl Res Intercept]],-2)</f>
        <v>314000</v>
      </c>
      <c r="BB1389" s="30">
        <f>ROUND(Inventory[[#This Row],[Mdl Land Intercept]]+Inventory[[#This Row],[Mdl LnAcres]],-2)</f>
        <v>70700</v>
      </c>
      <c r="BC1389" s="30">
        <f>Inventory[[#This Row],[Unadj Res Value]]+Inventory[[#This Row],[Unadj Det Value]]+Inventory[[#This Row],[Unadj Land Value]]</f>
        <v>387400</v>
      </c>
      <c r="BD1389" s="30">
        <f>(Inventory[[#This Row],[Unadj Total Value]]-Inventory[[#This Row],[24Final]])/Inventory[[#This Row],[24Final]]</f>
        <v>0.25656827765163803</v>
      </c>
      <c r="BE1389" s="30">
        <f>VLOOKUP(Inventory[[#This Row],[Nbhd]],Lookups!$M$3:$P$5,4,FALSE)</f>
        <v>0.99970000000000003</v>
      </c>
      <c r="BF1389" s="30">
        <f>VLOOKUP(Inventory[[#This Row],[Qlty]],Lookups!$M$8:$P$22,4,FALSE)</f>
        <v>0.99199999999999999</v>
      </c>
      <c r="BG1389" s="30">
        <f>VLOOKUP(Inventory[[#This Row],[Cnd]],Lookups!$R$8:$U$17,4,FALSE)</f>
        <v>0.99680000000000002</v>
      </c>
      <c r="BH1389" s="30">
        <f>VLOOKUP(Inventory[[#This Row],[LivArea Range]],Lookups!$R$25:$U$43,4,FALSE)</f>
        <v>1.0008999999999999</v>
      </c>
      <c r="BI1389" s="30">
        <f>VLOOKUP(Inventory[[#This Row],[Decade]],Lookups!$M$24:$P$40,4,FALSE)</f>
        <v>0.98240000000000005</v>
      </c>
      <c r="BJ1389" s="30">
        <f>Inventory[[#This Row],[Nbhd Adj]]*0.95</f>
        <v>0.94971499999999998</v>
      </c>
      <c r="BK1389" s="30">
        <f>AVERAGE(Inventory[[#This Row],[Nbhd Adj]],Inventory[[#This Row],[Quality Adj]],Inventory[[#This Row],[Condition Adj]],Inventory[[#This Row],[Living Area Adj]],Inventory[[#This Row],[Decade Adj]])*0.95</f>
        <v>0.94464199999999998</v>
      </c>
      <c r="BL1389" s="30">
        <f>ROUND((SUM(Inventory[[#This Row],[Mdl Qlty]:[Mdl Garage Area]])+Inventory[[#This Row],[Mdl Res Intercept]])*Inventory[[#This Row],[Res Adj ]],-2)</f>
        <v>296600</v>
      </c>
      <c r="BM1389" s="30">
        <f>ROUND(Inventory[[#This Row],[25Det]]*Inventory[[#This Row],[Det/Nbhd Adj]],-2)</f>
        <v>2600</v>
      </c>
      <c r="BN1389" s="30">
        <f>Inventory[[#This Row],[Adjusted Res]]+Inventory[[#This Row],[Adj Det ]]</f>
        <v>299200</v>
      </c>
      <c r="BO1389" s="30">
        <f>ROUND((Inventory[[#This Row],[Mdl Land Intercept]]+Inventory[[#This Row],[Mdl LnAcres]])*Inventory[[#This Row],[Det/Nbhd Adj]],-2)</f>
        <v>67100</v>
      </c>
      <c r="BP1389" s="30">
        <f>Inventory[[#This Row],[Adjusted Impr Total]]+Inventory[[#This Row],[Adjusted Land Total]]</f>
        <v>366300</v>
      </c>
      <c r="BQ1389" s="30">
        <f>IFERROR((Inventory[[#This Row],[Adjusted Impr Total]]-Inventory[[#This Row],[24Bldg]])/Inventory[[#This Row],[24Bldg]],0)</f>
        <v>0.24304113003739095</v>
      </c>
      <c r="BR1389" s="43">
        <f>(Inventory[[#This Row],[Adjusted Land Total]]-Inventory[[#This Row],[24Lnd]])/Inventory[[#This Row],[24Lnd]]</f>
        <v>-7.3964497041420114E-3</v>
      </c>
      <c r="BS1389" s="43">
        <f>(Inventory[[#This Row],[Adjusted Total]]-Inventory[[#This Row],[24Final]])/Inventory[[#This Row],[24Final]]</f>
        <v>0.18812844631852091</v>
      </c>
    </row>
    <row r="1390" spans="1:71">
      <c r="A1390" s="30">
        <v>2025</v>
      </c>
      <c r="B1390" s="31" t="s">
        <v>1909</v>
      </c>
      <c r="C1390" s="36">
        <f>LN(Inventory[[#This Row],[Acres]])</f>
        <v>0.48242614924429278</v>
      </c>
      <c r="D1390" s="38">
        <v>1.62</v>
      </c>
      <c r="E1390" s="30">
        <v>70623</v>
      </c>
      <c r="F1390" s="31" t="s">
        <v>505</v>
      </c>
      <c r="G1390" s="31" t="s">
        <v>155</v>
      </c>
      <c r="H1390" s="31" t="s">
        <v>5</v>
      </c>
      <c r="I1390" s="31" t="s">
        <v>506</v>
      </c>
      <c r="J1390" s="31" t="s">
        <v>773</v>
      </c>
      <c r="K1390" s="31" t="s">
        <v>485</v>
      </c>
      <c r="L1390" s="31" t="s">
        <v>17</v>
      </c>
      <c r="M1390" s="31" t="s">
        <v>18</v>
      </c>
      <c r="N1390" s="31">
        <v>110</v>
      </c>
      <c r="O1390" s="31">
        <f>2024-Inventory[[#This Row],[YrBlt]]</f>
        <v>119</v>
      </c>
      <c r="P1390" s="31">
        <f>2024-Inventory[[#This Row],[EffYr]]</f>
        <v>71</v>
      </c>
      <c r="Q1390" s="30">
        <v>1905</v>
      </c>
      <c r="R1390" s="30">
        <v>1953</v>
      </c>
      <c r="S1390" s="30">
        <v>1450</v>
      </c>
      <c r="T1390" s="38">
        <v>1520</v>
      </c>
      <c r="U1390" s="38">
        <v>730</v>
      </c>
      <c r="V1390" s="32"/>
      <c r="W1390" s="32"/>
      <c r="X1390" s="32">
        <f>Inventory[[#This Row],[Bsmt Area]]-Inventory[[#This Row],[FnBsmt]]</f>
        <v>730</v>
      </c>
      <c r="Y1390" s="32">
        <f>Inventory[[#This Row],[MainFn]]+Inventory[[#This Row],[UpprFn]]+Inventory[[#This Row],[AddFn]]+Inventory[[#This Row],[FnBsmt]]</f>
        <v>2970</v>
      </c>
      <c r="Z1390" s="32">
        <v>3000</v>
      </c>
      <c r="AA1390" s="31" t="s">
        <v>56</v>
      </c>
      <c r="AB1390" s="32"/>
      <c r="AC1390" s="37"/>
      <c r="AD1390" s="32"/>
      <c r="AE1390" s="32"/>
      <c r="AF1390" s="32"/>
      <c r="AG1390" s="32"/>
      <c r="AH1390" s="32"/>
      <c r="AI1390" s="30">
        <v>462910</v>
      </c>
      <c r="AJ1390" s="30">
        <v>254601</v>
      </c>
      <c r="AK1390" s="30">
        <v>12798</v>
      </c>
      <c r="AL1390" s="30">
        <v>0</v>
      </c>
      <c r="AM1390" s="30">
        <v>93300</v>
      </c>
      <c r="AN1390" s="30">
        <v>329600</v>
      </c>
      <c r="AO1390" s="30">
        <v>422900</v>
      </c>
      <c r="AP1390" s="30">
        <f>Lookups!$B$58*0.6</f>
        <v>132535.48800000001</v>
      </c>
      <c r="AQ1390" s="30">
        <f>Lookups!$B$58*0.4</f>
        <v>88356.992000000013</v>
      </c>
      <c r="AR1390" s="30">
        <f>Lookups!$B$59*Inventory[[#This Row],[LnAcres]]</f>
        <v>6331.5156414760058</v>
      </c>
      <c r="AS1390" s="30">
        <f>VLOOKUP(Inventory[[#This Row],[Qlty]],Lookups!$A$66:$E$79,2,FALSE)</f>
        <v>24371.765965999999</v>
      </c>
      <c r="AT1390" s="30">
        <f>VLOOKUP(Inventory[[#This Row],[Cnd]],Lookups!$A$80:$E$88,2,FALSE)</f>
        <v>17761.121909000001</v>
      </c>
      <c r="AU1390" s="30">
        <f>Inventory[[#This Row],[EffAge]]*Lookups!$B$65</f>
        <v>-7720.6181000000006</v>
      </c>
      <c r="AV1390" s="30">
        <f>Inventory[[#This Row],[MainFn]]*Lookups!$B$90</f>
        <v>90495.051000000007</v>
      </c>
      <c r="AW1390" s="30">
        <f>Inventory[[#This Row],[UpprFn]]*Lookups!$B$91</f>
        <v>90562.182159999997</v>
      </c>
      <c r="AX1390" s="30">
        <f>Inventory[[#This Row],[Bsmt Area]]*Lookups!$B$95</f>
        <v>45688.142079999998</v>
      </c>
      <c r="AY1390" s="30">
        <f>Inventory[[#This Row],[AttGar]]*Lookups!$B$93</f>
        <v>0</v>
      </c>
      <c r="AZ1390" s="30">
        <f>ROUND(Inventory[[#This Row],[25Det]],-2)</f>
        <v>12800</v>
      </c>
      <c r="BA1390" s="30">
        <f>ROUND(SUM(Inventory[[#This Row],[Mdl Qlty]:[Mdl Garage Area]])+Inventory[[#This Row],[Mdl Res Intercept]],-2)</f>
        <v>393700</v>
      </c>
      <c r="BB1390" s="30">
        <f>ROUND(Inventory[[#This Row],[Mdl Land Intercept]]+Inventory[[#This Row],[Mdl LnAcres]],-2)</f>
        <v>94700</v>
      </c>
      <c r="BC1390" s="30">
        <f>Inventory[[#This Row],[Unadj Res Value]]+Inventory[[#This Row],[Unadj Det Value]]+Inventory[[#This Row],[Unadj Land Value]]</f>
        <v>501200</v>
      </c>
      <c r="BD1390" s="30">
        <f>(Inventory[[#This Row],[Unadj Total Value]]-Inventory[[#This Row],[24Final]])/Inventory[[#This Row],[24Final]]</f>
        <v>0.18515015370063845</v>
      </c>
      <c r="BE1390" s="30">
        <f>VLOOKUP(Inventory[[#This Row],[Nbhd]],Lookups!$M$3:$P$5,4,FALSE)</f>
        <v>0.99970000000000003</v>
      </c>
      <c r="BF1390" s="30">
        <f>VLOOKUP(Inventory[[#This Row],[Qlty]],Lookups!$M$8:$P$22,4,FALSE)</f>
        <v>0.99199999999999999</v>
      </c>
      <c r="BG1390" s="30">
        <f>VLOOKUP(Inventory[[#This Row],[Cnd]],Lookups!$R$8:$U$17,4,FALSE)</f>
        <v>0.99680000000000002</v>
      </c>
      <c r="BH1390" s="30">
        <f>VLOOKUP(Inventory[[#This Row],[LivArea Range]],Lookups!$R$25:$U$43,4,FALSE)</f>
        <v>1.0099</v>
      </c>
      <c r="BI1390" s="30">
        <f>VLOOKUP(Inventory[[#This Row],[Decade]],Lookups!$M$24:$P$40,4,FALSE)</f>
        <v>0.98240000000000005</v>
      </c>
      <c r="BJ1390" s="30">
        <f>Inventory[[#This Row],[Nbhd Adj]]*0.95</f>
        <v>0.94971499999999998</v>
      </c>
      <c r="BK1390" s="30">
        <f>AVERAGE(Inventory[[#This Row],[Nbhd Adj]],Inventory[[#This Row],[Quality Adj]],Inventory[[#This Row],[Condition Adj]],Inventory[[#This Row],[Living Area Adj]],Inventory[[#This Row],[Decade Adj]])*0.95</f>
        <v>0.94635199999999997</v>
      </c>
      <c r="BL1390" s="30">
        <f>ROUND((SUM(Inventory[[#This Row],[Mdl Qlty]:[Mdl Garage Area]])+Inventory[[#This Row],[Mdl Res Intercept]])*Inventory[[#This Row],[Res Adj ]],-2)</f>
        <v>372600</v>
      </c>
      <c r="BM1390" s="30">
        <f>ROUND(Inventory[[#This Row],[25Det]]*Inventory[[#This Row],[Det/Nbhd Adj]],-2)</f>
        <v>12200</v>
      </c>
      <c r="BN1390" s="30">
        <f>Inventory[[#This Row],[Adjusted Res]]+Inventory[[#This Row],[Adj Det ]]</f>
        <v>384800</v>
      </c>
      <c r="BO1390" s="30">
        <f>ROUND((Inventory[[#This Row],[Mdl Land Intercept]]+Inventory[[#This Row],[Mdl LnAcres]])*Inventory[[#This Row],[Det/Nbhd Adj]],-2)</f>
        <v>89900</v>
      </c>
      <c r="BP1390" s="30">
        <f>Inventory[[#This Row],[Adjusted Impr Total]]+Inventory[[#This Row],[Adjusted Land Total]]</f>
        <v>474700</v>
      </c>
      <c r="BQ1390" s="30">
        <f>IFERROR((Inventory[[#This Row],[Adjusted Impr Total]]-Inventory[[#This Row],[24Bldg]])/Inventory[[#This Row],[24Bldg]],0)</f>
        <v>0.16747572815533981</v>
      </c>
      <c r="BR1390" s="43">
        <f>(Inventory[[#This Row],[Adjusted Land Total]]-Inventory[[#This Row],[24Lnd]])/Inventory[[#This Row],[24Lnd]]</f>
        <v>-3.6441586280814578E-2</v>
      </c>
      <c r="BS1390" s="43">
        <f>(Inventory[[#This Row],[Adjusted Total]]-Inventory[[#This Row],[24Final]])/Inventory[[#This Row],[24Final]]</f>
        <v>0.12248758571766374</v>
      </c>
    </row>
    <row r="1391" spans="1:71">
      <c r="A1391" s="30">
        <v>2025</v>
      </c>
      <c r="B1391" s="31" t="s">
        <v>1910</v>
      </c>
      <c r="C1391" s="36">
        <f>LN(Inventory[[#This Row],[Acres]])</f>
        <v>0.11332868530700327</v>
      </c>
      <c r="D1391" s="38">
        <v>1.1200000000000001</v>
      </c>
      <c r="E1391" s="30">
        <v>48585</v>
      </c>
      <c r="F1391" s="31" t="s">
        <v>505</v>
      </c>
      <c r="G1391" s="31" t="s">
        <v>155</v>
      </c>
      <c r="H1391" s="31" t="s">
        <v>5</v>
      </c>
      <c r="I1391" s="31" t="s">
        <v>506</v>
      </c>
      <c r="J1391" s="31" t="s">
        <v>507</v>
      </c>
      <c r="K1391" s="31" t="s">
        <v>485</v>
      </c>
      <c r="L1391" s="31" t="s">
        <v>17</v>
      </c>
      <c r="M1391" s="31" t="s">
        <v>18</v>
      </c>
      <c r="N1391" s="31">
        <v>120</v>
      </c>
      <c r="O1391" s="31">
        <f>2024-Inventory[[#This Row],[YrBlt]]</f>
        <v>121</v>
      </c>
      <c r="P1391" s="31">
        <f>2024-Inventory[[#This Row],[EffYr]]</f>
        <v>49</v>
      </c>
      <c r="Q1391" s="30">
        <v>1903</v>
      </c>
      <c r="R1391" s="30">
        <v>1975</v>
      </c>
      <c r="S1391" s="30">
        <v>2060</v>
      </c>
      <c r="T1391" s="38">
        <v>896</v>
      </c>
      <c r="U1391" s="32"/>
      <c r="V1391" s="32"/>
      <c r="W1391" s="32"/>
      <c r="X1391" s="32">
        <f>Inventory[[#This Row],[Bsmt Area]]-Inventory[[#This Row],[FnBsmt]]</f>
        <v>0</v>
      </c>
      <c r="Y1391" s="32">
        <f>Inventory[[#This Row],[MainFn]]+Inventory[[#This Row],[UpprFn]]+Inventory[[#This Row],[AddFn]]+Inventory[[#This Row],[FnBsmt]]</f>
        <v>2956</v>
      </c>
      <c r="Z1391" s="32">
        <v>3000</v>
      </c>
      <c r="AA1391" s="31" t="s">
        <v>56</v>
      </c>
      <c r="AB1391" s="32"/>
      <c r="AC1391" s="37"/>
      <c r="AD1391" s="32"/>
      <c r="AE1391" s="32"/>
      <c r="AF1391" s="32"/>
      <c r="AG1391" s="32"/>
      <c r="AH1391" s="32"/>
      <c r="AI1391" s="30">
        <v>397102</v>
      </c>
      <c r="AJ1391" s="30">
        <v>281942</v>
      </c>
      <c r="AK1391" s="30">
        <v>0</v>
      </c>
      <c r="AL1391" s="30">
        <v>0</v>
      </c>
      <c r="AM1391" s="30">
        <v>88100</v>
      </c>
      <c r="AN1391" s="30">
        <v>309900</v>
      </c>
      <c r="AO1391" s="30">
        <v>398000</v>
      </c>
      <c r="AP1391" s="30">
        <f>Lookups!$B$58*0.6</f>
        <v>132535.48800000001</v>
      </c>
      <c r="AQ1391" s="30">
        <f>Lookups!$B$58*0.4</f>
        <v>88356.992000000013</v>
      </c>
      <c r="AR1391" s="30">
        <f>Lookups!$B$59*Inventory[[#This Row],[LnAcres]]</f>
        <v>1487.3620444770945</v>
      </c>
      <c r="AS1391" s="30">
        <f>VLOOKUP(Inventory[[#This Row],[Qlty]],Lookups!$A$66:$E$79,2,FALSE)</f>
        <v>24371.765965999999</v>
      </c>
      <c r="AT1391" s="30">
        <f>VLOOKUP(Inventory[[#This Row],[Cnd]],Lookups!$A$80:$E$88,2,FALSE)</f>
        <v>17761.121909000001</v>
      </c>
      <c r="AU1391" s="30">
        <f>Inventory[[#This Row],[EffAge]]*Lookups!$B$65</f>
        <v>-5328.3139000000001</v>
      </c>
      <c r="AV1391" s="30">
        <f>Inventory[[#This Row],[MainFn]]*Lookups!$B$90</f>
        <v>128565.38280000001</v>
      </c>
      <c r="AW1391" s="30">
        <f>Inventory[[#This Row],[UpprFn]]*Lookups!$B$91</f>
        <v>53384.023168</v>
      </c>
      <c r="AX1391" s="30">
        <f>Inventory[[#This Row],[Bsmt Area]]*Lookups!$B$95</f>
        <v>0</v>
      </c>
      <c r="AY1391" s="30">
        <f>Inventory[[#This Row],[AttGar]]*Lookups!$B$93</f>
        <v>0</v>
      </c>
      <c r="AZ1391" s="30">
        <f>ROUND(Inventory[[#This Row],[25Det]],-2)</f>
        <v>0</v>
      </c>
      <c r="BA1391" s="30">
        <f>ROUND(SUM(Inventory[[#This Row],[Mdl Qlty]:[Mdl Garage Area]])+Inventory[[#This Row],[Mdl Res Intercept]],-2)</f>
        <v>351300</v>
      </c>
      <c r="BB1391" s="30">
        <f>ROUND(Inventory[[#This Row],[Mdl Land Intercept]]+Inventory[[#This Row],[Mdl LnAcres]],-2)</f>
        <v>89800</v>
      </c>
      <c r="BC1391" s="30">
        <f>Inventory[[#This Row],[Unadj Res Value]]+Inventory[[#This Row],[Unadj Det Value]]+Inventory[[#This Row],[Unadj Land Value]]</f>
        <v>441100</v>
      </c>
      <c r="BD1391" s="30">
        <f>(Inventory[[#This Row],[Unadj Total Value]]-Inventory[[#This Row],[24Final]])/Inventory[[#This Row],[24Final]]</f>
        <v>0.10829145728643216</v>
      </c>
      <c r="BE1391" s="30">
        <f>VLOOKUP(Inventory[[#This Row],[Nbhd]],Lookups!$M$3:$P$5,4,FALSE)</f>
        <v>0.99970000000000003</v>
      </c>
      <c r="BF1391" s="30">
        <f>VLOOKUP(Inventory[[#This Row],[Qlty]],Lookups!$M$8:$P$22,4,FALSE)</f>
        <v>0.99199999999999999</v>
      </c>
      <c r="BG1391" s="30">
        <f>VLOOKUP(Inventory[[#This Row],[Cnd]],Lookups!$R$8:$U$17,4,FALSE)</f>
        <v>0.99680000000000002</v>
      </c>
      <c r="BH1391" s="30">
        <f>VLOOKUP(Inventory[[#This Row],[LivArea Range]],Lookups!$R$25:$U$43,4,FALSE)</f>
        <v>1.0099</v>
      </c>
      <c r="BI1391" s="30">
        <f>VLOOKUP(Inventory[[#This Row],[Decade]],Lookups!$M$24:$P$40,4,FALSE)</f>
        <v>0.96709999999999996</v>
      </c>
      <c r="BJ1391" s="30">
        <f>Inventory[[#This Row],[Nbhd Adj]]*0.95</f>
        <v>0.94971499999999998</v>
      </c>
      <c r="BK1391" s="30">
        <f>AVERAGE(Inventory[[#This Row],[Nbhd Adj]],Inventory[[#This Row],[Quality Adj]],Inventory[[#This Row],[Condition Adj]],Inventory[[#This Row],[Living Area Adj]],Inventory[[#This Row],[Decade Adj]])*0.95</f>
        <v>0.94344500000000009</v>
      </c>
      <c r="BL1391" s="30">
        <f>ROUND((SUM(Inventory[[#This Row],[Mdl Qlty]:[Mdl Garage Area]])+Inventory[[#This Row],[Mdl Res Intercept]])*Inventory[[#This Row],[Res Adj ]],-2)</f>
        <v>331400</v>
      </c>
      <c r="BM1391" s="30">
        <f>ROUND(Inventory[[#This Row],[25Det]]*Inventory[[#This Row],[Det/Nbhd Adj]],-2)</f>
        <v>0</v>
      </c>
      <c r="BN1391" s="30">
        <f>Inventory[[#This Row],[Adjusted Res]]+Inventory[[#This Row],[Adj Det ]]</f>
        <v>331400</v>
      </c>
      <c r="BO1391" s="30">
        <f>ROUND((Inventory[[#This Row],[Mdl Land Intercept]]+Inventory[[#This Row],[Mdl LnAcres]])*Inventory[[#This Row],[Det/Nbhd Adj]],-2)</f>
        <v>85300</v>
      </c>
      <c r="BP1391" s="30">
        <f>Inventory[[#This Row],[Adjusted Impr Total]]+Inventory[[#This Row],[Adjusted Land Total]]</f>
        <v>416700</v>
      </c>
      <c r="BQ1391" s="30">
        <f>IFERROR((Inventory[[#This Row],[Adjusted Impr Total]]-Inventory[[#This Row],[24Bldg]])/Inventory[[#This Row],[24Bldg]],0)</f>
        <v>6.9377218457566961E-2</v>
      </c>
      <c r="BR1391" s="43">
        <f>(Inventory[[#This Row],[Adjusted Land Total]]-Inventory[[#This Row],[24Lnd]])/Inventory[[#This Row],[24Lnd]]</f>
        <v>-3.1782065834279227E-2</v>
      </c>
      <c r="BS1391" s="43">
        <f>(Inventory[[#This Row],[Adjusted Total]]-Inventory[[#This Row],[24Final]])/Inventory[[#This Row],[24Final]]</f>
        <v>4.6984924623115577E-2</v>
      </c>
    </row>
    <row r="1392" spans="1:71">
      <c r="A1392" s="30">
        <v>2025</v>
      </c>
      <c r="B1392" s="31" t="s">
        <v>1911</v>
      </c>
      <c r="C1392" s="36">
        <f>LN(Inventory[[#This Row],[Acres]])</f>
        <v>1.0224509277025455</v>
      </c>
      <c r="D1392" s="38">
        <v>2.78</v>
      </c>
      <c r="E1392" s="30">
        <v>121150</v>
      </c>
      <c r="F1392" s="31" t="s">
        <v>505</v>
      </c>
      <c r="G1392" s="31" t="s">
        <v>155</v>
      </c>
      <c r="H1392" s="31" t="s">
        <v>5</v>
      </c>
      <c r="I1392" s="31" t="s">
        <v>506</v>
      </c>
      <c r="J1392" s="31" t="s">
        <v>773</v>
      </c>
      <c r="K1392" s="31" t="s">
        <v>485</v>
      </c>
      <c r="L1392" s="31" t="s">
        <v>19</v>
      </c>
      <c r="M1392" s="31" t="s">
        <v>20</v>
      </c>
      <c r="N1392" s="31">
        <v>120</v>
      </c>
      <c r="O1392" s="31">
        <f>2024-Inventory[[#This Row],[YrBlt]]</f>
        <v>121</v>
      </c>
      <c r="P1392" s="31">
        <f>2024-Inventory[[#This Row],[EffYr]]</f>
        <v>73</v>
      </c>
      <c r="Q1392" s="30">
        <v>1903</v>
      </c>
      <c r="R1392" s="30">
        <v>1951</v>
      </c>
      <c r="S1392" s="30">
        <v>1218</v>
      </c>
      <c r="T1392" s="38">
        <v>986</v>
      </c>
      <c r="U1392" s="32"/>
      <c r="V1392" s="32"/>
      <c r="W1392" s="32"/>
      <c r="X1392" s="32">
        <f>Inventory[[#This Row],[Bsmt Area]]-Inventory[[#This Row],[FnBsmt]]</f>
        <v>0</v>
      </c>
      <c r="Y1392" s="32">
        <f>Inventory[[#This Row],[MainFn]]+Inventory[[#This Row],[UpprFn]]+Inventory[[#This Row],[AddFn]]+Inventory[[#This Row],[FnBsmt]]</f>
        <v>2204</v>
      </c>
      <c r="Z1392" s="32">
        <v>2500</v>
      </c>
      <c r="AA1392" s="31" t="s">
        <v>56</v>
      </c>
      <c r="AB1392" s="37"/>
      <c r="AC1392" s="37"/>
      <c r="AD1392" s="32"/>
      <c r="AE1392" s="32"/>
      <c r="AF1392" s="32"/>
      <c r="AG1392" s="32"/>
      <c r="AH1392" s="32"/>
      <c r="AI1392" s="30">
        <v>413200</v>
      </c>
      <c r="AJ1392" s="30">
        <v>235524</v>
      </c>
      <c r="AK1392" s="30">
        <v>41810</v>
      </c>
      <c r="AL1392" s="30">
        <v>0</v>
      </c>
      <c r="AM1392" s="30">
        <v>100800</v>
      </c>
      <c r="AN1392" s="30">
        <v>343500</v>
      </c>
      <c r="AO1392" s="30">
        <v>444300</v>
      </c>
      <c r="AP1392" s="30">
        <f>Lookups!$B$58*0.6</f>
        <v>132535.48800000001</v>
      </c>
      <c r="AQ1392" s="30">
        <f>Lookups!$B$58*0.4</f>
        <v>88356.992000000013</v>
      </c>
      <c r="AR1392" s="30">
        <f>Lookups!$B$59*Inventory[[#This Row],[LnAcres]]</f>
        <v>13418.974181916001</v>
      </c>
      <c r="AS1392" s="30">
        <f>VLOOKUP(Inventory[[#This Row],[Qlty]],Lookups!$A$66:$E$79,2,FALSE)</f>
        <v>37154.252388000001</v>
      </c>
      <c r="AT1392" s="30">
        <f>VLOOKUP(Inventory[[#This Row],[Cnd]],Lookups!$A$80:$E$88,2,FALSE)</f>
        <v>30300.329274</v>
      </c>
      <c r="AU1392" s="30">
        <f>Inventory[[#This Row],[EffAge]]*Lookups!$B$65</f>
        <v>-7938.1003000000001</v>
      </c>
      <c r="AV1392" s="30">
        <f>Inventory[[#This Row],[MainFn]]*Lookups!$B$90</f>
        <v>76015.842839999998</v>
      </c>
      <c r="AW1392" s="30">
        <f>Inventory[[#This Row],[UpprFn]]*Lookups!$B$91</f>
        <v>58746.257637999995</v>
      </c>
      <c r="AX1392" s="30">
        <f>Inventory[[#This Row],[Bsmt Area]]*Lookups!$B$95</f>
        <v>0</v>
      </c>
      <c r="AY1392" s="30">
        <f>Inventory[[#This Row],[AttGar]]*Lookups!$B$93</f>
        <v>0</v>
      </c>
      <c r="AZ1392" s="30">
        <f>ROUND(Inventory[[#This Row],[25Det]],-2)</f>
        <v>41800</v>
      </c>
      <c r="BA1392" s="30">
        <f>ROUND(SUM(Inventory[[#This Row],[Mdl Qlty]:[Mdl Garage Area]])+Inventory[[#This Row],[Mdl Res Intercept]],-2)</f>
        <v>326800</v>
      </c>
      <c r="BB1392" s="30">
        <f>ROUND(Inventory[[#This Row],[Mdl Land Intercept]]+Inventory[[#This Row],[Mdl LnAcres]],-2)</f>
        <v>101800</v>
      </c>
      <c r="BC1392" s="30">
        <f>Inventory[[#This Row],[Unadj Res Value]]+Inventory[[#This Row],[Unadj Det Value]]+Inventory[[#This Row],[Unadj Land Value]]</f>
        <v>470400</v>
      </c>
      <c r="BD1392" s="30">
        <f>(Inventory[[#This Row],[Unadj Total Value]]-Inventory[[#This Row],[24Final]])/Inventory[[#This Row],[24Final]]</f>
        <v>5.8744091829844698E-2</v>
      </c>
      <c r="BE1392" s="30">
        <f>VLOOKUP(Inventory[[#This Row],[Nbhd]],Lookups!$M$3:$P$5,4,FALSE)</f>
        <v>0.99970000000000003</v>
      </c>
      <c r="BF1392" s="30">
        <f>VLOOKUP(Inventory[[#This Row],[Qlty]],Lookups!$M$8:$P$22,4,FALSE)</f>
        <v>0.99819999999999998</v>
      </c>
      <c r="BG1392" s="30">
        <f>VLOOKUP(Inventory[[#This Row],[Cnd]],Lookups!$R$8:$U$17,4,FALSE)</f>
        <v>0.997</v>
      </c>
      <c r="BH1392" s="30">
        <f>VLOOKUP(Inventory[[#This Row],[LivArea Range]],Lookups!$R$25:$U$43,4,FALSE)</f>
        <v>1.0008999999999999</v>
      </c>
      <c r="BI1392" s="30">
        <f>VLOOKUP(Inventory[[#This Row],[Decade]],Lookups!$M$24:$P$40,4,FALSE)</f>
        <v>0.96709999999999996</v>
      </c>
      <c r="BJ1392" s="30">
        <f>Inventory[[#This Row],[Nbhd Adj]]*0.95</f>
        <v>0.94971499999999998</v>
      </c>
      <c r="BK1392" s="30">
        <f>AVERAGE(Inventory[[#This Row],[Nbhd Adj]],Inventory[[#This Row],[Quality Adj]],Inventory[[#This Row],[Condition Adj]],Inventory[[#This Row],[Living Area Adj]],Inventory[[#This Row],[Decade Adj]])*0.95</f>
        <v>0.94295099999999998</v>
      </c>
      <c r="BL1392" s="30">
        <f>ROUND((SUM(Inventory[[#This Row],[Mdl Qlty]:[Mdl Garage Area]])+Inventory[[#This Row],[Mdl Res Intercept]])*Inventory[[#This Row],[Res Adj ]],-2)</f>
        <v>308200</v>
      </c>
      <c r="BM1392" s="30">
        <f>ROUND(Inventory[[#This Row],[25Det]]*Inventory[[#This Row],[Det/Nbhd Adj]],-2)</f>
        <v>39700</v>
      </c>
      <c r="BN1392" s="30">
        <f>Inventory[[#This Row],[Adjusted Res]]+Inventory[[#This Row],[Adj Det ]]</f>
        <v>347900</v>
      </c>
      <c r="BO1392" s="30">
        <f>ROUND((Inventory[[#This Row],[Mdl Land Intercept]]+Inventory[[#This Row],[Mdl LnAcres]])*Inventory[[#This Row],[Det/Nbhd Adj]],-2)</f>
        <v>96700</v>
      </c>
      <c r="BP1392" s="30">
        <f>Inventory[[#This Row],[Adjusted Impr Total]]+Inventory[[#This Row],[Adjusted Land Total]]</f>
        <v>444600</v>
      </c>
      <c r="BQ1392" s="30">
        <f>IFERROR((Inventory[[#This Row],[Adjusted Impr Total]]-Inventory[[#This Row],[24Bldg]])/Inventory[[#This Row],[24Bldg]],0)</f>
        <v>1.2809315866084425E-2</v>
      </c>
      <c r="BR1392" s="43">
        <f>(Inventory[[#This Row],[Adjusted Land Total]]-Inventory[[#This Row],[24Lnd]])/Inventory[[#This Row],[24Lnd]]</f>
        <v>-4.0674603174603176E-2</v>
      </c>
      <c r="BS1392" s="43">
        <f>(Inventory[[#This Row],[Adjusted Total]]-Inventory[[#This Row],[24Final]])/Inventory[[#This Row],[24Final]]</f>
        <v>6.7521944632005406E-4</v>
      </c>
    </row>
    <row r="1393" spans="1:71">
      <c r="A1393" s="30">
        <v>2025</v>
      </c>
      <c r="B1393" s="31" t="s">
        <v>1912</v>
      </c>
      <c r="C1393" s="36">
        <f>LN(Inventory[[#This Row],[Acres]])</f>
        <v>-1.9661128563728327</v>
      </c>
      <c r="D1393" s="38">
        <v>0.14000000000000001</v>
      </c>
      <c r="E1393" s="30">
        <v>5907</v>
      </c>
      <c r="F1393" s="31" t="s">
        <v>505</v>
      </c>
      <c r="G1393" s="31" t="s">
        <v>155</v>
      </c>
      <c r="H1393" s="31" t="s">
        <v>5</v>
      </c>
      <c r="I1393" s="31" t="s">
        <v>506</v>
      </c>
      <c r="J1393" s="31" t="s">
        <v>507</v>
      </c>
      <c r="K1393" s="31" t="s">
        <v>473</v>
      </c>
      <c r="L1393" s="31" t="s">
        <v>13</v>
      </c>
      <c r="M1393" s="31" t="s">
        <v>18</v>
      </c>
      <c r="N1393" s="31">
        <v>120</v>
      </c>
      <c r="O1393" s="31">
        <f>2024-Inventory[[#This Row],[YrBlt]]</f>
        <v>122</v>
      </c>
      <c r="P1393" s="31">
        <f>2024-Inventory[[#This Row],[EffYr]]</f>
        <v>74</v>
      </c>
      <c r="Q1393" s="30">
        <v>1902</v>
      </c>
      <c r="R1393" s="30">
        <v>1950</v>
      </c>
      <c r="S1393" s="30">
        <v>644</v>
      </c>
      <c r="T1393" s="38">
        <v>290</v>
      </c>
      <c r="U1393" s="32"/>
      <c r="V1393" s="32"/>
      <c r="W1393" s="32"/>
      <c r="X1393" s="32">
        <f>Inventory[[#This Row],[Bsmt Area]]-Inventory[[#This Row],[FnBsmt]]</f>
        <v>0</v>
      </c>
      <c r="Y1393" s="32">
        <f>Inventory[[#This Row],[MainFn]]+Inventory[[#This Row],[UpprFn]]+Inventory[[#This Row],[AddFn]]+Inventory[[#This Row],[FnBsmt]]</f>
        <v>934</v>
      </c>
      <c r="Z1393" s="32">
        <v>1000</v>
      </c>
      <c r="AA1393" s="31" t="s">
        <v>56</v>
      </c>
      <c r="AB1393" s="32"/>
      <c r="AC1393" s="37"/>
      <c r="AD1393" s="32"/>
      <c r="AE1393" s="32"/>
      <c r="AF1393" s="32"/>
      <c r="AG1393" s="32"/>
      <c r="AH1393" s="32"/>
      <c r="AI1393" s="30">
        <v>141781</v>
      </c>
      <c r="AJ1393" s="30">
        <v>77980</v>
      </c>
      <c r="AK1393" s="30">
        <v>0</v>
      </c>
      <c r="AL1393" s="30">
        <v>0</v>
      </c>
      <c r="AM1393" s="30">
        <v>59000</v>
      </c>
      <c r="AN1393" s="30">
        <v>142900</v>
      </c>
      <c r="AO1393" s="30">
        <v>201900</v>
      </c>
      <c r="AP1393" s="30">
        <f>Lookups!$B$58*0.6</f>
        <v>132535.48800000001</v>
      </c>
      <c r="AQ1393" s="30">
        <f>Lookups!$B$58*0.4</f>
        <v>88356.992000000013</v>
      </c>
      <c r="AR1393" s="30">
        <f>Lookups!$B$59*Inventory[[#This Row],[LnAcres]]</f>
        <v>-25803.896249263951</v>
      </c>
      <c r="AS1393" s="30">
        <f>VLOOKUP(Inventory[[#This Row],[Qlty]],Lookups!$A$66:$E$79,2,FALSE)</f>
        <v>0</v>
      </c>
      <c r="AT1393" s="30">
        <f>VLOOKUP(Inventory[[#This Row],[Cnd]],Lookups!$A$80:$E$88,2,FALSE)</f>
        <v>17761.121909000001</v>
      </c>
      <c r="AU1393" s="30">
        <f>Inventory[[#This Row],[EffAge]]*Lookups!$B$65</f>
        <v>-8046.8414000000002</v>
      </c>
      <c r="AV1393" s="30">
        <f>Inventory[[#This Row],[MainFn]]*Lookups!$B$90</f>
        <v>40192.284720000003</v>
      </c>
      <c r="AW1393" s="30">
        <f>Inventory[[#This Row],[UpprFn]]*Lookups!$B$91</f>
        <v>17278.31107</v>
      </c>
      <c r="AX1393" s="30">
        <f>Inventory[[#This Row],[Bsmt Area]]*Lookups!$B$95</f>
        <v>0</v>
      </c>
      <c r="AY1393" s="30">
        <f>Inventory[[#This Row],[AttGar]]*Lookups!$B$93</f>
        <v>0</v>
      </c>
      <c r="AZ1393" s="30">
        <f>ROUND(Inventory[[#This Row],[25Det]],-2)</f>
        <v>0</v>
      </c>
      <c r="BA1393" s="30">
        <f>ROUND(SUM(Inventory[[#This Row],[Mdl Qlty]:[Mdl Garage Area]])+Inventory[[#This Row],[Mdl Res Intercept]],-2)</f>
        <v>199700</v>
      </c>
      <c r="BB1393" s="30">
        <f>ROUND(Inventory[[#This Row],[Mdl Land Intercept]]+Inventory[[#This Row],[Mdl LnAcres]],-2)</f>
        <v>62600</v>
      </c>
      <c r="BC1393" s="30">
        <f>Inventory[[#This Row],[Unadj Res Value]]+Inventory[[#This Row],[Unadj Det Value]]+Inventory[[#This Row],[Unadj Land Value]]</f>
        <v>262300</v>
      </c>
      <c r="BD1393" s="30">
        <f>(Inventory[[#This Row],[Unadj Total Value]]-Inventory[[#This Row],[24Final]])/Inventory[[#This Row],[24Final]]</f>
        <v>0.29915799900941059</v>
      </c>
      <c r="BE1393" s="30">
        <f>VLOOKUP(Inventory[[#This Row],[Nbhd]],Lookups!$M$3:$P$5,4,FALSE)</f>
        <v>0.99970000000000003</v>
      </c>
      <c r="BF1393" s="30">
        <f>VLOOKUP(Inventory[[#This Row],[Qlty]],Lookups!$M$8:$P$22,4,FALSE)</f>
        <v>1.0003</v>
      </c>
      <c r="BG1393" s="30">
        <f>VLOOKUP(Inventory[[#This Row],[Cnd]],Lookups!$R$8:$U$17,4,FALSE)</f>
        <v>0.99680000000000002</v>
      </c>
      <c r="BH1393" s="30">
        <f>VLOOKUP(Inventory[[#This Row],[LivArea Range]],Lookups!$R$25:$U$43,4,FALSE)</f>
        <v>1</v>
      </c>
      <c r="BI1393" s="30">
        <f>VLOOKUP(Inventory[[#This Row],[Decade]],Lookups!$M$24:$P$40,4,FALSE)</f>
        <v>0.96709999999999996</v>
      </c>
      <c r="BJ1393" s="30">
        <f>Inventory[[#This Row],[Nbhd Adj]]*0.95</f>
        <v>0.94971499999999998</v>
      </c>
      <c r="BK1393" s="30">
        <f>AVERAGE(Inventory[[#This Row],[Nbhd Adj]],Inventory[[#This Row],[Quality Adj]],Inventory[[#This Row],[Condition Adj]],Inventory[[#This Row],[Living Area Adj]],Inventory[[#This Row],[Decade Adj]])*0.95</f>
        <v>0.94314100000000001</v>
      </c>
      <c r="BL1393" s="30">
        <f>ROUND((SUM(Inventory[[#This Row],[Mdl Qlty]:[Mdl Garage Area]])+Inventory[[#This Row],[Mdl Res Intercept]])*Inventory[[#This Row],[Res Adj ]],-2)</f>
        <v>188400</v>
      </c>
      <c r="BM1393" s="30">
        <f>ROUND(Inventory[[#This Row],[25Det]]*Inventory[[#This Row],[Det/Nbhd Adj]],-2)</f>
        <v>0</v>
      </c>
      <c r="BN1393" s="30">
        <f>Inventory[[#This Row],[Adjusted Res]]+Inventory[[#This Row],[Adj Det ]]</f>
        <v>188400</v>
      </c>
      <c r="BO1393" s="30">
        <f>ROUND((Inventory[[#This Row],[Mdl Land Intercept]]+Inventory[[#This Row],[Mdl LnAcres]])*Inventory[[#This Row],[Det/Nbhd Adj]],-2)</f>
        <v>59400</v>
      </c>
      <c r="BP1393" s="30">
        <f>Inventory[[#This Row],[Adjusted Impr Total]]+Inventory[[#This Row],[Adjusted Land Total]]</f>
        <v>247800</v>
      </c>
      <c r="BQ1393" s="30">
        <f>IFERROR((Inventory[[#This Row],[Adjusted Impr Total]]-Inventory[[#This Row],[24Bldg]])/Inventory[[#This Row],[24Bldg]],0)</f>
        <v>0.31840447865640309</v>
      </c>
      <c r="BR1393" s="43">
        <f>(Inventory[[#This Row],[Adjusted Land Total]]-Inventory[[#This Row],[24Lnd]])/Inventory[[#This Row],[24Lnd]]</f>
        <v>6.7796610169491523E-3</v>
      </c>
      <c r="BS1393" s="43">
        <f>(Inventory[[#This Row],[Adjusted Total]]-Inventory[[#This Row],[24Final]])/Inventory[[#This Row],[24Final]]</f>
        <v>0.22734026745913818</v>
      </c>
    </row>
    <row r="1394" spans="1:71">
      <c r="A1394" s="30">
        <v>2025</v>
      </c>
      <c r="B1394" s="31" t="s">
        <v>1913</v>
      </c>
      <c r="C1394" s="36">
        <f>LN(Inventory[[#This Row],[Acres]])</f>
        <v>-0.96758402626170559</v>
      </c>
      <c r="D1394" s="38">
        <v>0.38</v>
      </c>
      <c r="E1394" s="37"/>
      <c r="F1394" s="31" t="s">
        <v>505</v>
      </c>
      <c r="G1394" s="31" t="s">
        <v>155</v>
      </c>
      <c r="H1394" s="31" t="s">
        <v>5</v>
      </c>
      <c r="I1394" s="31" t="s">
        <v>506</v>
      </c>
      <c r="J1394" s="31" t="s">
        <v>507</v>
      </c>
      <c r="K1394" s="31" t="s">
        <v>485</v>
      </c>
      <c r="L1394" s="31" t="s">
        <v>13</v>
      </c>
      <c r="M1394" s="31" t="s">
        <v>18</v>
      </c>
      <c r="N1394" s="31">
        <v>120</v>
      </c>
      <c r="O1394" s="31">
        <f>2024-Inventory[[#This Row],[YrBlt]]</f>
        <v>122</v>
      </c>
      <c r="P1394" s="31">
        <f>2024-Inventory[[#This Row],[EffYr]]</f>
        <v>74</v>
      </c>
      <c r="Q1394" s="30">
        <v>1902</v>
      </c>
      <c r="R1394" s="30">
        <v>1950</v>
      </c>
      <c r="S1394" s="30">
        <v>1120</v>
      </c>
      <c r="T1394" s="38">
        <v>416</v>
      </c>
      <c r="U1394" s="32"/>
      <c r="V1394" s="32"/>
      <c r="W1394" s="32"/>
      <c r="X1394" s="32">
        <f>Inventory[[#This Row],[Bsmt Area]]-Inventory[[#This Row],[FnBsmt]]</f>
        <v>0</v>
      </c>
      <c r="Y1394" s="32">
        <f>Inventory[[#This Row],[MainFn]]+Inventory[[#This Row],[UpprFn]]+Inventory[[#This Row],[AddFn]]+Inventory[[#This Row],[FnBsmt]]</f>
        <v>1536</v>
      </c>
      <c r="Z1394" s="32">
        <v>2000</v>
      </c>
      <c r="AA1394" s="31" t="s">
        <v>56</v>
      </c>
      <c r="AB1394" s="32"/>
      <c r="AC1394" s="37"/>
      <c r="AD1394" s="32"/>
      <c r="AE1394" s="32"/>
      <c r="AF1394" s="32"/>
      <c r="AG1394" s="32"/>
      <c r="AH1394" s="32"/>
      <c r="AI1394" s="30">
        <v>190115</v>
      </c>
      <c r="AJ1394" s="30">
        <v>104563</v>
      </c>
      <c r="AK1394" s="30">
        <v>42965</v>
      </c>
      <c r="AL1394" s="30">
        <v>0</v>
      </c>
      <c r="AM1394" s="30">
        <v>73000</v>
      </c>
      <c r="AN1394" s="30">
        <v>209400</v>
      </c>
      <c r="AO1394" s="30">
        <v>282400</v>
      </c>
      <c r="AP1394" s="30">
        <f>Lookups!$B$58*0.6</f>
        <v>132535.48800000001</v>
      </c>
      <c r="AQ1394" s="30">
        <f>Lookups!$B$58*0.4</f>
        <v>88356.992000000013</v>
      </c>
      <c r="AR1394" s="30">
        <f>Lookups!$B$59*Inventory[[#This Row],[LnAcres]]</f>
        <v>-12698.883355131054</v>
      </c>
      <c r="AS1394" s="30">
        <f>VLOOKUP(Inventory[[#This Row],[Qlty]],Lookups!$A$66:$E$79,2,FALSE)</f>
        <v>0</v>
      </c>
      <c r="AT1394" s="30">
        <f>VLOOKUP(Inventory[[#This Row],[Cnd]],Lookups!$A$80:$E$88,2,FALSE)</f>
        <v>17761.121909000001</v>
      </c>
      <c r="AU1394" s="30">
        <f>Inventory[[#This Row],[EffAge]]*Lookups!$B$65</f>
        <v>-8046.8414000000002</v>
      </c>
      <c r="AV1394" s="30">
        <f>Inventory[[#This Row],[MainFn]]*Lookups!$B$90</f>
        <v>69899.625599999999</v>
      </c>
      <c r="AW1394" s="30">
        <f>Inventory[[#This Row],[UpprFn]]*Lookups!$B$91</f>
        <v>24785.439328</v>
      </c>
      <c r="AX1394" s="30">
        <f>Inventory[[#This Row],[Bsmt Area]]*Lookups!$B$95</f>
        <v>0</v>
      </c>
      <c r="AY1394" s="30">
        <f>Inventory[[#This Row],[AttGar]]*Lookups!$B$93</f>
        <v>0</v>
      </c>
      <c r="AZ1394" s="30">
        <f>ROUND(Inventory[[#This Row],[25Det]],-2)</f>
        <v>43000</v>
      </c>
      <c r="BA1394" s="30">
        <f>ROUND(SUM(Inventory[[#This Row],[Mdl Qlty]:[Mdl Garage Area]])+Inventory[[#This Row],[Mdl Res Intercept]],-2)</f>
        <v>236900</v>
      </c>
      <c r="BB1394" s="30">
        <f>ROUND(Inventory[[#This Row],[Mdl Land Intercept]]+Inventory[[#This Row],[Mdl LnAcres]],-2)</f>
        <v>75700</v>
      </c>
      <c r="BC1394" s="30">
        <f>Inventory[[#This Row],[Unadj Res Value]]+Inventory[[#This Row],[Unadj Det Value]]+Inventory[[#This Row],[Unadj Land Value]]</f>
        <v>355600</v>
      </c>
      <c r="BD1394" s="30">
        <f>(Inventory[[#This Row],[Unadj Total Value]]-Inventory[[#This Row],[24Final]])/Inventory[[#This Row],[24Final]]</f>
        <v>0.25920679886685555</v>
      </c>
      <c r="BE1394" s="30">
        <f>VLOOKUP(Inventory[[#This Row],[Nbhd]],Lookups!$M$3:$P$5,4,FALSE)</f>
        <v>0.99970000000000003</v>
      </c>
      <c r="BF1394" s="30">
        <f>VLOOKUP(Inventory[[#This Row],[Qlty]],Lookups!$M$8:$P$22,4,FALSE)</f>
        <v>1.0003</v>
      </c>
      <c r="BG1394" s="30">
        <f>VLOOKUP(Inventory[[#This Row],[Cnd]],Lookups!$R$8:$U$17,4,FALSE)</f>
        <v>0.99680000000000002</v>
      </c>
      <c r="BH1394" s="30">
        <f>VLOOKUP(Inventory[[#This Row],[LivArea Range]],Lookups!$R$25:$U$43,4,FALSE)</f>
        <v>1.0007999999999999</v>
      </c>
      <c r="BI1394" s="30">
        <f>VLOOKUP(Inventory[[#This Row],[Decade]],Lookups!$M$24:$P$40,4,FALSE)</f>
        <v>0.96709999999999996</v>
      </c>
      <c r="BJ1394" s="30">
        <f>Inventory[[#This Row],[Nbhd Adj]]*0.95</f>
        <v>0.94971499999999998</v>
      </c>
      <c r="BK1394" s="30">
        <f>AVERAGE(Inventory[[#This Row],[Nbhd Adj]],Inventory[[#This Row],[Quality Adj]],Inventory[[#This Row],[Condition Adj]],Inventory[[#This Row],[Living Area Adj]],Inventory[[#This Row],[Decade Adj]])*0.95</f>
        <v>0.94329299999999994</v>
      </c>
      <c r="BL1394" s="30">
        <f>ROUND((SUM(Inventory[[#This Row],[Mdl Qlty]:[Mdl Garage Area]])+Inventory[[#This Row],[Mdl Res Intercept]])*Inventory[[#This Row],[Res Adj ]],-2)</f>
        <v>223500</v>
      </c>
      <c r="BM1394" s="30">
        <f>ROUND(Inventory[[#This Row],[25Det]]*Inventory[[#This Row],[Det/Nbhd Adj]],-2)</f>
        <v>40800</v>
      </c>
      <c r="BN1394" s="30">
        <f>Inventory[[#This Row],[Adjusted Res]]+Inventory[[#This Row],[Adj Det ]]</f>
        <v>264300</v>
      </c>
      <c r="BO1394" s="30">
        <f>ROUND((Inventory[[#This Row],[Mdl Land Intercept]]+Inventory[[#This Row],[Mdl LnAcres]])*Inventory[[#This Row],[Det/Nbhd Adj]],-2)</f>
        <v>71900</v>
      </c>
      <c r="BP1394" s="30">
        <f>Inventory[[#This Row],[Adjusted Impr Total]]+Inventory[[#This Row],[Adjusted Land Total]]</f>
        <v>336200</v>
      </c>
      <c r="BQ1394" s="30">
        <f>IFERROR((Inventory[[#This Row],[Adjusted Impr Total]]-Inventory[[#This Row],[24Bldg]])/Inventory[[#This Row],[24Bldg]],0)</f>
        <v>0.2621776504297994</v>
      </c>
      <c r="BR1394" s="43">
        <f>(Inventory[[#This Row],[Adjusted Land Total]]-Inventory[[#This Row],[24Lnd]])/Inventory[[#This Row],[24Lnd]]</f>
        <v>-1.5068493150684932E-2</v>
      </c>
      <c r="BS1394" s="43">
        <f>(Inventory[[#This Row],[Adjusted Total]]-Inventory[[#This Row],[24Final]])/Inventory[[#This Row],[24Final]]</f>
        <v>0.19050991501416431</v>
      </c>
    </row>
    <row r="1395" spans="1:71">
      <c r="A1395" s="30">
        <v>2025</v>
      </c>
      <c r="B1395" s="31" t="s">
        <v>1914</v>
      </c>
      <c r="C1395" s="36">
        <f>LN(Inventory[[#This Row],[Acres]])</f>
        <v>-0.51082562376599072</v>
      </c>
      <c r="D1395" s="38">
        <v>0.6</v>
      </c>
      <c r="E1395" s="37"/>
      <c r="F1395" s="31" t="s">
        <v>505</v>
      </c>
      <c r="G1395" s="31" t="s">
        <v>155</v>
      </c>
      <c r="H1395" s="31" t="s">
        <v>5</v>
      </c>
      <c r="I1395" s="31" t="s">
        <v>506</v>
      </c>
      <c r="J1395" s="31" t="s">
        <v>507</v>
      </c>
      <c r="K1395" s="31" t="s">
        <v>473</v>
      </c>
      <c r="L1395" s="31" t="s">
        <v>13</v>
      </c>
      <c r="M1395" s="31" t="s">
        <v>18</v>
      </c>
      <c r="N1395" s="31">
        <v>120</v>
      </c>
      <c r="O1395" s="31">
        <f>2024-Inventory[[#This Row],[YrBlt]]</f>
        <v>123</v>
      </c>
      <c r="P1395" s="31">
        <f>2024-Inventory[[#This Row],[EffYr]]</f>
        <v>75</v>
      </c>
      <c r="Q1395" s="30">
        <v>1901</v>
      </c>
      <c r="R1395" s="30">
        <v>1949</v>
      </c>
      <c r="S1395" s="30">
        <v>888</v>
      </c>
      <c r="T1395" s="32"/>
      <c r="U1395" s="38">
        <v>888</v>
      </c>
      <c r="V1395" s="32"/>
      <c r="W1395" s="32"/>
      <c r="X1395" s="32">
        <f>Inventory[[#This Row],[Bsmt Area]]-Inventory[[#This Row],[FnBsmt]]</f>
        <v>888</v>
      </c>
      <c r="Y1395" s="32">
        <f>Inventory[[#This Row],[MainFn]]+Inventory[[#This Row],[UpprFn]]+Inventory[[#This Row],[AddFn]]+Inventory[[#This Row],[FnBsmt]]</f>
        <v>888</v>
      </c>
      <c r="Z1395" s="32">
        <v>1000</v>
      </c>
      <c r="AA1395" s="31" t="s">
        <v>56</v>
      </c>
      <c r="AB1395" s="32"/>
      <c r="AC1395" s="37"/>
      <c r="AD1395" s="32"/>
      <c r="AE1395" s="32"/>
      <c r="AF1395" s="32"/>
      <c r="AG1395" s="32"/>
      <c r="AH1395" s="32"/>
      <c r="AI1395" s="30">
        <v>163238</v>
      </c>
      <c r="AJ1395" s="30">
        <v>89781</v>
      </c>
      <c r="AK1395" s="30">
        <v>14172</v>
      </c>
      <c r="AL1395" s="30">
        <v>0</v>
      </c>
      <c r="AM1395" s="30">
        <v>79400</v>
      </c>
      <c r="AN1395" s="30">
        <v>154800</v>
      </c>
      <c r="AO1395" s="30">
        <v>234200</v>
      </c>
      <c r="AP1395" s="30">
        <f>Lookups!$B$58*0.6</f>
        <v>132535.48800000001</v>
      </c>
      <c r="AQ1395" s="30">
        <f>Lookups!$B$58*0.4</f>
        <v>88356.992000000013</v>
      </c>
      <c r="AR1395" s="30">
        <f>Lookups!$B$59*Inventory[[#This Row],[LnAcres]]</f>
        <v>-6704.2394613300912</v>
      </c>
      <c r="AS1395" s="30">
        <f>VLOOKUP(Inventory[[#This Row],[Qlty]],Lookups!$A$66:$E$79,2,FALSE)</f>
        <v>0</v>
      </c>
      <c r="AT1395" s="30">
        <f>VLOOKUP(Inventory[[#This Row],[Cnd]],Lookups!$A$80:$E$88,2,FALSE)</f>
        <v>17761.121909000001</v>
      </c>
      <c r="AU1395" s="30">
        <f>Inventory[[#This Row],[EffAge]]*Lookups!$B$65</f>
        <v>-8155.5825000000004</v>
      </c>
      <c r="AV1395" s="30">
        <f>Inventory[[#This Row],[MainFn]]*Lookups!$B$90</f>
        <v>55420.417440000005</v>
      </c>
      <c r="AW1395" s="30">
        <f>Inventory[[#This Row],[UpprFn]]*Lookups!$B$91</f>
        <v>0</v>
      </c>
      <c r="AX1395" s="30">
        <f>Inventory[[#This Row],[Bsmt Area]]*Lookups!$B$95</f>
        <v>55576.808447999996</v>
      </c>
      <c r="AY1395" s="30">
        <f>Inventory[[#This Row],[AttGar]]*Lookups!$B$93</f>
        <v>0</v>
      </c>
      <c r="AZ1395" s="30">
        <f>ROUND(Inventory[[#This Row],[25Det]],-2)</f>
        <v>14200</v>
      </c>
      <c r="BA1395" s="30">
        <f>ROUND(SUM(Inventory[[#This Row],[Mdl Qlty]:[Mdl Garage Area]])+Inventory[[#This Row],[Mdl Res Intercept]],-2)</f>
        <v>253100</v>
      </c>
      <c r="BB1395" s="30">
        <f>ROUND(Inventory[[#This Row],[Mdl Land Intercept]]+Inventory[[#This Row],[Mdl LnAcres]],-2)</f>
        <v>81700</v>
      </c>
      <c r="BC1395" s="30">
        <f>Inventory[[#This Row],[Unadj Res Value]]+Inventory[[#This Row],[Unadj Det Value]]+Inventory[[#This Row],[Unadj Land Value]]</f>
        <v>349000</v>
      </c>
      <c r="BD1395" s="30">
        <f>(Inventory[[#This Row],[Unadj Total Value]]-Inventory[[#This Row],[24Final]])/Inventory[[#This Row],[24Final]]</f>
        <v>0.49017933390264729</v>
      </c>
      <c r="BE1395" s="30">
        <f>VLOOKUP(Inventory[[#This Row],[Nbhd]],Lookups!$M$3:$P$5,4,FALSE)</f>
        <v>0.99970000000000003</v>
      </c>
      <c r="BF1395" s="30">
        <f>VLOOKUP(Inventory[[#This Row],[Qlty]],Lookups!$M$8:$P$22,4,FALSE)</f>
        <v>1.0003</v>
      </c>
      <c r="BG1395" s="30">
        <f>VLOOKUP(Inventory[[#This Row],[Cnd]],Lookups!$R$8:$U$17,4,FALSE)</f>
        <v>0.99680000000000002</v>
      </c>
      <c r="BH1395" s="30">
        <f>VLOOKUP(Inventory[[#This Row],[LivArea Range]],Lookups!$R$25:$U$43,4,FALSE)</f>
        <v>1</v>
      </c>
      <c r="BI1395" s="30">
        <f>VLOOKUP(Inventory[[#This Row],[Decade]],Lookups!$M$24:$P$40,4,FALSE)</f>
        <v>0.96709999999999996</v>
      </c>
      <c r="BJ1395" s="30">
        <f>Inventory[[#This Row],[Nbhd Adj]]*0.95</f>
        <v>0.94971499999999998</v>
      </c>
      <c r="BK1395" s="30">
        <f>AVERAGE(Inventory[[#This Row],[Nbhd Adj]],Inventory[[#This Row],[Quality Adj]],Inventory[[#This Row],[Condition Adj]],Inventory[[#This Row],[Living Area Adj]],Inventory[[#This Row],[Decade Adj]])*0.95</f>
        <v>0.94314100000000001</v>
      </c>
      <c r="BL1395" s="30">
        <f>ROUND((SUM(Inventory[[#This Row],[Mdl Qlty]:[Mdl Garage Area]])+Inventory[[#This Row],[Mdl Res Intercept]])*Inventory[[#This Row],[Res Adj ]],-2)</f>
        <v>238700</v>
      </c>
      <c r="BM1395" s="30">
        <f>ROUND(Inventory[[#This Row],[25Det]]*Inventory[[#This Row],[Det/Nbhd Adj]],-2)</f>
        <v>13500</v>
      </c>
      <c r="BN1395" s="30">
        <f>Inventory[[#This Row],[Adjusted Res]]+Inventory[[#This Row],[Adj Det ]]</f>
        <v>252200</v>
      </c>
      <c r="BO1395" s="30">
        <f>ROUND((Inventory[[#This Row],[Mdl Land Intercept]]+Inventory[[#This Row],[Mdl LnAcres]])*Inventory[[#This Row],[Det/Nbhd Adj]],-2)</f>
        <v>77500</v>
      </c>
      <c r="BP1395" s="30">
        <f>Inventory[[#This Row],[Adjusted Impr Total]]+Inventory[[#This Row],[Adjusted Land Total]]</f>
        <v>329700</v>
      </c>
      <c r="BQ1395" s="30">
        <f>IFERROR((Inventory[[#This Row],[Adjusted Impr Total]]-Inventory[[#This Row],[24Bldg]])/Inventory[[#This Row],[24Bldg]],0)</f>
        <v>0.62919896640826878</v>
      </c>
      <c r="BR1395" s="43">
        <f>(Inventory[[#This Row],[Adjusted Land Total]]-Inventory[[#This Row],[24Lnd]])/Inventory[[#This Row],[24Lnd]]</f>
        <v>-2.3929471032745592E-2</v>
      </c>
      <c r="BS1395" s="43">
        <f>(Inventory[[#This Row],[Adjusted Total]]-Inventory[[#This Row],[24Final]])/Inventory[[#This Row],[24Final]]</f>
        <v>0.40777113578138341</v>
      </c>
    </row>
    <row r="1396" spans="1:71">
      <c r="A1396" s="30">
        <v>2025</v>
      </c>
      <c r="B1396" s="31" t="s">
        <v>1915</v>
      </c>
      <c r="C1396" s="36">
        <f>LN(Inventory[[#This Row],[Acres]])</f>
        <v>-0.2744368457017603</v>
      </c>
      <c r="D1396" s="38">
        <v>0.76</v>
      </c>
      <c r="E1396" s="37"/>
      <c r="F1396" s="31" t="s">
        <v>505</v>
      </c>
      <c r="G1396" s="31" t="s">
        <v>155</v>
      </c>
      <c r="H1396" s="31" t="s">
        <v>5</v>
      </c>
      <c r="I1396" s="31" t="s">
        <v>506</v>
      </c>
      <c r="J1396" s="31" t="s">
        <v>507</v>
      </c>
      <c r="K1396" s="31" t="s">
        <v>157</v>
      </c>
      <c r="L1396" s="31" t="s">
        <v>11</v>
      </c>
      <c r="M1396" s="31" t="s">
        <v>16</v>
      </c>
      <c r="N1396" s="31">
        <v>120</v>
      </c>
      <c r="O1396" s="31">
        <f>2024-Inventory[[#This Row],[YrBlt]]</f>
        <v>123</v>
      </c>
      <c r="P1396" s="31">
        <f>2024-Inventory[[#This Row],[EffYr]]</f>
        <v>75</v>
      </c>
      <c r="Q1396" s="30">
        <v>1901</v>
      </c>
      <c r="R1396" s="30">
        <v>1949</v>
      </c>
      <c r="S1396" s="30">
        <v>990</v>
      </c>
      <c r="T1396" s="30">
        <v>300</v>
      </c>
      <c r="U1396" s="32"/>
      <c r="V1396" s="32"/>
      <c r="W1396" s="32"/>
      <c r="X1396" s="32">
        <f>Inventory[[#This Row],[Bsmt Area]]-Inventory[[#This Row],[FnBsmt]]</f>
        <v>0</v>
      </c>
      <c r="Y1396" s="32">
        <f>Inventory[[#This Row],[MainFn]]+Inventory[[#This Row],[UpprFn]]+Inventory[[#This Row],[AddFn]]+Inventory[[#This Row],[FnBsmt]]</f>
        <v>1290</v>
      </c>
      <c r="Z1396" s="32">
        <v>1500</v>
      </c>
      <c r="AA1396" s="31" t="s">
        <v>56</v>
      </c>
      <c r="AB1396" s="32"/>
      <c r="AC1396" s="32"/>
      <c r="AD1396" s="37"/>
      <c r="AE1396" s="32"/>
      <c r="AF1396" s="32"/>
      <c r="AG1396" s="32"/>
      <c r="AH1396" s="32"/>
      <c r="AI1396" s="30">
        <v>162657</v>
      </c>
      <c r="AJ1396" s="30">
        <v>86208</v>
      </c>
      <c r="AK1396" s="30">
        <v>48359</v>
      </c>
      <c r="AL1396" s="30">
        <v>0</v>
      </c>
      <c r="AM1396" s="30">
        <v>82700</v>
      </c>
      <c r="AN1396" s="30">
        <v>201100</v>
      </c>
      <c r="AO1396" s="30">
        <v>283800</v>
      </c>
      <c r="AP1396" s="30">
        <f>Lookups!$B$58*0.6</f>
        <v>132535.48800000001</v>
      </c>
      <c r="AQ1396" s="30">
        <f>Lookups!$B$58*0.4</f>
        <v>88356.992000000013</v>
      </c>
      <c r="AR1396" s="30">
        <f>Lookups!$B$59*Inventory[[#This Row],[LnAcres]]</f>
        <v>-3601.7972572173726</v>
      </c>
      <c r="AS1396" s="30">
        <f>VLOOKUP(Inventory[[#This Row],[Qlty]],Lookups!$A$66:$E$79,2,FALSE)</f>
        <v>-9114.1675108666695</v>
      </c>
      <c r="AT1396" s="30">
        <f>VLOOKUP(Inventory[[#This Row],[Cnd]],Lookups!$A$80:$E$88,2,FALSE)</f>
        <v>0</v>
      </c>
      <c r="AU1396" s="30">
        <f>Inventory[[#This Row],[EffAge]]*Lookups!$B$65</f>
        <v>-8155.5825000000004</v>
      </c>
      <c r="AV1396" s="30">
        <f>Inventory[[#This Row],[MainFn]]*Lookups!$B$90</f>
        <v>61786.2762</v>
      </c>
      <c r="AW1396" s="30">
        <f>Inventory[[#This Row],[UpprFn]]*Lookups!$B$91</f>
        <v>17874.1149</v>
      </c>
      <c r="AX1396" s="30">
        <f>Inventory[[#This Row],[Bsmt Area]]*Lookups!$B$95</f>
        <v>0</v>
      </c>
      <c r="AY1396" s="30">
        <f>Inventory[[#This Row],[AttGar]]*Lookups!$B$93</f>
        <v>0</v>
      </c>
      <c r="AZ1396" s="30">
        <f>ROUND(Inventory[[#This Row],[25Det]],-2)</f>
        <v>48400</v>
      </c>
      <c r="BA1396" s="30">
        <f>ROUND(SUM(Inventory[[#This Row],[Mdl Qlty]:[Mdl Garage Area]])+Inventory[[#This Row],[Mdl Res Intercept]],-2)</f>
        <v>194900</v>
      </c>
      <c r="BB1396" s="30">
        <f>ROUND(Inventory[[#This Row],[Mdl Land Intercept]]+Inventory[[#This Row],[Mdl LnAcres]],-2)</f>
        <v>84800</v>
      </c>
      <c r="BC1396" s="30">
        <f>Inventory[[#This Row],[Unadj Res Value]]+Inventory[[#This Row],[Unadj Det Value]]+Inventory[[#This Row],[Unadj Land Value]]</f>
        <v>328100</v>
      </c>
      <c r="BD1396" s="30">
        <f>(Inventory[[#This Row],[Unadj Total Value]]-Inventory[[#This Row],[24Final]])/Inventory[[#This Row],[24Final]]</f>
        <v>0.15609584214235378</v>
      </c>
      <c r="BE1396" s="30">
        <f>VLOOKUP(Inventory[[#This Row],[Nbhd]],Lookups!$M$3:$P$5,4,FALSE)</f>
        <v>0.99970000000000003</v>
      </c>
      <c r="BF1396" s="30">
        <f>VLOOKUP(Inventory[[#This Row],[Qlty]],Lookups!$M$8:$P$22,4,FALSE)</f>
        <v>1</v>
      </c>
      <c r="BG1396" s="30">
        <f>VLOOKUP(Inventory[[#This Row],[Cnd]],Lookups!$R$8:$U$17,4,FALSE)</f>
        <v>1</v>
      </c>
      <c r="BH1396" s="30">
        <f>VLOOKUP(Inventory[[#This Row],[LivArea Range]],Lookups!$R$25:$U$43,4,FALSE)</f>
        <v>0.99519999999999997</v>
      </c>
      <c r="BI1396" s="30">
        <f>VLOOKUP(Inventory[[#This Row],[Decade]],Lookups!$M$24:$P$40,4,FALSE)</f>
        <v>0.96709999999999996</v>
      </c>
      <c r="BJ1396" s="30">
        <f>Inventory[[#This Row],[Nbhd Adj]]*0.95</f>
        <v>0.94971499999999998</v>
      </c>
      <c r="BK1396" s="30">
        <f>AVERAGE(Inventory[[#This Row],[Nbhd Adj]],Inventory[[#This Row],[Quality Adj]],Inventory[[#This Row],[Condition Adj]],Inventory[[#This Row],[Living Area Adj]],Inventory[[#This Row],[Decade Adj]])*0.95</f>
        <v>0.94277999999999995</v>
      </c>
      <c r="BL1396" s="30">
        <f>ROUND((SUM(Inventory[[#This Row],[Mdl Qlty]:[Mdl Garage Area]])+Inventory[[#This Row],[Mdl Res Intercept]])*Inventory[[#This Row],[Res Adj ]],-2)</f>
        <v>183800</v>
      </c>
      <c r="BM1396" s="30">
        <f>ROUND(Inventory[[#This Row],[25Det]]*Inventory[[#This Row],[Det/Nbhd Adj]],-2)</f>
        <v>45900</v>
      </c>
      <c r="BN1396" s="30">
        <f>Inventory[[#This Row],[Adjusted Res]]+Inventory[[#This Row],[Adj Det ]]</f>
        <v>229700</v>
      </c>
      <c r="BO1396" s="30">
        <f>ROUND((Inventory[[#This Row],[Mdl Land Intercept]]+Inventory[[#This Row],[Mdl LnAcres]])*Inventory[[#This Row],[Det/Nbhd Adj]],-2)</f>
        <v>80500</v>
      </c>
      <c r="BP1396" s="30">
        <f>Inventory[[#This Row],[Adjusted Impr Total]]+Inventory[[#This Row],[Adjusted Land Total]]</f>
        <v>310200</v>
      </c>
      <c r="BQ1396" s="30">
        <f>IFERROR((Inventory[[#This Row],[Adjusted Impr Total]]-Inventory[[#This Row],[24Bldg]])/Inventory[[#This Row],[24Bldg]],0)</f>
        <v>0.14221780208851317</v>
      </c>
      <c r="BR1396" s="43">
        <f>(Inventory[[#This Row],[Adjusted Land Total]]-Inventory[[#This Row],[24Lnd]])/Inventory[[#This Row],[24Lnd]]</f>
        <v>-2.6602176541717048E-2</v>
      </c>
      <c r="BS1396" s="43">
        <f>(Inventory[[#This Row],[Adjusted Total]]-Inventory[[#This Row],[24Final]])/Inventory[[#This Row],[24Final]]</f>
        <v>9.3023255813953487E-2</v>
      </c>
    </row>
    <row r="1397" spans="1:71">
      <c r="A1397" s="30">
        <v>2025</v>
      </c>
      <c r="B1397" s="31" t="s">
        <v>1916</v>
      </c>
      <c r="C1397" s="31">
        <f>LN(Inventory[[#This Row],[Acres]])</f>
        <v>-9.431067947124129E-2</v>
      </c>
      <c r="D1397" s="38">
        <v>0.91</v>
      </c>
      <c r="E1397" s="30">
        <v>39612</v>
      </c>
      <c r="F1397" s="31" t="s">
        <v>505</v>
      </c>
      <c r="G1397" s="31" t="s">
        <v>155</v>
      </c>
      <c r="H1397" s="31" t="s">
        <v>5</v>
      </c>
      <c r="I1397" s="31" t="s">
        <v>506</v>
      </c>
      <c r="J1397" s="31" t="s">
        <v>507</v>
      </c>
      <c r="K1397" s="31" t="s">
        <v>485</v>
      </c>
      <c r="L1397" s="31" t="s">
        <v>13</v>
      </c>
      <c r="M1397" s="31" t="s">
        <v>20</v>
      </c>
      <c r="N1397" s="31">
        <v>120</v>
      </c>
      <c r="O1397" s="31">
        <f>2024-Inventory[[#This Row],[YrBlt]]</f>
        <v>123</v>
      </c>
      <c r="P1397" s="31">
        <f>2024-Inventory[[#This Row],[EffYr]]</f>
        <v>21</v>
      </c>
      <c r="Q1397" s="30">
        <v>1901</v>
      </c>
      <c r="R1397" s="30">
        <v>2003</v>
      </c>
      <c r="S1397" s="30">
        <v>1036</v>
      </c>
      <c r="T1397" s="38">
        <v>590</v>
      </c>
      <c r="U1397" s="32"/>
      <c r="V1397" s="32"/>
      <c r="W1397" s="32"/>
      <c r="X1397" s="32">
        <f>Inventory[[#This Row],[Bsmt Area]]-Inventory[[#This Row],[FnBsmt]]</f>
        <v>0</v>
      </c>
      <c r="Y1397" s="32">
        <f>Inventory[[#This Row],[MainFn]]+Inventory[[#This Row],[UpprFn]]+Inventory[[#This Row],[AddFn]]+Inventory[[#This Row],[FnBsmt]]</f>
        <v>1626</v>
      </c>
      <c r="Z1397" s="32">
        <v>2000</v>
      </c>
      <c r="AA1397" s="31" t="s">
        <v>56</v>
      </c>
      <c r="AB1397" s="32"/>
      <c r="AC1397" s="37"/>
      <c r="AD1397" s="32"/>
      <c r="AE1397" s="32"/>
      <c r="AF1397" s="32"/>
      <c r="AG1397" s="32"/>
      <c r="AH1397" s="32"/>
      <c r="AI1397" s="30">
        <v>215175</v>
      </c>
      <c r="AJ1397" s="30">
        <v>195809</v>
      </c>
      <c r="AK1397" s="30">
        <v>12264</v>
      </c>
      <c r="AL1397" s="30">
        <v>0</v>
      </c>
      <c r="AM1397" s="30">
        <v>85200</v>
      </c>
      <c r="AN1397" s="30">
        <v>250400</v>
      </c>
      <c r="AO1397" s="30">
        <v>335600</v>
      </c>
      <c r="AP1397" s="30">
        <f>Lookups!$B$58*0.6</f>
        <v>132535.48800000001</v>
      </c>
      <c r="AQ1397" s="30">
        <f>Lookups!$B$58*0.4</f>
        <v>88356.992000000013</v>
      </c>
      <c r="AR1397" s="30">
        <f>Lookups!$B$59*Inventory[[#This Row],[LnAcres]]</f>
        <v>-1237.763631108681</v>
      </c>
      <c r="AS1397" s="30">
        <f>VLOOKUP(Inventory[[#This Row],[Qlty]],Lookups!$A$66:$E$79,2,FALSE)</f>
        <v>0</v>
      </c>
      <c r="AT1397" s="30">
        <f>VLOOKUP(Inventory[[#This Row],[Cnd]],Lookups!$A$80:$E$88,2,FALSE)</f>
        <v>30300.329274</v>
      </c>
      <c r="AU1397" s="30">
        <f>Inventory[[#This Row],[EffAge]]*Lookups!$B$65</f>
        <v>-2283.5630999999998</v>
      </c>
      <c r="AV1397" s="30">
        <f>Inventory[[#This Row],[MainFn]]*Lookups!$B$90</f>
        <v>64657.153680000003</v>
      </c>
      <c r="AW1397" s="30">
        <f>Inventory[[#This Row],[UpprFn]]*Lookups!$B$91</f>
        <v>35152.425969999997</v>
      </c>
      <c r="AX1397" s="30">
        <f>Inventory[[#This Row],[Bsmt Area]]*Lookups!$B$95</f>
        <v>0</v>
      </c>
      <c r="AY1397" s="30">
        <f>Inventory[[#This Row],[AttGar]]*Lookups!$B$93</f>
        <v>0</v>
      </c>
      <c r="AZ1397" s="30">
        <f>ROUND(Inventory[[#This Row],[25Det]],-2)</f>
        <v>12300</v>
      </c>
      <c r="BA1397" s="30">
        <f>ROUND(SUM(Inventory[[#This Row],[Mdl Qlty]:[Mdl Garage Area]])+Inventory[[#This Row],[Mdl Res Intercept]],-2)</f>
        <v>260400</v>
      </c>
      <c r="BB1397" s="30">
        <f>ROUND(Inventory[[#This Row],[Mdl Land Intercept]]+Inventory[[#This Row],[Mdl LnAcres]],-2)</f>
        <v>87100</v>
      </c>
      <c r="BC1397" s="30">
        <f>Inventory[[#This Row],[Unadj Res Value]]+Inventory[[#This Row],[Unadj Det Value]]+Inventory[[#This Row],[Unadj Land Value]]</f>
        <v>359800</v>
      </c>
      <c r="BD1397" s="30">
        <f>(Inventory[[#This Row],[Unadj Total Value]]-Inventory[[#This Row],[24Final]])/Inventory[[#This Row],[24Final]]</f>
        <v>7.2109654350417163E-2</v>
      </c>
      <c r="BE1397" s="30">
        <f>VLOOKUP(Inventory[[#This Row],[Nbhd]],Lookups!$M$3:$P$5,4,FALSE)</f>
        <v>0.99970000000000003</v>
      </c>
      <c r="BF1397" s="30">
        <f>VLOOKUP(Inventory[[#This Row],[Qlty]],Lookups!$M$8:$P$22,4,FALSE)</f>
        <v>1.0003</v>
      </c>
      <c r="BG1397" s="30">
        <f>VLOOKUP(Inventory[[#This Row],[Cnd]],Lookups!$R$8:$U$17,4,FALSE)</f>
        <v>0.997</v>
      </c>
      <c r="BH1397" s="30">
        <f>VLOOKUP(Inventory[[#This Row],[LivArea Range]],Lookups!$R$25:$U$43,4,FALSE)</f>
        <v>1.0007999999999999</v>
      </c>
      <c r="BI1397" s="30">
        <f>VLOOKUP(Inventory[[#This Row],[Decade]],Lookups!$M$24:$P$40,4,FALSE)</f>
        <v>0.96709999999999996</v>
      </c>
      <c r="BJ1397" s="30">
        <f>Inventory[[#This Row],[Nbhd Adj]]*0.95</f>
        <v>0.94971499999999998</v>
      </c>
      <c r="BK1397" s="30">
        <f>AVERAGE(Inventory[[#This Row],[Nbhd Adj]],Inventory[[#This Row],[Quality Adj]],Inventory[[#This Row],[Condition Adj]],Inventory[[#This Row],[Living Area Adj]],Inventory[[#This Row],[Decade Adj]])*0.95</f>
        <v>0.94333099999999992</v>
      </c>
      <c r="BL1397" s="30">
        <f>ROUND((SUM(Inventory[[#This Row],[Mdl Qlty]:[Mdl Garage Area]])+Inventory[[#This Row],[Mdl Res Intercept]])*Inventory[[#This Row],[Res Adj ]],-2)</f>
        <v>245600</v>
      </c>
      <c r="BM1397" s="30">
        <f>ROUND(Inventory[[#This Row],[25Det]]*Inventory[[#This Row],[Det/Nbhd Adj]],-2)</f>
        <v>11600</v>
      </c>
      <c r="BN1397" s="30">
        <f>Inventory[[#This Row],[Adjusted Res]]+Inventory[[#This Row],[Adj Det ]]</f>
        <v>257200</v>
      </c>
      <c r="BO1397" s="30">
        <f>ROUND((Inventory[[#This Row],[Mdl Land Intercept]]+Inventory[[#This Row],[Mdl LnAcres]])*Inventory[[#This Row],[Det/Nbhd Adj]],-2)</f>
        <v>82700</v>
      </c>
      <c r="BP1397" s="30">
        <f>Inventory[[#This Row],[Adjusted Impr Total]]+Inventory[[#This Row],[Adjusted Land Total]]</f>
        <v>339900</v>
      </c>
      <c r="BQ1397" s="30">
        <f>IFERROR((Inventory[[#This Row],[Adjusted Impr Total]]-Inventory[[#This Row],[24Bldg]])/Inventory[[#This Row],[24Bldg]],0)</f>
        <v>2.7156549520766772E-2</v>
      </c>
      <c r="BR1397" s="43">
        <f>(Inventory[[#This Row],[Adjusted Land Total]]-Inventory[[#This Row],[24Lnd]])/Inventory[[#This Row],[24Lnd]]</f>
        <v>-2.9342723004694836E-2</v>
      </c>
      <c r="BS1397" s="43">
        <f>(Inventory[[#This Row],[Adjusted Total]]-Inventory[[#This Row],[24Final]])/Inventory[[#This Row],[24Final]]</f>
        <v>1.2812872467222885E-2</v>
      </c>
    </row>
    <row r="1398" spans="1:71">
      <c r="A1398" s="30">
        <v>2025</v>
      </c>
      <c r="B1398" s="31" t="s">
        <v>1917</v>
      </c>
      <c r="C1398" s="36">
        <f>LN(Inventory[[#This Row],[Acres]])</f>
        <v>0</v>
      </c>
      <c r="D1398" s="38">
        <v>1</v>
      </c>
      <c r="E1398" s="37"/>
      <c r="F1398" s="31" t="s">
        <v>505</v>
      </c>
      <c r="G1398" s="31" t="s">
        <v>155</v>
      </c>
      <c r="H1398" s="31" t="s">
        <v>5</v>
      </c>
      <c r="I1398" s="31" t="s">
        <v>506</v>
      </c>
      <c r="J1398" s="31" t="s">
        <v>507</v>
      </c>
      <c r="K1398" s="31" t="s">
        <v>485</v>
      </c>
      <c r="L1398" s="31" t="s">
        <v>17</v>
      </c>
      <c r="M1398" s="31" t="s">
        <v>18</v>
      </c>
      <c r="N1398" s="31">
        <v>120</v>
      </c>
      <c r="O1398" s="31">
        <f>2024-Inventory[[#This Row],[YrBlt]]</f>
        <v>123</v>
      </c>
      <c r="P1398" s="31">
        <f>2024-Inventory[[#This Row],[EffYr]]</f>
        <v>75</v>
      </c>
      <c r="Q1398" s="30">
        <v>1901</v>
      </c>
      <c r="R1398" s="30">
        <v>1949</v>
      </c>
      <c r="S1398" s="30">
        <v>878</v>
      </c>
      <c r="T1398" s="38">
        <v>736</v>
      </c>
      <c r="U1398" s="38">
        <v>400</v>
      </c>
      <c r="V1398" s="32"/>
      <c r="W1398" s="38">
        <v>0</v>
      </c>
      <c r="X1398" s="38">
        <f>Inventory[[#This Row],[Bsmt Area]]-Inventory[[#This Row],[FnBsmt]]</f>
        <v>400</v>
      </c>
      <c r="Y1398" s="38">
        <f>Inventory[[#This Row],[MainFn]]+Inventory[[#This Row],[UpprFn]]+Inventory[[#This Row],[AddFn]]+Inventory[[#This Row],[FnBsmt]]</f>
        <v>1614</v>
      </c>
      <c r="Z1398" s="32">
        <v>2000</v>
      </c>
      <c r="AA1398" s="31" t="s">
        <v>56</v>
      </c>
      <c r="AB1398" s="37"/>
      <c r="AC1398" s="37"/>
      <c r="AD1398" s="32"/>
      <c r="AE1398" s="32"/>
      <c r="AF1398" s="32"/>
      <c r="AG1398" s="32"/>
      <c r="AH1398" s="32"/>
      <c r="AI1398" s="30">
        <v>262460</v>
      </c>
      <c r="AJ1398" s="30">
        <v>144353</v>
      </c>
      <c r="AK1398" s="30">
        <v>1857</v>
      </c>
      <c r="AL1398" s="30">
        <v>0</v>
      </c>
      <c r="AM1398" s="30">
        <v>86500</v>
      </c>
      <c r="AN1398" s="30">
        <v>210200</v>
      </c>
      <c r="AO1398" s="30">
        <v>296700</v>
      </c>
      <c r="AP1398" s="30">
        <f>Lookups!$B$58*0.6</f>
        <v>132535.48800000001</v>
      </c>
      <c r="AQ1398" s="30">
        <f>Lookups!$B$58*0.4</f>
        <v>88356.992000000013</v>
      </c>
      <c r="AR1398" s="30">
        <f>Lookups!$B$59*Inventory[[#This Row],[LnAcres]]</f>
        <v>0</v>
      </c>
      <c r="AS1398" s="30">
        <f>VLOOKUP(Inventory[[#This Row],[Qlty]],Lookups!$A$66:$E$79,2,FALSE)</f>
        <v>24371.765965999999</v>
      </c>
      <c r="AT1398" s="30">
        <f>VLOOKUP(Inventory[[#This Row],[Cnd]],Lookups!$A$80:$E$88,2,FALSE)</f>
        <v>17761.121909000001</v>
      </c>
      <c r="AU1398" s="30">
        <f>Inventory[[#This Row],[EffAge]]*Lookups!$B$65</f>
        <v>-8155.5825000000004</v>
      </c>
      <c r="AV1398" s="30">
        <f>Inventory[[#This Row],[MainFn]]*Lookups!$B$90</f>
        <v>54796.31364</v>
      </c>
      <c r="AW1398" s="30">
        <f>Inventory[[#This Row],[UpprFn]]*Lookups!$B$91</f>
        <v>43851.161887999995</v>
      </c>
      <c r="AX1398" s="30">
        <f>Inventory[[#This Row],[Bsmt Area]]*Lookups!$B$95</f>
        <v>25034.598399999999</v>
      </c>
      <c r="AY1398" s="30">
        <f>Inventory[[#This Row],[AttGar]]*Lookups!$B$93</f>
        <v>0</v>
      </c>
      <c r="AZ1398" s="30">
        <f>ROUND(Inventory[[#This Row],[25Det]],-2)</f>
        <v>1900</v>
      </c>
      <c r="BA1398" s="30">
        <f>ROUND(SUM(Inventory[[#This Row],[Mdl Qlty]:[Mdl Garage Area]])+Inventory[[#This Row],[Mdl Res Intercept]],-2)</f>
        <v>290200</v>
      </c>
      <c r="BB1398" s="30">
        <f>ROUND(Inventory[[#This Row],[Mdl Land Intercept]]+Inventory[[#This Row],[Mdl LnAcres]],-2)</f>
        <v>88400</v>
      </c>
      <c r="BC1398" s="30">
        <f>Inventory[[#This Row],[Unadj Res Value]]+Inventory[[#This Row],[Unadj Det Value]]+Inventory[[#This Row],[Unadj Land Value]]</f>
        <v>380500</v>
      </c>
      <c r="BD1398" s="30">
        <f>(Inventory[[#This Row],[Unadj Total Value]]-Inventory[[#This Row],[24Final]])/Inventory[[#This Row],[24Final]]</f>
        <v>0.28244017526120663</v>
      </c>
      <c r="BE1398" s="30">
        <f>VLOOKUP(Inventory[[#This Row],[Nbhd]],Lookups!$M$3:$P$5,4,FALSE)</f>
        <v>0.99970000000000003</v>
      </c>
      <c r="BF1398" s="30">
        <f>VLOOKUP(Inventory[[#This Row],[Qlty]],Lookups!$M$8:$P$22,4,FALSE)</f>
        <v>0.99199999999999999</v>
      </c>
      <c r="BG1398" s="30">
        <f>VLOOKUP(Inventory[[#This Row],[Cnd]],Lookups!$R$8:$U$17,4,FALSE)</f>
        <v>0.99680000000000002</v>
      </c>
      <c r="BH1398" s="30">
        <f>VLOOKUP(Inventory[[#This Row],[LivArea Range]],Lookups!$R$25:$U$43,4,FALSE)</f>
        <v>1.0007999999999999</v>
      </c>
      <c r="BI1398" s="30">
        <f>VLOOKUP(Inventory[[#This Row],[Decade]],Lookups!$M$24:$P$40,4,FALSE)</f>
        <v>0.96709999999999996</v>
      </c>
      <c r="BJ1398" s="30">
        <f>Inventory[[#This Row],[Nbhd Adj]]*0.95</f>
        <v>0.94971499999999998</v>
      </c>
      <c r="BK1398" s="30">
        <f>AVERAGE(Inventory[[#This Row],[Nbhd Adj]],Inventory[[#This Row],[Quality Adj]],Inventory[[#This Row],[Condition Adj]],Inventory[[#This Row],[Living Area Adj]],Inventory[[#This Row],[Decade Adj]])*0.95</f>
        <v>0.941716</v>
      </c>
      <c r="BL1398" s="30">
        <f>ROUND((SUM(Inventory[[#This Row],[Mdl Qlty]:[Mdl Garage Area]])+Inventory[[#This Row],[Mdl Res Intercept]])*Inventory[[#This Row],[Res Adj ]],-2)</f>
        <v>273300</v>
      </c>
      <c r="BM1398" s="30">
        <f>ROUND(Inventory[[#This Row],[25Det]]*Inventory[[#This Row],[Det/Nbhd Adj]],-2)</f>
        <v>1800</v>
      </c>
      <c r="BN1398" s="30">
        <f>Inventory[[#This Row],[Adjusted Res]]+Inventory[[#This Row],[Adj Det ]]</f>
        <v>275100</v>
      </c>
      <c r="BO1398" s="30">
        <f>ROUND((Inventory[[#This Row],[Mdl Land Intercept]]+Inventory[[#This Row],[Mdl LnAcres]])*Inventory[[#This Row],[Det/Nbhd Adj]],-2)</f>
        <v>83900</v>
      </c>
      <c r="BP1398" s="30">
        <f>Inventory[[#This Row],[Adjusted Impr Total]]+Inventory[[#This Row],[Adjusted Land Total]]</f>
        <v>359000</v>
      </c>
      <c r="BQ1398" s="30">
        <f>IFERROR((Inventory[[#This Row],[Adjusted Impr Total]]-Inventory[[#This Row],[24Bldg]])/Inventory[[#This Row],[24Bldg]],0)</f>
        <v>0.30875356803044718</v>
      </c>
      <c r="BR1398" s="43">
        <f>(Inventory[[#This Row],[Adjusted Land Total]]-Inventory[[#This Row],[24Lnd]])/Inventory[[#This Row],[24Lnd]]</f>
        <v>-3.0057803468208091E-2</v>
      </c>
      <c r="BS1398" s="43">
        <f>(Inventory[[#This Row],[Adjusted Total]]-Inventory[[#This Row],[24Final]])/Inventory[[#This Row],[24Final]]</f>
        <v>0.20997640714526458</v>
      </c>
    </row>
    <row r="1399" spans="1:71">
      <c r="A1399" s="30">
        <v>2025</v>
      </c>
      <c r="B1399" s="31" t="s">
        <v>1918</v>
      </c>
      <c r="C1399" s="36">
        <f>LN(Inventory[[#This Row],[Acres]])</f>
        <v>0.90421815063988586</v>
      </c>
      <c r="D1399" s="38">
        <v>2.4700000000000002</v>
      </c>
      <c r="E1399" s="30">
        <v>107610</v>
      </c>
      <c r="F1399" s="31" t="s">
        <v>505</v>
      </c>
      <c r="G1399" s="31" t="s">
        <v>155</v>
      </c>
      <c r="H1399" s="31" t="s">
        <v>5</v>
      </c>
      <c r="I1399" s="31" t="s">
        <v>506</v>
      </c>
      <c r="J1399" s="31" t="s">
        <v>507</v>
      </c>
      <c r="K1399" s="31" t="s">
        <v>485</v>
      </c>
      <c r="L1399" s="31" t="s">
        <v>17</v>
      </c>
      <c r="M1399" s="31" t="s">
        <v>20</v>
      </c>
      <c r="N1399" s="31">
        <v>120</v>
      </c>
      <c r="O1399" s="31">
        <f>2024-Inventory[[#This Row],[YrBlt]]</f>
        <v>123</v>
      </c>
      <c r="P1399" s="31">
        <f>2024-Inventory[[#This Row],[EffYr]]</f>
        <v>75</v>
      </c>
      <c r="Q1399" s="30">
        <v>1901</v>
      </c>
      <c r="R1399" s="30">
        <v>1949</v>
      </c>
      <c r="S1399" s="30">
        <v>1186</v>
      </c>
      <c r="T1399" s="38">
        <v>756</v>
      </c>
      <c r="U1399" s="38">
        <v>320</v>
      </c>
      <c r="V1399" s="32"/>
      <c r="W1399" s="32"/>
      <c r="X1399" s="32">
        <f>Inventory[[#This Row],[Bsmt Area]]-Inventory[[#This Row],[FnBsmt]]</f>
        <v>320</v>
      </c>
      <c r="Y1399" s="32">
        <f>Inventory[[#This Row],[MainFn]]+Inventory[[#This Row],[UpprFn]]+Inventory[[#This Row],[AddFn]]+Inventory[[#This Row],[FnBsmt]]</f>
        <v>1942</v>
      </c>
      <c r="Z1399" s="32">
        <v>2000</v>
      </c>
      <c r="AA1399" s="31" t="s">
        <v>56</v>
      </c>
      <c r="AB1399" s="37"/>
      <c r="AC1399" s="37"/>
      <c r="AD1399" s="32"/>
      <c r="AE1399" s="32"/>
      <c r="AF1399" s="32"/>
      <c r="AG1399" s="32"/>
      <c r="AH1399" s="32"/>
      <c r="AI1399" s="30">
        <v>314478</v>
      </c>
      <c r="AJ1399" s="30">
        <v>179252</v>
      </c>
      <c r="AK1399" s="30">
        <v>54487</v>
      </c>
      <c r="AL1399" s="30">
        <v>0</v>
      </c>
      <c r="AM1399" s="30">
        <v>99200</v>
      </c>
      <c r="AN1399" s="30">
        <v>275900</v>
      </c>
      <c r="AO1399" s="30">
        <v>375100</v>
      </c>
      <c r="AP1399" s="30">
        <f>Lookups!$B$58*0.6</f>
        <v>132535.48800000001</v>
      </c>
      <c r="AQ1399" s="30">
        <f>Lookups!$B$58*0.4</f>
        <v>88356.992000000013</v>
      </c>
      <c r="AR1399" s="30">
        <f>Lookups!$B$59*Inventory[[#This Row],[LnAcres]]</f>
        <v>11867.249263024218</v>
      </c>
      <c r="AS1399" s="30">
        <f>VLOOKUP(Inventory[[#This Row],[Qlty]],Lookups!$A$66:$E$79,2,FALSE)</f>
        <v>24371.765965999999</v>
      </c>
      <c r="AT1399" s="30">
        <f>VLOOKUP(Inventory[[#This Row],[Cnd]],Lookups!$A$80:$E$88,2,FALSE)</f>
        <v>30300.329274</v>
      </c>
      <c r="AU1399" s="30">
        <f>Inventory[[#This Row],[EffAge]]*Lookups!$B$65</f>
        <v>-8155.5825000000004</v>
      </c>
      <c r="AV1399" s="30">
        <f>Inventory[[#This Row],[MainFn]]*Lookups!$B$90</f>
        <v>74018.710680000004</v>
      </c>
      <c r="AW1399" s="30">
        <f>Inventory[[#This Row],[UpprFn]]*Lookups!$B$91</f>
        <v>45042.769547999997</v>
      </c>
      <c r="AX1399" s="30">
        <f>Inventory[[#This Row],[Bsmt Area]]*Lookups!$B$95</f>
        <v>20027.67872</v>
      </c>
      <c r="AY1399" s="30">
        <f>Inventory[[#This Row],[AttGar]]*Lookups!$B$93</f>
        <v>0</v>
      </c>
      <c r="AZ1399" s="30">
        <f>ROUND(Inventory[[#This Row],[25Det]],-2)</f>
        <v>54500</v>
      </c>
      <c r="BA1399" s="30">
        <f>ROUND(SUM(Inventory[[#This Row],[Mdl Qlty]:[Mdl Garage Area]])+Inventory[[#This Row],[Mdl Res Intercept]],-2)</f>
        <v>318100</v>
      </c>
      <c r="BB1399" s="30">
        <f>ROUND(Inventory[[#This Row],[Mdl Land Intercept]]+Inventory[[#This Row],[Mdl LnAcres]],-2)</f>
        <v>100200</v>
      </c>
      <c r="BC1399" s="30">
        <f>Inventory[[#This Row],[Unadj Res Value]]+Inventory[[#This Row],[Unadj Det Value]]+Inventory[[#This Row],[Unadj Land Value]]</f>
        <v>472800</v>
      </c>
      <c r="BD1399" s="30">
        <f>(Inventory[[#This Row],[Unadj Total Value]]-Inventory[[#This Row],[24Final]])/Inventory[[#This Row],[24Final]]</f>
        <v>0.26046387629965345</v>
      </c>
      <c r="BE1399" s="30">
        <f>VLOOKUP(Inventory[[#This Row],[Nbhd]],Lookups!$M$3:$P$5,4,FALSE)</f>
        <v>0.99970000000000003</v>
      </c>
      <c r="BF1399" s="30">
        <f>VLOOKUP(Inventory[[#This Row],[Qlty]],Lookups!$M$8:$P$22,4,FALSE)</f>
        <v>0.99199999999999999</v>
      </c>
      <c r="BG1399" s="30">
        <f>VLOOKUP(Inventory[[#This Row],[Cnd]],Lookups!$R$8:$U$17,4,FALSE)</f>
        <v>0.997</v>
      </c>
      <c r="BH1399" s="30">
        <f>VLOOKUP(Inventory[[#This Row],[LivArea Range]],Lookups!$R$25:$U$43,4,FALSE)</f>
        <v>1.0007999999999999</v>
      </c>
      <c r="BI1399" s="30">
        <f>VLOOKUP(Inventory[[#This Row],[Decade]],Lookups!$M$24:$P$40,4,FALSE)</f>
        <v>0.96709999999999996</v>
      </c>
      <c r="BJ1399" s="30">
        <f>Inventory[[#This Row],[Nbhd Adj]]*0.95</f>
        <v>0.94971499999999998</v>
      </c>
      <c r="BK1399" s="30">
        <f>AVERAGE(Inventory[[#This Row],[Nbhd Adj]],Inventory[[#This Row],[Quality Adj]],Inventory[[#This Row],[Condition Adj]],Inventory[[#This Row],[Living Area Adj]],Inventory[[#This Row],[Decade Adj]])*0.95</f>
        <v>0.94175399999999998</v>
      </c>
      <c r="BL1399" s="30">
        <f>ROUND((SUM(Inventory[[#This Row],[Mdl Qlty]:[Mdl Garage Area]])+Inventory[[#This Row],[Mdl Res Intercept]])*Inventory[[#This Row],[Res Adj ]],-2)</f>
        <v>299600</v>
      </c>
      <c r="BM1399" s="30">
        <f>ROUND(Inventory[[#This Row],[25Det]]*Inventory[[#This Row],[Det/Nbhd Adj]],-2)</f>
        <v>51700</v>
      </c>
      <c r="BN1399" s="30">
        <f>Inventory[[#This Row],[Adjusted Res]]+Inventory[[#This Row],[Adj Det ]]</f>
        <v>351300</v>
      </c>
      <c r="BO1399" s="30">
        <f>ROUND((Inventory[[#This Row],[Mdl Land Intercept]]+Inventory[[#This Row],[Mdl LnAcres]])*Inventory[[#This Row],[Det/Nbhd Adj]],-2)</f>
        <v>95200</v>
      </c>
      <c r="BP1399" s="30">
        <f>Inventory[[#This Row],[Adjusted Impr Total]]+Inventory[[#This Row],[Adjusted Land Total]]</f>
        <v>446500</v>
      </c>
      <c r="BQ1399" s="30">
        <f>IFERROR((Inventory[[#This Row],[Adjusted Impr Total]]-Inventory[[#This Row],[24Bldg]])/Inventory[[#This Row],[24Bldg]],0)</f>
        <v>0.27328742297934033</v>
      </c>
      <c r="BR1399" s="43">
        <f>(Inventory[[#This Row],[Adjusted Land Total]]-Inventory[[#This Row],[24Lnd]])/Inventory[[#This Row],[24Lnd]]</f>
        <v>-4.0322580645161289E-2</v>
      </c>
      <c r="BS1399" s="43">
        <f>(Inventory[[#This Row],[Adjusted Total]]-Inventory[[#This Row],[24Final]])/Inventory[[#This Row],[24Final]]</f>
        <v>0.19034924020261262</v>
      </c>
    </row>
    <row r="1400" spans="1:71">
      <c r="A1400" s="30">
        <v>2025</v>
      </c>
      <c r="B1400" s="31" t="s">
        <v>1919</v>
      </c>
      <c r="C1400" s="36">
        <f>LN(Inventory[[#This Row],[Acres]])</f>
        <v>-1.9661128563728327</v>
      </c>
      <c r="D1400" s="38">
        <v>0.14000000000000001</v>
      </c>
      <c r="E1400" s="30">
        <v>6000</v>
      </c>
      <c r="F1400" s="31" t="s">
        <v>505</v>
      </c>
      <c r="G1400" s="31" t="s">
        <v>155</v>
      </c>
      <c r="H1400" s="31" t="s">
        <v>5</v>
      </c>
      <c r="I1400" s="31" t="s">
        <v>506</v>
      </c>
      <c r="J1400" s="31" t="s">
        <v>507</v>
      </c>
      <c r="K1400" s="31" t="s">
        <v>157</v>
      </c>
      <c r="L1400" s="31" t="s">
        <v>11</v>
      </c>
      <c r="M1400" s="31" t="s">
        <v>20</v>
      </c>
      <c r="N1400" s="31">
        <v>120</v>
      </c>
      <c r="O1400" s="31">
        <f>2024-Inventory[[#This Row],[YrBlt]]</f>
        <v>124</v>
      </c>
      <c r="P1400" s="31">
        <f>2024-Inventory[[#This Row],[EffYr]]</f>
        <v>76</v>
      </c>
      <c r="Q1400" s="30">
        <v>1900</v>
      </c>
      <c r="R1400" s="30">
        <v>1948</v>
      </c>
      <c r="S1400" s="30">
        <v>1056</v>
      </c>
      <c r="T1400" s="38">
        <v>405</v>
      </c>
      <c r="U1400" s="32"/>
      <c r="V1400" s="32"/>
      <c r="W1400" s="32"/>
      <c r="X1400" s="32">
        <f>Inventory[[#This Row],[Bsmt Area]]-Inventory[[#This Row],[FnBsmt]]</f>
        <v>0</v>
      </c>
      <c r="Y1400" s="32">
        <f>Inventory[[#This Row],[MainFn]]+Inventory[[#This Row],[UpprFn]]+Inventory[[#This Row],[AddFn]]+Inventory[[#This Row],[FnBsmt]]</f>
        <v>1461</v>
      </c>
      <c r="Z1400" s="32">
        <v>1500</v>
      </c>
      <c r="AA1400" s="31" t="s">
        <v>56</v>
      </c>
      <c r="AB1400" s="37"/>
      <c r="AC1400" s="37"/>
      <c r="AD1400" s="32"/>
      <c r="AE1400" s="32"/>
      <c r="AF1400" s="32"/>
      <c r="AG1400" s="32"/>
      <c r="AH1400" s="32"/>
      <c r="AI1400" s="30">
        <v>174641</v>
      </c>
      <c r="AJ1400" s="30">
        <v>99545</v>
      </c>
      <c r="AK1400" s="30">
        <v>2078</v>
      </c>
      <c r="AL1400" s="30">
        <v>0</v>
      </c>
      <c r="AM1400" s="30">
        <v>59000</v>
      </c>
      <c r="AN1400" s="30">
        <v>168600</v>
      </c>
      <c r="AO1400" s="30">
        <v>227600</v>
      </c>
      <c r="AP1400" s="30">
        <f>Lookups!$B$58*0.6</f>
        <v>132535.48800000001</v>
      </c>
      <c r="AQ1400" s="30">
        <f>Lookups!$B$58*0.4</f>
        <v>88356.992000000013</v>
      </c>
      <c r="AR1400" s="30">
        <f>Lookups!$B$59*Inventory[[#This Row],[LnAcres]]</f>
        <v>-25803.896249263951</v>
      </c>
      <c r="AS1400" s="30">
        <f>VLOOKUP(Inventory[[#This Row],[Qlty]],Lookups!$A$66:$E$79,2,FALSE)</f>
        <v>-9114.1675108666695</v>
      </c>
      <c r="AT1400" s="30">
        <f>VLOOKUP(Inventory[[#This Row],[Cnd]],Lookups!$A$80:$E$88,2,FALSE)</f>
        <v>30300.329274</v>
      </c>
      <c r="AU1400" s="30">
        <f>Inventory[[#This Row],[EffAge]]*Lookups!$B$65</f>
        <v>-8264.3235999999997</v>
      </c>
      <c r="AV1400" s="30">
        <f>Inventory[[#This Row],[MainFn]]*Lookups!$B$90</f>
        <v>65905.361279999997</v>
      </c>
      <c r="AW1400" s="30">
        <f>Inventory[[#This Row],[UpprFn]]*Lookups!$B$91</f>
        <v>24130.055114999999</v>
      </c>
      <c r="AX1400" s="30">
        <f>Inventory[[#This Row],[Bsmt Area]]*Lookups!$B$95</f>
        <v>0</v>
      </c>
      <c r="AY1400" s="30">
        <f>Inventory[[#This Row],[AttGar]]*Lookups!$B$93</f>
        <v>0</v>
      </c>
      <c r="AZ1400" s="30">
        <f>ROUND(Inventory[[#This Row],[25Det]],-2)</f>
        <v>2100</v>
      </c>
      <c r="BA1400" s="30">
        <f>ROUND(SUM(Inventory[[#This Row],[Mdl Qlty]:[Mdl Garage Area]])+Inventory[[#This Row],[Mdl Res Intercept]],-2)</f>
        <v>235500</v>
      </c>
      <c r="BB1400" s="30">
        <f>ROUND(Inventory[[#This Row],[Mdl Land Intercept]]+Inventory[[#This Row],[Mdl LnAcres]],-2)</f>
        <v>62600</v>
      </c>
      <c r="BC1400" s="30">
        <f>Inventory[[#This Row],[Unadj Res Value]]+Inventory[[#This Row],[Unadj Det Value]]+Inventory[[#This Row],[Unadj Land Value]]</f>
        <v>300200</v>
      </c>
      <c r="BD1400" s="30">
        <f>(Inventory[[#This Row],[Unadj Total Value]]-Inventory[[#This Row],[24Final]])/Inventory[[#This Row],[24Final]]</f>
        <v>0.3189806678383128</v>
      </c>
      <c r="BE1400" s="30">
        <f>VLOOKUP(Inventory[[#This Row],[Nbhd]],Lookups!$M$3:$P$5,4,FALSE)</f>
        <v>0.99970000000000003</v>
      </c>
      <c r="BF1400" s="30">
        <f>VLOOKUP(Inventory[[#This Row],[Qlty]],Lookups!$M$8:$P$22,4,FALSE)</f>
        <v>1</v>
      </c>
      <c r="BG1400" s="30">
        <f>VLOOKUP(Inventory[[#This Row],[Cnd]],Lookups!$R$8:$U$17,4,FALSE)</f>
        <v>0.997</v>
      </c>
      <c r="BH1400" s="30">
        <f>VLOOKUP(Inventory[[#This Row],[LivArea Range]],Lookups!$R$25:$U$43,4,FALSE)</f>
        <v>0.99519999999999997</v>
      </c>
      <c r="BI1400" s="30">
        <f>VLOOKUP(Inventory[[#This Row],[Decade]],Lookups!$M$24:$P$40,4,FALSE)</f>
        <v>0.96709999999999996</v>
      </c>
      <c r="BJ1400" s="30">
        <f>Inventory[[#This Row],[Nbhd Adj]]*0.95</f>
        <v>0.94971499999999998</v>
      </c>
      <c r="BK1400" s="30">
        <f>AVERAGE(Inventory[[#This Row],[Nbhd Adj]],Inventory[[#This Row],[Quality Adj]],Inventory[[#This Row],[Condition Adj]],Inventory[[#This Row],[Living Area Adj]],Inventory[[#This Row],[Decade Adj]])*0.95</f>
        <v>0.9422100000000001</v>
      </c>
      <c r="BL1400" s="30">
        <f>ROUND((SUM(Inventory[[#This Row],[Mdl Qlty]:[Mdl Garage Area]])+Inventory[[#This Row],[Mdl Res Intercept]])*Inventory[[#This Row],[Res Adj ]],-2)</f>
        <v>221900</v>
      </c>
      <c r="BM1400" s="30">
        <f>ROUND(Inventory[[#This Row],[25Det]]*Inventory[[#This Row],[Det/Nbhd Adj]],-2)</f>
        <v>2000</v>
      </c>
      <c r="BN1400" s="30">
        <f>Inventory[[#This Row],[Adjusted Res]]+Inventory[[#This Row],[Adj Det ]]</f>
        <v>223900</v>
      </c>
      <c r="BO1400" s="30">
        <f>ROUND((Inventory[[#This Row],[Mdl Land Intercept]]+Inventory[[#This Row],[Mdl LnAcres]])*Inventory[[#This Row],[Det/Nbhd Adj]],-2)</f>
        <v>59400</v>
      </c>
      <c r="BP1400" s="30">
        <f>Inventory[[#This Row],[Adjusted Impr Total]]+Inventory[[#This Row],[Adjusted Land Total]]</f>
        <v>283300</v>
      </c>
      <c r="BQ1400" s="30">
        <f>IFERROR((Inventory[[#This Row],[Adjusted Impr Total]]-Inventory[[#This Row],[24Bldg]])/Inventory[[#This Row],[24Bldg]],0)</f>
        <v>0.32799525504151839</v>
      </c>
      <c r="BR1400" s="43">
        <f>(Inventory[[#This Row],[Adjusted Land Total]]-Inventory[[#This Row],[24Lnd]])/Inventory[[#This Row],[24Lnd]]</f>
        <v>6.7796610169491523E-3</v>
      </c>
      <c r="BS1400" s="43">
        <f>(Inventory[[#This Row],[Adjusted Total]]-Inventory[[#This Row],[24Final]])/Inventory[[#This Row],[24Final]]</f>
        <v>0.24472759226713534</v>
      </c>
    </row>
    <row r="1401" spans="1:71">
      <c r="A1401" s="30">
        <v>2025</v>
      </c>
      <c r="B1401" s="31" t="s">
        <v>1920</v>
      </c>
      <c r="C1401" s="36">
        <f>LN(Inventory[[#This Row],[Acres]])</f>
        <v>-0.65392646740666394</v>
      </c>
      <c r="D1401" s="38">
        <v>0.52</v>
      </c>
      <c r="E1401" s="30">
        <v>22841</v>
      </c>
      <c r="F1401" s="31" t="s">
        <v>505</v>
      </c>
      <c r="G1401" s="31" t="s">
        <v>155</v>
      </c>
      <c r="H1401" s="31" t="s">
        <v>5</v>
      </c>
      <c r="I1401" s="31" t="s">
        <v>506</v>
      </c>
      <c r="J1401" s="31" t="s">
        <v>507</v>
      </c>
      <c r="K1401" s="31" t="s">
        <v>485</v>
      </c>
      <c r="L1401" s="31" t="s">
        <v>15</v>
      </c>
      <c r="M1401" s="31" t="s">
        <v>20</v>
      </c>
      <c r="N1401" s="31">
        <v>120</v>
      </c>
      <c r="O1401" s="31">
        <f>2024-Inventory[[#This Row],[YrBlt]]</f>
        <v>124</v>
      </c>
      <c r="P1401" s="31">
        <f>2024-Inventory[[#This Row],[EffYr]]</f>
        <v>76</v>
      </c>
      <c r="Q1401" s="30">
        <v>1900</v>
      </c>
      <c r="R1401" s="30">
        <v>1948</v>
      </c>
      <c r="S1401" s="30">
        <v>1214</v>
      </c>
      <c r="T1401" s="38">
        <v>418</v>
      </c>
      <c r="U1401" s="32"/>
      <c r="V1401" s="32"/>
      <c r="W1401" s="32"/>
      <c r="X1401" s="32">
        <f>Inventory[[#This Row],[Bsmt Area]]-Inventory[[#This Row],[FnBsmt]]</f>
        <v>0</v>
      </c>
      <c r="Y1401" s="32">
        <f>Inventory[[#This Row],[MainFn]]+Inventory[[#This Row],[UpprFn]]+Inventory[[#This Row],[AddFn]]+Inventory[[#This Row],[FnBsmt]]</f>
        <v>1632</v>
      </c>
      <c r="Z1401" s="32">
        <v>2000</v>
      </c>
      <c r="AA1401" s="31" t="s">
        <v>57</v>
      </c>
      <c r="AB1401" s="37"/>
      <c r="AC1401" s="37"/>
      <c r="AD1401" s="32"/>
      <c r="AE1401" s="32"/>
      <c r="AF1401" s="32"/>
      <c r="AG1401" s="32"/>
      <c r="AH1401" s="32"/>
      <c r="AI1401" s="30">
        <v>227599</v>
      </c>
      <c r="AJ1401" s="30">
        <v>129731</v>
      </c>
      <c r="AK1401" s="30">
        <v>29009</v>
      </c>
      <c r="AL1401" s="30">
        <v>0</v>
      </c>
      <c r="AM1401" s="30">
        <v>77300</v>
      </c>
      <c r="AN1401" s="30">
        <v>233500</v>
      </c>
      <c r="AO1401" s="30">
        <v>310800</v>
      </c>
      <c r="AP1401" s="30">
        <f>Lookups!$B$58*0.6</f>
        <v>132535.48800000001</v>
      </c>
      <c r="AQ1401" s="30">
        <f>Lookups!$B$58*0.4</f>
        <v>88356.992000000013</v>
      </c>
      <c r="AR1401" s="30">
        <f>Lookups!$B$59*Inventory[[#This Row],[LnAcres]]</f>
        <v>-8582.3408686410949</v>
      </c>
      <c r="AS1401" s="30">
        <f>VLOOKUP(Inventory[[#This Row],[Qlty]],Lookups!$A$66:$E$79,2,FALSE)</f>
        <v>-1240.8083630000001</v>
      </c>
      <c r="AT1401" s="30">
        <f>VLOOKUP(Inventory[[#This Row],[Cnd]],Lookups!$A$80:$E$88,2,FALSE)</f>
        <v>30300.329274</v>
      </c>
      <c r="AU1401" s="30">
        <f>Inventory[[#This Row],[EffAge]]*Lookups!$B$65</f>
        <v>-8264.3235999999997</v>
      </c>
      <c r="AV1401" s="30">
        <f>Inventory[[#This Row],[MainFn]]*Lookups!$B$90</f>
        <v>75766.201320000007</v>
      </c>
      <c r="AW1401" s="30">
        <f>Inventory[[#This Row],[UpprFn]]*Lookups!$B$91</f>
        <v>24904.600093999998</v>
      </c>
      <c r="AX1401" s="30">
        <f>Inventory[[#This Row],[Bsmt Area]]*Lookups!$B$95</f>
        <v>0</v>
      </c>
      <c r="AY1401" s="30">
        <f>Inventory[[#This Row],[AttGar]]*Lookups!$B$93</f>
        <v>0</v>
      </c>
      <c r="AZ1401" s="30">
        <f>ROUND(Inventory[[#This Row],[25Det]],-2)</f>
        <v>29000</v>
      </c>
      <c r="BA1401" s="30">
        <f>ROUND(SUM(Inventory[[#This Row],[Mdl Qlty]:[Mdl Garage Area]])+Inventory[[#This Row],[Mdl Res Intercept]],-2)</f>
        <v>254000</v>
      </c>
      <c r="BB1401" s="30">
        <f>ROUND(Inventory[[#This Row],[Mdl Land Intercept]]+Inventory[[#This Row],[Mdl LnAcres]],-2)</f>
        <v>79800</v>
      </c>
      <c r="BC1401" s="30">
        <f>Inventory[[#This Row],[Unadj Res Value]]+Inventory[[#This Row],[Unadj Det Value]]+Inventory[[#This Row],[Unadj Land Value]]</f>
        <v>362800</v>
      </c>
      <c r="BD1401" s="30">
        <f>(Inventory[[#This Row],[Unadj Total Value]]-Inventory[[#This Row],[24Final]])/Inventory[[#This Row],[24Final]]</f>
        <v>0.16731016731016732</v>
      </c>
      <c r="BE1401" s="30">
        <f>VLOOKUP(Inventory[[#This Row],[Nbhd]],Lookups!$M$3:$P$5,4,FALSE)</f>
        <v>0.99970000000000003</v>
      </c>
      <c r="BF1401" s="30">
        <f>VLOOKUP(Inventory[[#This Row],[Qlty]],Lookups!$M$8:$P$22,4,FALSE)</f>
        <v>1.0022</v>
      </c>
      <c r="BG1401" s="30">
        <f>VLOOKUP(Inventory[[#This Row],[Cnd]],Lookups!$R$8:$U$17,4,FALSE)</f>
        <v>0.997</v>
      </c>
      <c r="BH1401" s="30">
        <f>VLOOKUP(Inventory[[#This Row],[LivArea Range]],Lookups!$R$25:$U$43,4,FALSE)</f>
        <v>1.0007999999999999</v>
      </c>
      <c r="BI1401" s="30">
        <f>VLOOKUP(Inventory[[#This Row],[Decade]],Lookups!$M$24:$P$40,4,FALSE)</f>
        <v>0.96709999999999996</v>
      </c>
      <c r="BJ1401" s="30">
        <f>Inventory[[#This Row],[Nbhd Adj]]*0.95</f>
        <v>0.94971499999999998</v>
      </c>
      <c r="BK1401" s="30">
        <f>AVERAGE(Inventory[[#This Row],[Nbhd Adj]],Inventory[[#This Row],[Quality Adj]],Inventory[[#This Row],[Condition Adj]],Inventory[[#This Row],[Living Area Adj]],Inventory[[#This Row],[Decade Adj]])*0.95</f>
        <v>0.94369199999999998</v>
      </c>
      <c r="BL1401" s="30">
        <f>ROUND((SUM(Inventory[[#This Row],[Mdl Qlty]:[Mdl Garage Area]])+Inventory[[#This Row],[Mdl Res Intercept]])*Inventory[[#This Row],[Res Adj ]],-2)</f>
        <v>239700</v>
      </c>
      <c r="BM1401" s="30">
        <f>ROUND(Inventory[[#This Row],[25Det]]*Inventory[[#This Row],[Det/Nbhd Adj]],-2)</f>
        <v>27600</v>
      </c>
      <c r="BN1401" s="30">
        <f>Inventory[[#This Row],[Adjusted Res]]+Inventory[[#This Row],[Adj Det ]]</f>
        <v>267300</v>
      </c>
      <c r="BO1401" s="30">
        <f>ROUND((Inventory[[#This Row],[Mdl Land Intercept]]+Inventory[[#This Row],[Mdl LnAcres]])*Inventory[[#This Row],[Det/Nbhd Adj]],-2)</f>
        <v>75800</v>
      </c>
      <c r="BP1401" s="30">
        <f>Inventory[[#This Row],[Adjusted Impr Total]]+Inventory[[#This Row],[Adjusted Land Total]]</f>
        <v>343100</v>
      </c>
      <c r="BQ1401" s="30">
        <f>IFERROR((Inventory[[#This Row],[Adjusted Impr Total]]-Inventory[[#This Row],[24Bldg]])/Inventory[[#This Row],[24Bldg]],0)</f>
        <v>0.14475374732334048</v>
      </c>
      <c r="BR1401" s="43">
        <f>(Inventory[[#This Row],[Adjusted Land Total]]-Inventory[[#This Row],[24Lnd]])/Inventory[[#This Row],[24Lnd]]</f>
        <v>-1.9404915912031046E-2</v>
      </c>
      <c r="BS1401" s="43">
        <f>(Inventory[[#This Row],[Adjusted Total]]-Inventory[[#This Row],[24Final]])/Inventory[[#This Row],[24Final]]</f>
        <v>0.10392535392535393</v>
      </c>
    </row>
    <row r="1402" spans="1:71">
      <c r="A1402" s="30">
        <v>2025</v>
      </c>
      <c r="B1402" s="31" t="s">
        <v>1921</v>
      </c>
      <c r="C1402" s="36">
        <f>LN(Inventory[[#This Row],[Acres]])</f>
        <v>1.980262729617973E-2</v>
      </c>
      <c r="D1402" s="38">
        <v>1.02</v>
      </c>
      <c r="E1402" s="30">
        <v>44549</v>
      </c>
      <c r="F1402" s="31" t="s">
        <v>505</v>
      </c>
      <c r="G1402" s="31" t="s">
        <v>155</v>
      </c>
      <c r="H1402" s="31" t="s">
        <v>5</v>
      </c>
      <c r="I1402" s="31" t="s">
        <v>506</v>
      </c>
      <c r="J1402" s="31" t="s">
        <v>507</v>
      </c>
      <c r="K1402" s="31" t="s">
        <v>157</v>
      </c>
      <c r="L1402" s="31" t="s">
        <v>17</v>
      </c>
      <c r="M1402" s="31" t="s">
        <v>20</v>
      </c>
      <c r="N1402" s="31">
        <v>120</v>
      </c>
      <c r="O1402" s="31">
        <f>2024-Inventory[[#This Row],[YrBlt]]</f>
        <v>124</v>
      </c>
      <c r="P1402" s="31">
        <f>2024-Inventory[[#This Row],[EffYr]]</f>
        <v>76</v>
      </c>
      <c r="Q1402" s="30">
        <v>1900</v>
      </c>
      <c r="R1402" s="30">
        <v>1948</v>
      </c>
      <c r="S1402" s="30">
        <v>1440</v>
      </c>
      <c r="T1402" s="38">
        <v>560</v>
      </c>
      <c r="U1402" s="38">
        <v>180</v>
      </c>
      <c r="V1402" s="32"/>
      <c r="W1402" s="32"/>
      <c r="X1402" s="32">
        <f>Inventory[[#This Row],[Bsmt Area]]-Inventory[[#This Row],[FnBsmt]]</f>
        <v>180</v>
      </c>
      <c r="Y1402" s="32">
        <f>Inventory[[#This Row],[MainFn]]+Inventory[[#This Row],[UpprFn]]+Inventory[[#This Row],[AddFn]]+Inventory[[#This Row],[FnBsmt]]</f>
        <v>2000</v>
      </c>
      <c r="Z1402" s="32">
        <v>2500</v>
      </c>
      <c r="AA1402" s="31" t="s">
        <v>56</v>
      </c>
      <c r="AB1402" s="32"/>
      <c r="AC1402" s="37"/>
      <c r="AD1402" s="32"/>
      <c r="AE1402" s="32"/>
      <c r="AF1402" s="32"/>
      <c r="AG1402" s="32"/>
      <c r="AH1402" s="32"/>
      <c r="AI1402" s="30">
        <v>332373</v>
      </c>
      <c r="AJ1402" s="30">
        <v>189453</v>
      </c>
      <c r="AK1402" s="30">
        <v>10703</v>
      </c>
      <c r="AL1402" s="30">
        <v>0</v>
      </c>
      <c r="AM1402" s="30">
        <v>86800</v>
      </c>
      <c r="AN1402" s="30">
        <v>239100</v>
      </c>
      <c r="AO1402" s="30">
        <v>325900</v>
      </c>
      <c r="AP1402" s="30">
        <f>Lookups!$B$58*0.6</f>
        <v>132535.48800000001</v>
      </c>
      <c r="AQ1402" s="30">
        <f>Lookups!$B$58*0.4</f>
        <v>88356.992000000013</v>
      </c>
      <c r="AR1402" s="30">
        <f>Lookups!$B$59*Inventory[[#This Row],[LnAcres]]</f>
        <v>259.89603727842484</v>
      </c>
      <c r="AS1402" s="30">
        <f>VLOOKUP(Inventory[[#This Row],[Qlty]],Lookups!$A$66:$E$79,2,FALSE)</f>
        <v>24371.765965999999</v>
      </c>
      <c r="AT1402" s="30">
        <f>VLOOKUP(Inventory[[#This Row],[Cnd]],Lookups!$A$80:$E$88,2,FALSE)</f>
        <v>30300.329274</v>
      </c>
      <c r="AU1402" s="30">
        <f>Inventory[[#This Row],[EffAge]]*Lookups!$B$65</f>
        <v>-8264.3235999999997</v>
      </c>
      <c r="AV1402" s="30">
        <f>Inventory[[#This Row],[MainFn]]*Lookups!$B$90</f>
        <v>89870.94720000001</v>
      </c>
      <c r="AW1402" s="30">
        <f>Inventory[[#This Row],[UpprFn]]*Lookups!$B$91</f>
        <v>33365.014479999998</v>
      </c>
      <c r="AX1402" s="30">
        <f>Inventory[[#This Row],[Bsmt Area]]*Lookups!$B$95</f>
        <v>11265.56928</v>
      </c>
      <c r="AY1402" s="30">
        <f>Inventory[[#This Row],[AttGar]]*Lookups!$B$93</f>
        <v>0</v>
      </c>
      <c r="AZ1402" s="30">
        <f>ROUND(Inventory[[#This Row],[25Det]],-2)</f>
        <v>10700</v>
      </c>
      <c r="BA1402" s="30">
        <f>ROUND(SUM(Inventory[[#This Row],[Mdl Qlty]:[Mdl Garage Area]])+Inventory[[#This Row],[Mdl Res Intercept]],-2)</f>
        <v>313400</v>
      </c>
      <c r="BB1402" s="30">
        <f>ROUND(Inventory[[#This Row],[Mdl Land Intercept]]+Inventory[[#This Row],[Mdl LnAcres]],-2)</f>
        <v>88600</v>
      </c>
      <c r="BC1402" s="30">
        <f>Inventory[[#This Row],[Unadj Res Value]]+Inventory[[#This Row],[Unadj Det Value]]+Inventory[[#This Row],[Unadj Land Value]]</f>
        <v>412700</v>
      </c>
      <c r="BD1402" s="30">
        <f>(Inventory[[#This Row],[Unadj Total Value]]-Inventory[[#This Row],[24Final]])/Inventory[[#This Row],[24Final]]</f>
        <v>0.2663393679042651</v>
      </c>
      <c r="BE1402" s="30">
        <f>VLOOKUP(Inventory[[#This Row],[Nbhd]],Lookups!$M$3:$P$5,4,FALSE)</f>
        <v>0.99970000000000003</v>
      </c>
      <c r="BF1402" s="30">
        <f>VLOOKUP(Inventory[[#This Row],[Qlty]],Lookups!$M$8:$P$22,4,FALSE)</f>
        <v>0.99199999999999999</v>
      </c>
      <c r="BG1402" s="30">
        <f>VLOOKUP(Inventory[[#This Row],[Cnd]],Lookups!$R$8:$U$17,4,FALSE)</f>
        <v>0.997</v>
      </c>
      <c r="BH1402" s="30">
        <f>VLOOKUP(Inventory[[#This Row],[LivArea Range]],Lookups!$R$25:$U$43,4,FALSE)</f>
        <v>1.0008999999999999</v>
      </c>
      <c r="BI1402" s="30">
        <f>VLOOKUP(Inventory[[#This Row],[Decade]],Lookups!$M$24:$P$40,4,FALSE)</f>
        <v>0.96709999999999996</v>
      </c>
      <c r="BJ1402" s="30">
        <f>Inventory[[#This Row],[Nbhd Adj]]*0.95</f>
        <v>0.94971499999999998</v>
      </c>
      <c r="BK1402" s="30">
        <f>AVERAGE(Inventory[[#This Row],[Nbhd Adj]],Inventory[[#This Row],[Quality Adj]],Inventory[[#This Row],[Condition Adj]],Inventory[[#This Row],[Living Area Adj]],Inventory[[#This Row],[Decade Adj]])*0.95</f>
        <v>0.94177300000000008</v>
      </c>
      <c r="BL1402" s="30">
        <f>ROUND((SUM(Inventory[[#This Row],[Mdl Qlty]:[Mdl Garage Area]])+Inventory[[#This Row],[Mdl Res Intercept]])*Inventory[[#This Row],[Res Adj ]],-2)</f>
        <v>295200</v>
      </c>
      <c r="BM1402" s="30">
        <f>ROUND(Inventory[[#This Row],[25Det]]*Inventory[[#This Row],[Det/Nbhd Adj]],-2)</f>
        <v>10200</v>
      </c>
      <c r="BN1402" s="30">
        <f>Inventory[[#This Row],[Adjusted Res]]+Inventory[[#This Row],[Adj Det ]]</f>
        <v>305400</v>
      </c>
      <c r="BO1402" s="30">
        <f>ROUND((Inventory[[#This Row],[Mdl Land Intercept]]+Inventory[[#This Row],[Mdl LnAcres]])*Inventory[[#This Row],[Det/Nbhd Adj]],-2)</f>
        <v>84200</v>
      </c>
      <c r="BP1402" s="30">
        <f>Inventory[[#This Row],[Adjusted Impr Total]]+Inventory[[#This Row],[Adjusted Land Total]]</f>
        <v>389600</v>
      </c>
      <c r="BQ1402" s="30">
        <f>IFERROR((Inventory[[#This Row],[Adjusted Impr Total]]-Inventory[[#This Row],[24Bldg]])/Inventory[[#This Row],[24Bldg]],0)</f>
        <v>0.27728983688833125</v>
      </c>
      <c r="BR1402" s="43">
        <f>(Inventory[[#This Row],[Adjusted Land Total]]-Inventory[[#This Row],[24Lnd]])/Inventory[[#This Row],[24Lnd]]</f>
        <v>-2.9953917050691243E-2</v>
      </c>
      <c r="BS1402" s="43">
        <f>(Inventory[[#This Row],[Adjusted Total]]-Inventory[[#This Row],[24Final]])/Inventory[[#This Row],[24Final]]</f>
        <v>0.19545872967167843</v>
      </c>
    </row>
    <row r="1403" spans="1:71">
      <c r="A1403" s="30">
        <v>2025</v>
      </c>
      <c r="B1403" s="31" t="s">
        <v>1922</v>
      </c>
      <c r="C1403" s="36">
        <f>LN(Inventory[[#This Row],[Acres]])</f>
        <v>0.24686007793152581</v>
      </c>
      <c r="D1403" s="38">
        <v>1.28</v>
      </c>
      <c r="E1403" s="30">
        <v>55597</v>
      </c>
      <c r="F1403" s="31" t="s">
        <v>505</v>
      </c>
      <c r="G1403" s="31" t="s">
        <v>155</v>
      </c>
      <c r="H1403" s="31" t="s">
        <v>5</v>
      </c>
      <c r="I1403" s="31" t="s">
        <v>506</v>
      </c>
      <c r="J1403" s="31" t="s">
        <v>507</v>
      </c>
      <c r="K1403" s="31" t="s">
        <v>485</v>
      </c>
      <c r="L1403" s="31" t="s">
        <v>19</v>
      </c>
      <c r="M1403" s="31" t="s">
        <v>18</v>
      </c>
      <c r="N1403" s="31">
        <v>120</v>
      </c>
      <c r="O1403" s="31">
        <f>2024-Inventory[[#This Row],[YrBlt]]</f>
        <v>124</v>
      </c>
      <c r="P1403" s="31">
        <f>2024-Inventory[[#This Row],[EffYr]]</f>
        <v>50</v>
      </c>
      <c r="Q1403" s="30">
        <v>1900</v>
      </c>
      <c r="R1403" s="30">
        <v>1974</v>
      </c>
      <c r="S1403" s="30">
        <v>1137</v>
      </c>
      <c r="T1403" s="30">
        <v>932</v>
      </c>
      <c r="U1403" s="32"/>
      <c r="V1403" s="32"/>
      <c r="W1403" s="32"/>
      <c r="X1403" s="32">
        <f>Inventory[[#This Row],[Bsmt Area]]-Inventory[[#This Row],[FnBsmt]]</f>
        <v>0</v>
      </c>
      <c r="Y1403" s="32">
        <f>Inventory[[#This Row],[MainFn]]+Inventory[[#This Row],[UpprFn]]+Inventory[[#This Row],[AddFn]]+Inventory[[#This Row],[FnBsmt]]</f>
        <v>2069</v>
      </c>
      <c r="Z1403" s="32">
        <v>2500</v>
      </c>
      <c r="AA1403" s="31" t="s">
        <v>56</v>
      </c>
      <c r="AB1403" s="32"/>
      <c r="AC1403" s="32"/>
      <c r="AD1403" s="37"/>
      <c r="AE1403" s="32"/>
      <c r="AF1403" s="32"/>
      <c r="AG1403" s="32"/>
      <c r="AH1403" s="32"/>
      <c r="AI1403" s="30">
        <v>389501</v>
      </c>
      <c r="AJ1403" s="30">
        <v>272651</v>
      </c>
      <c r="AK1403" s="30">
        <v>53757</v>
      </c>
      <c r="AL1403" s="30">
        <v>0</v>
      </c>
      <c r="AM1403" s="30">
        <v>90000</v>
      </c>
      <c r="AN1403" s="30">
        <v>314400</v>
      </c>
      <c r="AO1403" s="30">
        <v>404400</v>
      </c>
      <c r="AP1403" s="30">
        <f>Lookups!$B$58*0.6</f>
        <v>132535.48800000001</v>
      </c>
      <c r="AQ1403" s="30">
        <f>Lookups!$B$58*0.4</f>
        <v>88356.992000000013</v>
      </c>
      <c r="AR1403" s="30">
        <f>Lookups!$B$59*Inventory[[#This Row],[LnAcres]]</f>
        <v>3239.870904858361</v>
      </c>
      <c r="AS1403" s="30">
        <f>VLOOKUP(Inventory[[#This Row],[Qlty]],Lookups!$A$66:$E$79,2,FALSE)</f>
        <v>37154.252388000001</v>
      </c>
      <c r="AT1403" s="30">
        <f>VLOOKUP(Inventory[[#This Row],[Cnd]],Lookups!$A$80:$E$88,2,FALSE)</f>
        <v>17761.121909000001</v>
      </c>
      <c r="AU1403" s="30">
        <f>Inventory[[#This Row],[EffAge]]*Lookups!$B$65</f>
        <v>-5437.0550000000003</v>
      </c>
      <c r="AV1403" s="30">
        <f>Inventory[[#This Row],[MainFn]]*Lookups!$B$90</f>
        <v>70960.602060000005</v>
      </c>
      <c r="AW1403" s="30">
        <f>Inventory[[#This Row],[UpprFn]]*Lookups!$B$91</f>
        <v>55528.916956000001</v>
      </c>
      <c r="AX1403" s="30">
        <f>Inventory[[#This Row],[Bsmt Area]]*Lookups!$B$95</f>
        <v>0</v>
      </c>
      <c r="AY1403" s="30">
        <f>Inventory[[#This Row],[AttGar]]*Lookups!$B$93</f>
        <v>0</v>
      </c>
      <c r="AZ1403" s="30">
        <f>ROUND(Inventory[[#This Row],[25Det]],-2)</f>
        <v>53800</v>
      </c>
      <c r="BA1403" s="30">
        <f>ROUND(SUM(Inventory[[#This Row],[Mdl Qlty]:[Mdl Garage Area]])+Inventory[[#This Row],[Mdl Res Intercept]],-2)</f>
        <v>308500</v>
      </c>
      <c r="BB1403" s="30">
        <f>ROUND(Inventory[[#This Row],[Mdl Land Intercept]]+Inventory[[#This Row],[Mdl LnAcres]],-2)</f>
        <v>91600</v>
      </c>
      <c r="BC1403" s="30">
        <f>Inventory[[#This Row],[Unadj Res Value]]+Inventory[[#This Row],[Unadj Det Value]]+Inventory[[#This Row],[Unadj Land Value]]</f>
        <v>453900</v>
      </c>
      <c r="BD1403" s="30">
        <f>(Inventory[[#This Row],[Unadj Total Value]]-Inventory[[#This Row],[24Final]])/Inventory[[#This Row],[24Final]]</f>
        <v>0.12240356083086053</v>
      </c>
      <c r="BE1403" s="30">
        <f>VLOOKUP(Inventory[[#This Row],[Nbhd]],Lookups!$M$3:$P$5,4,FALSE)</f>
        <v>0.99970000000000003</v>
      </c>
      <c r="BF1403" s="30">
        <f>VLOOKUP(Inventory[[#This Row],[Qlty]],Lookups!$M$8:$P$22,4,FALSE)</f>
        <v>0.99819999999999998</v>
      </c>
      <c r="BG1403" s="30">
        <f>VLOOKUP(Inventory[[#This Row],[Cnd]],Lookups!$R$8:$U$17,4,FALSE)</f>
        <v>0.99680000000000002</v>
      </c>
      <c r="BH1403" s="30">
        <f>VLOOKUP(Inventory[[#This Row],[LivArea Range]],Lookups!$R$25:$U$43,4,FALSE)</f>
        <v>1.0008999999999999</v>
      </c>
      <c r="BI1403" s="30">
        <f>VLOOKUP(Inventory[[#This Row],[Decade]],Lookups!$M$24:$P$40,4,FALSE)</f>
        <v>0.96709999999999996</v>
      </c>
      <c r="BJ1403" s="30">
        <f>Inventory[[#This Row],[Nbhd Adj]]*0.95</f>
        <v>0.94971499999999998</v>
      </c>
      <c r="BK1403" s="30">
        <f>AVERAGE(Inventory[[#This Row],[Nbhd Adj]],Inventory[[#This Row],[Quality Adj]],Inventory[[#This Row],[Condition Adj]],Inventory[[#This Row],[Living Area Adj]],Inventory[[#This Row],[Decade Adj]])*0.95</f>
        <v>0.94291299999999989</v>
      </c>
      <c r="BL1403" s="30">
        <f>ROUND((SUM(Inventory[[#This Row],[Mdl Qlty]:[Mdl Garage Area]])+Inventory[[#This Row],[Mdl Res Intercept]])*Inventory[[#This Row],[Res Adj ]],-2)</f>
        <v>290900</v>
      </c>
      <c r="BM1403" s="30">
        <f>ROUND(Inventory[[#This Row],[25Det]]*Inventory[[#This Row],[Det/Nbhd Adj]],-2)</f>
        <v>51100</v>
      </c>
      <c r="BN1403" s="30">
        <f>Inventory[[#This Row],[Adjusted Res]]+Inventory[[#This Row],[Adj Det ]]</f>
        <v>342000</v>
      </c>
      <c r="BO1403" s="30">
        <f>ROUND((Inventory[[#This Row],[Mdl Land Intercept]]+Inventory[[#This Row],[Mdl LnAcres]])*Inventory[[#This Row],[Det/Nbhd Adj]],-2)</f>
        <v>87000</v>
      </c>
      <c r="BP1403" s="30">
        <f>Inventory[[#This Row],[Adjusted Impr Total]]+Inventory[[#This Row],[Adjusted Land Total]]</f>
        <v>429000</v>
      </c>
      <c r="BQ1403" s="30">
        <f>IFERROR((Inventory[[#This Row],[Adjusted Impr Total]]-Inventory[[#This Row],[24Bldg]])/Inventory[[#This Row],[24Bldg]],0)</f>
        <v>8.7786259541984726E-2</v>
      </c>
      <c r="BR1403" s="43">
        <f>(Inventory[[#This Row],[Adjusted Land Total]]-Inventory[[#This Row],[24Lnd]])/Inventory[[#This Row],[24Lnd]]</f>
        <v>-3.3333333333333333E-2</v>
      </c>
      <c r="BS1403" s="43">
        <f>(Inventory[[#This Row],[Adjusted Total]]-Inventory[[#This Row],[24Final]])/Inventory[[#This Row],[24Final]]</f>
        <v>6.0830860534124627E-2</v>
      </c>
    </row>
    <row r="1404" spans="1:71">
      <c r="A1404" s="30">
        <v>2025</v>
      </c>
      <c r="B1404" s="31" t="s">
        <v>1923</v>
      </c>
      <c r="C1404" s="36">
        <f>LN(Inventory[[#This Row],[Acres]])</f>
        <v>0.89199803930511046</v>
      </c>
      <c r="D1404" s="38">
        <v>2.44</v>
      </c>
      <c r="E1404" s="37"/>
      <c r="F1404" s="31" t="s">
        <v>505</v>
      </c>
      <c r="G1404" s="31" t="s">
        <v>155</v>
      </c>
      <c r="H1404" s="31" t="s">
        <v>5</v>
      </c>
      <c r="I1404" s="31" t="s">
        <v>506</v>
      </c>
      <c r="J1404" s="31" t="s">
        <v>507</v>
      </c>
      <c r="K1404" s="31" t="s">
        <v>157</v>
      </c>
      <c r="L1404" s="31" t="s">
        <v>15</v>
      </c>
      <c r="M1404" s="31" t="s">
        <v>18</v>
      </c>
      <c r="N1404" s="31">
        <v>140</v>
      </c>
      <c r="O1404" s="31">
        <f>2024-Inventory[[#This Row],[YrBlt]]</f>
        <v>144</v>
      </c>
      <c r="P1404" s="31">
        <f>2024-Inventory[[#This Row],[EffYr]]</f>
        <v>89</v>
      </c>
      <c r="Q1404" s="30">
        <v>1880</v>
      </c>
      <c r="R1404" s="30">
        <v>1935</v>
      </c>
      <c r="S1404" s="30">
        <v>740</v>
      </c>
      <c r="T1404" s="30">
        <v>384</v>
      </c>
      <c r="U1404" s="32"/>
      <c r="V1404" s="32"/>
      <c r="W1404" s="32"/>
      <c r="X1404" s="32">
        <f>Inventory[[#This Row],[Bsmt Area]]-Inventory[[#This Row],[FnBsmt]]</f>
        <v>0</v>
      </c>
      <c r="Y1404" s="32">
        <f>Inventory[[#This Row],[MainFn]]+Inventory[[#This Row],[UpprFn]]+Inventory[[#This Row],[AddFn]]+Inventory[[#This Row],[FnBsmt]]</f>
        <v>1124</v>
      </c>
      <c r="Z1404" s="32">
        <v>1500</v>
      </c>
      <c r="AA1404" s="31" t="s">
        <v>56</v>
      </c>
      <c r="AB1404" s="32"/>
      <c r="AC1404" s="32"/>
      <c r="AD1404" s="37"/>
      <c r="AE1404" s="32"/>
      <c r="AF1404" s="32"/>
      <c r="AG1404" s="32"/>
      <c r="AH1404" s="32"/>
      <c r="AI1404" s="30">
        <v>159800</v>
      </c>
      <c r="AJ1404" s="30">
        <v>87890</v>
      </c>
      <c r="AK1404" s="30">
        <v>2577</v>
      </c>
      <c r="AL1404" s="30">
        <v>0</v>
      </c>
      <c r="AM1404" s="30">
        <v>99000</v>
      </c>
      <c r="AN1404" s="30">
        <v>155900</v>
      </c>
      <c r="AO1404" s="30">
        <v>254900</v>
      </c>
      <c r="AP1404" s="30">
        <f>Lookups!$B$58*0.6</f>
        <v>132535.48800000001</v>
      </c>
      <c r="AQ1404" s="30">
        <f>Lookups!$B$58*0.4</f>
        <v>88356.992000000013</v>
      </c>
      <c r="AR1404" s="30">
        <f>Lookups!$B$59*Inventory[[#This Row],[LnAcres]]</f>
        <v>11706.868599210886</v>
      </c>
      <c r="AS1404" s="30">
        <f>VLOOKUP(Inventory[[#This Row],[Qlty]],Lookups!$A$66:$E$79,2,FALSE)</f>
        <v>-1240.8083630000001</v>
      </c>
      <c r="AT1404" s="30">
        <f>VLOOKUP(Inventory[[#This Row],[Cnd]],Lookups!$A$80:$E$88,2,FALSE)</f>
        <v>17761.121909000001</v>
      </c>
      <c r="AU1404" s="30">
        <f>Inventory[[#This Row],[EffAge]]*Lookups!$B$65</f>
        <v>-9677.9578999999994</v>
      </c>
      <c r="AV1404" s="30">
        <f>Inventory[[#This Row],[MainFn]]*Lookups!$B$90</f>
        <v>46183.681199999999</v>
      </c>
      <c r="AW1404" s="30">
        <f>Inventory[[#This Row],[UpprFn]]*Lookups!$B$91</f>
        <v>22878.867072000001</v>
      </c>
      <c r="AX1404" s="30">
        <f>Inventory[[#This Row],[Bsmt Area]]*Lookups!$B$95</f>
        <v>0</v>
      </c>
      <c r="AY1404" s="30">
        <f>Inventory[[#This Row],[AttGar]]*Lookups!$B$93</f>
        <v>0</v>
      </c>
      <c r="AZ1404" s="30">
        <f>ROUND(Inventory[[#This Row],[25Det]],-2)</f>
        <v>2600</v>
      </c>
      <c r="BA1404" s="30">
        <f>ROUND(SUM(Inventory[[#This Row],[Mdl Qlty]:[Mdl Garage Area]])+Inventory[[#This Row],[Mdl Res Intercept]],-2)</f>
        <v>208400</v>
      </c>
      <c r="BB1404" s="30">
        <f>ROUND(Inventory[[#This Row],[Mdl Land Intercept]]+Inventory[[#This Row],[Mdl LnAcres]],-2)</f>
        <v>100100</v>
      </c>
      <c r="BC1404" s="30">
        <f>Inventory[[#This Row],[Unadj Res Value]]+Inventory[[#This Row],[Unadj Det Value]]+Inventory[[#This Row],[Unadj Land Value]]</f>
        <v>311100</v>
      </c>
      <c r="BD1404" s="30">
        <f>(Inventory[[#This Row],[Unadj Total Value]]-Inventory[[#This Row],[24Final]])/Inventory[[#This Row],[24Final]]</f>
        <v>0.22047861906630051</v>
      </c>
      <c r="BE1404" s="30">
        <f>VLOOKUP(Inventory[[#This Row],[Nbhd]],Lookups!$M$3:$P$5,4,FALSE)</f>
        <v>0.99970000000000003</v>
      </c>
      <c r="BF1404" s="30">
        <f>VLOOKUP(Inventory[[#This Row],[Qlty]],Lookups!$M$8:$P$22,4,FALSE)</f>
        <v>1.0022</v>
      </c>
      <c r="BG1404" s="30">
        <f>VLOOKUP(Inventory[[#This Row],[Cnd]],Lookups!$R$8:$U$17,4,FALSE)</f>
        <v>0.99680000000000002</v>
      </c>
      <c r="BH1404" s="30">
        <f>VLOOKUP(Inventory[[#This Row],[LivArea Range]],Lookups!$R$25:$U$43,4,FALSE)</f>
        <v>0.99519999999999997</v>
      </c>
      <c r="BI1404" s="30">
        <f>VLOOKUP(Inventory[[#This Row],[Decade]],Lookups!$M$24:$P$40,4,FALSE)</f>
        <v>1</v>
      </c>
      <c r="BJ1404" s="30">
        <f>Inventory[[#This Row],[Nbhd Adj]]*0.95</f>
        <v>0.94971499999999998</v>
      </c>
      <c r="BK1404" s="30">
        <f>AVERAGE(Inventory[[#This Row],[Nbhd Adj]],Inventory[[#This Row],[Quality Adj]],Inventory[[#This Row],[Condition Adj]],Inventory[[#This Row],[Living Area Adj]],Inventory[[#This Row],[Decade Adj]])*0.95</f>
        <v>0.94884099999999993</v>
      </c>
      <c r="BL1404" s="30">
        <f>ROUND((SUM(Inventory[[#This Row],[Mdl Qlty]:[Mdl Garage Area]])+Inventory[[#This Row],[Mdl Res Intercept]])*Inventory[[#This Row],[Res Adj ]],-2)</f>
        <v>197800</v>
      </c>
      <c r="BM1404" s="30">
        <f>ROUND(Inventory[[#This Row],[25Det]]*Inventory[[#This Row],[Det/Nbhd Adj]],-2)</f>
        <v>2400</v>
      </c>
      <c r="BN1404" s="30">
        <f>Inventory[[#This Row],[Adjusted Res]]+Inventory[[#This Row],[Adj Det ]]</f>
        <v>200200</v>
      </c>
      <c r="BO1404" s="30">
        <f>ROUND((Inventory[[#This Row],[Mdl Land Intercept]]+Inventory[[#This Row],[Mdl LnAcres]])*Inventory[[#This Row],[Det/Nbhd Adj]],-2)</f>
        <v>95000</v>
      </c>
      <c r="BP1404" s="30">
        <f>Inventory[[#This Row],[Adjusted Impr Total]]+Inventory[[#This Row],[Adjusted Land Total]]</f>
        <v>295200</v>
      </c>
      <c r="BQ1404" s="30">
        <f>IFERROR((Inventory[[#This Row],[Adjusted Impr Total]]-Inventory[[#This Row],[24Bldg]])/Inventory[[#This Row],[24Bldg]],0)</f>
        <v>0.2841565105837075</v>
      </c>
      <c r="BR1404" s="43">
        <f>(Inventory[[#This Row],[Adjusted Land Total]]-Inventory[[#This Row],[24Lnd]])/Inventory[[#This Row],[24Lnd]]</f>
        <v>-4.0404040404040407E-2</v>
      </c>
      <c r="BS1404" s="43">
        <f>(Inventory[[#This Row],[Adjusted Total]]-Inventory[[#This Row],[24Final]])/Inventory[[#This Row],[24Final]]</f>
        <v>0.15810121616320125</v>
      </c>
    </row>
  </sheetData>
  <conditionalFormatting sqref="B2:B1404">
    <cfRule type="duplicateValues" dxfId="69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7B6D2-2780-46D6-8A51-C1388145FFEB}">
  <sheetPr codeName="Sheet5"/>
  <dimension ref="A1:BS23"/>
  <sheetViews>
    <sheetView topLeftCell="AY1" workbookViewId="0">
      <selection activeCell="BH70" sqref="BH70"/>
    </sheetView>
  </sheetViews>
  <sheetFormatPr defaultRowHeight="14.45" customHeight="1"/>
  <cols>
    <col min="2" max="2" width="12" bestFit="1" customWidth="1"/>
  </cols>
  <sheetData>
    <row r="1" spans="1:71" ht="57.6">
      <c r="A1" s="33" t="s">
        <v>62</v>
      </c>
      <c r="B1" s="33" t="s">
        <v>63</v>
      </c>
      <c r="C1" s="33" t="s">
        <v>41</v>
      </c>
      <c r="D1" s="33" t="s">
        <v>64</v>
      </c>
      <c r="E1" s="33" t="s">
        <v>65</v>
      </c>
      <c r="F1" s="33" t="s">
        <v>66</v>
      </c>
      <c r="G1" s="33" t="s">
        <v>67</v>
      </c>
      <c r="H1" s="33" t="s">
        <v>68</v>
      </c>
      <c r="I1" s="33" t="s">
        <v>71</v>
      </c>
      <c r="J1" s="33" t="s">
        <v>72</v>
      </c>
      <c r="K1" s="33" t="s">
        <v>73</v>
      </c>
      <c r="L1" s="33" t="s">
        <v>74</v>
      </c>
      <c r="M1" s="33" t="s">
        <v>75</v>
      </c>
      <c r="N1" s="33" t="s">
        <v>30</v>
      </c>
      <c r="O1" s="33" t="s">
        <v>493</v>
      </c>
      <c r="P1" s="33" t="s">
        <v>46</v>
      </c>
      <c r="Q1" s="33" t="s">
        <v>76</v>
      </c>
      <c r="R1" s="33" t="s">
        <v>77</v>
      </c>
      <c r="S1" s="33" t="s">
        <v>48</v>
      </c>
      <c r="T1" s="33" t="s">
        <v>49</v>
      </c>
      <c r="U1" s="33" t="s">
        <v>494</v>
      </c>
      <c r="V1" s="33" t="s">
        <v>80</v>
      </c>
      <c r="W1" s="33" t="s">
        <v>82</v>
      </c>
      <c r="X1" s="33" t="s">
        <v>495</v>
      </c>
      <c r="Y1" s="33" t="s">
        <v>496</v>
      </c>
      <c r="Z1" s="33" t="s">
        <v>84</v>
      </c>
      <c r="AA1" s="33" t="s">
        <v>497</v>
      </c>
      <c r="AB1" s="33" t="s">
        <v>498</v>
      </c>
      <c r="AC1" s="33" t="s">
        <v>51</v>
      </c>
      <c r="AD1" s="33" t="s">
        <v>52</v>
      </c>
      <c r="AE1" s="33" t="s">
        <v>499</v>
      </c>
      <c r="AF1" s="33" t="s">
        <v>500</v>
      </c>
      <c r="AG1" s="33" t="s">
        <v>100</v>
      </c>
      <c r="AH1" s="33" t="s">
        <v>501</v>
      </c>
      <c r="AI1" s="33" t="s">
        <v>101</v>
      </c>
      <c r="AJ1" s="33" t="s">
        <v>102</v>
      </c>
      <c r="AK1" s="33" t="s">
        <v>115</v>
      </c>
      <c r="AL1" s="33" t="s">
        <v>502</v>
      </c>
      <c r="AM1" s="33" t="s">
        <v>113</v>
      </c>
      <c r="AN1" s="33" t="s">
        <v>114</v>
      </c>
      <c r="AO1" s="33" t="s">
        <v>112</v>
      </c>
      <c r="AP1" s="33" t="s">
        <v>119</v>
      </c>
      <c r="AQ1" s="33" t="s">
        <v>120</v>
      </c>
      <c r="AR1" s="33" t="s">
        <v>121</v>
      </c>
      <c r="AS1" s="33" t="s">
        <v>122</v>
      </c>
      <c r="AT1" s="33" t="s">
        <v>123</v>
      </c>
      <c r="AU1" s="33" t="s">
        <v>124</v>
      </c>
      <c r="AV1" s="33" t="s">
        <v>125</v>
      </c>
      <c r="AW1" s="33" t="s">
        <v>126</v>
      </c>
      <c r="AX1" s="33" t="s">
        <v>127</v>
      </c>
      <c r="AY1" s="33" t="s">
        <v>503</v>
      </c>
      <c r="AZ1" s="33" t="s">
        <v>133</v>
      </c>
      <c r="BA1" s="33" t="s">
        <v>134</v>
      </c>
      <c r="BB1" s="33" t="s">
        <v>135</v>
      </c>
      <c r="BC1" s="33" t="s">
        <v>136</v>
      </c>
      <c r="BD1" s="33" t="s">
        <v>138</v>
      </c>
      <c r="BE1" s="33" t="s">
        <v>139</v>
      </c>
      <c r="BF1" s="33" t="s">
        <v>140</v>
      </c>
      <c r="BG1" s="33" t="s">
        <v>141</v>
      </c>
      <c r="BH1" s="33" t="s">
        <v>142</v>
      </c>
      <c r="BI1" s="33" t="s">
        <v>143</v>
      </c>
      <c r="BJ1" s="33" t="s">
        <v>144</v>
      </c>
      <c r="BK1" s="33" t="s">
        <v>145</v>
      </c>
      <c r="BL1" s="33" t="s">
        <v>146</v>
      </c>
      <c r="BM1" s="33" t="s">
        <v>147</v>
      </c>
      <c r="BN1" s="33" t="s">
        <v>148</v>
      </c>
      <c r="BO1" s="33" t="s">
        <v>149</v>
      </c>
      <c r="BP1" s="33" t="s">
        <v>150</v>
      </c>
      <c r="BQ1" s="33" t="s">
        <v>151</v>
      </c>
      <c r="BR1" s="41" t="s">
        <v>152</v>
      </c>
      <c r="BS1" s="41" t="s">
        <v>153</v>
      </c>
    </row>
    <row r="2" spans="1:71">
      <c r="A2" s="30">
        <v>2025</v>
      </c>
      <c r="B2" s="31" t="s">
        <v>1924</v>
      </c>
      <c r="C2" s="31">
        <f>LN(Inventory[[#This Row],[Acres]])</f>
        <v>-0.10536051565782628</v>
      </c>
      <c r="D2" s="30">
        <v>0.28999999999999998</v>
      </c>
      <c r="E2" s="30">
        <v>12477</v>
      </c>
      <c r="F2" s="31" t="s">
        <v>505</v>
      </c>
      <c r="G2" s="31" t="s">
        <v>155</v>
      </c>
      <c r="H2" s="31" t="s">
        <v>5</v>
      </c>
      <c r="I2" s="31" t="s">
        <v>506</v>
      </c>
      <c r="J2" s="31" t="s">
        <v>1925</v>
      </c>
      <c r="K2" s="31" t="s">
        <v>473</v>
      </c>
      <c r="L2" s="31" t="s">
        <v>17</v>
      </c>
      <c r="M2" s="31" t="s">
        <v>20</v>
      </c>
      <c r="N2" s="31">
        <v>40</v>
      </c>
      <c r="O2" s="31">
        <f>2024-Inventory[[#This Row],[YrBlt]]</f>
        <v>0</v>
      </c>
      <c r="P2" s="31">
        <f>2024-Inventory[[#This Row],[EffYr]]</f>
        <v>0</v>
      </c>
      <c r="Q2" s="30">
        <v>1977</v>
      </c>
      <c r="R2" s="30">
        <v>1979</v>
      </c>
      <c r="S2" s="30">
        <v>920</v>
      </c>
      <c r="T2" s="37"/>
      <c r="U2" s="37"/>
      <c r="V2" s="32"/>
      <c r="W2" s="32"/>
      <c r="X2" s="32">
        <f>Inventory[[#This Row],[Bsmt Area]]-Inventory[[#This Row],[FnBsmt]]</f>
        <v>2868</v>
      </c>
      <c r="Y2" s="32">
        <f>Inventory[[#This Row],[MainFn]]+Inventory[[#This Row],[UpprFn]]+Inventory[[#This Row],[AddFn]]+Inventory[[#This Row],[FnBsmt]]</f>
        <v>2868</v>
      </c>
      <c r="Z2" s="32">
        <v>1000</v>
      </c>
      <c r="AA2" s="31" t="s">
        <v>773</v>
      </c>
      <c r="AB2" s="32"/>
      <c r="AC2" s="32"/>
      <c r="AD2" s="32"/>
      <c r="AE2" s="32"/>
      <c r="AF2" s="32"/>
      <c r="AG2" s="32"/>
      <c r="AH2" s="32"/>
      <c r="AI2" s="30">
        <v>163229</v>
      </c>
      <c r="AJ2" s="30">
        <v>127319</v>
      </c>
      <c r="AK2" s="30">
        <v>4353</v>
      </c>
      <c r="AL2" s="30">
        <v>0</v>
      </c>
      <c r="AM2" s="30">
        <v>69200</v>
      </c>
      <c r="AN2" s="30">
        <v>328100</v>
      </c>
      <c r="AO2" s="30">
        <v>397300</v>
      </c>
      <c r="AP2" s="30">
        <f>Lookups!$B$58*0.6</f>
        <v>132535.48800000001</v>
      </c>
      <c r="AQ2" s="30">
        <f>Lookups!$B$58*0.4</f>
        <v>88356.992000000013</v>
      </c>
      <c r="AR2" s="30">
        <f>Lookups!$B$59*Inventory[[#This Row],[LnAcres]]</f>
        <v>-1382.7852282188383</v>
      </c>
      <c r="AS2" s="30">
        <f>VLOOKUP(Inventory[[#This Row],[Qlty]],Lookups!$A$66:$E$79,2,FALSE)</f>
        <v>32917.849192000001</v>
      </c>
      <c r="AT2" s="30">
        <f>VLOOKUP(Inventory[[#This Row],[Cnd]],Lookups!$A$80:$E$88,2,FALSE)</f>
        <v>47371.278778200001</v>
      </c>
      <c r="AU2" s="30">
        <f>Inventory[[#This Row],[EffAge]]*Lookups!$B$65</f>
        <v>0</v>
      </c>
      <c r="AV2" s="30">
        <f>Inventory[[#This Row],[MainFn]]*Lookups!$B$90</f>
        <v>178992.96984000001</v>
      </c>
      <c r="AW2" s="30">
        <f>Inventory[[#This Row],[UpprFn]]*Lookups!$B$91</f>
        <v>0</v>
      </c>
      <c r="AX2" s="30">
        <f>Inventory[[#This Row],[Bsmt Area]]*Lookups!$B$95</f>
        <v>179498.07052799998</v>
      </c>
      <c r="AY2" s="30">
        <f>Inventory[[#This Row],[AttGar]]*Lookups!$B$93</f>
        <v>29652.866040000001</v>
      </c>
      <c r="AZ2" s="30">
        <f>ROUND(Inventory[[#This Row],[25Det]],-2)</f>
        <v>249700</v>
      </c>
      <c r="BA2" s="30">
        <f>ROUND(SUM(Inventory[[#This Row],[Mdl Qlty]:[Mdl Garage Area]])+Inventory[[#This Row],[Mdl Res Intercept]],-2)</f>
        <v>601000</v>
      </c>
      <c r="BB2" s="30">
        <f>ROUND(Inventory[[#This Row],[Mdl Land Intercept]]+Inventory[[#This Row],[Mdl LnAcres]],-2)</f>
        <v>87000</v>
      </c>
      <c r="BC2" s="30">
        <f>Inventory[[#This Row],[Unadj Res Value]]+Inventory[[#This Row],[Unadj Det Value]]+Inventory[[#This Row],[Unadj Land Value]]</f>
        <v>937700</v>
      </c>
      <c r="BD2" s="30" t="e">
        <f>([1]!Inventory[[#This Row],[Unadj Total Value]]-[1]!Inventory[[#This Row],[24Final]])/[1]!Inventory[[#This Row],[24Final]]</f>
        <v>#REF!</v>
      </c>
      <c r="BE2" s="30">
        <f>VLOOKUP(Inventory[[#This Row],[Nbhd]],Lookups!$M$3:$P$5,4,FALSE)</f>
        <v>0.99970000000000003</v>
      </c>
      <c r="BF2" s="30">
        <f>VLOOKUP(Inventory[[#This Row],[Qlty]],Lookups!$M$8:$P$22,4,FALSE)</f>
        <v>1.0019</v>
      </c>
      <c r="BG2" s="30">
        <f>VLOOKUP(Inventory[[#This Row],[Cnd]],Lookups!$R$8:$U$17,4,FALSE)</f>
        <v>1.0012000000000001</v>
      </c>
      <c r="BH2" s="30">
        <f>VLOOKUP(Inventory[[#This Row],[LivArea Range]],Lookups!$R$25:$U$43,4,FALSE)</f>
        <v>1.0099</v>
      </c>
      <c r="BI2" s="30">
        <f>VLOOKUP(Inventory[[#This Row],[Decade]],Lookups!$M$24:$P$40,4,FALSE)</f>
        <v>1</v>
      </c>
      <c r="BJ2" s="30">
        <f>Inventory[[#This Row],[Nbhd Adj]]*0.95</f>
        <v>0.94971499999999998</v>
      </c>
      <c r="BK2" s="30">
        <f>Inventory[[#This Row],[Nbhd Adj]]*Inventory[[#This Row],[Quality Adj]]*Inventory[[#This Row],[Condition Adj]]*Inventory[[#This Row],[Living Area Adj]]*Inventory[[#This Row],[Decade Adj]]*0.95</f>
        <v>0.96209262854051691</v>
      </c>
      <c r="BL2" s="30">
        <f>ROUND(SUM(Inventory[[#This Row],[Mdl Qlty]:[Mdl Garage Area]])+Inventory[[#This Row],[Mdl Res Intercept]]*Inventory[[#This Row],[Res Adj ]],-2)</f>
        <v>594700</v>
      </c>
      <c r="BM2" s="30">
        <f>ROUND(Inventory[[#This Row],[25Det]]*Inventory[[#This Row],[Det/Nbhd Adj]],-2)</f>
        <v>237200</v>
      </c>
      <c r="BN2" s="30">
        <f>Inventory[[#This Row],[Adjusted Res]]+Inventory[[#This Row],[Adj Det ]]</f>
        <v>809600</v>
      </c>
      <c r="BO2" s="30">
        <f>ROUND((Inventory[[#This Row],[Mdl Land Intercept]]+Inventory[[#This Row],[Mdl LnAcres]])*Inventory[[#This Row],[Det/Nbhd Adj]],-2)</f>
        <v>82600</v>
      </c>
      <c r="BP2" s="30">
        <f>Inventory[[#This Row],[Adjusted Impr Total]]+Inventory[[#This Row],[Adjusted Land Total]]</f>
        <v>892200</v>
      </c>
      <c r="BQ2" s="30">
        <f>IFERROR((Inventory[[#This Row],[Adjusted Impr Total]]-Inventory[[#This Row],[24Bldg]])/Inventory[[#This Row],[24Bldg]],0)</f>
        <v>0.63291649858814036</v>
      </c>
      <c r="BR2" s="43">
        <f>(Inventory[[#This Row],[Adjusted Land Total]]-Inventory[[#This Row],[24Lnd]])/Inventory[[#This Row],[24Lnd]]</f>
        <v>-2.823529411764706E-2</v>
      </c>
      <c r="BS2" s="43">
        <f>(Inventory[[#This Row],[Adjusted Total]]-Inventory[[#This Row],[24Final]])/Inventory[[#This Row],[24Final]]</f>
        <v>0.53615702479338845</v>
      </c>
    </row>
    <row r="3" spans="1:71">
      <c r="A3" s="30">
        <v>2025</v>
      </c>
      <c r="B3" s="31" t="s">
        <v>1924</v>
      </c>
      <c r="C3" s="31">
        <f>LN(Inventory[[#This Row],[Acres]])</f>
        <v>0.20701416938432612</v>
      </c>
      <c r="D3" s="30">
        <v>0.28999999999999998</v>
      </c>
      <c r="E3" s="38">
        <v>12477</v>
      </c>
      <c r="F3" s="31" t="s">
        <v>505</v>
      </c>
      <c r="G3" s="31" t="s">
        <v>155</v>
      </c>
      <c r="H3" s="31" t="s">
        <v>5</v>
      </c>
      <c r="I3" s="31" t="s">
        <v>506</v>
      </c>
      <c r="J3" s="31" t="s">
        <v>1925</v>
      </c>
      <c r="K3" s="31" t="s">
        <v>193</v>
      </c>
      <c r="L3" s="31" t="s">
        <v>17</v>
      </c>
      <c r="M3" s="31" t="s">
        <v>18</v>
      </c>
      <c r="N3" s="31">
        <v>40</v>
      </c>
      <c r="O3" s="31">
        <f>2024-Inventory[[#This Row],[YrBlt]]</f>
        <v>0</v>
      </c>
      <c r="P3" s="31">
        <f>2024-Inventory[[#This Row],[EffYr]]</f>
        <v>0</v>
      </c>
      <c r="Q3" s="30">
        <v>1977</v>
      </c>
      <c r="R3" s="30">
        <v>1979</v>
      </c>
      <c r="S3" s="30">
        <v>1280</v>
      </c>
      <c r="T3" s="37"/>
      <c r="U3" s="32"/>
      <c r="V3" s="32"/>
      <c r="W3" s="32"/>
      <c r="X3" s="32">
        <f>Inventory[[#This Row],[Bsmt Area]]-Inventory[[#This Row],[FnBsmt]]</f>
        <v>0</v>
      </c>
      <c r="Y3" s="32">
        <f>Inventory[[#This Row],[MainFn]]+Inventory[[#This Row],[UpprFn]]+Inventory[[#This Row],[AddFn]]+Inventory[[#This Row],[FnBsmt]]</f>
        <v>2576</v>
      </c>
      <c r="Z3" s="32">
        <v>1500</v>
      </c>
      <c r="AA3" s="31" t="s">
        <v>57</v>
      </c>
      <c r="AB3" s="32"/>
      <c r="AC3" s="32"/>
      <c r="AD3" s="32"/>
      <c r="AE3" s="32"/>
      <c r="AF3" s="32"/>
      <c r="AG3" s="32"/>
      <c r="AH3" s="32"/>
      <c r="AI3" s="30">
        <v>208501</v>
      </c>
      <c r="AJ3" s="30">
        <v>160546</v>
      </c>
      <c r="AK3" s="30">
        <v>4353</v>
      </c>
      <c r="AL3" s="30">
        <v>0</v>
      </c>
      <c r="AM3" s="30">
        <v>69200</v>
      </c>
      <c r="AN3" s="30">
        <v>328100</v>
      </c>
      <c r="AO3" s="30">
        <v>397300</v>
      </c>
      <c r="AP3" s="30">
        <f>Lookups!$B$58*0.6</f>
        <v>132535.48800000001</v>
      </c>
      <c r="AQ3" s="30">
        <f>Lookups!$B$58*0.4</f>
        <v>88356.992000000013</v>
      </c>
      <c r="AR3" s="30">
        <f>Lookups!$B$59*Inventory[[#This Row],[LnAcres]]</f>
        <v>2716.9204105482686</v>
      </c>
      <c r="AS3" s="30">
        <f>VLOOKUP(Inventory[[#This Row],[Qlty]],Lookups!$A$66:$E$79,2,FALSE)</f>
        <v>24371.765965999999</v>
      </c>
      <c r="AT3" s="30">
        <f>VLOOKUP(Inventory[[#This Row],[Cnd]],Lookups!$A$80:$E$88,2,FALSE)</f>
        <v>47371.278778200001</v>
      </c>
      <c r="AU3" s="30">
        <f>Inventory[[#This Row],[EffAge]]*Lookups!$B$65</f>
        <v>0</v>
      </c>
      <c r="AV3" s="30">
        <f>Inventory[[#This Row],[MainFn]]*Lookups!$B$90</f>
        <v>160769.13888000001</v>
      </c>
      <c r="AW3" s="30">
        <f>Inventory[[#This Row],[UpprFn]]*Lookups!$B$91</f>
        <v>0</v>
      </c>
      <c r="AX3" s="30">
        <f>Inventory[[#This Row],[Bsmt Area]]*Lookups!$B$95</f>
        <v>0</v>
      </c>
      <c r="AY3" s="30">
        <f>Inventory[[#This Row],[AttGar]]*Lookups!$B$93</f>
        <v>0</v>
      </c>
      <c r="AZ3" s="30">
        <f>ROUND(Inventory[[#This Row],[25Det]],-2)</f>
        <v>0</v>
      </c>
      <c r="BA3" s="30">
        <f>ROUND(SUM(Inventory[[#This Row],[Mdl Qlty]:[Mdl Garage Area]])+Inventory[[#This Row],[Mdl Res Intercept]],-2)</f>
        <v>365000</v>
      </c>
      <c r="BB3" s="30">
        <f>ROUND(Inventory[[#This Row],[Mdl Land Intercept]]+Inventory[[#This Row],[Mdl LnAcres]],-2)</f>
        <v>91100</v>
      </c>
      <c r="BC3" s="30">
        <f>Inventory[[#This Row],[Unadj Res Value]]+Inventory[[#This Row],[Unadj Det Value]]+Inventory[[#This Row],[Unadj Land Value]]</f>
        <v>456100</v>
      </c>
      <c r="BD3" s="30" t="e">
        <f>([1]!Inventory[[#This Row],[Unadj Total Value]]-[1]!Inventory[[#This Row],[24Final]])/[1]!Inventory[[#This Row],[24Final]]</f>
        <v>#REF!</v>
      </c>
      <c r="BE3" s="30">
        <f>VLOOKUP(Inventory[[#This Row],[Nbhd]],Lookups!$M$3:$P$5,4,FALSE)</f>
        <v>0.99970000000000003</v>
      </c>
      <c r="BF3" s="30">
        <f>VLOOKUP(Inventory[[#This Row],[Qlty]],Lookups!$M$8:$P$22,4,FALSE)</f>
        <v>0.99199999999999999</v>
      </c>
      <c r="BG3" s="30">
        <f>VLOOKUP(Inventory[[#This Row],[Cnd]],Lookups!$R$8:$U$17,4,FALSE)</f>
        <v>1.0012000000000001</v>
      </c>
      <c r="BH3" s="30">
        <f>VLOOKUP(Inventory[[#This Row],[LivArea Range]],Lookups!$R$25:$U$43,4,FALSE)</f>
        <v>1.0099</v>
      </c>
      <c r="BI3" s="30">
        <f>VLOOKUP(Inventory[[#This Row],[Decade]],Lookups!$M$24:$P$40,4,FALSE)</f>
        <v>1</v>
      </c>
      <c r="BJ3" s="30">
        <f>Inventory[[#This Row],[Nbhd Adj]]*0.95</f>
        <v>0.94971499999999998</v>
      </c>
      <c r="BK3" s="30">
        <f>Inventory[[#This Row],[Nbhd Adj]]*Inventory[[#This Row],[Quality Adj]]*Inventory[[#This Row],[Condition Adj]]*Inventory[[#This Row],[Living Area Adj]]*Inventory[[#This Row],[Decade Adj]]*0.95</f>
        <v>0.95258597416128643</v>
      </c>
      <c r="BL3" s="30">
        <f>ROUND(SUM(Inventory[[#This Row],[Mdl Qlty]:[Mdl Garage Area]])+Inventory[[#This Row],[Mdl Res Intercept]]*Inventory[[#This Row],[Res Adj ]],-2)</f>
        <v>358500</v>
      </c>
      <c r="BM3" s="30">
        <f>ROUND(Inventory[[#This Row],[25Det]]*Inventory[[#This Row],[Det/Nbhd Adj]],-2)</f>
        <v>0</v>
      </c>
      <c r="BN3" s="30">
        <f>Inventory[[#This Row],[Adjusted Res]]+Inventory[[#This Row],[Adj Det ]]</f>
        <v>347000</v>
      </c>
      <c r="BO3" s="30">
        <f>ROUND((Inventory[[#This Row],[Mdl Land Intercept]]+Inventory[[#This Row],[Mdl LnAcres]])*Inventory[[#This Row],[Det/Nbhd Adj]],-2)</f>
        <v>86500</v>
      </c>
      <c r="BP3" s="30">
        <f>Inventory[[#This Row],[Adjusted Impr Total]]+Inventory[[#This Row],[Adjusted Land Total]]</f>
        <v>433500</v>
      </c>
      <c r="BQ3" s="30">
        <f>IFERROR((Inventory[[#This Row],[Adjusted Impr Total]]-Inventory[[#This Row],[24Bldg]])/Inventory[[#This Row],[24Bldg]],0)</f>
        <v>0</v>
      </c>
      <c r="BR3" s="43">
        <f>(Inventory[[#This Row],[Adjusted Land Total]]-Inventory[[#This Row],[24Lnd]])/Inventory[[#This Row],[24Lnd]]</f>
        <v>-3.2438478747203577E-2</v>
      </c>
      <c r="BS3" s="43">
        <f>(Inventory[[#This Row],[Adjusted Total]]-Inventory[[#This Row],[24Final]])/Inventory[[#This Row],[24Final]]</f>
        <v>3.848993288590604</v>
      </c>
    </row>
    <row r="4" spans="1:71">
      <c r="A4" s="30">
        <v>2025</v>
      </c>
      <c r="B4" s="31" t="s">
        <v>1926</v>
      </c>
      <c r="C4" s="31">
        <f>LN(Inventory[[#This Row],[Acres]])</f>
        <v>-1.8263509139976741</v>
      </c>
      <c r="D4" s="30">
        <v>0.31</v>
      </c>
      <c r="E4" s="30">
        <v>13414</v>
      </c>
      <c r="F4" s="31" t="s">
        <v>505</v>
      </c>
      <c r="G4" s="31" t="s">
        <v>155</v>
      </c>
      <c r="H4" s="31" t="s">
        <v>5</v>
      </c>
      <c r="I4" s="31" t="s">
        <v>506</v>
      </c>
      <c r="J4" s="31" t="s">
        <v>1925</v>
      </c>
      <c r="K4" s="31" t="s">
        <v>1786</v>
      </c>
      <c r="L4" s="31" t="s">
        <v>11</v>
      </c>
      <c r="M4" s="31" t="s">
        <v>20</v>
      </c>
      <c r="N4" s="31">
        <v>70</v>
      </c>
      <c r="O4" s="31">
        <f>2024-Inventory[[#This Row],[YrBlt]]</f>
        <v>2</v>
      </c>
      <c r="P4" s="31">
        <f>2024-Inventory[[#This Row],[EffYr]]</f>
        <v>2</v>
      </c>
      <c r="Q4" s="30">
        <v>1945</v>
      </c>
      <c r="R4" s="30">
        <v>1967</v>
      </c>
      <c r="S4" s="30">
        <v>512</v>
      </c>
      <c r="T4" s="32"/>
      <c r="U4" s="32"/>
      <c r="V4" s="32"/>
      <c r="W4" s="32"/>
      <c r="X4" s="32">
        <f>Inventory[[#This Row],[Bsmt Area]]-Inventory[[#This Row],[FnBsmt]]</f>
        <v>0</v>
      </c>
      <c r="Y4" s="32">
        <f>Inventory[[#This Row],[MainFn]]+Inventory[[#This Row],[UpprFn]]+Inventory[[#This Row],[AddFn]]+Inventory[[#This Row],[FnBsmt]]</f>
        <v>2194</v>
      </c>
      <c r="Z4" s="32">
        <v>1000</v>
      </c>
      <c r="AA4" s="31" t="s">
        <v>773</v>
      </c>
      <c r="AB4" s="32"/>
      <c r="AC4" s="32"/>
      <c r="AD4" s="32"/>
      <c r="AE4" s="32"/>
      <c r="AF4" s="32"/>
      <c r="AG4" s="32"/>
      <c r="AH4" s="32"/>
      <c r="AI4" s="30">
        <v>60281</v>
      </c>
      <c r="AJ4" s="30">
        <v>39183</v>
      </c>
      <c r="AK4" s="30">
        <v>12771</v>
      </c>
      <c r="AL4" s="30">
        <v>0</v>
      </c>
      <c r="AM4" s="30">
        <v>70100</v>
      </c>
      <c r="AN4" s="30">
        <v>256600</v>
      </c>
      <c r="AO4" s="30">
        <v>326700</v>
      </c>
      <c r="AP4" s="30">
        <f>Lookups!$B$58*0.6</f>
        <v>132535.48800000001</v>
      </c>
      <c r="AQ4" s="30">
        <f>Lookups!$B$58*0.4</f>
        <v>88356.992000000013</v>
      </c>
      <c r="AR4" s="30">
        <f>Lookups!$B$59*Inventory[[#This Row],[LnAcres]]</f>
        <v>-23969.615653948869</v>
      </c>
      <c r="AS4" s="30">
        <f>VLOOKUP(Inventory[[#This Row],[Qlty]],Lookups!$A$66:$E$79,2,FALSE)</f>
        <v>32917.849192000001</v>
      </c>
      <c r="AT4" s="30">
        <f>VLOOKUP(Inventory[[#This Row],[Cnd]],Lookups!$A$80:$E$88,2,FALSE)</f>
        <v>47371.278778200001</v>
      </c>
      <c r="AU4" s="30">
        <f>Inventory[[#This Row],[EffAge]]*Lookups!$B$65</f>
        <v>-217.48220000000001</v>
      </c>
      <c r="AV4" s="30">
        <f>Inventory[[#This Row],[MainFn]]*Lookups!$B$90</f>
        <v>56044.521240000002</v>
      </c>
      <c r="AW4" s="30">
        <f>Inventory[[#This Row],[UpprFn]]*Lookups!$B$91</f>
        <v>77216.176368</v>
      </c>
      <c r="AX4" s="30">
        <f>Inventory[[#This Row],[Bsmt Area]]*Lookups!$B$95</f>
        <v>0</v>
      </c>
      <c r="AY4" s="30">
        <f>Inventory[[#This Row],[AttGar]]*Lookups!$B$93</f>
        <v>0</v>
      </c>
      <c r="AZ4" s="30">
        <f>ROUND(Inventory[[#This Row],[25Det]],-2)</f>
        <v>0</v>
      </c>
      <c r="BA4" s="30">
        <f>ROUND(SUM(Inventory[[#This Row],[Mdl Qlty]:[Mdl Garage Area]])+Inventory[[#This Row],[Mdl Res Intercept]],-2)</f>
        <v>345900</v>
      </c>
      <c r="BB4" s="30">
        <f>ROUND(Inventory[[#This Row],[Mdl Land Intercept]]+Inventory[[#This Row],[Mdl LnAcres]],-2)</f>
        <v>64400</v>
      </c>
      <c r="BC4" s="30">
        <f>Inventory[[#This Row],[Unadj Res Value]]+Inventory[[#This Row],[Unadj Det Value]]+Inventory[[#This Row],[Unadj Land Value]]</f>
        <v>410300</v>
      </c>
      <c r="BD4" s="30" t="e">
        <f>([1]!Inventory[[#This Row],[Unadj Total Value]]-[1]!Inventory[[#This Row],[24Final]])/[1]!Inventory[[#This Row],[24Final]]</f>
        <v>#REF!</v>
      </c>
      <c r="BE4" s="30">
        <f>VLOOKUP(Inventory[[#This Row],[Nbhd]],Lookups!$M$3:$P$5,4,FALSE)</f>
        <v>0.99970000000000003</v>
      </c>
      <c r="BF4" s="30">
        <f>VLOOKUP(Inventory[[#This Row],[Qlty]],Lookups!$M$8:$P$22,4,FALSE)</f>
        <v>1.0019</v>
      </c>
      <c r="BG4" s="30">
        <f>VLOOKUP(Inventory[[#This Row],[Cnd]],Lookups!$R$8:$U$17,4,FALSE)</f>
        <v>1.0012000000000001</v>
      </c>
      <c r="BH4" s="30">
        <f>VLOOKUP(Inventory[[#This Row],[LivArea Range]],Lookups!$R$25:$U$43,4,FALSE)</f>
        <v>1.0008999999999999</v>
      </c>
      <c r="BI4" s="30">
        <f>VLOOKUP(Inventory[[#This Row],[Decade]],Lookups!$M$24:$P$40,4,FALSE)</f>
        <v>1</v>
      </c>
      <c r="BJ4" s="30">
        <f>Inventory[[#This Row],[Nbhd Adj]]*0.95</f>
        <v>0.94971499999999998</v>
      </c>
      <c r="BK4" s="30">
        <f>Inventory[[#This Row],[Nbhd Adj]]*Inventory[[#This Row],[Quality Adj]]*Inventory[[#This Row],[Condition Adj]]*Inventory[[#This Row],[Living Area Adj]]*Inventory[[#This Row],[Decade Adj]]*0.95</f>
        <v>0.95351867700386495</v>
      </c>
      <c r="BL4" s="30">
        <f>ROUND(SUM(Inventory[[#This Row],[Mdl Qlty]:[Mdl Garage Area]])+Inventory[[#This Row],[Mdl Res Intercept]]*Inventory[[#This Row],[Res Adj ]],-2)</f>
        <v>339300</v>
      </c>
      <c r="BM4" s="30">
        <f>ROUND(Inventory[[#This Row],[25Det]]*Inventory[[#This Row],[Det/Nbhd Adj]],-2)</f>
        <v>0</v>
      </c>
      <c r="BN4" s="30">
        <f>Inventory[[#This Row],[Adjusted Res]]+Inventory[[#This Row],[Adj Det ]]</f>
        <v>328800</v>
      </c>
      <c r="BO4" s="30">
        <f>ROUND((Inventory[[#This Row],[Mdl Land Intercept]]+Inventory[[#This Row],[Mdl LnAcres]])*Inventory[[#This Row],[Det/Nbhd Adj]],-2)</f>
        <v>61100</v>
      </c>
      <c r="BP4" s="30">
        <f>Inventory[[#This Row],[Adjusted Impr Total]]+Inventory[[#This Row],[Adjusted Land Total]]</f>
        <v>389900</v>
      </c>
      <c r="BQ4" s="30">
        <f>IFERROR((Inventory[[#This Row],[Adjusted Impr Total]]-Inventory[[#This Row],[24Bldg]])/Inventory[[#This Row],[24Bldg]],0)</f>
        <v>-0.10821806346623271</v>
      </c>
      <c r="BR4" s="43">
        <f>(Inventory[[#This Row],[Adjusted Land Total]]-Inventory[[#This Row],[24Lnd]])/Inventory[[#This Row],[24Lnd]]</f>
        <v>4.9342105263157892E-3</v>
      </c>
      <c r="BS4" s="43">
        <f>(Inventory[[#This Row],[Adjusted Total]]-Inventory[[#This Row],[24Final]])/Inventory[[#This Row],[24Final]]</f>
        <v>-9.2200232828870785E-2</v>
      </c>
    </row>
    <row r="5" spans="1:71">
      <c r="A5" s="30">
        <v>2025</v>
      </c>
      <c r="B5" s="31" t="s">
        <v>1926</v>
      </c>
      <c r="C5" s="31">
        <f>LN(Inventory[[#This Row],[Acres]])</f>
        <v>-1.8263509139976741</v>
      </c>
      <c r="D5" s="30">
        <v>0.31</v>
      </c>
      <c r="E5" s="30">
        <v>13414</v>
      </c>
      <c r="F5" s="31" t="s">
        <v>505</v>
      </c>
      <c r="G5" s="31" t="s">
        <v>155</v>
      </c>
      <c r="H5" s="31" t="s">
        <v>5</v>
      </c>
      <c r="I5" s="31" t="s">
        <v>506</v>
      </c>
      <c r="J5" s="31" t="s">
        <v>1925</v>
      </c>
      <c r="K5" s="31" t="s">
        <v>473</v>
      </c>
      <c r="L5" s="31" t="s">
        <v>17</v>
      </c>
      <c r="M5" s="31" t="s">
        <v>20</v>
      </c>
      <c r="N5" s="31">
        <v>70</v>
      </c>
      <c r="O5" s="31">
        <f>2024-Inventory[[#This Row],[YrBlt]]</f>
        <v>2</v>
      </c>
      <c r="P5" s="31">
        <f>2024-Inventory[[#This Row],[EffYr]]</f>
        <v>2</v>
      </c>
      <c r="Q5" s="30">
        <v>1945</v>
      </c>
      <c r="R5" s="30">
        <v>1972</v>
      </c>
      <c r="S5" s="30">
        <v>1225</v>
      </c>
      <c r="T5" s="32"/>
      <c r="U5" s="32"/>
      <c r="V5" s="32"/>
      <c r="W5" s="32"/>
      <c r="X5" s="32">
        <f>Inventory[[#This Row],[Bsmt Area]]-Inventory[[#This Row],[FnBsmt]]</f>
        <v>0</v>
      </c>
      <c r="Y5" s="32">
        <f>Inventory[[#This Row],[MainFn]]+Inventory[[#This Row],[UpprFn]]+Inventory[[#This Row],[AddFn]]+Inventory[[#This Row],[FnBsmt]]</f>
        <v>3002</v>
      </c>
      <c r="Z5" s="32">
        <v>1500</v>
      </c>
      <c r="AA5" s="31" t="s">
        <v>773</v>
      </c>
      <c r="AB5" s="32"/>
      <c r="AC5" s="32"/>
      <c r="AD5" s="32"/>
      <c r="AE5" s="32"/>
      <c r="AF5" s="32"/>
      <c r="AG5" s="32"/>
      <c r="AH5" s="32"/>
      <c r="AI5" s="30">
        <v>200347</v>
      </c>
      <c r="AJ5" s="30">
        <v>140243</v>
      </c>
      <c r="AK5" s="30">
        <v>12771</v>
      </c>
      <c r="AL5" s="30">
        <v>0</v>
      </c>
      <c r="AM5" s="30">
        <v>70100</v>
      </c>
      <c r="AN5" s="30">
        <v>256600</v>
      </c>
      <c r="AO5" s="30">
        <v>326700</v>
      </c>
      <c r="AP5" s="30">
        <f>Lookups!$B$58*0.6</f>
        <v>132535.48800000001</v>
      </c>
      <c r="AQ5" s="30">
        <f>Lookups!$B$58*0.4</f>
        <v>88356.992000000013</v>
      </c>
      <c r="AR5" s="30">
        <f>Lookups!$B$59*Inventory[[#This Row],[LnAcres]]</f>
        <v>-23969.615653948869</v>
      </c>
      <c r="AS5" s="30">
        <f>VLOOKUP(Inventory[[#This Row],[Qlty]],Lookups!$A$66:$E$79,2,FALSE)</f>
        <v>32917.849192000001</v>
      </c>
      <c r="AT5" s="30">
        <f>VLOOKUP(Inventory[[#This Row],[Cnd]],Lookups!$A$80:$E$88,2,FALSE)</f>
        <v>47371.278778200001</v>
      </c>
      <c r="AU5" s="30">
        <f>Inventory[[#This Row],[EffAge]]*Lookups!$B$65</f>
        <v>-217.48220000000001</v>
      </c>
      <c r="AV5" s="30">
        <f>Inventory[[#This Row],[MainFn]]*Lookups!$B$90</f>
        <v>82132.06008000001</v>
      </c>
      <c r="AW5" s="30">
        <f>Inventory[[#This Row],[UpprFn]]*Lookups!$B$91</f>
        <v>100452.525738</v>
      </c>
      <c r="AX5" s="30">
        <f>Inventory[[#This Row],[Bsmt Area]]*Lookups!$B$95</f>
        <v>0</v>
      </c>
      <c r="AY5" s="30">
        <f>Inventory[[#This Row],[AttGar]]*Lookups!$B$93</f>
        <v>0</v>
      </c>
      <c r="AZ5" s="30">
        <f>ROUND(Inventory[[#This Row],[25Det]],-2)</f>
        <v>0</v>
      </c>
      <c r="BA5" s="30">
        <f>ROUND(SUM(Inventory[[#This Row],[Mdl Qlty]:[Mdl Garage Area]])+Inventory[[#This Row],[Mdl Res Intercept]],-2)</f>
        <v>395200</v>
      </c>
      <c r="BB5" s="30">
        <f>ROUND(Inventory[[#This Row],[Mdl Land Intercept]]+Inventory[[#This Row],[Mdl LnAcres]],-2)</f>
        <v>64400</v>
      </c>
      <c r="BC5" s="30">
        <f>Inventory[[#This Row],[Unadj Res Value]]+Inventory[[#This Row],[Unadj Det Value]]+Inventory[[#This Row],[Unadj Land Value]]</f>
        <v>459600</v>
      </c>
      <c r="BD5" s="30" t="e">
        <f>([1]!Inventory[[#This Row],[Unadj Total Value]]-[1]!Inventory[[#This Row],[24Final]])/[1]!Inventory[[#This Row],[24Final]]</f>
        <v>#REF!</v>
      </c>
      <c r="BE5" s="30">
        <f>VLOOKUP(Inventory[[#This Row],[Nbhd]],Lookups!$M$3:$P$5,4,FALSE)</f>
        <v>0.99970000000000003</v>
      </c>
      <c r="BF5" s="30">
        <f>VLOOKUP(Inventory[[#This Row],[Qlty]],Lookups!$M$8:$P$22,4,FALSE)</f>
        <v>1.0019</v>
      </c>
      <c r="BG5" s="30">
        <f>VLOOKUP(Inventory[[#This Row],[Cnd]],Lookups!$R$8:$U$17,4,FALSE)</f>
        <v>1.0012000000000001</v>
      </c>
      <c r="BH5" s="30">
        <f>VLOOKUP(Inventory[[#This Row],[LivArea Range]],Lookups!$R$25:$U$43,4,FALSE)</f>
        <v>0.98509999999999998</v>
      </c>
      <c r="BI5" s="30">
        <f>VLOOKUP(Inventory[[#This Row],[Decade]],Lookups!$M$24:$P$40,4,FALSE)</f>
        <v>1</v>
      </c>
      <c r="BJ5" s="30">
        <f>Inventory[[#This Row],[Nbhd Adj]]*0.95</f>
        <v>0.94971499999999998</v>
      </c>
      <c r="BK5" s="30">
        <f>Inventory[[#This Row],[Nbhd Adj]]*Inventory[[#This Row],[Quality Adj]]*Inventory[[#This Row],[Condition Adj]]*Inventory[[#This Row],[Living Area Adj]]*Inventory[[#This Row],[Decade Adj]]*0.95</f>
        <v>0.93846662875063191</v>
      </c>
      <c r="BL5" s="30">
        <f>ROUND(SUM(Inventory[[#This Row],[Mdl Qlty]:[Mdl Garage Area]])+Inventory[[#This Row],[Mdl Res Intercept]]*Inventory[[#This Row],[Res Adj ]],-2)</f>
        <v>388300</v>
      </c>
      <c r="BM5" s="30">
        <f>ROUND(Inventory[[#This Row],[25Det]]*Inventory[[#This Row],[Det/Nbhd Adj]],-2)</f>
        <v>0</v>
      </c>
      <c r="BN5" s="30">
        <f>Inventory[[#This Row],[Adjusted Res]]+Inventory[[#This Row],[Adj Det ]]</f>
        <v>374500</v>
      </c>
      <c r="BO5" s="30">
        <f>ROUND((Inventory[[#This Row],[Mdl Land Intercept]]+Inventory[[#This Row],[Mdl LnAcres]])*Inventory[[#This Row],[Det/Nbhd Adj]],-2)</f>
        <v>61100</v>
      </c>
      <c r="BP5" s="30">
        <f>Inventory[[#This Row],[Adjusted Impr Total]]+Inventory[[#This Row],[Adjusted Land Total]]</f>
        <v>435600</v>
      </c>
      <c r="BQ5" s="30">
        <f>IFERROR((Inventory[[#This Row],[Adjusted Impr Total]]-Inventory[[#This Row],[24Bldg]])/Inventory[[#This Row],[24Bldg]],0)</f>
        <v>-7.485177865612648E-2</v>
      </c>
      <c r="BR5" s="43">
        <f>(Inventory[[#This Row],[Adjusted Land Total]]-Inventory[[#This Row],[24Lnd]])/Inventory[[#This Row],[24Lnd]]</f>
        <v>4.9342105263157892E-3</v>
      </c>
      <c r="BS5" s="43">
        <f>(Inventory[[#This Row],[Adjusted Total]]-Inventory[[#This Row],[24Final]])/Inventory[[#This Row],[24Final]]</f>
        <v>-6.4432989690721643E-2</v>
      </c>
    </row>
    <row r="6" spans="1:71">
      <c r="A6" s="30">
        <v>2025</v>
      </c>
      <c r="B6" s="31" t="s">
        <v>1927</v>
      </c>
      <c r="C6" s="31">
        <f>LN(Inventory[[#This Row],[Acres]])</f>
        <v>-1.8263509139976741</v>
      </c>
      <c r="D6" s="30">
        <v>0.14000000000000001</v>
      </c>
      <c r="E6" s="30">
        <v>6034</v>
      </c>
      <c r="F6" s="31" t="s">
        <v>505</v>
      </c>
      <c r="G6" s="31" t="s">
        <v>155</v>
      </c>
      <c r="H6" s="31" t="s">
        <v>5</v>
      </c>
      <c r="I6" s="31" t="s">
        <v>506</v>
      </c>
      <c r="J6" s="31" t="s">
        <v>1925</v>
      </c>
      <c r="K6" s="31" t="s">
        <v>473</v>
      </c>
      <c r="L6" s="31" t="s">
        <v>15</v>
      </c>
      <c r="M6" s="31" t="s">
        <v>18</v>
      </c>
      <c r="N6" s="31">
        <v>80</v>
      </c>
      <c r="O6" s="31">
        <f>2024-Inventory[[#This Row],[YrBlt]]</f>
        <v>2</v>
      </c>
      <c r="P6" s="31">
        <f>2024-Inventory[[#This Row],[EffYr]]</f>
        <v>2</v>
      </c>
      <c r="Q6" s="30">
        <v>1940</v>
      </c>
      <c r="R6" s="30">
        <v>1972</v>
      </c>
      <c r="S6" s="30">
        <v>1218</v>
      </c>
      <c r="T6" s="38">
        <v>420</v>
      </c>
      <c r="U6" s="32"/>
      <c r="V6" s="32"/>
      <c r="W6" s="32"/>
      <c r="X6" s="32">
        <f>Inventory[[#This Row],[Bsmt Area]]-Inventory[[#This Row],[FnBsmt]]</f>
        <v>0</v>
      </c>
      <c r="Y6" s="32">
        <f>Inventory[[#This Row],[MainFn]]+Inventory[[#This Row],[UpprFn]]+Inventory[[#This Row],[AddFn]]+Inventory[[#This Row],[FnBsmt]]</f>
        <v>3014</v>
      </c>
      <c r="Z6" s="32">
        <v>2000</v>
      </c>
      <c r="AA6" s="31" t="s">
        <v>773</v>
      </c>
      <c r="AB6" s="32"/>
      <c r="AC6" s="32"/>
      <c r="AD6" s="32"/>
      <c r="AE6" s="32"/>
      <c r="AF6" s="32"/>
      <c r="AG6" s="32"/>
      <c r="AH6" s="32"/>
      <c r="AI6" s="30">
        <v>223584</v>
      </c>
      <c r="AJ6" s="30">
        <v>152037</v>
      </c>
      <c r="AK6" s="30">
        <v>19376</v>
      </c>
      <c r="AL6" s="30">
        <v>0</v>
      </c>
      <c r="AM6" s="30">
        <v>59000</v>
      </c>
      <c r="AN6" s="30">
        <v>265300</v>
      </c>
      <c r="AO6" s="30">
        <v>324300</v>
      </c>
      <c r="AP6" s="30">
        <f>Lookups!$B$58*0.6</f>
        <v>132535.48800000001</v>
      </c>
      <c r="AQ6" s="30">
        <f>Lookups!$B$58*0.4</f>
        <v>88356.992000000013</v>
      </c>
      <c r="AR6" s="30">
        <f>Lookups!$B$59*Inventory[[#This Row],[LnAcres]]</f>
        <v>-23969.615653948869</v>
      </c>
      <c r="AS6" s="30">
        <f>VLOOKUP(Inventory[[#This Row],[Qlty]],Lookups!$A$66:$E$79,2,FALSE)</f>
        <v>32917.849192000001</v>
      </c>
      <c r="AT6" s="30">
        <f>VLOOKUP(Inventory[[#This Row],[Cnd]],Lookups!$A$80:$E$88,2,FALSE)</f>
        <v>47371.278778200001</v>
      </c>
      <c r="AU6" s="30">
        <f>Inventory[[#This Row],[EffAge]]*Lookups!$B$65</f>
        <v>-217.48220000000001</v>
      </c>
      <c r="AV6" s="30">
        <f>Inventory[[#This Row],[MainFn]]*Lookups!$B$90</f>
        <v>82880.98464000001</v>
      </c>
      <c r="AW6" s="30">
        <f>Inventory[[#This Row],[UpprFn]]*Lookups!$B$91</f>
        <v>100452.525738</v>
      </c>
      <c r="AX6" s="30">
        <f>Inventory[[#This Row],[Bsmt Area]]*Lookups!$B$95</f>
        <v>0</v>
      </c>
      <c r="AY6" s="30">
        <f>Inventory[[#This Row],[AttGar]]*Lookups!$B$93</f>
        <v>0</v>
      </c>
      <c r="AZ6" s="30">
        <f>ROUND(Inventory[[#This Row],[25Det]],-2)</f>
        <v>0</v>
      </c>
      <c r="BA6" s="30">
        <f>ROUND(SUM(Inventory[[#This Row],[Mdl Qlty]:[Mdl Garage Area]])+Inventory[[#This Row],[Mdl Res Intercept]],-2)</f>
        <v>395900</v>
      </c>
      <c r="BB6" s="30">
        <f>ROUND(Inventory[[#This Row],[Mdl Land Intercept]]+Inventory[[#This Row],[Mdl LnAcres]],-2)</f>
        <v>64400</v>
      </c>
      <c r="BC6" s="30">
        <f>Inventory[[#This Row],[Unadj Res Value]]+Inventory[[#This Row],[Unadj Det Value]]+Inventory[[#This Row],[Unadj Land Value]]</f>
        <v>460300</v>
      </c>
      <c r="BD6" s="30" t="e">
        <f>([1]!Inventory[[#This Row],[Unadj Total Value]]-[1]!Inventory[[#This Row],[24Final]])/[1]!Inventory[[#This Row],[24Final]]</f>
        <v>#REF!</v>
      </c>
      <c r="BE6" s="30">
        <f>VLOOKUP(Inventory[[#This Row],[Nbhd]],Lookups!$M$3:$P$5,4,FALSE)</f>
        <v>0.99970000000000003</v>
      </c>
      <c r="BF6" s="30">
        <f>VLOOKUP(Inventory[[#This Row],[Qlty]],Lookups!$M$8:$P$22,4,FALSE)</f>
        <v>1.0019</v>
      </c>
      <c r="BG6" s="30">
        <f>VLOOKUP(Inventory[[#This Row],[Cnd]],Lookups!$R$8:$U$17,4,FALSE)</f>
        <v>1.0012000000000001</v>
      </c>
      <c r="BH6" s="30">
        <f>VLOOKUP(Inventory[[#This Row],[LivArea Range]],Lookups!$R$25:$U$43,4,FALSE)</f>
        <v>0.98509999999999998</v>
      </c>
      <c r="BI6" s="30">
        <f>VLOOKUP(Inventory[[#This Row],[Decade]],Lookups!$M$24:$P$40,4,FALSE)</f>
        <v>1</v>
      </c>
      <c r="BJ6" s="30">
        <f>Inventory[[#This Row],[Nbhd Adj]]*0.95</f>
        <v>0.94971499999999998</v>
      </c>
      <c r="BK6" s="30">
        <f>Inventory[[#This Row],[Nbhd Adj]]*Inventory[[#This Row],[Quality Adj]]*Inventory[[#This Row],[Condition Adj]]*Inventory[[#This Row],[Living Area Adj]]*Inventory[[#This Row],[Decade Adj]]*0.95</f>
        <v>0.93846662875063191</v>
      </c>
      <c r="BL6" s="30">
        <f>ROUND(SUM(Inventory[[#This Row],[Mdl Qlty]:[Mdl Garage Area]])+Inventory[[#This Row],[Mdl Res Intercept]]*Inventory[[#This Row],[Res Adj ]],-2)</f>
        <v>389000</v>
      </c>
      <c r="BM6" s="30">
        <f>ROUND(Inventory[[#This Row],[25Det]]*Inventory[[#This Row],[Det/Nbhd Adj]],-2)</f>
        <v>0</v>
      </c>
      <c r="BN6" s="30">
        <f>Inventory[[#This Row],[Adjusted Res]]+Inventory[[#This Row],[Adj Det ]]</f>
        <v>375200</v>
      </c>
      <c r="BO6" s="30">
        <f>ROUND((Inventory[[#This Row],[Mdl Land Intercept]]+Inventory[[#This Row],[Mdl LnAcres]])*Inventory[[#This Row],[Det/Nbhd Adj]],-2)</f>
        <v>61100</v>
      </c>
      <c r="BP6" s="30">
        <f>Inventory[[#This Row],[Adjusted Impr Total]]+Inventory[[#This Row],[Adjusted Land Total]]</f>
        <v>436300</v>
      </c>
      <c r="BQ6" s="30">
        <f>IFERROR((Inventory[[#This Row],[Adjusted Impr Total]]-Inventory[[#This Row],[24Bldg]])/Inventory[[#This Row],[24Bldg]],0)</f>
        <v>-7.4494326591021218E-2</v>
      </c>
      <c r="BR6" s="43">
        <f>(Inventory[[#This Row],[Adjusted Land Total]]-Inventory[[#This Row],[24Lnd]])/Inventory[[#This Row],[24Lnd]]</f>
        <v>4.9342105263157892E-3</v>
      </c>
      <c r="BS6" s="43">
        <f>(Inventory[[#This Row],[Adjusted Total]]-Inventory[[#This Row],[24Final]])/Inventory[[#This Row],[24Final]]</f>
        <v>-6.4135564135564135E-2</v>
      </c>
    </row>
    <row r="7" spans="1:71">
      <c r="A7" s="30">
        <v>2025</v>
      </c>
      <c r="B7" s="31" t="s">
        <v>1927</v>
      </c>
      <c r="C7" s="31">
        <f>LN(Inventory[[#This Row],[Acres]])</f>
        <v>-1.8263509139976741</v>
      </c>
      <c r="D7" s="30">
        <v>0.14000000000000001</v>
      </c>
      <c r="E7" s="30">
        <v>6034</v>
      </c>
      <c r="F7" s="31" t="s">
        <v>505</v>
      </c>
      <c r="G7" s="31" t="s">
        <v>155</v>
      </c>
      <c r="H7" s="31" t="s">
        <v>5</v>
      </c>
      <c r="I7" s="31" t="s">
        <v>506</v>
      </c>
      <c r="J7" s="31" t="s">
        <v>1925</v>
      </c>
      <c r="K7" s="31" t="s">
        <v>473</v>
      </c>
      <c r="L7" s="31" t="s">
        <v>13</v>
      </c>
      <c r="M7" s="31" t="s">
        <v>18</v>
      </c>
      <c r="N7" s="31">
        <v>80</v>
      </c>
      <c r="O7" s="31">
        <f>2024-Inventory[[#This Row],[YrBlt]]</f>
        <v>2</v>
      </c>
      <c r="P7" s="31">
        <f>2024-Inventory[[#This Row],[EffYr]]</f>
        <v>2</v>
      </c>
      <c r="Q7" s="30">
        <v>1935</v>
      </c>
      <c r="R7" s="30">
        <v>1971</v>
      </c>
      <c r="S7" s="30">
        <v>444</v>
      </c>
      <c r="T7" s="37"/>
      <c r="U7" s="32"/>
      <c r="V7" s="32"/>
      <c r="W7" s="32"/>
      <c r="X7" s="32">
        <f>Inventory[[#This Row],[Bsmt Area]]-Inventory[[#This Row],[FnBsmt]]</f>
        <v>0</v>
      </c>
      <c r="Y7" s="32">
        <f>Inventory[[#This Row],[MainFn]]+Inventory[[#This Row],[UpprFn]]+Inventory[[#This Row],[AddFn]]+Inventory[[#This Row],[FnBsmt]]</f>
        <v>1580</v>
      </c>
      <c r="Z7" s="32">
        <v>500</v>
      </c>
      <c r="AA7" s="31" t="s">
        <v>773</v>
      </c>
      <c r="AB7" s="32"/>
      <c r="AC7" s="32"/>
      <c r="AD7" s="32"/>
      <c r="AE7" s="32"/>
      <c r="AF7" s="32"/>
      <c r="AG7" s="32"/>
      <c r="AH7" s="32"/>
      <c r="AI7" s="30">
        <v>67528</v>
      </c>
      <c r="AJ7" s="30">
        <v>45244</v>
      </c>
      <c r="AK7" s="30">
        <v>19376</v>
      </c>
      <c r="AL7" s="30">
        <v>0</v>
      </c>
      <c r="AM7" s="30">
        <v>59000</v>
      </c>
      <c r="AN7" s="30">
        <v>265300</v>
      </c>
      <c r="AO7" s="30">
        <v>324300</v>
      </c>
      <c r="AP7" s="30">
        <f>Lookups!$B$58*0.6</f>
        <v>132535.48800000001</v>
      </c>
      <c r="AQ7" s="30">
        <f>Lookups!$B$58*0.4</f>
        <v>88356.992000000013</v>
      </c>
      <c r="AR7" s="30">
        <f>Lookups!$B$59*Inventory[[#This Row],[LnAcres]]</f>
        <v>-23969.615653948869</v>
      </c>
      <c r="AS7" s="30">
        <f>VLOOKUP(Inventory[[#This Row],[Qlty]],Lookups!$A$66:$E$79,2,FALSE)</f>
        <v>37154.252388000001</v>
      </c>
      <c r="AT7" s="30">
        <f>VLOOKUP(Inventory[[#This Row],[Cnd]],Lookups!$A$80:$E$88,2,FALSE)</f>
        <v>47371.278778200001</v>
      </c>
      <c r="AU7" s="30">
        <f>Inventory[[#This Row],[EffAge]]*Lookups!$B$65</f>
        <v>-217.48220000000001</v>
      </c>
      <c r="AV7" s="30">
        <f>Inventory[[#This Row],[MainFn]]*Lookups!$B$90</f>
        <v>98608.400399999999</v>
      </c>
      <c r="AW7" s="30">
        <f>Inventory[[#This Row],[UpprFn]]*Lookups!$B$91</f>
        <v>0</v>
      </c>
      <c r="AX7" s="30">
        <f>Inventory[[#This Row],[Bsmt Area]]*Lookups!$B$95</f>
        <v>0</v>
      </c>
      <c r="AY7" s="30">
        <f>Inventory[[#This Row],[AttGar]]*Lookups!$B$93</f>
        <v>14120.412400000001</v>
      </c>
      <c r="AZ7" s="30">
        <f>ROUND(Inventory[[#This Row],[25Det]],-2)</f>
        <v>0</v>
      </c>
      <c r="BA7" s="30">
        <f>ROUND(SUM(Inventory[[#This Row],[Mdl Qlty]:[Mdl Garage Area]])+Inventory[[#This Row],[Mdl Res Intercept]],-2)</f>
        <v>329600</v>
      </c>
      <c r="BB7" s="30">
        <f>ROUND(Inventory[[#This Row],[Mdl Land Intercept]]+Inventory[[#This Row],[Mdl LnAcres]],-2)</f>
        <v>64400</v>
      </c>
      <c r="BC7" s="30">
        <f>Inventory[[#This Row],[Unadj Res Value]]+Inventory[[#This Row],[Unadj Det Value]]+Inventory[[#This Row],[Unadj Land Value]]</f>
        <v>394000</v>
      </c>
      <c r="BD7" s="30" t="e">
        <f>([1]!Inventory[[#This Row],[Unadj Total Value]]-[1]!Inventory[[#This Row],[24Final]])/[1]!Inventory[[#This Row],[24Final]]</f>
        <v>#REF!</v>
      </c>
      <c r="BE7" s="30">
        <f>VLOOKUP(Inventory[[#This Row],[Nbhd]],Lookups!$M$3:$P$5,4,FALSE)</f>
        <v>0.99970000000000003</v>
      </c>
      <c r="BF7" s="30">
        <f>VLOOKUP(Inventory[[#This Row],[Qlty]],Lookups!$M$8:$P$22,4,FALSE)</f>
        <v>0.99819999999999998</v>
      </c>
      <c r="BG7" s="30">
        <f>VLOOKUP(Inventory[[#This Row],[Cnd]],Lookups!$R$8:$U$17,4,FALSE)</f>
        <v>1.0012000000000001</v>
      </c>
      <c r="BH7" s="30">
        <f>VLOOKUP(Inventory[[#This Row],[LivArea Range]],Lookups!$R$25:$U$43,4,FALSE)</f>
        <v>1.0007999999999999</v>
      </c>
      <c r="BI7" s="30">
        <f>VLOOKUP(Inventory[[#This Row],[Decade]],Lookups!$M$24:$P$40,4,FALSE)</f>
        <v>1</v>
      </c>
      <c r="BJ7" s="30">
        <f>Inventory[[#This Row],[Nbhd Adj]]*0.95</f>
        <v>0.94971499999999998</v>
      </c>
      <c r="BK7" s="30">
        <f>Inventory[[#This Row],[Nbhd Adj]]*Inventory[[#This Row],[Quality Adj]]*Inventory[[#This Row],[Condition Adj]]*Inventory[[#This Row],[Living Area Adj]]*Inventory[[#This Row],[Decade Adj]]*0.95</f>
        <v>0.94990243411129249</v>
      </c>
      <c r="BL7" s="30">
        <f>ROUND(SUM(Inventory[[#This Row],[Mdl Qlty]:[Mdl Garage Area]])+Inventory[[#This Row],[Mdl Res Intercept]]*Inventory[[#This Row],[Res Adj ]],-2)</f>
        <v>322900</v>
      </c>
      <c r="BM7" s="30">
        <f>ROUND(Inventory[[#This Row],[25Det]]*Inventory[[#This Row],[Det/Nbhd Adj]],-2)</f>
        <v>0</v>
      </c>
      <c r="BN7" s="30">
        <f>Inventory[[#This Row],[Adjusted Res]]+Inventory[[#This Row],[Adj Det ]]</f>
        <v>313100</v>
      </c>
      <c r="BO7" s="30">
        <f>ROUND((Inventory[[#This Row],[Mdl Land Intercept]]+Inventory[[#This Row],[Mdl LnAcres]])*Inventory[[#This Row],[Det/Nbhd Adj]],-2)</f>
        <v>61100</v>
      </c>
      <c r="BP7" s="30">
        <f>Inventory[[#This Row],[Adjusted Impr Total]]+Inventory[[#This Row],[Adjusted Land Total]]</f>
        <v>374200</v>
      </c>
      <c r="BQ7" s="30">
        <f>IFERROR((Inventory[[#This Row],[Adjusted Impr Total]]-Inventory[[#This Row],[24Bldg]])/Inventory[[#This Row],[24Bldg]],0)</f>
        <v>-6.6209364747986874E-2</v>
      </c>
      <c r="BR7" s="43">
        <f>(Inventory[[#This Row],[Adjusted Land Total]]-Inventory[[#This Row],[24Lnd]])/Inventory[[#This Row],[24Lnd]]</f>
        <v>4.9342105263157892E-3</v>
      </c>
      <c r="BS7" s="43">
        <f>(Inventory[[#This Row],[Adjusted Total]]-Inventory[[#This Row],[24Final]])/Inventory[[#This Row],[24Final]]</f>
        <v>-5.5289068417066399E-2</v>
      </c>
    </row>
    <row r="8" spans="1:71">
      <c r="A8" s="30">
        <v>2025</v>
      </c>
      <c r="B8" s="31" t="s">
        <v>1928</v>
      </c>
      <c r="C8" s="31">
        <f>LN(Inventory[[#This Row],[Acres]])</f>
        <v>-1.8263509139976741</v>
      </c>
      <c r="D8" s="30">
        <v>0.18</v>
      </c>
      <c r="E8" s="30">
        <v>8031</v>
      </c>
      <c r="F8" s="31" t="s">
        <v>505</v>
      </c>
      <c r="G8" s="31" t="s">
        <v>155</v>
      </c>
      <c r="H8" s="31" t="s">
        <v>5</v>
      </c>
      <c r="I8" s="31" t="s">
        <v>506</v>
      </c>
      <c r="J8" s="31" t="s">
        <v>1925</v>
      </c>
      <c r="K8" s="31" t="s">
        <v>475</v>
      </c>
      <c r="L8" s="31" t="s">
        <v>15</v>
      </c>
      <c r="M8" s="31" t="s">
        <v>14</v>
      </c>
      <c r="N8" s="31">
        <v>90</v>
      </c>
      <c r="O8" s="31">
        <f>2024-Inventory[[#This Row],[YrBlt]]</f>
        <v>2</v>
      </c>
      <c r="P8" s="31">
        <f>2024-Inventory[[#This Row],[EffYr]]</f>
        <v>2</v>
      </c>
      <c r="Q8" s="30">
        <v>1931</v>
      </c>
      <c r="R8" s="30">
        <v>1970</v>
      </c>
      <c r="S8" s="30">
        <v>939</v>
      </c>
      <c r="T8" s="30">
        <v>100</v>
      </c>
      <c r="U8" s="38">
        <v>313</v>
      </c>
      <c r="V8" s="32"/>
      <c r="W8" s="32"/>
      <c r="X8" s="32">
        <f>Inventory[[#This Row],[Bsmt Area]]-Inventory[[#This Row],[FnBsmt]]</f>
        <v>0</v>
      </c>
      <c r="Y8" s="32">
        <f>Inventory[[#This Row],[MainFn]]+Inventory[[#This Row],[UpprFn]]+Inventory[[#This Row],[AddFn]]+Inventory[[#This Row],[FnBsmt]]</f>
        <v>1619</v>
      </c>
      <c r="Z8" s="32">
        <v>1500</v>
      </c>
      <c r="AA8" s="31" t="s">
        <v>773</v>
      </c>
      <c r="AB8" s="32"/>
      <c r="AC8" s="32"/>
      <c r="AD8" s="32"/>
      <c r="AE8" s="32"/>
      <c r="AF8" s="32"/>
      <c r="AG8" s="32"/>
      <c r="AH8" s="32"/>
      <c r="AI8" s="30">
        <v>170743</v>
      </c>
      <c r="AJ8" s="30">
        <v>107568</v>
      </c>
      <c r="AK8" s="30">
        <v>0</v>
      </c>
      <c r="AL8" s="30">
        <v>0</v>
      </c>
      <c r="AM8" s="30">
        <v>62500</v>
      </c>
      <c r="AN8" s="30">
        <v>163000</v>
      </c>
      <c r="AO8" s="30">
        <v>225500</v>
      </c>
      <c r="AP8" s="30">
        <f>Lookups!$B$58*0.6</f>
        <v>132535.48800000001</v>
      </c>
      <c r="AQ8" s="30">
        <f>Lookups!$B$58*0.4</f>
        <v>88356.992000000013</v>
      </c>
      <c r="AR8" s="30">
        <f>Lookups!$B$59*Inventory[[#This Row],[LnAcres]]</f>
        <v>-23969.615653948869</v>
      </c>
      <c r="AS8" s="30">
        <f>VLOOKUP(Inventory[[#This Row],[Qlty]],Lookups!$A$66:$E$79,2,FALSE)</f>
        <v>37154.252388000001</v>
      </c>
      <c r="AT8" s="30">
        <f>VLOOKUP(Inventory[[#This Row],[Cnd]],Lookups!$A$80:$E$88,2,FALSE)</f>
        <v>47371.278778200001</v>
      </c>
      <c r="AU8" s="30">
        <f>Inventory[[#This Row],[EffAge]]*Lookups!$B$65</f>
        <v>-217.48220000000001</v>
      </c>
      <c r="AV8" s="30">
        <f>Inventory[[#This Row],[MainFn]]*Lookups!$B$90</f>
        <v>101042.40522</v>
      </c>
      <c r="AW8" s="30">
        <f>Inventory[[#This Row],[UpprFn]]*Lookups!$B$91</f>
        <v>0</v>
      </c>
      <c r="AX8" s="30">
        <f>Inventory[[#This Row],[Bsmt Area]]*Lookups!$B$95</f>
        <v>0</v>
      </c>
      <c r="AY8" s="30">
        <f>Inventory[[#This Row],[AttGar]]*Lookups!$B$93</f>
        <v>16944.494880000002</v>
      </c>
      <c r="AZ8" s="30">
        <f>ROUND(Inventory[[#This Row],[25Det]],-2)</f>
        <v>0</v>
      </c>
      <c r="BA8" s="30">
        <f>ROUND(SUM(Inventory[[#This Row],[Mdl Qlty]:[Mdl Garage Area]])+Inventory[[#This Row],[Mdl Res Intercept]],-2)</f>
        <v>334800</v>
      </c>
      <c r="BB8" s="30">
        <f>ROUND(Inventory[[#This Row],[Mdl Land Intercept]]+Inventory[[#This Row],[Mdl LnAcres]],-2)</f>
        <v>64400</v>
      </c>
      <c r="BC8" s="30">
        <f>Inventory[[#This Row],[Unadj Res Value]]+Inventory[[#This Row],[Unadj Det Value]]+Inventory[[#This Row],[Unadj Land Value]]</f>
        <v>399200</v>
      </c>
      <c r="BD8" s="30" t="e">
        <f>([1]!Inventory[[#This Row],[Unadj Total Value]]-[1]!Inventory[[#This Row],[24Final]])/[1]!Inventory[[#This Row],[24Final]]</f>
        <v>#REF!</v>
      </c>
      <c r="BE8" s="30">
        <f>VLOOKUP(Inventory[[#This Row],[Nbhd]],Lookups!$M$3:$P$5,4,FALSE)</f>
        <v>0.99970000000000003</v>
      </c>
      <c r="BF8" s="30">
        <f>VLOOKUP(Inventory[[#This Row],[Qlty]],Lookups!$M$8:$P$22,4,FALSE)</f>
        <v>0.99819999999999998</v>
      </c>
      <c r="BG8" s="30">
        <f>VLOOKUP(Inventory[[#This Row],[Cnd]],Lookups!$R$8:$U$17,4,FALSE)</f>
        <v>1.0012000000000001</v>
      </c>
      <c r="BH8" s="30">
        <f>VLOOKUP(Inventory[[#This Row],[LivArea Range]],Lookups!$R$25:$U$43,4,FALSE)</f>
        <v>1.0007999999999999</v>
      </c>
      <c r="BI8" s="30">
        <f>VLOOKUP(Inventory[[#This Row],[Decade]],Lookups!$M$24:$P$40,4,FALSE)</f>
        <v>1</v>
      </c>
      <c r="BJ8" s="30">
        <f>Inventory[[#This Row],[Nbhd Adj]]*0.95</f>
        <v>0.94971499999999998</v>
      </c>
      <c r="BK8" s="30">
        <f>Inventory[[#This Row],[Nbhd Adj]]*Inventory[[#This Row],[Quality Adj]]*Inventory[[#This Row],[Condition Adj]]*Inventory[[#This Row],[Living Area Adj]]*Inventory[[#This Row],[Decade Adj]]*0.95</f>
        <v>0.94990243411129249</v>
      </c>
      <c r="BL8" s="30">
        <f>ROUND(SUM(Inventory[[#This Row],[Mdl Qlty]:[Mdl Garage Area]])+Inventory[[#This Row],[Mdl Res Intercept]]*Inventory[[#This Row],[Res Adj ]],-2)</f>
        <v>328200</v>
      </c>
      <c r="BM8" s="30">
        <f>ROUND(Inventory[[#This Row],[25Det]]*Inventory[[#This Row],[Det/Nbhd Adj]],-2)</f>
        <v>0</v>
      </c>
      <c r="BN8" s="30">
        <f>Inventory[[#This Row],[Adjusted Res]]+Inventory[[#This Row],[Adj Det ]]</f>
        <v>318100</v>
      </c>
      <c r="BO8" s="30">
        <f>ROUND((Inventory[[#This Row],[Mdl Land Intercept]]+Inventory[[#This Row],[Mdl LnAcres]])*Inventory[[#This Row],[Det/Nbhd Adj]],-2)</f>
        <v>61100</v>
      </c>
      <c r="BP8" s="30">
        <f>Inventory[[#This Row],[Adjusted Impr Total]]+Inventory[[#This Row],[Adjusted Land Total]]</f>
        <v>379200</v>
      </c>
      <c r="BQ8" s="30">
        <f>IFERROR((Inventory[[#This Row],[Adjusted Impr Total]]-Inventory[[#This Row],[24Bldg]])/Inventory[[#This Row],[24Bldg]],0)</f>
        <v>-5.6922620812333236E-2</v>
      </c>
      <c r="BR8" s="43">
        <f>(Inventory[[#This Row],[Adjusted Land Total]]-Inventory[[#This Row],[24Lnd]])/Inventory[[#This Row],[24Lnd]]</f>
        <v>4.9342105263157892E-3</v>
      </c>
      <c r="BS8" s="43">
        <f>(Inventory[[#This Row],[Adjusted Total]]-Inventory[[#This Row],[24Final]])/Inventory[[#This Row],[24Final]]</f>
        <v>-4.7475508666164283E-2</v>
      </c>
    </row>
    <row r="9" spans="1:71">
      <c r="A9" s="30">
        <v>2025</v>
      </c>
      <c r="B9" s="31" t="s">
        <v>1928</v>
      </c>
      <c r="C9" s="31">
        <f>LN(Inventory[[#This Row],[Acres]])</f>
        <v>-1.8263509139976741</v>
      </c>
      <c r="D9" s="30">
        <v>0.18</v>
      </c>
      <c r="E9" s="30">
        <v>8031</v>
      </c>
      <c r="F9" s="31" t="s">
        <v>505</v>
      </c>
      <c r="G9" s="31" t="s">
        <v>155</v>
      </c>
      <c r="H9" s="31" t="s">
        <v>5</v>
      </c>
      <c r="I9" s="31" t="s">
        <v>506</v>
      </c>
      <c r="J9" s="31" t="s">
        <v>1925</v>
      </c>
      <c r="K9" s="31" t="s">
        <v>1786</v>
      </c>
      <c r="L9" s="31" t="s">
        <v>11</v>
      </c>
      <c r="M9" s="31" t="s">
        <v>12</v>
      </c>
      <c r="N9" s="31">
        <v>90</v>
      </c>
      <c r="O9" s="31">
        <f>2024-Inventory[[#This Row],[YrBlt]]</f>
        <v>2</v>
      </c>
      <c r="P9" s="31">
        <f>2024-Inventory[[#This Row],[EffYr]]</f>
        <v>2</v>
      </c>
      <c r="Q9" s="30">
        <v>1930</v>
      </c>
      <c r="R9" s="30">
        <v>1930</v>
      </c>
      <c r="S9" s="30">
        <v>600</v>
      </c>
      <c r="T9" s="37"/>
      <c r="U9" s="37"/>
      <c r="V9" s="32"/>
      <c r="W9" s="32"/>
      <c r="X9" s="32">
        <f>Inventory[[#This Row],[Bsmt Area]]-Inventory[[#This Row],[FnBsmt]]</f>
        <v>0</v>
      </c>
      <c r="Y9" s="32">
        <f>Inventory[[#This Row],[MainFn]]+Inventory[[#This Row],[UpprFn]]+Inventory[[#This Row],[AddFn]]+Inventory[[#This Row],[FnBsmt]]</f>
        <v>1580</v>
      </c>
      <c r="Z9" s="32">
        <v>1000</v>
      </c>
      <c r="AA9" s="31" t="s">
        <v>773</v>
      </c>
      <c r="AB9" s="32"/>
      <c r="AC9" s="32"/>
      <c r="AD9" s="32"/>
      <c r="AE9" s="32"/>
      <c r="AF9" s="32"/>
      <c r="AG9" s="32"/>
      <c r="AH9" s="32"/>
      <c r="AI9" s="30">
        <v>72297</v>
      </c>
      <c r="AJ9" s="30">
        <v>34703</v>
      </c>
      <c r="AK9" s="30">
        <v>0</v>
      </c>
      <c r="AL9" s="30">
        <v>0</v>
      </c>
      <c r="AM9" s="30">
        <v>62500</v>
      </c>
      <c r="AN9" s="30">
        <v>163000</v>
      </c>
      <c r="AO9" s="30">
        <v>225500</v>
      </c>
      <c r="AP9" s="30">
        <f>Lookups!$B$58*0.6</f>
        <v>132535.48800000001</v>
      </c>
      <c r="AQ9" s="30">
        <f>Lookups!$B$58*0.4</f>
        <v>88356.992000000013</v>
      </c>
      <c r="AR9" s="30">
        <f>Lookups!$B$59*Inventory[[#This Row],[LnAcres]]</f>
        <v>-23969.615653948869</v>
      </c>
      <c r="AS9" s="30">
        <f>VLOOKUP(Inventory[[#This Row],[Qlty]],Lookups!$A$66:$E$79,2,FALSE)</f>
        <v>37154.252388000001</v>
      </c>
      <c r="AT9" s="30">
        <f>VLOOKUP(Inventory[[#This Row],[Cnd]],Lookups!$A$80:$E$88,2,FALSE)</f>
        <v>47371.278778200001</v>
      </c>
      <c r="AU9" s="30">
        <f>Inventory[[#This Row],[EffAge]]*Lookups!$B$65</f>
        <v>-217.48220000000001</v>
      </c>
      <c r="AV9" s="30">
        <f>Inventory[[#This Row],[MainFn]]*Lookups!$B$90</f>
        <v>98608.400399999999</v>
      </c>
      <c r="AW9" s="30">
        <f>Inventory[[#This Row],[UpprFn]]*Lookups!$B$91</f>
        <v>0</v>
      </c>
      <c r="AX9" s="30">
        <f>Inventory[[#This Row],[Bsmt Area]]*Lookups!$B$95</f>
        <v>0</v>
      </c>
      <c r="AY9" s="30">
        <f>Inventory[[#This Row],[AttGar]]*Lookups!$B$93</f>
        <v>21745.435096000001</v>
      </c>
      <c r="AZ9" s="30">
        <f>ROUND(Inventory[[#This Row],[25Det]],-2)</f>
        <v>0</v>
      </c>
      <c r="BA9" s="30">
        <f>ROUND(SUM(Inventory[[#This Row],[Mdl Qlty]:[Mdl Garage Area]])+Inventory[[#This Row],[Mdl Res Intercept]],-2)</f>
        <v>337200</v>
      </c>
      <c r="BB9" s="30">
        <f>ROUND(Inventory[[#This Row],[Mdl Land Intercept]]+Inventory[[#This Row],[Mdl LnAcres]],-2)</f>
        <v>64400</v>
      </c>
      <c r="BC9" s="30">
        <f>Inventory[[#This Row],[Unadj Res Value]]+Inventory[[#This Row],[Unadj Det Value]]+Inventory[[#This Row],[Unadj Land Value]]</f>
        <v>401600</v>
      </c>
      <c r="BD9" s="30" t="e">
        <f>([1]!Inventory[[#This Row],[Unadj Total Value]]-[1]!Inventory[[#This Row],[24Final]])/[1]!Inventory[[#This Row],[24Final]]</f>
        <v>#REF!</v>
      </c>
      <c r="BE9" s="30">
        <f>VLOOKUP(Inventory[[#This Row],[Nbhd]],Lookups!$M$3:$P$5,4,FALSE)</f>
        <v>0.99970000000000003</v>
      </c>
      <c r="BF9" s="30">
        <f>VLOOKUP(Inventory[[#This Row],[Qlty]],Lookups!$M$8:$P$22,4,FALSE)</f>
        <v>0.99819999999999998</v>
      </c>
      <c r="BG9" s="30">
        <f>VLOOKUP(Inventory[[#This Row],[Cnd]],Lookups!$R$8:$U$17,4,FALSE)</f>
        <v>1.0012000000000001</v>
      </c>
      <c r="BH9" s="30">
        <f>VLOOKUP(Inventory[[#This Row],[LivArea Range]],Lookups!$R$25:$U$43,4,FALSE)</f>
        <v>1.0007999999999999</v>
      </c>
      <c r="BI9" s="30">
        <f>VLOOKUP(Inventory[[#This Row],[Decade]],Lookups!$M$24:$P$40,4,FALSE)</f>
        <v>1</v>
      </c>
      <c r="BJ9" s="30">
        <f>Inventory[[#This Row],[Nbhd Adj]]*0.95</f>
        <v>0.94971499999999998</v>
      </c>
      <c r="BK9" s="30">
        <f>Inventory[[#This Row],[Nbhd Adj]]*Inventory[[#This Row],[Quality Adj]]*Inventory[[#This Row],[Condition Adj]]*Inventory[[#This Row],[Living Area Adj]]*Inventory[[#This Row],[Decade Adj]]*0.95</f>
        <v>0.94990243411129249</v>
      </c>
      <c r="BL9" s="30">
        <f>ROUND(SUM(Inventory[[#This Row],[Mdl Qlty]:[Mdl Garage Area]])+Inventory[[#This Row],[Mdl Res Intercept]]*Inventory[[#This Row],[Res Adj ]],-2)</f>
        <v>330600</v>
      </c>
      <c r="BM9" s="30">
        <f>ROUND(Inventory[[#This Row],[25Det]]*Inventory[[#This Row],[Det/Nbhd Adj]],-2)</f>
        <v>0</v>
      </c>
      <c r="BN9" s="30">
        <f>Inventory[[#This Row],[Adjusted Res]]+Inventory[[#This Row],[Adj Det ]]</f>
        <v>320300</v>
      </c>
      <c r="BO9" s="30">
        <f>ROUND((Inventory[[#This Row],[Mdl Land Intercept]]+Inventory[[#This Row],[Mdl LnAcres]])*Inventory[[#This Row],[Det/Nbhd Adj]],-2)</f>
        <v>61100</v>
      </c>
      <c r="BP9" s="30">
        <f>Inventory[[#This Row],[Adjusted Impr Total]]+Inventory[[#This Row],[Adjusted Land Total]]</f>
        <v>381400</v>
      </c>
      <c r="BQ9" s="30">
        <f>IFERROR((Inventory[[#This Row],[Adjusted Impr Total]]-Inventory[[#This Row],[24Bldg]])/Inventory[[#This Row],[24Bldg]],0)</f>
        <v>-4.502087060226595E-2</v>
      </c>
      <c r="BR9" s="43">
        <f>(Inventory[[#This Row],[Adjusted Land Total]]-Inventory[[#This Row],[24Lnd]])/Inventory[[#This Row],[24Lnd]]</f>
        <v>4.9342105263157892E-3</v>
      </c>
      <c r="BS9" s="43">
        <f>(Inventory[[#This Row],[Adjusted Total]]-Inventory[[#This Row],[24Final]])/Inventory[[#This Row],[24Final]]</f>
        <v>-3.7354871277132759E-2</v>
      </c>
    </row>
    <row r="10" spans="1:71">
      <c r="A10" s="30">
        <v>2025</v>
      </c>
      <c r="B10" s="31" t="s">
        <v>1929</v>
      </c>
      <c r="C10" s="36">
        <f>LN(Inventory[[#This Row],[Acres]])</f>
        <v>-1.8263509139976741</v>
      </c>
      <c r="D10" s="38">
        <v>73.97</v>
      </c>
      <c r="E10" s="37"/>
      <c r="F10" s="31" t="s">
        <v>505</v>
      </c>
      <c r="G10" s="31" t="s">
        <v>1930</v>
      </c>
      <c r="H10" s="31" t="s">
        <v>5</v>
      </c>
      <c r="I10" s="31" t="s">
        <v>1143</v>
      </c>
      <c r="J10" s="31" t="s">
        <v>1931</v>
      </c>
      <c r="K10" s="31" t="s">
        <v>475</v>
      </c>
      <c r="L10" s="31" t="s">
        <v>15</v>
      </c>
      <c r="M10" s="31" t="s">
        <v>18</v>
      </c>
      <c r="N10" s="31">
        <v>90</v>
      </c>
      <c r="O10" s="31">
        <f>2024-Inventory[[#This Row],[YrBlt]]</f>
        <v>2</v>
      </c>
      <c r="P10" s="31">
        <f>2024-Inventory[[#This Row],[EffYr]]</f>
        <v>2</v>
      </c>
      <c r="Q10" s="30">
        <v>1925</v>
      </c>
      <c r="R10" s="30">
        <v>1968</v>
      </c>
      <c r="S10" s="30">
        <v>1048</v>
      </c>
      <c r="T10" s="32"/>
      <c r="U10" s="38">
        <v>168</v>
      </c>
      <c r="V10" s="32"/>
      <c r="W10" s="32"/>
      <c r="X10" s="32">
        <f>Inventory[[#This Row],[Bsmt Area]]-Inventory[[#This Row],[FnBsmt]]</f>
        <v>0</v>
      </c>
      <c r="Y10" s="32">
        <f>Inventory[[#This Row],[MainFn]]+Inventory[[#This Row],[UpprFn]]+Inventory[[#This Row],[AddFn]]+Inventory[[#This Row],[FnBsmt]]</f>
        <v>1452</v>
      </c>
      <c r="Z10" s="32">
        <v>1500</v>
      </c>
      <c r="AA10" s="31" t="s">
        <v>773</v>
      </c>
      <c r="AB10" s="32"/>
      <c r="AC10" s="37"/>
      <c r="AD10" s="32"/>
      <c r="AE10" s="32"/>
      <c r="AF10" s="32"/>
      <c r="AG10" s="32"/>
      <c r="AH10" s="32"/>
      <c r="AI10" s="30">
        <v>180182</v>
      </c>
      <c r="AJ10" s="30">
        <v>115316</v>
      </c>
      <c r="AK10" s="30">
        <v>16179</v>
      </c>
      <c r="AL10" s="30">
        <v>189000</v>
      </c>
      <c r="AM10" s="30">
        <v>411900</v>
      </c>
      <c r="AN10" s="30">
        <v>285400</v>
      </c>
      <c r="AO10" s="30">
        <v>886300</v>
      </c>
      <c r="AP10" s="30">
        <f>Lookups!$B$58*0.6</f>
        <v>132535.48800000001</v>
      </c>
      <c r="AQ10" s="30">
        <f>Lookups!$B$58*0.4</f>
        <v>88356.992000000013</v>
      </c>
      <c r="AR10" s="30">
        <f>Lookups!$B$59*Inventory[[#This Row],[LnAcres]]</f>
        <v>-23969.615653948869</v>
      </c>
      <c r="AS10" s="30">
        <f>VLOOKUP(Inventory[[#This Row],[Qlty]],Lookups!$A$66:$E$79,2,FALSE)</f>
        <v>37154.252388000001</v>
      </c>
      <c r="AT10" s="30">
        <f>VLOOKUP(Inventory[[#This Row],[Cnd]],Lookups!$A$80:$E$88,2,FALSE)</f>
        <v>47371.278778200001</v>
      </c>
      <c r="AU10" s="30">
        <f>Inventory[[#This Row],[EffAge]]*Lookups!$B$65</f>
        <v>-217.48220000000001</v>
      </c>
      <c r="AV10" s="30">
        <f>Inventory[[#This Row],[MainFn]]*Lookups!$B$90</f>
        <v>90619.871760000009</v>
      </c>
      <c r="AW10" s="30">
        <f>Inventory[[#This Row],[UpprFn]]*Lookups!$B$91</f>
        <v>0</v>
      </c>
      <c r="AX10" s="30">
        <f>Inventory[[#This Row],[Bsmt Area]]*Lookups!$B$95</f>
        <v>0</v>
      </c>
      <c r="AY10" s="30">
        <f>Inventory[[#This Row],[AttGar]]*Lookups!$B$93</f>
        <v>21745.435096000001</v>
      </c>
      <c r="AZ10" s="30">
        <f>ROUND(Inventory[[#This Row],[25Det]],-2)</f>
        <v>0</v>
      </c>
      <c r="BA10" s="30">
        <f>ROUND(SUM(Inventory[[#This Row],[Mdl Qlty]:[Mdl Garage Area]])+Inventory[[#This Row],[Mdl Res Intercept]],-2)</f>
        <v>329200</v>
      </c>
      <c r="BB10" s="30">
        <f>ROUND(Inventory[[#This Row],[Mdl Land Intercept]]+Inventory[[#This Row],[Mdl LnAcres]],-2)</f>
        <v>64400</v>
      </c>
      <c r="BC10" s="30">
        <f>Inventory[[#This Row],[Unadj Res Value]]+Inventory[[#This Row],[Unadj Det Value]]+Inventory[[#This Row],[Unadj Land Value]]</f>
        <v>393600</v>
      </c>
      <c r="BD10" s="30" t="e">
        <f>([1]!Inventory[[#This Row],[Unadj Total Value]]-[1]!Inventory[[#This Row],[24Final]])/[1]!Inventory[[#This Row],[24Final]]</f>
        <v>#REF!</v>
      </c>
      <c r="BE10" s="30">
        <f>VLOOKUP(Inventory[[#This Row],[Nbhd]],Lookups!$M$3:$P$5,4,FALSE)</f>
        <v>0.99970000000000003</v>
      </c>
      <c r="BF10" s="30">
        <f>VLOOKUP(Inventory[[#This Row],[Qlty]],Lookups!$M$8:$P$22,4,FALSE)</f>
        <v>0.99819999999999998</v>
      </c>
      <c r="BG10" s="30">
        <f>VLOOKUP(Inventory[[#This Row],[Cnd]],Lookups!$R$8:$U$17,4,FALSE)</f>
        <v>1.0012000000000001</v>
      </c>
      <c r="BH10" s="30">
        <f>VLOOKUP(Inventory[[#This Row],[LivArea Range]],Lookups!$R$25:$U$43,4,FALSE)</f>
        <v>0.99519999999999997</v>
      </c>
      <c r="BI10" s="30">
        <f>VLOOKUP(Inventory[[#This Row],[Decade]],Lookups!$M$24:$P$40,4,FALSE)</f>
        <v>1</v>
      </c>
      <c r="BJ10" s="30">
        <f>Inventory[[#This Row],[Nbhd Adj]]*0.95</f>
        <v>0.94971499999999998</v>
      </c>
      <c r="BK10" s="30">
        <f>Inventory[[#This Row],[Nbhd Adj]]*Inventory[[#This Row],[Quality Adj]]*Inventory[[#This Row],[Condition Adj]]*Inventory[[#This Row],[Living Area Adj]]*Inventory[[#This Row],[Decade Adj]]*0.95</f>
        <v>0.94458723264144517</v>
      </c>
      <c r="BL10" s="30">
        <f>ROUND(SUM(Inventory[[#This Row],[Mdl Qlty]:[Mdl Garage Area]])+Inventory[[#This Row],[Mdl Res Intercept]]*Inventory[[#This Row],[Res Adj ]],-2)</f>
        <v>322400</v>
      </c>
      <c r="BM10" s="30">
        <f>ROUND(Inventory[[#This Row],[25Det]]*Inventory[[#This Row],[Det/Nbhd Adj]],-2)</f>
        <v>0</v>
      </c>
      <c r="BN10" s="30">
        <f>Inventory[[#This Row],[Adjusted Res]]+Inventory[[#This Row],[Adj Det ]]</f>
        <v>312400</v>
      </c>
      <c r="BO10" s="30">
        <f>ROUND((Inventory[[#This Row],[Mdl Land Intercept]]+Inventory[[#This Row],[Mdl LnAcres]])*Inventory[[#This Row],[Det/Nbhd Adj]],-2)</f>
        <v>61100</v>
      </c>
      <c r="BP10" s="30">
        <f>Inventory[[#This Row],[Adjusted Impr Total]]+Inventory[[#This Row],[Adjusted Land Total]]</f>
        <v>373500</v>
      </c>
      <c r="BQ10" s="30">
        <f>IFERROR((Inventory[[#This Row],[Adjusted Impr Total]]-Inventory[[#This Row],[24Bldg]])/Inventory[[#This Row],[24Bldg]],0)</f>
        <v>-2.9210689869484153E-2</v>
      </c>
      <c r="BR10" s="43">
        <f>(Inventory[[#This Row],[Adjusted Land Total]]-Inventory[[#This Row],[24Lnd]])/Inventory[[#This Row],[24Lnd]]</f>
        <v>4.9342105263157892E-3</v>
      </c>
      <c r="BS10" s="43">
        <f>(Inventory[[#This Row],[Adjusted Total]]-Inventory[[#This Row],[24Final]])/Inventory[[#This Row],[24Final]]</f>
        <v>-2.3784631468897019E-2</v>
      </c>
    </row>
    <row r="11" spans="1:71">
      <c r="A11" s="30">
        <v>2025</v>
      </c>
      <c r="B11" s="31" t="s">
        <v>1929</v>
      </c>
      <c r="C11" s="36">
        <f>LN(Inventory[[#This Row],[Acres]])</f>
        <v>-1.8263509139976741</v>
      </c>
      <c r="D11" s="38">
        <v>73.97</v>
      </c>
      <c r="E11" s="37"/>
      <c r="F11" s="31" t="s">
        <v>505</v>
      </c>
      <c r="G11" s="31" t="s">
        <v>1930</v>
      </c>
      <c r="H11" s="31" t="s">
        <v>5</v>
      </c>
      <c r="I11" s="31" t="s">
        <v>1143</v>
      </c>
      <c r="J11" s="31" t="s">
        <v>1931</v>
      </c>
      <c r="K11" s="31" t="s">
        <v>473</v>
      </c>
      <c r="L11" s="31" t="s">
        <v>15</v>
      </c>
      <c r="M11" s="31" t="s">
        <v>18</v>
      </c>
      <c r="N11" s="31">
        <v>100</v>
      </c>
      <c r="O11" s="31">
        <f>2024-Inventory[[#This Row],[YrBlt]]</f>
        <v>2</v>
      </c>
      <c r="P11" s="31">
        <f>2024-Inventory[[#This Row],[EffYr]]</f>
        <v>2</v>
      </c>
      <c r="Q11" s="30">
        <v>1920</v>
      </c>
      <c r="R11" s="30">
        <v>1966</v>
      </c>
      <c r="S11" s="30">
        <v>846</v>
      </c>
      <c r="T11" s="32"/>
      <c r="U11" s="32"/>
      <c r="V11" s="32"/>
      <c r="W11" s="32"/>
      <c r="X11" s="32">
        <f>Inventory[[#This Row],[Bsmt Area]]-Inventory[[#This Row],[FnBsmt]]</f>
        <v>0</v>
      </c>
      <c r="Y11" s="32">
        <f>Inventory[[#This Row],[MainFn]]+Inventory[[#This Row],[UpprFn]]+Inventory[[#This Row],[AddFn]]+Inventory[[#This Row],[FnBsmt]]</f>
        <v>1452</v>
      </c>
      <c r="Z11" s="32">
        <v>1000</v>
      </c>
      <c r="AA11" s="31" t="s">
        <v>773</v>
      </c>
      <c r="AB11" s="32"/>
      <c r="AC11" s="37"/>
      <c r="AD11" s="32"/>
      <c r="AE11" s="32"/>
      <c r="AF11" s="32"/>
      <c r="AG11" s="32"/>
      <c r="AH11" s="32"/>
      <c r="AI11" s="30">
        <v>125884</v>
      </c>
      <c r="AJ11" s="30">
        <v>78048</v>
      </c>
      <c r="AK11" s="30">
        <v>16179</v>
      </c>
      <c r="AL11" s="30">
        <v>189000</v>
      </c>
      <c r="AM11" s="30">
        <v>411900</v>
      </c>
      <c r="AN11" s="30">
        <v>285400</v>
      </c>
      <c r="AO11" s="30">
        <v>886300</v>
      </c>
      <c r="AP11" s="30">
        <f>Lookups!$B$58*0.6</f>
        <v>132535.48800000001</v>
      </c>
      <c r="AQ11" s="30">
        <f>Lookups!$B$58*0.4</f>
        <v>88356.992000000013</v>
      </c>
      <c r="AR11" s="30">
        <f>Lookups!$B$59*Inventory[[#This Row],[LnAcres]]</f>
        <v>-23969.615653948869</v>
      </c>
      <c r="AS11" s="30">
        <f>VLOOKUP(Inventory[[#This Row],[Qlty]],Lookups!$A$66:$E$79,2,FALSE)</f>
        <v>37154.252388000001</v>
      </c>
      <c r="AT11" s="30">
        <f>VLOOKUP(Inventory[[#This Row],[Cnd]],Lookups!$A$80:$E$88,2,FALSE)</f>
        <v>47371.278778200001</v>
      </c>
      <c r="AU11" s="30">
        <f>Inventory[[#This Row],[EffAge]]*Lookups!$B$65</f>
        <v>-217.48220000000001</v>
      </c>
      <c r="AV11" s="30">
        <f>Inventory[[#This Row],[MainFn]]*Lookups!$B$90</f>
        <v>90619.871760000009</v>
      </c>
      <c r="AW11" s="30">
        <f>Inventory[[#This Row],[UpprFn]]*Lookups!$B$91</f>
        <v>0</v>
      </c>
      <c r="AX11" s="30">
        <f>Inventory[[#This Row],[Bsmt Area]]*Lookups!$B$95</f>
        <v>0</v>
      </c>
      <c r="AY11" s="30">
        <f>Inventory[[#This Row],[AttGar]]*Lookups!$B$93</f>
        <v>14120.412400000001</v>
      </c>
      <c r="AZ11" s="30">
        <f>ROUND(Inventory[[#This Row],[25Det]],-2)</f>
        <v>0</v>
      </c>
      <c r="BA11" s="30">
        <f>ROUND(SUM(Inventory[[#This Row],[Mdl Qlty]:[Mdl Garage Area]])+Inventory[[#This Row],[Mdl Res Intercept]],-2)</f>
        <v>321600</v>
      </c>
      <c r="BB11" s="30">
        <f>ROUND(Inventory[[#This Row],[Mdl Land Intercept]]+Inventory[[#This Row],[Mdl LnAcres]],-2)</f>
        <v>64400</v>
      </c>
      <c r="BC11" s="30">
        <f>Inventory[[#This Row],[Unadj Res Value]]+Inventory[[#This Row],[Unadj Det Value]]+Inventory[[#This Row],[Unadj Land Value]]</f>
        <v>386000</v>
      </c>
      <c r="BD11" s="30" t="e">
        <f>([1]!Inventory[[#This Row],[Unadj Total Value]]-[1]!Inventory[[#This Row],[24Final]])/[1]!Inventory[[#This Row],[24Final]]</f>
        <v>#REF!</v>
      </c>
      <c r="BE11" s="30">
        <f>VLOOKUP(Inventory[[#This Row],[Nbhd]],Lookups!$M$3:$P$5,4,FALSE)</f>
        <v>0.99970000000000003</v>
      </c>
      <c r="BF11" s="30">
        <f>VLOOKUP(Inventory[[#This Row],[Qlty]],Lookups!$M$8:$P$22,4,FALSE)</f>
        <v>0.99819999999999998</v>
      </c>
      <c r="BG11" s="30">
        <f>VLOOKUP(Inventory[[#This Row],[Cnd]],Lookups!$R$8:$U$17,4,FALSE)</f>
        <v>1.0012000000000001</v>
      </c>
      <c r="BH11" s="30">
        <f>VLOOKUP(Inventory[[#This Row],[LivArea Range]],Lookups!$R$25:$U$43,4,FALSE)</f>
        <v>0.99519999999999997</v>
      </c>
      <c r="BI11" s="30">
        <f>VLOOKUP(Inventory[[#This Row],[Decade]],Lookups!$M$24:$P$40,4,FALSE)</f>
        <v>1</v>
      </c>
      <c r="BJ11" s="30">
        <f>Inventory[[#This Row],[Nbhd Adj]]*0.95</f>
        <v>0.94971499999999998</v>
      </c>
      <c r="BK11" s="30">
        <f>Inventory[[#This Row],[Nbhd Adj]]*Inventory[[#This Row],[Quality Adj]]*Inventory[[#This Row],[Condition Adj]]*Inventory[[#This Row],[Living Area Adj]]*Inventory[[#This Row],[Decade Adj]]*0.95</f>
        <v>0.94458723264144517</v>
      </c>
      <c r="BL11" s="30">
        <f>ROUND(SUM(Inventory[[#This Row],[Mdl Qlty]:[Mdl Garage Area]])+Inventory[[#This Row],[Mdl Res Intercept]]*Inventory[[#This Row],[Res Adj ]],-2)</f>
        <v>314800</v>
      </c>
      <c r="BM11" s="30">
        <f>ROUND(Inventory[[#This Row],[25Det]]*Inventory[[#This Row],[Det/Nbhd Adj]],-2)</f>
        <v>0</v>
      </c>
      <c r="BN11" s="30">
        <f>Inventory[[#This Row],[Adjusted Res]]+Inventory[[#This Row],[Adj Det ]]</f>
        <v>305200</v>
      </c>
      <c r="BO11" s="30">
        <f>ROUND((Inventory[[#This Row],[Mdl Land Intercept]]+Inventory[[#This Row],[Mdl LnAcres]])*Inventory[[#This Row],[Det/Nbhd Adj]],-2)</f>
        <v>61100</v>
      </c>
      <c r="BP11" s="30">
        <f>Inventory[[#This Row],[Adjusted Impr Total]]+Inventory[[#This Row],[Adjusted Land Total]]</f>
        <v>366300</v>
      </c>
      <c r="BQ11" s="30">
        <f>IFERROR((Inventory[[#This Row],[Adjusted Impr Total]]-Inventory[[#This Row],[24Bldg]])/Inventory[[#This Row],[24Bldg]],0)</f>
        <v>-2.3359999999999999E-2</v>
      </c>
      <c r="BR11" s="43">
        <f>(Inventory[[#This Row],[Adjusted Land Total]]-Inventory[[#This Row],[24Lnd]])/Inventory[[#This Row],[24Lnd]]</f>
        <v>4.9342105263157892E-3</v>
      </c>
      <c r="BS11" s="43">
        <f>(Inventory[[#This Row],[Adjusted Total]]-Inventory[[#This Row],[24Final]])/Inventory[[#This Row],[24Final]]</f>
        <v>-1.8751674256630057E-2</v>
      </c>
    </row>
    <row r="12" spans="1:71">
      <c r="A12" s="30">
        <v>2025</v>
      </c>
      <c r="B12" s="31" t="s">
        <v>1932</v>
      </c>
      <c r="C12" s="36">
        <f>LN(Inventory[[#This Row],[Acres]])</f>
        <v>-1.8263509139976741</v>
      </c>
      <c r="D12" s="38">
        <v>33.96</v>
      </c>
      <c r="E12" s="37"/>
      <c r="F12" s="31" t="s">
        <v>505</v>
      </c>
      <c r="G12" s="31" t="s">
        <v>1930</v>
      </c>
      <c r="H12" s="31" t="s">
        <v>5</v>
      </c>
      <c r="I12" s="31" t="s">
        <v>1143</v>
      </c>
      <c r="J12" s="31" t="s">
        <v>567</v>
      </c>
      <c r="K12" s="31" t="s">
        <v>193</v>
      </c>
      <c r="L12" s="31" t="s">
        <v>19</v>
      </c>
      <c r="M12" s="31" t="s">
        <v>22</v>
      </c>
      <c r="N12" s="31">
        <v>20</v>
      </c>
      <c r="O12" s="31">
        <f>2024-Inventory[[#This Row],[YrBlt]]</f>
        <v>2</v>
      </c>
      <c r="P12" s="31">
        <f>2024-Inventory[[#This Row],[EffYr]]</f>
        <v>2</v>
      </c>
      <c r="Q12" s="30">
        <v>2003</v>
      </c>
      <c r="R12" s="30">
        <v>2003</v>
      </c>
      <c r="S12" s="30">
        <v>1800</v>
      </c>
      <c r="T12" s="32"/>
      <c r="U12" s="32"/>
      <c r="V12" s="32"/>
      <c r="W12" s="32"/>
      <c r="X12" s="32">
        <f>Inventory[[#This Row],[Bsmt Area]]-Inventory[[#This Row],[FnBsmt]]</f>
        <v>0</v>
      </c>
      <c r="Y12" s="32">
        <f>Inventory[[#This Row],[MainFn]]+Inventory[[#This Row],[UpprFn]]+Inventory[[#This Row],[AddFn]]+Inventory[[#This Row],[FnBsmt]]</f>
        <v>2226</v>
      </c>
      <c r="Z12" s="32">
        <v>2000</v>
      </c>
      <c r="AA12" s="31" t="s">
        <v>773</v>
      </c>
      <c r="AB12" s="37"/>
      <c r="AC12" s="30">
        <v>576</v>
      </c>
      <c r="AD12" s="32"/>
      <c r="AE12" s="32"/>
      <c r="AF12" s="32"/>
      <c r="AG12" s="32"/>
      <c r="AH12" s="32"/>
      <c r="AI12" s="30">
        <v>365621</v>
      </c>
      <c r="AJ12" s="30">
        <v>336371</v>
      </c>
      <c r="AK12" s="30">
        <v>217081</v>
      </c>
      <c r="AL12" s="30">
        <v>28000</v>
      </c>
      <c r="AM12" s="30">
        <v>201200</v>
      </c>
      <c r="AN12" s="30">
        <v>1909900</v>
      </c>
      <c r="AO12" s="30">
        <v>2139100</v>
      </c>
      <c r="AP12" s="30">
        <f>Lookups!$B$58*0.6</f>
        <v>132535.48800000001</v>
      </c>
      <c r="AQ12" s="30">
        <f>Lookups!$B$58*0.4</f>
        <v>88356.992000000013</v>
      </c>
      <c r="AR12" s="30">
        <f>Lookups!$B$59*Inventory[[#This Row],[LnAcres]]</f>
        <v>-23969.615653948869</v>
      </c>
      <c r="AS12" s="30">
        <f>VLOOKUP(Inventory[[#This Row],[Qlty]],Lookups!$A$66:$E$79,2,FALSE)</f>
        <v>32917.849192000001</v>
      </c>
      <c r="AT12" s="30">
        <f>VLOOKUP(Inventory[[#This Row],[Cnd]],Lookups!$A$80:$E$88,2,FALSE)</f>
        <v>47371.278778200001</v>
      </c>
      <c r="AU12" s="30">
        <f>Inventory[[#This Row],[EffAge]]*Lookups!$B$65</f>
        <v>-217.48220000000001</v>
      </c>
      <c r="AV12" s="30">
        <f>Inventory[[#This Row],[MainFn]]*Lookups!$B$90</f>
        <v>58041.653400000003</v>
      </c>
      <c r="AW12" s="30">
        <f>Inventory[[#This Row],[UpprFn]]*Lookups!$B$91</f>
        <v>77216.176368</v>
      </c>
      <c r="AX12" s="30">
        <f>Inventory[[#This Row],[Bsmt Area]]*Lookups!$B$95</f>
        <v>0</v>
      </c>
      <c r="AY12" s="30">
        <f>Inventory[[#This Row],[AttGar]]*Lookups!$B$93</f>
        <v>0</v>
      </c>
      <c r="AZ12" s="30">
        <f>ROUND(Inventory[[#This Row],[25Det]],-2)</f>
        <v>0</v>
      </c>
      <c r="BA12" s="30">
        <f>ROUND(SUM(Inventory[[#This Row],[Mdl Qlty]:[Mdl Garage Area]])+Inventory[[#This Row],[Mdl Res Intercept]],-2)</f>
        <v>347900</v>
      </c>
      <c r="BB12" s="30">
        <f>ROUND(Inventory[[#This Row],[Mdl Land Intercept]]+Inventory[[#This Row],[Mdl LnAcres]],-2)</f>
        <v>64400</v>
      </c>
      <c r="BC12" s="30">
        <f>Inventory[[#This Row],[Unadj Res Value]]+Inventory[[#This Row],[Unadj Det Value]]+Inventory[[#This Row],[Unadj Land Value]]</f>
        <v>412300</v>
      </c>
      <c r="BD12" s="30" t="e">
        <f>([1]!Inventory[[#This Row],[Unadj Total Value]]-[1]!Inventory[[#This Row],[24Final]])/[1]!Inventory[[#This Row],[24Final]]</f>
        <v>#REF!</v>
      </c>
      <c r="BE12" s="30">
        <f>VLOOKUP(Inventory[[#This Row],[Nbhd]],Lookups!$M$3:$P$5,4,FALSE)</f>
        <v>0.99970000000000003</v>
      </c>
      <c r="BF12" s="30">
        <f>VLOOKUP(Inventory[[#This Row],[Qlty]],Lookups!$M$8:$P$22,4,FALSE)</f>
        <v>1.0019</v>
      </c>
      <c r="BG12" s="30">
        <f>VLOOKUP(Inventory[[#This Row],[Cnd]],Lookups!$R$8:$U$17,4,FALSE)</f>
        <v>1.0012000000000001</v>
      </c>
      <c r="BH12" s="30">
        <f>VLOOKUP(Inventory[[#This Row],[LivArea Range]],Lookups!$R$25:$U$43,4,FALSE)</f>
        <v>1.0008999999999999</v>
      </c>
      <c r="BI12" s="30">
        <f>VLOOKUP(Inventory[[#This Row],[Decade]],Lookups!$M$24:$P$40,4,FALSE)</f>
        <v>1</v>
      </c>
      <c r="BJ12" s="30">
        <f>Inventory[[#This Row],[Nbhd Adj]]*0.95</f>
        <v>0.94971499999999998</v>
      </c>
      <c r="BK12" s="30">
        <f>Inventory[[#This Row],[Nbhd Adj]]*Inventory[[#This Row],[Quality Adj]]*Inventory[[#This Row],[Condition Adj]]*Inventory[[#This Row],[Living Area Adj]]*Inventory[[#This Row],[Decade Adj]]*0.95</f>
        <v>0.95351867700386495</v>
      </c>
      <c r="BL12" s="30">
        <f>ROUND(SUM(Inventory[[#This Row],[Mdl Qlty]:[Mdl Garage Area]])+Inventory[[#This Row],[Mdl Res Intercept]]*Inventory[[#This Row],[Res Adj ]],-2)</f>
        <v>341300</v>
      </c>
      <c r="BM12" s="30">
        <f>ROUND(Inventory[[#This Row],[25Det]]*Inventory[[#This Row],[Det/Nbhd Adj]],-2)</f>
        <v>0</v>
      </c>
      <c r="BN12" s="30">
        <f>Inventory[[#This Row],[Adjusted Res]]+Inventory[[#This Row],[Adj Det ]]</f>
        <v>330700</v>
      </c>
      <c r="BO12" s="30">
        <f>ROUND((Inventory[[#This Row],[Mdl Land Intercept]]+Inventory[[#This Row],[Mdl LnAcres]])*Inventory[[#This Row],[Det/Nbhd Adj]],-2)</f>
        <v>61100</v>
      </c>
      <c r="BP12" s="30">
        <f>Inventory[[#This Row],[Adjusted Impr Total]]+Inventory[[#This Row],[Adjusted Land Total]]</f>
        <v>391800</v>
      </c>
      <c r="BQ12" s="30">
        <f>IFERROR((Inventory[[#This Row],[Adjusted Impr Total]]-Inventory[[#This Row],[24Bldg]])/Inventory[[#This Row],[24Bldg]],0)</f>
        <v>-9.9155543448651587E-2</v>
      </c>
      <c r="BR12" s="43">
        <f>(Inventory[[#This Row],[Adjusted Land Total]]-Inventory[[#This Row],[24Lnd]])/Inventory[[#This Row],[24Lnd]]</f>
        <v>4.9342105263157892E-3</v>
      </c>
      <c r="BS12" s="43">
        <f>(Inventory[[#This Row],[Adjusted Total]]-Inventory[[#This Row],[24Final]])/Inventory[[#This Row],[24Final]]</f>
        <v>-8.4365505959336298E-2</v>
      </c>
    </row>
    <row r="13" spans="1:71">
      <c r="A13" s="30">
        <v>2025</v>
      </c>
      <c r="B13" s="31" t="s">
        <v>1932</v>
      </c>
      <c r="C13" s="36">
        <f>LN(Inventory[[#This Row],[Acres]])</f>
        <v>-1.8263509139976741</v>
      </c>
      <c r="D13" s="38">
        <v>33.96</v>
      </c>
      <c r="E13" s="37"/>
      <c r="F13" s="31" t="s">
        <v>505</v>
      </c>
      <c r="G13" s="31" t="s">
        <v>1930</v>
      </c>
      <c r="H13" s="31" t="s">
        <v>5</v>
      </c>
      <c r="I13" s="31" t="s">
        <v>1143</v>
      </c>
      <c r="J13" s="31" t="s">
        <v>567</v>
      </c>
      <c r="K13" s="31" t="s">
        <v>568</v>
      </c>
      <c r="L13" s="31" t="s">
        <v>27</v>
      </c>
      <c r="M13" s="31" t="s">
        <v>20</v>
      </c>
      <c r="N13" s="31">
        <v>10</v>
      </c>
      <c r="O13" s="31">
        <f>2024-Inventory[[#This Row],[YrBlt]]</f>
        <v>2</v>
      </c>
      <c r="P13" s="31">
        <f>2024-Inventory[[#This Row],[EffYr]]</f>
        <v>2</v>
      </c>
      <c r="Q13" s="30">
        <v>2008</v>
      </c>
      <c r="R13" s="30">
        <v>2008</v>
      </c>
      <c r="S13" s="30">
        <v>3935</v>
      </c>
      <c r="T13" s="30">
        <v>2340</v>
      </c>
      <c r="U13" s="38">
        <v>1716</v>
      </c>
      <c r="V13" s="32"/>
      <c r="W13" s="38">
        <v>1716</v>
      </c>
      <c r="X13" s="38">
        <f>Inventory[[#This Row],[Bsmt Area]]-Inventory[[#This Row],[FnBsmt]]</f>
        <v>0</v>
      </c>
      <c r="Y13" s="38">
        <f>Inventory[[#This Row],[MainFn]]+Inventory[[#This Row],[UpprFn]]+Inventory[[#This Row],[AddFn]]+Inventory[[#This Row],[FnBsmt]]</f>
        <v>2226</v>
      </c>
      <c r="Z13" s="38">
        <v>8000</v>
      </c>
      <c r="AA13" s="31" t="s">
        <v>57</v>
      </c>
      <c r="AB13" s="37"/>
      <c r="AC13" s="38">
        <v>1496</v>
      </c>
      <c r="AD13" s="37"/>
      <c r="AE13" s="32"/>
      <c r="AF13" s="38">
        <v>62</v>
      </c>
      <c r="AG13" s="32"/>
      <c r="AH13" s="32"/>
      <c r="AI13" s="30">
        <v>2183606</v>
      </c>
      <c r="AJ13" s="30">
        <v>1288328</v>
      </c>
      <c r="AK13" s="30">
        <v>217081</v>
      </c>
      <c r="AL13" s="30">
        <v>28000</v>
      </c>
      <c r="AM13" s="30">
        <v>201200</v>
      </c>
      <c r="AN13" s="30">
        <v>1909900</v>
      </c>
      <c r="AO13" s="30">
        <v>2139100</v>
      </c>
      <c r="AP13" s="30">
        <f>Lookups!$B$58*0.6</f>
        <v>132535.48800000001</v>
      </c>
      <c r="AQ13" s="30">
        <f>Lookups!$B$58*0.4</f>
        <v>88356.992000000013</v>
      </c>
      <c r="AR13" s="30">
        <f>Lookups!$B$59*Inventory[[#This Row],[LnAcres]]</f>
        <v>-23969.615653948869</v>
      </c>
      <c r="AS13" s="30">
        <f>VLOOKUP(Inventory[[#This Row],[Qlty]],Lookups!$A$66:$E$79,2,FALSE)</f>
        <v>32917.849192000001</v>
      </c>
      <c r="AT13" s="30">
        <f>VLOOKUP(Inventory[[#This Row],[Cnd]],Lookups!$A$80:$E$88,2,FALSE)</f>
        <v>47371.278778200001</v>
      </c>
      <c r="AU13" s="30">
        <f>Inventory[[#This Row],[EffAge]]*Lookups!$B$65</f>
        <v>-217.48220000000001</v>
      </c>
      <c r="AV13" s="30">
        <f>Inventory[[#This Row],[MainFn]]*Lookups!$B$90</f>
        <v>58041.653400000003</v>
      </c>
      <c r="AW13" s="30">
        <f>Inventory[[#This Row],[UpprFn]]*Lookups!$B$91</f>
        <v>77216.176368</v>
      </c>
      <c r="AX13" s="30">
        <f>Inventory[[#This Row],[Bsmt Area]]*Lookups!$B$95</f>
        <v>0</v>
      </c>
      <c r="AY13" s="30">
        <f>Inventory[[#This Row],[AttGar]]*Lookups!$B$93</f>
        <v>0</v>
      </c>
      <c r="AZ13" s="30">
        <f>ROUND(Inventory[[#This Row],[25Det]],-2)</f>
        <v>0</v>
      </c>
      <c r="BA13" s="30">
        <f>ROUND(SUM(Inventory[[#This Row],[Mdl Qlty]:[Mdl Garage Area]])+Inventory[[#This Row],[Mdl Res Intercept]],-2)</f>
        <v>347900</v>
      </c>
      <c r="BB13" s="30">
        <f>ROUND(Inventory[[#This Row],[Mdl Land Intercept]]+Inventory[[#This Row],[Mdl LnAcres]],-2)</f>
        <v>64400</v>
      </c>
      <c r="BC13" s="30">
        <f>Inventory[[#This Row],[Unadj Res Value]]+Inventory[[#This Row],[Unadj Det Value]]+Inventory[[#This Row],[Unadj Land Value]]</f>
        <v>412300</v>
      </c>
      <c r="BD13" s="30" t="e">
        <f>([1]!Inventory[[#This Row],[Unadj Total Value]]-[1]!Inventory[[#This Row],[24Final]])/[1]!Inventory[[#This Row],[24Final]]</f>
        <v>#REF!</v>
      </c>
      <c r="BE13" s="30">
        <f>VLOOKUP(Inventory[[#This Row],[Nbhd]],Lookups!$M$3:$P$5,4,FALSE)</f>
        <v>0.99970000000000003</v>
      </c>
      <c r="BF13" s="30">
        <f>VLOOKUP(Inventory[[#This Row],[Qlty]],Lookups!$M$8:$P$22,4,FALSE)</f>
        <v>1.0019</v>
      </c>
      <c r="BG13" s="30">
        <f>VLOOKUP(Inventory[[#This Row],[Cnd]],Lookups!$R$8:$U$17,4,FALSE)</f>
        <v>1.0012000000000001</v>
      </c>
      <c r="BH13" s="30">
        <f>VLOOKUP(Inventory[[#This Row],[LivArea Range]],Lookups!$R$25:$U$43,4,FALSE)</f>
        <v>1.0008999999999999</v>
      </c>
      <c r="BI13" s="30">
        <f>VLOOKUP(Inventory[[#This Row],[Decade]],Lookups!$M$24:$P$40,4,FALSE)</f>
        <v>1</v>
      </c>
      <c r="BJ13" s="30">
        <f>Inventory[[#This Row],[Nbhd Adj]]*0.95</f>
        <v>0.94971499999999998</v>
      </c>
      <c r="BK13" s="30">
        <f>Inventory[[#This Row],[Nbhd Adj]]*Inventory[[#This Row],[Quality Adj]]*Inventory[[#This Row],[Condition Adj]]*Inventory[[#This Row],[Living Area Adj]]*Inventory[[#This Row],[Decade Adj]]*0.95</f>
        <v>0.95351867700386495</v>
      </c>
      <c r="BL13" s="30">
        <f>ROUND(SUM(Inventory[[#This Row],[Mdl Qlty]:[Mdl Garage Area]])+Inventory[[#This Row],[Mdl Res Intercept]]*Inventory[[#This Row],[Res Adj ]],-2)</f>
        <v>341300</v>
      </c>
      <c r="BM13" s="30">
        <f>ROUND(Inventory[[#This Row],[25Det]]*Inventory[[#This Row],[Det/Nbhd Adj]],-2)</f>
        <v>0</v>
      </c>
      <c r="BN13" s="30">
        <f>Inventory[[#This Row],[Adjusted Res]]+Inventory[[#This Row],[Adj Det ]]</f>
        <v>330700</v>
      </c>
      <c r="BO13" s="30">
        <f>ROUND((Inventory[[#This Row],[Mdl Land Intercept]]+Inventory[[#This Row],[Mdl LnAcres]])*Inventory[[#This Row],[Det/Nbhd Adj]],-2)</f>
        <v>61100</v>
      </c>
      <c r="BP13" s="30">
        <f>Inventory[[#This Row],[Adjusted Impr Total]]+Inventory[[#This Row],[Adjusted Land Total]]</f>
        <v>391800</v>
      </c>
      <c r="BQ13" s="30">
        <f>IFERROR((Inventory[[#This Row],[Adjusted Impr Total]]-Inventory[[#This Row],[24Bldg]])/Inventory[[#This Row],[24Bldg]],0)</f>
        <v>-9.9155543448651587E-2</v>
      </c>
      <c r="BR13" s="43">
        <f>(Inventory[[#This Row],[Adjusted Land Total]]-Inventory[[#This Row],[24Lnd]])/Inventory[[#This Row],[24Lnd]]</f>
        <v>4.9342105263157892E-3</v>
      </c>
      <c r="BS13" s="43">
        <f>(Inventory[[#This Row],[Adjusted Total]]-Inventory[[#This Row],[24Final]])/Inventory[[#This Row],[24Final]]</f>
        <v>-8.4365505959336298E-2</v>
      </c>
    </row>
    <row r="14" spans="1:71">
      <c r="A14" s="30">
        <v>2025</v>
      </c>
      <c r="B14" s="31" t="s">
        <v>1933</v>
      </c>
      <c r="C14" s="36">
        <f>LN(Inventory[[#This Row],[Acres]])</f>
        <v>-1.8263509139976741</v>
      </c>
      <c r="D14" s="38">
        <v>0.28999999999999998</v>
      </c>
      <c r="E14" s="30">
        <v>12444</v>
      </c>
      <c r="F14" s="31" t="s">
        <v>505</v>
      </c>
      <c r="G14" s="31" t="s">
        <v>155</v>
      </c>
      <c r="H14" s="31" t="s">
        <v>5</v>
      </c>
      <c r="I14" s="31" t="s">
        <v>506</v>
      </c>
      <c r="J14" s="31" t="s">
        <v>874</v>
      </c>
      <c r="K14" s="31" t="s">
        <v>193</v>
      </c>
      <c r="L14" s="31" t="s">
        <v>13</v>
      </c>
      <c r="M14" s="31" t="s">
        <v>18</v>
      </c>
      <c r="N14" s="31">
        <v>100</v>
      </c>
      <c r="O14" s="31">
        <f>2024-Inventory[[#This Row],[YrBlt]]</f>
        <v>2</v>
      </c>
      <c r="P14" s="31">
        <f>2024-Inventory[[#This Row],[EffYr]]</f>
        <v>2</v>
      </c>
      <c r="Q14" s="30">
        <v>1920</v>
      </c>
      <c r="R14" s="30">
        <v>1966</v>
      </c>
      <c r="S14" s="30">
        <v>716</v>
      </c>
      <c r="T14" s="32"/>
      <c r="U14" s="32"/>
      <c r="V14" s="32"/>
      <c r="W14" s="32"/>
      <c r="X14" s="32">
        <f>Inventory[[#This Row],[Bsmt Area]]-Inventory[[#This Row],[FnBsmt]]</f>
        <v>0</v>
      </c>
      <c r="Y14" s="32">
        <f>Inventory[[#This Row],[MainFn]]+Inventory[[#This Row],[UpprFn]]+Inventory[[#This Row],[AddFn]]+Inventory[[#This Row],[FnBsmt]]</f>
        <v>2226</v>
      </c>
      <c r="Z14" s="32">
        <v>1000</v>
      </c>
      <c r="AA14" s="31" t="s">
        <v>773</v>
      </c>
      <c r="AB14" s="32"/>
      <c r="AC14" s="37"/>
      <c r="AD14" s="32"/>
      <c r="AE14" s="32"/>
      <c r="AF14" s="32"/>
      <c r="AG14" s="32"/>
      <c r="AH14" s="32"/>
      <c r="AI14" s="30">
        <v>111586</v>
      </c>
      <c r="AJ14" s="30">
        <v>69183</v>
      </c>
      <c r="AK14" s="30">
        <v>0</v>
      </c>
      <c r="AL14" s="30">
        <v>0</v>
      </c>
      <c r="AM14" s="30">
        <v>69200</v>
      </c>
      <c r="AN14" s="30">
        <v>213400</v>
      </c>
      <c r="AO14" s="30">
        <v>282600</v>
      </c>
      <c r="AP14" s="30">
        <f>Lookups!$B$58*0.6</f>
        <v>132535.48800000001</v>
      </c>
      <c r="AQ14" s="30">
        <f>Lookups!$B$58*0.4</f>
        <v>88356.992000000013</v>
      </c>
      <c r="AR14" s="30">
        <f>Lookups!$B$59*Inventory[[#This Row],[LnAcres]]</f>
        <v>-23969.615653948869</v>
      </c>
      <c r="AS14" s="30">
        <f>VLOOKUP(Inventory[[#This Row],[Qlty]],Lookups!$A$66:$E$79,2,FALSE)</f>
        <v>32917.849192000001</v>
      </c>
      <c r="AT14" s="30">
        <f>VLOOKUP(Inventory[[#This Row],[Cnd]],Lookups!$A$80:$E$88,2,FALSE)</f>
        <v>47371.278778200001</v>
      </c>
      <c r="AU14" s="30">
        <f>Inventory[[#This Row],[EffAge]]*Lookups!$B$65</f>
        <v>-217.48220000000001</v>
      </c>
      <c r="AV14" s="30">
        <f>Inventory[[#This Row],[MainFn]]*Lookups!$B$90</f>
        <v>58041.653400000003</v>
      </c>
      <c r="AW14" s="30">
        <f>Inventory[[#This Row],[UpprFn]]*Lookups!$B$91</f>
        <v>77216.176368</v>
      </c>
      <c r="AX14" s="30">
        <f>Inventory[[#This Row],[Bsmt Area]]*Lookups!$B$95</f>
        <v>0</v>
      </c>
      <c r="AY14" s="30">
        <f>Inventory[[#This Row],[AttGar]]*Lookups!$B$93</f>
        <v>0</v>
      </c>
      <c r="AZ14" s="30">
        <f>ROUND(Inventory[[#This Row],[25Det]],-2)</f>
        <v>0</v>
      </c>
      <c r="BA14" s="30">
        <f>ROUND(SUM(Inventory[[#This Row],[Mdl Qlty]:[Mdl Garage Area]])+Inventory[[#This Row],[Mdl Res Intercept]],-2)</f>
        <v>347900</v>
      </c>
      <c r="BB14" s="30">
        <f>ROUND(Inventory[[#This Row],[Mdl Land Intercept]]+Inventory[[#This Row],[Mdl LnAcres]],-2)</f>
        <v>64400</v>
      </c>
      <c r="BC14" s="30">
        <f>Inventory[[#This Row],[Unadj Res Value]]+Inventory[[#This Row],[Unadj Det Value]]+Inventory[[#This Row],[Unadj Land Value]]</f>
        <v>412300</v>
      </c>
      <c r="BD14" s="30" t="e">
        <f>([1]!Inventory[[#This Row],[Unadj Total Value]]-[1]!Inventory[[#This Row],[24Final]])/[1]!Inventory[[#This Row],[24Final]]</f>
        <v>#REF!</v>
      </c>
      <c r="BE14" s="30">
        <f>VLOOKUP(Inventory[[#This Row],[Nbhd]],Lookups!$M$3:$P$5,4,FALSE)</f>
        <v>0.99970000000000003</v>
      </c>
      <c r="BF14" s="30">
        <f>VLOOKUP(Inventory[[#This Row],[Qlty]],Lookups!$M$8:$P$22,4,FALSE)</f>
        <v>1.0019</v>
      </c>
      <c r="BG14" s="30">
        <f>VLOOKUP(Inventory[[#This Row],[Cnd]],Lookups!$R$8:$U$17,4,FALSE)</f>
        <v>1.0012000000000001</v>
      </c>
      <c r="BH14" s="30">
        <f>VLOOKUP(Inventory[[#This Row],[LivArea Range]],Lookups!$R$25:$U$43,4,FALSE)</f>
        <v>1.0008999999999999</v>
      </c>
      <c r="BI14" s="30">
        <f>VLOOKUP(Inventory[[#This Row],[Decade]],Lookups!$M$24:$P$40,4,FALSE)</f>
        <v>1</v>
      </c>
      <c r="BJ14" s="30">
        <f>Inventory[[#This Row],[Nbhd Adj]]*0.95</f>
        <v>0.94971499999999998</v>
      </c>
      <c r="BK14" s="30">
        <f>Inventory[[#This Row],[Nbhd Adj]]*Inventory[[#This Row],[Quality Adj]]*Inventory[[#This Row],[Condition Adj]]*Inventory[[#This Row],[Living Area Adj]]*Inventory[[#This Row],[Decade Adj]]*0.95</f>
        <v>0.95351867700386495</v>
      </c>
      <c r="BL14" s="30">
        <f>ROUND(SUM(Inventory[[#This Row],[Mdl Qlty]:[Mdl Garage Area]])+Inventory[[#This Row],[Mdl Res Intercept]]*Inventory[[#This Row],[Res Adj ]],-2)</f>
        <v>341300</v>
      </c>
      <c r="BM14" s="30">
        <f>ROUND(Inventory[[#This Row],[25Det]]*Inventory[[#This Row],[Det/Nbhd Adj]],-2)</f>
        <v>0</v>
      </c>
      <c r="BN14" s="30">
        <f>Inventory[[#This Row],[Adjusted Res]]+Inventory[[#This Row],[Adj Det ]]</f>
        <v>330700</v>
      </c>
      <c r="BO14" s="30">
        <f>ROUND((Inventory[[#This Row],[Mdl Land Intercept]]+Inventory[[#This Row],[Mdl LnAcres]])*Inventory[[#This Row],[Det/Nbhd Adj]],-2)</f>
        <v>61100</v>
      </c>
      <c r="BP14" s="30">
        <f>Inventory[[#This Row],[Adjusted Impr Total]]+Inventory[[#This Row],[Adjusted Land Total]]</f>
        <v>391800</v>
      </c>
      <c r="BQ14" s="30">
        <f>IFERROR((Inventory[[#This Row],[Adjusted Impr Total]]-Inventory[[#This Row],[24Bldg]])/Inventory[[#This Row],[24Bldg]],0)</f>
        <v>-9.9155543448651587E-2</v>
      </c>
      <c r="BR14" s="43">
        <f>(Inventory[[#This Row],[Adjusted Land Total]]-Inventory[[#This Row],[24Lnd]])/Inventory[[#This Row],[24Lnd]]</f>
        <v>4.9342105263157892E-3</v>
      </c>
      <c r="BS14" s="43">
        <f>(Inventory[[#This Row],[Adjusted Total]]-Inventory[[#This Row],[24Final]])/Inventory[[#This Row],[24Final]]</f>
        <v>-8.4365505959336298E-2</v>
      </c>
    </row>
    <row r="15" spans="1:71">
      <c r="A15" s="30">
        <v>2025</v>
      </c>
      <c r="B15" s="31" t="s">
        <v>1933</v>
      </c>
      <c r="C15" s="36">
        <f>LN(Inventory[[#This Row],[Acres]])</f>
        <v>-1.8263509139976741</v>
      </c>
      <c r="D15" s="38">
        <v>0.28999999999999998</v>
      </c>
      <c r="E15" s="30">
        <v>12444</v>
      </c>
      <c r="F15" s="31" t="s">
        <v>505</v>
      </c>
      <c r="G15" s="31" t="s">
        <v>155</v>
      </c>
      <c r="H15" s="31" t="s">
        <v>5</v>
      </c>
      <c r="I15" s="31" t="s">
        <v>506</v>
      </c>
      <c r="J15" s="31" t="s">
        <v>874</v>
      </c>
      <c r="K15" s="31" t="s">
        <v>193</v>
      </c>
      <c r="L15" s="31" t="s">
        <v>13</v>
      </c>
      <c r="M15" s="31" t="s">
        <v>18</v>
      </c>
      <c r="N15" s="31">
        <v>100</v>
      </c>
      <c r="O15" s="31">
        <f>2024-Inventory[[#This Row],[YrBlt]]</f>
        <v>2</v>
      </c>
      <c r="P15" s="31">
        <f>2024-Inventory[[#This Row],[EffYr]]</f>
        <v>2</v>
      </c>
      <c r="Q15" s="30">
        <v>1920</v>
      </c>
      <c r="R15" s="30">
        <v>1966</v>
      </c>
      <c r="S15" s="30">
        <v>897</v>
      </c>
      <c r="T15" s="32"/>
      <c r="U15" s="32"/>
      <c r="V15" s="32"/>
      <c r="W15" s="32"/>
      <c r="X15" s="32">
        <f>Inventory[[#This Row],[Bsmt Area]]-Inventory[[#This Row],[FnBsmt]]</f>
        <v>0</v>
      </c>
      <c r="Y15" s="32">
        <f>Inventory[[#This Row],[MainFn]]+Inventory[[#This Row],[UpprFn]]+Inventory[[#This Row],[AddFn]]+Inventory[[#This Row],[FnBsmt]]</f>
        <v>2214</v>
      </c>
      <c r="Z15" s="32">
        <v>1000</v>
      </c>
      <c r="AA15" s="31" t="s">
        <v>773</v>
      </c>
      <c r="AB15" s="32"/>
      <c r="AC15" s="37"/>
      <c r="AD15" s="32"/>
      <c r="AE15" s="32"/>
      <c r="AF15" s="32"/>
      <c r="AG15" s="32"/>
      <c r="AH15" s="32"/>
      <c r="AI15" s="30">
        <v>135442</v>
      </c>
      <c r="AJ15" s="30">
        <v>83974</v>
      </c>
      <c r="AK15" s="30">
        <v>0</v>
      </c>
      <c r="AL15" s="30">
        <v>0</v>
      </c>
      <c r="AM15" s="30">
        <v>69200</v>
      </c>
      <c r="AN15" s="30">
        <v>213400</v>
      </c>
      <c r="AO15" s="30">
        <v>282600</v>
      </c>
      <c r="AP15" s="30">
        <f>Lookups!$B$58*0.6</f>
        <v>132535.48800000001</v>
      </c>
      <c r="AQ15" s="30">
        <f>Lookups!$B$58*0.4</f>
        <v>88356.992000000013</v>
      </c>
      <c r="AR15" s="30">
        <f>Lookups!$B$59*Inventory[[#This Row],[LnAcres]]</f>
        <v>-23969.615653948869</v>
      </c>
      <c r="AS15" s="30">
        <f>VLOOKUP(Inventory[[#This Row],[Qlty]],Lookups!$A$66:$E$79,2,FALSE)</f>
        <v>32917.849192000001</v>
      </c>
      <c r="AT15" s="30">
        <f>VLOOKUP(Inventory[[#This Row],[Cnd]],Lookups!$A$80:$E$88,2,FALSE)</f>
        <v>47371.278778200001</v>
      </c>
      <c r="AU15" s="30">
        <f>Inventory[[#This Row],[EffAge]]*Lookups!$B$65</f>
        <v>-217.48220000000001</v>
      </c>
      <c r="AV15" s="30">
        <f>Inventory[[#This Row],[MainFn]]*Lookups!$B$90</f>
        <v>57292.728840000003</v>
      </c>
      <c r="AW15" s="30">
        <f>Inventory[[#This Row],[UpprFn]]*Lookups!$B$91</f>
        <v>77216.176368</v>
      </c>
      <c r="AX15" s="30">
        <f>Inventory[[#This Row],[Bsmt Area]]*Lookups!$B$95</f>
        <v>0</v>
      </c>
      <c r="AY15" s="30">
        <f>Inventory[[#This Row],[AttGar]]*Lookups!$B$93</f>
        <v>8472.247440000001</v>
      </c>
      <c r="AZ15" s="30">
        <f>ROUND(Inventory[[#This Row],[25Det]],-2)</f>
        <v>0</v>
      </c>
      <c r="BA15" s="30">
        <f>ROUND(SUM(Inventory[[#This Row],[Mdl Qlty]:[Mdl Garage Area]])+Inventory[[#This Row],[Mdl Res Intercept]],-2)</f>
        <v>355600</v>
      </c>
      <c r="BB15" s="30">
        <f>ROUND(Inventory[[#This Row],[Mdl Land Intercept]]+Inventory[[#This Row],[Mdl LnAcres]],-2)</f>
        <v>64400</v>
      </c>
      <c r="BC15" s="30">
        <f>Inventory[[#This Row],[Unadj Res Value]]+Inventory[[#This Row],[Unadj Det Value]]+Inventory[[#This Row],[Unadj Land Value]]</f>
        <v>420000</v>
      </c>
      <c r="BD15" s="30" t="e">
        <f>([1]!Inventory[[#This Row],[Unadj Total Value]]-[1]!Inventory[[#This Row],[24Final]])/[1]!Inventory[[#This Row],[24Final]]</f>
        <v>#REF!</v>
      </c>
      <c r="BE15" s="30">
        <f>VLOOKUP(Inventory[[#This Row],[Nbhd]],Lookups!$M$3:$P$5,4,FALSE)</f>
        <v>0.99970000000000003</v>
      </c>
      <c r="BF15" s="30">
        <f>VLOOKUP(Inventory[[#This Row],[Qlty]],Lookups!$M$8:$P$22,4,FALSE)</f>
        <v>1.0019</v>
      </c>
      <c r="BG15" s="30">
        <f>VLOOKUP(Inventory[[#This Row],[Cnd]],Lookups!$R$8:$U$17,4,FALSE)</f>
        <v>1.0012000000000001</v>
      </c>
      <c r="BH15" s="30">
        <f>VLOOKUP(Inventory[[#This Row],[LivArea Range]],Lookups!$R$25:$U$43,4,FALSE)</f>
        <v>1.0008999999999999</v>
      </c>
      <c r="BI15" s="30">
        <f>VLOOKUP(Inventory[[#This Row],[Decade]],Lookups!$M$24:$P$40,4,FALSE)</f>
        <v>1</v>
      </c>
      <c r="BJ15" s="30">
        <f>Inventory[[#This Row],[Nbhd Adj]]*0.95</f>
        <v>0.94971499999999998</v>
      </c>
      <c r="BK15" s="30">
        <f>Inventory[[#This Row],[Nbhd Adj]]*Inventory[[#This Row],[Quality Adj]]*Inventory[[#This Row],[Condition Adj]]*Inventory[[#This Row],[Living Area Adj]]*Inventory[[#This Row],[Decade Adj]]*0.95</f>
        <v>0.95351867700386495</v>
      </c>
      <c r="BL15" s="30">
        <f>ROUND(SUM(Inventory[[#This Row],[Mdl Qlty]:[Mdl Garage Area]])+Inventory[[#This Row],[Mdl Res Intercept]]*Inventory[[#This Row],[Res Adj ]],-2)</f>
        <v>349100</v>
      </c>
      <c r="BM15" s="30">
        <f>ROUND(Inventory[[#This Row],[25Det]]*Inventory[[#This Row],[Det/Nbhd Adj]],-2)</f>
        <v>0</v>
      </c>
      <c r="BN15" s="30">
        <f>Inventory[[#This Row],[Adjusted Res]]+Inventory[[#This Row],[Adj Det ]]</f>
        <v>338100</v>
      </c>
      <c r="BO15" s="30">
        <f>ROUND((Inventory[[#This Row],[Mdl Land Intercept]]+Inventory[[#This Row],[Mdl LnAcres]])*Inventory[[#This Row],[Det/Nbhd Adj]],-2)</f>
        <v>61100</v>
      </c>
      <c r="BP15" s="30">
        <f>Inventory[[#This Row],[Adjusted Impr Total]]+Inventory[[#This Row],[Adjusted Land Total]]</f>
        <v>399200</v>
      </c>
      <c r="BQ15" s="30">
        <f>IFERROR((Inventory[[#This Row],[Adjusted Impr Total]]-Inventory[[#This Row],[24Bldg]])/Inventory[[#This Row],[24Bldg]],0)</f>
        <v>-7.5724439584472392E-2</v>
      </c>
      <c r="BR15" s="43">
        <f>(Inventory[[#This Row],[Adjusted Land Total]]-Inventory[[#This Row],[24Lnd]])/Inventory[[#This Row],[24Lnd]]</f>
        <v>4.9342105263157892E-3</v>
      </c>
      <c r="BS15" s="43">
        <f>(Inventory[[#This Row],[Adjusted Total]]-Inventory[[#This Row],[24Final]])/Inventory[[#This Row],[24Final]]</f>
        <v>-6.422878574777309E-2</v>
      </c>
    </row>
    <row r="20" spans="1:71">
      <c r="A20" s="30">
        <v>2025</v>
      </c>
      <c r="B20" s="31" t="s">
        <v>1934</v>
      </c>
      <c r="C20" s="36">
        <f>LN(Inventory[[#This Row],[Acres]])</f>
        <v>-1.8263509139976741</v>
      </c>
      <c r="D20" s="38">
        <v>10.57</v>
      </c>
      <c r="E20" s="37"/>
      <c r="F20" s="31" t="s">
        <v>505</v>
      </c>
      <c r="G20" s="31" t="s">
        <v>155</v>
      </c>
      <c r="H20" s="31" t="s">
        <v>5</v>
      </c>
      <c r="I20" s="31" t="s">
        <v>1143</v>
      </c>
      <c r="J20" s="31" t="s">
        <v>1931</v>
      </c>
      <c r="K20" s="31" t="s">
        <v>473</v>
      </c>
      <c r="L20" s="31" t="s">
        <v>13</v>
      </c>
      <c r="M20" s="31" t="s">
        <v>18</v>
      </c>
      <c r="N20" s="31">
        <v>90</v>
      </c>
      <c r="O20" s="31">
        <f>2024-Inventory[[#This Row],[YrBlt]]</f>
        <v>2</v>
      </c>
      <c r="P20" s="31">
        <f>2024-Inventory[[#This Row],[EffYr]]</f>
        <v>2</v>
      </c>
      <c r="Q20" s="30">
        <v>1931</v>
      </c>
      <c r="R20" s="30">
        <v>1965</v>
      </c>
      <c r="S20" s="30">
        <v>1352</v>
      </c>
      <c r="T20" s="37"/>
      <c r="U20" s="38">
        <v>676</v>
      </c>
      <c r="V20" s="32"/>
      <c r="W20" s="32"/>
      <c r="X20" s="32">
        <f>Inventory[[#This Row],[Bsmt Area]]-Inventory[[#This Row],[FnBsmt]]</f>
        <v>0</v>
      </c>
      <c r="Y20" s="32">
        <f>Inventory[[#This Row],[MainFn]]+Inventory[[#This Row],[UpprFn]]+Inventory[[#This Row],[AddFn]]+Inventory[[#This Row],[FnBsmt]]</f>
        <v>1619</v>
      </c>
      <c r="Z20" s="32">
        <v>1500</v>
      </c>
      <c r="AA20" s="31" t="s">
        <v>56</v>
      </c>
      <c r="AB20" s="37"/>
      <c r="AC20" s="32"/>
      <c r="AD20" s="37"/>
      <c r="AE20" s="32"/>
      <c r="AF20" s="32"/>
      <c r="AG20" s="32"/>
      <c r="AH20" s="32"/>
      <c r="AI20" s="30">
        <v>213576</v>
      </c>
      <c r="AJ20" s="30">
        <v>130281</v>
      </c>
      <c r="AK20" s="30">
        <v>5261</v>
      </c>
      <c r="AL20" s="30">
        <v>24000</v>
      </c>
      <c r="AM20" s="30">
        <v>119500</v>
      </c>
      <c r="AN20" s="30">
        <v>179600</v>
      </c>
      <c r="AO20" s="30">
        <v>323100</v>
      </c>
      <c r="AP20" s="30">
        <f>Lookups!$B$58*0.6</f>
        <v>132535.48800000001</v>
      </c>
      <c r="AQ20" s="30">
        <f>Lookups!$B$58*0.4</f>
        <v>88356.992000000013</v>
      </c>
      <c r="AR20" s="30">
        <f>Lookups!$B$59*Inventory[[#This Row],[LnAcres]]</f>
        <v>-23969.615653948869</v>
      </c>
      <c r="AS20" s="30">
        <f>VLOOKUP(Inventory[[#This Row],[Qlty]],Lookups!$A$66:$E$79,2,FALSE)</f>
        <v>37154.252388000001</v>
      </c>
      <c r="AT20" s="30">
        <f>VLOOKUP(Inventory[[#This Row],[Cnd]],Lookups!$A$80:$E$88,2,FALSE)</f>
        <v>47371.278778200001</v>
      </c>
      <c r="AU20" s="30">
        <f>Inventory[[#This Row],[EffAge]]*Lookups!$B$65</f>
        <v>-217.48220000000001</v>
      </c>
      <c r="AV20" s="30">
        <f>Inventory[[#This Row],[MainFn]]*Lookups!$B$90</f>
        <v>101042.40522</v>
      </c>
      <c r="AW20" s="30">
        <f>Inventory[[#This Row],[UpprFn]]*Lookups!$B$91</f>
        <v>0</v>
      </c>
      <c r="AX20" s="30">
        <f>Inventory[[#This Row],[Bsmt Area]]*Lookups!$B$95</f>
        <v>0</v>
      </c>
      <c r="AY20" s="30">
        <f>Inventory[[#This Row],[AttGar]]*Lookups!$B$93</f>
        <v>16944.494880000002</v>
      </c>
      <c r="AZ20" s="30">
        <f>ROUND(Inventory[[#This Row],[25Det]],-2)</f>
        <v>0</v>
      </c>
      <c r="BA20" s="30">
        <f>ROUND(SUM(Inventory[[#This Row],[Mdl Qlty]:[Mdl Garage Area]])+Inventory[[#This Row],[Mdl Res Intercept]],-2)</f>
        <v>334800</v>
      </c>
      <c r="BB20" s="30">
        <f>ROUND(Inventory[[#This Row],[Mdl Land Intercept]]+Inventory[[#This Row],[Mdl LnAcres]],-2)</f>
        <v>64400</v>
      </c>
      <c r="BC20" s="30">
        <f>Inventory[[#This Row],[Unadj Res Value]]+Inventory[[#This Row],[Unadj Det Value]]+Inventory[[#This Row],[Unadj Land Value]]</f>
        <v>399200</v>
      </c>
      <c r="BD20" s="30" t="e">
        <f>([1]!Inventory[[#This Row],[Unadj Total Value]]-[1]!Inventory[[#This Row],[24Final]])/[1]!Inventory[[#This Row],[24Final]]</f>
        <v>#REF!</v>
      </c>
      <c r="BE20" s="30">
        <f>VLOOKUP(Inventory[[#This Row],[Nbhd]],Lookups!$M$3:$P$5,4,FALSE)</f>
        <v>0.99970000000000003</v>
      </c>
      <c r="BF20" s="30">
        <f>VLOOKUP(Inventory[[#This Row],[Qlty]],Lookups!$M$8:$P$22,4,FALSE)</f>
        <v>0.99819999999999998</v>
      </c>
      <c r="BG20" s="30">
        <f>VLOOKUP(Inventory[[#This Row],[Cnd]],Lookups!$R$8:$U$17,4,FALSE)</f>
        <v>1.0012000000000001</v>
      </c>
      <c r="BH20" s="30">
        <f>VLOOKUP(Inventory[[#This Row],[LivArea Range]],Lookups!$R$25:$U$43,4,FALSE)</f>
        <v>1.0007999999999999</v>
      </c>
      <c r="BI20" s="30">
        <f>VLOOKUP(Inventory[[#This Row],[Decade]],Lookups!$M$24:$P$40,4,FALSE)</f>
        <v>1</v>
      </c>
      <c r="BJ20" s="30">
        <f>Inventory[[#This Row],[Nbhd Adj]]*0.95</f>
        <v>0.94971499999999998</v>
      </c>
      <c r="BK20" s="30">
        <f>Inventory[[#This Row],[Nbhd Adj]]*Inventory[[#This Row],[Quality Adj]]*Inventory[[#This Row],[Condition Adj]]*Inventory[[#This Row],[Living Area Adj]]*Inventory[[#This Row],[Decade Adj]]*0.95</f>
        <v>0.94990243411129249</v>
      </c>
      <c r="BL20" s="30">
        <f>ROUND(SUM(Inventory[[#This Row],[Mdl Qlty]:[Mdl Garage Area]])+Inventory[[#This Row],[Mdl Res Intercept]]*Inventory[[#This Row],[Res Adj ]],-2)</f>
        <v>328200</v>
      </c>
      <c r="BM20" s="30">
        <f>ROUND(Inventory[[#This Row],[25Det]]*Inventory[[#This Row],[Det/Nbhd Adj]],-2)</f>
        <v>0</v>
      </c>
      <c r="BN20" s="30">
        <f>Inventory[[#This Row],[Adjusted Res]]+Inventory[[#This Row],[Adj Det ]]</f>
        <v>318100</v>
      </c>
      <c r="BO20" s="30">
        <f>ROUND((Inventory[[#This Row],[Mdl Land Intercept]]+Inventory[[#This Row],[Mdl LnAcres]])*Inventory[[#This Row],[Det/Nbhd Adj]],-2)</f>
        <v>61100</v>
      </c>
      <c r="BP20" s="30">
        <f>Inventory[[#This Row],[Adjusted Impr Total]]+Inventory[[#This Row],[Adjusted Land Total]]</f>
        <v>379200</v>
      </c>
      <c r="BQ20" s="30">
        <f>IFERROR((Inventory[[#This Row],[Adjusted Impr Total]]-Inventory[[#This Row],[24Bldg]])/Inventory[[#This Row],[24Bldg]],0)</f>
        <v>-5.6922620812333236E-2</v>
      </c>
      <c r="BR20" s="43">
        <f>(Inventory[[#This Row],[Adjusted Land Total]]-Inventory[[#This Row],[24Lnd]])/Inventory[[#This Row],[24Lnd]]</f>
        <v>4.9342105263157892E-3</v>
      </c>
      <c r="BS20" s="43">
        <f>(Inventory[[#This Row],[Adjusted Total]]-Inventory[[#This Row],[24Final]])/Inventory[[#This Row],[24Final]]</f>
        <v>-4.7475508666164283E-2</v>
      </c>
    </row>
    <row r="21" spans="1:71">
      <c r="A21" s="30">
        <v>2025</v>
      </c>
      <c r="B21" s="31" t="s">
        <v>1935</v>
      </c>
      <c r="C21" s="31">
        <f>LN(Inventory[[#This Row],[Acres]])</f>
        <v>-1.8263509139976741</v>
      </c>
      <c r="D21" s="38">
        <v>12.25</v>
      </c>
      <c r="E21" s="32"/>
      <c r="F21" s="31" t="s">
        <v>505</v>
      </c>
      <c r="G21" s="31" t="s">
        <v>155</v>
      </c>
      <c r="H21" s="31" t="s">
        <v>5</v>
      </c>
      <c r="I21" s="31" t="s">
        <v>506</v>
      </c>
      <c r="J21" s="31" t="s">
        <v>507</v>
      </c>
      <c r="K21" s="31" t="s">
        <v>10</v>
      </c>
      <c r="L21" s="31" t="s">
        <v>17</v>
      </c>
      <c r="M21" s="31" t="s">
        <v>18</v>
      </c>
      <c r="N21" s="31">
        <v>60</v>
      </c>
      <c r="O21" s="31">
        <f>2024-Inventory[[#This Row],[YrBlt]]</f>
        <v>2</v>
      </c>
      <c r="P21" s="31">
        <f>2024-Inventory[[#This Row],[EffYr]]</f>
        <v>2</v>
      </c>
      <c r="Q21" s="30">
        <v>1964</v>
      </c>
      <c r="R21" s="30">
        <v>1975</v>
      </c>
      <c r="S21" s="30">
        <v>1720</v>
      </c>
      <c r="T21" s="37"/>
      <c r="U21" s="38">
        <v>560</v>
      </c>
      <c r="V21" s="32"/>
      <c r="W21" s="38">
        <v>560</v>
      </c>
      <c r="X21" s="38">
        <f>Inventory[[#This Row],[Bsmt Area]]-Inventory[[#This Row],[FnBsmt]]</f>
        <v>0</v>
      </c>
      <c r="Y21" s="38">
        <f>Inventory[[#This Row],[MainFn]]+Inventory[[#This Row],[UpprFn]]+Inventory[[#This Row],[AddFn]]+Inventory[[#This Row],[FnBsmt]]</f>
        <v>1619</v>
      </c>
      <c r="Z21" s="32">
        <v>2500</v>
      </c>
      <c r="AA21" s="31" t="s">
        <v>56</v>
      </c>
      <c r="AB21" s="37"/>
      <c r="AC21" s="37"/>
      <c r="AD21" s="32"/>
      <c r="AE21" s="32"/>
      <c r="AF21" s="32"/>
      <c r="AG21" s="32"/>
      <c r="AH21" s="32"/>
      <c r="AI21" s="30">
        <v>334669</v>
      </c>
      <c r="AJ21" s="30">
        <v>237615</v>
      </c>
      <c r="AK21" s="30">
        <v>53083</v>
      </c>
      <c r="AL21" s="30">
        <v>29700</v>
      </c>
      <c r="AM21" s="30">
        <v>121600</v>
      </c>
      <c r="AN21" s="30">
        <v>278600</v>
      </c>
      <c r="AO21" s="30">
        <v>429900</v>
      </c>
      <c r="AP21" s="30">
        <f>Lookups!$B$58*0.6</f>
        <v>132535.48800000001</v>
      </c>
      <c r="AQ21" s="30">
        <f>Lookups!$B$58*0.4</f>
        <v>88356.992000000013</v>
      </c>
      <c r="AR21" s="30">
        <f>Lookups!$B$59*Inventory[[#This Row],[LnAcres]]</f>
        <v>-23969.615653948869</v>
      </c>
      <c r="AS21" s="30">
        <f>VLOOKUP(Inventory[[#This Row],[Qlty]],Lookups!$A$66:$E$79,2,FALSE)</f>
        <v>37154.252388000001</v>
      </c>
      <c r="AT21" s="30">
        <f>VLOOKUP(Inventory[[#This Row],[Cnd]],Lookups!$A$80:$E$88,2,FALSE)</f>
        <v>47371.278778200001</v>
      </c>
      <c r="AU21" s="30">
        <f>Inventory[[#This Row],[EffAge]]*Lookups!$B$65</f>
        <v>-217.48220000000001</v>
      </c>
      <c r="AV21" s="30">
        <f>Inventory[[#This Row],[MainFn]]*Lookups!$B$90</f>
        <v>101042.40522</v>
      </c>
      <c r="AW21" s="30">
        <f>Inventory[[#This Row],[UpprFn]]*Lookups!$B$91</f>
        <v>0</v>
      </c>
      <c r="AX21" s="30">
        <f>Inventory[[#This Row],[Bsmt Area]]*Lookups!$B$95</f>
        <v>0</v>
      </c>
      <c r="AY21" s="30">
        <f>Inventory[[#This Row],[AttGar]]*Lookups!$B$93</f>
        <v>16944.494880000002</v>
      </c>
      <c r="AZ21" s="30">
        <f>ROUND(Inventory[[#This Row],[25Det]],-2)</f>
        <v>0</v>
      </c>
      <c r="BA21" s="30">
        <f>ROUND(SUM(Inventory[[#This Row],[Mdl Qlty]:[Mdl Garage Area]])+Inventory[[#This Row],[Mdl Res Intercept]],-2)</f>
        <v>334800</v>
      </c>
      <c r="BB21" s="30">
        <f>ROUND(Inventory[[#This Row],[Mdl Land Intercept]]+Inventory[[#This Row],[Mdl LnAcres]],-2)</f>
        <v>64400</v>
      </c>
      <c r="BC21" s="30">
        <f>Inventory[[#This Row],[Unadj Res Value]]+Inventory[[#This Row],[Unadj Det Value]]+Inventory[[#This Row],[Unadj Land Value]]</f>
        <v>399200</v>
      </c>
      <c r="BD21" s="30" t="e">
        <f>([1]!Inventory[[#This Row],[Unadj Total Value]]-[1]!Inventory[[#This Row],[24Final]])/[1]!Inventory[[#This Row],[24Final]]</f>
        <v>#REF!</v>
      </c>
      <c r="BE21" s="30">
        <f>VLOOKUP(Inventory[[#This Row],[Nbhd]],Lookups!$M$3:$P$5,4,FALSE)</f>
        <v>0.99970000000000003</v>
      </c>
      <c r="BF21" s="30">
        <f>VLOOKUP(Inventory[[#This Row],[Qlty]],Lookups!$M$8:$P$22,4,FALSE)</f>
        <v>0.99819999999999998</v>
      </c>
      <c r="BG21" s="30">
        <f>VLOOKUP(Inventory[[#This Row],[Cnd]],Lookups!$R$8:$U$17,4,FALSE)</f>
        <v>1.0012000000000001</v>
      </c>
      <c r="BH21" s="30">
        <f>VLOOKUP(Inventory[[#This Row],[LivArea Range]],Lookups!$R$25:$U$43,4,FALSE)</f>
        <v>1.0007999999999999</v>
      </c>
      <c r="BI21" s="30">
        <f>VLOOKUP(Inventory[[#This Row],[Decade]],Lookups!$M$24:$P$40,4,FALSE)</f>
        <v>1</v>
      </c>
      <c r="BJ21" s="30">
        <f>Inventory[[#This Row],[Nbhd Adj]]*0.95</f>
        <v>0.94971499999999998</v>
      </c>
      <c r="BK21" s="30">
        <f>Inventory[[#This Row],[Nbhd Adj]]*Inventory[[#This Row],[Quality Adj]]*Inventory[[#This Row],[Condition Adj]]*Inventory[[#This Row],[Living Area Adj]]*Inventory[[#This Row],[Decade Adj]]*0.95</f>
        <v>0.94990243411129249</v>
      </c>
      <c r="BL21" s="30">
        <f>ROUND(SUM(Inventory[[#This Row],[Mdl Qlty]:[Mdl Garage Area]])+Inventory[[#This Row],[Mdl Res Intercept]]*Inventory[[#This Row],[Res Adj ]],-2)</f>
        <v>328200</v>
      </c>
      <c r="BM21" s="30">
        <f>ROUND(Inventory[[#This Row],[25Det]]*Inventory[[#This Row],[Det/Nbhd Adj]],-2)</f>
        <v>0</v>
      </c>
      <c r="BN21" s="30">
        <f>Inventory[[#This Row],[Adjusted Res]]+Inventory[[#This Row],[Adj Det ]]</f>
        <v>318100</v>
      </c>
      <c r="BO21" s="30">
        <f>ROUND((Inventory[[#This Row],[Mdl Land Intercept]]+Inventory[[#This Row],[Mdl LnAcres]])*Inventory[[#This Row],[Det/Nbhd Adj]],-2)</f>
        <v>61100</v>
      </c>
      <c r="BP21" s="30">
        <f>Inventory[[#This Row],[Adjusted Impr Total]]+Inventory[[#This Row],[Adjusted Land Total]]</f>
        <v>379200</v>
      </c>
      <c r="BQ21" s="30">
        <f>IFERROR((Inventory[[#This Row],[Adjusted Impr Total]]-Inventory[[#This Row],[24Bldg]])/Inventory[[#This Row],[24Bldg]],0)</f>
        <v>-5.6922620812333236E-2</v>
      </c>
      <c r="BR21" s="43">
        <f>(Inventory[[#This Row],[Adjusted Land Total]]-Inventory[[#This Row],[24Lnd]])/Inventory[[#This Row],[24Lnd]]</f>
        <v>4.9342105263157892E-3</v>
      </c>
      <c r="BS21" s="43">
        <f>(Inventory[[#This Row],[Adjusted Total]]-Inventory[[#This Row],[24Final]])/Inventory[[#This Row],[24Final]]</f>
        <v>-4.7475508666164283E-2</v>
      </c>
    </row>
    <row r="22" spans="1:71">
      <c r="A22" s="30">
        <v>2025</v>
      </c>
      <c r="B22" s="31" t="s">
        <v>1936</v>
      </c>
      <c r="C22" s="31">
        <f>LN(Inventory[[#This Row],[Acres]])</f>
        <v>-1.8263509139976741</v>
      </c>
      <c r="D22" s="38">
        <v>12.98</v>
      </c>
      <c r="E22" s="32"/>
      <c r="F22" s="31" t="s">
        <v>505</v>
      </c>
      <c r="G22" s="31" t="s">
        <v>155</v>
      </c>
      <c r="H22" s="31" t="s">
        <v>5</v>
      </c>
      <c r="I22" s="31" t="s">
        <v>506</v>
      </c>
      <c r="J22" s="31" t="s">
        <v>567</v>
      </c>
      <c r="K22" s="31" t="s">
        <v>568</v>
      </c>
      <c r="L22" s="31" t="s">
        <v>27</v>
      </c>
      <c r="M22" s="31" t="s">
        <v>20</v>
      </c>
      <c r="N22" s="31">
        <v>10</v>
      </c>
      <c r="O22" s="31">
        <f>2024-Inventory[[#This Row],[YrBlt]]</f>
        <v>2</v>
      </c>
      <c r="P22" s="31">
        <f>2024-Inventory[[#This Row],[EffYr]]</f>
        <v>2</v>
      </c>
      <c r="Q22" s="30">
        <v>2011</v>
      </c>
      <c r="R22" s="30">
        <v>2011</v>
      </c>
      <c r="S22" s="30">
        <v>3459</v>
      </c>
      <c r="T22" s="38">
        <v>2265</v>
      </c>
      <c r="U22" s="37"/>
      <c r="V22" s="32"/>
      <c r="W22" s="32"/>
      <c r="X22" s="32">
        <f>Inventory[[#This Row],[Bsmt Area]]-Inventory[[#This Row],[FnBsmt]]</f>
        <v>0</v>
      </c>
      <c r="Y22" s="32">
        <f>Inventory[[#This Row],[MainFn]]+Inventory[[#This Row],[UpprFn]]+Inventory[[#This Row],[AddFn]]+Inventory[[#This Row],[FnBsmt]]</f>
        <v>1619</v>
      </c>
      <c r="Z22" s="32">
        <v>6000</v>
      </c>
      <c r="AA22" s="31" t="s">
        <v>56</v>
      </c>
      <c r="AB22" s="30">
        <v>2</v>
      </c>
      <c r="AC22" s="37"/>
      <c r="AD22" s="38">
        <v>1036</v>
      </c>
      <c r="AE22" s="32"/>
      <c r="AF22" s="38">
        <v>60</v>
      </c>
      <c r="AG22" s="32"/>
      <c r="AH22" s="32"/>
      <c r="AI22" s="30">
        <v>2404403</v>
      </c>
      <c r="AJ22" s="30">
        <v>1394554</v>
      </c>
      <c r="AK22" s="30">
        <v>120307</v>
      </c>
      <c r="AL22" s="30">
        <v>0</v>
      </c>
      <c r="AM22" s="30">
        <v>71400</v>
      </c>
      <c r="AN22" s="30">
        <v>1364000</v>
      </c>
      <c r="AO22" s="30">
        <v>1435400</v>
      </c>
      <c r="AP22" s="30">
        <f>Lookups!$B$58*0.6</f>
        <v>132535.48800000001</v>
      </c>
      <c r="AQ22" s="30">
        <f>Lookups!$B$58*0.4</f>
        <v>88356.992000000013</v>
      </c>
      <c r="AR22" s="30">
        <f>Lookups!$B$59*Inventory[[#This Row],[LnAcres]]</f>
        <v>-23969.615653948869</v>
      </c>
      <c r="AS22" s="30">
        <f>VLOOKUP(Inventory[[#This Row],[Qlty]],Lookups!$A$66:$E$79,2,FALSE)</f>
        <v>37154.252388000001</v>
      </c>
      <c r="AT22" s="30">
        <f>VLOOKUP(Inventory[[#This Row],[Cnd]],Lookups!$A$80:$E$88,2,FALSE)</f>
        <v>47371.278778200001</v>
      </c>
      <c r="AU22" s="30">
        <f>Inventory[[#This Row],[EffAge]]*Lookups!$B$65</f>
        <v>-217.48220000000001</v>
      </c>
      <c r="AV22" s="30">
        <f>Inventory[[#This Row],[MainFn]]*Lookups!$B$90</f>
        <v>101042.40522</v>
      </c>
      <c r="AW22" s="30">
        <f>Inventory[[#This Row],[UpprFn]]*Lookups!$B$91</f>
        <v>0</v>
      </c>
      <c r="AX22" s="30">
        <f>Inventory[[#This Row],[Bsmt Area]]*Lookups!$B$95</f>
        <v>0</v>
      </c>
      <c r="AY22" s="30">
        <f>Inventory[[#This Row],[AttGar]]*Lookups!$B$93</f>
        <v>16944.494880000002</v>
      </c>
      <c r="AZ22" s="30">
        <f>ROUND(Inventory[[#This Row],[25Det]],-2)</f>
        <v>0</v>
      </c>
      <c r="BA22" s="30">
        <f>ROUND(SUM(Inventory[[#This Row],[Mdl Qlty]:[Mdl Garage Area]])+Inventory[[#This Row],[Mdl Res Intercept]],-2)</f>
        <v>334800</v>
      </c>
      <c r="BB22" s="30">
        <f>ROUND(Inventory[[#This Row],[Mdl Land Intercept]]+Inventory[[#This Row],[Mdl LnAcres]],-2)</f>
        <v>64400</v>
      </c>
      <c r="BC22" s="30">
        <f>Inventory[[#This Row],[Unadj Res Value]]+Inventory[[#This Row],[Unadj Det Value]]+Inventory[[#This Row],[Unadj Land Value]]</f>
        <v>399200</v>
      </c>
      <c r="BD22" s="30" t="e">
        <f>([1]!Inventory[[#This Row],[Unadj Total Value]]-[1]!Inventory[[#This Row],[24Final]])/[1]!Inventory[[#This Row],[24Final]]</f>
        <v>#REF!</v>
      </c>
      <c r="BE22" s="30">
        <f>VLOOKUP(Inventory[[#This Row],[Nbhd]],Lookups!$M$3:$P$5,4,FALSE)</f>
        <v>0.99970000000000003</v>
      </c>
      <c r="BF22" s="30">
        <f>VLOOKUP(Inventory[[#This Row],[Qlty]],Lookups!$M$8:$P$22,4,FALSE)</f>
        <v>0.99819999999999998</v>
      </c>
      <c r="BG22" s="30">
        <f>VLOOKUP(Inventory[[#This Row],[Cnd]],Lookups!$R$8:$U$17,4,FALSE)</f>
        <v>1.0012000000000001</v>
      </c>
      <c r="BH22" s="30">
        <f>VLOOKUP(Inventory[[#This Row],[LivArea Range]],Lookups!$R$25:$U$43,4,FALSE)</f>
        <v>1.0007999999999999</v>
      </c>
      <c r="BI22" s="30">
        <f>VLOOKUP(Inventory[[#This Row],[Decade]],Lookups!$M$24:$P$40,4,FALSE)</f>
        <v>1</v>
      </c>
      <c r="BJ22" s="30">
        <f>Inventory[[#This Row],[Nbhd Adj]]*0.95</f>
        <v>0.94971499999999998</v>
      </c>
      <c r="BK22" s="30">
        <f>Inventory[[#This Row],[Nbhd Adj]]*Inventory[[#This Row],[Quality Adj]]*Inventory[[#This Row],[Condition Adj]]*Inventory[[#This Row],[Living Area Adj]]*Inventory[[#This Row],[Decade Adj]]*0.95</f>
        <v>0.94990243411129249</v>
      </c>
      <c r="BL22" s="30">
        <f>ROUND(SUM(Inventory[[#This Row],[Mdl Qlty]:[Mdl Garage Area]])+Inventory[[#This Row],[Mdl Res Intercept]]*Inventory[[#This Row],[Res Adj ]],-2)</f>
        <v>328200</v>
      </c>
      <c r="BM22" s="30">
        <f>ROUND(Inventory[[#This Row],[25Det]]*Inventory[[#This Row],[Det/Nbhd Adj]],-2)</f>
        <v>0</v>
      </c>
      <c r="BN22" s="30">
        <f>Inventory[[#This Row],[Adjusted Res]]+Inventory[[#This Row],[Adj Det ]]</f>
        <v>318100</v>
      </c>
      <c r="BO22" s="30">
        <f>ROUND((Inventory[[#This Row],[Mdl Land Intercept]]+Inventory[[#This Row],[Mdl LnAcres]])*Inventory[[#This Row],[Det/Nbhd Adj]],-2)</f>
        <v>61100</v>
      </c>
      <c r="BP22" s="30">
        <f>Inventory[[#This Row],[Adjusted Impr Total]]+Inventory[[#This Row],[Adjusted Land Total]]</f>
        <v>379200</v>
      </c>
      <c r="BQ22" s="30">
        <f>IFERROR((Inventory[[#This Row],[Adjusted Impr Total]]-Inventory[[#This Row],[24Bldg]])/Inventory[[#This Row],[24Bldg]],0)</f>
        <v>-5.6922620812333236E-2</v>
      </c>
      <c r="BR22" s="43">
        <f>(Inventory[[#This Row],[Adjusted Land Total]]-Inventory[[#This Row],[24Lnd]])/Inventory[[#This Row],[24Lnd]]</f>
        <v>4.9342105263157892E-3</v>
      </c>
      <c r="BS22" s="43">
        <f>(Inventory[[#This Row],[Adjusted Total]]-Inventory[[#This Row],[24Final]])/Inventory[[#This Row],[24Final]]</f>
        <v>-4.7475508666164283E-2</v>
      </c>
    </row>
    <row r="23" spans="1:71">
      <c r="A23" s="30">
        <v>2025</v>
      </c>
      <c r="B23" s="31" t="s">
        <v>1937</v>
      </c>
      <c r="C23" s="31">
        <f>LN(Inventory[[#This Row],[Acres]])</f>
        <v>-1.8263509139976741</v>
      </c>
      <c r="D23" s="38">
        <v>69.98</v>
      </c>
      <c r="E23" s="37"/>
      <c r="F23" s="31" t="s">
        <v>505</v>
      </c>
      <c r="G23" s="31" t="s">
        <v>1930</v>
      </c>
      <c r="H23" s="31" t="s">
        <v>5</v>
      </c>
      <c r="I23" s="31" t="s">
        <v>1938</v>
      </c>
      <c r="J23" s="31" t="s">
        <v>567</v>
      </c>
      <c r="K23" s="31" t="s">
        <v>568</v>
      </c>
      <c r="L23" s="31" t="s">
        <v>28</v>
      </c>
      <c r="M23" s="31" t="s">
        <v>20</v>
      </c>
      <c r="N23" s="31">
        <v>10</v>
      </c>
      <c r="O23" s="31">
        <f>2024-Inventory[[#This Row],[YrBlt]]</f>
        <v>2</v>
      </c>
      <c r="P23" s="31">
        <f>2024-Inventory[[#This Row],[EffYr]]</f>
        <v>2</v>
      </c>
      <c r="Q23" s="30">
        <v>2005</v>
      </c>
      <c r="R23" s="30">
        <v>2005</v>
      </c>
      <c r="S23" s="30">
        <v>2437</v>
      </c>
      <c r="T23" s="38">
        <v>288</v>
      </c>
      <c r="U23" s="38">
        <v>790</v>
      </c>
      <c r="V23" s="32"/>
      <c r="W23" s="38">
        <v>790</v>
      </c>
      <c r="X23" s="38">
        <f>Inventory[[#This Row],[Bsmt Area]]-Inventory[[#This Row],[FnBsmt]]</f>
        <v>0</v>
      </c>
      <c r="Y23" s="38">
        <f>Inventory[[#This Row],[MainFn]]+Inventory[[#This Row],[UpprFn]]+Inventory[[#This Row],[AddFn]]+Inventory[[#This Row],[FnBsmt]]</f>
        <v>1619</v>
      </c>
      <c r="Z23" s="38">
        <v>4000</v>
      </c>
      <c r="AA23" s="31" t="s">
        <v>57</v>
      </c>
      <c r="AB23" s="32"/>
      <c r="AC23" s="32"/>
      <c r="AD23" s="32"/>
      <c r="AE23" s="32"/>
      <c r="AF23" s="38">
        <v>80</v>
      </c>
      <c r="AG23" s="32"/>
      <c r="AH23" s="37"/>
      <c r="AI23" s="38">
        <v>1296694</v>
      </c>
      <c r="AJ23" s="38">
        <v>972521</v>
      </c>
      <c r="AK23" s="30">
        <v>49965</v>
      </c>
      <c r="AL23" s="30">
        <v>0</v>
      </c>
      <c r="AM23" s="30">
        <v>99500</v>
      </c>
      <c r="AN23" s="30">
        <v>957700</v>
      </c>
      <c r="AO23" s="30">
        <v>1057200</v>
      </c>
      <c r="AP23" s="35">
        <f>Lookups!$B$58*0.6</f>
        <v>132535.48800000001</v>
      </c>
      <c r="AQ23" s="35">
        <f>Lookups!$B$58*0.4</f>
        <v>88356.992000000013</v>
      </c>
      <c r="AR23" s="35">
        <f>Lookups!$B$59*Inventory[[#This Row],[LnAcres]]</f>
        <v>-23969.615653948869</v>
      </c>
      <c r="AS23" s="35">
        <f>VLOOKUP(Inventory[[#This Row],[Qlty]],Lookups!$A$66:$E$79,2,FALSE)</f>
        <v>37154.252388000001</v>
      </c>
      <c r="AT23" s="35">
        <f>VLOOKUP(Inventory[[#This Row],[Cnd]],Lookups!$A$80:$E$88,2,FALSE)</f>
        <v>47371.278778200001</v>
      </c>
      <c r="AU23" s="35">
        <f>Inventory[[#This Row],[EffAge]]*Lookups!$B$65</f>
        <v>-217.48220000000001</v>
      </c>
      <c r="AV23" s="35">
        <f>Inventory[[#This Row],[MainFn]]*Lookups!$B$90</f>
        <v>101042.40522</v>
      </c>
      <c r="AW23" s="35">
        <f>Inventory[[#This Row],[UpprFn]]*Lookups!$B$91</f>
        <v>0</v>
      </c>
      <c r="AX23" s="35">
        <f>Inventory[[#This Row],[Bsmt Area]]*Lookups!$B$95</f>
        <v>0</v>
      </c>
      <c r="AY23" s="35">
        <f>Inventory[[#This Row],[AttGar]]*Lookups!$B$93</f>
        <v>16944.494880000002</v>
      </c>
      <c r="AZ23" s="35">
        <f>ROUND(Inventory[[#This Row],[25Det]],-2)</f>
        <v>0</v>
      </c>
      <c r="BA23" s="35">
        <f>ROUND(SUM(Inventory[[#This Row],[Mdl Qlty]:[Mdl Garage Area]])+Inventory[[#This Row],[Mdl Res Intercept]],-2)</f>
        <v>334800</v>
      </c>
      <c r="BB23" s="35">
        <f>ROUND(Inventory[[#This Row],[Mdl Land Intercept]]+Inventory[[#This Row],[Mdl LnAcres]],-2)</f>
        <v>64400</v>
      </c>
      <c r="BC23" s="35">
        <f>Inventory[[#This Row],[Unadj Res Value]]+Inventory[[#This Row],[Unadj Det Value]]+Inventory[[#This Row],[Unadj Land Value]]</f>
        <v>399200</v>
      </c>
      <c r="BD23" s="35" t="e">
        <f>([1]!Inventory[[#This Row],[Unadj Total Value]]-[1]!Inventory[[#This Row],[24Final]])/[1]!Inventory[[#This Row],[24Final]]</f>
        <v>#REF!</v>
      </c>
      <c r="BE23" s="35">
        <f>VLOOKUP(Inventory[[#This Row],[Nbhd]],Lookups!$M$3:$P$5,4,FALSE)</f>
        <v>0.99970000000000003</v>
      </c>
      <c r="BF23" s="35">
        <f>VLOOKUP(Inventory[[#This Row],[Qlty]],Lookups!$M$8:$P$22,4,FALSE)</f>
        <v>0.99819999999999998</v>
      </c>
      <c r="BG23" s="35">
        <f>VLOOKUP(Inventory[[#This Row],[Cnd]],Lookups!$R$8:$U$17,4,FALSE)</f>
        <v>1.0012000000000001</v>
      </c>
      <c r="BH23" s="35">
        <f>VLOOKUP(Inventory[[#This Row],[LivArea Range]],Lookups!$R$25:$U$43,4,FALSE)</f>
        <v>1.0007999999999999</v>
      </c>
      <c r="BI23" s="35">
        <f>VLOOKUP(Inventory[[#This Row],[Decade]],Lookups!$M$24:$P$40,4,FALSE)</f>
        <v>1</v>
      </c>
      <c r="BJ23" s="35">
        <f>Inventory[[#This Row],[Nbhd Adj]]*0.95</f>
        <v>0.94971499999999998</v>
      </c>
      <c r="BK23" s="35">
        <f>Inventory[[#This Row],[Nbhd Adj]]*Inventory[[#This Row],[Quality Adj]]*Inventory[[#This Row],[Condition Adj]]*Inventory[[#This Row],[Living Area Adj]]*Inventory[[#This Row],[Decade Adj]]*0.95</f>
        <v>0.94990243411129249</v>
      </c>
      <c r="BL23" s="35">
        <f>ROUND(SUM(Inventory[[#This Row],[Mdl Qlty]:[Mdl Garage Area]])+Inventory[[#This Row],[Mdl Res Intercept]]*Inventory[[#This Row],[Res Adj ]],-2)</f>
        <v>328200</v>
      </c>
      <c r="BM23" s="35">
        <f>ROUND(Inventory[[#This Row],[25Det]]*Inventory[[#This Row],[Det/Nbhd Adj]],-2)</f>
        <v>0</v>
      </c>
      <c r="BN23" s="35">
        <f>Inventory[[#This Row],[Adjusted Res]]+Inventory[[#This Row],[Adj Det ]]</f>
        <v>318100</v>
      </c>
      <c r="BO23" s="35">
        <f>ROUND((Inventory[[#This Row],[Mdl Land Intercept]]+Inventory[[#This Row],[Mdl LnAcres]])*Inventory[[#This Row],[Det/Nbhd Adj]],-2)</f>
        <v>61100</v>
      </c>
      <c r="BP23" s="35">
        <f>Inventory[[#This Row],[Adjusted Impr Total]]+Inventory[[#This Row],[Adjusted Land Total]]</f>
        <v>379200</v>
      </c>
      <c r="BQ23" s="35">
        <f>IFERROR((Inventory[[#This Row],[Adjusted Impr Total]]-Inventory[[#This Row],[24Bldg]])/Inventory[[#This Row],[24Bldg]],0)</f>
        <v>-5.6922620812333236E-2</v>
      </c>
      <c r="BR23" s="44">
        <f>(Inventory[[#This Row],[Adjusted Land Total]]-Inventory[[#This Row],[24Lnd]])/Inventory[[#This Row],[24Lnd]]</f>
        <v>4.9342105263157892E-3</v>
      </c>
      <c r="BS23" s="44">
        <f>(Inventory[[#This Row],[Adjusted Total]]-Inventory[[#This Row],[24Final]])/Inventory[[#This Row],[24Final]]</f>
        <v>-4.7475508666164283E-2</v>
      </c>
    </row>
  </sheetData>
  <conditionalFormatting sqref="B2:B9">
    <cfRule type="duplicateValues" dxfId="3" priority="4"/>
  </conditionalFormatting>
  <conditionalFormatting sqref="B10:B11">
    <cfRule type="duplicateValues" dxfId="2" priority="3"/>
  </conditionalFormatting>
  <conditionalFormatting sqref="B12:B15">
    <cfRule type="duplicateValues" dxfId="1" priority="2"/>
  </conditionalFormatting>
  <conditionalFormatting sqref="B20:B23">
    <cfRule type="duplicateValues" dxfId="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9C650-2E0F-48CA-8A24-5E0D298C7A35}">
  <sheetPr codeName="Sheet6"/>
  <dimension ref="A1:P332"/>
  <sheetViews>
    <sheetView topLeftCell="A12" workbookViewId="0">
      <selection activeCell="F25" sqref="F25"/>
    </sheetView>
  </sheetViews>
  <sheetFormatPr defaultRowHeight="14.45" customHeight="1"/>
  <cols>
    <col min="1" max="1" width="5.85546875" customWidth="1"/>
    <col min="2" max="2" width="2.140625" customWidth="1"/>
    <col min="3" max="3" width="16.85546875" customWidth="1"/>
    <col min="4" max="4" width="11.5703125" bestFit="1" customWidth="1"/>
    <col min="5" max="5" width="16.28515625" bestFit="1" customWidth="1"/>
    <col min="6" max="6" width="7.85546875" customWidth="1"/>
    <col min="7" max="7" width="11.140625" customWidth="1"/>
    <col min="8" max="8" width="9.42578125" customWidth="1"/>
    <col min="10" max="10" width="12" bestFit="1" customWidth="1"/>
    <col min="11" max="11" width="10.7109375" bestFit="1" customWidth="1"/>
    <col min="12" max="12" width="11" bestFit="1" customWidth="1"/>
    <col min="13" max="13" width="12" bestFit="1" customWidth="1"/>
    <col min="14" max="14" width="12.5703125" customWidth="1"/>
    <col min="15" max="15" width="10.5703125" bestFit="1" customWidth="1"/>
    <col min="16" max="16" width="11.140625" customWidth="1"/>
  </cols>
  <sheetData>
    <row r="1" spans="1:16">
      <c r="A1" t="s">
        <v>1939</v>
      </c>
      <c r="D1">
        <f>+D2/2</f>
        <v>159.5</v>
      </c>
      <c r="E1" s="13"/>
      <c r="F1" s="3"/>
      <c r="O1" s="3"/>
      <c r="P1" s="3"/>
    </row>
    <row r="2" spans="1:16">
      <c r="A2" s="46" t="s">
        <v>1940</v>
      </c>
      <c r="B2" s="46"/>
      <c r="D2" s="47">
        <f>COUNT(A14:A1600)</f>
        <v>319</v>
      </c>
      <c r="E2" s="48" t="s">
        <v>1941</v>
      </c>
      <c r="F2" s="49">
        <f>MEDIAN(F14:F1600)</f>
        <v>1.0044598765432098</v>
      </c>
      <c r="G2" s="50" t="s">
        <v>1942</v>
      </c>
      <c r="I2" s="50"/>
      <c r="J2" s="50"/>
      <c r="O2" s="3"/>
      <c r="P2" s="3"/>
    </row>
    <row r="3" spans="1:16">
      <c r="A3" s="46" t="s">
        <v>1943</v>
      </c>
      <c r="B3" s="46"/>
      <c r="D3" s="51">
        <f>SUM(H14:H1600)</f>
        <v>116468199</v>
      </c>
      <c r="E3" s="48" t="s">
        <v>1944</v>
      </c>
      <c r="F3" s="49">
        <f>SUM(F14:F1600)/D2</f>
        <v>1.0004627309019891</v>
      </c>
      <c r="G3" s="50" t="s">
        <v>1945</v>
      </c>
      <c r="I3" s="50"/>
      <c r="J3" s="50"/>
      <c r="O3" s="3"/>
      <c r="P3" s="3"/>
    </row>
    <row r="4" spans="1:16">
      <c r="A4" s="46" t="s">
        <v>1946</v>
      </c>
      <c r="B4" s="46"/>
      <c r="D4" s="51">
        <f>SUM(E14:E1600)</f>
        <v>116459700</v>
      </c>
      <c r="E4" s="48" t="s">
        <v>1947</v>
      </c>
      <c r="F4" s="49">
        <f>+D4/D3</f>
        <v>0.99992702729094318</v>
      </c>
      <c r="G4" s="50" t="s">
        <v>1948</v>
      </c>
      <c r="I4" s="50"/>
      <c r="J4" s="50"/>
      <c r="O4" s="3"/>
      <c r="P4" s="3"/>
    </row>
    <row r="5" spans="1:16">
      <c r="A5" s="46" t="s">
        <v>1949</v>
      </c>
      <c r="B5" s="46"/>
      <c r="D5" s="51">
        <f>SUM(F14:F1600)</f>
        <v>319.1476111577345</v>
      </c>
      <c r="E5" s="48"/>
      <c r="F5" s="3"/>
      <c r="G5" s="50"/>
      <c r="I5" s="50"/>
      <c r="J5" s="50"/>
      <c r="O5" s="3"/>
      <c r="P5" s="3"/>
    </row>
    <row r="6" spans="1:16">
      <c r="A6" s="46" t="s">
        <v>1950</v>
      </c>
      <c r="B6" s="46"/>
      <c r="D6" s="52">
        <f>+D3/D2</f>
        <v>365104.0721003135</v>
      </c>
      <c r="E6" s="48" t="s">
        <v>1951</v>
      </c>
      <c r="F6" s="53">
        <f>(SUM(N14:N1600)/D2/F2)*100</f>
        <v>4.7119010731317497</v>
      </c>
      <c r="G6" s="50" t="s">
        <v>1952</v>
      </c>
      <c r="I6" s="50"/>
      <c r="J6" s="50"/>
      <c r="O6" s="3"/>
      <c r="P6" s="3"/>
    </row>
    <row r="7" spans="1:16">
      <c r="A7" s="46" t="s">
        <v>1953</v>
      </c>
      <c r="B7" s="46"/>
      <c r="D7" s="52">
        <f>+D4/D2</f>
        <v>365077.42946708464</v>
      </c>
      <c r="E7" s="48" t="s">
        <v>1954</v>
      </c>
      <c r="F7" s="54">
        <f>(SQRT(SUM(P14:P1600)/(D2-1))/F3)*100</f>
        <v>5.8401706708216095</v>
      </c>
      <c r="G7" s="55" t="s">
        <v>1955</v>
      </c>
      <c r="O7" s="3"/>
      <c r="P7" s="3"/>
    </row>
    <row r="8" spans="1:16">
      <c r="A8" s="46" t="s">
        <v>1956</v>
      </c>
      <c r="B8" s="46"/>
      <c r="C8" s="56"/>
      <c r="D8">
        <v>0.85707299999999997</v>
      </c>
      <c r="E8" s="48" t="s">
        <v>1957</v>
      </c>
      <c r="F8" s="54">
        <f>+F3/F4</f>
        <v>1.0005357427056425</v>
      </c>
      <c r="G8" s="50" t="s">
        <v>1958</v>
      </c>
      <c r="I8" s="50"/>
      <c r="J8" s="50"/>
      <c r="O8" s="3"/>
      <c r="P8" s="3"/>
    </row>
    <row r="9" spans="1:16">
      <c r="A9" s="46" t="s">
        <v>1959</v>
      </c>
      <c r="B9" s="46"/>
      <c r="C9" s="56"/>
      <c r="D9">
        <v>1488</v>
      </c>
      <c r="E9" s="48" t="s">
        <v>1960</v>
      </c>
      <c r="F9" s="54">
        <f>SQRT((SUM(P14:P1600))/(D2-1))*100</f>
        <v>5.8428730982638895</v>
      </c>
      <c r="G9" s="50" t="s">
        <v>1961</v>
      </c>
      <c r="I9" s="50"/>
      <c r="J9" s="50"/>
      <c r="O9" s="3"/>
      <c r="P9" s="3"/>
    </row>
    <row r="10" spans="1:16">
      <c r="A10" s="57" t="s">
        <v>1962</v>
      </c>
      <c r="B10" s="57"/>
      <c r="C10" s="56"/>
      <c r="D10" s="10">
        <f>D2/D9</f>
        <v>0.21438172043010753</v>
      </c>
      <c r="E10" s="13" t="s">
        <v>1963</v>
      </c>
      <c r="F10" s="3">
        <f>SQRT(SUM(J14:J1600)/(D2))</f>
        <v>20883.317272954602</v>
      </c>
      <c r="G10" s="58"/>
      <c r="O10" s="3"/>
      <c r="P10" s="3"/>
    </row>
    <row r="11" spans="1:16">
      <c r="D11" s="3"/>
      <c r="O11" s="3"/>
      <c r="P11" s="3"/>
    </row>
    <row r="12" spans="1:16" ht="15" thickBot="1">
      <c r="D12" s="3"/>
      <c r="I12" s="59"/>
      <c r="J12" s="59"/>
      <c r="K12" s="59"/>
      <c r="L12" s="59"/>
      <c r="M12" s="59"/>
      <c r="N12" s="58"/>
      <c r="O12" s="3"/>
      <c r="P12" s="3"/>
    </row>
    <row r="13" spans="1:16" ht="51" customHeight="1" thickBot="1">
      <c r="A13" s="60" t="s">
        <v>1964</v>
      </c>
      <c r="B13" s="60"/>
      <c r="C13" s="61" t="s">
        <v>63</v>
      </c>
      <c r="D13" s="61" t="s">
        <v>1965</v>
      </c>
      <c r="E13" s="62" t="s">
        <v>1966</v>
      </c>
      <c r="F13" s="63" t="s">
        <v>1967</v>
      </c>
      <c r="G13" s="61" t="s">
        <v>104</v>
      </c>
      <c r="H13" s="64" t="s">
        <v>106</v>
      </c>
      <c r="I13" s="65" t="s">
        <v>1968</v>
      </c>
      <c r="J13" s="66" t="s">
        <v>1969</v>
      </c>
      <c r="K13" s="65" t="s">
        <v>1970</v>
      </c>
      <c r="L13" s="67" t="s">
        <v>1971</v>
      </c>
      <c r="M13" s="66" t="s">
        <v>1969</v>
      </c>
      <c r="N13" s="68" t="s">
        <v>1972</v>
      </c>
      <c r="O13" s="69" t="s">
        <v>1973</v>
      </c>
      <c r="P13" s="70" t="s">
        <v>1974</v>
      </c>
    </row>
    <row r="14" spans="1:16">
      <c r="A14">
        <v>1</v>
      </c>
      <c r="C14" s="71">
        <v>19120112410</v>
      </c>
      <c r="D14" s="81" t="s">
        <v>5</v>
      </c>
      <c r="E14" s="71">
        <v>400600</v>
      </c>
      <c r="F14" s="72">
        <v>1.0484273589615576</v>
      </c>
      <c r="G14" s="82">
        <v>44690</v>
      </c>
      <c r="H14" s="83">
        <v>420000</v>
      </c>
      <c r="I14" s="84">
        <f t="shared" ref="I14:I77" si="0">+H14-E14</f>
        <v>19400</v>
      </c>
      <c r="J14" s="85">
        <f>+I14^2</f>
        <v>376360000</v>
      </c>
      <c r="K14" s="84">
        <f>AVERAGE($H$14:$H$1600)</f>
        <v>365104.0721003135</v>
      </c>
      <c r="L14" s="84">
        <f>+H14-K14</f>
        <v>54895.927899686503</v>
      </c>
      <c r="M14" s="85">
        <f>+L14^2</f>
        <v>3013562899.9675789</v>
      </c>
      <c r="N14" s="73">
        <f>ABS(+$F$2-F14)</f>
        <v>4.3967482418347803E-2</v>
      </c>
      <c r="O14" s="14">
        <f>+$F$3-F14</f>
        <v>-4.796462805956847E-2</v>
      </c>
      <c r="P14" s="14">
        <f>+O14*O14</f>
        <v>2.3006055448927432E-3</v>
      </c>
    </row>
    <row r="15" spans="1:16">
      <c r="A15">
        <f>+A14+1</f>
        <v>2</v>
      </c>
      <c r="C15" s="74">
        <v>19120112413</v>
      </c>
      <c r="D15" s="81" t="s">
        <v>5</v>
      </c>
      <c r="E15" s="74">
        <v>318900</v>
      </c>
      <c r="F15" s="75">
        <v>0.94073377234242705</v>
      </c>
      <c r="G15" s="76">
        <v>44298</v>
      </c>
      <c r="H15" s="77">
        <v>300000</v>
      </c>
      <c r="I15" s="84">
        <f t="shared" si="0"/>
        <v>-18900</v>
      </c>
      <c r="J15" s="85">
        <f t="shared" ref="J15:J78" si="1">+I15^2</f>
        <v>357210000</v>
      </c>
      <c r="K15" s="84">
        <f>AVERAGE($H$14:$H$1600)</f>
        <v>365104.0721003135</v>
      </c>
      <c r="L15" s="84">
        <f t="shared" ref="L15:L78" si="2">+H15-K15</f>
        <v>-65104.072100313497</v>
      </c>
      <c r="M15" s="85">
        <f t="shared" ref="M15:M78" si="3">+L15^2</f>
        <v>4238540204.0428181</v>
      </c>
      <c r="N15" s="73">
        <f t="shared" ref="N15:N78" si="4">ABS(+$F$2-F15)</f>
        <v>6.3726104200782729E-2</v>
      </c>
      <c r="O15" s="14">
        <f t="shared" ref="O15:O78" si="5">+$F$3-F15</f>
        <v>5.9728958559562062E-2</v>
      </c>
      <c r="P15" s="14">
        <f t="shared" ref="P15:P78" si="6">+O15*O15</f>
        <v>3.567548490609882E-3</v>
      </c>
    </row>
    <row r="16" spans="1:16">
      <c r="A16">
        <f t="shared" ref="A16:A79" si="7">+A15+1</f>
        <v>3</v>
      </c>
      <c r="C16" s="71">
        <v>19120112423</v>
      </c>
      <c r="D16" s="81" t="s">
        <v>5</v>
      </c>
      <c r="E16" s="71">
        <v>287900</v>
      </c>
      <c r="F16" s="72">
        <v>1.0420284821118444</v>
      </c>
      <c r="G16" s="76">
        <v>44316</v>
      </c>
      <c r="H16" s="77">
        <v>300000</v>
      </c>
      <c r="I16" s="84">
        <f t="shared" si="0"/>
        <v>12100</v>
      </c>
      <c r="J16" s="85">
        <f t="shared" si="1"/>
        <v>146410000</v>
      </c>
      <c r="K16" s="84">
        <f t="shared" ref="K16:K79" si="8">AVERAGE($H$14:$H$1600)</f>
        <v>365104.0721003135</v>
      </c>
      <c r="L16" s="84">
        <f t="shared" si="2"/>
        <v>-65104.072100313497</v>
      </c>
      <c r="M16" s="85">
        <f t="shared" si="3"/>
        <v>4238540204.0428181</v>
      </c>
      <c r="N16" s="73">
        <f t="shared" si="4"/>
        <v>3.7568605568634617E-2</v>
      </c>
      <c r="O16" s="14">
        <f t="shared" si="5"/>
        <v>-4.1565751209855284E-2</v>
      </c>
      <c r="P16" s="14">
        <f t="shared" si="6"/>
        <v>1.727711673639586E-3</v>
      </c>
    </row>
    <row r="17" spans="1:16">
      <c r="A17">
        <f t="shared" si="7"/>
        <v>4</v>
      </c>
      <c r="C17" s="74">
        <v>19120112435</v>
      </c>
      <c r="D17" s="81" t="s">
        <v>5</v>
      </c>
      <c r="E17" s="74">
        <v>455000</v>
      </c>
      <c r="F17" s="75">
        <v>0.94505494505494503</v>
      </c>
      <c r="G17" s="82">
        <v>44988</v>
      </c>
      <c r="H17" s="86">
        <v>430000</v>
      </c>
      <c r="I17" s="84">
        <f t="shared" si="0"/>
        <v>-25000</v>
      </c>
      <c r="J17" s="85">
        <f t="shared" si="1"/>
        <v>625000000</v>
      </c>
      <c r="K17" s="84">
        <f t="shared" si="8"/>
        <v>365104.0721003135</v>
      </c>
      <c r="L17" s="84">
        <f t="shared" si="2"/>
        <v>64895.927899686503</v>
      </c>
      <c r="M17" s="85">
        <f t="shared" si="3"/>
        <v>4211481457.961309</v>
      </c>
      <c r="N17" s="73">
        <f t="shared" si="4"/>
        <v>5.9404931488264756E-2</v>
      </c>
      <c r="O17" s="14">
        <f t="shared" si="5"/>
        <v>5.5407785847044089E-2</v>
      </c>
      <c r="P17" s="14">
        <f t="shared" si="6"/>
        <v>3.070022732471899E-3</v>
      </c>
    </row>
    <row r="18" spans="1:16">
      <c r="A18">
        <f t="shared" si="7"/>
        <v>5</v>
      </c>
      <c r="C18" s="71">
        <v>19120112435</v>
      </c>
      <c r="D18" s="81" t="s">
        <v>5</v>
      </c>
      <c r="E18" s="71">
        <v>365500</v>
      </c>
      <c r="F18" s="72">
        <v>1.076607387140903</v>
      </c>
      <c r="G18" s="82">
        <v>44280</v>
      </c>
      <c r="H18" s="83">
        <v>393500</v>
      </c>
      <c r="I18" s="84">
        <f t="shared" si="0"/>
        <v>28000</v>
      </c>
      <c r="J18" s="85">
        <f t="shared" si="1"/>
        <v>784000000</v>
      </c>
      <c r="K18" s="84">
        <f t="shared" si="8"/>
        <v>365104.0721003135</v>
      </c>
      <c r="L18" s="84">
        <f t="shared" si="2"/>
        <v>28395.927899686503</v>
      </c>
      <c r="M18" s="85">
        <f t="shared" si="3"/>
        <v>806328721.28419435</v>
      </c>
      <c r="N18" s="73">
        <f t="shared" si="4"/>
        <v>7.2147510597693199E-2</v>
      </c>
      <c r="O18" s="14">
        <f t="shared" si="5"/>
        <v>-7.6144656238913866E-2</v>
      </c>
      <c r="P18" s="14">
        <f t="shared" si="6"/>
        <v>5.7980086737423643E-3</v>
      </c>
    </row>
    <row r="19" spans="1:16">
      <c r="A19">
        <f t="shared" si="7"/>
        <v>6</v>
      </c>
      <c r="C19" s="74">
        <v>19120112439</v>
      </c>
      <c r="D19" s="81" t="s">
        <v>5</v>
      </c>
      <c r="E19" s="74">
        <v>457400</v>
      </c>
      <c r="F19" s="75">
        <v>0.9772627896808046</v>
      </c>
      <c r="G19" s="82">
        <v>44784</v>
      </c>
      <c r="H19" s="83">
        <v>447000</v>
      </c>
      <c r="I19" s="84">
        <f t="shared" si="0"/>
        <v>-10400</v>
      </c>
      <c r="J19" s="85">
        <f t="shared" si="1"/>
        <v>108160000</v>
      </c>
      <c r="K19" s="84">
        <f t="shared" si="8"/>
        <v>365104.0721003135</v>
      </c>
      <c r="L19" s="84">
        <f t="shared" si="2"/>
        <v>81895.927899686503</v>
      </c>
      <c r="M19" s="85">
        <f t="shared" si="3"/>
        <v>6706943006.5506506</v>
      </c>
      <c r="N19" s="73">
        <f t="shared" si="4"/>
        <v>2.7197086862405184E-2</v>
      </c>
      <c r="O19" s="14">
        <f t="shared" si="5"/>
        <v>2.3199941221184517E-2</v>
      </c>
      <c r="P19" s="14">
        <f t="shared" si="6"/>
        <v>5.3823727266641658E-4</v>
      </c>
    </row>
    <row r="20" spans="1:16">
      <c r="A20">
        <f t="shared" si="7"/>
        <v>7</v>
      </c>
      <c r="C20" s="71">
        <v>19120112444</v>
      </c>
      <c r="D20" s="81" t="s">
        <v>5</v>
      </c>
      <c r="E20" s="71">
        <v>376200</v>
      </c>
      <c r="F20" s="72">
        <v>0.99681020733652315</v>
      </c>
      <c r="G20" s="76">
        <v>44679</v>
      </c>
      <c r="H20" s="77">
        <v>375000</v>
      </c>
      <c r="I20" s="84">
        <f t="shared" si="0"/>
        <v>-1200</v>
      </c>
      <c r="J20" s="85">
        <f t="shared" si="1"/>
        <v>1440000</v>
      </c>
      <c r="K20" s="84">
        <f t="shared" si="8"/>
        <v>365104.0721003135</v>
      </c>
      <c r="L20" s="84">
        <f t="shared" si="2"/>
        <v>9895.9278996865032</v>
      </c>
      <c r="M20" s="85">
        <f t="shared" si="3"/>
        <v>97929388.99579373</v>
      </c>
      <c r="N20" s="73">
        <f t="shared" si="4"/>
        <v>7.6496692066866379E-3</v>
      </c>
      <c r="O20" s="14">
        <f t="shared" si="5"/>
        <v>3.6525235654659705E-3</v>
      </c>
      <c r="P20" s="14">
        <f t="shared" si="6"/>
        <v>1.3340928396284245E-5</v>
      </c>
    </row>
    <row r="21" spans="1:16">
      <c r="A21">
        <f t="shared" si="7"/>
        <v>8</v>
      </c>
      <c r="C21" s="74">
        <v>19120112462</v>
      </c>
      <c r="D21" s="81" t="s">
        <v>5</v>
      </c>
      <c r="E21" s="74">
        <v>259800</v>
      </c>
      <c r="F21" s="75">
        <v>1.0739030023094689</v>
      </c>
      <c r="G21" s="82">
        <v>44314</v>
      </c>
      <c r="H21" s="86">
        <v>279000</v>
      </c>
      <c r="I21" s="84">
        <f t="shared" si="0"/>
        <v>19200</v>
      </c>
      <c r="J21" s="85">
        <f t="shared" si="1"/>
        <v>368640000</v>
      </c>
      <c r="K21" s="84">
        <f t="shared" si="8"/>
        <v>365104.0721003135</v>
      </c>
      <c r="L21" s="84">
        <f t="shared" si="2"/>
        <v>-86104.072100313497</v>
      </c>
      <c r="M21" s="85">
        <f t="shared" si="3"/>
        <v>7413911232.2559853</v>
      </c>
      <c r="N21" s="73">
        <f t="shared" si="4"/>
        <v>6.9443125766259106E-2</v>
      </c>
      <c r="O21" s="14">
        <f t="shared" si="5"/>
        <v>-7.3440271407479774E-2</v>
      </c>
      <c r="P21" s="14">
        <f t="shared" si="6"/>
        <v>5.3934734644042913E-3</v>
      </c>
    </row>
    <row r="22" spans="1:16">
      <c r="A22">
        <f t="shared" si="7"/>
        <v>9</v>
      </c>
      <c r="C22" s="71">
        <v>19120112463</v>
      </c>
      <c r="D22" s="81" t="s">
        <v>5</v>
      </c>
      <c r="E22" s="71">
        <v>379000</v>
      </c>
      <c r="F22" s="72">
        <v>0.91029023746701843</v>
      </c>
      <c r="G22" s="76">
        <v>44901</v>
      </c>
      <c r="H22" s="77">
        <v>345000</v>
      </c>
      <c r="I22" s="84">
        <f t="shared" si="0"/>
        <v>-34000</v>
      </c>
      <c r="J22" s="85">
        <f t="shared" si="1"/>
        <v>1156000000</v>
      </c>
      <c r="K22" s="84">
        <f t="shared" si="8"/>
        <v>365104.0721003135</v>
      </c>
      <c r="L22" s="84">
        <f t="shared" si="2"/>
        <v>-20104.072100313497</v>
      </c>
      <c r="M22" s="85">
        <f t="shared" si="3"/>
        <v>404173715.01460356</v>
      </c>
      <c r="N22" s="73">
        <f t="shared" si="4"/>
        <v>9.4169639076191358E-2</v>
      </c>
      <c r="O22" s="14">
        <f t="shared" si="5"/>
        <v>9.0172493434970691E-2</v>
      </c>
      <c r="P22" s="14">
        <f t="shared" si="6"/>
        <v>8.1310785722798328E-3</v>
      </c>
    </row>
    <row r="23" spans="1:16">
      <c r="A23">
        <f t="shared" si="7"/>
        <v>10</v>
      </c>
      <c r="C23" s="74">
        <v>19120112467</v>
      </c>
      <c r="D23" s="81" t="s">
        <v>5</v>
      </c>
      <c r="E23" s="74">
        <v>279200</v>
      </c>
      <c r="F23" s="75">
        <v>1.0744985673352436</v>
      </c>
      <c r="G23" s="82">
        <v>44403</v>
      </c>
      <c r="H23" s="86">
        <v>300000</v>
      </c>
      <c r="I23" s="84">
        <f t="shared" si="0"/>
        <v>20800</v>
      </c>
      <c r="J23" s="85">
        <f t="shared" si="1"/>
        <v>432640000</v>
      </c>
      <c r="K23" s="84">
        <f t="shared" si="8"/>
        <v>365104.0721003135</v>
      </c>
      <c r="L23" s="84">
        <f t="shared" si="2"/>
        <v>-65104.072100313497</v>
      </c>
      <c r="M23" s="85">
        <f t="shared" si="3"/>
        <v>4238540204.0428181</v>
      </c>
      <c r="N23" s="73">
        <f t="shared" si="4"/>
        <v>7.0038690792033842E-2</v>
      </c>
      <c r="O23" s="14">
        <f t="shared" si="5"/>
        <v>-7.4035836433254509E-2</v>
      </c>
      <c r="P23" s="14">
        <f t="shared" si="6"/>
        <v>5.4813050763716162E-3</v>
      </c>
    </row>
    <row r="24" spans="1:16">
      <c r="A24">
        <f t="shared" si="7"/>
        <v>11</v>
      </c>
      <c r="C24" s="71">
        <v>19120112484</v>
      </c>
      <c r="D24" s="81" t="s">
        <v>5</v>
      </c>
      <c r="E24" s="71">
        <v>302900</v>
      </c>
      <c r="F24" s="72">
        <v>1.0102344007923407</v>
      </c>
      <c r="G24" s="82">
        <v>44490</v>
      </c>
      <c r="H24" s="86">
        <v>306000</v>
      </c>
      <c r="I24" s="84">
        <f t="shared" si="0"/>
        <v>3100</v>
      </c>
      <c r="J24" s="85">
        <f t="shared" si="1"/>
        <v>9610000</v>
      </c>
      <c r="K24" s="84">
        <f t="shared" si="8"/>
        <v>365104.0721003135</v>
      </c>
      <c r="L24" s="84">
        <f t="shared" si="2"/>
        <v>-59104.072100313497</v>
      </c>
      <c r="M24" s="85">
        <f t="shared" si="3"/>
        <v>3493291338.8390565</v>
      </c>
      <c r="N24" s="73">
        <f t="shared" si="4"/>
        <v>5.7745242491309412E-3</v>
      </c>
      <c r="O24" s="14">
        <f t="shared" si="5"/>
        <v>-9.7716698903516086E-3</v>
      </c>
      <c r="P24" s="14">
        <f t="shared" si="6"/>
        <v>9.5485532446004223E-5</v>
      </c>
    </row>
    <row r="25" spans="1:16">
      <c r="A25">
        <f t="shared" si="7"/>
        <v>12</v>
      </c>
      <c r="C25" s="74">
        <v>19120112485</v>
      </c>
      <c r="D25" s="81" t="s">
        <v>5</v>
      </c>
      <c r="E25" s="74">
        <v>537400</v>
      </c>
      <c r="F25" s="75">
        <v>1.0234462225530332</v>
      </c>
      <c r="G25" s="82">
        <v>44894</v>
      </c>
      <c r="H25" s="86">
        <v>550000</v>
      </c>
      <c r="I25" s="84">
        <f t="shared" si="0"/>
        <v>12600</v>
      </c>
      <c r="J25" s="85">
        <f t="shared" si="1"/>
        <v>158760000</v>
      </c>
      <c r="K25" s="84">
        <f t="shared" si="8"/>
        <v>365104.0721003135</v>
      </c>
      <c r="L25" s="84">
        <f t="shared" si="2"/>
        <v>184895.9278996865</v>
      </c>
      <c r="M25" s="85">
        <f t="shared" si="3"/>
        <v>34186504153.88607</v>
      </c>
      <c r="N25" s="73">
        <f t="shared" si="4"/>
        <v>1.8986346009823407E-2</v>
      </c>
      <c r="O25" s="14">
        <f t="shared" si="5"/>
        <v>-2.2983491651044075E-2</v>
      </c>
      <c r="P25" s="14">
        <f t="shared" si="6"/>
        <v>5.2824088847361263E-4</v>
      </c>
    </row>
    <row r="26" spans="1:16">
      <c r="A26">
        <f t="shared" si="7"/>
        <v>13</v>
      </c>
      <c r="C26" s="71">
        <v>19120113452</v>
      </c>
      <c r="D26" s="81" t="s">
        <v>5</v>
      </c>
      <c r="E26" s="71">
        <v>263500</v>
      </c>
      <c r="F26" s="72">
        <v>1.110056925996205</v>
      </c>
      <c r="G26" s="82">
        <v>44390</v>
      </c>
      <c r="H26" s="86">
        <v>292500</v>
      </c>
      <c r="I26" s="84">
        <f t="shared" si="0"/>
        <v>29000</v>
      </c>
      <c r="J26" s="85">
        <f t="shared" si="1"/>
        <v>841000000</v>
      </c>
      <c r="K26" s="84">
        <f t="shared" si="8"/>
        <v>365104.0721003135</v>
      </c>
      <c r="L26" s="84">
        <f t="shared" si="2"/>
        <v>-72604.072100313497</v>
      </c>
      <c r="M26" s="85">
        <f t="shared" si="3"/>
        <v>5271351285.5475206</v>
      </c>
      <c r="N26" s="73">
        <f t="shared" si="4"/>
        <v>0.1055970494529952</v>
      </c>
      <c r="O26" s="14">
        <f t="shared" si="5"/>
        <v>-0.10959419509421586</v>
      </c>
      <c r="P26" s="14">
        <f t="shared" si="6"/>
        <v>1.2010887598349049E-2</v>
      </c>
    </row>
    <row r="27" spans="1:16">
      <c r="A27">
        <f t="shared" si="7"/>
        <v>14</v>
      </c>
      <c r="C27" s="74">
        <v>19120113483</v>
      </c>
      <c r="D27" s="81" t="s">
        <v>5</v>
      </c>
      <c r="E27" s="74">
        <v>337800</v>
      </c>
      <c r="F27" s="75">
        <v>0.93250444049733572</v>
      </c>
      <c r="G27" s="76">
        <v>44819</v>
      </c>
      <c r="H27" s="77">
        <v>315000</v>
      </c>
      <c r="I27" s="84">
        <f t="shared" si="0"/>
        <v>-22800</v>
      </c>
      <c r="J27" s="85">
        <f t="shared" si="1"/>
        <v>519840000</v>
      </c>
      <c r="K27" s="84">
        <f t="shared" si="8"/>
        <v>365104.0721003135</v>
      </c>
      <c r="L27" s="84">
        <f t="shared" si="2"/>
        <v>-50104.072100313497</v>
      </c>
      <c r="M27" s="85">
        <f t="shared" si="3"/>
        <v>2510418041.0334134</v>
      </c>
      <c r="N27" s="73">
        <f t="shared" si="4"/>
        <v>7.1955436045874066E-2</v>
      </c>
      <c r="O27" s="14">
        <f t="shared" si="5"/>
        <v>6.7958290404653399E-2</v>
      </c>
      <c r="P27" s="14">
        <f t="shared" si="6"/>
        <v>4.6183292347232062E-3</v>
      </c>
    </row>
    <row r="28" spans="1:16">
      <c r="A28">
        <f t="shared" si="7"/>
        <v>15</v>
      </c>
      <c r="C28" s="71">
        <v>19120113499</v>
      </c>
      <c r="D28" s="81" t="s">
        <v>5</v>
      </c>
      <c r="E28" s="71">
        <v>300000</v>
      </c>
      <c r="F28" s="72">
        <v>1.03</v>
      </c>
      <c r="G28" s="82">
        <v>44476</v>
      </c>
      <c r="H28" s="86">
        <v>309000</v>
      </c>
      <c r="I28" s="84">
        <f t="shared" si="0"/>
        <v>9000</v>
      </c>
      <c r="J28" s="85">
        <f t="shared" si="1"/>
        <v>81000000</v>
      </c>
      <c r="K28" s="84">
        <f t="shared" si="8"/>
        <v>365104.0721003135</v>
      </c>
      <c r="L28" s="84">
        <f t="shared" si="2"/>
        <v>-56104.072100313497</v>
      </c>
      <c r="M28" s="85">
        <f t="shared" si="3"/>
        <v>3147666906.2371755</v>
      </c>
      <c r="N28" s="73">
        <f t="shared" si="4"/>
        <v>2.5540123456790242E-2</v>
      </c>
      <c r="O28" s="14">
        <f t="shared" si="5"/>
        <v>-2.953726909801091E-2</v>
      </c>
      <c r="P28" s="14">
        <f t="shared" si="6"/>
        <v>8.7245026576831023E-4</v>
      </c>
    </row>
    <row r="29" spans="1:16">
      <c r="A29">
        <f t="shared" si="7"/>
        <v>16</v>
      </c>
      <c r="C29" s="74">
        <v>19120113514</v>
      </c>
      <c r="D29" s="81" t="s">
        <v>5</v>
      </c>
      <c r="E29" s="74">
        <v>410500</v>
      </c>
      <c r="F29" s="75">
        <v>1.0596833130328867</v>
      </c>
      <c r="G29" s="82">
        <v>45127</v>
      </c>
      <c r="H29" s="86">
        <v>435000</v>
      </c>
      <c r="I29" s="84">
        <f t="shared" si="0"/>
        <v>24500</v>
      </c>
      <c r="J29" s="85">
        <f t="shared" si="1"/>
        <v>600250000</v>
      </c>
      <c r="K29" s="84">
        <f t="shared" si="8"/>
        <v>365104.0721003135</v>
      </c>
      <c r="L29" s="84">
        <f t="shared" si="2"/>
        <v>69895.927899686503</v>
      </c>
      <c r="M29" s="85">
        <f t="shared" si="3"/>
        <v>4885440736.9581738</v>
      </c>
      <c r="N29" s="73">
        <f t="shared" si="4"/>
        <v>5.5223436489676869E-2</v>
      </c>
      <c r="O29" s="14">
        <f t="shared" si="5"/>
        <v>-5.9220582130897537E-2</v>
      </c>
      <c r="P29" s="14">
        <f t="shared" si="6"/>
        <v>3.5070773479223805E-3</v>
      </c>
    </row>
    <row r="30" spans="1:16">
      <c r="A30">
        <f t="shared" si="7"/>
        <v>17</v>
      </c>
      <c r="C30" s="71">
        <v>19120113515</v>
      </c>
      <c r="D30" s="81" t="s">
        <v>5</v>
      </c>
      <c r="E30" s="71">
        <v>337500</v>
      </c>
      <c r="F30" s="72">
        <v>0.99851851851851847</v>
      </c>
      <c r="G30" s="82">
        <v>44629</v>
      </c>
      <c r="H30" s="83">
        <v>337000</v>
      </c>
      <c r="I30" s="84">
        <f t="shared" si="0"/>
        <v>-500</v>
      </c>
      <c r="J30" s="85">
        <f t="shared" si="1"/>
        <v>250000</v>
      </c>
      <c r="K30" s="84">
        <f t="shared" si="8"/>
        <v>365104.0721003135</v>
      </c>
      <c r="L30" s="84">
        <f t="shared" si="2"/>
        <v>-28104.072100313497</v>
      </c>
      <c r="M30" s="85">
        <f t="shared" si="3"/>
        <v>789838868.61961949</v>
      </c>
      <c r="N30" s="73">
        <f t="shared" si="4"/>
        <v>5.9413580246913122E-3</v>
      </c>
      <c r="O30" s="14">
        <f t="shared" si="5"/>
        <v>1.9442123834706448E-3</v>
      </c>
      <c r="P30" s="14">
        <f t="shared" si="6"/>
        <v>3.7799617920406056E-6</v>
      </c>
    </row>
    <row r="31" spans="1:16">
      <c r="A31">
        <f t="shared" si="7"/>
        <v>18</v>
      </c>
      <c r="C31" s="74">
        <v>19120113538</v>
      </c>
      <c r="D31" s="81" t="s">
        <v>5</v>
      </c>
      <c r="E31" s="74">
        <v>306200</v>
      </c>
      <c r="F31" s="75">
        <v>0.99934683213585895</v>
      </c>
      <c r="G31" s="82">
        <v>44610</v>
      </c>
      <c r="H31" s="83">
        <v>306000</v>
      </c>
      <c r="I31" s="84">
        <f t="shared" si="0"/>
        <v>-200</v>
      </c>
      <c r="J31" s="85">
        <f t="shared" si="1"/>
        <v>40000</v>
      </c>
      <c r="K31" s="84">
        <f t="shared" si="8"/>
        <v>365104.0721003135</v>
      </c>
      <c r="L31" s="84">
        <f t="shared" si="2"/>
        <v>-59104.072100313497</v>
      </c>
      <c r="M31" s="85">
        <f t="shared" si="3"/>
        <v>3493291338.8390565</v>
      </c>
      <c r="N31" s="73">
        <f t="shared" si="4"/>
        <v>5.1130444073508308E-3</v>
      </c>
      <c r="O31" s="14">
        <f t="shared" si="5"/>
        <v>1.1158987661301634E-3</v>
      </c>
      <c r="P31" s="14">
        <f t="shared" si="6"/>
        <v>1.245230056250821E-6</v>
      </c>
    </row>
    <row r="32" spans="1:16">
      <c r="A32">
        <f t="shared" si="7"/>
        <v>19</v>
      </c>
      <c r="C32" s="71">
        <v>19120113561</v>
      </c>
      <c r="D32" s="81" t="s">
        <v>5</v>
      </c>
      <c r="E32" s="71">
        <v>247200</v>
      </c>
      <c r="F32" s="72">
        <v>1.1529126213592233</v>
      </c>
      <c r="G32" s="76">
        <v>44243</v>
      </c>
      <c r="H32" s="77">
        <v>285000</v>
      </c>
      <c r="I32" s="84">
        <f t="shared" si="0"/>
        <v>37800</v>
      </c>
      <c r="J32" s="85">
        <f t="shared" si="1"/>
        <v>1428840000</v>
      </c>
      <c r="K32" s="84">
        <f t="shared" si="8"/>
        <v>365104.0721003135</v>
      </c>
      <c r="L32" s="84">
        <f t="shared" si="2"/>
        <v>-80104.072100313497</v>
      </c>
      <c r="M32" s="85">
        <f t="shared" si="3"/>
        <v>6416662367.0522232</v>
      </c>
      <c r="N32" s="73">
        <f t="shared" si="4"/>
        <v>0.14845274481601356</v>
      </c>
      <c r="O32" s="14">
        <f t="shared" si="5"/>
        <v>-0.15244989045723423</v>
      </c>
      <c r="P32" s="14">
        <f t="shared" si="6"/>
        <v>2.3240969100422715E-2</v>
      </c>
    </row>
    <row r="33" spans="1:16">
      <c r="A33">
        <f t="shared" si="7"/>
        <v>20</v>
      </c>
      <c r="C33" s="74">
        <v>19120113563</v>
      </c>
      <c r="D33" s="81" t="s">
        <v>5</v>
      </c>
      <c r="E33" s="74">
        <v>343900</v>
      </c>
      <c r="F33" s="75">
        <v>0.95958127362605405</v>
      </c>
      <c r="G33" s="76">
        <v>44462</v>
      </c>
      <c r="H33" s="77">
        <v>330000</v>
      </c>
      <c r="I33" s="84">
        <f t="shared" si="0"/>
        <v>-13900</v>
      </c>
      <c r="J33" s="85">
        <f t="shared" si="1"/>
        <v>193210000</v>
      </c>
      <c r="K33" s="84">
        <f t="shared" si="8"/>
        <v>365104.0721003135</v>
      </c>
      <c r="L33" s="84">
        <f t="shared" si="2"/>
        <v>-35104.072100313497</v>
      </c>
      <c r="M33" s="85">
        <f t="shared" si="3"/>
        <v>1232295878.0240085</v>
      </c>
      <c r="N33" s="73">
        <f t="shared" si="4"/>
        <v>4.487860291715573E-2</v>
      </c>
      <c r="O33" s="14">
        <f t="shared" si="5"/>
        <v>4.0881457275935063E-2</v>
      </c>
      <c r="P33" s="14">
        <f t="shared" si="6"/>
        <v>1.6712935490041038E-3</v>
      </c>
    </row>
    <row r="34" spans="1:16">
      <c r="A34">
        <f t="shared" si="7"/>
        <v>21</v>
      </c>
      <c r="C34" s="71">
        <v>19120113577</v>
      </c>
      <c r="D34" s="81" t="s">
        <v>5</v>
      </c>
      <c r="E34" s="71">
        <v>417000</v>
      </c>
      <c r="F34" s="72">
        <v>1.0311750599520384</v>
      </c>
      <c r="G34" s="76">
        <v>44846</v>
      </c>
      <c r="H34" s="77">
        <v>430000</v>
      </c>
      <c r="I34" s="84">
        <f t="shared" si="0"/>
        <v>13000</v>
      </c>
      <c r="J34" s="85">
        <f t="shared" si="1"/>
        <v>169000000</v>
      </c>
      <c r="K34" s="84">
        <f t="shared" si="8"/>
        <v>365104.0721003135</v>
      </c>
      <c r="L34" s="84">
        <f t="shared" si="2"/>
        <v>64895.927899686503</v>
      </c>
      <c r="M34" s="85">
        <f t="shared" si="3"/>
        <v>4211481457.961309</v>
      </c>
      <c r="N34" s="73">
        <f t="shared" si="4"/>
        <v>2.6715183408828613E-2</v>
      </c>
      <c r="O34" s="14">
        <f t="shared" si="5"/>
        <v>-3.0712329050049281E-2</v>
      </c>
      <c r="P34" s="14">
        <f t="shared" si="6"/>
        <v>9.4324715567850094E-4</v>
      </c>
    </row>
    <row r="35" spans="1:16">
      <c r="A35">
        <f t="shared" si="7"/>
        <v>22</v>
      </c>
      <c r="C35" s="74">
        <v>19120113582</v>
      </c>
      <c r="D35" s="81" t="s">
        <v>5</v>
      </c>
      <c r="E35" s="74">
        <v>270500</v>
      </c>
      <c r="F35" s="75">
        <v>1.0351201478743068</v>
      </c>
      <c r="G35" s="76">
        <v>44301</v>
      </c>
      <c r="H35" s="77">
        <v>280000</v>
      </c>
      <c r="I35" s="84">
        <f t="shared" si="0"/>
        <v>9500</v>
      </c>
      <c r="J35" s="85">
        <f t="shared" si="1"/>
        <v>90250000</v>
      </c>
      <c r="K35" s="84">
        <f t="shared" si="8"/>
        <v>365104.0721003135</v>
      </c>
      <c r="L35" s="84">
        <f t="shared" si="2"/>
        <v>-85104.072100313497</v>
      </c>
      <c r="M35" s="85">
        <f t="shared" si="3"/>
        <v>7242703088.0553579</v>
      </c>
      <c r="N35" s="73">
        <f t="shared" si="4"/>
        <v>3.0660271331097055E-2</v>
      </c>
      <c r="O35" s="14">
        <f t="shared" si="5"/>
        <v>-3.4657416972317723E-2</v>
      </c>
      <c r="P35" s="14">
        <f t="shared" si="6"/>
        <v>1.2011365511930966E-3</v>
      </c>
    </row>
    <row r="36" spans="1:16">
      <c r="A36">
        <f t="shared" si="7"/>
        <v>23</v>
      </c>
      <c r="C36" s="71">
        <v>19120113585</v>
      </c>
      <c r="D36" s="81" t="s">
        <v>5</v>
      </c>
      <c r="E36" s="71">
        <v>357500</v>
      </c>
      <c r="F36" s="72">
        <v>1.034965034965035</v>
      </c>
      <c r="G36" s="76">
        <v>44579</v>
      </c>
      <c r="H36" s="77">
        <v>370000</v>
      </c>
      <c r="I36" s="84">
        <f t="shared" si="0"/>
        <v>12500</v>
      </c>
      <c r="J36" s="85">
        <f t="shared" si="1"/>
        <v>156250000</v>
      </c>
      <c r="K36" s="84">
        <f t="shared" si="8"/>
        <v>365104.0721003135</v>
      </c>
      <c r="L36" s="84">
        <f t="shared" si="2"/>
        <v>4895.9278996865032</v>
      </c>
      <c r="M36" s="85">
        <f t="shared" si="3"/>
        <v>23970109.998928696</v>
      </c>
      <c r="N36" s="73">
        <f t="shared" si="4"/>
        <v>3.0505158421825218E-2</v>
      </c>
      <c r="O36" s="14">
        <f t="shared" si="5"/>
        <v>-3.4502304063045885E-2</v>
      </c>
      <c r="P36" s="14">
        <f t="shared" si="6"/>
        <v>1.1904089856588727E-3</v>
      </c>
    </row>
    <row r="37" spans="1:16">
      <c r="A37">
        <f t="shared" si="7"/>
        <v>24</v>
      </c>
      <c r="C37" s="74">
        <v>19120113596</v>
      </c>
      <c r="D37" s="81" t="s">
        <v>5</v>
      </c>
      <c r="E37" s="74">
        <v>309700</v>
      </c>
      <c r="F37" s="75">
        <v>1.0235711979334841</v>
      </c>
      <c r="G37" s="76">
        <v>44449</v>
      </c>
      <c r="H37" s="77">
        <v>317000</v>
      </c>
      <c r="I37" s="84">
        <f t="shared" si="0"/>
        <v>7300</v>
      </c>
      <c r="J37" s="85">
        <f t="shared" si="1"/>
        <v>53290000</v>
      </c>
      <c r="K37" s="84">
        <f t="shared" si="8"/>
        <v>365104.0721003135</v>
      </c>
      <c r="L37" s="84">
        <f t="shared" si="2"/>
        <v>-48104.072100313497</v>
      </c>
      <c r="M37" s="85">
        <f t="shared" si="3"/>
        <v>2314001752.6321592</v>
      </c>
      <c r="N37" s="73">
        <f t="shared" si="4"/>
        <v>1.9111321390274272E-2</v>
      </c>
      <c r="O37" s="14">
        <f t="shared" si="5"/>
        <v>-2.3108467031494939E-2</v>
      </c>
      <c r="P37" s="14">
        <f t="shared" si="6"/>
        <v>5.3400124854568857E-4</v>
      </c>
    </row>
    <row r="38" spans="1:16">
      <c r="A38">
        <f t="shared" si="7"/>
        <v>25</v>
      </c>
      <c r="C38" s="71">
        <v>19120113597</v>
      </c>
      <c r="D38" s="81" t="s">
        <v>5</v>
      </c>
      <c r="E38" s="71">
        <v>391200</v>
      </c>
      <c r="F38" s="72">
        <v>1.0480572597137015</v>
      </c>
      <c r="G38" s="76">
        <v>44305</v>
      </c>
      <c r="H38" s="77">
        <v>410000</v>
      </c>
      <c r="I38" s="84">
        <f t="shared" si="0"/>
        <v>18800</v>
      </c>
      <c r="J38" s="85">
        <f t="shared" si="1"/>
        <v>353440000</v>
      </c>
      <c r="K38" s="84">
        <f t="shared" si="8"/>
        <v>365104.0721003135</v>
      </c>
      <c r="L38" s="84">
        <f t="shared" si="2"/>
        <v>44895.927899686503</v>
      </c>
      <c r="M38" s="85">
        <f t="shared" si="3"/>
        <v>2015644341.9738491</v>
      </c>
      <c r="N38" s="73">
        <f t="shared" si="4"/>
        <v>4.3597383170491666E-2</v>
      </c>
      <c r="O38" s="14">
        <f t="shared" si="5"/>
        <v>-4.7594528811712333E-2</v>
      </c>
      <c r="P38" s="14">
        <f t="shared" si="6"/>
        <v>2.2652391728089152E-3</v>
      </c>
    </row>
    <row r="39" spans="1:16">
      <c r="A39">
        <f t="shared" si="7"/>
        <v>26</v>
      </c>
      <c r="C39" s="74">
        <v>19120113607</v>
      </c>
      <c r="D39" s="81" t="s">
        <v>5</v>
      </c>
      <c r="E39" s="74">
        <v>373300</v>
      </c>
      <c r="F39" s="75">
        <v>0.93758371283150277</v>
      </c>
      <c r="G39" s="82">
        <v>44824</v>
      </c>
      <c r="H39" s="86">
        <v>350000</v>
      </c>
      <c r="I39" s="84">
        <f t="shared" si="0"/>
        <v>-23300</v>
      </c>
      <c r="J39" s="85">
        <f t="shared" si="1"/>
        <v>542890000</v>
      </c>
      <c r="K39" s="84">
        <f t="shared" si="8"/>
        <v>365104.0721003135</v>
      </c>
      <c r="L39" s="84">
        <f t="shared" si="2"/>
        <v>-15104.072100313497</v>
      </c>
      <c r="M39" s="85">
        <f t="shared" si="3"/>
        <v>228132994.01146856</v>
      </c>
      <c r="N39" s="73">
        <f t="shared" si="4"/>
        <v>6.6876163711707015E-2</v>
      </c>
      <c r="O39" s="14">
        <f t="shared" si="5"/>
        <v>6.2879018070486348E-2</v>
      </c>
      <c r="P39" s="14">
        <f t="shared" si="6"/>
        <v>3.9537709135085489E-3</v>
      </c>
    </row>
    <row r="40" spans="1:16">
      <c r="A40">
        <f t="shared" si="7"/>
        <v>27</v>
      </c>
      <c r="C40" s="71">
        <v>19120114429</v>
      </c>
      <c r="D40" s="81" t="s">
        <v>5</v>
      </c>
      <c r="E40" s="71">
        <v>402800</v>
      </c>
      <c r="F40" s="72">
        <v>0.99082423038728895</v>
      </c>
      <c r="G40" s="76">
        <v>44325</v>
      </c>
      <c r="H40" s="77">
        <v>399104</v>
      </c>
      <c r="I40" s="84">
        <f t="shared" si="0"/>
        <v>-3696</v>
      </c>
      <c r="J40" s="85">
        <f t="shared" si="1"/>
        <v>13660416</v>
      </c>
      <c r="K40" s="84">
        <f t="shared" si="8"/>
        <v>365104.0721003135</v>
      </c>
      <c r="L40" s="84">
        <f t="shared" si="2"/>
        <v>33999.927899686503</v>
      </c>
      <c r="M40" s="85">
        <f t="shared" si="3"/>
        <v>1155995097.1838806</v>
      </c>
      <c r="N40" s="73">
        <f t="shared" si="4"/>
        <v>1.3635646155920833E-2</v>
      </c>
      <c r="O40" s="14">
        <f t="shared" si="5"/>
        <v>9.6385005147001657E-3</v>
      </c>
      <c r="P40" s="14">
        <f t="shared" si="6"/>
        <v>9.2900692171875353E-5</v>
      </c>
    </row>
    <row r="41" spans="1:16">
      <c r="A41">
        <f t="shared" si="7"/>
        <v>28</v>
      </c>
      <c r="C41" s="74">
        <v>19120114430</v>
      </c>
      <c r="D41" s="81" t="s">
        <v>5</v>
      </c>
      <c r="E41" s="74">
        <v>301100</v>
      </c>
      <c r="F41" s="75">
        <v>0.954417137163733</v>
      </c>
      <c r="G41" s="82">
        <v>44291</v>
      </c>
      <c r="H41" s="86">
        <v>287375</v>
      </c>
      <c r="I41" s="84">
        <f t="shared" si="0"/>
        <v>-13725</v>
      </c>
      <c r="J41" s="85">
        <f t="shared" si="1"/>
        <v>188375625</v>
      </c>
      <c r="K41" s="84">
        <f t="shared" si="8"/>
        <v>365104.0721003135</v>
      </c>
      <c r="L41" s="84">
        <f t="shared" si="2"/>
        <v>-77729.072100313497</v>
      </c>
      <c r="M41" s="85">
        <f t="shared" si="3"/>
        <v>6041808649.5757341</v>
      </c>
      <c r="N41" s="73">
        <f t="shared" si="4"/>
        <v>5.0042739379476786E-2</v>
      </c>
      <c r="O41" s="14">
        <f t="shared" si="5"/>
        <v>4.6045593738256119E-2</v>
      </c>
      <c r="P41" s="14">
        <f t="shared" si="6"/>
        <v>2.1201967027085311E-3</v>
      </c>
    </row>
    <row r="42" spans="1:16">
      <c r="A42">
        <f t="shared" si="7"/>
        <v>29</v>
      </c>
      <c r="C42" s="71">
        <v>19120114431</v>
      </c>
      <c r="D42" s="81" t="s">
        <v>5</v>
      </c>
      <c r="E42" s="71">
        <v>308900</v>
      </c>
      <c r="F42" s="72">
        <v>0.92376173518938165</v>
      </c>
      <c r="G42" s="76">
        <v>44325</v>
      </c>
      <c r="H42" s="77">
        <v>285350</v>
      </c>
      <c r="I42" s="84">
        <f t="shared" si="0"/>
        <v>-23550</v>
      </c>
      <c r="J42" s="85">
        <f t="shared" si="1"/>
        <v>554602500</v>
      </c>
      <c r="K42" s="84">
        <f t="shared" si="8"/>
        <v>365104.0721003135</v>
      </c>
      <c r="L42" s="84">
        <f t="shared" si="2"/>
        <v>-79754.072100313497</v>
      </c>
      <c r="M42" s="85">
        <f t="shared" si="3"/>
        <v>6360712016.5820036</v>
      </c>
      <c r="N42" s="73">
        <f t="shared" si="4"/>
        <v>8.0698141353828134E-2</v>
      </c>
      <c r="O42" s="14">
        <f t="shared" si="5"/>
        <v>7.6700995712607467E-2</v>
      </c>
      <c r="P42" s="14">
        <f t="shared" si="6"/>
        <v>5.8830427433054291E-3</v>
      </c>
    </row>
    <row r="43" spans="1:16">
      <c r="A43">
        <f t="shared" si="7"/>
        <v>30</v>
      </c>
      <c r="C43" s="74">
        <v>19120114432</v>
      </c>
      <c r="D43" s="81" t="s">
        <v>5</v>
      </c>
      <c r="E43" s="74">
        <v>395200</v>
      </c>
      <c r="F43" s="75">
        <v>1.0118395748987854</v>
      </c>
      <c r="G43" s="76">
        <v>44349</v>
      </c>
      <c r="H43" s="77">
        <v>399879</v>
      </c>
      <c r="I43" s="84">
        <f t="shared" si="0"/>
        <v>4679</v>
      </c>
      <c r="J43" s="85">
        <f t="shared" si="1"/>
        <v>21893041</v>
      </c>
      <c r="K43" s="84">
        <f t="shared" si="8"/>
        <v>365104.0721003135</v>
      </c>
      <c r="L43" s="84">
        <f t="shared" si="2"/>
        <v>34774.927899686503</v>
      </c>
      <c r="M43" s="85">
        <f t="shared" si="3"/>
        <v>1209295610.4283948</v>
      </c>
      <c r="N43" s="73">
        <f t="shared" si="4"/>
        <v>7.3796983555756146E-3</v>
      </c>
      <c r="O43" s="14">
        <f t="shared" si="5"/>
        <v>-1.1376843996796282E-2</v>
      </c>
      <c r="P43" s="14">
        <f t="shared" si="6"/>
        <v>1.2943257932743961E-4</v>
      </c>
    </row>
    <row r="44" spans="1:16">
      <c r="A44">
        <f t="shared" si="7"/>
        <v>31</v>
      </c>
      <c r="C44" s="71">
        <v>19120114433</v>
      </c>
      <c r="D44" s="81" t="s">
        <v>5</v>
      </c>
      <c r="E44" s="71">
        <v>377200</v>
      </c>
      <c r="F44" s="72">
        <v>1.0604427359490987</v>
      </c>
      <c r="G44" s="76">
        <v>44727</v>
      </c>
      <c r="H44" s="77">
        <v>399999</v>
      </c>
      <c r="I44" s="84">
        <f t="shared" si="0"/>
        <v>22799</v>
      </c>
      <c r="J44" s="85">
        <f t="shared" si="1"/>
        <v>519794401</v>
      </c>
      <c r="K44" s="84">
        <f t="shared" si="8"/>
        <v>365104.0721003135</v>
      </c>
      <c r="L44" s="84">
        <f t="shared" si="2"/>
        <v>34894.927899686503</v>
      </c>
      <c r="M44" s="85">
        <f t="shared" si="3"/>
        <v>1217655993.1243196</v>
      </c>
      <c r="N44" s="73">
        <f t="shared" si="4"/>
        <v>5.5982859405888874E-2</v>
      </c>
      <c r="O44" s="14">
        <f t="shared" si="5"/>
        <v>-5.9980005047109541E-2</v>
      </c>
      <c r="P44" s="14">
        <f t="shared" si="6"/>
        <v>3.5976010054512859E-3</v>
      </c>
    </row>
    <row r="45" spans="1:16">
      <c r="A45">
        <f t="shared" si="7"/>
        <v>32</v>
      </c>
      <c r="C45" s="74">
        <v>19120114433</v>
      </c>
      <c r="D45" s="81" t="s">
        <v>5</v>
      </c>
      <c r="E45" s="74">
        <v>311800</v>
      </c>
      <c r="F45" s="75">
        <v>0.95382296343810136</v>
      </c>
      <c r="G45" s="82">
        <v>44325</v>
      </c>
      <c r="H45" s="86">
        <v>297402</v>
      </c>
      <c r="I45" s="84">
        <f t="shared" si="0"/>
        <v>-14398</v>
      </c>
      <c r="J45" s="85">
        <f t="shared" si="1"/>
        <v>207302404</v>
      </c>
      <c r="K45" s="84">
        <f t="shared" si="8"/>
        <v>365104.0721003135</v>
      </c>
      <c r="L45" s="84">
        <f t="shared" si="2"/>
        <v>-67702.072100313497</v>
      </c>
      <c r="M45" s="85">
        <f t="shared" si="3"/>
        <v>4583570566.6760473</v>
      </c>
      <c r="N45" s="73">
        <f t="shared" si="4"/>
        <v>5.0636913105108428E-2</v>
      </c>
      <c r="O45" s="14">
        <f t="shared" si="5"/>
        <v>4.663976746388776E-2</v>
      </c>
      <c r="P45" s="14">
        <f t="shared" si="6"/>
        <v>2.1752679090855233E-3</v>
      </c>
    </row>
    <row r="46" spans="1:16">
      <c r="A46">
        <f t="shared" si="7"/>
        <v>33</v>
      </c>
      <c r="C46" s="71">
        <v>19120114434</v>
      </c>
      <c r="D46" s="81" t="s">
        <v>5</v>
      </c>
      <c r="E46" s="71">
        <v>290700</v>
      </c>
      <c r="F46" s="72">
        <v>1.0153491572067423</v>
      </c>
      <c r="G46" s="82">
        <v>44325</v>
      </c>
      <c r="H46" s="83">
        <v>295162</v>
      </c>
      <c r="I46" s="84">
        <f t="shared" si="0"/>
        <v>4462</v>
      </c>
      <c r="J46" s="85">
        <f t="shared" si="1"/>
        <v>19909444</v>
      </c>
      <c r="K46" s="84">
        <f t="shared" si="8"/>
        <v>365104.0721003135</v>
      </c>
      <c r="L46" s="84">
        <f t="shared" si="2"/>
        <v>-69942.072100313497</v>
      </c>
      <c r="M46" s="85">
        <f t="shared" si="3"/>
        <v>4891893449.6854515</v>
      </c>
      <c r="N46" s="73">
        <f t="shared" si="4"/>
        <v>1.0889280663532563E-2</v>
      </c>
      <c r="O46" s="14">
        <f t="shared" si="5"/>
        <v>-1.4886426304753231E-2</v>
      </c>
      <c r="P46" s="14">
        <f t="shared" si="6"/>
        <v>2.2160568812684892E-4</v>
      </c>
    </row>
    <row r="47" spans="1:16">
      <c r="A47">
        <f t="shared" si="7"/>
        <v>34</v>
      </c>
      <c r="C47" s="74">
        <v>19120114435</v>
      </c>
      <c r="D47" s="81" t="s">
        <v>5</v>
      </c>
      <c r="E47" s="74">
        <v>322300</v>
      </c>
      <c r="F47" s="75">
        <v>0.91959354638535529</v>
      </c>
      <c r="G47" s="82">
        <v>44325</v>
      </c>
      <c r="H47" s="86">
        <v>296385</v>
      </c>
      <c r="I47" s="84">
        <f t="shared" si="0"/>
        <v>-25915</v>
      </c>
      <c r="J47" s="85">
        <f t="shared" si="1"/>
        <v>671587225</v>
      </c>
      <c r="K47" s="84">
        <f t="shared" si="8"/>
        <v>365104.0721003135</v>
      </c>
      <c r="L47" s="84">
        <f t="shared" si="2"/>
        <v>-68719.072100313497</v>
      </c>
      <c r="M47" s="85">
        <f t="shared" si="3"/>
        <v>4722310870.3280849</v>
      </c>
      <c r="N47" s="73">
        <f t="shared" si="4"/>
        <v>8.4866330157854497E-2</v>
      </c>
      <c r="O47" s="14">
        <f t="shared" si="5"/>
        <v>8.086918451663383E-2</v>
      </c>
      <c r="P47" s="14">
        <f t="shared" si="6"/>
        <v>6.5398250043853688E-3</v>
      </c>
    </row>
    <row r="48" spans="1:16">
      <c r="A48">
        <f t="shared" si="7"/>
        <v>35</v>
      </c>
      <c r="C48" s="71">
        <v>19120114436</v>
      </c>
      <c r="D48" s="81" t="s">
        <v>5</v>
      </c>
      <c r="E48" s="71">
        <v>357600</v>
      </c>
      <c r="F48" s="72">
        <v>1.0810710290827741</v>
      </c>
      <c r="G48" s="76">
        <v>44325</v>
      </c>
      <c r="H48" s="77">
        <v>386591</v>
      </c>
      <c r="I48" s="84">
        <f t="shared" si="0"/>
        <v>28991</v>
      </c>
      <c r="J48" s="85">
        <f t="shared" si="1"/>
        <v>840478081</v>
      </c>
      <c r="K48" s="84">
        <f>AVERAGE($H$14:$H$1600)</f>
        <v>365104.0721003135</v>
      </c>
      <c r="L48" s="84">
        <f t="shared" si="2"/>
        <v>21486.927899686503</v>
      </c>
      <c r="M48" s="85">
        <f t="shared" si="3"/>
        <v>461688070.56632626</v>
      </c>
      <c r="N48" s="73">
        <f t="shared" si="4"/>
        <v>7.6611152539564298E-2</v>
      </c>
      <c r="O48" s="14">
        <f t="shared" si="5"/>
        <v>-8.0608298180784965E-2</v>
      </c>
      <c r="P48" s="14">
        <f t="shared" si="6"/>
        <v>6.4976977356023405E-3</v>
      </c>
    </row>
    <row r="49" spans="1:16">
      <c r="A49">
        <f t="shared" si="7"/>
        <v>36</v>
      </c>
      <c r="C49" s="74">
        <v>19120114437</v>
      </c>
      <c r="D49" s="81" t="s">
        <v>5</v>
      </c>
      <c r="E49" s="74">
        <v>296900</v>
      </c>
      <c r="F49" s="75">
        <v>0.99962950488379931</v>
      </c>
      <c r="G49" s="82">
        <v>44325</v>
      </c>
      <c r="H49" s="86">
        <v>296790</v>
      </c>
      <c r="I49" s="84">
        <f t="shared" si="0"/>
        <v>-110</v>
      </c>
      <c r="J49" s="85">
        <f t="shared" si="1"/>
        <v>12100</v>
      </c>
      <c r="K49" s="84">
        <f t="shared" si="8"/>
        <v>365104.0721003135</v>
      </c>
      <c r="L49" s="84">
        <f t="shared" si="2"/>
        <v>-68314.072100313497</v>
      </c>
      <c r="M49" s="85">
        <f t="shared" si="3"/>
        <v>4666812446.9268312</v>
      </c>
      <c r="N49" s="73">
        <f t="shared" si="4"/>
        <v>4.8303716594104706E-3</v>
      </c>
      <c r="O49" s="14">
        <f t="shared" si="5"/>
        <v>8.3322601818980324E-4</v>
      </c>
      <c r="P49" s="14">
        <f t="shared" si="6"/>
        <v>6.9426559738843427E-7</v>
      </c>
    </row>
    <row r="50" spans="1:16">
      <c r="A50">
        <f t="shared" si="7"/>
        <v>37</v>
      </c>
      <c r="C50" s="71">
        <v>19120114438</v>
      </c>
      <c r="D50" s="81" t="s">
        <v>5</v>
      </c>
      <c r="E50" s="71">
        <v>308600</v>
      </c>
      <c r="F50" s="72">
        <v>1.0308749189889825</v>
      </c>
      <c r="G50" s="82">
        <v>44325</v>
      </c>
      <c r="H50" s="86">
        <v>318128</v>
      </c>
      <c r="I50" s="84">
        <f t="shared" si="0"/>
        <v>9528</v>
      </c>
      <c r="J50" s="85">
        <f t="shared" si="1"/>
        <v>90782784</v>
      </c>
      <c r="K50" s="84">
        <f t="shared" si="8"/>
        <v>365104.0721003135</v>
      </c>
      <c r="L50" s="84">
        <f t="shared" si="2"/>
        <v>-46976.072100313497</v>
      </c>
      <c r="M50" s="85">
        <f t="shared" si="3"/>
        <v>2206751349.9738522</v>
      </c>
      <c r="N50" s="73">
        <f t="shared" si="4"/>
        <v>2.6415042445772752E-2</v>
      </c>
      <c r="O50" s="14">
        <f t="shared" si="5"/>
        <v>-3.0412188086993419E-2</v>
      </c>
      <c r="P50" s="14">
        <f t="shared" si="6"/>
        <v>9.2490118423866447E-4</v>
      </c>
    </row>
    <row r="51" spans="1:16">
      <c r="A51">
        <f t="shared" si="7"/>
        <v>38</v>
      </c>
      <c r="C51" s="74">
        <v>19120114439</v>
      </c>
      <c r="D51" s="81" t="s">
        <v>5</v>
      </c>
      <c r="E51" s="74">
        <v>374100</v>
      </c>
      <c r="F51" s="75">
        <v>1.0491766907244053</v>
      </c>
      <c r="G51" s="76">
        <v>44349</v>
      </c>
      <c r="H51" s="77">
        <v>392497</v>
      </c>
      <c r="I51" s="84">
        <f t="shared" si="0"/>
        <v>18397</v>
      </c>
      <c r="J51" s="85">
        <f t="shared" si="1"/>
        <v>338449609</v>
      </c>
      <c r="K51" s="84">
        <f t="shared" si="8"/>
        <v>365104.0721003135</v>
      </c>
      <c r="L51" s="84">
        <f t="shared" si="2"/>
        <v>27392.927899686503</v>
      </c>
      <c r="M51" s="85">
        <f t="shared" si="3"/>
        <v>750372498.91742325</v>
      </c>
      <c r="N51" s="73">
        <f t="shared" si="4"/>
        <v>4.4716814181195552E-2</v>
      </c>
      <c r="O51" s="14">
        <f t="shared" si="5"/>
        <v>-4.871395982241622E-2</v>
      </c>
      <c r="P51" s="14">
        <f t="shared" si="6"/>
        <v>2.3730498815799817E-3</v>
      </c>
    </row>
    <row r="52" spans="1:16">
      <c r="A52">
        <f t="shared" si="7"/>
        <v>39</v>
      </c>
      <c r="C52" s="71">
        <v>19120114440</v>
      </c>
      <c r="D52" s="81" t="s">
        <v>5</v>
      </c>
      <c r="E52" s="71">
        <v>310500</v>
      </c>
      <c r="F52" s="72">
        <v>1.034244766505636</v>
      </c>
      <c r="G52" s="82">
        <v>44384</v>
      </c>
      <c r="H52" s="83">
        <v>321133</v>
      </c>
      <c r="I52" s="84">
        <f t="shared" si="0"/>
        <v>10633</v>
      </c>
      <c r="J52" s="85">
        <f t="shared" si="1"/>
        <v>113060689</v>
      </c>
      <c r="K52" s="84">
        <f t="shared" si="8"/>
        <v>365104.0721003135</v>
      </c>
      <c r="L52" s="84">
        <f t="shared" si="2"/>
        <v>-43971.072100313497</v>
      </c>
      <c r="M52" s="85">
        <f t="shared" si="3"/>
        <v>1933455181.6509681</v>
      </c>
      <c r="N52" s="73">
        <f t="shared" si="4"/>
        <v>2.9784889962426231E-2</v>
      </c>
      <c r="O52" s="14">
        <f t="shared" si="5"/>
        <v>-3.3782035603646898E-2</v>
      </c>
      <c r="P52" s="14">
        <f t="shared" si="6"/>
        <v>1.1412259295260666E-3</v>
      </c>
    </row>
    <row r="53" spans="1:16">
      <c r="A53">
        <f t="shared" si="7"/>
        <v>40</v>
      </c>
      <c r="C53" s="74">
        <v>19120114441</v>
      </c>
      <c r="D53" s="81" t="s">
        <v>5</v>
      </c>
      <c r="E53" s="74">
        <v>389000</v>
      </c>
      <c r="F53" s="75">
        <v>1.035974293059126</v>
      </c>
      <c r="G53" s="76">
        <v>44384</v>
      </c>
      <c r="H53" s="77">
        <v>402994</v>
      </c>
      <c r="I53" s="84">
        <f t="shared" si="0"/>
        <v>13994</v>
      </c>
      <c r="J53" s="85">
        <f t="shared" si="1"/>
        <v>195832036</v>
      </c>
      <c r="K53" s="84">
        <f t="shared" si="8"/>
        <v>365104.0721003135</v>
      </c>
      <c r="L53" s="84">
        <f t="shared" si="2"/>
        <v>37889.927899686503</v>
      </c>
      <c r="M53" s="85">
        <f t="shared" si="3"/>
        <v>1435646636.2434416</v>
      </c>
      <c r="N53" s="73">
        <f t="shared" si="4"/>
        <v>3.1514416515916244E-2</v>
      </c>
      <c r="O53" s="14">
        <f t="shared" si="5"/>
        <v>-3.5511562157136911E-2</v>
      </c>
      <c r="P53" s="14">
        <f t="shared" si="6"/>
        <v>1.2610710468401983E-3</v>
      </c>
    </row>
    <row r="54" spans="1:16">
      <c r="A54">
        <f t="shared" si="7"/>
        <v>41</v>
      </c>
      <c r="C54" s="71">
        <v>19120114442</v>
      </c>
      <c r="D54" s="81" t="s">
        <v>5</v>
      </c>
      <c r="E54" s="71">
        <v>329200</v>
      </c>
      <c r="F54" s="72">
        <v>0.93641555285540701</v>
      </c>
      <c r="G54" s="82">
        <v>44384</v>
      </c>
      <c r="H54" s="83">
        <v>308268</v>
      </c>
      <c r="I54" s="84">
        <f t="shared" si="0"/>
        <v>-20932</v>
      </c>
      <c r="J54" s="85">
        <f t="shared" si="1"/>
        <v>438148624</v>
      </c>
      <c r="K54" s="84">
        <f t="shared" si="8"/>
        <v>365104.0721003135</v>
      </c>
      <c r="L54" s="84">
        <f t="shared" si="2"/>
        <v>-56836.072100313497</v>
      </c>
      <c r="M54" s="85">
        <f t="shared" si="3"/>
        <v>3230339091.7920341</v>
      </c>
      <c r="N54" s="73">
        <f t="shared" si="4"/>
        <v>6.8044323687802777E-2</v>
      </c>
      <c r="O54" s="14">
        <f t="shared" si="5"/>
        <v>6.4047178046582109E-2</v>
      </c>
      <c r="P54" s="14">
        <f t="shared" si="6"/>
        <v>4.1020410157305894E-3</v>
      </c>
    </row>
    <row r="55" spans="1:16">
      <c r="A55">
        <f t="shared" si="7"/>
        <v>42</v>
      </c>
      <c r="C55" s="74">
        <v>19120114443</v>
      </c>
      <c r="D55" s="81" t="s">
        <v>5</v>
      </c>
      <c r="E55" s="74">
        <v>389000</v>
      </c>
      <c r="F55" s="75">
        <v>1.0069665809768638</v>
      </c>
      <c r="G55" s="76">
        <v>44384</v>
      </c>
      <c r="H55" s="77">
        <v>391710</v>
      </c>
      <c r="I55" s="84">
        <f t="shared" si="0"/>
        <v>2710</v>
      </c>
      <c r="J55" s="85">
        <f t="shared" si="1"/>
        <v>7344100</v>
      </c>
      <c r="K55" s="84">
        <f t="shared" si="8"/>
        <v>365104.0721003135</v>
      </c>
      <c r="L55" s="84">
        <f t="shared" si="2"/>
        <v>26605.927899686503</v>
      </c>
      <c r="M55" s="85">
        <f t="shared" si="3"/>
        <v>707875399.40331662</v>
      </c>
      <c r="N55" s="73">
        <f t="shared" si="4"/>
        <v>2.5067044336539723E-3</v>
      </c>
      <c r="O55" s="14">
        <f t="shared" si="5"/>
        <v>-6.5038500748746397E-3</v>
      </c>
      <c r="P55" s="14">
        <f t="shared" si="6"/>
        <v>4.2300065796446855E-5</v>
      </c>
    </row>
    <row r="56" spans="1:16">
      <c r="A56">
        <f t="shared" si="7"/>
        <v>43</v>
      </c>
      <c r="C56" s="71">
        <v>19120114444</v>
      </c>
      <c r="D56" s="81" t="s">
        <v>5</v>
      </c>
      <c r="E56" s="71">
        <v>403900</v>
      </c>
      <c r="F56" s="72">
        <v>1.0868779400841793</v>
      </c>
      <c r="G56" s="82">
        <v>44479</v>
      </c>
      <c r="H56" s="86">
        <v>438990</v>
      </c>
      <c r="I56" s="84">
        <f t="shared" si="0"/>
        <v>35090</v>
      </c>
      <c r="J56" s="85">
        <f t="shared" si="1"/>
        <v>1231308100</v>
      </c>
      <c r="K56" s="84">
        <f t="shared" si="8"/>
        <v>365104.0721003135</v>
      </c>
      <c r="L56" s="84">
        <f t="shared" si="2"/>
        <v>73885.927899686503</v>
      </c>
      <c r="M56" s="85">
        <f t="shared" si="3"/>
        <v>5459130341.5976725</v>
      </c>
      <c r="N56" s="73">
        <f t="shared" si="4"/>
        <v>8.2418063540969477E-2</v>
      </c>
      <c r="O56" s="14">
        <f t="shared" si="5"/>
        <v>-8.6415209182190145E-2</v>
      </c>
      <c r="P56" s="14">
        <f t="shared" si="6"/>
        <v>7.4675883780016801E-3</v>
      </c>
    </row>
    <row r="57" spans="1:16">
      <c r="A57">
        <f t="shared" si="7"/>
        <v>44</v>
      </c>
      <c r="C57" s="74">
        <v>19120114445</v>
      </c>
      <c r="D57" s="81" t="s">
        <v>5</v>
      </c>
      <c r="E57" s="74">
        <v>360800</v>
      </c>
      <c r="F57" s="75">
        <v>1.058228935698448</v>
      </c>
      <c r="G57" s="78">
        <v>44432</v>
      </c>
      <c r="H57">
        <v>381809</v>
      </c>
      <c r="I57" s="84">
        <f t="shared" si="0"/>
        <v>21009</v>
      </c>
      <c r="J57" s="85">
        <f t="shared" si="1"/>
        <v>441378081</v>
      </c>
      <c r="K57" s="84">
        <f t="shared" si="8"/>
        <v>365104.0721003135</v>
      </c>
      <c r="L57" s="84">
        <f t="shared" si="2"/>
        <v>16704.927899686503</v>
      </c>
      <c r="M57" s="85">
        <f t="shared" si="3"/>
        <v>279054616.13372451</v>
      </c>
      <c r="N57" s="73">
        <f t="shared" si="4"/>
        <v>5.3769059155238219E-2</v>
      </c>
      <c r="O57" s="14">
        <f t="shared" si="5"/>
        <v>-5.7766204796458887E-2</v>
      </c>
      <c r="P57" s="14">
        <f t="shared" si="6"/>
        <v>3.3369344165864296E-3</v>
      </c>
    </row>
    <row r="58" spans="1:16">
      <c r="A58">
        <f t="shared" si="7"/>
        <v>45</v>
      </c>
      <c r="C58" s="71">
        <v>19120114446</v>
      </c>
      <c r="D58" s="81" t="s">
        <v>5</v>
      </c>
      <c r="E58" s="71">
        <v>342600</v>
      </c>
      <c r="F58" s="72">
        <v>0.99105078809106828</v>
      </c>
      <c r="G58" s="87">
        <v>44569</v>
      </c>
      <c r="H58" s="88">
        <v>339534</v>
      </c>
      <c r="I58" s="84">
        <f t="shared" si="0"/>
        <v>-3066</v>
      </c>
      <c r="J58" s="85">
        <f t="shared" si="1"/>
        <v>9400356</v>
      </c>
      <c r="K58" s="84">
        <f t="shared" si="8"/>
        <v>365104.0721003135</v>
      </c>
      <c r="L58" s="84">
        <f t="shared" si="2"/>
        <v>-25570.072100313497</v>
      </c>
      <c r="M58" s="85">
        <f t="shared" si="3"/>
        <v>653828587.2152307</v>
      </c>
      <c r="N58" s="73">
        <f t="shared" si="4"/>
        <v>1.3409088452141504E-2</v>
      </c>
      <c r="O58" s="14">
        <f t="shared" si="5"/>
        <v>9.411942810920837E-3</v>
      </c>
      <c r="P58" s="14">
        <f t="shared" si="6"/>
        <v>8.8584667476044424E-5</v>
      </c>
    </row>
    <row r="59" spans="1:16">
      <c r="A59">
        <f t="shared" si="7"/>
        <v>46</v>
      </c>
      <c r="C59" s="74">
        <v>19120114447</v>
      </c>
      <c r="D59" s="81" t="s">
        <v>5</v>
      </c>
      <c r="E59" s="74">
        <v>369500</v>
      </c>
      <c r="F59" s="75">
        <v>0.97705277401894453</v>
      </c>
      <c r="G59" s="87">
        <v>44514</v>
      </c>
      <c r="H59" s="88">
        <v>361021</v>
      </c>
      <c r="I59" s="84">
        <f t="shared" si="0"/>
        <v>-8479</v>
      </c>
      <c r="J59" s="85">
        <f t="shared" si="1"/>
        <v>71893441</v>
      </c>
      <c r="K59" s="84">
        <f t="shared" si="8"/>
        <v>365104.0721003135</v>
      </c>
      <c r="L59" s="84">
        <f t="shared" si="2"/>
        <v>-4083.0721003134968</v>
      </c>
      <c r="M59" s="85">
        <f t="shared" si="3"/>
        <v>16671477.77635847</v>
      </c>
      <c r="N59" s="73">
        <f t="shared" si="4"/>
        <v>2.7407102524265259E-2</v>
      </c>
      <c r="O59" s="14">
        <f t="shared" si="5"/>
        <v>2.3409956883044591E-2</v>
      </c>
      <c r="P59" s="14">
        <f t="shared" si="6"/>
        <v>5.480260812660068E-4</v>
      </c>
    </row>
    <row r="60" spans="1:16">
      <c r="A60">
        <f t="shared" si="7"/>
        <v>47</v>
      </c>
      <c r="C60" s="71">
        <v>19120114448</v>
      </c>
      <c r="D60" s="81" t="s">
        <v>5</v>
      </c>
      <c r="E60" s="71">
        <v>385200</v>
      </c>
      <c r="F60" s="72">
        <v>1.0009553478712356</v>
      </c>
      <c r="G60" s="78">
        <v>44432</v>
      </c>
      <c r="H60">
        <v>385568</v>
      </c>
      <c r="I60" s="84">
        <f t="shared" si="0"/>
        <v>368</v>
      </c>
      <c r="J60" s="85">
        <f t="shared" si="1"/>
        <v>135424</v>
      </c>
      <c r="K60" s="84">
        <f t="shared" si="8"/>
        <v>365104.0721003135</v>
      </c>
      <c r="L60" s="84">
        <f t="shared" si="2"/>
        <v>20463.927899686503</v>
      </c>
      <c r="M60" s="85">
        <f t="shared" si="3"/>
        <v>418772345.08356768</v>
      </c>
      <c r="N60" s="73">
        <f t="shared" si="4"/>
        <v>3.5045286719741497E-3</v>
      </c>
      <c r="O60" s="14">
        <f t="shared" si="5"/>
        <v>-4.9261696924651766E-4</v>
      </c>
      <c r="P60" s="14">
        <f t="shared" si="6"/>
        <v>2.4267147838962452E-7</v>
      </c>
    </row>
    <row r="61" spans="1:16">
      <c r="A61">
        <f t="shared" si="7"/>
        <v>48</v>
      </c>
      <c r="C61" s="74">
        <v>19120114449</v>
      </c>
      <c r="D61" s="89" t="s">
        <v>5</v>
      </c>
      <c r="E61" s="74">
        <v>328300</v>
      </c>
      <c r="F61" s="75">
        <v>1.009637526652452</v>
      </c>
      <c r="G61" s="87">
        <v>44432</v>
      </c>
      <c r="H61" s="88">
        <v>331464</v>
      </c>
      <c r="I61" s="84">
        <f t="shared" si="0"/>
        <v>3164</v>
      </c>
      <c r="J61" s="85">
        <f t="shared" si="1"/>
        <v>10010896</v>
      </c>
      <c r="K61" s="84">
        <f t="shared" si="8"/>
        <v>365104.0721003135</v>
      </c>
      <c r="L61" s="84">
        <f t="shared" si="2"/>
        <v>-33640.072100313497</v>
      </c>
      <c r="M61" s="85">
        <f t="shared" si="3"/>
        <v>1131654450.9142904</v>
      </c>
      <c r="N61" s="73">
        <f t="shared" si="4"/>
        <v>5.1776501092422045E-3</v>
      </c>
      <c r="O61" s="14">
        <f t="shared" si="5"/>
        <v>-9.1747957504628719E-3</v>
      </c>
      <c r="P61" s="14">
        <f t="shared" si="6"/>
        <v>8.4176877062711576E-5</v>
      </c>
    </row>
    <row r="62" spans="1:16">
      <c r="A62">
        <f t="shared" si="7"/>
        <v>49</v>
      </c>
      <c r="C62" s="71">
        <v>19120114450</v>
      </c>
      <c r="D62" s="81" t="s">
        <v>5</v>
      </c>
      <c r="E62" s="71">
        <v>325900</v>
      </c>
      <c r="F62" s="72">
        <v>1.0162595888309298</v>
      </c>
      <c r="G62" s="78">
        <v>44432</v>
      </c>
      <c r="H62">
        <v>331199</v>
      </c>
      <c r="I62" s="84">
        <f t="shared" si="0"/>
        <v>5299</v>
      </c>
      <c r="J62" s="85">
        <f t="shared" si="1"/>
        <v>28079401</v>
      </c>
      <c r="K62" s="84">
        <f t="shared" si="8"/>
        <v>365104.0721003135</v>
      </c>
      <c r="L62" s="84">
        <f t="shared" si="2"/>
        <v>-33905.072100313497</v>
      </c>
      <c r="M62" s="85">
        <f t="shared" si="3"/>
        <v>1149553914.1274567</v>
      </c>
      <c r="N62" s="73">
        <f t="shared" si="4"/>
        <v>1.1799712287720032E-2</v>
      </c>
      <c r="O62" s="14">
        <f t="shared" si="5"/>
        <v>-1.57968579289407E-2</v>
      </c>
      <c r="P62" s="14">
        <f t="shared" si="6"/>
        <v>2.4954072042713665E-4</v>
      </c>
    </row>
    <row r="63" spans="1:16">
      <c r="A63">
        <f t="shared" si="7"/>
        <v>50</v>
      </c>
      <c r="C63" s="74">
        <v>19120114451</v>
      </c>
      <c r="D63" s="81" t="s">
        <v>5</v>
      </c>
      <c r="E63" s="74">
        <v>402400</v>
      </c>
      <c r="F63" s="75">
        <v>1.1117246520874751</v>
      </c>
      <c r="G63" s="87">
        <v>44432</v>
      </c>
      <c r="H63" s="88">
        <v>447358</v>
      </c>
      <c r="I63" s="84">
        <f t="shared" si="0"/>
        <v>44958</v>
      </c>
      <c r="J63" s="85">
        <f t="shared" si="1"/>
        <v>2021221764</v>
      </c>
      <c r="K63" s="84">
        <f t="shared" si="8"/>
        <v>365104.0721003135</v>
      </c>
      <c r="L63" s="84">
        <f t="shared" si="2"/>
        <v>82253.927899686503</v>
      </c>
      <c r="M63" s="85">
        <f t="shared" si="3"/>
        <v>6765708654.9268255</v>
      </c>
      <c r="N63" s="73">
        <f t="shared" si="4"/>
        <v>0.10726477554426528</v>
      </c>
      <c r="O63" s="14">
        <f t="shared" si="5"/>
        <v>-0.11126192118548595</v>
      </c>
      <c r="P63" s="14">
        <f t="shared" si="6"/>
        <v>1.2379215105885286E-2</v>
      </c>
    </row>
    <row r="64" spans="1:16">
      <c r="A64">
        <f t="shared" si="7"/>
        <v>51</v>
      </c>
      <c r="C64" s="71">
        <v>19120114452</v>
      </c>
      <c r="D64" s="81" t="s">
        <v>5</v>
      </c>
      <c r="E64" s="71">
        <v>344200</v>
      </c>
      <c r="F64" s="72">
        <v>1.0017838466008135</v>
      </c>
      <c r="G64" s="87">
        <v>44514</v>
      </c>
      <c r="H64" s="88">
        <v>344814</v>
      </c>
      <c r="I64" s="84">
        <f t="shared" si="0"/>
        <v>614</v>
      </c>
      <c r="J64" s="85">
        <f t="shared" si="1"/>
        <v>376996</v>
      </c>
      <c r="K64" s="84">
        <f t="shared" si="8"/>
        <v>365104.0721003135</v>
      </c>
      <c r="L64" s="84">
        <f t="shared" si="2"/>
        <v>-20290.072100313497</v>
      </c>
      <c r="M64" s="85">
        <f t="shared" si="3"/>
        <v>411687025.83592016</v>
      </c>
      <c r="N64" s="73">
        <f t="shared" si="4"/>
        <v>2.6760299423962408E-3</v>
      </c>
      <c r="O64" s="14">
        <f t="shared" si="5"/>
        <v>-1.3211156988244266E-3</v>
      </c>
      <c r="P64" s="14">
        <f t="shared" si="6"/>
        <v>1.7453466896803531E-6</v>
      </c>
    </row>
    <row r="65" spans="1:16">
      <c r="A65">
        <f t="shared" si="7"/>
        <v>52</v>
      </c>
      <c r="C65" s="74">
        <v>19120114453</v>
      </c>
      <c r="D65" s="81" t="s">
        <v>5</v>
      </c>
      <c r="E65" s="74">
        <v>347100</v>
      </c>
      <c r="F65" s="75">
        <v>1.0069259579371939</v>
      </c>
      <c r="G65" s="87">
        <v>44544</v>
      </c>
      <c r="H65" s="88">
        <v>349504</v>
      </c>
      <c r="I65" s="84">
        <f t="shared" si="0"/>
        <v>2404</v>
      </c>
      <c r="J65" s="85">
        <f t="shared" si="1"/>
        <v>5779216</v>
      </c>
      <c r="K65" s="84">
        <f t="shared" si="8"/>
        <v>365104.0721003135</v>
      </c>
      <c r="L65" s="84">
        <f t="shared" si="2"/>
        <v>-15600.072100313497</v>
      </c>
      <c r="M65" s="85">
        <f t="shared" si="3"/>
        <v>243362249.53497955</v>
      </c>
      <c r="N65" s="73">
        <f t="shared" si="4"/>
        <v>2.4660813939840764E-3</v>
      </c>
      <c r="O65" s="14">
        <f t="shared" si="5"/>
        <v>-6.4632270352047438E-3</v>
      </c>
      <c r="P65" s="14">
        <f t="shared" si="6"/>
        <v>4.1773303708601502E-5</v>
      </c>
    </row>
    <row r="66" spans="1:16">
      <c r="A66">
        <f t="shared" si="7"/>
        <v>53</v>
      </c>
      <c r="C66" s="71">
        <v>19120114454</v>
      </c>
      <c r="D66" s="81" t="s">
        <v>5</v>
      </c>
      <c r="E66" s="71">
        <v>428400</v>
      </c>
      <c r="F66" s="72">
        <v>1.082217553688142</v>
      </c>
      <c r="G66" s="87">
        <v>44540</v>
      </c>
      <c r="H66" s="90">
        <v>463622</v>
      </c>
      <c r="I66" s="84">
        <f t="shared" si="0"/>
        <v>35222</v>
      </c>
      <c r="J66" s="85">
        <f t="shared" si="1"/>
        <v>1240589284</v>
      </c>
      <c r="K66" s="84">
        <f t="shared" si="8"/>
        <v>365104.0721003135</v>
      </c>
      <c r="L66" s="84">
        <f t="shared" si="2"/>
        <v>98517.927899686503</v>
      </c>
      <c r="M66" s="85">
        <f t="shared" si="3"/>
        <v>9705782117.6478291</v>
      </c>
      <c r="N66" s="73">
        <f t="shared" si="4"/>
        <v>7.7757677144932202E-2</v>
      </c>
      <c r="O66" s="14">
        <f t="shared" si="5"/>
        <v>-8.175482278615287E-2</v>
      </c>
      <c r="P66" s="14">
        <f t="shared" si="6"/>
        <v>6.6838510487952606E-3</v>
      </c>
    </row>
    <row r="67" spans="1:16">
      <c r="A67">
        <f t="shared" si="7"/>
        <v>54</v>
      </c>
      <c r="C67" s="74">
        <v>19120114459</v>
      </c>
      <c r="D67" s="81" t="s">
        <v>5</v>
      </c>
      <c r="E67" s="74">
        <v>401600</v>
      </c>
      <c r="F67" s="75">
        <v>1.0084661354581674</v>
      </c>
      <c r="G67" s="78">
        <v>44970</v>
      </c>
      <c r="H67">
        <v>405000</v>
      </c>
      <c r="I67" s="84">
        <f t="shared" si="0"/>
        <v>3400</v>
      </c>
      <c r="J67" s="85">
        <f t="shared" si="1"/>
        <v>11560000</v>
      </c>
      <c r="K67" s="84">
        <f t="shared" si="8"/>
        <v>365104.0721003135</v>
      </c>
      <c r="L67" s="84">
        <f t="shared" si="2"/>
        <v>39895.927899686503</v>
      </c>
      <c r="M67" s="85">
        <f t="shared" si="3"/>
        <v>1591685062.976984</v>
      </c>
      <c r="N67" s="73">
        <f t="shared" si="4"/>
        <v>4.00625891495765E-3</v>
      </c>
      <c r="O67" s="14">
        <f t="shared" si="5"/>
        <v>-8.0034045561783174E-3</v>
      </c>
      <c r="P67" s="14">
        <f t="shared" si="6"/>
        <v>6.4054484489855848E-5</v>
      </c>
    </row>
    <row r="68" spans="1:16">
      <c r="A68">
        <f t="shared" si="7"/>
        <v>55</v>
      </c>
      <c r="C68" s="71">
        <v>19120114460</v>
      </c>
      <c r="D68" s="81" t="s">
        <v>5</v>
      </c>
      <c r="E68" s="71">
        <v>392500</v>
      </c>
      <c r="F68" s="72">
        <v>0.99360509554140131</v>
      </c>
      <c r="G68" s="87">
        <v>44858</v>
      </c>
      <c r="H68" s="90">
        <v>389990</v>
      </c>
      <c r="I68" s="84">
        <f t="shared" si="0"/>
        <v>-2510</v>
      </c>
      <c r="J68" s="85">
        <f t="shared" si="1"/>
        <v>6300100</v>
      </c>
      <c r="K68" s="84">
        <f t="shared" si="8"/>
        <v>365104.0721003135</v>
      </c>
      <c r="L68" s="84">
        <f t="shared" si="2"/>
        <v>24885.927899686503</v>
      </c>
      <c r="M68" s="85">
        <f t="shared" si="3"/>
        <v>619309407.42839515</v>
      </c>
      <c r="N68" s="73">
        <f t="shared" si="4"/>
        <v>1.0854781001808478E-2</v>
      </c>
      <c r="O68" s="14">
        <f t="shared" si="5"/>
        <v>6.8576353605878104E-3</v>
      </c>
      <c r="P68" s="14">
        <f t="shared" si="6"/>
        <v>4.702716273878431E-5</v>
      </c>
    </row>
    <row r="69" spans="1:16">
      <c r="A69">
        <f t="shared" si="7"/>
        <v>56</v>
      </c>
      <c r="C69" s="74">
        <v>19120114461</v>
      </c>
      <c r="D69" s="81" t="s">
        <v>5</v>
      </c>
      <c r="E69" s="74">
        <v>379800</v>
      </c>
      <c r="F69" s="75">
        <v>1.1160347551342813</v>
      </c>
      <c r="G69" s="87">
        <v>44432</v>
      </c>
      <c r="H69" s="88">
        <v>423870</v>
      </c>
      <c r="I69" s="84">
        <f t="shared" si="0"/>
        <v>44070</v>
      </c>
      <c r="J69" s="85">
        <f t="shared" si="1"/>
        <v>1942164900</v>
      </c>
      <c r="K69" s="84">
        <f t="shared" si="8"/>
        <v>365104.0721003135</v>
      </c>
      <c r="L69" s="84">
        <f t="shared" si="2"/>
        <v>58765.927899686503</v>
      </c>
      <c r="M69" s="85">
        <f t="shared" si="3"/>
        <v>3453434281.9111524</v>
      </c>
      <c r="N69" s="73">
        <f t="shared" si="4"/>
        <v>0.11157487859107151</v>
      </c>
      <c r="O69" s="14">
        <f t="shared" si="5"/>
        <v>-0.11557202423229218</v>
      </c>
      <c r="P69" s="14">
        <f t="shared" si="6"/>
        <v>1.3356892785149531E-2</v>
      </c>
    </row>
    <row r="70" spans="1:16">
      <c r="A70">
        <f t="shared" si="7"/>
        <v>57</v>
      </c>
      <c r="C70" s="71">
        <v>19120114462</v>
      </c>
      <c r="D70" s="81" t="s">
        <v>5</v>
      </c>
      <c r="E70" s="71">
        <v>397000</v>
      </c>
      <c r="F70" s="72">
        <v>1.0024937027707808</v>
      </c>
      <c r="G70" s="87">
        <v>44623</v>
      </c>
      <c r="H70" s="88">
        <v>397990</v>
      </c>
      <c r="I70" s="84">
        <f t="shared" si="0"/>
        <v>990</v>
      </c>
      <c r="J70" s="85">
        <f t="shared" si="1"/>
        <v>980100</v>
      </c>
      <c r="K70" s="84">
        <f t="shared" si="8"/>
        <v>365104.0721003135</v>
      </c>
      <c r="L70" s="84">
        <f t="shared" si="2"/>
        <v>32885.927899686503</v>
      </c>
      <c r="M70" s="85">
        <f t="shared" si="3"/>
        <v>1081484253.823379</v>
      </c>
      <c r="N70" s="73">
        <f t="shared" si="4"/>
        <v>1.9661737724290251E-3</v>
      </c>
      <c r="O70" s="14">
        <f t="shared" si="5"/>
        <v>-2.0309718687916423E-3</v>
      </c>
      <c r="P70" s="14">
        <f t="shared" si="6"/>
        <v>4.1248467318230154E-6</v>
      </c>
    </row>
    <row r="71" spans="1:16">
      <c r="A71">
        <f t="shared" si="7"/>
        <v>58</v>
      </c>
      <c r="C71" s="74">
        <v>19120114463</v>
      </c>
      <c r="D71" s="81" t="s">
        <v>5</v>
      </c>
      <c r="E71" s="74">
        <v>441400</v>
      </c>
      <c r="F71" s="75">
        <v>0.96446760308110557</v>
      </c>
      <c r="G71" s="87">
        <v>44530</v>
      </c>
      <c r="H71" s="88">
        <v>425716</v>
      </c>
      <c r="I71" s="84">
        <f t="shared" si="0"/>
        <v>-15684</v>
      </c>
      <c r="J71" s="85">
        <f t="shared" si="1"/>
        <v>245987856</v>
      </c>
      <c r="K71" s="84">
        <f t="shared" si="8"/>
        <v>365104.0721003135</v>
      </c>
      <c r="L71" s="84">
        <f t="shared" si="2"/>
        <v>60611.927899686503</v>
      </c>
      <c r="M71" s="85">
        <f t="shared" si="3"/>
        <v>3673805803.716795</v>
      </c>
      <c r="N71" s="73">
        <f t="shared" si="4"/>
        <v>3.9992273462104211E-2</v>
      </c>
      <c r="O71" s="14">
        <f t="shared" si="5"/>
        <v>3.5995127820883543E-2</v>
      </c>
      <c r="P71" s="14">
        <f t="shared" si="6"/>
        <v>1.2956492268417445E-3</v>
      </c>
    </row>
    <row r="72" spans="1:16">
      <c r="A72">
        <f t="shared" si="7"/>
        <v>59</v>
      </c>
      <c r="C72" s="71">
        <v>19120114464</v>
      </c>
      <c r="D72" s="81" t="s">
        <v>5</v>
      </c>
      <c r="E72" s="71">
        <v>351000</v>
      </c>
      <c r="F72" s="72">
        <v>1.0435356125356126</v>
      </c>
      <c r="G72" s="87">
        <v>44540</v>
      </c>
      <c r="H72" s="88">
        <v>366281</v>
      </c>
      <c r="I72" s="84">
        <f t="shared" si="0"/>
        <v>15281</v>
      </c>
      <c r="J72" s="85">
        <f t="shared" si="1"/>
        <v>233508961</v>
      </c>
      <c r="K72" s="84">
        <f t="shared" si="8"/>
        <v>365104.0721003135</v>
      </c>
      <c r="L72" s="84">
        <f t="shared" si="2"/>
        <v>1176.9278996865032</v>
      </c>
      <c r="M72" s="85">
        <f t="shared" si="3"/>
        <v>1385159.2810604838</v>
      </c>
      <c r="N72" s="73">
        <f t="shared" si="4"/>
        <v>3.9075735992402771E-2</v>
      </c>
      <c r="O72" s="14">
        <f t="shared" si="5"/>
        <v>-4.3072881633623439E-2</v>
      </c>
      <c r="P72" s="14">
        <f t="shared" si="6"/>
        <v>1.8552731322241355E-3</v>
      </c>
    </row>
    <row r="73" spans="1:16">
      <c r="A73">
        <f t="shared" si="7"/>
        <v>60</v>
      </c>
      <c r="C73" s="74">
        <v>19120114465</v>
      </c>
      <c r="D73" s="81" t="s">
        <v>5</v>
      </c>
      <c r="E73" s="74">
        <v>456000</v>
      </c>
      <c r="F73" s="75">
        <v>1.0367543859649122</v>
      </c>
      <c r="G73" s="78">
        <v>44517</v>
      </c>
      <c r="H73">
        <v>472760</v>
      </c>
      <c r="I73" s="84">
        <f t="shared" si="0"/>
        <v>16760</v>
      </c>
      <c r="J73" s="85">
        <f t="shared" si="1"/>
        <v>280897600</v>
      </c>
      <c r="K73" s="84">
        <f t="shared" si="8"/>
        <v>365104.0721003135</v>
      </c>
      <c r="L73" s="84">
        <f t="shared" si="2"/>
        <v>107655.9278996865</v>
      </c>
      <c r="M73" s="85">
        <f t="shared" si="3"/>
        <v>11589798811.942499</v>
      </c>
      <c r="N73" s="73">
        <f t="shared" si="4"/>
        <v>3.2294509421702422E-2</v>
      </c>
      <c r="O73" s="14">
        <f t="shared" si="5"/>
        <v>-3.6291655062923089E-2</v>
      </c>
      <c r="P73" s="14">
        <f t="shared" si="6"/>
        <v>1.3170842272061912E-3</v>
      </c>
    </row>
    <row r="74" spans="1:16">
      <c r="A74">
        <f t="shared" si="7"/>
        <v>61</v>
      </c>
      <c r="C74" s="71">
        <v>19120114467</v>
      </c>
      <c r="D74" s="81" t="s">
        <v>5</v>
      </c>
      <c r="E74" s="71">
        <v>421400</v>
      </c>
      <c r="F74" s="72">
        <v>1.0833341243474133</v>
      </c>
      <c r="G74" s="78">
        <v>44616</v>
      </c>
      <c r="H74">
        <v>456517</v>
      </c>
      <c r="I74" s="84">
        <f t="shared" si="0"/>
        <v>35117</v>
      </c>
      <c r="J74" s="85">
        <f t="shared" si="1"/>
        <v>1233203689</v>
      </c>
      <c r="K74" s="84">
        <f t="shared" si="8"/>
        <v>365104.0721003135</v>
      </c>
      <c r="L74" s="84">
        <f t="shared" si="2"/>
        <v>91412.927899686503</v>
      </c>
      <c r="M74" s="85">
        <f t="shared" si="3"/>
        <v>8356323387.1932831</v>
      </c>
      <c r="N74" s="73">
        <f t="shared" si="4"/>
        <v>7.887424780420349E-2</v>
      </c>
      <c r="O74" s="14">
        <f t="shared" si="5"/>
        <v>-8.2871393445424157E-2</v>
      </c>
      <c r="P74" s="14">
        <f t="shared" si="6"/>
        <v>6.8676678515862902E-3</v>
      </c>
    </row>
    <row r="75" spans="1:16">
      <c r="A75">
        <f t="shared" si="7"/>
        <v>62</v>
      </c>
      <c r="C75" s="74">
        <v>19120114468</v>
      </c>
      <c r="D75" s="81" t="s">
        <v>5</v>
      </c>
      <c r="E75" s="74">
        <v>457200</v>
      </c>
      <c r="F75" s="75">
        <v>1.0851465441819772</v>
      </c>
      <c r="G75" s="87">
        <v>44610</v>
      </c>
      <c r="H75" s="90">
        <v>496129</v>
      </c>
      <c r="I75" s="84">
        <f t="shared" si="0"/>
        <v>38929</v>
      </c>
      <c r="J75" s="85">
        <f t="shared" si="1"/>
        <v>1515467041</v>
      </c>
      <c r="K75" s="84">
        <f t="shared" si="8"/>
        <v>365104.0721003135</v>
      </c>
      <c r="L75" s="84">
        <f t="shared" si="2"/>
        <v>131024.9278996865</v>
      </c>
      <c r="M75" s="85">
        <f t="shared" si="3"/>
        <v>17167531731.118046</v>
      </c>
      <c r="N75" s="73">
        <f t="shared" si="4"/>
        <v>8.0686667638767418E-2</v>
      </c>
      <c r="O75" s="14">
        <f t="shared" si="5"/>
        <v>-8.4683813279988085E-2</v>
      </c>
      <c r="P75" s="14">
        <f t="shared" si="6"/>
        <v>7.1713482316398862E-3</v>
      </c>
    </row>
    <row r="76" spans="1:16">
      <c r="A76">
        <f t="shared" si="7"/>
        <v>63</v>
      </c>
      <c r="C76" s="71">
        <v>19120114469</v>
      </c>
      <c r="D76" s="81" t="s">
        <v>5</v>
      </c>
      <c r="E76" s="71">
        <v>375300</v>
      </c>
      <c r="F76" s="72">
        <v>1.0787956301625365</v>
      </c>
      <c r="G76" s="87">
        <v>44630</v>
      </c>
      <c r="H76" s="88">
        <v>404872</v>
      </c>
      <c r="I76" s="84">
        <f t="shared" si="0"/>
        <v>29572</v>
      </c>
      <c r="J76" s="85">
        <f t="shared" si="1"/>
        <v>874503184</v>
      </c>
      <c r="K76" s="84">
        <f t="shared" si="8"/>
        <v>365104.0721003135</v>
      </c>
      <c r="L76" s="84">
        <f t="shared" si="2"/>
        <v>39767.927899686503</v>
      </c>
      <c r="M76" s="85">
        <f t="shared" si="3"/>
        <v>1581488089.4346642</v>
      </c>
      <c r="N76" s="73">
        <f t="shared" si="4"/>
        <v>7.4335753619326761E-2</v>
      </c>
      <c r="O76" s="14">
        <f t="shared" si="5"/>
        <v>-7.8332899260547428E-2</v>
      </c>
      <c r="P76" s="14">
        <f t="shared" si="6"/>
        <v>6.1360431065630716E-3</v>
      </c>
    </row>
    <row r="77" spans="1:16">
      <c r="A77">
        <f t="shared" si="7"/>
        <v>64</v>
      </c>
      <c r="C77" s="74">
        <v>19120114470</v>
      </c>
      <c r="D77" s="81" t="s">
        <v>5</v>
      </c>
      <c r="E77" s="74">
        <v>389900</v>
      </c>
      <c r="F77" s="75">
        <v>1.0490972044113875</v>
      </c>
      <c r="G77" s="87">
        <v>44673</v>
      </c>
      <c r="H77" s="90">
        <v>409043</v>
      </c>
      <c r="I77" s="84">
        <f t="shared" si="0"/>
        <v>19143</v>
      </c>
      <c r="J77" s="85">
        <f t="shared" si="1"/>
        <v>366454449</v>
      </c>
      <c r="K77" s="84">
        <f t="shared" si="8"/>
        <v>365104.0721003135</v>
      </c>
      <c r="L77" s="84">
        <f t="shared" si="2"/>
        <v>43938.927899686503</v>
      </c>
      <c r="M77" s="85">
        <f t="shared" si="3"/>
        <v>1930629384.9738491</v>
      </c>
      <c r="N77" s="73">
        <f t="shared" si="4"/>
        <v>4.4637327868177756E-2</v>
      </c>
      <c r="O77" s="14">
        <f t="shared" si="5"/>
        <v>-4.8634473509398424E-2</v>
      </c>
      <c r="P77" s="14">
        <f t="shared" si="6"/>
        <v>2.3653120135363769E-3</v>
      </c>
    </row>
    <row r="78" spans="1:16">
      <c r="A78">
        <f t="shared" si="7"/>
        <v>65</v>
      </c>
      <c r="C78" s="71">
        <v>19120114471</v>
      </c>
      <c r="D78" s="81" t="s">
        <v>5</v>
      </c>
      <c r="E78" s="71">
        <v>369100</v>
      </c>
      <c r="F78" s="72">
        <v>1.047003522080737</v>
      </c>
      <c r="G78" s="87">
        <v>44606</v>
      </c>
      <c r="H78" s="88">
        <v>386449</v>
      </c>
      <c r="I78" s="84">
        <f t="shared" ref="I78:I141" si="9">+H78-E78</f>
        <v>17349</v>
      </c>
      <c r="J78" s="85">
        <f t="shared" si="1"/>
        <v>300987801</v>
      </c>
      <c r="K78" s="84">
        <f t="shared" si="8"/>
        <v>365104.0721003135</v>
      </c>
      <c r="L78" s="84">
        <f t="shared" si="2"/>
        <v>21344.927899686503</v>
      </c>
      <c r="M78" s="85">
        <f t="shared" si="3"/>
        <v>455605947.04281527</v>
      </c>
      <c r="N78" s="73">
        <f t="shared" si="4"/>
        <v>4.2543645537527208E-2</v>
      </c>
      <c r="O78" s="14">
        <f t="shared" si="5"/>
        <v>-4.6540791178747876E-2</v>
      </c>
      <c r="P78" s="14">
        <f t="shared" si="6"/>
        <v>2.1660452435438159E-3</v>
      </c>
    </row>
    <row r="79" spans="1:16">
      <c r="A79">
        <f t="shared" si="7"/>
        <v>66</v>
      </c>
      <c r="C79" s="74">
        <v>19120114472</v>
      </c>
      <c r="D79" s="81" t="s">
        <v>5</v>
      </c>
      <c r="E79" s="74">
        <v>369200</v>
      </c>
      <c r="F79" s="75">
        <v>1.0359263271939327</v>
      </c>
      <c r="G79" s="78">
        <v>44655</v>
      </c>
      <c r="H79">
        <v>382464</v>
      </c>
      <c r="I79" s="84">
        <f t="shared" si="9"/>
        <v>13264</v>
      </c>
      <c r="J79" s="85">
        <f t="shared" ref="J79:J142" si="10">+I79^2</f>
        <v>175933696</v>
      </c>
      <c r="K79" s="84">
        <f t="shared" si="8"/>
        <v>365104.0721003135</v>
      </c>
      <c r="L79" s="84">
        <f t="shared" ref="L79:L142" si="11">+H79-K79</f>
        <v>17359.927899686503</v>
      </c>
      <c r="M79" s="85">
        <f t="shared" ref="M79:M142" si="12">+L79^2</f>
        <v>301367096.68231386</v>
      </c>
      <c r="N79" s="73">
        <f t="shared" ref="N79:N142" si="13">ABS(+$F$2-F79)</f>
        <v>3.1466450650722955E-2</v>
      </c>
      <c r="O79" s="14">
        <f t="shared" ref="O79:O142" si="14">+$F$3-F79</f>
        <v>-3.5463596291943622E-2</v>
      </c>
      <c r="P79" s="14">
        <f t="shared" ref="P79:P142" si="15">+O79*O79</f>
        <v>1.2576666619579574E-3</v>
      </c>
    </row>
    <row r="80" spans="1:16">
      <c r="A80">
        <f t="shared" ref="A80:A143" si="16">+A79+1</f>
        <v>67</v>
      </c>
      <c r="C80" s="71">
        <v>19120114473</v>
      </c>
      <c r="D80" s="81" t="s">
        <v>5</v>
      </c>
      <c r="E80" s="71">
        <v>398200</v>
      </c>
      <c r="F80" s="72">
        <v>1.0156152687091913</v>
      </c>
      <c r="G80" s="87">
        <v>44656</v>
      </c>
      <c r="H80" s="88">
        <v>404418</v>
      </c>
      <c r="I80" s="84">
        <f t="shared" si="9"/>
        <v>6218</v>
      </c>
      <c r="J80" s="85">
        <f t="shared" si="10"/>
        <v>38663524</v>
      </c>
      <c r="K80" s="84">
        <f t="shared" ref="K80:K143" si="17">AVERAGE($H$14:$H$1600)</f>
        <v>365104.0721003135</v>
      </c>
      <c r="L80" s="84">
        <f t="shared" si="11"/>
        <v>39313.927899686503</v>
      </c>
      <c r="M80" s="85">
        <f t="shared" si="12"/>
        <v>1545584926.9017489</v>
      </c>
      <c r="N80" s="73">
        <f t="shared" si="13"/>
        <v>1.1155392165981493E-2</v>
      </c>
      <c r="O80" s="14">
        <f t="shared" si="14"/>
        <v>-1.515253780720216E-2</v>
      </c>
      <c r="P80" s="14">
        <f t="shared" si="15"/>
        <v>2.2959940199869085E-4</v>
      </c>
    </row>
    <row r="81" spans="1:16">
      <c r="A81">
        <f t="shared" si="16"/>
        <v>68</v>
      </c>
      <c r="C81" s="74">
        <v>19120114474</v>
      </c>
      <c r="D81" s="81" t="s">
        <v>5</v>
      </c>
      <c r="E81" s="74">
        <v>393800</v>
      </c>
      <c r="F81" s="75">
        <v>1.0267242254951752</v>
      </c>
      <c r="G81" s="78">
        <v>44700</v>
      </c>
      <c r="H81">
        <v>404324</v>
      </c>
      <c r="I81" s="84">
        <f t="shared" si="9"/>
        <v>10524</v>
      </c>
      <c r="J81" s="85">
        <f t="shared" si="10"/>
        <v>110754576</v>
      </c>
      <c r="K81" s="84">
        <f t="shared" si="17"/>
        <v>365104.0721003135</v>
      </c>
      <c r="L81" s="84">
        <f t="shared" si="11"/>
        <v>39219.927899686503</v>
      </c>
      <c r="M81" s="85">
        <f t="shared" si="12"/>
        <v>1538202744.4566078</v>
      </c>
      <c r="N81" s="73">
        <f t="shared" si="13"/>
        <v>2.2264348951965385E-2</v>
      </c>
      <c r="O81" s="14">
        <f t="shared" si="14"/>
        <v>-2.6261494593186052E-2</v>
      </c>
      <c r="P81" s="14">
        <f t="shared" si="15"/>
        <v>6.8966609826794025E-4</v>
      </c>
    </row>
    <row r="82" spans="1:16">
      <c r="A82">
        <f t="shared" si="16"/>
        <v>69</v>
      </c>
      <c r="C82" s="71">
        <v>19120114475</v>
      </c>
      <c r="D82" s="81" t="s">
        <v>5</v>
      </c>
      <c r="E82" s="71">
        <v>374000</v>
      </c>
      <c r="F82" s="72">
        <v>0.98473262032085562</v>
      </c>
      <c r="G82" s="78">
        <v>44721</v>
      </c>
      <c r="H82">
        <v>368290</v>
      </c>
      <c r="I82" s="84">
        <f t="shared" si="9"/>
        <v>-5710</v>
      </c>
      <c r="J82" s="85">
        <f t="shared" si="10"/>
        <v>32604100</v>
      </c>
      <c r="K82" s="84">
        <f t="shared" si="17"/>
        <v>365104.0721003135</v>
      </c>
      <c r="L82" s="84">
        <f t="shared" si="11"/>
        <v>3185.9278996865032</v>
      </c>
      <c r="M82" s="85">
        <f t="shared" si="12"/>
        <v>10150136.582000853</v>
      </c>
      <c r="N82" s="73">
        <f t="shared" si="13"/>
        <v>1.9727256222354161E-2</v>
      </c>
      <c r="O82" s="14">
        <f t="shared" si="14"/>
        <v>1.5730110581133494E-2</v>
      </c>
      <c r="P82" s="14">
        <f t="shared" si="15"/>
        <v>2.4743637889468789E-4</v>
      </c>
    </row>
    <row r="83" spans="1:16">
      <c r="A83">
        <f t="shared" si="16"/>
        <v>70</v>
      </c>
      <c r="C83" s="74">
        <v>19120114476</v>
      </c>
      <c r="D83" s="81" t="s">
        <v>5</v>
      </c>
      <c r="E83" s="74">
        <v>355800</v>
      </c>
      <c r="F83" s="75">
        <v>0.98283586284429458</v>
      </c>
      <c r="G83" s="87">
        <v>44721</v>
      </c>
      <c r="H83" s="88">
        <v>349693</v>
      </c>
      <c r="I83" s="84">
        <f t="shared" si="9"/>
        <v>-6107</v>
      </c>
      <c r="J83" s="85">
        <f t="shared" si="10"/>
        <v>37295449</v>
      </c>
      <c r="K83" s="84">
        <f t="shared" si="17"/>
        <v>365104.0721003135</v>
      </c>
      <c r="L83" s="84">
        <f t="shared" si="11"/>
        <v>-15411.072100313497</v>
      </c>
      <c r="M83" s="85">
        <f t="shared" si="12"/>
        <v>237501143.28106105</v>
      </c>
      <c r="N83" s="73">
        <f t="shared" si="13"/>
        <v>2.1624013698915201E-2</v>
      </c>
      <c r="O83" s="14">
        <f t="shared" si="14"/>
        <v>1.7626868057694534E-2</v>
      </c>
      <c r="P83" s="14">
        <f t="shared" si="15"/>
        <v>3.1070647752337187E-4</v>
      </c>
    </row>
    <row r="84" spans="1:16">
      <c r="A84">
        <f t="shared" si="16"/>
        <v>71</v>
      </c>
      <c r="C84" s="71">
        <v>19120114477</v>
      </c>
      <c r="D84" s="81" t="s">
        <v>5</v>
      </c>
      <c r="E84" s="71">
        <v>375500</v>
      </c>
      <c r="F84" s="72">
        <v>1.0631664447403462</v>
      </c>
      <c r="G84" s="87">
        <v>44665</v>
      </c>
      <c r="H84" s="90">
        <v>399219</v>
      </c>
      <c r="I84" s="84">
        <f t="shared" si="9"/>
        <v>23719</v>
      </c>
      <c r="J84" s="85">
        <f t="shared" si="10"/>
        <v>562590961</v>
      </c>
      <c r="K84" s="84">
        <f t="shared" si="17"/>
        <v>365104.0721003135</v>
      </c>
      <c r="L84" s="84">
        <f t="shared" si="11"/>
        <v>34114.927899686503</v>
      </c>
      <c r="M84" s="85">
        <f t="shared" si="12"/>
        <v>1163828305.6008086</v>
      </c>
      <c r="N84" s="73">
        <f t="shared" si="13"/>
        <v>5.8706568197136377E-2</v>
      </c>
      <c r="O84" s="14">
        <f t="shared" si="14"/>
        <v>-6.2703713838357045E-2</v>
      </c>
      <c r="P84" s="14">
        <f t="shared" si="15"/>
        <v>3.9317557291225691E-3</v>
      </c>
    </row>
    <row r="85" spans="1:16">
      <c r="A85">
        <f t="shared" si="16"/>
        <v>72</v>
      </c>
      <c r="C85" s="74">
        <v>19120114478</v>
      </c>
      <c r="D85" s="81" t="s">
        <v>5</v>
      </c>
      <c r="E85" s="74">
        <v>392200</v>
      </c>
      <c r="F85" s="75">
        <v>0.99184089750127491</v>
      </c>
      <c r="G85" s="87">
        <v>45064</v>
      </c>
      <c r="H85" s="90">
        <v>389000</v>
      </c>
      <c r="I85" s="84">
        <f t="shared" si="9"/>
        <v>-3200</v>
      </c>
      <c r="J85" s="85">
        <f t="shared" si="10"/>
        <v>10240000</v>
      </c>
      <c r="K85" s="84">
        <f t="shared" si="17"/>
        <v>365104.0721003135</v>
      </c>
      <c r="L85" s="84">
        <f t="shared" si="11"/>
        <v>23895.927899686503</v>
      </c>
      <c r="M85" s="85">
        <f t="shared" si="12"/>
        <v>571015370.18701577</v>
      </c>
      <c r="N85" s="73">
        <f t="shared" si="13"/>
        <v>1.2618979041934875E-2</v>
      </c>
      <c r="O85" s="14">
        <f t="shared" si="14"/>
        <v>8.6218334007142072E-3</v>
      </c>
      <c r="P85" s="14">
        <f t="shared" si="15"/>
        <v>7.4336011189671112E-5</v>
      </c>
    </row>
    <row r="86" spans="1:16">
      <c r="A86">
        <f t="shared" si="16"/>
        <v>73</v>
      </c>
      <c r="C86" s="71">
        <v>19120114478</v>
      </c>
      <c r="D86" s="3" t="s">
        <v>5</v>
      </c>
      <c r="E86" s="71">
        <v>378500</v>
      </c>
      <c r="F86" s="72">
        <v>0.97922324966974905</v>
      </c>
      <c r="G86" s="78">
        <v>44705</v>
      </c>
      <c r="H86">
        <v>370636</v>
      </c>
      <c r="I86" s="84">
        <f t="shared" si="9"/>
        <v>-7864</v>
      </c>
      <c r="J86" s="85">
        <f t="shared" si="10"/>
        <v>61842496</v>
      </c>
      <c r="K86" s="84">
        <f t="shared" si="17"/>
        <v>365104.0721003135</v>
      </c>
      <c r="L86" s="84">
        <f t="shared" si="11"/>
        <v>5531.9278996865032</v>
      </c>
      <c r="M86" s="85">
        <f t="shared" si="12"/>
        <v>30602226.287329927</v>
      </c>
      <c r="N86" s="73">
        <f t="shared" si="13"/>
        <v>2.5236626873460732E-2</v>
      </c>
      <c r="O86" s="14">
        <f t="shared" si="14"/>
        <v>2.1239481232240065E-2</v>
      </c>
      <c r="P86" s="14">
        <f t="shared" si="15"/>
        <v>4.5111556301467794E-4</v>
      </c>
    </row>
    <row r="87" spans="1:16">
      <c r="A87">
        <f t="shared" si="16"/>
        <v>74</v>
      </c>
      <c r="C87" s="74">
        <v>19120114479</v>
      </c>
      <c r="D87" s="3" t="s">
        <v>5</v>
      </c>
      <c r="E87" s="74">
        <v>402800</v>
      </c>
      <c r="F87" s="75">
        <v>1.0586097318768619</v>
      </c>
      <c r="G87" s="78">
        <v>44594</v>
      </c>
      <c r="H87">
        <v>426408</v>
      </c>
      <c r="I87" s="84">
        <f t="shared" si="9"/>
        <v>23608</v>
      </c>
      <c r="J87" s="85">
        <f t="shared" si="10"/>
        <v>557337664</v>
      </c>
      <c r="K87" s="84">
        <f t="shared" si="17"/>
        <v>365104.0721003135</v>
      </c>
      <c r="L87" s="84">
        <f t="shared" si="11"/>
        <v>61303.927899686503</v>
      </c>
      <c r="M87" s="85">
        <f t="shared" si="12"/>
        <v>3758171575.9299612</v>
      </c>
      <c r="N87" s="73">
        <f t="shared" si="13"/>
        <v>5.414985533365213E-2</v>
      </c>
      <c r="O87" s="14">
        <f t="shared" si="14"/>
        <v>-5.8147000974872798E-2</v>
      </c>
      <c r="P87" s="14">
        <f t="shared" si="15"/>
        <v>3.3810737223718581E-3</v>
      </c>
    </row>
    <row r="88" spans="1:16">
      <c r="A88">
        <f t="shared" si="16"/>
        <v>75</v>
      </c>
      <c r="C88" s="71">
        <v>19120114480</v>
      </c>
      <c r="D88" s="3" t="s">
        <v>5</v>
      </c>
      <c r="E88" s="71">
        <v>355700</v>
      </c>
      <c r="F88" s="72">
        <v>1.0086168119201575</v>
      </c>
      <c r="G88" s="78">
        <v>44569</v>
      </c>
      <c r="H88">
        <v>358765</v>
      </c>
      <c r="I88" s="84">
        <f t="shared" si="9"/>
        <v>3065</v>
      </c>
      <c r="J88" s="85">
        <f t="shared" si="10"/>
        <v>9394225</v>
      </c>
      <c r="K88" s="84">
        <f t="shared" si="17"/>
        <v>365104.0721003135</v>
      </c>
      <c r="L88" s="84">
        <f t="shared" si="11"/>
        <v>-6339.0721003134968</v>
      </c>
      <c r="M88" s="85">
        <f t="shared" si="12"/>
        <v>40183835.092972964</v>
      </c>
      <c r="N88" s="73">
        <f t="shared" si="13"/>
        <v>4.1569353769477235E-3</v>
      </c>
      <c r="O88" s="14">
        <f t="shared" si="14"/>
        <v>-8.1540810181683909E-3</v>
      </c>
      <c r="P88" s="14">
        <f t="shared" si="15"/>
        <v>6.648903725085406E-5</v>
      </c>
    </row>
    <row r="89" spans="1:16">
      <c r="A89">
        <f t="shared" si="16"/>
        <v>76</v>
      </c>
      <c r="C89" s="74">
        <v>19120114481</v>
      </c>
      <c r="D89" s="3" t="s">
        <v>5</v>
      </c>
      <c r="E89" s="74">
        <v>387800</v>
      </c>
      <c r="F89" s="75">
        <v>1.0301856627127386</v>
      </c>
      <c r="G89" s="78">
        <v>44569</v>
      </c>
      <c r="H89">
        <v>399506</v>
      </c>
      <c r="I89" s="84">
        <f t="shared" si="9"/>
        <v>11706</v>
      </c>
      <c r="J89" s="85">
        <f t="shared" si="10"/>
        <v>137030436</v>
      </c>
      <c r="K89" s="84">
        <f t="shared" si="17"/>
        <v>365104.0721003135</v>
      </c>
      <c r="L89" s="84">
        <f t="shared" si="11"/>
        <v>34401.927899686503</v>
      </c>
      <c r="M89" s="85">
        <f t="shared" si="12"/>
        <v>1183492643.2152286</v>
      </c>
      <c r="N89" s="73">
        <f t="shared" si="13"/>
        <v>2.5725786169528808E-2</v>
      </c>
      <c r="O89" s="14">
        <f t="shared" si="14"/>
        <v>-2.9722931810749476E-2</v>
      </c>
      <c r="P89" s="14">
        <f t="shared" si="15"/>
        <v>8.8345267542646309E-4</v>
      </c>
    </row>
    <row r="90" spans="1:16">
      <c r="A90">
        <f t="shared" si="16"/>
        <v>77</v>
      </c>
      <c r="C90" s="71">
        <v>19120114482</v>
      </c>
      <c r="D90" s="3" t="s">
        <v>5</v>
      </c>
      <c r="E90" s="71">
        <v>362300</v>
      </c>
      <c r="F90" s="72">
        <v>1.0290229091912779</v>
      </c>
      <c r="G90" s="78">
        <v>44558</v>
      </c>
      <c r="H90">
        <v>372815</v>
      </c>
      <c r="I90" s="84">
        <f t="shared" si="9"/>
        <v>10515</v>
      </c>
      <c r="J90" s="85">
        <f t="shared" si="10"/>
        <v>110565225</v>
      </c>
      <c r="K90" s="84">
        <f t="shared" si="17"/>
        <v>365104.0721003135</v>
      </c>
      <c r="L90" s="84">
        <f t="shared" si="11"/>
        <v>7710.9278996865032</v>
      </c>
      <c r="M90" s="85">
        <f t="shared" si="12"/>
        <v>59458409.074163705</v>
      </c>
      <c r="N90" s="73">
        <f t="shared" si="13"/>
        <v>2.4563032648068139E-2</v>
      </c>
      <c r="O90" s="14">
        <f t="shared" si="14"/>
        <v>-2.8560178289288807E-2</v>
      </c>
      <c r="P90" s="14">
        <f t="shared" si="15"/>
        <v>8.1568378391596371E-4</v>
      </c>
    </row>
    <row r="91" spans="1:16">
      <c r="A91">
        <f t="shared" si="16"/>
        <v>78</v>
      </c>
      <c r="C91" s="74">
        <v>19120114483</v>
      </c>
      <c r="D91" s="3" t="s">
        <v>5</v>
      </c>
      <c r="E91" s="74">
        <v>345100</v>
      </c>
      <c r="F91" s="75">
        <v>1.0141698058533759</v>
      </c>
      <c r="G91" s="78">
        <v>44564</v>
      </c>
      <c r="H91">
        <v>349990</v>
      </c>
      <c r="I91" s="84">
        <f t="shared" si="9"/>
        <v>4890</v>
      </c>
      <c r="J91" s="85">
        <f t="shared" si="10"/>
        <v>23912100</v>
      </c>
      <c r="K91" s="84">
        <f t="shared" si="17"/>
        <v>365104.0721003135</v>
      </c>
      <c r="L91" s="84">
        <f t="shared" si="11"/>
        <v>-15114.072100313497</v>
      </c>
      <c r="M91" s="85">
        <f t="shared" si="12"/>
        <v>228435175.45347485</v>
      </c>
      <c r="N91" s="73">
        <f t="shared" si="13"/>
        <v>9.709929310166121E-3</v>
      </c>
      <c r="O91" s="14">
        <f t="shared" si="14"/>
        <v>-1.3707074951386788E-2</v>
      </c>
      <c r="P91" s="14">
        <f t="shared" si="15"/>
        <v>1.8788390372293513E-4</v>
      </c>
    </row>
    <row r="92" spans="1:16">
      <c r="A92">
        <f t="shared" si="16"/>
        <v>79</v>
      </c>
      <c r="C92" s="71">
        <v>19120114484</v>
      </c>
      <c r="D92" s="3" t="s">
        <v>5</v>
      </c>
      <c r="E92" s="71">
        <v>364700</v>
      </c>
      <c r="F92" s="72">
        <v>1.0621963257471894</v>
      </c>
      <c r="G92" s="78">
        <v>44558</v>
      </c>
      <c r="H92">
        <v>387383</v>
      </c>
      <c r="I92" s="84">
        <f t="shared" si="9"/>
        <v>22683</v>
      </c>
      <c r="J92" s="85">
        <f t="shared" si="10"/>
        <v>514518489</v>
      </c>
      <c r="K92" s="84">
        <f t="shared" si="17"/>
        <v>365104.0721003135</v>
      </c>
      <c r="L92" s="84">
        <f t="shared" si="11"/>
        <v>22278.927899686503</v>
      </c>
      <c r="M92" s="85">
        <f t="shared" si="12"/>
        <v>496350628.35942966</v>
      </c>
      <c r="N92" s="73">
        <f t="shared" si="13"/>
        <v>5.7736449203979578E-2</v>
      </c>
      <c r="O92" s="14">
        <f t="shared" si="14"/>
        <v>-6.1733594845200246E-2</v>
      </c>
      <c r="P92" s="14">
        <f t="shared" si="15"/>
        <v>3.8110367325113344E-3</v>
      </c>
    </row>
    <row r="93" spans="1:16">
      <c r="A93">
        <f t="shared" si="16"/>
        <v>80</v>
      </c>
      <c r="C93" s="74">
        <v>19120114485</v>
      </c>
      <c r="D93" s="3" t="s">
        <v>5</v>
      </c>
      <c r="E93" s="74">
        <v>368900</v>
      </c>
      <c r="F93" s="75">
        <v>1.1178612089997289</v>
      </c>
      <c r="G93" s="78">
        <v>44568</v>
      </c>
      <c r="H93">
        <v>412379</v>
      </c>
      <c r="I93" s="84">
        <f t="shared" si="9"/>
        <v>43479</v>
      </c>
      <c r="J93" s="85">
        <f t="shared" si="10"/>
        <v>1890423441</v>
      </c>
      <c r="K93" s="84">
        <f t="shared" si="17"/>
        <v>365104.0721003135</v>
      </c>
      <c r="L93" s="84">
        <f t="shared" si="11"/>
        <v>47274.927899686503</v>
      </c>
      <c r="M93" s="85">
        <f t="shared" si="12"/>
        <v>2234918807.9205575</v>
      </c>
      <c r="N93" s="73">
        <f t="shared" si="13"/>
        <v>0.11340133245651907</v>
      </c>
      <c r="O93" s="14">
        <f t="shared" si="14"/>
        <v>-0.11739847809773973</v>
      </c>
      <c r="P93" s="14">
        <f t="shared" si="15"/>
        <v>1.3782402659665476E-2</v>
      </c>
    </row>
    <row r="94" spans="1:16">
      <c r="A94">
        <f t="shared" si="16"/>
        <v>81</v>
      </c>
      <c r="C94" s="71">
        <v>19120114486</v>
      </c>
      <c r="D94" s="3" t="s">
        <v>5</v>
      </c>
      <c r="E94" s="71">
        <v>358000</v>
      </c>
      <c r="F94" s="72">
        <v>1.0421061452513967</v>
      </c>
      <c r="G94" s="78">
        <v>44603</v>
      </c>
      <c r="H94">
        <v>373074</v>
      </c>
      <c r="I94" s="84">
        <f t="shared" si="9"/>
        <v>15074</v>
      </c>
      <c r="J94" s="85">
        <f t="shared" si="10"/>
        <v>227225476</v>
      </c>
      <c r="K94" s="84">
        <f t="shared" si="17"/>
        <v>365104.0721003135</v>
      </c>
      <c r="L94" s="84">
        <f t="shared" si="11"/>
        <v>7969.9278996865032</v>
      </c>
      <c r="M94" s="85">
        <f t="shared" si="12"/>
        <v>63519750.726201318</v>
      </c>
      <c r="N94" s="73">
        <f t="shared" si="13"/>
        <v>3.7646268708186881E-2</v>
      </c>
      <c r="O94" s="14">
        <f t="shared" si="14"/>
        <v>-4.1643414349407548E-2</v>
      </c>
      <c r="P94" s="14">
        <f t="shared" si="15"/>
        <v>1.7341739586764426E-3</v>
      </c>
    </row>
    <row r="95" spans="1:16">
      <c r="A95">
        <f t="shared" si="16"/>
        <v>82</v>
      </c>
      <c r="C95" s="74">
        <v>19120114487</v>
      </c>
      <c r="D95" s="3" t="s">
        <v>5</v>
      </c>
      <c r="E95" s="74">
        <v>412700</v>
      </c>
      <c r="F95" s="75">
        <v>1.0193796946934819</v>
      </c>
      <c r="G95" s="78">
        <v>44713</v>
      </c>
      <c r="H95">
        <v>420698</v>
      </c>
      <c r="I95" s="84">
        <f t="shared" si="9"/>
        <v>7998</v>
      </c>
      <c r="J95" s="85">
        <f t="shared" si="10"/>
        <v>63968004</v>
      </c>
      <c r="K95" s="84">
        <f t="shared" si="17"/>
        <v>365104.0721003135</v>
      </c>
      <c r="L95" s="84">
        <f t="shared" si="11"/>
        <v>55593.927899686503</v>
      </c>
      <c r="M95" s="85">
        <f t="shared" si="12"/>
        <v>3090684819.3155413</v>
      </c>
      <c r="N95" s="73">
        <f t="shared" si="13"/>
        <v>1.4919818150272102E-2</v>
      </c>
      <c r="O95" s="14">
        <f t="shared" si="14"/>
        <v>-1.8916963791492769E-2</v>
      </c>
      <c r="P95" s="14">
        <f t="shared" si="15"/>
        <v>3.5785151908864849E-4</v>
      </c>
    </row>
    <row r="96" spans="1:16">
      <c r="A96">
        <f t="shared" si="16"/>
        <v>83</v>
      </c>
      <c r="C96" s="71">
        <v>19120114488</v>
      </c>
      <c r="D96" s="3" t="s">
        <v>5</v>
      </c>
      <c r="E96" s="71">
        <v>486700</v>
      </c>
      <c r="F96" s="72">
        <v>0.9995377028970619</v>
      </c>
      <c r="G96" s="78">
        <v>44691</v>
      </c>
      <c r="H96">
        <v>486475</v>
      </c>
      <c r="I96" s="84">
        <f t="shared" si="9"/>
        <v>-225</v>
      </c>
      <c r="J96" s="85">
        <f t="shared" si="10"/>
        <v>50625</v>
      </c>
      <c r="K96" s="84">
        <f t="shared" si="17"/>
        <v>365104.0721003135</v>
      </c>
      <c r="L96" s="84">
        <f t="shared" si="11"/>
        <v>121370.9278996865</v>
      </c>
      <c r="M96" s="85">
        <f t="shared" si="12"/>
        <v>14730902139.2309</v>
      </c>
      <c r="N96" s="73">
        <f t="shared" si="13"/>
        <v>4.9221736461478871E-3</v>
      </c>
      <c r="O96" s="14">
        <f t="shared" si="14"/>
        <v>9.250280049272197E-4</v>
      </c>
      <c r="P96" s="14">
        <f t="shared" si="15"/>
        <v>8.5567680989963238E-7</v>
      </c>
    </row>
    <row r="97" spans="1:16">
      <c r="A97">
        <f t="shared" si="16"/>
        <v>84</v>
      </c>
      <c r="C97" s="74">
        <v>19120114489</v>
      </c>
      <c r="D97" s="3" t="s">
        <v>5</v>
      </c>
      <c r="E97" s="74">
        <v>400800</v>
      </c>
      <c r="F97" s="75">
        <v>1.0595184630738523</v>
      </c>
      <c r="G97" s="78">
        <v>44625</v>
      </c>
      <c r="H97">
        <v>424655</v>
      </c>
      <c r="I97" s="84">
        <f t="shared" si="9"/>
        <v>23855</v>
      </c>
      <c r="J97" s="85">
        <f t="shared" si="10"/>
        <v>569061025</v>
      </c>
      <c r="K97" s="84">
        <f t="shared" si="17"/>
        <v>365104.0721003135</v>
      </c>
      <c r="L97" s="84">
        <f t="shared" si="11"/>
        <v>59550.927899686503</v>
      </c>
      <c r="M97" s="85">
        <f t="shared" si="12"/>
        <v>3546313013.7136602</v>
      </c>
      <c r="N97" s="73">
        <f t="shared" si="13"/>
        <v>5.505858653064255E-2</v>
      </c>
      <c r="O97" s="14">
        <f t="shared" si="14"/>
        <v>-5.9055732171863218E-2</v>
      </c>
      <c r="P97" s="14">
        <f t="shared" si="15"/>
        <v>3.4875795023548402E-3</v>
      </c>
    </row>
    <row r="98" spans="1:16">
      <c r="A98">
        <f t="shared" si="16"/>
        <v>85</v>
      </c>
      <c r="C98" s="71">
        <v>19120114490</v>
      </c>
      <c r="D98" s="3" t="s">
        <v>5</v>
      </c>
      <c r="E98" s="71">
        <v>370000</v>
      </c>
      <c r="F98" s="72">
        <v>1.0045648648648648</v>
      </c>
      <c r="G98" s="78">
        <v>44623</v>
      </c>
      <c r="H98">
        <v>371689</v>
      </c>
      <c r="I98" s="84">
        <f t="shared" si="9"/>
        <v>1689</v>
      </c>
      <c r="J98" s="85">
        <f t="shared" si="10"/>
        <v>2852721</v>
      </c>
      <c r="K98" s="84">
        <f t="shared" si="17"/>
        <v>365104.0721003135</v>
      </c>
      <c r="L98" s="84">
        <f t="shared" si="11"/>
        <v>6584.9278996865032</v>
      </c>
      <c r="M98" s="85">
        <f t="shared" si="12"/>
        <v>43361275.444069706</v>
      </c>
      <c r="N98" s="73">
        <f t="shared" si="13"/>
        <v>1.04988321655064E-4</v>
      </c>
      <c r="O98" s="14">
        <f t="shared" si="14"/>
        <v>-4.1021339628757314E-3</v>
      </c>
      <c r="P98" s="14">
        <f t="shared" si="15"/>
        <v>1.6827503049378554E-5</v>
      </c>
    </row>
    <row r="99" spans="1:16">
      <c r="A99">
        <f t="shared" si="16"/>
        <v>86</v>
      </c>
      <c r="C99" s="74">
        <v>19120114491</v>
      </c>
      <c r="D99" s="3" t="s">
        <v>5</v>
      </c>
      <c r="E99" s="74">
        <v>464300</v>
      </c>
      <c r="F99" s="75">
        <v>1.0446930863665733</v>
      </c>
      <c r="G99" s="78">
        <v>44693</v>
      </c>
      <c r="H99">
        <v>485051</v>
      </c>
      <c r="I99" s="84">
        <f t="shared" si="9"/>
        <v>20751</v>
      </c>
      <c r="J99" s="85">
        <f t="shared" si="10"/>
        <v>430604001</v>
      </c>
      <c r="K99" s="84">
        <f t="shared" si="17"/>
        <v>365104.0721003135</v>
      </c>
      <c r="L99" s="84">
        <f t="shared" si="11"/>
        <v>119946.9278996865</v>
      </c>
      <c r="M99" s="85">
        <f t="shared" si="12"/>
        <v>14387265512.572592</v>
      </c>
      <c r="N99" s="73">
        <f t="shared" si="13"/>
        <v>4.0233209823363536E-2</v>
      </c>
      <c r="O99" s="14">
        <f t="shared" si="14"/>
        <v>-4.4230355464584203E-2</v>
      </c>
      <c r="P99" s="14">
        <f t="shared" si="15"/>
        <v>1.9563243445234737E-3</v>
      </c>
    </row>
    <row r="100" spans="1:16">
      <c r="A100">
        <f t="shared" si="16"/>
        <v>87</v>
      </c>
      <c r="C100" s="71">
        <v>19120114492</v>
      </c>
      <c r="D100" s="3" t="s">
        <v>5</v>
      </c>
      <c r="E100" s="71">
        <v>366900</v>
      </c>
      <c r="F100" s="72">
        <v>0.97811392750068138</v>
      </c>
      <c r="G100" s="78">
        <v>44736</v>
      </c>
      <c r="H100">
        <v>358870</v>
      </c>
      <c r="I100" s="84">
        <f t="shared" si="9"/>
        <v>-8030</v>
      </c>
      <c r="J100" s="85">
        <f t="shared" si="10"/>
        <v>64480900</v>
      </c>
      <c r="K100" s="84">
        <f t="shared" si="17"/>
        <v>365104.0721003135</v>
      </c>
      <c r="L100" s="84">
        <f t="shared" si="11"/>
        <v>-6234.0721003134968</v>
      </c>
      <c r="M100" s="85">
        <f t="shared" si="12"/>
        <v>38863654.951907136</v>
      </c>
      <c r="N100" s="73">
        <f t="shared" si="13"/>
        <v>2.6345949042528405E-2</v>
      </c>
      <c r="O100" s="14">
        <f t="shared" si="14"/>
        <v>2.2348803401307737E-2</v>
      </c>
      <c r="P100" s="14">
        <f t="shared" si="15"/>
        <v>4.994690134703043E-4</v>
      </c>
    </row>
    <row r="101" spans="1:16">
      <c r="A101">
        <f t="shared" si="16"/>
        <v>88</v>
      </c>
      <c r="C101" s="74">
        <v>19120114493</v>
      </c>
      <c r="D101" s="3" t="s">
        <v>5</v>
      </c>
      <c r="E101" s="74">
        <v>386400</v>
      </c>
      <c r="F101" s="75">
        <v>1.0062732919254658</v>
      </c>
      <c r="G101" s="78">
        <v>44749</v>
      </c>
      <c r="H101">
        <v>388824</v>
      </c>
      <c r="I101" s="84">
        <f t="shared" si="9"/>
        <v>2424</v>
      </c>
      <c r="J101" s="85">
        <f t="shared" si="10"/>
        <v>5875776</v>
      </c>
      <c r="K101" s="84">
        <f t="shared" si="17"/>
        <v>365104.0721003135</v>
      </c>
      <c r="L101" s="84">
        <f t="shared" si="11"/>
        <v>23719.927899686503</v>
      </c>
      <c r="M101" s="85">
        <f t="shared" si="12"/>
        <v>562634979.56632614</v>
      </c>
      <c r="N101" s="73">
        <f t="shared" si="13"/>
        <v>1.8134153822559895E-3</v>
      </c>
      <c r="O101" s="14">
        <f t="shared" si="14"/>
        <v>-5.8105610234766569E-3</v>
      </c>
      <c r="P101" s="14">
        <f t="shared" si="15"/>
        <v>3.3762619407546094E-5</v>
      </c>
    </row>
    <row r="102" spans="1:16">
      <c r="A102">
        <f t="shared" si="16"/>
        <v>89</v>
      </c>
      <c r="C102" s="71">
        <v>19120114494</v>
      </c>
      <c r="D102" s="3" t="s">
        <v>5</v>
      </c>
      <c r="E102" s="71">
        <v>387600</v>
      </c>
      <c r="F102" s="72">
        <v>1.0383049535603714</v>
      </c>
      <c r="G102" s="78">
        <v>44722</v>
      </c>
      <c r="H102">
        <v>402447</v>
      </c>
      <c r="I102" s="84">
        <f t="shared" si="9"/>
        <v>14847</v>
      </c>
      <c r="J102" s="85">
        <f t="shared" si="10"/>
        <v>220433409</v>
      </c>
      <c r="K102" s="84">
        <f t="shared" si="17"/>
        <v>365104.0721003135</v>
      </c>
      <c r="L102" s="84">
        <f t="shared" si="11"/>
        <v>37342.927899686503</v>
      </c>
      <c r="M102" s="85">
        <f t="shared" si="12"/>
        <v>1394494264.1211846</v>
      </c>
      <c r="N102" s="73">
        <f t="shared" si="13"/>
        <v>3.3845077017161662E-2</v>
      </c>
      <c r="O102" s="14">
        <f t="shared" si="14"/>
        <v>-3.784222265838233E-2</v>
      </c>
      <c r="P102" s="14">
        <f t="shared" si="15"/>
        <v>1.4320338157265849E-3</v>
      </c>
    </row>
    <row r="103" spans="1:16">
      <c r="A103">
        <f t="shared" si="16"/>
        <v>90</v>
      </c>
      <c r="C103" s="74">
        <v>19120114495</v>
      </c>
      <c r="D103" s="3" t="s">
        <v>5</v>
      </c>
      <c r="E103" s="74">
        <v>404200</v>
      </c>
      <c r="F103" s="75">
        <v>1.0543320138545276</v>
      </c>
      <c r="G103" s="78">
        <v>44749</v>
      </c>
      <c r="H103">
        <v>426161</v>
      </c>
      <c r="I103" s="84">
        <f t="shared" si="9"/>
        <v>21961</v>
      </c>
      <c r="J103" s="85">
        <f t="shared" si="10"/>
        <v>482285521</v>
      </c>
      <c r="K103" s="84">
        <f t="shared" si="17"/>
        <v>365104.0721003135</v>
      </c>
      <c r="L103" s="84">
        <f t="shared" si="11"/>
        <v>61056.927899686503</v>
      </c>
      <c r="M103" s="85">
        <f t="shared" si="12"/>
        <v>3727948444.5475163</v>
      </c>
      <c r="N103" s="73">
        <f t="shared" si="13"/>
        <v>4.9872137311317788E-2</v>
      </c>
      <c r="O103" s="14">
        <f t="shared" si="14"/>
        <v>-5.3869282952538455E-2</v>
      </c>
      <c r="P103" s="14">
        <f t="shared" si="15"/>
        <v>2.9018996458206503E-3</v>
      </c>
    </row>
    <row r="104" spans="1:16">
      <c r="A104">
        <f t="shared" si="16"/>
        <v>91</v>
      </c>
      <c r="C104" s="71">
        <v>19120114496</v>
      </c>
      <c r="D104" s="3" t="s">
        <v>5</v>
      </c>
      <c r="E104" s="71">
        <v>375100</v>
      </c>
      <c r="F104" s="72">
        <v>1.0007997867235403</v>
      </c>
      <c r="G104" s="78">
        <v>44739</v>
      </c>
      <c r="H104">
        <v>375400</v>
      </c>
      <c r="I104" s="84">
        <f t="shared" si="9"/>
        <v>300</v>
      </c>
      <c r="J104" s="85">
        <f t="shared" si="10"/>
        <v>90000</v>
      </c>
      <c r="K104" s="84">
        <f t="shared" si="17"/>
        <v>365104.0721003135</v>
      </c>
      <c r="L104" s="84">
        <f t="shared" si="11"/>
        <v>10295.927899686503</v>
      </c>
      <c r="M104" s="85">
        <f t="shared" si="12"/>
        <v>106006131.31554294</v>
      </c>
      <c r="N104" s="73">
        <f t="shared" si="13"/>
        <v>3.6600898196694764E-3</v>
      </c>
      <c r="O104" s="14">
        <f t="shared" si="14"/>
        <v>-3.3705582155119096E-4</v>
      </c>
      <c r="P104" s="14">
        <f t="shared" si="15"/>
        <v>1.1360662684154829E-7</v>
      </c>
    </row>
    <row r="105" spans="1:16">
      <c r="A105">
        <f t="shared" si="16"/>
        <v>92</v>
      </c>
      <c r="C105" s="74">
        <v>19120114497</v>
      </c>
      <c r="D105" s="3" t="s">
        <v>5</v>
      </c>
      <c r="E105" s="74">
        <v>388800</v>
      </c>
      <c r="F105" s="75">
        <v>1.0044598765432098</v>
      </c>
      <c r="G105" s="78">
        <v>44783</v>
      </c>
      <c r="H105">
        <v>390534</v>
      </c>
      <c r="I105" s="84">
        <f t="shared" si="9"/>
        <v>1734</v>
      </c>
      <c r="J105" s="85">
        <f t="shared" si="10"/>
        <v>3006756</v>
      </c>
      <c r="K105" s="84">
        <f t="shared" si="17"/>
        <v>365104.0721003135</v>
      </c>
      <c r="L105" s="84">
        <f t="shared" si="11"/>
        <v>25429.927899686503</v>
      </c>
      <c r="M105" s="85">
        <f t="shared" si="12"/>
        <v>646681232.98325396</v>
      </c>
      <c r="N105" s="73">
        <f t="shared" si="13"/>
        <v>0</v>
      </c>
      <c r="O105" s="14">
        <f t="shared" si="14"/>
        <v>-3.9971456412206674E-3</v>
      </c>
      <c r="P105" s="14">
        <f t="shared" si="15"/>
        <v>1.597717327712938E-5</v>
      </c>
    </row>
    <row r="106" spans="1:16">
      <c r="A106">
        <f t="shared" si="16"/>
        <v>93</v>
      </c>
      <c r="C106" s="71">
        <v>19120114498</v>
      </c>
      <c r="D106" s="3" t="s">
        <v>5</v>
      </c>
      <c r="E106" s="71">
        <v>420900</v>
      </c>
      <c r="F106" s="72">
        <v>1.0382703730102163</v>
      </c>
      <c r="G106" s="78">
        <v>44707</v>
      </c>
      <c r="H106">
        <v>437008</v>
      </c>
      <c r="I106" s="84">
        <f t="shared" si="9"/>
        <v>16108</v>
      </c>
      <c r="J106" s="85">
        <f t="shared" si="10"/>
        <v>259467664</v>
      </c>
      <c r="K106" s="84">
        <f t="shared" si="17"/>
        <v>365104.0721003135</v>
      </c>
      <c r="L106" s="84">
        <f t="shared" si="11"/>
        <v>71903.927899686503</v>
      </c>
      <c r="M106" s="85">
        <f t="shared" si="12"/>
        <v>5170174847.4033155</v>
      </c>
      <c r="N106" s="73">
        <f t="shared" si="13"/>
        <v>3.3810496467006512E-2</v>
      </c>
      <c r="O106" s="14">
        <f t="shared" si="14"/>
        <v>-3.780764210822718E-2</v>
      </c>
      <c r="P106" s="14">
        <f t="shared" si="15"/>
        <v>1.4294178017837929E-3</v>
      </c>
    </row>
    <row r="107" spans="1:16">
      <c r="A107">
        <f t="shared" si="16"/>
        <v>94</v>
      </c>
      <c r="C107" s="74">
        <v>19120114499</v>
      </c>
      <c r="D107" s="3" t="s">
        <v>5</v>
      </c>
      <c r="E107" s="74">
        <v>389200</v>
      </c>
      <c r="F107" s="75">
        <v>1.0354701952723535</v>
      </c>
      <c r="G107" s="78">
        <v>44676</v>
      </c>
      <c r="H107">
        <v>403005</v>
      </c>
      <c r="I107" s="84">
        <f t="shared" si="9"/>
        <v>13805</v>
      </c>
      <c r="J107" s="85">
        <f t="shared" si="10"/>
        <v>190578025</v>
      </c>
      <c r="K107" s="84">
        <f t="shared" si="17"/>
        <v>365104.0721003135</v>
      </c>
      <c r="L107" s="84">
        <f t="shared" si="11"/>
        <v>37900.927899686503</v>
      </c>
      <c r="M107" s="85">
        <f t="shared" si="12"/>
        <v>1436480335.6572347</v>
      </c>
      <c r="N107" s="73">
        <f t="shared" si="13"/>
        <v>3.1010318729143727E-2</v>
      </c>
      <c r="O107" s="14">
        <f t="shared" si="14"/>
        <v>-3.5007464370364394E-2</v>
      </c>
      <c r="P107" s="14">
        <f t="shared" si="15"/>
        <v>1.2255225616423324E-3</v>
      </c>
    </row>
    <row r="108" spans="1:16">
      <c r="A108">
        <f t="shared" si="16"/>
        <v>95</v>
      </c>
      <c r="C108" s="71">
        <v>19120114500</v>
      </c>
      <c r="D108" s="3" t="s">
        <v>5</v>
      </c>
      <c r="E108" s="71">
        <v>372800</v>
      </c>
      <c r="F108" s="72">
        <v>0.9802494635193133</v>
      </c>
      <c r="G108" s="78">
        <v>44664</v>
      </c>
      <c r="H108">
        <v>365437</v>
      </c>
      <c r="I108" s="84">
        <f t="shared" si="9"/>
        <v>-7363</v>
      </c>
      <c r="J108" s="85">
        <f t="shared" si="10"/>
        <v>54213769</v>
      </c>
      <c r="K108" s="84">
        <f t="shared" si="17"/>
        <v>365104.0721003135</v>
      </c>
      <c r="L108" s="84">
        <f t="shared" si="11"/>
        <v>332.92789968650322</v>
      </c>
      <c r="M108" s="85">
        <f t="shared" si="12"/>
        <v>110840.98638966636</v>
      </c>
      <c r="N108" s="73">
        <f t="shared" si="13"/>
        <v>2.4210413023896482E-2</v>
      </c>
      <c r="O108" s="14">
        <f t="shared" si="14"/>
        <v>2.0213267382675815E-2</v>
      </c>
      <c r="P108" s="14">
        <f t="shared" si="15"/>
        <v>4.0857617828354598E-4</v>
      </c>
    </row>
    <row r="109" spans="1:16">
      <c r="A109">
        <f t="shared" si="16"/>
        <v>96</v>
      </c>
      <c r="C109" s="74">
        <v>19120114501</v>
      </c>
      <c r="D109" s="3" t="s">
        <v>5</v>
      </c>
      <c r="E109" s="74">
        <v>394600</v>
      </c>
      <c r="F109" s="75">
        <v>1.0312797769893562</v>
      </c>
      <c r="G109" s="78">
        <v>44690</v>
      </c>
      <c r="H109">
        <v>406943</v>
      </c>
      <c r="I109" s="84">
        <f t="shared" si="9"/>
        <v>12343</v>
      </c>
      <c r="J109" s="85">
        <f t="shared" si="10"/>
        <v>152349649</v>
      </c>
      <c r="K109" s="84">
        <f t="shared" si="17"/>
        <v>365104.0721003135</v>
      </c>
      <c r="L109" s="84">
        <f t="shared" si="11"/>
        <v>41838.927899686503</v>
      </c>
      <c r="M109" s="85">
        <f t="shared" si="12"/>
        <v>1750495887.7951658</v>
      </c>
      <c r="N109" s="73">
        <f t="shared" si="13"/>
        <v>2.6819900446146461E-2</v>
      </c>
      <c r="O109" s="14">
        <f t="shared" si="14"/>
        <v>-3.0817046087367128E-2</v>
      </c>
      <c r="P109" s="14">
        <f t="shared" si="15"/>
        <v>9.4969032955090967E-4</v>
      </c>
    </row>
    <row r="110" spans="1:16">
      <c r="A110">
        <f t="shared" si="16"/>
        <v>97</v>
      </c>
      <c r="C110" s="71">
        <v>19120114502</v>
      </c>
      <c r="D110" s="3" t="s">
        <v>5</v>
      </c>
      <c r="E110" s="71">
        <v>391100</v>
      </c>
      <c r="F110" s="72">
        <v>1.0008412170800307</v>
      </c>
      <c r="G110" s="78">
        <v>44704</v>
      </c>
      <c r="H110">
        <v>391429</v>
      </c>
      <c r="I110" s="84">
        <f t="shared" si="9"/>
        <v>329</v>
      </c>
      <c r="J110" s="85">
        <f t="shared" si="10"/>
        <v>108241</v>
      </c>
      <c r="K110" s="84">
        <f t="shared" si="17"/>
        <v>365104.0721003135</v>
      </c>
      <c r="L110" s="84">
        <f t="shared" si="11"/>
        <v>26324.927899686503</v>
      </c>
      <c r="M110" s="85">
        <f t="shared" si="12"/>
        <v>693001828.92369282</v>
      </c>
      <c r="N110" s="73">
        <f t="shared" si="13"/>
        <v>3.6186594631790747E-3</v>
      </c>
      <c r="O110" s="14">
        <f t="shared" si="14"/>
        <v>-3.7848617804159268E-4</v>
      </c>
      <c r="P110" s="14">
        <f t="shared" si="15"/>
        <v>1.4325178696853218E-7</v>
      </c>
    </row>
    <row r="111" spans="1:16">
      <c r="A111">
        <f t="shared" si="16"/>
        <v>98</v>
      </c>
      <c r="C111" s="74">
        <v>19120114503</v>
      </c>
      <c r="D111" s="3" t="s">
        <v>5</v>
      </c>
      <c r="E111" s="74">
        <v>364000</v>
      </c>
      <c r="F111" s="75">
        <v>1.0231703296703296</v>
      </c>
      <c r="G111" s="78">
        <v>44690</v>
      </c>
      <c r="H111">
        <v>372434</v>
      </c>
      <c r="I111" s="84">
        <f t="shared" si="9"/>
        <v>8434</v>
      </c>
      <c r="J111" s="85">
        <f t="shared" si="10"/>
        <v>71132356</v>
      </c>
      <c r="K111" s="84">
        <f t="shared" si="17"/>
        <v>365104.0721003135</v>
      </c>
      <c r="L111" s="84">
        <f t="shared" si="11"/>
        <v>7329.9278996865032</v>
      </c>
      <c r="M111" s="85">
        <f t="shared" si="12"/>
        <v>53727843.014602594</v>
      </c>
      <c r="N111" s="73">
        <f t="shared" si="13"/>
        <v>1.871045312711983E-2</v>
      </c>
      <c r="O111" s="14">
        <f t="shared" si="14"/>
        <v>-2.2707598768340498E-2</v>
      </c>
      <c r="P111" s="14">
        <f t="shared" si="15"/>
        <v>5.1563504182393892E-4</v>
      </c>
    </row>
    <row r="112" spans="1:16">
      <c r="A112">
        <f t="shared" si="16"/>
        <v>99</v>
      </c>
      <c r="C112" s="71">
        <v>19120114504</v>
      </c>
      <c r="D112" s="3" t="s">
        <v>5</v>
      </c>
      <c r="E112" s="71">
        <v>376500</v>
      </c>
      <c r="F112" s="72">
        <v>1.0505843293492696</v>
      </c>
      <c r="G112" s="78">
        <v>44721</v>
      </c>
      <c r="H112">
        <v>395545</v>
      </c>
      <c r="I112" s="84">
        <f t="shared" si="9"/>
        <v>19045</v>
      </c>
      <c r="J112" s="85">
        <f t="shared" si="10"/>
        <v>362712025</v>
      </c>
      <c r="K112" s="84">
        <f t="shared" si="17"/>
        <v>365104.0721003135</v>
      </c>
      <c r="L112" s="84">
        <f t="shared" si="11"/>
        <v>30440.927899686503</v>
      </c>
      <c r="M112" s="85">
        <f t="shared" si="12"/>
        <v>926650091.3939122</v>
      </c>
      <c r="N112" s="73">
        <f t="shared" si="13"/>
        <v>4.6124452806059812E-2</v>
      </c>
      <c r="O112" s="14">
        <f t="shared" si="14"/>
        <v>-5.012159844728048E-2</v>
      </c>
      <c r="P112" s="14">
        <f t="shared" si="15"/>
        <v>2.5121746309104292E-3</v>
      </c>
    </row>
    <row r="113" spans="1:16">
      <c r="A113">
        <f t="shared" si="16"/>
        <v>100</v>
      </c>
      <c r="C113" s="74">
        <v>19120114505</v>
      </c>
      <c r="D113" s="3" t="s">
        <v>5</v>
      </c>
      <c r="E113" s="74">
        <v>421900</v>
      </c>
      <c r="F113" s="75">
        <v>1.0407821758710596</v>
      </c>
      <c r="G113" s="78">
        <v>44721</v>
      </c>
      <c r="H113">
        <v>439106</v>
      </c>
      <c r="I113" s="84">
        <f t="shared" si="9"/>
        <v>17206</v>
      </c>
      <c r="J113" s="85">
        <f t="shared" si="10"/>
        <v>296046436</v>
      </c>
      <c r="K113" s="84">
        <f t="shared" si="17"/>
        <v>365104.0721003135</v>
      </c>
      <c r="L113" s="84">
        <f t="shared" si="11"/>
        <v>74001.927899686503</v>
      </c>
      <c r="M113" s="85">
        <f t="shared" si="12"/>
        <v>5476285332.8703995</v>
      </c>
      <c r="N113" s="73">
        <f t="shared" si="13"/>
        <v>3.6322299327849805E-2</v>
      </c>
      <c r="O113" s="14">
        <f t="shared" si="14"/>
        <v>-4.0319444969070473E-2</v>
      </c>
      <c r="P113" s="14">
        <f t="shared" si="15"/>
        <v>1.6256576426139022E-3</v>
      </c>
    </row>
    <row r="114" spans="1:16">
      <c r="A114">
        <f t="shared" si="16"/>
        <v>101</v>
      </c>
      <c r="C114" s="71">
        <v>19120114507</v>
      </c>
      <c r="D114" s="3" t="s">
        <v>5</v>
      </c>
      <c r="E114" s="71">
        <v>411900</v>
      </c>
      <c r="F114" s="72">
        <v>1.0549113862588007</v>
      </c>
      <c r="G114" s="78">
        <v>44841</v>
      </c>
      <c r="H114">
        <v>434518</v>
      </c>
      <c r="I114" s="84">
        <f t="shared" si="9"/>
        <v>22618</v>
      </c>
      <c r="J114" s="85">
        <f t="shared" si="10"/>
        <v>511573924</v>
      </c>
      <c r="K114" s="84">
        <f t="shared" si="17"/>
        <v>365104.0721003135</v>
      </c>
      <c r="L114" s="84">
        <f t="shared" si="11"/>
        <v>69413.927899686503</v>
      </c>
      <c r="M114" s="85">
        <f t="shared" si="12"/>
        <v>4818293386.4628763</v>
      </c>
      <c r="N114" s="73">
        <f t="shared" si="13"/>
        <v>5.045150971559087E-2</v>
      </c>
      <c r="O114" s="14">
        <f t="shared" si="14"/>
        <v>-5.4448655356811537E-2</v>
      </c>
      <c r="P114" s="14">
        <f t="shared" si="15"/>
        <v>2.9646560701648418E-3</v>
      </c>
    </row>
    <row r="115" spans="1:16">
      <c r="A115">
        <f t="shared" si="16"/>
        <v>102</v>
      </c>
      <c r="C115" s="74">
        <v>19120114508</v>
      </c>
      <c r="D115" s="3" t="s">
        <v>5</v>
      </c>
      <c r="E115" s="74">
        <v>406600</v>
      </c>
      <c r="F115" s="75">
        <v>1.0938834235120511</v>
      </c>
      <c r="G115" s="78">
        <v>44854</v>
      </c>
      <c r="H115">
        <v>444773</v>
      </c>
      <c r="I115" s="84">
        <f t="shared" si="9"/>
        <v>38173</v>
      </c>
      <c r="J115" s="85">
        <f t="shared" si="10"/>
        <v>1457177929</v>
      </c>
      <c r="K115" s="84">
        <f t="shared" si="17"/>
        <v>365104.0721003135</v>
      </c>
      <c r="L115" s="84">
        <f t="shared" si="11"/>
        <v>79668.927899686503</v>
      </c>
      <c r="M115" s="85">
        <f t="shared" si="12"/>
        <v>6347138072.6854467</v>
      </c>
      <c r="N115" s="73">
        <f t="shared" si="13"/>
        <v>8.9423546968841361E-2</v>
      </c>
      <c r="O115" s="14">
        <f t="shared" si="14"/>
        <v>-9.3420692610062028E-2</v>
      </c>
      <c r="P115" s="14">
        <f t="shared" si="15"/>
        <v>8.7274258077436988E-3</v>
      </c>
    </row>
    <row r="116" spans="1:16">
      <c r="A116">
        <f t="shared" si="16"/>
        <v>103</v>
      </c>
      <c r="C116" s="71">
        <v>19120114509</v>
      </c>
      <c r="D116" s="3" t="s">
        <v>5</v>
      </c>
      <c r="E116" s="71">
        <v>424900</v>
      </c>
      <c r="F116" s="72">
        <v>1.1091009649329253</v>
      </c>
      <c r="G116" s="78">
        <v>44858</v>
      </c>
      <c r="H116">
        <v>471257</v>
      </c>
      <c r="I116" s="84">
        <f t="shared" si="9"/>
        <v>46357</v>
      </c>
      <c r="J116" s="85">
        <f t="shared" si="10"/>
        <v>2148971449</v>
      </c>
      <c r="K116" s="84">
        <f t="shared" si="17"/>
        <v>365104.0721003135</v>
      </c>
      <c r="L116" s="84">
        <f t="shared" si="11"/>
        <v>106152.9278996865</v>
      </c>
      <c r="M116" s="85">
        <f t="shared" si="12"/>
        <v>11268444101.676041</v>
      </c>
      <c r="N116" s="73">
        <f t="shared" si="13"/>
        <v>0.10464108838971553</v>
      </c>
      <c r="O116" s="14">
        <f t="shared" si="14"/>
        <v>-0.1086382340309362</v>
      </c>
      <c r="P116" s="14">
        <f t="shared" si="15"/>
        <v>1.1802265893360465E-2</v>
      </c>
    </row>
    <row r="117" spans="1:16">
      <c r="A117">
        <f t="shared" si="16"/>
        <v>104</v>
      </c>
      <c r="C117" s="74">
        <v>19120114510</v>
      </c>
      <c r="D117" s="3" t="s">
        <v>5</v>
      </c>
      <c r="E117" s="74">
        <v>414700</v>
      </c>
      <c r="F117" s="75">
        <v>1.078316855558235</v>
      </c>
      <c r="G117" s="78">
        <v>44884</v>
      </c>
      <c r="H117">
        <v>447178</v>
      </c>
      <c r="I117" s="84">
        <f t="shared" si="9"/>
        <v>32478</v>
      </c>
      <c r="J117" s="85">
        <f t="shared" si="10"/>
        <v>1054820484</v>
      </c>
      <c r="K117" s="84">
        <f t="shared" si="17"/>
        <v>365104.0721003135</v>
      </c>
      <c r="L117" s="84">
        <f t="shared" si="11"/>
        <v>82073.927899686503</v>
      </c>
      <c r="M117" s="85">
        <f t="shared" si="12"/>
        <v>6736129640.8829384</v>
      </c>
      <c r="N117" s="73">
        <f t="shared" si="13"/>
        <v>7.3856979015025193E-2</v>
      </c>
      <c r="O117" s="14">
        <f t="shared" si="14"/>
        <v>-7.785412465624586E-2</v>
      </c>
      <c r="P117" s="14">
        <f t="shared" si="15"/>
        <v>6.0612647259902699E-3</v>
      </c>
    </row>
    <row r="118" spans="1:16">
      <c r="A118">
        <f t="shared" si="16"/>
        <v>105</v>
      </c>
      <c r="C118" s="71">
        <v>19120114511</v>
      </c>
      <c r="D118" s="3" t="s">
        <v>5</v>
      </c>
      <c r="E118" s="71">
        <v>362600</v>
      </c>
      <c r="F118" s="72">
        <v>0.85769442912300053</v>
      </c>
      <c r="G118" s="78">
        <v>44830</v>
      </c>
      <c r="H118">
        <v>311000</v>
      </c>
      <c r="I118" s="84">
        <f t="shared" si="9"/>
        <v>-51600</v>
      </c>
      <c r="J118" s="85">
        <f t="shared" si="10"/>
        <v>2662560000</v>
      </c>
      <c r="K118" s="84">
        <f t="shared" si="17"/>
        <v>365104.0721003135</v>
      </c>
      <c r="L118" s="84">
        <f t="shared" si="11"/>
        <v>-54104.072100313497</v>
      </c>
      <c r="M118" s="85">
        <f t="shared" si="12"/>
        <v>2927250617.8359213</v>
      </c>
      <c r="N118" s="73">
        <f t="shared" si="13"/>
        <v>0.14676544742020925</v>
      </c>
      <c r="O118" s="14">
        <f t="shared" si="14"/>
        <v>0.14276830177898858</v>
      </c>
      <c r="P118" s="14">
        <f t="shared" si="15"/>
        <v>2.0382787992856356E-2</v>
      </c>
    </row>
    <row r="119" spans="1:16">
      <c r="A119">
        <f t="shared" si="16"/>
        <v>106</v>
      </c>
      <c r="C119" s="74">
        <v>19120114512</v>
      </c>
      <c r="D119" s="3" t="s">
        <v>5</v>
      </c>
      <c r="E119" s="74">
        <v>389300</v>
      </c>
      <c r="F119" s="75">
        <v>0.97490367325969685</v>
      </c>
      <c r="G119" s="78">
        <v>44749</v>
      </c>
      <c r="H119">
        <v>379530</v>
      </c>
      <c r="I119" s="84">
        <f t="shared" si="9"/>
        <v>-9770</v>
      </c>
      <c r="J119" s="85">
        <f t="shared" si="10"/>
        <v>95452900</v>
      </c>
      <c r="K119" s="84">
        <f t="shared" si="17"/>
        <v>365104.0721003135</v>
      </c>
      <c r="L119" s="84">
        <f t="shared" si="11"/>
        <v>14425.927899686503</v>
      </c>
      <c r="M119" s="85">
        <f t="shared" si="12"/>
        <v>208107395.76695344</v>
      </c>
      <c r="N119" s="73">
        <f t="shared" si="13"/>
        <v>2.9556203283512938E-2</v>
      </c>
      <c r="O119" s="14">
        <f t="shared" si="14"/>
        <v>2.5559057642292271E-2</v>
      </c>
      <c r="P119" s="14">
        <f t="shared" si="15"/>
        <v>6.5326542756201898E-4</v>
      </c>
    </row>
    <row r="120" spans="1:16">
      <c r="A120">
        <f t="shared" si="16"/>
        <v>107</v>
      </c>
      <c r="C120" s="71">
        <v>19120114513</v>
      </c>
      <c r="D120" s="3" t="s">
        <v>5</v>
      </c>
      <c r="E120" s="71">
        <v>467400</v>
      </c>
      <c r="F120" s="72">
        <v>1.0124176294394522</v>
      </c>
      <c r="G120" s="78">
        <v>44781</v>
      </c>
      <c r="H120">
        <v>473204</v>
      </c>
      <c r="I120" s="84">
        <f t="shared" si="9"/>
        <v>5804</v>
      </c>
      <c r="J120" s="85">
        <f t="shared" si="10"/>
        <v>33686416</v>
      </c>
      <c r="K120" s="84">
        <f t="shared" si="17"/>
        <v>365104.0721003135</v>
      </c>
      <c r="L120" s="84">
        <f t="shared" si="11"/>
        <v>108099.9278996865</v>
      </c>
      <c r="M120" s="85">
        <f t="shared" si="12"/>
        <v>11685594411.917421</v>
      </c>
      <c r="N120" s="73">
        <f t="shared" si="13"/>
        <v>7.9577528962424537E-3</v>
      </c>
      <c r="O120" s="14">
        <f t="shared" si="14"/>
        <v>-1.1954898537463121E-2</v>
      </c>
      <c r="P120" s="14">
        <f t="shared" si="15"/>
        <v>1.4291959904103786E-4</v>
      </c>
    </row>
    <row r="121" spans="1:16">
      <c r="A121">
        <f t="shared" si="16"/>
        <v>108</v>
      </c>
      <c r="C121" s="74">
        <v>19120114514</v>
      </c>
      <c r="D121" s="3" t="s">
        <v>5</v>
      </c>
      <c r="E121" s="74">
        <v>389200</v>
      </c>
      <c r="F121" s="75">
        <v>0.97924203494347384</v>
      </c>
      <c r="G121" s="78">
        <v>44750</v>
      </c>
      <c r="H121">
        <v>381121</v>
      </c>
      <c r="I121" s="84">
        <f t="shared" si="9"/>
        <v>-8079</v>
      </c>
      <c r="J121" s="85">
        <f t="shared" si="10"/>
        <v>65270241</v>
      </c>
      <c r="K121" s="84">
        <f t="shared" si="17"/>
        <v>365104.0721003135</v>
      </c>
      <c r="L121" s="84">
        <f t="shared" si="11"/>
        <v>16016.927899686503</v>
      </c>
      <c r="M121" s="85">
        <f t="shared" si="12"/>
        <v>256541979.3437559</v>
      </c>
      <c r="N121" s="73">
        <f t="shared" si="13"/>
        <v>2.5217841599735946E-2</v>
      </c>
      <c r="O121" s="14">
        <f t="shared" si="14"/>
        <v>2.1220695958515279E-2</v>
      </c>
      <c r="P121" s="14">
        <f t="shared" si="15"/>
        <v>4.5031793696374671E-4</v>
      </c>
    </row>
    <row r="122" spans="1:16">
      <c r="A122">
        <f t="shared" si="16"/>
        <v>109</v>
      </c>
      <c r="C122" s="71">
        <v>19120114515</v>
      </c>
      <c r="D122" s="3" t="s">
        <v>5</v>
      </c>
      <c r="E122" s="71">
        <v>434000</v>
      </c>
      <c r="F122" s="72">
        <v>1.0406728110599079</v>
      </c>
      <c r="G122" s="78">
        <v>44816</v>
      </c>
      <c r="H122">
        <v>451652</v>
      </c>
      <c r="I122" s="84">
        <f t="shared" si="9"/>
        <v>17652</v>
      </c>
      <c r="J122" s="85">
        <f t="shared" si="10"/>
        <v>311593104</v>
      </c>
      <c r="K122" s="84">
        <f t="shared" si="17"/>
        <v>365104.0721003135</v>
      </c>
      <c r="L122" s="84">
        <f t="shared" si="11"/>
        <v>86547.927899686503</v>
      </c>
      <c r="M122" s="85">
        <f t="shared" si="12"/>
        <v>7490543823.7293339</v>
      </c>
      <c r="N122" s="73">
        <f t="shared" si="13"/>
        <v>3.6212934516698159E-2</v>
      </c>
      <c r="O122" s="14">
        <f t="shared" si="14"/>
        <v>-4.0210080157918826E-2</v>
      </c>
      <c r="P122" s="14">
        <f t="shared" si="15"/>
        <v>1.6168505463062574E-3</v>
      </c>
    </row>
    <row r="123" spans="1:16">
      <c r="A123">
        <f t="shared" si="16"/>
        <v>110</v>
      </c>
      <c r="C123" s="74">
        <v>19120114516</v>
      </c>
      <c r="D123" s="3" t="s">
        <v>5</v>
      </c>
      <c r="E123" s="74">
        <v>433600</v>
      </c>
      <c r="F123" s="75">
        <v>1.0528713099630995</v>
      </c>
      <c r="G123" s="78">
        <v>44895</v>
      </c>
      <c r="H123">
        <v>456525</v>
      </c>
      <c r="I123" s="84">
        <f t="shared" si="9"/>
        <v>22925</v>
      </c>
      <c r="J123" s="85">
        <f t="shared" si="10"/>
        <v>525555625</v>
      </c>
      <c r="K123" s="84">
        <f t="shared" si="17"/>
        <v>365104.0721003135</v>
      </c>
      <c r="L123" s="84">
        <f t="shared" si="11"/>
        <v>91420.927899686503</v>
      </c>
      <c r="M123" s="85">
        <f t="shared" si="12"/>
        <v>8357786058.0396776</v>
      </c>
      <c r="N123" s="73">
        <f t="shared" si="13"/>
        <v>4.8411433419889738E-2</v>
      </c>
      <c r="O123" s="14">
        <f t="shared" si="14"/>
        <v>-5.2408579061110405E-2</v>
      </c>
      <c r="P123" s="14">
        <f t="shared" si="15"/>
        <v>2.7466591592046601E-3</v>
      </c>
    </row>
    <row r="124" spans="1:16">
      <c r="A124">
        <f t="shared" si="16"/>
        <v>111</v>
      </c>
      <c r="C124" s="71">
        <v>19120114517</v>
      </c>
      <c r="D124" s="3" t="s">
        <v>5</v>
      </c>
      <c r="E124" s="71">
        <v>386700</v>
      </c>
      <c r="F124" s="72">
        <v>1.034393586759762</v>
      </c>
      <c r="G124" s="78">
        <v>44831</v>
      </c>
      <c r="H124">
        <v>400000</v>
      </c>
      <c r="I124" s="84">
        <f t="shared" si="9"/>
        <v>13300</v>
      </c>
      <c r="J124" s="85">
        <f t="shared" si="10"/>
        <v>176890000</v>
      </c>
      <c r="K124" s="84">
        <f t="shared" si="17"/>
        <v>365104.0721003135</v>
      </c>
      <c r="L124" s="84">
        <f t="shared" si="11"/>
        <v>34895.927899686503</v>
      </c>
      <c r="M124" s="85">
        <f t="shared" si="12"/>
        <v>1217725783.980119</v>
      </c>
      <c r="N124" s="73">
        <f t="shared" si="13"/>
        <v>2.9933710216552223E-2</v>
      </c>
      <c r="O124" s="14">
        <f t="shared" si="14"/>
        <v>-3.393085585777289E-2</v>
      </c>
      <c r="P124" s="14">
        <f t="shared" si="15"/>
        <v>1.1513029792409608E-3</v>
      </c>
    </row>
    <row r="125" spans="1:16">
      <c r="A125">
        <f t="shared" si="16"/>
        <v>112</v>
      </c>
      <c r="C125" s="74">
        <v>19120114518</v>
      </c>
      <c r="D125" s="3" t="s">
        <v>5</v>
      </c>
      <c r="E125" s="74">
        <v>430900</v>
      </c>
      <c r="F125" s="75">
        <v>1.0326990020886517</v>
      </c>
      <c r="G125" s="78">
        <v>44835</v>
      </c>
      <c r="H125">
        <v>444990</v>
      </c>
      <c r="I125" s="84">
        <f t="shared" si="9"/>
        <v>14090</v>
      </c>
      <c r="J125" s="85">
        <f t="shared" si="10"/>
        <v>198528100</v>
      </c>
      <c r="K125" s="84">
        <f t="shared" si="17"/>
        <v>365104.0721003135</v>
      </c>
      <c r="L125" s="84">
        <f t="shared" si="11"/>
        <v>79885.927899686503</v>
      </c>
      <c r="M125" s="85">
        <f t="shared" si="12"/>
        <v>6381761476.3939104</v>
      </c>
      <c r="N125" s="73">
        <f t="shared" si="13"/>
        <v>2.8239125545441945E-2</v>
      </c>
      <c r="O125" s="14">
        <f t="shared" si="14"/>
        <v>-3.2236271186662613E-2</v>
      </c>
      <c r="P125" s="14">
        <f t="shared" si="15"/>
        <v>1.0391771800200543E-3</v>
      </c>
    </row>
    <row r="126" spans="1:16">
      <c r="A126">
        <f t="shared" si="16"/>
        <v>113</v>
      </c>
      <c r="C126" s="71">
        <v>19120114519</v>
      </c>
      <c r="D126" s="3" t="s">
        <v>5</v>
      </c>
      <c r="E126" s="71">
        <v>372500</v>
      </c>
      <c r="F126" s="72">
        <v>1.0358791946308725</v>
      </c>
      <c r="G126" s="78">
        <v>44816</v>
      </c>
      <c r="H126">
        <v>385865</v>
      </c>
      <c r="I126" s="84">
        <f t="shared" si="9"/>
        <v>13365</v>
      </c>
      <c r="J126" s="85">
        <f t="shared" si="10"/>
        <v>178623225</v>
      </c>
      <c r="K126" s="84">
        <f t="shared" si="17"/>
        <v>365104.0721003135</v>
      </c>
      <c r="L126" s="84">
        <f t="shared" si="11"/>
        <v>20760.927899686503</v>
      </c>
      <c r="M126" s="85">
        <f t="shared" si="12"/>
        <v>431016127.25598145</v>
      </c>
      <c r="N126" s="73">
        <f t="shared" si="13"/>
        <v>3.141931808766274E-2</v>
      </c>
      <c r="O126" s="14">
        <f t="shared" si="14"/>
        <v>-3.5416463728883407E-2</v>
      </c>
      <c r="P126" s="14">
        <f t="shared" si="15"/>
        <v>1.2543259030593139E-3</v>
      </c>
    </row>
    <row r="127" spans="1:16">
      <c r="A127">
        <f t="shared" si="16"/>
        <v>114</v>
      </c>
      <c r="C127" s="74">
        <v>19120114520</v>
      </c>
      <c r="D127" s="3" t="s">
        <v>5</v>
      </c>
      <c r="E127" s="74">
        <v>393000</v>
      </c>
      <c r="F127" s="75">
        <v>1.0432315521628499</v>
      </c>
      <c r="G127" s="78">
        <v>44810</v>
      </c>
      <c r="H127">
        <v>409990</v>
      </c>
      <c r="I127" s="84">
        <f t="shared" si="9"/>
        <v>16990</v>
      </c>
      <c r="J127" s="85">
        <f t="shared" si="10"/>
        <v>288660100</v>
      </c>
      <c r="K127" s="84">
        <f t="shared" si="17"/>
        <v>365104.0721003135</v>
      </c>
      <c r="L127" s="84">
        <f t="shared" si="11"/>
        <v>44885.927899686503</v>
      </c>
      <c r="M127" s="85">
        <f t="shared" si="12"/>
        <v>2014746523.4158552</v>
      </c>
      <c r="N127" s="73">
        <f t="shared" si="13"/>
        <v>3.8771675619640122E-2</v>
      </c>
      <c r="O127" s="14">
        <f t="shared" si="14"/>
        <v>-4.276882126086079E-2</v>
      </c>
      <c r="P127" s="14">
        <f t="shared" si="15"/>
        <v>1.829172072043458E-3</v>
      </c>
    </row>
    <row r="128" spans="1:16">
      <c r="A128">
        <f t="shared" si="16"/>
        <v>115</v>
      </c>
      <c r="C128" s="71">
        <v>19120114521</v>
      </c>
      <c r="D128" s="3" t="s">
        <v>5</v>
      </c>
      <c r="E128" s="71">
        <v>388500</v>
      </c>
      <c r="F128" s="72">
        <v>1.1022187902187903</v>
      </c>
      <c r="G128" s="78">
        <v>44858</v>
      </c>
      <c r="H128">
        <v>428212</v>
      </c>
      <c r="I128" s="84">
        <f t="shared" si="9"/>
        <v>39712</v>
      </c>
      <c r="J128" s="85">
        <f t="shared" si="10"/>
        <v>1577042944</v>
      </c>
      <c r="K128" s="84">
        <f t="shared" si="17"/>
        <v>365104.0721003135</v>
      </c>
      <c r="L128" s="84">
        <f t="shared" si="11"/>
        <v>63107.927899686503</v>
      </c>
      <c r="M128" s="85">
        <f t="shared" si="12"/>
        <v>3982610563.7920303</v>
      </c>
      <c r="N128" s="73">
        <f t="shared" si="13"/>
        <v>9.7758913675580539E-2</v>
      </c>
      <c r="O128" s="14">
        <f t="shared" si="14"/>
        <v>-0.10175605931680121</v>
      </c>
      <c r="P128" s="14">
        <f t="shared" si="15"/>
        <v>1.0354295607684366E-2</v>
      </c>
    </row>
    <row r="129" spans="1:16">
      <c r="A129">
        <f t="shared" si="16"/>
        <v>116</v>
      </c>
      <c r="C129" s="74">
        <v>19120114522</v>
      </c>
      <c r="D129" s="3" t="s">
        <v>5</v>
      </c>
      <c r="E129" s="74">
        <v>390100</v>
      </c>
      <c r="F129" s="75">
        <v>1.0549500128172264</v>
      </c>
      <c r="G129" s="78">
        <v>44879</v>
      </c>
      <c r="H129">
        <v>411536</v>
      </c>
      <c r="I129" s="84">
        <f t="shared" si="9"/>
        <v>21436</v>
      </c>
      <c r="J129" s="85">
        <f t="shared" si="10"/>
        <v>459502096</v>
      </c>
      <c r="K129" s="84">
        <f t="shared" si="17"/>
        <v>365104.0721003135</v>
      </c>
      <c r="L129" s="84">
        <f t="shared" si="11"/>
        <v>46431.927899686503</v>
      </c>
      <c r="M129" s="85">
        <f t="shared" si="12"/>
        <v>2155923928.4816861</v>
      </c>
      <c r="N129" s="73">
        <f t="shared" si="13"/>
        <v>5.0490136274016661E-2</v>
      </c>
      <c r="O129" s="14">
        <f t="shared" si="14"/>
        <v>-5.4487281915237329E-2</v>
      </c>
      <c r="P129" s="14">
        <f t="shared" si="15"/>
        <v>2.968863890510549E-3</v>
      </c>
    </row>
    <row r="130" spans="1:16">
      <c r="A130">
        <f t="shared" si="16"/>
        <v>117</v>
      </c>
      <c r="C130" s="71">
        <v>19120114523</v>
      </c>
      <c r="D130" s="3" t="s">
        <v>5</v>
      </c>
      <c r="E130" s="71">
        <v>390600</v>
      </c>
      <c r="F130" s="72">
        <v>1.0643958013312853</v>
      </c>
      <c r="G130" s="78">
        <v>44810</v>
      </c>
      <c r="H130">
        <v>415753</v>
      </c>
      <c r="I130" s="84">
        <f t="shared" si="9"/>
        <v>25153</v>
      </c>
      <c r="J130" s="85">
        <f t="shared" si="10"/>
        <v>632673409</v>
      </c>
      <c r="K130" s="84">
        <f t="shared" si="17"/>
        <v>365104.0721003135</v>
      </c>
      <c r="L130" s="84">
        <f t="shared" si="11"/>
        <v>50648.927899686503</v>
      </c>
      <c r="M130" s="85">
        <f t="shared" si="12"/>
        <v>2565313897.3876419</v>
      </c>
      <c r="N130" s="73">
        <f t="shared" si="13"/>
        <v>5.9935924788075523E-2</v>
      </c>
      <c r="O130" s="14">
        <f t="shared" si="14"/>
        <v>-6.393307042929619E-2</v>
      </c>
      <c r="P130" s="14">
        <f t="shared" si="15"/>
        <v>4.0874374945173474E-3</v>
      </c>
    </row>
    <row r="131" spans="1:16">
      <c r="A131">
        <f t="shared" si="16"/>
        <v>118</v>
      </c>
      <c r="C131" s="74">
        <v>19120114524</v>
      </c>
      <c r="D131" s="3" t="s">
        <v>5</v>
      </c>
      <c r="E131" s="74">
        <v>374900</v>
      </c>
      <c r="F131" s="75">
        <v>1.002918111496399</v>
      </c>
      <c r="G131" s="78">
        <v>44853</v>
      </c>
      <c r="H131">
        <v>375994</v>
      </c>
      <c r="I131" s="84">
        <f t="shared" si="9"/>
        <v>1094</v>
      </c>
      <c r="J131" s="85">
        <f t="shared" si="10"/>
        <v>1196836</v>
      </c>
      <c r="K131" s="84">
        <f t="shared" si="17"/>
        <v>365104.0721003135</v>
      </c>
      <c r="L131" s="84">
        <f t="shared" si="11"/>
        <v>10889.927899686503</v>
      </c>
      <c r="M131" s="85">
        <f t="shared" si="12"/>
        <v>118590529.6603705</v>
      </c>
      <c r="N131" s="73">
        <f t="shared" si="13"/>
        <v>1.5417650468108057E-3</v>
      </c>
      <c r="O131" s="14">
        <f t="shared" si="14"/>
        <v>-2.4553805944098617E-3</v>
      </c>
      <c r="P131" s="14">
        <f t="shared" si="15"/>
        <v>6.0288938634045254E-6</v>
      </c>
    </row>
    <row r="132" spans="1:16">
      <c r="A132">
        <f t="shared" si="16"/>
        <v>119</v>
      </c>
      <c r="C132" s="71">
        <v>19120114525</v>
      </c>
      <c r="D132" s="3" t="s">
        <v>5</v>
      </c>
      <c r="E132" s="71">
        <v>387000</v>
      </c>
      <c r="F132" s="72">
        <v>1.0475064599483204</v>
      </c>
      <c r="G132" s="78">
        <v>44835</v>
      </c>
      <c r="H132">
        <v>405385</v>
      </c>
      <c r="I132" s="84">
        <f t="shared" si="9"/>
        <v>18385</v>
      </c>
      <c r="J132" s="85">
        <f t="shared" si="10"/>
        <v>338008225</v>
      </c>
      <c r="K132" s="84">
        <f t="shared" si="17"/>
        <v>365104.0721003135</v>
      </c>
      <c r="L132" s="84">
        <f t="shared" si="11"/>
        <v>40280.927899686503</v>
      </c>
      <c r="M132" s="85">
        <f t="shared" si="12"/>
        <v>1622553152.4597425</v>
      </c>
      <c r="N132" s="73">
        <f t="shared" si="13"/>
        <v>4.3046583405110583E-2</v>
      </c>
      <c r="O132" s="14">
        <f t="shared" si="14"/>
        <v>-4.7043729046331251E-2</v>
      </c>
      <c r="P132" s="14">
        <f t="shared" si="15"/>
        <v>2.2131124425846306E-3</v>
      </c>
    </row>
    <row r="133" spans="1:16">
      <c r="A133">
        <f t="shared" si="16"/>
        <v>120</v>
      </c>
      <c r="C133" s="74">
        <v>19120114527</v>
      </c>
      <c r="D133" s="3" t="s">
        <v>5</v>
      </c>
      <c r="E133" s="74">
        <v>385400</v>
      </c>
      <c r="F133" s="75">
        <v>0.97298910223144786</v>
      </c>
      <c r="G133" s="78">
        <v>44852</v>
      </c>
      <c r="H133">
        <v>374990</v>
      </c>
      <c r="I133" s="84">
        <f t="shared" si="9"/>
        <v>-10410</v>
      </c>
      <c r="J133" s="85">
        <f t="shared" si="10"/>
        <v>108368100</v>
      </c>
      <c r="K133" s="84">
        <f t="shared" si="17"/>
        <v>365104.0721003135</v>
      </c>
      <c r="L133" s="84">
        <f t="shared" si="11"/>
        <v>9885.9278996865032</v>
      </c>
      <c r="M133" s="85">
        <f t="shared" si="12"/>
        <v>97731570.43779999</v>
      </c>
      <c r="N133" s="73">
        <f t="shared" si="13"/>
        <v>3.1470774311761929E-2</v>
      </c>
      <c r="O133" s="14">
        <f t="shared" si="14"/>
        <v>2.7473628670541261E-2</v>
      </c>
      <c r="P133" s="14">
        <f t="shared" si="15"/>
        <v>7.548002723267868E-4</v>
      </c>
    </row>
    <row r="134" spans="1:16">
      <c r="A134">
        <f t="shared" si="16"/>
        <v>121</v>
      </c>
      <c r="C134" s="71">
        <v>19120114528</v>
      </c>
      <c r="D134" s="3" t="s">
        <v>5</v>
      </c>
      <c r="E134" s="71">
        <v>378200</v>
      </c>
      <c r="F134" s="72">
        <v>1.0186805922792173</v>
      </c>
      <c r="G134" s="78">
        <v>44783</v>
      </c>
      <c r="H134">
        <v>385265</v>
      </c>
      <c r="I134" s="84">
        <f t="shared" si="9"/>
        <v>7065</v>
      </c>
      <c r="J134" s="85">
        <f t="shared" si="10"/>
        <v>49914225</v>
      </c>
      <c r="K134" s="84">
        <f t="shared" si="17"/>
        <v>365104.0721003135</v>
      </c>
      <c r="L134" s="84">
        <f t="shared" si="11"/>
        <v>20160.927899686503</v>
      </c>
      <c r="M134" s="85">
        <f t="shared" si="12"/>
        <v>406463013.77635765</v>
      </c>
      <c r="N134" s="73">
        <f t="shared" si="13"/>
        <v>1.4220715736007472E-2</v>
      </c>
      <c r="O134" s="14">
        <f t="shared" si="14"/>
        <v>-1.8217861377228139E-2</v>
      </c>
      <c r="P134" s="14">
        <f t="shared" si="15"/>
        <v>3.3189047315990074E-4</v>
      </c>
    </row>
    <row r="135" spans="1:16">
      <c r="A135">
        <f t="shared" si="16"/>
        <v>122</v>
      </c>
      <c r="C135" s="74">
        <v>19120114529</v>
      </c>
      <c r="D135" s="3" t="s">
        <v>5</v>
      </c>
      <c r="E135" s="74">
        <v>356300</v>
      </c>
      <c r="F135" s="75">
        <v>1.0146365422396857</v>
      </c>
      <c r="G135" s="78">
        <v>44770</v>
      </c>
      <c r="H135">
        <v>361515</v>
      </c>
      <c r="I135" s="84">
        <f t="shared" si="9"/>
        <v>5215</v>
      </c>
      <c r="J135" s="85">
        <f t="shared" si="10"/>
        <v>27196225</v>
      </c>
      <c r="K135" s="84">
        <f t="shared" si="17"/>
        <v>365104.0721003135</v>
      </c>
      <c r="L135" s="84">
        <f t="shared" si="11"/>
        <v>-3589.0721003134968</v>
      </c>
      <c r="M135" s="85">
        <f t="shared" si="12"/>
        <v>12881438.541248735</v>
      </c>
      <c r="N135" s="73">
        <f t="shared" si="13"/>
        <v>1.0176665696475906E-2</v>
      </c>
      <c r="O135" s="14">
        <f t="shared" si="14"/>
        <v>-1.4173811337696574E-2</v>
      </c>
      <c r="P135" s="14">
        <f t="shared" si="15"/>
        <v>2.0089692783661594E-4</v>
      </c>
    </row>
    <row r="136" spans="1:16">
      <c r="A136">
        <f t="shared" si="16"/>
        <v>123</v>
      </c>
      <c r="C136" s="71">
        <v>19120114530</v>
      </c>
      <c r="D136" s="3" t="s">
        <v>5</v>
      </c>
      <c r="E136" s="71">
        <v>491000</v>
      </c>
      <c r="F136" s="72">
        <v>0.93684317718940935</v>
      </c>
      <c r="G136" s="78">
        <v>44886</v>
      </c>
      <c r="H136">
        <v>459990</v>
      </c>
      <c r="I136" s="84">
        <f t="shared" si="9"/>
        <v>-31010</v>
      </c>
      <c r="J136" s="85">
        <f t="shared" si="10"/>
        <v>961620100</v>
      </c>
      <c r="K136" s="84">
        <f t="shared" si="17"/>
        <v>365104.0721003135</v>
      </c>
      <c r="L136" s="84">
        <f t="shared" si="11"/>
        <v>94885.927899686503</v>
      </c>
      <c r="M136" s="85">
        <f t="shared" si="12"/>
        <v>9003339313.3845062</v>
      </c>
      <c r="N136" s="73">
        <f t="shared" si="13"/>
        <v>6.7616699353800436E-2</v>
      </c>
      <c r="O136" s="14">
        <f t="shared" si="14"/>
        <v>6.3619553712579768E-2</v>
      </c>
      <c r="P136" s="14">
        <f t="shared" si="15"/>
        <v>4.0474476145878225E-3</v>
      </c>
    </row>
    <row r="137" spans="1:16">
      <c r="A137">
        <f t="shared" si="16"/>
        <v>124</v>
      </c>
      <c r="C137" s="74">
        <v>19120131428</v>
      </c>
      <c r="D137" s="3" t="s">
        <v>5</v>
      </c>
      <c r="E137" s="74">
        <v>244700</v>
      </c>
      <c r="F137" s="75">
        <v>1.0584389047813649</v>
      </c>
      <c r="G137" s="78">
        <v>44433</v>
      </c>
      <c r="H137">
        <v>259000</v>
      </c>
      <c r="I137" s="84">
        <f t="shared" si="9"/>
        <v>14300</v>
      </c>
      <c r="J137" s="85">
        <f t="shared" si="10"/>
        <v>204490000</v>
      </c>
      <c r="K137" s="84">
        <f t="shared" si="17"/>
        <v>365104.0721003135</v>
      </c>
      <c r="L137" s="84">
        <f t="shared" si="11"/>
        <v>-106104.0721003135</v>
      </c>
      <c r="M137" s="85">
        <f t="shared" si="12"/>
        <v>11258074116.268524</v>
      </c>
      <c r="N137" s="73">
        <f t="shared" si="13"/>
        <v>5.3979028238155147E-2</v>
      </c>
      <c r="O137" s="14">
        <f t="shared" si="14"/>
        <v>-5.7976173879375814E-2</v>
      </c>
      <c r="P137" s="14">
        <f t="shared" si="15"/>
        <v>3.3612367376916184E-3</v>
      </c>
    </row>
    <row r="138" spans="1:16">
      <c r="A138">
        <f t="shared" si="16"/>
        <v>125</v>
      </c>
      <c r="C138" s="71">
        <v>19120131468</v>
      </c>
      <c r="D138" s="3" t="s">
        <v>5</v>
      </c>
      <c r="E138" s="71">
        <v>246000</v>
      </c>
      <c r="F138" s="72">
        <v>0.99593495934959353</v>
      </c>
      <c r="G138" s="78">
        <v>44467</v>
      </c>
      <c r="H138">
        <v>245000</v>
      </c>
      <c r="I138" s="84">
        <f t="shared" si="9"/>
        <v>-1000</v>
      </c>
      <c r="J138" s="85">
        <f t="shared" si="10"/>
        <v>1000000</v>
      </c>
      <c r="K138" s="84">
        <f t="shared" si="17"/>
        <v>365104.0721003135</v>
      </c>
      <c r="L138" s="84">
        <f t="shared" si="11"/>
        <v>-120104.0721003135</v>
      </c>
      <c r="M138" s="85">
        <f t="shared" si="12"/>
        <v>14424988135.077303</v>
      </c>
      <c r="N138" s="73">
        <f t="shared" si="13"/>
        <v>8.5249171936162549E-3</v>
      </c>
      <c r="O138" s="14">
        <f t="shared" si="14"/>
        <v>4.5277715523955875E-3</v>
      </c>
      <c r="P138" s="14">
        <f t="shared" si="15"/>
        <v>2.0500715230682748E-5</v>
      </c>
    </row>
    <row r="139" spans="1:16">
      <c r="A139">
        <f t="shared" si="16"/>
        <v>126</v>
      </c>
      <c r="C139" s="74">
        <v>19120131471</v>
      </c>
      <c r="D139" s="3" t="s">
        <v>5</v>
      </c>
      <c r="E139" s="74">
        <v>283300</v>
      </c>
      <c r="F139" s="75">
        <v>1.0765972467349101</v>
      </c>
      <c r="G139" s="78">
        <v>44601</v>
      </c>
      <c r="H139">
        <v>305000</v>
      </c>
      <c r="I139" s="84">
        <f t="shared" si="9"/>
        <v>21700</v>
      </c>
      <c r="J139" s="85">
        <f t="shared" si="10"/>
        <v>470890000</v>
      </c>
      <c r="K139" s="84">
        <f t="shared" si="17"/>
        <v>365104.0721003135</v>
      </c>
      <c r="L139" s="84">
        <f t="shared" si="11"/>
        <v>-60104.072100313497</v>
      </c>
      <c r="M139" s="85">
        <f t="shared" si="12"/>
        <v>3612499483.0396833</v>
      </c>
      <c r="N139" s="73">
        <f t="shared" si="13"/>
        <v>7.2137370191700301E-2</v>
      </c>
      <c r="O139" s="14">
        <f t="shared" si="14"/>
        <v>-7.6134515832920968E-2</v>
      </c>
      <c r="P139" s="14">
        <f t="shared" si="15"/>
        <v>5.7964645011132935E-3</v>
      </c>
    </row>
    <row r="140" spans="1:16">
      <c r="A140">
        <f t="shared" si="16"/>
        <v>127</v>
      </c>
      <c r="C140" s="71">
        <v>19120131476</v>
      </c>
      <c r="D140" s="3" t="s">
        <v>5</v>
      </c>
      <c r="E140" s="71">
        <v>281600</v>
      </c>
      <c r="F140" s="72">
        <v>1.0014204545454546</v>
      </c>
      <c r="G140" s="78">
        <v>44491</v>
      </c>
      <c r="H140">
        <v>282000</v>
      </c>
      <c r="I140" s="84">
        <f t="shared" si="9"/>
        <v>400</v>
      </c>
      <c r="J140" s="85">
        <f t="shared" si="10"/>
        <v>160000</v>
      </c>
      <c r="K140" s="84">
        <f t="shared" si="17"/>
        <v>365104.0721003135</v>
      </c>
      <c r="L140" s="84">
        <f t="shared" si="11"/>
        <v>-83104.072100313497</v>
      </c>
      <c r="M140" s="85">
        <f t="shared" si="12"/>
        <v>6906286799.6541042</v>
      </c>
      <c r="N140" s="73">
        <f t="shared" si="13"/>
        <v>3.0394219977551984E-3</v>
      </c>
      <c r="O140" s="14">
        <f t="shared" si="14"/>
        <v>-9.5772364346546901E-4</v>
      </c>
      <c r="P140" s="14">
        <f t="shared" si="15"/>
        <v>9.1723457725277278E-7</v>
      </c>
    </row>
    <row r="141" spans="1:16">
      <c r="A141">
        <f t="shared" si="16"/>
        <v>128</v>
      </c>
      <c r="C141" s="74">
        <v>19120131490</v>
      </c>
      <c r="D141" s="3" t="s">
        <v>5</v>
      </c>
      <c r="E141" s="74">
        <v>291900</v>
      </c>
      <c r="F141" s="75">
        <v>0.92497430626927035</v>
      </c>
      <c r="G141" s="78">
        <v>44972</v>
      </c>
      <c r="H141">
        <v>270000</v>
      </c>
      <c r="I141" s="84">
        <f t="shared" si="9"/>
        <v>-21900</v>
      </c>
      <c r="J141" s="85">
        <f t="shared" si="10"/>
        <v>479610000</v>
      </c>
      <c r="K141" s="84">
        <f t="shared" si="17"/>
        <v>365104.0721003135</v>
      </c>
      <c r="L141" s="84">
        <f t="shared" si="11"/>
        <v>-95104.072100313497</v>
      </c>
      <c r="M141" s="85">
        <f t="shared" si="12"/>
        <v>9044784530.0616283</v>
      </c>
      <c r="N141" s="73">
        <f t="shared" si="13"/>
        <v>7.9485570273939432E-2</v>
      </c>
      <c r="O141" s="14">
        <f t="shared" si="14"/>
        <v>7.5488424632718765E-2</v>
      </c>
      <c r="P141" s="14">
        <f t="shared" si="15"/>
        <v>5.6985022535296611E-3</v>
      </c>
    </row>
    <row r="142" spans="1:16">
      <c r="A142">
        <f t="shared" si="16"/>
        <v>129</v>
      </c>
      <c r="C142" s="71">
        <v>19120131532</v>
      </c>
      <c r="D142" s="3" t="s">
        <v>5</v>
      </c>
      <c r="E142" s="71">
        <v>305500</v>
      </c>
      <c r="F142" s="72">
        <v>1.0474631751227497</v>
      </c>
      <c r="G142" s="78">
        <v>44441</v>
      </c>
      <c r="H142">
        <v>320000</v>
      </c>
      <c r="I142" s="84">
        <f t="shared" ref="I142:I205" si="18">+H142-E142</f>
        <v>14500</v>
      </c>
      <c r="J142" s="85">
        <f t="shared" si="10"/>
        <v>210250000</v>
      </c>
      <c r="K142" s="84">
        <f t="shared" si="17"/>
        <v>365104.0721003135</v>
      </c>
      <c r="L142" s="84">
        <f t="shared" si="11"/>
        <v>-45104.072100313497</v>
      </c>
      <c r="M142" s="85">
        <f t="shared" si="12"/>
        <v>2034377320.0302784</v>
      </c>
      <c r="N142" s="73">
        <f t="shared" si="13"/>
        <v>4.3003298579539884E-2</v>
      </c>
      <c r="O142" s="14">
        <f t="shared" si="14"/>
        <v>-4.7000444220760551E-2</v>
      </c>
      <c r="P142" s="14">
        <f t="shared" si="15"/>
        <v>2.2090417569488241E-3</v>
      </c>
    </row>
    <row r="143" spans="1:16">
      <c r="A143">
        <f t="shared" si="16"/>
        <v>130</v>
      </c>
      <c r="C143" s="74">
        <v>19120131542</v>
      </c>
      <c r="D143" s="3" t="s">
        <v>5</v>
      </c>
      <c r="E143" s="74">
        <v>257900</v>
      </c>
      <c r="F143" s="75">
        <v>0.91120589375727024</v>
      </c>
      <c r="G143" s="78">
        <v>44712</v>
      </c>
      <c r="H143">
        <v>235000</v>
      </c>
      <c r="I143" s="84">
        <f t="shared" si="18"/>
        <v>-22900</v>
      </c>
      <c r="J143" s="85">
        <f t="shared" ref="J143:J206" si="19">+I143^2</f>
        <v>524410000</v>
      </c>
      <c r="K143" s="84">
        <f t="shared" si="17"/>
        <v>365104.0721003135</v>
      </c>
      <c r="L143" s="84">
        <f t="shared" ref="L143:L206" si="20">+H143-K143</f>
        <v>-130104.0721003135</v>
      </c>
      <c r="M143" s="85">
        <f t="shared" ref="M143:M206" si="21">+L143^2</f>
        <v>16927069577.083572</v>
      </c>
      <c r="N143" s="73">
        <f t="shared" ref="N143:N206" si="22">ABS(+$F$2-F143)</f>
        <v>9.3253982785939549E-2</v>
      </c>
      <c r="O143" s="14">
        <f t="shared" ref="O143:O206" si="23">+$F$3-F143</f>
        <v>8.9256837144718881E-2</v>
      </c>
      <c r="P143" s="14">
        <f t="shared" ref="P143:P206" si="24">+O143*O143</f>
        <v>7.9667829770788678E-3</v>
      </c>
    </row>
    <row r="144" spans="1:16">
      <c r="A144">
        <f t="shared" ref="A144:A207" si="25">+A143+1</f>
        <v>131</v>
      </c>
      <c r="C144" s="71">
        <v>19120134412</v>
      </c>
      <c r="D144" s="3" t="s">
        <v>5</v>
      </c>
      <c r="E144" s="71">
        <v>256200</v>
      </c>
      <c r="F144" s="72">
        <v>0.89773614363778298</v>
      </c>
      <c r="G144" s="78">
        <v>44539</v>
      </c>
      <c r="H144">
        <v>230000</v>
      </c>
      <c r="I144" s="84">
        <f t="shared" si="18"/>
        <v>-26200</v>
      </c>
      <c r="J144" s="85">
        <f t="shared" si="19"/>
        <v>686440000</v>
      </c>
      <c r="K144" s="84">
        <f t="shared" ref="K144:K207" si="26">AVERAGE($H$14:$H$1600)</f>
        <v>365104.0721003135</v>
      </c>
      <c r="L144" s="84">
        <f t="shared" si="20"/>
        <v>-135104.0721003135</v>
      </c>
      <c r="M144" s="85">
        <f t="shared" si="21"/>
        <v>18253110298.086708</v>
      </c>
      <c r="N144" s="73">
        <f t="shared" si="22"/>
        <v>0.1067237329054268</v>
      </c>
      <c r="O144" s="14">
        <f t="shared" si="23"/>
        <v>0.10272658726420614</v>
      </c>
      <c r="P144" s="14">
        <f t="shared" si="24"/>
        <v>1.0552751730950558E-2</v>
      </c>
    </row>
    <row r="145" spans="1:16">
      <c r="A145">
        <f t="shared" si="25"/>
        <v>132</v>
      </c>
      <c r="C145" s="74">
        <v>19120134415</v>
      </c>
      <c r="D145" s="3" t="s">
        <v>5</v>
      </c>
      <c r="E145" s="74">
        <v>361900</v>
      </c>
      <c r="F145" s="75">
        <v>0.8842221608179055</v>
      </c>
      <c r="G145" s="78">
        <v>44930</v>
      </c>
      <c r="H145">
        <v>320000</v>
      </c>
      <c r="I145" s="84">
        <f t="shared" si="18"/>
        <v>-41900</v>
      </c>
      <c r="J145" s="85">
        <f t="shared" si="19"/>
        <v>1755610000</v>
      </c>
      <c r="K145" s="84">
        <f t="shared" si="26"/>
        <v>365104.0721003135</v>
      </c>
      <c r="L145" s="84">
        <f t="shared" si="20"/>
        <v>-45104.072100313497</v>
      </c>
      <c r="M145" s="85">
        <f t="shared" si="21"/>
        <v>2034377320.0302784</v>
      </c>
      <c r="N145" s="73">
        <f t="shared" si="22"/>
        <v>0.12023771572530428</v>
      </c>
      <c r="O145" s="14">
        <f t="shared" si="23"/>
        <v>0.11624057008408362</v>
      </c>
      <c r="P145" s="14">
        <f t="shared" si="24"/>
        <v>1.3511870133472754E-2</v>
      </c>
    </row>
    <row r="146" spans="1:16">
      <c r="A146">
        <f t="shared" si="25"/>
        <v>133</v>
      </c>
      <c r="C146" s="71">
        <v>19120134425</v>
      </c>
      <c r="D146" s="3" t="s">
        <v>5</v>
      </c>
      <c r="E146" s="71">
        <v>282500</v>
      </c>
      <c r="F146" s="72">
        <v>1.0619469026548674</v>
      </c>
      <c r="G146" s="78">
        <v>44545</v>
      </c>
      <c r="H146">
        <v>300000</v>
      </c>
      <c r="I146" s="84">
        <f t="shared" si="18"/>
        <v>17500</v>
      </c>
      <c r="J146" s="85">
        <f t="shared" si="19"/>
        <v>306250000</v>
      </c>
      <c r="K146" s="84">
        <f t="shared" si="26"/>
        <v>365104.0721003135</v>
      </c>
      <c r="L146" s="84">
        <f t="shared" si="20"/>
        <v>-65104.072100313497</v>
      </c>
      <c r="M146" s="85">
        <f t="shared" si="21"/>
        <v>4238540204.0428181</v>
      </c>
      <c r="N146" s="73">
        <f t="shared" si="22"/>
        <v>5.7487026111657569E-2</v>
      </c>
      <c r="O146" s="14">
        <f t="shared" si="23"/>
        <v>-6.1484171752878236E-2</v>
      </c>
      <c r="P146" s="14">
        <f t="shared" si="24"/>
        <v>3.7803033761374298E-3</v>
      </c>
    </row>
    <row r="147" spans="1:16">
      <c r="A147">
        <f t="shared" si="25"/>
        <v>134</v>
      </c>
      <c r="C147" s="74">
        <v>19120134425</v>
      </c>
      <c r="D147" s="3" t="s">
        <v>5</v>
      </c>
      <c r="E147" s="74">
        <v>266900</v>
      </c>
      <c r="F147" s="75">
        <v>1.0865492693892844</v>
      </c>
      <c r="G147" s="78">
        <v>44477</v>
      </c>
      <c r="H147">
        <v>290000</v>
      </c>
      <c r="I147" s="84">
        <f t="shared" si="18"/>
        <v>23100</v>
      </c>
      <c r="J147" s="85">
        <f t="shared" si="19"/>
        <v>533610000</v>
      </c>
      <c r="K147" s="84">
        <f t="shared" si="26"/>
        <v>365104.0721003135</v>
      </c>
      <c r="L147" s="84">
        <f t="shared" si="20"/>
        <v>-75104.072100313497</v>
      </c>
      <c r="M147" s="85">
        <f t="shared" si="21"/>
        <v>5640621646.0490885</v>
      </c>
      <c r="N147" s="73">
        <f t="shared" si="22"/>
        <v>8.2089392846074638E-2</v>
      </c>
      <c r="O147" s="14">
        <f t="shared" si="23"/>
        <v>-8.6086538487295305E-2</v>
      </c>
      <c r="P147" s="14">
        <f t="shared" si="24"/>
        <v>7.4108921087245759E-3</v>
      </c>
    </row>
    <row r="148" spans="1:16">
      <c r="A148">
        <f t="shared" si="25"/>
        <v>135</v>
      </c>
      <c r="C148" s="71">
        <v>19120134439</v>
      </c>
      <c r="D148" s="3" t="s">
        <v>5</v>
      </c>
      <c r="E148" s="71">
        <v>371200</v>
      </c>
      <c r="F148" s="72">
        <v>0.96982758620689657</v>
      </c>
      <c r="G148" s="78">
        <v>44643</v>
      </c>
      <c r="H148">
        <v>360000</v>
      </c>
      <c r="I148" s="84">
        <f t="shared" si="18"/>
        <v>-11200</v>
      </c>
      <c r="J148" s="85">
        <f t="shared" si="19"/>
        <v>125440000</v>
      </c>
      <c r="K148" s="84">
        <f t="shared" si="26"/>
        <v>365104.0721003135</v>
      </c>
      <c r="L148" s="84">
        <f t="shared" si="20"/>
        <v>-5104.0721003134968</v>
      </c>
      <c r="M148" s="85">
        <f t="shared" si="21"/>
        <v>26051552.005198631</v>
      </c>
      <c r="N148" s="73">
        <f t="shared" si="22"/>
        <v>3.463229033631321E-2</v>
      </c>
      <c r="O148" s="14">
        <f t="shared" si="23"/>
        <v>3.0635144695092542E-2</v>
      </c>
      <c r="P148" s="14">
        <f t="shared" si="24"/>
        <v>9.3851209048925667E-4</v>
      </c>
    </row>
    <row r="149" spans="1:16">
      <c r="A149">
        <f t="shared" si="25"/>
        <v>136</v>
      </c>
      <c r="C149" s="74">
        <v>19120134442</v>
      </c>
      <c r="D149" s="3" t="s">
        <v>5</v>
      </c>
      <c r="E149" s="74">
        <v>310100</v>
      </c>
      <c r="F149" s="75">
        <v>1.0158013544018059</v>
      </c>
      <c r="G149" s="78">
        <v>44330</v>
      </c>
      <c r="H149">
        <v>315000</v>
      </c>
      <c r="I149" s="84">
        <f t="shared" si="18"/>
        <v>4900</v>
      </c>
      <c r="J149" s="85">
        <f t="shared" si="19"/>
        <v>24010000</v>
      </c>
      <c r="K149" s="84">
        <f t="shared" si="26"/>
        <v>365104.0721003135</v>
      </c>
      <c r="L149" s="84">
        <f t="shared" si="20"/>
        <v>-50104.072100313497</v>
      </c>
      <c r="M149" s="85">
        <f t="shared" si="21"/>
        <v>2510418041.0334134</v>
      </c>
      <c r="N149" s="73">
        <f t="shared" si="22"/>
        <v>1.1341477858596072E-2</v>
      </c>
      <c r="O149" s="14">
        <f t="shared" si="23"/>
        <v>-1.5338623499816739E-2</v>
      </c>
      <c r="P149" s="14">
        <f t="shared" si="24"/>
        <v>2.3527337086913031E-4</v>
      </c>
    </row>
    <row r="150" spans="1:16">
      <c r="A150">
        <f t="shared" si="25"/>
        <v>137</v>
      </c>
      <c r="C150" s="71">
        <v>19120141009</v>
      </c>
      <c r="D150" s="3" t="s">
        <v>5</v>
      </c>
      <c r="E150" s="71">
        <v>396800</v>
      </c>
      <c r="F150" s="72">
        <v>0.97026209677419351</v>
      </c>
      <c r="G150" s="78">
        <v>44879</v>
      </c>
      <c r="H150">
        <v>385000</v>
      </c>
      <c r="I150" s="84">
        <f t="shared" si="18"/>
        <v>-11800</v>
      </c>
      <c r="J150" s="85">
        <f t="shared" si="19"/>
        <v>139240000</v>
      </c>
      <c r="K150" s="84">
        <f t="shared" si="26"/>
        <v>365104.0721003135</v>
      </c>
      <c r="L150" s="84">
        <f t="shared" si="20"/>
        <v>19895.927899686503</v>
      </c>
      <c r="M150" s="85">
        <f t="shared" si="21"/>
        <v>395847946.98952377</v>
      </c>
      <c r="N150" s="73">
        <f t="shared" si="22"/>
        <v>3.4197779769016279E-2</v>
      </c>
      <c r="O150" s="14">
        <f t="shared" si="23"/>
        <v>3.0200634127795611E-2</v>
      </c>
      <c r="P150" s="14">
        <f t="shared" si="24"/>
        <v>9.1207830172097294E-4</v>
      </c>
    </row>
    <row r="151" spans="1:16">
      <c r="A151">
        <f t="shared" si="25"/>
        <v>138</v>
      </c>
      <c r="C151" s="74">
        <v>19120141402</v>
      </c>
      <c r="D151" s="3" t="s">
        <v>5</v>
      </c>
      <c r="E151" s="74">
        <v>412400</v>
      </c>
      <c r="F151" s="75">
        <v>0.93355965082444226</v>
      </c>
      <c r="G151" s="78">
        <v>44694</v>
      </c>
      <c r="H151">
        <v>385000</v>
      </c>
      <c r="I151" s="84">
        <f t="shared" si="18"/>
        <v>-27400</v>
      </c>
      <c r="J151" s="85">
        <f t="shared" si="19"/>
        <v>750760000</v>
      </c>
      <c r="K151" s="84">
        <f t="shared" si="26"/>
        <v>365104.0721003135</v>
      </c>
      <c r="L151" s="84">
        <f t="shared" si="20"/>
        <v>19895.927899686503</v>
      </c>
      <c r="M151" s="85">
        <f t="shared" si="21"/>
        <v>395847946.98952377</v>
      </c>
      <c r="N151" s="73">
        <f t="shared" si="22"/>
        <v>7.0900225718767529E-2</v>
      </c>
      <c r="O151" s="14">
        <f t="shared" si="23"/>
        <v>6.6903080077546861E-2</v>
      </c>
      <c r="P151" s="14">
        <f t="shared" si="24"/>
        <v>4.4760221238626481E-3</v>
      </c>
    </row>
    <row r="152" spans="1:16">
      <c r="A152">
        <f t="shared" si="25"/>
        <v>139</v>
      </c>
      <c r="C152" s="71">
        <v>19120141410</v>
      </c>
      <c r="D152" s="3" t="s">
        <v>5</v>
      </c>
      <c r="E152" s="71">
        <v>271600</v>
      </c>
      <c r="F152" s="72">
        <v>1.1229749631811488</v>
      </c>
      <c r="G152" s="78">
        <v>44372</v>
      </c>
      <c r="H152">
        <v>305000</v>
      </c>
      <c r="I152" s="84">
        <f t="shared" si="18"/>
        <v>33400</v>
      </c>
      <c r="J152" s="85">
        <f t="shared" si="19"/>
        <v>1115560000</v>
      </c>
      <c r="K152" s="84">
        <f t="shared" si="26"/>
        <v>365104.0721003135</v>
      </c>
      <c r="L152" s="84">
        <f t="shared" si="20"/>
        <v>-60104.072100313497</v>
      </c>
      <c r="M152" s="85">
        <f t="shared" si="21"/>
        <v>3612499483.0396833</v>
      </c>
      <c r="N152" s="73">
        <f t="shared" si="22"/>
        <v>0.11851508663793897</v>
      </c>
      <c r="O152" s="14">
        <f t="shared" si="23"/>
        <v>-0.12251223227915964</v>
      </c>
      <c r="P152" s="14">
        <f t="shared" si="24"/>
        <v>1.5009247058022765E-2</v>
      </c>
    </row>
    <row r="153" spans="1:16">
      <c r="A153">
        <f t="shared" si="25"/>
        <v>140</v>
      </c>
      <c r="C153" s="74">
        <v>19120141412</v>
      </c>
      <c r="D153" s="3" t="s">
        <v>5</v>
      </c>
      <c r="E153" s="74">
        <v>335800</v>
      </c>
      <c r="F153" s="75">
        <v>1.0273972602739727</v>
      </c>
      <c r="G153" s="78">
        <v>44455</v>
      </c>
      <c r="H153">
        <v>345000</v>
      </c>
      <c r="I153" s="84">
        <f t="shared" si="18"/>
        <v>9200</v>
      </c>
      <c r="J153" s="85">
        <f t="shared" si="19"/>
        <v>84640000</v>
      </c>
      <c r="K153" s="84">
        <f t="shared" si="26"/>
        <v>365104.0721003135</v>
      </c>
      <c r="L153" s="84">
        <f t="shared" si="20"/>
        <v>-20104.072100313497</v>
      </c>
      <c r="M153" s="85">
        <f t="shared" si="21"/>
        <v>404173715.01460356</v>
      </c>
      <c r="N153" s="73">
        <f t="shared" si="22"/>
        <v>2.2937383730762928E-2</v>
      </c>
      <c r="O153" s="14">
        <f t="shared" si="23"/>
        <v>-2.6934529371983595E-2</v>
      </c>
      <c r="P153" s="14">
        <f t="shared" si="24"/>
        <v>7.2546887249024699E-4</v>
      </c>
    </row>
    <row r="154" spans="1:16">
      <c r="A154">
        <f t="shared" si="25"/>
        <v>141</v>
      </c>
      <c r="C154" s="71">
        <v>19120141421</v>
      </c>
      <c r="D154" s="3" t="s">
        <v>5</v>
      </c>
      <c r="E154" s="71">
        <v>396800</v>
      </c>
      <c r="F154" s="72">
        <v>1.0080645161290323</v>
      </c>
      <c r="G154" s="78">
        <v>44533</v>
      </c>
      <c r="H154">
        <v>400000</v>
      </c>
      <c r="I154" s="84">
        <f t="shared" si="18"/>
        <v>3200</v>
      </c>
      <c r="J154" s="85">
        <f t="shared" si="19"/>
        <v>10240000</v>
      </c>
      <c r="K154" s="84">
        <f t="shared" si="26"/>
        <v>365104.0721003135</v>
      </c>
      <c r="L154" s="84">
        <f t="shared" si="20"/>
        <v>34895.927899686503</v>
      </c>
      <c r="M154" s="85">
        <f t="shared" si="21"/>
        <v>1217725783.980119</v>
      </c>
      <c r="N154" s="73">
        <f t="shared" si="22"/>
        <v>3.6046395858224667E-3</v>
      </c>
      <c r="O154" s="14">
        <f t="shared" si="23"/>
        <v>-7.6017852270431341E-3</v>
      </c>
      <c r="P154" s="14">
        <f t="shared" si="24"/>
        <v>5.7787138638091236E-5</v>
      </c>
    </row>
    <row r="155" spans="1:16">
      <c r="A155">
        <f t="shared" si="25"/>
        <v>142</v>
      </c>
      <c r="C155" s="74">
        <v>19120141427</v>
      </c>
      <c r="D155" s="3" t="s">
        <v>5</v>
      </c>
      <c r="E155" s="74">
        <v>304900</v>
      </c>
      <c r="F155" s="75">
        <v>0.91833387996064286</v>
      </c>
      <c r="G155" s="78">
        <v>44581</v>
      </c>
      <c r="H155">
        <v>280000</v>
      </c>
      <c r="I155" s="84">
        <f t="shared" si="18"/>
        <v>-24900</v>
      </c>
      <c r="J155" s="85">
        <f t="shared" si="19"/>
        <v>620010000</v>
      </c>
      <c r="K155" s="84">
        <f t="shared" si="26"/>
        <v>365104.0721003135</v>
      </c>
      <c r="L155" s="84">
        <f t="shared" si="20"/>
        <v>-85104.072100313497</v>
      </c>
      <c r="M155" s="85">
        <f t="shared" si="21"/>
        <v>7242703088.0553579</v>
      </c>
      <c r="N155" s="73">
        <f t="shared" si="22"/>
        <v>8.6125996582566922E-2</v>
      </c>
      <c r="O155" s="14">
        <f t="shared" si="23"/>
        <v>8.2128850941346254E-2</v>
      </c>
      <c r="P155" s="14">
        <f t="shared" si="24"/>
        <v>6.7451481569458715E-3</v>
      </c>
    </row>
    <row r="156" spans="1:16">
      <c r="A156">
        <f t="shared" si="25"/>
        <v>143</v>
      </c>
      <c r="C156" s="71">
        <v>19120141441</v>
      </c>
      <c r="D156" s="3" t="s">
        <v>5</v>
      </c>
      <c r="E156" s="71">
        <v>364000</v>
      </c>
      <c r="F156" s="72">
        <v>1.043956043956044</v>
      </c>
      <c r="G156" s="78">
        <v>44369</v>
      </c>
      <c r="H156">
        <v>380000</v>
      </c>
      <c r="I156" s="84">
        <f t="shared" si="18"/>
        <v>16000</v>
      </c>
      <c r="J156" s="85">
        <f t="shared" si="19"/>
        <v>256000000</v>
      </c>
      <c r="K156" s="84">
        <f t="shared" si="26"/>
        <v>365104.0721003135</v>
      </c>
      <c r="L156" s="84">
        <f t="shared" si="20"/>
        <v>14895.927899686503</v>
      </c>
      <c r="M156" s="85">
        <f t="shared" si="21"/>
        <v>221888667.99265876</v>
      </c>
      <c r="N156" s="73">
        <f t="shared" si="22"/>
        <v>3.9496167412834238E-2</v>
      </c>
      <c r="O156" s="14">
        <f t="shared" si="23"/>
        <v>-4.3493313054054905E-2</v>
      </c>
      <c r="P156" s="14">
        <f t="shared" si="24"/>
        <v>1.8916682804180228E-3</v>
      </c>
    </row>
    <row r="157" spans="1:16">
      <c r="A157">
        <f t="shared" si="25"/>
        <v>144</v>
      </c>
      <c r="C157" s="74">
        <v>19120141447</v>
      </c>
      <c r="D157" s="3" t="s">
        <v>5</v>
      </c>
      <c r="E157" s="74">
        <v>279400</v>
      </c>
      <c r="F157" s="75">
        <v>1.0379384395132427</v>
      </c>
      <c r="G157" s="78">
        <v>44277</v>
      </c>
      <c r="H157">
        <v>290000</v>
      </c>
      <c r="I157" s="84">
        <f t="shared" si="18"/>
        <v>10600</v>
      </c>
      <c r="J157" s="85">
        <f t="shared" si="19"/>
        <v>112360000</v>
      </c>
      <c r="K157" s="84">
        <f t="shared" si="26"/>
        <v>365104.0721003135</v>
      </c>
      <c r="L157" s="84">
        <f t="shared" si="20"/>
        <v>-75104.072100313497</v>
      </c>
      <c r="M157" s="85">
        <f t="shared" si="21"/>
        <v>5640621646.0490885</v>
      </c>
      <c r="N157" s="73">
        <f t="shared" si="22"/>
        <v>3.3478562970032932E-2</v>
      </c>
      <c r="O157" s="14">
        <f t="shared" si="23"/>
        <v>-3.74757086112536E-2</v>
      </c>
      <c r="P157" s="14">
        <f t="shared" si="24"/>
        <v>1.4044287359155872E-3</v>
      </c>
    </row>
    <row r="158" spans="1:16">
      <c r="A158">
        <f t="shared" si="25"/>
        <v>145</v>
      </c>
      <c r="C158" s="71">
        <v>19120141449</v>
      </c>
      <c r="D158" s="3" t="s">
        <v>5</v>
      </c>
      <c r="E158" s="71">
        <v>397500</v>
      </c>
      <c r="F158" s="72">
        <v>1.0238993710691824</v>
      </c>
      <c r="G158" s="78">
        <v>45050</v>
      </c>
      <c r="H158">
        <v>407000</v>
      </c>
      <c r="I158" s="84">
        <f t="shared" si="18"/>
        <v>9500</v>
      </c>
      <c r="J158" s="85">
        <f t="shared" si="19"/>
        <v>90250000</v>
      </c>
      <c r="K158" s="84">
        <f t="shared" si="26"/>
        <v>365104.0721003135</v>
      </c>
      <c r="L158" s="84">
        <f t="shared" si="20"/>
        <v>41895.927899686503</v>
      </c>
      <c r="M158" s="85">
        <f t="shared" si="21"/>
        <v>1755268774.5757298</v>
      </c>
      <c r="N158" s="73">
        <f t="shared" si="22"/>
        <v>1.94394945259726E-2</v>
      </c>
      <c r="O158" s="14">
        <f t="shared" si="23"/>
        <v>-2.3436640167193268E-2</v>
      </c>
      <c r="P158" s="14">
        <f t="shared" si="24"/>
        <v>5.492761023264969E-4</v>
      </c>
    </row>
    <row r="159" spans="1:16">
      <c r="A159">
        <f t="shared" si="25"/>
        <v>146</v>
      </c>
      <c r="C159" s="74">
        <v>19120141468</v>
      </c>
      <c r="D159" s="3" t="s">
        <v>5</v>
      </c>
      <c r="E159" s="74">
        <v>319800</v>
      </c>
      <c r="F159" s="75">
        <v>0.98499061913696062</v>
      </c>
      <c r="G159" s="78">
        <v>44201</v>
      </c>
      <c r="H159">
        <v>315000</v>
      </c>
      <c r="I159" s="84">
        <f t="shared" si="18"/>
        <v>-4800</v>
      </c>
      <c r="J159" s="85">
        <f t="shared" si="19"/>
        <v>23040000</v>
      </c>
      <c r="K159" s="84">
        <f t="shared" si="26"/>
        <v>365104.0721003135</v>
      </c>
      <c r="L159" s="84">
        <f t="shared" si="20"/>
        <v>-50104.072100313497</v>
      </c>
      <c r="M159" s="85">
        <f t="shared" si="21"/>
        <v>2510418041.0334134</v>
      </c>
      <c r="N159" s="73">
        <f t="shared" si="22"/>
        <v>1.9469257406249163E-2</v>
      </c>
      <c r="O159" s="14">
        <f t="shared" si="23"/>
        <v>1.5472111765028496E-2</v>
      </c>
      <c r="P159" s="14">
        <f t="shared" si="24"/>
        <v>2.3938624246953318E-4</v>
      </c>
    </row>
    <row r="160" spans="1:16">
      <c r="A160">
        <f t="shared" si="25"/>
        <v>147</v>
      </c>
      <c r="C160" s="71">
        <v>19120141478</v>
      </c>
      <c r="D160" s="3" t="s">
        <v>5</v>
      </c>
      <c r="E160" s="71">
        <v>416500</v>
      </c>
      <c r="F160" s="72">
        <v>0.96014405762304922</v>
      </c>
      <c r="G160" s="78">
        <v>45166</v>
      </c>
      <c r="H160">
        <v>399900</v>
      </c>
      <c r="I160" s="84">
        <f t="shared" si="18"/>
        <v>-16600</v>
      </c>
      <c r="J160" s="85">
        <f t="shared" si="19"/>
        <v>275560000</v>
      </c>
      <c r="K160" s="84">
        <f t="shared" si="26"/>
        <v>365104.0721003135</v>
      </c>
      <c r="L160" s="84">
        <f t="shared" si="20"/>
        <v>34795.927899686503</v>
      </c>
      <c r="M160" s="85">
        <f t="shared" si="21"/>
        <v>1210756598.4001815</v>
      </c>
      <c r="N160" s="73">
        <f t="shared" si="22"/>
        <v>4.4315818920160566E-2</v>
      </c>
      <c r="O160" s="14">
        <f t="shared" si="23"/>
        <v>4.0318673278939898E-2</v>
      </c>
      <c r="P160" s="14">
        <f t="shared" si="24"/>
        <v>1.6255954149739021E-3</v>
      </c>
    </row>
    <row r="161" spans="1:16">
      <c r="A161">
        <f t="shared" si="25"/>
        <v>148</v>
      </c>
      <c r="C161" s="74">
        <v>19120141480</v>
      </c>
      <c r="D161" s="3" t="s">
        <v>5</v>
      </c>
      <c r="E161" s="74">
        <v>433900</v>
      </c>
      <c r="F161" s="75">
        <v>0.97026964738418986</v>
      </c>
      <c r="G161" s="78">
        <v>45033</v>
      </c>
      <c r="H161">
        <v>421000</v>
      </c>
      <c r="I161" s="84">
        <f t="shared" si="18"/>
        <v>-12900</v>
      </c>
      <c r="J161" s="85">
        <f t="shared" si="19"/>
        <v>166410000</v>
      </c>
      <c r="K161" s="84">
        <f t="shared" si="26"/>
        <v>365104.0721003135</v>
      </c>
      <c r="L161" s="84">
        <f t="shared" si="20"/>
        <v>55895.927899686503</v>
      </c>
      <c r="M161" s="85">
        <f t="shared" si="21"/>
        <v>3124354755.766952</v>
      </c>
      <c r="N161" s="73">
        <f t="shared" si="22"/>
        <v>3.4190229159019925E-2</v>
      </c>
      <c r="O161" s="14">
        <f t="shared" si="23"/>
        <v>3.0193083517799257E-2</v>
      </c>
      <c r="P161" s="14">
        <f t="shared" si="24"/>
        <v>9.116222923128012E-4</v>
      </c>
    </row>
    <row r="162" spans="1:16">
      <c r="A162">
        <f t="shared" si="25"/>
        <v>149</v>
      </c>
      <c r="C162" s="71">
        <v>19120141480</v>
      </c>
      <c r="D162" s="3" t="s">
        <v>5</v>
      </c>
      <c r="E162" s="71">
        <v>419100</v>
      </c>
      <c r="F162" s="72">
        <v>0.9985683607730852</v>
      </c>
      <c r="G162" s="78">
        <v>44756</v>
      </c>
      <c r="H162">
        <v>418500</v>
      </c>
      <c r="I162" s="84">
        <f t="shared" si="18"/>
        <v>-600</v>
      </c>
      <c r="J162" s="85">
        <f t="shared" si="19"/>
        <v>360000</v>
      </c>
      <c r="K162" s="84">
        <f t="shared" si="26"/>
        <v>365104.0721003135</v>
      </c>
      <c r="L162" s="84">
        <f t="shared" si="20"/>
        <v>53395.927899686503</v>
      </c>
      <c r="M162" s="85">
        <f t="shared" si="21"/>
        <v>2851125116.2685194</v>
      </c>
      <c r="N162" s="73">
        <f t="shared" si="22"/>
        <v>5.891515770124589E-3</v>
      </c>
      <c r="O162" s="14">
        <f t="shared" si="23"/>
        <v>1.8943701289039216E-3</v>
      </c>
      <c r="P162" s="14">
        <f t="shared" si="24"/>
        <v>3.5886381852834606E-6</v>
      </c>
    </row>
    <row r="163" spans="1:16">
      <c r="A163">
        <f t="shared" si="25"/>
        <v>150</v>
      </c>
      <c r="C163" s="74">
        <v>19120141488</v>
      </c>
      <c r="D163" s="3" t="s">
        <v>5</v>
      </c>
      <c r="E163" s="74">
        <v>263500</v>
      </c>
      <c r="F163" s="75">
        <v>0.98671726755218214</v>
      </c>
      <c r="G163" s="78">
        <v>44300</v>
      </c>
      <c r="H163">
        <v>260000</v>
      </c>
      <c r="I163" s="84">
        <f t="shared" si="18"/>
        <v>-3500</v>
      </c>
      <c r="J163" s="85">
        <f t="shared" si="19"/>
        <v>12250000</v>
      </c>
      <c r="K163" s="84">
        <f t="shared" si="26"/>
        <v>365104.0721003135</v>
      </c>
      <c r="L163" s="84">
        <f t="shared" si="20"/>
        <v>-105104.0721003135</v>
      </c>
      <c r="M163" s="85">
        <f t="shared" si="21"/>
        <v>11046865972.067898</v>
      </c>
      <c r="N163" s="73">
        <f t="shared" si="22"/>
        <v>1.7742608991027642E-2</v>
      </c>
      <c r="O163" s="14">
        <f t="shared" si="23"/>
        <v>1.3745463349806974E-2</v>
      </c>
      <c r="P163" s="14">
        <f t="shared" si="24"/>
        <v>1.8893776270088677E-4</v>
      </c>
    </row>
    <row r="164" spans="1:16">
      <c r="A164">
        <f t="shared" si="25"/>
        <v>151</v>
      </c>
      <c r="C164" s="71">
        <v>19120141490</v>
      </c>
      <c r="D164" s="3" t="s">
        <v>5</v>
      </c>
      <c r="E164" s="71">
        <v>420500</v>
      </c>
      <c r="F164" s="72">
        <v>0.98692033293697978</v>
      </c>
      <c r="G164" s="78">
        <v>44791</v>
      </c>
      <c r="H164">
        <v>415000</v>
      </c>
      <c r="I164" s="84">
        <f t="shared" si="18"/>
        <v>-5500</v>
      </c>
      <c r="J164" s="85">
        <f t="shared" si="19"/>
        <v>30250000</v>
      </c>
      <c r="K164" s="84">
        <f t="shared" si="26"/>
        <v>365104.0721003135</v>
      </c>
      <c r="L164" s="84">
        <f t="shared" si="20"/>
        <v>49895.927899686503</v>
      </c>
      <c r="M164" s="85">
        <f t="shared" si="21"/>
        <v>2489603620.9707141</v>
      </c>
      <c r="N164" s="73">
        <f t="shared" si="22"/>
        <v>1.7539543606230001E-2</v>
      </c>
      <c r="O164" s="14">
        <f t="shared" si="23"/>
        <v>1.3542397965009334E-2</v>
      </c>
      <c r="P164" s="14">
        <f t="shared" si="24"/>
        <v>1.8339654264268895E-4</v>
      </c>
    </row>
    <row r="165" spans="1:16">
      <c r="A165">
        <f t="shared" si="25"/>
        <v>152</v>
      </c>
      <c r="C165" s="74">
        <v>19120141520</v>
      </c>
      <c r="D165" s="3" t="s">
        <v>5</v>
      </c>
      <c r="E165" s="74">
        <v>373300</v>
      </c>
      <c r="F165" s="75">
        <v>0.97749799089204392</v>
      </c>
      <c r="G165" s="78">
        <v>44518</v>
      </c>
      <c r="H165">
        <v>364900</v>
      </c>
      <c r="I165" s="84">
        <f t="shared" si="18"/>
        <v>-8400</v>
      </c>
      <c r="J165" s="85">
        <f t="shared" si="19"/>
        <v>70560000</v>
      </c>
      <c r="K165" s="84">
        <f t="shared" si="26"/>
        <v>365104.0721003135</v>
      </c>
      <c r="L165" s="84">
        <f t="shared" si="20"/>
        <v>-204.07210031349678</v>
      </c>
      <c r="M165" s="85">
        <f t="shared" si="21"/>
        <v>41645.422126361889</v>
      </c>
      <c r="N165" s="73">
        <f t="shared" si="22"/>
        <v>2.6961885651165862E-2</v>
      </c>
      <c r="O165" s="14">
        <f t="shared" si="23"/>
        <v>2.2964740009945195E-2</v>
      </c>
      <c r="P165" s="14">
        <f t="shared" si="24"/>
        <v>5.2737928372437767E-4</v>
      </c>
    </row>
    <row r="166" spans="1:16">
      <c r="A166">
        <f t="shared" si="25"/>
        <v>153</v>
      </c>
      <c r="C166" s="71">
        <v>19120141529</v>
      </c>
      <c r="D166" s="3" t="s">
        <v>5</v>
      </c>
      <c r="E166" s="71">
        <v>437200</v>
      </c>
      <c r="F166" s="72">
        <v>0.97209515096065868</v>
      </c>
      <c r="G166" s="78">
        <v>44834</v>
      </c>
      <c r="H166">
        <v>425000</v>
      </c>
      <c r="I166" s="84">
        <f t="shared" si="18"/>
        <v>-12200</v>
      </c>
      <c r="J166" s="85">
        <f t="shared" si="19"/>
        <v>148840000</v>
      </c>
      <c r="K166" s="84">
        <f t="shared" si="26"/>
        <v>365104.0721003135</v>
      </c>
      <c r="L166" s="84">
        <f t="shared" si="20"/>
        <v>59895.927899686503</v>
      </c>
      <c r="M166" s="85">
        <f t="shared" si="21"/>
        <v>3587522178.9644442</v>
      </c>
      <c r="N166" s="73">
        <f t="shared" si="22"/>
        <v>3.2364725582551102E-2</v>
      </c>
      <c r="O166" s="14">
        <f t="shared" si="23"/>
        <v>2.8367579941330434E-2</v>
      </c>
      <c r="P166" s="14">
        <f t="shared" si="24"/>
        <v>8.0471959172777276E-4</v>
      </c>
    </row>
    <row r="167" spans="1:16">
      <c r="A167">
        <f t="shared" si="25"/>
        <v>154</v>
      </c>
      <c r="C167" s="74">
        <v>19120141530</v>
      </c>
      <c r="D167" s="3" t="s">
        <v>5</v>
      </c>
      <c r="E167" s="74">
        <v>289700</v>
      </c>
      <c r="F167" s="75">
        <v>1.0355540214014498</v>
      </c>
      <c r="G167" s="78">
        <v>44370</v>
      </c>
      <c r="H167">
        <v>300000</v>
      </c>
      <c r="I167" s="84">
        <f t="shared" si="18"/>
        <v>10300</v>
      </c>
      <c r="J167" s="85">
        <f t="shared" si="19"/>
        <v>106090000</v>
      </c>
      <c r="K167" s="84">
        <f t="shared" si="26"/>
        <v>365104.0721003135</v>
      </c>
      <c r="L167" s="84">
        <f t="shared" si="20"/>
        <v>-65104.072100313497</v>
      </c>
      <c r="M167" s="85">
        <f t="shared" si="21"/>
        <v>4238540204.0428181</v>
      </c>
      <c r="N167" s="73">
        <f t="shared" si="22"/>
        <v>3.1094144858240025E-2</v>
      </c>
      <c r="O167" s="14">
        <f t="shared" si="23"/>
        <v>-3.5091290499460692E-2</v>
      </c>
      <c r="P167" s="14">
        <f t="shared" si="24"/>
        <v>1.2313986689175401E-3</v>
      </c>
    </row>
    <row r="168" spans="1:16">
      <c r="A168">
        <f t="shared" si="25"/>
        <v>155</v>
      </c>
      <c r="C168" s="71">
        <v>19120141531</v>
      </c>
      <c r="D168" s="3" t="s">
        <v>5</v>
      </c>
      <c r="E168" s="71">
        <v>374400</v>
      </c>
      <c r="F168" s="72">
        <v>0.93482905982905984</v>
      </c>
      <c r="G168" s="78">
        <v>44517</v>
      </c>
      <c r="H168">
        <v>350000</v>
      </c>
      <c r="I168" s="84">
        <f t="shared" si="18"/>
        <v>-24400</v>
      </c>
      <c r="J168" s="85">
        <f t="shared" si="19"/>
        <v>595360000</v>
      </c>
      <c r="K168" s="84">
        <f t="shared" si="26"/>
        <v>365104.0721003135</v>
      </c>
      <c r="L168" s="84">
        <f t="shared" si="20"/>
        <v>-15104.072100313497</v>
      </c>
      <c r="M168" s="85">
        <f t="shared" si="21"/>
        <v>228132994.01146856</v>
      </c>
      <c r="N168" s="73">
        <f t="shared" si="22"/>
        <v>6.9630816714149946E-2</v>
      </c>
      <c r="O168" s="14">
        <f t="shared" si="23"/>
        <v>6.5633671072929278E-2</v>
      </c>
      <c r="P168" s="14">
        <f t="shared" si="24"/>
        <v>4.3077787785094739E-3</v>
      </c>
    </row>
    <row r="169" spans="1:16">
      <c r="A169">
        <f t="shared" si="25"/>
        <v>156</v>
      </c>
      <c r="C169" s="74">
        <v>19120141533</v>
      </c>
      <c r="D169" s="3" t="s">
        <v>5</v>
      </c>
      <c r="E169" s="74">
        <v>354700</v>
      </c>
      <c r="F169" s="75">
        <v>0.94727939103467718</v>
      </c>
      <c r="G169" s="78">
        <v>44900</v>
      </c>
      <c r="H169">
        <v>336000</v>
      </c>
      <c r="I169" s="84">
        <f t="shared" si="18"/>
        <v>-18700</v>
      </c>
      <c r="J169" s="85">
        <f t="shared" si="19"/>
        <v>349690000</v>
      </c>
      <c r="K169" s="84">
        <f t="shared" si="26"/>
        <v>365104.0721003135</v>
      </c>
      <c r="L169" s="84">
        <f t="shared" si="20"/>
        <v>-29104.072100313497</v>
      </c>
      <c r="M169" s="85">
        <f t="shared" si="21"/>
        <v>847047012.82024646</v>
      </c>
      <c r="N169" s="73">
        <f t="shared" si="22"/>
        <v>5.7180485508532608E-2</v>
      </c>
      <c r="O169" s="14">
        <f t="shared" si="23"/>
        <v>5.3183339867311941E-2</v>
      </c>
      <c r="P169" s="14">
        <f t="shared" si="24"/>
        <v>2.8284676394420118E-3</v>
      </c>
    </row>
    <row r="170" spans="1:16">
      <c r="A170">
        <f t="shared" si="25"/>
        <v>157</v>
      </c>
      <c r="C170" s="71">
        <v>19120141539</v>
      </c>
      <c r="D170" s="3" t="s">
        <v>5</v>
      </c>
      <c r="E170" s="71">
        <v>416300</v>
      </c>
      <c r="F170" s="72">
        <v>0.92481383617583468</v>
      </c>
      <c r="G170" s="78">
        <v>44705</v>
      </c>
      <c r="H170">
        <v>385000</v>
      </c>
      <c r="I170" s="84">
        <f t="shared" si="18"/>
        <v>-31300</v>
      </c>
      <c r="J170" s="85">
        <f t="shared" si="19"/>
        <v>979690000</v>
      </c>
      <c r="K170" s="84">
        <f t="shared" si="26"/>
        <v>365104.0721003135</v>
      </c>
      <c r="L170" s="84">
        <f t="shared" si="20"/>
        <v>19895.927899686503</v>
      </c>
      <c r="M170" s="85">
        <f t="shared" si="21"/>
        <v>395847946.98952377</v>
      </c>
      <c r="N170" s="73">
        <f t="shared" si="22"/>
        <v>7.9646040367375104E-2</v>
      </c>
      <c r="O170" s="14">
        <f t="shared" si="23"/>
        <v>7.5648894726154436E-2</v>
      </c>
      <c r="P170" s="14">
        <f t="shared" si="24"/>
        <v>5.7227552732887965E-3</v>
      </c>
    </row>
    <row r="171" spans="1:16">
      <c r="A171">
        <f t="shared" si="25"/>
        <v>158</v>
      </c>
      <c r="C171" s="74">
        <v>19120141540</v>
      </c>
      <c r="D171" s="3" t="s">
        <v>5</v>
      </c>
      <c r="E171" s="74">
        <v>398100</v>
      </c>
      <c r="F171" s="75">
        <v>1.0123084652097463</v>
      </c>
      <c r="G171" s="78">
        <v>44636</v>
      </c>
      <c r="H171">
        <v>403000</v>
      </c>
      <c r="I171" s="84">
        <f t="shared" si="18"/>
        <v>4900</v>
      </c>
      <c r="J171" s="85">
        <f t="shared" si="19"/>
        <v>24010000</v>
      </c>
      <c r="K171" s="84">
        <f t="shared" si="26"/>
        <v>365104.0721003135</v>
      </c>
      <c r="L171" s="84">
        <f t="shared" si="20"/>
        <v>37895.927899686503</v>
      </c>
      <c r="M171" s="85">
        <f t="shared" si="21"/>
        <v>1436101351.378238</v>
      </c>
      <c r="N171" s="73">
        <f t="shared" si="22"/>
        <v>7.8485886665364824E-3</v>
      </c>
      <c r="O171" s="14">
        <f t="shared" si="23"/>
        <v>-1.184573430775715E-2</v>
      </c>
      <c r="P171" s="14">
        <f t="shared" si="24"/>
        <v>1.4032142128997475E-4</v>
      </c>
    </row>
    <row r="172" spans="1:16">
      <c r="A172">
        <f t="shared" si="25"/>
        <v>159</v>
      </c>
      <c r="C172" s="71">
        <v>19120141542</v>
      </c>
      <c r="D172" s="3" t="s">
        <v>5</v>
      </c>
      <c r="E172" s="71">
        <v>416600</v>
      </c>
      <c r="F172" s="72">
        <v>1.0081613058089294</v>
      </c>
      <c r="G172" s="78">
        <v>44698</v>
      </c>
      <c r="H172">
        <v>420000</v>
      </c>
      <c r="I172" s="84">
        <f t="shared" si="18"/>
        <v>3400</v>
      </c>
      <c r="J172" s="85">
        <f t="shared" si="19"/>
        <v>11560000</v>
      </c>
      <c r="K172" s="84">
        <f t="shared" si="26"/>
        <v>365104.0721003135</v>
      </c>
      <c r="L172" s="84">
        <f t="shared" si="20"/>
        <v>54895.927899686503</v>
      </c>
      <c r="M172" s="85">
        <f t="shared" si="21"/>
        <v>3013562899.9675789</v>
      </c>
      <c r="N172" s="73">
        <f t="shared" si="22"/>
        <v>3.7014292657195913E-3</v>
      </c>
      <c r="O172" s="14">
        <f t="shared" si="23"/>
        <v>-7.6985749069402587E-3</v>
      </c>
      <c r="P172" s="14">
        <f t="shared" si="24"/>
        <v>5.9268055597770212E-5</v>
      </c>
    </row>
    <row r="173" spans="1:16">
      <c r="A173">
        <f t="shared" si="25"/>
        <v>160</v>
      </c>
      <c r="C173" s="74">
        <v>19120141544</v>
      </c>
      <c r="D173" s="3" t="s">
        <v>5</v>
      </c>
      <c r="E173" s="74">
        <v>422500</v>
      </c>
      <c r="F173" s="75">
        <v>0.94674556213017746</v>
      </c>
      <c r="G173" s="78">
        <v>44813</v>
      </c>
      <c r="H173">
        <v>400000</v>
      </c>
      <c r="I173" s="84">
        <f t="shared" si="18"/>
        <v>-22500</v>
      </c>
      <c r="J173" s="85">
        <f t="shared" si="19"/>
        <v>506250000</v>
      </c>
      <c r="K173" s="84">
        <f t="shared" si="26"/>
        <v>365104.0721003135</v>
      </c>
      <c r="L173" s="84">
        <f t="shared" si="20"/>
        <v>34895.927899686503</v>
      </c>
      <c r="M173" s="85">
        <f t="shared" si="21"/>
        <v>1217725783.980119</v>
      </c>
      <c r="N173" s="73">
        <f t="shared" si="22"/>
        <v>5.7714314413032319E-2</v>
      </c>
      <c r="O173" s="14">
        <f t="shared" si="23"/>
        <v>5.3717168771811652E-2</v>
      </c>
      <c r="P173" s="14">
        <f t="shared" si="24"/>
        <v>2.8855342208592969E-3</v>
      </c>
    </row>
    <row r="174" spans="1:16">
      <c r="A174">
        <f t="shared" si="25"/>
        <v>161</v>
      </c>
      <c r="C174" s="71">
        <v>19120142425</v>
      </c>
      <c r="D174" s="3" t="s">
        <v>5</v>
      </c>
      <c r="E174" s="71">
        <v>241900</v>
      </c>
      <c r="F174" s="72">
        <v>0.95080611823067385</v>
      </c>
      <c r="G174" s="78">
        <v>44834</v>
      </c>
      <c r="H174">
        <v>230000</v>
      </c>
      <c r="I174" s="84">
        <f t="shared" si="18"/>
        <v>-11900</v>
      </c>
      <c r="J174" s="85">
        <f t="shared" si="19"/>
        <v>141610000</v>
      </c>
      <c r="K174" s="84">
        <f t="shared" si="26"/>
        <v>365104.0721003135</v>
      </c>
      <c r="L174" s="84">
        <f t="shared" si="20"/>
        <v>-135104.0721003135</v>
      </c>
      <c r="M174" s="85">
        <f t="shared" si="21"/>
        <v>18253110298.086708</v>
      </c>
      <c r="N174" s="73">
        <f t="shared" si="22"/>
        <v>5.3653758312535937E-2</v>
      </c>
      <c r="O174" s="14">
        <f t="shared" si="23"/>
        <v>4.965661267131527E-2</v>
      </c>
      <c r="P174" s="14">
        <f t="shared" si="24"/>
        <v>2.4657791819890284E-3</v>
      </c>
    </row>
    <row r="175" spans="1:16">
      <c r="A175">
        <f t="shared" si="25"/>
        <v>162</v>
      </c>
      <c r="C175" s="74">
        <v>19120142463</v>
      </c>
      <c r="D175" s="3" t="s">
        <v>5</v>
      </c>
      <c r="E175" s="74">
        <v>263800</v>
      </c>
      <c r="F175" s="75">
        <v>1.050037907505686</v>
      </c>
      <c r="G175" s="78">
        <v>44257</v>
      </c>
      <c r="H175">
        <v>277000</v>
      </c>
      <c r="I175" s="84">
        <f t="shared" si="18"/>
        <v>13200</v>
      </c>
      <c r="J175" s="85">
        <f t="shared" si="19"/>
        <v>174240000</v>
      </c>
      <c r="K175" s="84">
        <f t="shared" si="26"/>
        <v>365104.0721003135</v>
      </c>
      <c r="L175" s="84">
        <f t="shared" si="20"/>
        <v>-88104.072100313497</v>
      </c>
      <c r="M175" s="85">
        <f t="shared" si="21"/>
        <v>7762327520.657239</v>
      </c>
      <c r="N175" s="73">
        <f t="shared" si="22"/>
        <v>4.5578030962476257E-2</v>
      </c>
      <c r="O175" s="14">
        <f t="shared" si="23"/>
        <v>-4.9575176603696924E-2</v>
      </c>
      <c r="P175" s="14">
        <f t="shared" si="24"/>
        <v>2.4576981352877388E-3</v>
      </c>
    </row>
    <row r="176" spans="1:16">
      <c r="A176">
        <f t="shared" si="25"/>
        <v>163</v>
      </c>
      <c r="C176" s="71">
        <v>19120142497</v>
      </c>
      <c r="D176" s="3" t="s">
        <v>5</v>
      </c>
      <c r="E176" s="71">
        <v>307600</v>
      </c>
      <c r="F176" s="72">
        <v>1.0565669700910274</v>
      </c>
      <c r="G176" s="78">
        <v>45163</v>
      </c>
      <c r="H176">
        <v>325000</v>
      </c>
      <c r="I176" s="84">
        <f t="shared" si="18"/>
        <v>17400</v>
      </c>
      <c r="J176" s="85">
        <f t="shared" si="19"/>
        <v>302760000</v>
      </c>
      <c r="K176" s="84">
        <f t="shared" si="26"/>
        <v>365104.0721003135</v>
      </c>
      <c r="L176" s="84">
        <f t="shared" si="20"/>
        <v>-40104.072100313497</v>
      </c>
      <c r="M176" s="85">
        <f t="shared" si="21"/>
        <v>1608336599.0271435</v>
      </c>
      <c r="N176" s="73">
        <f t="shared" si="22"/>
        <v>5.2107093547817618E-2</v>
      </c>
      <c r="O176" s="14">
        <f t="shared" si="23"/>
        <v>-5.6104239189038285E-2</v>
      </c>
      <c r="P176" s="14">
        <f t="shared" si="24"/>
        <v>3.1476856549808195E-3</v>
      </c>
    </row>
    <row r="177" spans="1:16">
      <c r="A177">
        <f t="shared" si="25"/>
        <v>164</v>
      </c>
      <c r="C177" s="74">
        <v>19120142501</v>
      </c>
      <c r="D177" s="3" t="s">
        <v>5</v>
      </c>
      <c r="E177" s="74">
        <v>276200</v>
      </c>
      <c r="F177" s="75">
        <v>1.0680666183924692</v>
      </c>
      <c r="G177" s="78">
        <v>44441</v>
      </c>
      <c r="H177">
        <v>295000</v>
      </c>
      <c r="I177" s="84">
        <f t="shared" si="18"/>
        <v>18800</v>
      </c>
      <c r="J177" s="85">
        <f t="shared" si="19"/>
        <v>353440000</v>
      </c>
      <c r="K177" s="84">
        <f t="shared" si="26"/>
        <v>365104.0721003135</v>
      </c>
      <c r="L177" s="84">
        <f t="shared" si="20"/>
        <v>-70104.072100313497</v>
      </c>
      <c r="M177" s="85">
        <f t="shared" si="21"/>
        <v>4914580925.0459528</v>
      </c>
      <c r="N177" s="73">
        <f t="shared" si="22"/>
        <v>6.3606741849259407E-2</v>
      </c>
      <c r="O177" s="14">
        <f t="shared" si="23"/>
        <v>-6.7603887490480075E-2</v>
      </c>
      <c r="P177" s="14">
        <f t="shared" si="24"/>
        <v>4.5702856038254882E-3</v>
      </c>
    </row>
    <row r="178" spans="1:16">
      <c r="A178">
        <f t="shared" si="25"/>
        <v>165</v>
      </c>
      <c r="C178" s="71">
        <v>19120142530</v>
      </c>
      <c r="D178" s="3" t="s">
        <v>5</v>
      </c>
      <c r="E178" s="71">
        <v>337100</v>
      </c>
      <c r="F178" s="72">
        <v>0.9418570157223376</v>
      </c>
      <c r="G178" s="78">
        <v>44434</v>
      </c>
      <c r="H178">
        <v>317500</v>
      </c>
      <c r="I178" s="84">
        <f t="shared" si="18"/>
        <v>-19600</v>
      </c>
      <c r="J178" s="85">
        <f t="shared" si="19"/>
        <v>384160000</v>
      </c>
      <c r="K178" s="84">
        <f t="shared" si="26"/>
        <v>365104.0721003135</v>
      </c>
      <c r="L178" s="84">
        <f t="shared" si="20"/>
        <v>-47604.072100313497</v>
      </c>
      <c r="M178" s="85">
        <f t="shared" si="21"/>
        <v>2266147680.531846</v>
      </c>
      <c r="N178" s="73">
        <f t="shared" si="22"/>
        <v>6.2602860820872186E-2</v>
      </c>
      <c r="O178" s="14">
        <f t="shared" si="23"/>
        <v>5.8605715179651519E-2</v>
      </c>
      <c r="P178" s="14">
        <f t="shared" si="24"/>
        <v>3.4346298517184365E-3</v>
      </c>
    </row>
    <row r="179" spans="1:16">
      <c r="A179">
        <f t="shared" si="25"/>
        <v>166</v>
      </c>
      <c r="C179" s="74">
        <v>19120143012</v>
      </c>
      <c r="D179" s="3" t="s">
        <v>5</v>
      </c>
      <c r="E179" s="74">
        <v>400800</v>
      </c>
      <c r="F179" s="75">
        <v>1.0479041916167664</v>
      </c>
      <c r="G179" s="78">
        <v>45216</v>
      </c>
      <c r="H179">
        <v>420000</v>
      </c>
      <c r="I179" s="84">
        <f t="shared" si="18"/>
        <v>19200</v>
      </c>
      <c r="J179" s="85">
        <f t="shared" si="19"/>
        <v>368640000</v>
      </c>
      <c r="K179" s="84">
        <f t="shared" si="26"/>
        <v>365104.0721003135</v>
      </c>
      <c r="L179" s="84">
        <f t="shared" si="20"/>
        <v>54895.927899686503</v>
      </c>
      <c r="M179" s="85">
        <f t="shared" si="21"/>
        <v>3013562899.9675789</v>
      </c>
      <c r="N179" s="73">
        <f t="shared" si="22"/>
        <v>4.3444315073556616E-2</v>
      </c>
      <c r="O179" s="14">
        <f t="shared" si="23"/>
        <v>-4.7441460714777284E-2</v>
      </c>
      <c r="P179" s="14">
        <f t="shared" si="24"/>
        <v>2.2506921947517563E-3</v>
      </c>
    </row>
    <row r="180" spans="1:16">
      <c r="A180">
        <f t="shared" si="25"/>
        <v>167</v>
      </c>
      <c r="C180" s="71">
        <v>19120143016</v>
      </c>
      <c r="D180" s="3" t="s">
        <v>5</v>
      </c>
      <c r="E180" s="71">
        <v>293300</v>
      </c>
      <c r="F180" s="72">
        <v>0.98840777361063759</v>
      </c>
      <c r="G180" s="78">
        <v>44621</v>
      </c>
      <c r="H180">
        <v>289900</v>
      </c>
      <c r="I180" s="84">
        <f t="shared" si="18"/>
        <v>-3400</v>
      </c>
      <c r="J180" s="85">
        <f t="shared" si="19"/>
        <v>11560000</v>
      </c>
      <c r="K180" s="84">
        <f t="shared" si="26"/>
        <v>365104.0721003135</v>
      </c>
      <c r="L180" s="84">
        <f t="shared" si="20"/>
        <v>-75204.072100313497</v>
      </c>
      <c r="M180" s="85">
        <f t="shared" si="21"/>
        <v>5655652460.4691505</v>
      </c>
      <c r="N180" s="73">
        <f t="shared" si="22"/>
        <v>1.6052102932572199E-2</v>
      </c>
      <c r="O180" s="14">
        <f t="shared" si="23"/>
        <v>1.2054957291351531E-2</v>
      </c>
      <c r="P180" s="14">
        <f t="shared" si="24"/>
        <v>1.4532199529630944E-4</v>
      </c>
    </row>
    <row r="181" spans="1:16">
      <c r="A181">
        <f t="shared" si="25"/>
        <v>168</v>
      </c>
      <c r="C181" s="74">
        <v>19120144424</v>
      </c>
      <c r="D181" s="3" t="s">
        <v>5</v>
      </c>
      <c r="E181" s="74">
        <v>332300</v>
      </c>
      <c r="F181" s="75">
        <v>1.0081251880830575</v>
      </c>
      <c r="G181" s="78">
        <v>45104</v>
      </c>
      <c r="H181">
        <v>335000</v>
      </c>
      <c r="I181" s="84">
        <f t="shared" si="18"/>
        <v>2700</v>
      </c>
      <c r="J181" s="85">
        <f t="shared" si="19"/>
        <v>7290000</v>
      </c>
      <c r="K181" s="84">
        <f t="shared" si="26"/>
        <v>365104.0721003135</v>
      </c>
      <c r="L181" s="84">
        <f t="shared" si="20"/>
        <v>-30104.072100313497</v>
      </c>
      <c r="M181" s="85">
        <f t="shared" si="21"/>
        <v>906255157.02087343</v>
      </c>
      <c r="N181" s="73">
        <f t="shared" si="22"/>
        <v>3.6653115398477265E-3</v>
      </c>
      <c r="O181" s="14">
        <f t="shared" si="23"/>
        <v>-7.6624571810683939E-3</v>
      </c>
      <c r="P181" s="14">
        <f t="shared" si="24"/>
        <v>5.87132500517066E-5</v>
      </c>
    </row>
    <row r="182" spans="1:16">
      <c r="A182">
        <f t="shared" si="25"/>
        <v>169</v>
      </c>
      <c r="C182" s="71">
        <v>19120144427</v>
      </c>
      <c r="D182" s="3" t="s">
        <v>5</v>
      </c>
      <c r="E182" s="71">
        <v>347400</v>
      </c>
      <c r="F182" s="72">
        <v>1.0305123776626368</v>
      </c>
      <c r="G182" s="78">
        <v>44928</v>
      </c>
      <c r="H182">
        <v>358000</v>
      </c>
      <c r="I182" s="84">
        <f t="shared" si="18"/>
        <v>10600</v>
      </c>
      <c r="J182" s="85">
        <f t="shared" si="19"/>
        <v>112360000</v>
      </c>
      <c r="K182" s="84">
        <f t="shared" si="26"/>
        <v>365104.0721003135</v>
      </c>
      <c r="L182" s="84">
        <f t="shared" si="20"/>
        <v>-7104.0721003134968</v>
      </c>
      <c r="M182" s="85">
        <f t="shared" si="21"/>
        <v>50467840.406452619</v>
      </c>
      <c r="N182" s="73">
        <f t="shared" si="22"/>
        <v>2.605250111942703E-2</v>
      </c>
      <c r="O182" s="14">
        <f t="shared" si="23"/>
        <v>-3.0049646760647697E-2</v>
      </c>
      <c r="P182" s="14">
        <f t="shared" si="24"/>
        <v>9.0298127043970467E-4</v>
      </c>
    </row>
    <row r="183" spans="1:16">
      <c r="A183">
        <f t="shared" si="25"/>
        <v>170</v>
      </c>
      <c r="C183" s="74">
        <v>19120144451</v>
      </c>
      <c r="D183" s="3" t="s">
        <v>5</v>
      </c>
      <c r="E183" s="74">
        <v>263600</v>
      </c>
      <c r="F183" s="75">
        <v>0.98634294385432475</v>
      </c>
      <c r="G183" s="78">
        <v>44335</v>
      </c>
      <c r="H183">
        <v>260000</v>
      </c>
      <c r="I183" s="84">
        <f t="shared" si="18"/>
        <v>-3600</v>
      </c>
      <c r="J183" s="85">
        <f t="shared" si="19"/>
        <v>12960000</v>
      </c>
      <c r="K183" s="84">
        <f t="shared" si="26"/>
        <v>365104.0721003135</v>
      </c>
      <c r="L183" s="84">
        <f t="shared" si="20"/>
        <v>-105104.0721003135</v>
      </c>
      <c r="M183" s="85">
        <f t="shared" si="21"/>
        <v>11046865972.067898</v>
      </c>
      <c r="N183" s="73">
        <f t="shared" si="22"/>
        <v>1.8116932688885035E-2</v>
      </c>
      <c r="O183" s="14">
        <f t="shared" si="23"/>
        <v>1.4119787047664367E-2</v>
      </c>
      <c r="P183" s="14">
        <f t="shared" si="24"/>
        <v>1.9936838627139042E-4</v>
      </c>
    </row>
    <row r="184" spans="1:16">
      <c r="A184">
        <f t="shared" si="25"/>
        <v>171</v>
      </c>
      <c r="C184" s="71">
        <v>19120144456</v>
      </c>
      <c r="D184" s="3" t="s">
        <v>5</v>
      </c>
      <c r="E184" s="71">
        <v>427300</v>
      </c>
      <c r="F184" s="72">
        <v>0.92440908027147206</v>
      </c>
      <c r="G184" s="78">
        <v>45042</v>
      </c>
      <c r="H184">
        <v>395000</v>
      </c>
      <c r="I184" s="84">
        <f t="shared" si="18"/>
        <v>-32300</v>
      </c>
      <c r="J184" s="85">
        <f t="shared" si="19"/>
        <v>1043290000</v>
      </c>
      <c r="K184" s="84">
        <f t="shared" si="26"/>
        <v>365104.0721003135</v>
      </c>
      <c r="L184" s="84">
        <f t="shared" si="20"/>
        <v>29895.927899686503</v>
      </c>
      <c r="M184" s="85">
        <f t="shared" si="21"/>
        <v>893766504.98325384</v>
      </c>
      <c r="N184" s="73">
        <f t="shared" si="22"/>
        <v>8.0050796271737723E-2</v>
      </c>
      <c r="O184" s="14">
        <f t="shared" si="23"/>
        <v>7.6053650630517056E-2</v>
      </c>
      <c r="P184" s="14">
        <f t="shared" si="24"/>
        <v>5.7841577742287469E-3</v>
      </c>
    </row>
    <row r="185" spans="1:16">
      <c r="A185">
        <f t="shared" si="25"/>
        <v>172</v>
      </c>
      <c r="C185" s="74">
        <v>19120144459</v>
      </c>
      <c r="D185" s="3" t="s">
        <v>5</v>
      </c>
      <c r="E185" s="74">
        <v>304400</v>
      </c>
      <c r="F185" s="75">
        <v>1.0840998685939554</v>
      </c>
      <c r="G185" s="78">
        <v>44438</v>
      </c>
      <c r="H185">
        <v>330000</v>
      </c>
      <c r="I185" s="84">
        <f t="shared" si="18"/>
        <v>25600</v>
      </c>
      <c r="J185" s="85">
        <f t="shared" si="19"/>
        <v>655360000</v>
      </c>
      <c r="K185" s="84">
        <f t="shared" si="26"/>
        <v>365104.0721003135</v>
      </c>
      <c r="L185" s="84">
        <f t="shared" si="20"/>
        <v>-35104.072100313497</v>
      </c>
      <c r="M185" s="85">
        <f t="shared" si="21"/>
        <v>1232295878.0240085</v>
      </c>
      <c r="N185" s="73">
        <f t="shared" si="22"/>
        <v>7.9639992050745567E-2</v>
      </c>
      <c r="O185" s="14">
        <f t="shared" si="23"/>
        <v>-8.3637137691966235E-2</v>
      </c>
      <c r="P185" s="14">
        <f t="shared" si="24"/>
        <v>6.9951708013049193E-3</v>
      </c>
    </row>
    <row r="186" spans="1:16">
      <c r="A186">
        <f t="shared" si="25"/>
        <v>173</v>
      </c>
      <c r="C186" s="71">
        <v>19120144462</v>
      </c>
      <c r="D186" s="3" t="s">
        <v>5</v>
      </c>
      <c r="E186" s="71">
        <v>332700</v>
      </c>
      <c r="F186" s="72">
        <v>0.93778178539224522</v>
      </c>
      <c r="G186" s="78">
        <v>44747</v>
      </c>
      <c r="H186">
        <v>312000</v>
      </c>
      <c r="I186" s="84">
        <f t="shared" si="18"/>
        <v>-20700</v>
      </c>
      <c r="J186" s="85">
        <f t="shared" si="19"/>
        <v>428490000</v>
      </c>
      <c r="K186" s="84">
        <f t="shared" si="26"/>
        <v>365104.0721003135</v>
      </c>
      <c r="L186" s="84">
        <f t="shared" si="20"/>
        <v>-53104.072100313497</v>
      </c>
      <c r="M186" s="85">
        <f t="shared" si="21"/>
        <v>2820042473.6352944</v>
      </c>
      <c r="N186" s="73">
        <f t="shared" si="22"/>
        <v>6.6678091150964569E-2</v>
      </c>
      <c r="O186" s="14">
        <f t="shared" si="23"/>
        <v>6.2680945509743902E-2</v>
      </c>
      <c r="P186" s="14">
        <f t="shared" si="24"/>
        <v>3.9289009299954842E-3</v>
      </c>
    </row>
    <row r="187" spans="1:16">
      <c r="A187">
        <f t="shared" si="25"/>
        <v>174</v>
      </c>
      <c r="C187" s="74">
        <v>19120144467</v>
      </c>
      <c r="D187" s="3" t="s">
        <v>5</v>
      </c>
      <c r="E187" s="74">
        <v>328500</v>
      </c>
      <c r="F187" s="75">
        <v>1.0197869101978692</v>
      </c>
      <c r="G187" s="78">
        <v>44684</v>
      </c>
      <c r="H187">
        <v>335000</v>
      </c>
      <c r="I187" s="84">
        <f t="shared" si="18"/>
        <v>6500</v>
      </c>
      <c r="J187" s="85">
        <f t="shared" si="19"/>
        <v>42250000</v>
      </c>
      <c r="K187" s="84">
        <f t="shared" si="26"/>
        <v>365104.0721003135</v>
      </c>
      <c r="L187" s="84">
        <f t="shared" si="20"/>
        <v>-30104.072100313497</v>
      </c>
      <c r="M187" s="85">
        <f t="shared" si="21"/>
        <v>906255157.02087343</v>
      </c>
      <c r="N187" s="73">
        <f t="shared" si="22"/>
        <v>1.5327033654659372E-2</v>
      </c>
      <c r="O187" s="14">
        <f t="shared" si="23"/>
        <v>-1.932417929588004E-2</v>
      </c>
      <c r="P187" s="14">
        <f t="shared" si="24"/>
        <v>3.734239054593188E-4</v>
      </c>
    </row>
    <row r="188" spans="1:16">
      <c r="A188">
        <f t="shared" si="25"/>
        <v>175</v>
      </c>
      <c r="C188" s="71">
        <v>19120144473</v>
      </c>
      <c r="D188" s="3" t="s">
        <v>5</v>
      </c>
      <c r="E188" s="71">
        <v>321500</v>
      </c>
      <c r="F188" s="72">
        <v>0.83670295489891133</v>
      </c>
      <c r="G188" s="78">
        <v>44463</v>
      </c>
      <c r="H188">
        <v>269000</v>
      </c>
      <c r="I188" s="84">
        <f t="shared" si="18"/>
        <v>-52500</v>
      </c>
      <c r="J188" s="85">
        <f t="shared" si="19"/>
        <v>2756250000</v>
      </c>
      <c r="K188" s="84">
        <f t="shared" si="26"/>
        <v>365104.0721003135</v>
      </c>
      <c r="L188" s="84">
        <f t="shared" si="20"/>
        <v>-96104.072100313497</v>
      </c>
      <c r="M188" s="85">
        <f t="shared" si="21"/>
        <v>9235992674.2622547</v>
      </c>
      <c r="N188" s="73">
        <f t="shared" si="22"/>
        <v>0.16775692164429845</v>
      </c>
      <c r="O188" s="14">
        <f t="shared" si="23"/>
        <v>0.16375977600307778</v>
      </c>
      <c r="P188" s="14">
        <f t="shared" si="24"/>
        <v>2.6817264236578209E-2</v>
      </c>
    </row>
    <row r="189" spans="1:16">
      <c r="A189">
        <f t="shared" si="25"/>
        <v>176</v>
      </c>
      <c r="C189" s="74">
        <v>19120144476</v>
      </c>
      <c r="D189" s="3" t="s">
        <v>5</v>
      </c>
      <c r="E189" s="74">
        <v>265500</v>
      </c>
      <c r="F189" s="75">
        <v>1.024482109227872</v>
      </c>
      <c r="G189" s="78">
        <v>44323</v>
      </c>
      <c r="H189">
        <v>272000</v>
      </c>
      <c r="I189" s="84">
        <f t="shared" si="18"/>
        <v>6500</v>
      </c>
      <c r="J189" s="85">
        <f t="shared" si="19"/>
        <v>42250000</v>
      </c>
      <c r="K189" s="84">
        <f t="shared" si="26"/>
        <v>365104.0721003135</v>
      </c>
      <c r="L189" s="84">
        <f t="shared" si="20"/>
        <v>-93104.072100313497</v>
      </c>
      <c r="M189" s="85">
        <f t="shared" si="21"/>
        <v>8668368241.6603737</v>
      </c>
      <c r="N189" s="73">
        <f t="shared" si="22"/>
        <v>2.0022232684662189E-2</v>
      </c>
      <c r="O189" s="14">
        <f t="shared" si="23"/>
        <v>-2.4019378325882856E-2</v>
      </c>
      <c r="P189" s="14">
        <f t="shared" si="24"/>
        <v>5.7693053516189117E-4</v>
      </c>
    </row>
    <row r="190" spans="1:16">
      <c r="A190">
        <f t="shared" si="25"/>
        <v>177</v>
      </c>
      <c r="C190" s="71">
        <v>19120144478</v>
      </c>
      <c r="D190" s="3" t="s">
        <v>5</v>
      </c>
      <c r="E190" s="71">
        <v>277400</v>
      </c>
      <c r="F190" s="72">
        <v>1.128334534967556</v>
      </c>
      <c r="G190" s="78">
        <v>44375</v>
      </c>
      <c r="H190">
        <v>313000</v>
      </c>
      <c r="I190" s="84">
        <f t="shared" si="18"/>
        <v>35600</v>
      </c>
      <c r="J190" s="85">
        <f t="shared" si="19"/>
        <v>1267360000</v>
      </c>
      <c r="K190" s="84">
        <f t="shared" si="26"/>
        <v>365104.0721003135</v>
      </c>
      <c r="L190" s="84">
        <f t="shared" si="20"/>
        <v>-52104.072100313497</v>
      </c>
      <c r="M190" s="85">
        <f t="shared" si="21"/>
        <v>2714834329.4346671</v>
      </c>
      <c r="N190" s="73">
        <f t="shared" si="22"/>
        <v>0.1238746584243462</v>
      </c>
      <c r="O190" s="14">
        <f t="shared" si="23"/>
        <v>-0.12787180406556686</v>
      </c>
      <c r="P190" s="14">
        <f t="shared" si="24"/>
        <v>1.6351198274982721E-2</v>
      </c>
    </row>
    <row r="191" spans="1:16">
      <c r="A191">
        <f t="shared" si="25"/>
        <v>178</v>
      </c>
      <c r="C191" s="74">
        <v>19120144493</v>
      </c>
      <c r="D191" s="3" t="s">
        <v>5</v>
      </c>
      <c r="E191" s="74">
        <v>370700</v>
      </c>
      <c r="F191" s="75">
        <v>0.93067170218505535</v>
      </c>
      <c r="G191" s="78">
        <v>44802</v>
      </c>
      <c r="H191">
        <v>345000</v>
      </c>
      <c r="I191" s="84">
        <f t="shared" si="18"/>
        <v>-25700</v>
      </c>
      <c r="J191" s="85">
        <f t="shared" si="19"/>
        <v>660490000</v>
      </c>
      <c r="K191" s="84">
        <f t="shared" si="26"/>
        <v>365104.0721003135</v>
      </c>
      <c r="L191" s="84">
        <f t="shared" si="20"/>
        <v>-20104.072100313497</v>
      </c>
      <c r="M191" s="85">
        <f t="shared" si="21"/>
        <v>404173715.01460356</v>
      </c>
      <c r="N191" s="73">
        <f t="shared" si="22"/>
        <v>7.3788174358154435E-2</v>
      </c>
      <c r="O191" s="14">
        <f t="shared" si="23"/>
        <v>6.9791028716933767E-2</v>
      </c>
      <c r="P191" s="14">
        <f t="shared" si="24"/>
        <v>4.8707876893678741E-3</v>
      </c>
    </row>
    <row r="192" spans="1:16">
      <c r="A192">
        <f t="shared" si="25"/>
        <v>179</v>
      </c>
      <c r="C192" s="71">
        <v>19120144494</v>
      </c>
      <c r="D192" s="3" t="s">
        <v>5</v>
      </c>
      <c r="E192" s="71">
        <v>359800</v>
      </c>
      <c r="F192" s="72">
        <v>0.88938299055030567</v>
      </c>
      <c r="G192" s="78">
        <v>44608</v>
      </c>
      <c r="H192">
        <v>320000</v>
      </c>
      <c r="I192" s="84">
        <f t="shared" si="18"/>
        <v>-39800</v>
      </c>
      <c r="J192" s="85">
        <f t="shared" si="19"/>
        <v>1584040000</v>
      </c>
      <c r="K192" s="84">
        <f t="shared" si="26"/>
        <v>365104.0721003135</v>
      </c>
      <c r="L192" s="84">
        <f t="shared" si="20"/>
        <v>-45104.072100313497</v>
      </c>
      <c r="M192" s="85">
        <f t="shared" si="21"/>
        <v>2034377320.0302784</v>
      </c>
      <c r="N192" s="73">
        <f t="shared" si="22"/>
        <v>0.11507688599290411</v>
      </c>
      <c r="O192" s="14">
        <f t="shared" si="23"/>
        <v>0.11107974035168344</v>
      </c>
      <c r="P192" s="14">
        <f t="shared" si="24"/>
        <v>1.233870871659741E-2</v>
      </c>
    </row>
    <row r="193" spans="1:16">
      <c r="A193">
        <f t="shared" si="25"/>
        <v>180</v>
      </c>
      <c r="C193" s="74">
        <v>19120144502</v>
      </c>
      <c r="D193" s="3" t="s">
        <v>5</v>
      </c>
      <c r="E193" s="74">
        <v>342700</v>
      </c>
      <c r="F193" s="75">
        <v>0.88853224394514152</v>
      </c>
      <c r="G193" s="78">
        <v>44574</v>
      </c>
      <c r="H193">
        <v>304500</v>
      </c>
      <c r="I193" s="84">
        <f t="shared" si="18"/>
        <v>-38200</v>
      </c>
      <c r="J193" s="85">
        <f t="shared" si="19"/>
        <v>1459240000</v>
      </c>
      <c r="K193" s="84">
        <f t="shared" si="26"/>
        <v>365104.0721003135</v>
      </c>
      <c r="L193" s="84">
        <f t="shared" si="20"/>
        <v>-60604.072100313497</v>
      </c>
      <c r="M193" s="85">
        <f t="shared" si="21"/>
        <v>3672853555.139997</v>
      </c>
      <c r="N193" s="73">
        <f t="shared" si="22"/>
        <v>0.11592763259806826</v>
      </c>
      <c r="O193" s="14">
        <f t="shared" si="23"/>
        <v>0.1119304869568476</v>
      </c>
      <c r="P193" s="14">
        <f t="shared" si="24"/>
        <v>1.2528433910397031E-2</v>
      </c>
    </row>
    <row r="194" spans="1:16">
      <c r="A194">
        <f t="shared" si="25"/>
        <v>181</v>
      </c>
      <c r="C194" s="71">
        <v>19120144513</v>
      </c>
      <c r="D194" s="3" t="s">
        <v>5</v>
      </c>
      <c r="E194" s="71">
        <v>290700</v>
      </c>
      <c r="F194" s="72">
        <v>0.91916064671482633</v>
      </c>
      <c r="G194" s="78">
        <v>44433</v>
      </c>
      <c r="H194">
        <v>267200</v>
      </c>
      <c r="I194" s="84">
        <f t="shared" si="18"/>
        <v>-23500</v>
      </c>
      <c r="J194" s="85">
        <f t="shared" si="19"/>
        <v>552250000</v>
      </c>
      <c r="K194" s="84">
        <f t="shared" si="26"/>
        <v>365104.0721003135</v>
      </c>
      <c r="L194" s="84">
        <f t="shared" si="20"/>
        <v>-97904.072100313497</v>
      </c>
      <c r="M194" s="85">
        <f t="shared" si="21"/>
        <v>9585207333.8233833</v>
      </c>
      <c r="N194" s="73">
        <f t="shared" si="22"/>
        <v>8.5299229828383449E-2</v>
      </c>
      <c r="O194" s="14">
        <f t="shared" si="23"/>
        <v>8.1302084187162782E-2</v>
      </c>
      <c r="P194" s="14">
        <f t="shared" si="24"/>
        <v>6.6100288931765045E-3</v>
      </c>
    </row>
    <row r="195" spans="1:16">
      <c r="A195">
        <f t="shared" si="25"/>
        <v>182</v>
      </c>
      <c r="C195" s="74">
        <v>19120144515</v>
      </c>
      <c r="D195" s="3" t="s">
        <v>5</v>
      </c>
      <c r="E195" s="74">
        <v>242200</v>
      </c>
      <c r="F195" s="75">
        <v>1.0734929810074318</v>
      </c>
      <c r="G195" s="78">
        <v>44221</v>
      </c>
      <c r="H195">
        <v>260000</v>
      </c>
      <c r="I195" s="84">
        <f t="shared" si="18"/>
        <v>17800</v>
      </c>
      <c r="J195" s="85">
        <f t="shared" si="19"/>
        <v>316840000</v>
      </c>
      <c r="K195" s="84">
        <f t="shared" si="26"/>
        <v>365104.0721003135</v>
      </c>
      <c r="L195" s="84">
        <f t="shared" si="20"/>
        <v>-105104.0721003135</v>
      </c>
      <c r="M195" s="85">
        <f t="shared" si="21"/>
        <v>11046865972.067898</v>
      </c>
      <c r="N195" s="73">
        <f t="shared" si="22"/>
        <v>6.9033104464222061E-2</v>
      </c>
      <c r="O195" s="14">
        <f t="shared" si="23"/>
        <v>-7.3030250105442729E-2</v>
      </c>
      <c r="P195" s="14">
        <f t="shared" si="24"/>
        <v>5.3334174304635173E-3</v>
      </c>
    </row>
    <row r="196" spans="1:16">
      <c r="A196">
        <f t="shared" si="25"/>
        <v>183</v>
      </c>
      <c r="C196" s="71">
        <v>19120144537</v>
      </c>
      <c r="D196" s="3" t="s">
        <v>5</v>
      </c>
      <c r="E196" s="71">
        <v>378600</v>
      </c>
      <c r="F196" s="72">
        <v>1.0512414157422081</v>
      </c>
      <c r="G196" s="78">
        <v>44680</v>
      </c>
      <c r="H196">
        <v>398000</v>
      </c>
      <c r="I196" s="84">
        <f t="shared" si="18"/>
        <v>19400</v>
      </c>
      <c r="J196" s="85">
        <f t="shared" si="19"/>
        <v>376360000</v>
      </c>
      <c r="K196" s="84">
        <f t="shared" si="26"/>
        <v>365104.0721003135</v>
      </c>
      <c r="L196" s="84">
        <f t="shared" si="20"/>
        <v>32895.927899686503</v>
      </c>
      <c r="M196" s="85">
        <f t="shared" si="21"/>
        <v>1082142072.3813729</v>
      </c>
      <c r="N196" s="73">
        <f t="shared" si="22"/>
        <v>4.6781539198998301E-2</v>
      </c>
      <c r="O196" s="14">
        <f t="shared" si="23"/>
        <v>-5.0778684840218968E-2</v>
      </c>
      <c r="P196" s="14">
        <f t="shared" si="24"/>
        <v>2.5784748341022836E-3</v>
      </c>
    </row>
    <row r="197" spans="1:16">
      <c r="A197">
        <f t="shared" si="25"/>
        <v>184</v>
      </c>
      <c r="C197" s="74">
        <v>19120144543</v>
      </c>
      <c r="D197" s="3" t="s">
        <v>5</v>
      </c>
      <c r="E197" s="74">
        <v>321700</v>
      </c>
      <c r="F197" s="75">
        <v>0.92632887783649365</v>
      </c>
      <c r="G197" s="78">
        <v>44459</v>
      </c>
      <c r="H197">
        <v>298000</v>
      </c>
      <c r="I197" s="84">
        <f t="shared" si="18"/>
        <v>-23700</v>
      </c>
      <c r="J197" s="85">
        <f t="shared" si="19"/>
        <v>561690000</v>
      </c>
      <c r="K197" s="84">
        <f t="shared" si="26"/>
        <v>365104.0721003135</v>
      </c>
      <c r="L197" s="84">
        <f t="shared" si="20"/>
        <v>-67104.072100313497</v>
      </c>
      <c r="M197" s="85">
        <f t="shared" si="21"/>
        <v>4502956492.4440718</v>
      </c>
      <c r="N197" s="73">
        <f t="shared" si="22"/>
        <v>7.8130998706716137E-2</v>
      </c>
      <c r="O197" s="14">
        <f t="shared" si="23"/>
        <v>7.413385306549547E-2</v>
      </c>
      <c r="P197" s="14">
        <f t="shared" si="24"/>
        <v>5.4958281703364718E-3</v>
      </c>
    </row>
    <row r="198" spans="1:16">
      <c r="A198">
        <f t="shared" si="25"/>
        <v>185</v>
      </c>
      <c r="C198" s="71">
        <v>19120144544</v>
      </c>
      <c r="D198" s="3" t="s">
        <v>5</v>
      </c>
      <c r="E198" s="71">
        <v>366400</v>
      </c>
      <c r="F198" s="72">
        <v>0.9143013100436681</v>
      </c>
      <c r="G198" s="78">
        <v>45012</v>
      </c>
      <c r="H198">
        <v>335000</v>
      </c>
      <c r="I198" s="84">
        <f t="shared" si="18"/>
        <v>-31400</v>
      </c>
      <c r="J198" s="85">
        <f t="shared" si="19"/>
        <v>985960000</v>
      </c>
      <c r="K198" s="84">
        <f t="shared" si="26"/>
        <v>365104.0721003135</v>
      </c>
      <c r="L198" s="84">
        <f t="shared" si="20"/>
        <v>-30104.072100313497</v>
      </c>
      <c r="M198" s="85">
        <f t="shared" si="21"/>
        <v>906255157.02087343</v>
      </c>
      <c r="N198" s="73">
        <f t="shared" si="22"/>
        <v>9.0158566499541681E-2</v>
      </c>
      <c r="O198" s="14">
        <f t="shared" si="23"/>
        <v>8.6161420858321014E-2</v>
      </c>
      <c r="P198" s="14">
        <f t="shared" si="24"/>
        <v>7.4237904443247155E-3</v>
      </c>
    </row>
    <row r="199" spans="1:16">
      <c r="A199">
        <f t="shared" si="25"/>
        <v>186</v>
      </c>
      <c r="C199" s="74">
        <v>19120144547</v>
      </c>
      <c r="D199" s="3" t="s">
        <v>5</v>
      </c>
      <c r="E199" s="74">
        <v>338900</v>
      </c>
      <c r="F199" s="75">
        <v>1.0179994098554146</v>
      </c>
      <c r="G199" s="78">
        <v>44652</v>
      </c>
      <c r="H199">
        <v>345000</v>
      </c>
      <c r="I199" s="84">
        <f t="shared" si="18"/>
        <v>6100</v>
      </c>
      <c r="J199" s="85">
        <f t="shared" si="19"/>
        <v>37210000</v>
      </c>
      <c r="K199" s="84">
        <f t="shared" si="26"/>
        <v>365104.0721003135</v>
      </c>
      <c r="L199" s="84">
        <f t="shared" si="20"/>
        <v>-20104.072100313497</v>
      </c>
      <c r="M199" s="85">
        <f t="shared" si="21"/>
        <v>404173715.01460356</v>
      </c>
      <c r="N199" s="73">
        <f t="shared" si="22"/>
        <v>1.353953331220481E-2</v>
      </c>
      <c r="O199" s="14">
        <f t="shared" si="23"/>
        <v>-1.7536678953425477E-2</v>
      </c>
      <c r="P199" s="14">
        <f t="shared" si="24"/>
        <v>3.0753510871551608E-4</v>
      </c>
    </row>
    <row r="200" spans="1:16">
      <c r="A200">
        <f t="shared" si="25"/>
        <v>187</v>
      </c>
      <c r="C200" s="71">
        <v>19120144549</v>
      </c>
      <c r="D200" s="3" t="s">
        <v>5</v>
      </c>
      <c r="E200" s="71">
        <v>355700</v>
      </c>
      <c r="F200" s="72">
        <v>1.0542592071970762</v>
      </c>
      <c r="G200" s="78">
        <v>44494</v>
      </c>
      <c r="H200">
        <v>375000</v>
      </c>
      <c r="I200" s="84">
        <f t="shared" si="18"/>
        <v>19300</v>
      </c>
      <c r="J200" s="85">
        <f t="shared" si="19"/>
        <v>372490000</v>
      </c>
      <c r="K200" s="84">
        <f t="shared" si="26"/>
        <v>365104.0721003135</v>
      </c>
      <c r="L200" s="84">
        <f t="shared" si="20"/>
        <v>9895.9278996865032</v>
      </c>
      <c r="M200" s="85">
        <f t="shared" si="21"/>
        <v>97929388.99579373</v>
      </c>
      <c r="N200" s="73">
        <f t="shared" si="22"/>
        <v>4.9799330653866436E-2</v>
      </c>
      <c r="O200" s="14">
        <f t="shared" si="23"/>
        <v>-5.3796476295087103E-2</v>
      </c>
      <c r="P200" s="14">
        <f t="shared" si="24"/>
        <v>2.8940608617678688E-3</v>
      </c>
    </row>
    <row r="201" spans="1:16">
      <c r="A201">
        <f t="shared" si="25"/>
        <v>188</v>
      </c>
      <c r="C201" s="74">
        <v>19120144563</v>
      </c>
      <c r="D201" s="3" t="s">
        <v>5</v>
      </c>
      <c r="E201" s="74">
        <v>384400</v>
      </c>
      <c r="F201" s="75">
        <v>1.0015608740894901</v>
      </c>
      <c r="G201" s="78">
        <v>45227</v>
      </c>
      <c r="H201">
        <v>385000</v>
      </c>
      <c r="I201" s="84">
        <f t="shared" si="18"/>
        <v>600</v>
      </c>
      <c r="J201" s="85">
        <f t="shared" si="19"/>
        <v>360000</v>
      </c>
      <c r="K201" s="84">
        <f t="shared" si="26"/>
        <v>365104.0721003135</v>
      </c>
      <c r="L201" s="84">
        <f t="shared" si="20"/>
        <v>19895.927899686503</v>
      </c>
      <c r="M201" s="85">
        <f t="shared" si="21"/>
        <v>395847946.98952377</v>
      </c>
      <c r="N201" s="73">
        <f t="shared" si="22"/>
        <v>2.8990024537196568E-3</v>
      </c>
      <c r="O201" s="14">
        <f t="shared" si="23"/>
        <v>-1.0981431875010106E-3</v>
      </c>
      <c r="P201" s="14">
        <f t="shared" si="24"/>
        <v>1.2059184602548796E-6</v>
      </c>
    </row>
    <row r="202" spans="1:16">
      <c r="A202">
        <f t="shared" si="25"/>
        <v>189</v>
      </c>
      <c r="C202" s="71">
        <v>19120144565</v>
      </c>
      <c r="D202" s="3" t="s">
        <v>5</v>
      </c>
      <c r="E202" s="71">
        <v>429300</v>
      </c>
      <c r="F202" s="72">
        <v>0.94339622641509435</v>
      </c>
      <c r="G202" s="78">
        <v>44725</v>
      </c>
      <c r="H202">
        <v>405000</v>
      </c>
      <c r="I202" s="84">
        <f t="shared" si="18"/>
        <v>-24300</v>
      </c>
      <c r="J202" s="85">
        <f t="shared" si="19"/>
        <v>590490000</v>
      </c>
      <c r="K202" s="84">
        <f t="shared" si="26"/>
        <v>365104.0721003135</v>
      </c>
      <c r="L202" s="84">
        <f t="shared" si="20"/>
        <v>39895.927899686503</v>
      </c>
      <c r="M202" s="85">
        <f t="shared" si="21"/>
        <v>1591685062.976984</v>
      </c>
      <c r="N202" s="73">
        <f t="shared" si="22"/>
        <v>6.1063650128115432E-2</v>
      </c>
      <c r="O202" s="14">
        <f t="shared" si="23"/>
        <v>5.7066504486894765E-2</v>
      </c>
      <c r="P202" s="14">
        <f t="shared" si="24"/>
        <v>3.2565859343527803E-3</v>
      </c>
    </row>
    <row r="203" spans="1:16">
      <c r="A203">
        <f t="shared" si="25"/>
        <v>190</v>
      </c>
      <c r="C203" s="74">
        <v>19120144569</v>
      </c>
      <c r="D203" s="3" t="s">
        <v>5</v>
      </c>
      <c r="E203" s="74">
        <v>310500</v>
      </c>
      <c r="F203" s="75">
        <v>1.0434782608695652</v>
      </c>
      <c r="G203" s="78">
        <v>44469</v>
      </c>
      <c r="H203">
        <v>324000</v>
      </c>
      <c r="I203" s="84">
        <f t="shared" si="18"/>
        <v>13500</v>
      </c>
      <c r="J203" s="85">
        <f t="shared" si="19"/>
        <v>182250000</v>
      </c>
      <c r="K203" s="84">
        <f t="shared" si="26"/>
        <v>365104.0721003135</v>
      </c>
      <c r="L203" s="84">
        <f t="shared" si="20"/>
        <v>-41104.072100313497</v>
      </c>
      <c r="M203" s="85">
        <f t="shared" si="21"/>
        <v>1689544743.2277703</v>
      </c>
      <c r="N203" s="73">
        <f t="shared" si="22"/>
        <v>3.9018384326355404E-2</v>
      </c>
      <c r="O203" s="14">
        <f t="shared" si="23"/>
        <v>-4.3015529967576072E-2</v>
      </c>
      <c r="P203" s="14">
        <f t="shared" si="24"/>
        <v>1.8503358183914352E-3</v>
      </c>
    </row>
    <row r="204" spans="1:16">
      <c r="A204">
        <f t="shared" si="25"/>
        <v>191</v>
      </c>
      <c r="C204" s="71">
        <v>19120144572</v>
      </c>
      <c r="D204" s="3" t="s">
        <v>5</v>
      </c>
      <c r="E204" s="71">
        <v>407200</v>
      </c>
      <c r="F204" s="72">
        <v>0.98109037328094306</v>
      </c>
      <c r="G204" s="78">
        <v>44511</v>
      </c>
      <c r="H204">
        <v>399500</v>
      </c>
      <c r="I204" s="84">
        <f t="shared" si="18"/>
        <v>-7700</v>
      </c>
      <c r="J204" s="85">
        <f t="shared" si="19"/>
        <v>59290000</v>
      </c>
      <c r="K204" s="84">
        <f t="shared" si="26"/>
        <v>365104.0721003135</v>
      </c>
      <c r="L204" s="84">
        <f t="shared" si="20"/>
        <v>34395.927899686503</v>
      </c>
      <c r="M204" s="85">
        <f t="shared" si="21"/>
        <v>1183079856.0804324</v>
      </c>
      <c r="N204" s="73">
        <f t="shared" si="22"/>
        <v>2.3369503262266722E-2</v>
      </c>
      <c r="O204" s="14">
        <f t="shared" si="23"/>
        <v>1.9372357621046055E-2</v>
      </c>
      <c r="P204" s="14">
        <f t="shared" si="24"/>
        <v>3.7528823979770116E-4</v>
      </c>
    </row>
    <row r="205" spans="1:16">
      <c r="A205">
        <f t="shared" si="25"/>
        <v>192</v>
      </c>
      <c r="C205" s="74">
        <v>19120144572</v>
      </c>
      <c r="D205" s="3" t="s">
        <v>5</v>
      </c>
      <c r="E205" s="74">
        <v>436000</v>
      </c>
      <c r="F205" s="75">
        <v>1.0321100917431192</v>
      </c>
      <c r="G205" s="78">
        <v>45272</v>
      </c>
      <c r="H205">
        <v>450000</v>
      </c>
      <c r="I205" s="84">
        <f t="shared" si="18"/>
        <v>14000</v>
      </c>
      <c r="J205" s="85">
        <f t="shared" si="19"/>
        <v>196000000</v>
      </c>
      <c r="K205" s="84">
        <f t="shared" si="26"/>
        <v>365104.0721003135</v>
      </c>
      <c r="L205" s="84">
        <f t="shared" si="20"/>
        <v>84895.927899686503</v>
      </c>
      <c r="M205" s="85">
        <f t="shared" si="21"/>
        <v>7207318573.9487696</v>
      </c>
      <c r="N205" s="73">
        <f t="shared" si="22"/>
        <v>2.76502151999094E-2</v>
      </c>
      <c r="O205" s="14">
        <f t="shared" si="23"/>
        <v>-3.1647360841130068E-2</v>
      </c>
      <c r="P205" s="14">
        <f t="shared" si="24"/>
        <v>1.0015554482086929E-3</v>
      </c>
    </row>
    <row r="206" spans="1:16">
      <c r="A206">
        <f t="shared" si="25"/>
        <v>193</v>
      </c>
      <c r="C206" s="71">
        <v>19120144574</v>
      </c>
      <c r="D206" s="3" t="s">
        <v>5</v>
      </c>
      <c r="E206" s="71">
        <v>342300</v>
      </c>
      <c r="F206" s="72">
        <v>0.96406660823838741</v>
      </c>
      <c r="G206" s="78">
        <v>44810</v>
      </c>
      <c r="H206">
        <v>330000</v>
      </c>
      <c r="I206" s="84">
        <f t="shared" ref="I206:I269" si="27">+H206-E206</f>
        <v>-12300</v>
      </c>
      <c r="J206" s="85">
        <f t="shared" si="19"/>
        <v>151290000</v>
      </c>
      <c r="K206" s="84">
        <f t="shared" si="26"/>
        <v>365104.0721003135</v>
      </c>
      <c r="L206" s="84">
        <f t="shared" si="20"/>
        <v>-35104.072100313497</v>
      </c>
      <c r="M206" s="85">
        <f t="shared" si="21"/>
        <v>1232295878.0240085</v>
      </c>
      <c r="N206" s="73">
        <f t="shared" si="22"/>
        <v>4.0393268304822372E-2</v>
      </c>
      <c r="O206" s="14">
        <f t="shared" si="23"/>
        <v>3.6396122663601704E-2</v>
      </c>
      <c r="P206" s="14">
        <f t="shared" si="24"/>
        <v>1.3246777449439416E-3</v>
      </c>
    </row>
    <row r="207" spans="1:16">
      <c r="A207">
        <f t="shared" si="25"/>
        <v>194</v>
      </c>
      <c r="C207" s="74">
        <v>19120213018</v>
      </c>
      <c r="D207" s="3" t="s">
        <v>5</v>
      </c>
      <c r="E207" s="74">
        <v>419600</v>
      </c>
      <c r="F207" s="75">
        <v>1.0128693994280267</v>
      </c>
      <c r="G207" s="78">
        <v>44589</v>
      </c>
      <c r="H207">
        <v>425000</v>
      </c>
      <c r="I207" s="84">
        <f t="shared" si="27"/>
        <v>5400</v>
      </c>
      <c r="J207" s="85">
        <f t="shared" ref="J207:J270" si="28">+I207^2</f>
        <v>29160000</v>
      </c>
      <c r="K207" s="84">
        <f t="shared" si="26"/>
        <v>365104.0721003135</v>
      </c>
      <c r="L207" s="84">
        <f t="shared" ref="L207:L270" si="29">+H207-K207</f>
        <v>59895.927899686503</v>
      </c>
      <c r="M207" s="85">
        <f t="shared" ref="M207:M270" si="30">+L207^2</f>
        <v>3587522178.9644442</v>
      </c>
      <c r="N207" s="73">
        <f t="shared" ref="N207:N270" si="31">ABS(+$F$2-F207)</f>
        <v>8.409522884816889E-3</v>
      </c>
      <c r="O207" s="14">
        <f t="shared" ref="O207:O270" si="32">+$F$3-F207</f>
        <v>-1.2406668526037556E-2</v>
      </c>
      <c r="P207" s="14">
        <f t="shared" ref="P207:P270" si="33">+O207*O207</f>
        <v>1.539254239149709E-4</v>
      </c>
    </row>
    <row r="208" spans="1:16">
      <c r="A208">
        <f t="shared" ref="A208:A271" si="34">+A207+1</f>
        <v>195</v>
      </c>
      <c r="C208" s="71">
        <v>19120213404</v>
      </c>
      <c r="D208" s="3" t="s">
        <v>5</v>
      </c>
      <c r="E208" s="71">
        <v>309400</v>
      </c>
      <c r="F208" s="72">
        <v>1.0665804783451842</v>
      </c>
      <c r="G208" s="78">
        <v>44665</v>
      </c>
      <c r="H208">
        <v>330000</v>
      </c>
      <c r="I208" s="84">
        <f t="shared" si="27"/>
        <v>20600</v>
      </c>
      <c r="J208" s="85">
        <f t="shared" si="28"/>
        <v>424360000</v>
      </c>
      <c r="K208" s="84">
        <f t="shared" ref="K208:K271" si="35">AVERAGE($H$14:$H$1600)</f>
        <v>365104.0721003135</v>
      </c>
      <c r="L208" s="84">
        <f t="shared" si="29"/>
        <v>-35104.072100313497</v>
      </c>
      <c r="M208" s="85">
        <f t="shared" si="30"/>
        <v>1232295878.0240085</v>
      </c>
      <c r="N208" s="73">
        <f t="shared" si="31"/>
        <v>6.2120601801974429E-2</v>
      </c>
      <c r="O208" s="14">
        <f t="shared" si="32"/>
        <v>-6.6117747443195096E-2</v>
      </c>
      <c r="P208" s="14">
        <f t="shared" si="33"/>
        <v>4.3715565269621314E-3</v>
      </c>
    </row>
    <row r="209" spans="1:16">
      <c r="A209">
        <f t="shared" si="34"/>
        <v>196</v>
      </c>
      <c r="C209" s="74">
        <v>19120214405</v>
      </c>
      <c r="D209" s="3" t="s">
        <v>5</v>
      </c>
      <c r="E209" s="74">
        <v>432300</v>
      </c>
      <c r="F209" s="75">
        <v>0.98022206800832756</v>
      </c>
      <c r="G209" s="78">
        <v>44664</v>
      </c>
      <c r="H209">
        <v>423750</v>
      </c>
      <c r="I209" s="84">
        <f t="shared" si="27"/>
        <v>-8550</v>
      </c>
      <c r="J209" s="85">
        <f t="shared" si="28"/>
        <v>73102500</v>
      </c>
      <c r="K209" s="84">
        <f t="shared" si="35"/>
        <v>365104.0721003135</v>
      </c>
      <c r="L209" s="84">
        <f t="shared" si="29"/>
        <v>58645.927899686503</v>
      </c>
      <c r="M209" s="85">
        <f t="shared" si="30"/>
        <v>3439344859.2152276</v>
      </c>
      <c r="N209" s="73">
        <f t="shared" si="31"/>
        <v>2.4237808534882221E-2</v>
      </c>
      <c r="O209" s="14">
        <f t="shared" si="32"/>
        <v>2.0240662893661554E-2</v>
      </c>
      <c r="P209" s="14">
        <f t="shared" si="33"/>
        <v>4.0968443437484773E-4</v>
      </c>
    </row>
    <row r="210" spans="1:16">
      <c r="A210">
        <f t="shared" si="34"/>
        <v>197</v>
      </c>
      <c r="C210" s="71">
        <v>19120214405</v>
      </c>
      <c r="D210" s="3" t="s">
        <v>5</v>
      </c>
      <c r="E210" s="71">
        <v>338600</v>
      </c>
      <c r="F210" s="72">
        <v>0.87123449497932659</v>
      </c>
      <c r="G210" s="78">
        <v>44271</v>
      </c>
      <c r="H210">
        <v>295000</v>
      </c>
      <c r="I210" s="84">
        <f t="shared" si="27"/>
        <v>-43600</v>
      </c>
      <c r="J210" s="85">
        <f t="shared" si="28"/>
        <v>1900960000</v>
      </c>
      <c r="K210" s="84">
        <f t="shared" si="35"/>
        <v>365104.0721003135</v>
      </c>
      <c r="L210" s="84">
        <f t="shared" si="29"/>
        <v>-70104.072100313497</v>
      </c>
      <c r="M210" s="85">
        <f t="shared" si="30"/>
        <v>4914580925.0459528</v>
      </c>
      <c r="N210" s="73">
        <f t="shared" si="31"/>
        <v>0.13322538156388319</v>
      </c>
      <c r="O210" s="14">
        <f t="shared" si="32"/>
        <v>0.12922823592266253</v>
      </c>
      <c r="P210" s="14">
        <f t="shared" si="33"/>
        <v>1.6699936959683324E-2</v>
      </c>
    </row>
    <row r="211" spans="1:16">
      <c r="A211">
        <f t="shared" si="34"/>
        <v>198</v>
      </c>
      <c r="C211" s="74">
        <v>19120221004</v>
      </c>
      <c r="D211" s="3" t="s">
        <v>5</v>
      </c>
      <c r="E211" s="74">
        <v>350000</v>
      </c>
      <c r="F211" s="75">
        <v>1</v>
      </c>
      <c r="G211" s="78">
        <v>44764</v>
      </c>
      <c r="H211">
        <v>350000</v>
      </c>
      <c r="I211" s="84">
        <f t="shared" si="27"/>
        <v>0</v>
      </c>
      <c r="J211" s="85">
        <f t="shared" si="28"/>
        <v>0</v>
      </c>
      <c r="K211" s="84">
        <f t="shared" si="35"/>
        <v>365104.0721003135</v>
      </c>
      <c r="L211" s="84">
        <f t="shared" si="29"/>
        <v>-15104.072100313497</v>
      </c>
      <c r="M211" s="85">
        <f t="shared" si="30"/>
        <v>228132994.01146856</v>
      </c>
      <c r="N211" s="73">
        <f t="shared" si="31"/>
        <v>4.4598765432097842E-3</v>
      </c>
      <c r="O211" s="14">
        <f t="shared" si="32"/>
        <v>4.6273090198911682E-4</v>
      </c>
      <c r="P211" s="14">
        <f t="shared" si="33"/>
        <v>2.1411988765566163E-7</v>
      </c>
    </row>
    <row r="212" spans="1:16">
      <c r="A212">
        <f t="shared" si="34"/>
        <v>199</v>
      </c>
      <c r="C212" s="71">
        <v>19133511002</v>
      </c>
      <c r="D212" s="3" t="s">
        <v>5</v>
      </c>
      <c r="E212" s="71">
        <v>250700</v>
      </c>
      <c r="F212" s="72">
        <v>1.0370961308336657</v>
      </c>
      <c r="G212" s="78">
        <v>44270</v>
      </c>
      <c r="H212">
        <v>260000</v>
      </c>
      <c r="I212" s="84">
        <f t="shared" si="27"/>
        <v>9300</v>
      </c>
      <c r="J212" s="85">
        <f t="shared" si="28"/>
        <v>86490000</v>
      </c>
      <c r="K212" s="84">
        <f t="shared" si="35"/>
        <v>365104.0721003135</v>
      </c>
      <c r="L212" s="84">
        <f t="shared" si="29"/>
        <v>-105104.0721003135</v>
      </c>
      <c r="M212" s="85">
        <f t="shared" si="30"/>
        <v>11046865972.067898</v>
      </c>
      <c r="N212" s="73">
        <f t="shared" si="31"/>
        <v>3.2636254290455913E-2</v>
      </c>
      <c r="O212" s="14">
        <f t="shared" si="32"/>
        <v>-3.663339993167658E-2</v>
      </c>
      <c r="P212" s="14">
        <f t="shared" si="33"/>
        <v>1.3420059905541618E-3</v>
      </c>
    </row>
    <row r="213" spans="1:16">
      <c r="A213">
        <f t="shared" si="34"/>
        <v>200</v>
      </c>
      <c r="C213" s="74">
        <v>19133512402</v>
      </c>
      <c r="D213" s="3" t="s">
        <v>5</v>
      </c>
      <c r="E213" s="74">
        <v>455800</v>
      </c>
      <c r="F213" s="75">
        <v>1.0783238262395787</v>
      </c>
      <c r="G213" s="78">
        <v>45314</v>
      </c>
      <c r="H213">
        <v>491500</v>
      </c>
      <c r="I213" s="84">
        <f t="shared" si="27"/>
        <v>35700</v>
      </c>
      <c r="J213" s="85">
        <f t="shared" si="28"/>
        <v>1274490000</v>
      </c>
      <c r="K213" s="84">
        <f t="shared" si="35"/>
        <v>365104.0721003135</v>
      </c>
      <c r="L213" s="84">
        <f t="shared" si="29"/>
        <v>126395.9278996865</v>
      </c>
      <c r="M213" s="85">
        <f t="shared" si="30"/>
        <v>15975930589.622749</v>
      </c>
      <c r="N213" s="73">
        <f t="shared" si="31"/>
        <v>7.3863949696368891E-2</v>
      </c>
      <c r="O213" s="14">
        <f t="shared" si="32"/>
        <v>-7.7861095337589559E-2</v>
      </c>
      <c r="P213" s="14">
        <f t="shared" si="33"/>
        <v>6.0623501671692101E-3</v>
      </c>
    </row>
    <row r="214" spans="1:16">
      <c r="A214">
        <f t="shared" si="34"/>
        <v>201</v>
      </c>
      <c r="C214" s="71">
        <v>19133514411</v>
      </c>
      <c r="D214" s="3" t="s">
        <v>5</v>
      </c>
      <c r="E214" s="71">
        <v>334500</v>
      </c>
      <c r="F214" s="72">
        <v>0.93342301943198802</v>
      </c>
      <c r="G214" s="78">
        <v>44404</v>
      </c>
      <c r="H214">
        <v>312230</v>
      </c>
      <c r="I214" s="84">
        <f t="shared" si="27"/>
        <v>-22270</v>
      </c>
      <c r="J214" s="85">
        <f t="shared" si="28"/>
        <v>495952900</v>
      </c>
      <c r="K214" s="84">
        <f t="shared" si="35"/>
        <v>365104.0721003135</v>
      </c>
      <c r="L214" s="84">
        <f t="shared" si="29"/>
        <v>-52874.072100313497</v>
      </c>
      <c r="M214" s="85">
        <f t="shared" si="30"/>
        <v>2795667500.4691501</v>
      </c>
      <c r="N214" s="73">
        <f t="shared" si="31"/>
        <v>7.1036857111221763E-2</v>
      </c>
      <c r="O214" s="14">
        <f t="shared" si="32"/>
        <v>6.7039711470001095E-2</v>
      </c>
      <c r="P214" s="14">
        <f t="shared" si="33"/>
        <v>4.4943229139809962E-3</v>
      </c>
    </row>
    <row r="215" spans="1:16">
      <c r="A215">
        <f t="shared" si="34"/>
        <v>202</v>
      </c>
      <c r="C215" s="74">
        <v>19133514412</v>
      </c>
      <c r="D215" s="3" t="s">
        <v>5</v>
      </c>
      <c r="E215" s="74">
        <v>347500</v>
      </c>
      <c r="F215" s="75">
        <v>0.96443165467625902</v>
      </c>
      <c r="G215" s="78">
        <v>44391</v>
      </c>
      <c r="H215">
        <v>335140</v>
      </c>
      <c r="I215" s="84">
        <f t="shared" si="27"/>
        <v>-12360</v>
      </c>
      <c r="J215" s="85">
        <f t="shared" si="28"/>
        <v>152769600</v>
      </c>
      <c r="K215" s="84">
        <f t="shared" si="35"/>
        <v>365104.0721003135</v>
      </c>
      <c r="L215" s="84">
        <f t="shared" si="29"/>
        <v>-29964.072100313497</v>
      </c>
      <c r="M215" s="85">
        <f t="shared" si="30"/>
        <v>897845616.83278573</v>
      </c>
      <c r="N215" s="73">
        <f t="shared" si="31"/>
        <v>4.0028221866950764E-2</v>
      </c>
      <c r="O215" s="14">
        <f t="shared" si="32"/>
        <v>3.6031076225730096E-2</v>
      </c>
      <c r="P215" s="14">
        <f t="shared" si="33"/>
        <v>1.2982384539843726E-3</v>
      </c>
    </row>
    <row r="216" spans="1:16">
      <c r="A216">
        <f t="shared" si="34"/>
        <v>203</v>
      </c>
      <c r="C216" s="71">
        <v>19133514413</v>
      </c>
      <c r="D216" s="3" t="s">
        <v>5</v>
      </c>
      <c r="E216" s="71">
        <v>321400</v>
      </c>
      <c r="F216" s="72">
        <v>0.96185438705662729</v>
      </c>
      <c r="G216" s="78">
        <v>44403</v>
      </c>
      <c r="H216">
        <v>309140</v>
      </c>
      <c r="I216" s="84">
        <f t="shared" si="27"/>
        <v>-12260</v>
      </c>
      <c r="J216" s="85">
        <f t="shared" si="28"/>
        <v>150307600</v>
      </c>
      <c r="K216" s="84">
        <f t="shared" si="35"/>
        <v>365104.0721003135</v>
      </c>
      <c r="L216" s="84">
        <f t="shared" si="29"/>
        <v>-55964.072100313497</v>
      </c>
      <c r="M216" s="85">
        <f t="shared" si="30"/>
        <v>3131977366.0490875</v>
      </c>
      <c r="N216" s="73">
        <f t="shared" si="31"/>
        <v>4.2605489486582493E-2</v>
      </c>
      <c r="O216" s="14">
        <f t="shared" si="32"/>
        <v>3.8608343845361826E-2</v>
      </c>
      <c r="P216" s="14">
        <f t="shared" si="33"/>
        <v>1.4906042144816882E-3</v>
      </c>
    </row>
    <row r="217" spans="1:16">
      <c r="A217">
        <f t="shared" si="34"/>
        <v>204</v>
      </c>
      <c r="C217" s="74">
        <v>19133514414</v>
      </c>
      <c r="D217" s="3" t="s">
        <v>5</v>
      </c>
      <c r="E217" s="74">
        <v>352400</v>
      </c>
      <c r="F217" s="75">
        <v>0.97133938706015888</v>
      </c>
      <c r="G217" s="78">
        <v>44566</v>
      </c>
      <c r="H217">
        <v>342300</v>
      </c>
      <c r="I217" s="84">
        <f t="shared" si="27"/>
        <v>-10100</v>
      </c>
      <c r="J217" s="85">
        <f t="shared" si="28"/>
        <v>102010000</v>
      </c>
      <c r="K217" s="84">
        <f t="shared" si="35"/>
        <v>365104.0721003135</v>
      </c>
      <c r="L217" s="84">
        <f t="shared" si="29"/>
        <v>-22804.072100313497</v>
      </c>
      <c r="M217" s="85">
        <f t="shared" si="30"/>
        <v>520025704.35629642</v>
      </c>
      <c r="N217" s="73">
        <f t="shared" si="31"/>
        <v>3.3120489483050908E-2</v>
      </c>
      <c r="O217" s="14">
        <f t="shared" si="32"/>
        <v>2.912334384183024E-2</v>
      </c>
      <c r="P217" s="14">
        <f t="shared" si="33"/>
        <v>8.4816915652947142E-4</v>
      </c>
    </row>
    <row r="218" spans="1:16">
      <c r="A218">
        <f t="shared" si="34"/>
        <v>205</v>
      </c>
      <c r="C218" s="71">
        <v>19133514415</v>
      </c>
      <c r="D218" s="3" t="s">
        <v>5</v>
      </c>
      <c r="E218" s="71">
        <v>429700</v>
      </c>
      <c r="F218" s="72">
        <v>0.93693274377472657</v>
      </c>
      <c r="G218" s="78">
        <v>44476</v>
      </c>
      <c r="H218">
        <v>402600</v>
      </c>
      <c r="I218" s="84">
        <f t="shared" si="27"/>
        <v>-27100</v>
      </c>
      <c r="J218" s="85">
        <f t="shared" si="28"/>
        <v>734410000</v>
      </c>
      <c r="K218" s="84">
        <f t="shared" si="35"/>
        <v>365104.0721003135</v>
      </c>
      <c r="L218" s="84">
        <f t="shared" si="29"/>
        <v>37495.927899686503</v>
      </c>
      <c r="M218" s="85">
        <f t="shared" si="30"/>
        <v>1405944609.0584886</v>
      </c>
      <c r="N218" s="73">
        <f t="shared" si="31"/>
        <v>6.7527132768483211E-2</v>
      </c>
      <c r="O218" s="14">
        <f t="shared" si="32"/>
        <v>6.3529987127262544E-2</v>
      </c>
      <c r="P218" s="14">
        <f t="shared" si="33"/>
        <v>4.0360592643901442E-3</v>
      </c>
    </row>
    <row r="219" spans="1:16">
      <c r="A219">
        <f t="shared" si="34"/>
        <v>206</v>
      </c>
      <c r="C219" s="74">
        <v>19133514416</v>
      </c>
      <c r="D219" s="3" t="s">
        <v>5</v>
      </c>
      <c r="E219" s="74">
        <v>399300</v>
      </c>
      <c r="F219" s="75">
        <v>0.91620335587277735</v>
      </c>
      <c r="G219" s="78">
        <v>44439</v>
      </c>
      <c r="H219">
        <v>365840</v>
      </c>
      <c r="I219" s="84">
        <f t="shared" si="27"/>
        <v>-33460</v>
      </c>
      <c r="J219" s="85">
        <f t="shared" si="28"/>
        <v>1119571600</v>
      </c>
      <c r="K219" s="84">
        <f t="shared" si="35"/>
        <v>365104.0721003135</v>
      </c>
      <c r="L219" s="84">
        <f t="shared" si="29"/>
        <v>735.92789968650322</v>
      </c>
      <c r="M219" s="85">
        <f t="shared" si="30"/>
        <v>541589.87353698793</v>
      </c>
      <c r="N219" s="73">
        <f t="shared" si="31"/>
        <v>8.8256520670432437E-2</v>
      </c>
      <c r="O219" s="14">
        <f t="shared" si="32"/>
        <v>8.4259375029211769E-2</v>
      </c>
      <c r="P219" s="14">
        <f t="shared" si="33"/>
        <v>7.0996422803133556E-3</v>
      </c>
    </row>
    <row r="220" spans="1:16">
      <c r="A220">
        <f t="shared" si="34"/>
        <v>207</v>
      </c>
      <c r="C220" s="71">
        <v>19133514417</v>
      </c>
      <c r="D220" s="3" t="s">
        <v>5</v>
      </c>
      <c r="E220" s="71">
        <v>354500</v>
      </c>
      <c r="F220" s="72">
        <v>0.9623413258110014</v>
      </c>
      <c r="G220" s="78">
        <v>44427</v>
      </c>
      <c r="H220">
        <v>341150</v>
      </c>
      <c r="I220" s="84">
        <f t="shared" si="27"/>
        <v>-13350</v>
      </c>
      <c r="J220" s="85">
        <f t="shared" si="28"/>
        <v>178222500</v>
      </c>
      <c r="K220" s="84">
        <f t="shared" si="35"/>
        <v>365104.0721003135</v>
      </c>
      <c r="L220" s="84">
        <f t="shared" si="29"/>
        <v>-23954.072100313497</v>
      </c>
      <c r="M220" s="85">
        <f t="shared" si="30"/>
        <v>573797570.18701744</v>
      </c>
      <c r="N220" s="73">
        <f t="shared" si="31"/>
        <v>4.2118550732208382E-2</v>
      </c>
      <c r="O220" s="14">
        <f t="shared" si="32"/>
        <v>3.8121405090987714E-2</v>
      </c>
      <c r="P220" s="14">
        <f t="shared" si="33"/>
        <v>1.453241526111184E-3</v>
      </c>
    </row>
    <row r="221" spans="1:16">
      <c r="A221">
        <f t="shared" si="34"/>
        <v>208</v>
      </c>
      <c r="C221" s="74">
        <v>19133514418</v>
      </c>
      <c r="D221" s="3" t="s">
        <v>5</v>
      </c>
      <c r="E221" s="74">
        <v>337600</v>
      </c>
      <c r="F221" s="75">
        <v>0.89922985781990517</v>
      </c>
      <c r="G221" s="78">
        <v>44474</v>
      </c>
      <c r="H221">
        <v>303580</v>
      </c>
      <c r="I221" s="84">
        <f t="shared" si="27"/>
        <v>-34020</v>
      </c>
      <c r="J221" s="85">
        <f t="shared" si="28"/>
        <v>1157360400</v>
      </c>
      <c r="K221" s="84">
        <f t="shared" si="35"/>
        <v>365104.0721003135</v>
      </c>
      <c r="L221" s="84">
        <f t="shared" si="29"/>
        <v>-61524.072100313497</v>
      </c>
      <c r="M221" s="85">
        <f t="shared" si="30"/>
        <v>3785211447.8045735</v>
      </c>
      <c r="N221" s="73">
        <f t="shared" si="31"/>
        <v>0.10523001872330462</v>
      </c>
      <c r="O221" s="14">
        <f t="shared" si="32"/>
        <v>0.10123287308208395</v>
      </c>
      <c r="P221" s="14">
        <f t="shared" si="33"/>
        <v>1.0248094592453318E-2</v>
      </c>
    </row>
    <row r="222" spans="1:16">
      <c r="A222">
        <f t="shared" si="34"/>
        <v>209</v>
      </c>
      <c r="C222" s="71">
        <v>19133514419</v>
      </c>
      <c r="D222" s="3" t="s">
        <v>5</v>
      </c>
      <c r="E222" s="71">
        <v>421400</v>
      </c>
      <c r="F222" s="72">
        <v>1.0051732320835312</v>
      </c>
      <c r="G222" s="78">
        <v>44687</v>
      </c>
      <c r="H222">
        <v>423580</v>
      </c>
      <c r="I222" s="84">
        <f t="shared" si="27"/>
        <v>2180</v>
      </c>
      <c r="J222" s="85">
        <f t="shared" si="28"/>
        <v>4752400</v>
      </c>
      <c r="K222" s="84">
        <f t="shared" si="35"/>
        <v>365104.0721003135</v>
      </c>
      <c r="L222" s="84">
        <f t="shared" si="29"/>
        <v>58475.927899686503</v>
      </c>
      <c r="M222" s="85">
        <f t="shared" si="30"/>
        <v>3419434143.7293344</v>
      </c>
      <c r="N222" s="73">
        <f t="shared" si="31"/>
        <v>7.1335554032136983E-4</v>
      </c>
      <c r="O222" s="14">
        <f t="shared" si="32"/>
        <v>-4.7105011815420372E-3</v>
      </c>
      <c r="P222" s="14">
        <f t="shared" si="33"/>
        <v>2.2188821381308928E-5</v>
      </c>
    </row>
    <row r="223" spans="1:16">
      <c r="A223">
        <f t="shared" si="34"/>
        <v>210</v>
      </c>
      <c r="C223" s="74">
        <v>19133514420</v>
      </c>
      <c r="D223" s="3" t="s">
        <v>5</v>
      </c>
      <c r="E223" s="74">
        <v>366000</v>
      </c>
      <c r="F223" s="75">
        <v>0.99699453551912565</v>
      </c>
      <c r="G223" s="78">
        <v>44523</v>
      </c>
      <c r="H223">
        <v>364900</v>
      </c>
      <c r="I223" s="84">
        <f t="shared" si="27"/>
        <v>-1100</v>
      </c>
      <c r="J223" s="85">
        <f t="shared" si="28"/>
        <v>1210000</v>
      </c>
      <c r="K223" s="84">
        <f t="shared" si="35"/>
        <v>365104.0721003135</v>
      </c>
      <c r="L223" s="84">
        <f t="shared" si="29"/>
        <v>-204.07210031349678</v>
      </c>
      <c r="M223" s="85">
        <f t="shared" si="30"/>
        <v>41645.422126361889</v>
      </c>
      <c r="N223" s="73">
        <f t="shared" si="31"/>
        <v>7.4653410240841378E-3</v>
      </c>
      <c r="O223" s="14">
        <f t="shared" si="32"/>
        <v>3.4681953828634704E-3</v>
      </c>
      <c r="P223" s="14">
        <f t="shared" si="33"/>
        <v>1.2028379213715494E-5</v>
      </c>
    </row>
    <row r="224" spans="1:16">
      <c r="A224">
        <f t="shared" si="34"/>
        <v>211</v>
      </c>
      <c r="C224" s="71">
        <v>19133514421</v>
      </c>
      <c r="D224" s="3" t="s">
        <v>5</v>
      </c>
      <c r="E224" s="71">
        <v>383400</v>
      </c>
      <c r="F224" s="72">
        <v>0.9667657798643714</v>
      </c>
      <c r="G224" s="78">
        <v>44357</v>
      </c>
      <c r="H224">
        <v>370658</v>
      </c>
      <c r="I224" s="84">
        <f t="shared" si="27"/>
        <v>-12742</v>
      </c>
      <c r="J224" s="85">
        <f t="shared" si="28"/>
        <v>162358564</v>
      </c>
      <c r="K224" s="84">
        <f t="shared" si="35"/>
        <v>365104.0721003135</v>
      </c>
      <c r="L224" s="84">
        <f t="shared" si="29"/>
        <v>5553.9278996865032</v>
      </c>
      <c r="M224" s="85">
        <f t="shared" si="30"/>
        <v>30846115.114916135</v>
      </c>
      <c r="N224" s="73">
        <f t="shared" si="31"/>
        <v>3.7694096678838385E-2</v>
      </c>
      <c r="O224" s="14">
        <f t="shared" si="32"/>
        <v>3.3696951037617717E-2</v>
      </c>
      <c r="P224" s="14">
        <f t="shared" si="33"/>
        <v>1.1354845092316059E-3</v>
      </c>
    </row>
    <row r="225" spans="1:16">
      <c r="A225">
        <f t="shared" si="34"/>
        <v>212</v>
      </c>
      <c r="C225" s="74">
        <v>19133514422</v>
      </c>
      <c r="D225" s="3" t="s">
        <v>5</v>
      </c>
      <c r="E225" s="74">
        <v>353600</v>
      </c>
      <c r="F225" s="75">
        <v>0.94994343891402711</v>
      </c>
      <c r="G225" s="78">
        <v>44355</v>
      </c>
      <c r="H225">
        <v>335900</v>
      </c>
      <c r="I225" s="84">
        <f t="shared" si="27"/>
        <v>-17700</v>
      </c>
      <c r="J225" s="85">
        <f t="shared" si="28"/>
        <v>313290000</v>
      </c>
      <c r="K225" s="84">
        <f t="shared" si="35"/>
        <v>365104.0721003135</v>
      </c>
      <c r="L225" s="84">
        <f t="shared" si="29"/>
        <v>-29204.072100313497</v>
      </c>
      <c r="M225" s="85">
        <f t="shared" si="30"/>
        <v>852877827.24030912</v>
      </c>
      <c r="N225" s="73">
        <f t="shared" si="31"/>
        <v>5.4516437629182679E-2</v>
      </c>
      <c r="O225" s="14">
        <f t="shared" si="32"/>
        <v>5.0519291987962012E-2</v>
      </c>
      <c r="P225" s="14">
        <f t="shared" si="33"/>
        <v>2.5521988629649628E-3</v>
      </c>
    </row>
    <row r="226" spans="1:16">
      <c r="A226">
        <f t="shared" si="34"/>
        <v>213</v>
      </c>
      <c r="C226" s="71">
        <v>19133514423</v>
      </c>
      <c r="D226" s="3" t="s">
        <v>5</v>
      </c>
      <c r="E226" s="71">
        <v>354500</v>
      </c>
      <c r="F226" s="72">
        <v>0.90829337094499296</v>
      </c>
      <c r="G226" s="78">
        <v>44481</v>
      </c>
      <c r="H226">
        <v>321990</v>
      </c>
      <c r="I226" s="84">
        <f t="shared" si="27"/>
        <v>-32510</v>
      </c>
      <c r="J226" s="85">
        <f t="shared" si="28"/>
        <v>1056900100</v>
      </c>
      <c r="K226" s="84">
        <f t="shared" si="35"/>
        <v>365104.0721003135</v>
      </c>
      <c r="L226" s="84">
        <f t="shared" si="29"/>
        <v>-43114.072100313497</v>
      </c>
      <c r="M226" s="85">
        <f t="shared" si="30"/>
        <v>1858823213.0710306</v>
      </c>
      <c r="N226" s="73">
        <f t="shared" si="31"/>
        <v>9.6166505598216823E-2</v>
      </c>
      <c r="O226" s="14">
        <f t="shared" si="32"/>
        <v>9.2169359956996155E-2</v>
      </c>
      <c r="P226" s="14">
        <f t="shared" si="33"/>
        <v>8.4951909148823258E-3</v>
      </c>
    </row>
    <row r="227" spans="1:16">
      <c r="A227">
        <f t="shared" si="34"/>
        <v>214</v>
      </c>
      <c r="C227" s="74">
        <v>19133514424</v>
      </c>
      <c r="D227" s="3" t="s">
        <v>5</v>
      </c>
      <c r="E227" s="74">
        <v>395400</v>
      </c>
      <c r="F227" s="75">
        <v>1.0147445624683864</v>
      </c>
      <c r="G227" s="78">
        <v>44657</v>
      </c>
      <c r="H227">
        <v>401230</v>
      </c>
      <c r="I227" s="84">
        <f t="shared" si="27"/>
        <v>5830</v>
      </c>
      <c r="J227" s="85">
        <f t="shared" si="28"/>
        <v>33988900</v>
      </c>
      <c r="K227" s="84">
        <f t="shared" si="35"/>
        <v>365104.0721003135</v>
      </c>
      <c r="L227" s="84">
        <f t="shared" si="29"/>
        <v>36125.927899686503</v>
      </c>
      <c r="M227" s="85">
        <f t="shared" si="30"/>
        <v>1305082666.6133478</v>
      </c>
      <c r="N227" s="73">
        <f t="shared" si="31"/>
        <v>1.0284685925176618E-2</v>
      </c>
      <c r="O227" s="14">
        <f t="shared" si="32"/>
        <v>-1.4281831566397285E-2</v>
      </c>
      <c r="P227" s="14">
        <f t="shared" si="33"/>
        <v>2.0397071289094193E-4</v>
      </c>
    </row>
    <row r="228" spans="1:16">
      <c r="A228">
        <f t="shared" si="34"/>
        <v>215</v>
      </c>
      <c r="C228" s="71">
        <v>19133514424</v>
      </c>
      <c r="D228" s="3" t="s">
        <v>5</v>
      </c>
      <c r="E228" s="71">
        <v>434200</v>
      </c>
      <c r="F228" s="72">
        <v>0.97881160755412255</v>
      </c>
      <c r="G228" s="78">
        <v>45212</v>
      </c>
      <c r="H228">
        <v>425000</v>
      </c>
      <c r="I228" s="84">
        <f t="shared" si="27"/>
        <v>-9200</v>
      </c>
      <c r="J228" s="85">
        <f t="shared" si="28"/>
        <v>84640000</v>
      </c>
      <c r="K228" s="84">
        <f t="shared" si="35"/>
        <v>365104.0721003135</v>
      </c>
      <c r="L228" s="84">
        <f t="shared" si="29"/>
        <v>59895.927899686503</v>
      </c>
      <c r="M228" s="85">
        <f t="shared" si="30"/>
        <v>3587522178.9644442</v>
      </c>
      <c r="N228" s="73">
        <f t="shared" si="31"/>
        <v>2.5648268989087231E-2</v>
      </c>
      <c r="O228" s="14">
        <f t="shared" si="32"/>
        <v>2.1651123347866563E-2</v>
      </c>
      <c r="P228" s="14">
        <f t="shared" si="33"/>
        <v>4.6877114222453259E-4</v>
      </c>
    </row>
    <row r="229" spans="1:16">
      <c r="A229">
        <f t="shared" si="34"/>
        <v>216</v>
      </c>
      <c r="C229" s="74">
        <v>19133514424</v>
      </c>
      <c r="D229" s="3" t="s">
        <v>5</v>
      </c>
      <c r="E229" s="74">
        <v>425900</v>
      </c>
      <c r="F229" s="75">
        <v>1.0272364404789858</v>
      </c>
      <c r="G229" s="78">
        <v>45057</v>
      </c>
      <c r="H229">
        <v>437500</v>
      </c>
      <c r="I229" s="84">
        <f t="shared" si="27"/>
        <v>11600</v>
      </c>
      <c r="J229" s="85">
        <f t="shared" si="28"/>
        <v>134560000</v>
      </c>
      <c r="K229" s="84">
        <f t="shared" si="35"/>
        <v>365104.0721003135</v>
      </c>
      <c r="L229" s="84">
        <f t="shared" si="29"/>
        <v>72395.927899686503</v>
      </c>
      <c r="M229" s="85">
        <f t="shared" si="30"/>
        <v>5241170376.4566069</v>
      </c>
      <c r="N229" s="73">
        <f t="shared" si="31"/>
        <v>2.2776563935775984E-2</v>
      </c>
      <c r="O229" s="14">
        <f t="shared" si="32"/>
        <v>-2.6773709576996652E-2</v>
      </c>
      <c r="P229" s="14">
        <f t="shared" si="33"/>
        <v>7.1683152451336224E-4</v>
      </c>
    </row>
    <row r="230" spans="1:16">
      <c r="A230">
        <f t="shared" si="34"/>
        <v>217</v>
      </c>
      <c r="C230" s="71">
        <v>19133514425</v>
      </c>
      <c r="D230" s="3" t="s">
        <v>5</v>
      </c>
      <c r="E230" s="71">
        <v>362800</v>
      </c>
      <c r="F230" s="72">
        <v>1.0166069459757443</v>
      </c>
      <c r="G230" s="78">
        <v>44398</v>
      </c>
      <c r="H230">
        <v>368825</v>
      </c>
      <c r="I230" s="84">
        <f t="shared" si="27"/>
        <v>6025</v>
      </c>
      <c r="J230" s="85">
        <f t="shared" si="28"/>
        <v>36300625</v>
      </c>
      <c r="K230" s="84">
        <f t="shared" si="35"/>
        <v>365104.0721003135</v>
      </c>
      <c r="L230" s="84">
        <f t="shared" si="29"/>
        <v>3720.9278996865032</v>
      </c>
      <c r="M230" s="85">
        <f t="shared" si="30"/>
        <v>13845304.434665412</v>
      </c>
      <c r="N230" s="73">
        <f t="shared" si="31"/>
        <v>1.2147069432534519E-2</v>
      </c>
      <c r="O230" s="14">
        <f t="shared" si="32"/>
        <v>-1.6144215073755186E-2</v>
      </c>
      <c r="P230" s="14">
        <f t="shared" si="33"/>
        <v>2.6063568034766417E-4</v>
      </c>
    </row>
    <row r="231" spans="1:16">
      <c r="A231">
        <f t="shared" si="34"/>
        <v>218</v>
      </c>
      <c r="C231" s="74">
        <v>19133514426</v>
      </c>
      <c r="D231" s="3" t="s">
        <v>5</v>
      </c>
      <c r="E231" s="74">
        <v>395300</v>
      </c>
      <c r="F231" s="75">
        <v>0.91032127498102711</v>
      </c>
      <c r="G231" s="78">
        <v>44463</v>
      </c>
      <c r="H231">
        <v>359850</v>
      </c>
      <c r="I231" s="84">
        <f t="shared" si="27"/>
        <v>-35450</v>
      </c>
      <c r="J231" s="85">
        <f t="shared" si="28"/>
        <v>1256702500</v>
      </c>
      <c r="K231" s="84">
        <f t="shared" si="35"/>
        <v>365104.0721003135</v>
      </c>
      <c r="L231" s="84">
        <f t="shared" si="29"/>
        <v>-5254.0721003134968</v>
      </c>
      <c r="M231" s="85">
        <f t="shared" si="30"/>
        <v>27605273.635292679</v>
      </c>
      <c r="N231" s="73">
        <f t="shared" si="31"/>
        <v>9.4138601562182678E-2</v>
      </c>
      <c r="O231" s="14">
        <f t="shared" si="32"/>
        <v>9.014145592096201E-2</v>
      </c>
      <c r="P231" s="14">
        <f t="shared" si="33"/>
        <v>8.1254820755507374E-3</v>
      </c>
    </row>
    <row r="232" spans="1:16">
      <c r="A232">
        <f t="shared" si="34"/>
        <v>219</v>
      </c>
      <c r="C232" s="71">
        <v>19133514427</v>
      </c>
      <c r="D232" s="3" t="s">
        <v>5</v>
      </c>
      <c r="E232" s="71">
        <v>406000</v>
      </c>
      <c r="F232" s="72">
        <v>1.0301059113300493</v>
      </c>
      <c r="G232" s="78">
        <v>44351</v>
      </c>
      <c r="H232">
        <v>418223</v>
      </c>
      <c r="I232" s="84">
        <f t="shared" si="27"/>
        <v>12223</v>
      </c>
      <c r="J232" s="85">
        <f t="shared" si="28"/>
        <v>149401729</v>
      </c>
      <c r="K232" s="84">
        <f t="shared" si="35"/>
        <v>365104.0721003135</v>
      </c>
      <c r="L232" s="84">
        <f t="shared" si="29"/>
        <v>53118.927899686503</v>
      </c>
      <c r="M232" s="85">
        <f t="shared" si="30"/>
        <v>2821620501.2120934</v>
      </c>
      <c r="N232" s="73">
        <f t="shared" si="31"/>
        <v>2.5646034786839467E-2</v>
      </c>
      <c r="O232" s="14">
        <f t="shared" si="32"/>
        <v>-2.9643180428060134E-2</v>
      </c>
      <c r="P232" s="14">
        <f t="shared" si="33"/>
        <v>8.7871814589052743E-4</v>
      </c>
    </row>
    <row r="233" spans="1:16">
      <c r="A233">
        <f t="shared" si="34"/>
        <v>220</v>
      </c>
      <c r="C233" s="74">
        <v>19133514428</v>
      </c>
      <c r="D233" s="3" t="s">
        <v>5</v>
      </c>
      <c r="E233" s="74">
        <v>421800</v>
      </c>
      <c r="F233" s="75">
        <v>0.93575154101469893</v>
      </c>
      <c r="G233" s="78">
        <v>44459</v>
      </c>
      <c r="H233">
        <v>394700</v>
      </c>
      <c r="I233" s="84">
        <f t="shared" si="27"/>
        <v>-27100</v>
      </c>
      <c r="J233" s="85">
        <f t="shared" si="28"/>
        <v>734410000</v>
      </c>
      <c r="K233" s="84">
        <f t="shared" si="35"/>
        <v>365104.0721003135</v>
      </c>
      <c r="L233" s="84">
        <f t="shared" si="29"/>
        <v>29595.927899686503</v>
      </c>
      <c r="M233" s="85">
        <f t="shared" si="30"/>
        <v>875918948.24344194</v>
      </c>
      <c r="N233" s="73">
        <f t="shared" si="31"/>
        <v>6.8708335528510855E-2</v>
      </c>
      <c r="O233" s="14">
        <f t="shared" si="32"/>
        <v>6.4711189887290188E-2</v>
      </c>
      <c r="P233" s="14">
        <f t="shared" si="33"/>
        <v>4.1875380966289281E-3</v>
      </c>
    </row>
    <row r="234" spans="1:16">
      <c r="A234">
        <f t="shared" si="34"/>
        <v>221</v>
      </c>
      <c r="C234" s="71">
        <v>19133514429</v>
      </c>
      <c r="D234" s="3" t="s">
        <v>5</v>
      </c>
      <c r="E234" s="71">
        <v>418800</v>
      </c>
      <c r="F234" s="72">
        <v>0.9190783190066858</v>
      </c>
      <c r="G234" s="78">
        <v>44435</v>
      </c>
      <c r="H234">
        <v>384910</v>
      </c>
      <c r="I234" s="84">
        <f t="shared" si="27"/>
        <v>-33890</v>
      </c>
      <c r="J234" s="85">
        <f t="shared" si="28"/>
        <v>1148532100</v>
      </c>
      <c r="K234" s="84">
        <f t="shared" si="35"/>
        <v>365104.0721003135</v>
      </c>
      <c r="L234" s="84">
        <f t="shared" si="29"/>
        <v>19805.927899686503</v>
      </c>
      <c r="M234" s="85">
        <f t="shared" si="30"/>
        <v>392274779.9675802</v>
      </c>
      <c r="N234" s="73">
        <f t="shared" si="31"/>
        <v>8.5381557536523989E-2</v>
      </c>
      <c r="O234" s="14">
        <f t="shared" si="32"/>
        <v>8.1384411895303321E-2</v>
      </c>
      <c r="P234" s="14">
        <f t="shared" si="33"/>
        <v>6.6234224995443888E-3</v>
      </c>
    </row>
    <row r="235" spans="1:16">
      <c r="A235">
        <f t="shared" si="34"/>
        <v>222</v>
      </c>
      <c r="C235" s="74">
        <v>19133514430</v>
      </c>
      <c r="D235" s="3" t="s">
        <v>5</v>
      </c>
      <c r="E235" s="74">
        <v>318100</v>
      </c>
      <c r="F235" s="75">
        <v>0.94614900974536309</v>
      </c>
      <c r="G235" s="78">
        <v>44385</v>
      </c>
      <c r="H235">
        <v>300970</v>
      </c>
      <c r="I235" s="84">
        <f t="shared" si="27"/>
        <v>-17130</v>
      </c>
      <c r="J235" s="85">
        <f t="shared" si="28"/>
        <v>293436900</v>
      </c>
      <c r="K235" s="84">
        <f t="shared" si="35"/>
        <v>365104.0721003135</v>
      </c>
      <c r="L235" s="84">
        <f t="shared" si="29"/>
        <v>-64134.072100313497</v>
      </c>
      <c r="M235" s="85">
        <f t="shared" si="30"/>
        <v>4113179204.16821</v>
      </c>
      <c r="N235" s="73">
        <f t="shared" si="31"/>
        <v>5.8310866797846694E-2</v>
      </c>
      <c r="O235" s="14">
        <f t="shared" si="32"/>
        <v>5.4313721156626027E-2</v>
      </c>
      <c r="P235" s="14">
        <f t="shared" si="33"/>
        <v>2.9499803058797257E-3</v>
      </c>
    </row>
    <row r="236" spans="1:16">
      <c r="A236">
        <f t="shared" si="34"/>
        <v>223</v>
      </c>
      <c r="C236" s="71">
        <v>19133514431</v>
      </c>
      <c r="D236" s="3" t="s">
        <v>5</v>
      </c>
      <c r="E236" s="71">
        <v>325700</v>
      </c>
      <c r="F236" s="72">
        <v>1.0173411114522566</v>
      </c>
      <c r="G236" s="78">
        <v>44330</v>
      </c>
      <c r="H236">
        <v>331348</v>
      </c>
      <c r="I236" s="84">
        <f t="shared" si="27"/>
        <v>5648</v>
      </c>
      <c r="J236" s="85">
        <f t="shared" si="28"/>
        <v>31899904</v>
      </c>
      <c r="K236" s="84">
        <f t="shared" si="35"/>
        <v>365104.0721003135</v>
      </c>
      <c r="L236" s="84">
        <f t="shared" si="29"/>
        <v>-33756.072100313497</v>
      </c>
      <c r="M236" s="85">
        <f t="shared" si="30"/>
        <v>1139472403.6415632</v>
      </c>
      <c r="N236" s="73">
        <f t="shared" si="31"/>
        <v>1.2881234909046801E-2</v>
      </c>
      <c r="O236" s="14">
        <f t="shared" si="32"/>
        <v>-1.6878380550267469E-2</v>
      </c>
      <c r="P236" s="14">
        <f t="shared" si="33"/>
        <v>2.8487972999964719E-4</v>
      </c>
    </row>
    <row r="237" spans="1:16">
      <c r="A237">
        <f t="shared" si="34"/>
        <v>224</v>
      </c>
      <c r="C237" s="74">
        <v>19133514432</v>
      </c>
      <c r="D237" s="3" t="s">
        <v>5</v>
      </c>
      <c r="E237" s="74">
        <v>404500</v>
      </c>
      <c r="F237" s="75">
        <v>0.9502595797280593</v>
      </c>
      <c r="G237" s="78">
        <v>44406</v>
      </c>
      <c r="H237">
        <v>384380</v>
      </c>
      <c r="I237" s="84">
        <f t="shared" si="27"/>
        <v>-20120</v>
      </c>
      <c r="J237" s="85">
        <f t="shared" si="28"/>
        <v>404814400</v>
      </c>
      <c r="K237" s="84">
        <f t="shared" si="35"/>
        <v>365104.0721003135</v>
      </c>
      <c r="L237" s="84">
        <f t="shared" si="29"/>
        <v>19275.927899686503</v>
      </c>
      <c r="M237" s="85">
        <f t="shared" si="30"/>
        <v>371561396.39391255</v>
      </c>
      <c r="N237" s="73">
        <f t="shared" si="31"/>
        <v>5.4200296815150484E-2</v>
      </c>
      <c r="O237" s="14">
        <f t="shared" si="32"/>
        <v>5.0203151173929816E-2</v>
      </c>
      <c r="P237" s="14">
        <f t="shared" si="33"/>
        <v>2.5203563877924506E-3</v>
      </c>
    </row>
    <row r="238" spans="1:16">
      <c r="A238">
        <f t="shared" si="34"/>
        <v>225</v>
      </c>
      <c r="C238" s="71">
        <v>19133541411</v>
      </c>
      <c r="D238" s="3" t="s">
        <v>5</v>
      </c>
      <c r="E238" s="71">
        <v>343200</v>
      </c>
      <c r="F238" s="72">
        <v>0.99067599067599066</v>
      </c>
      <c r="G238" s="78">
        <v>45125</v>
      </c>
      <c r="H238">
        <v>340000</v>
      </c>
      <c r="I238" s="84">
        <f t="shared" si="27"/>
        <v>-3200</v>
      </c>
      <c r="J238" s="85">
        <f t="shared" si="28"/>
        <v>10240000</v>
      </c>
      <c r="K238" s="84">
        <f t="shared" si="35"/>
        <v>365104.0721003135</v>
      </c>
      <c r="L238" s="84">
        <f t="shared" si="29"/>
        <v>-25104.072100313497</v>
      </c>
      <c r="M238" s="85">
        <f t="shared" si="30"/>
        <v>630214436.01773846</v>
      </c>
      <c r="N238" s="73">
        <f t="shared" si="31"/>
        <v>1.3783885867219126E-2</v>
      </c>
      <c r="O238" s="14">
        <f t="shared" si="32"/>
        <v>9.7867402259984582E-3</v>
      </c>
      <c r="P238" s="14">
        <f t="shared" si="33"/>
        <v>9.5780284251176356E-5</v>
      </c>
    </row>
    <row r="239" spans="1:16">
      <c r="A239">
        <f t="shared" si="34"/>
        <v>226</v>
      </c>
      <c r="C239" s="74">
        <v>19133541423</v>
      </c>
      <c r="D239" s="3" t="s">
        <v>5</v>
      </c>
      <c r="E239" s="74">
        <v>345000</v>
      </c>
      <c r="F239" s="75">
        <v>0.95652173913043481</v>
      </c>
      <c r="G239" s="78">
        <v>44370</v>
      </c>
      <c r="H239">
        <v>330000</v>
      </c>
      <c r="I239" s="84">
        <f t="shared" si="27"/>
        <v>-15000</v>
      </c>
      <c r="J239" s="85">
        <f t="shared" si="28"/>
        <v>225000000</v>
      </c>
      <c r="K239" s="84">
        <f t="shared" si="35"/>
        <v>365104.0721003135</v>
      </c>
      <c r="L239" s="84">
        <f t="shared" si="29"/>
        <v>-35104.072100313497</v>
      </c>
      <c r="M239" s="85">
        <f t="shared" si="30"/>
        <v>1232295878.0240085</v>
      </c>
      <c r="N239" s="73">
        <f t="shared" si="31"/>
        <v>4.7938137412774973E-2</v>
      </c>
      <c r="O239" s="14">
        <f t="shared" si="32"/>
        <v>4.3940991771554305E-2</v>
      </c>
      <c r="P239" s="14">
        <f t="shared" si="33"/>
        <v>1.9308107578678031E-3</v>
      </c>
    </row>
    <row r="240" spans="1:16">
      <c r="A240">
        <f t="shared" si="34"/>
        <v>227</v>
      </c>
      <c r="C240" s="71">
        <v>19133541424</v>
      </c>
      <c r="D240" s="3" t="s">
        <v>5</v>
      </c>
      <c r="E240" s="71">
        <v>405800</v>
      </c>
      <c r="F240" s="72">
        <v>0.90963035978314444</v>
      </c>
      <c r="G240" s="78">
        <v>44370</v>
      </c>
      <c r="H240">
        <v>369128</v>
      </c>
      <c r="I240" s="84">
        <f t="shared" si="27"/>
        <v>-36672</v>
      </c>
      <c r="J240" s="85">
        <f t="shared" si="28"/>
        <v>1344835584</v>
      </c>
      <c r="K240" s="84">
        <f t="shared" si="35"/>
        <v>365104.0721003135</v>
      </c>
      <c r="L240" s="84">
        <f t="shared" si="29"/>
        <v>4023.9278996865032</v>
      </c>
      <c r="M240" s="85">
        <f t="shared" si="30"/>
        <v>16191995.741875432</v>
      </c>
      <c r="N240" s="73">
        <f t="shared" si="31"/>
        <v>9.4829516760065347E-2</v>
      </c>
      <c r="O240" s="14">
        <f t="shared" si="32"/>
        <v>9.0832371118844679E-2</v>
      </c>
      <c r="P240" s="14">
        <f t="shared" si="33"/>
        <v>8.2505196430715296E-3</v>
      </c>
    </row>
    <row r="241" spans="1:16">
      <c r="A241">
        <f t="shared" si="34"/>
        <v>228</v>
      </c>
      <c r="C241" s="74">
        <v>19133541425</v>
      </c>
      <c r="D241" s="3" t="s">
        <v>5</v>
      </c>
      <c r="E241" s="74">
        <v>335700</v>
      </c>
      <c r="F241" s="75">
        <v>0.98242478403336309</v>
      </c>
      <c r="G241" s="78">
        <v>44341</v>
      </c>
      <c r="H241">
        <v>329800</v>
      </c>
      <c r="I241" s="84">
        <f t="shared" si="27"/>
        <v>-5900</v>
      </c>
      <c r="J241" s="85">
        <f t="shared" si="28"/>
        <v>34810000</v>
      </c>
      <c r="K241" s="84">
        <f t="shared" si="35"/>
        <v>365104.0721003135</v>
      </c>
      <c r="L241" s="84">
        <f t="shared" si="29"/>
        <v>-35304.072100313497</v>
      </c>
      <c r="M241" s="85">
        <f t="shared" si="30"/>
        <v>1246377506.8641338</v>
      </c>
      <c r="N241" s="73">
        <f t="shared" si="31"/>
        <v>2.2035092509846699E-2</v>
      </c>
      <c r="O241" s="14">
        <f t="shared" si="32"/>
        <v>1.8037946868626031E-2</v>
      </c>
      <c r="P241" s="14">
        <f t="shared" si="33"/>
        <v>3.2536752723537566E-4</v>
      </c>
    </row>
    <row r="242" spans="1:16">
      <c r="A242">
        <f t="shared" si="34"/>
        <v>229</v>
      </c>
      <c r="C242" s="71">
        <v>19133541426</v>
      </c>
      <c r="D242" s="3" t="s">
        <v>5</v>
      </c>
      <c r="E242" s="71">
        <v>341400</v>
      </c>
      <c r="F242" s="72">
        <v>0.9097832454598711</v>
      </c>
      <c r="G242" s="78">
        <v>44403</v>
      </c>
      <c r="H242">
        <v>310600</v>
      </c>
      <c r="I242" s="84">
        <f t="shared" si="27"/>
        <v>-30800</v>
      </c>
      <c r="J242" s="85">
        <f t="shared" si="28"/>
        <v>948640000</v>
      </c>
      <c r="K242" s="84">
        <f t="shared" si="35"/>
        <v>365104.0721003135</v>
      </c>
      <c r="L242" s="84">
        <f t="shared" si="29"/>
        <v>-54504.072100313497</v>
      </c>
      <c r="M242" s="85">
        <f t="shared" si="30"/>
        <v>2970693875.5161719</v>
      </c>
      <c r="N242" s="73">
        <f t="shared" si="31"/>
        <v>9.467663108333868E-2</v>
      </c>
      <c r="O242" s="14">
        <f t="shared" si="32"/>
        <v>9.0679485442118013E-2</v>
      </c>
      <c r="P242" s="14">
        <f t="shared" si="33"/>
        <v>8.222769080047293E-3</v>
      </c>
    </row>
    <row r="243" spans="1:16">
      <c r="A243">
        <f t="shared" si="34"/>
        <v>230</v>
      </c>
      <c r="C243" s="74">
        <v>19133541427</v>
      </c>
      <c r="D243" s="3" t="s">
        <v>5</v>
      </c>
      <c r="E243" s="74">
        <v>326200</v>
      </c>
      <c r="F243" s="75">
        <v>0.9830165542611895</v>
      </c>
      <c r="G243" s="78">
        <v>44364</v>
      </c>
      <c r="H243">
        <v>320660</v>
      </c>
      <c r="I243" s="84">
        <f t="shared" si="27"/>
        <v>-5540</v>
      </c>
      <c r="J243" s="85">
        <f t="shared" si="28"/>
        <v>30691600</v>
      </c>
      <c r="K243" s="84">
        <f t="shared" si="35"/>
        <v>365104.0721003135</v>
      </c>
      <c r="L243" s="84">
        <f t="shared" si="29"/>
        <v>-44444.072100313497</v>
      </c>
      <c r="M243" s="85">
        <f t="shared" si="30"/>
        <v>1975275544.8578646</v>
      </c>
      <c r="N243" s="73">
        <f t="shared" si="31"/>
        <v>2.1443322282020283E-2</v>
      </c>
      <c r="O243" s="14">
        <f t="shared" si="32"/>
        <v>1.7446176640799615E-2</v>
      </c>
      <c r="P243" s="14">
        <f t="shared" si="33"/>
        <v>3.0436907938198213E-4</v>
      </c>
    </row>
    <row r="244" spans="1:16">
      <c r="A244">
        <f t="shared" si="34"/>
        <v>231</v>
      </c>
      <c r="C244" s="71">
        <v>19133541428</v>
      </c>
      <c r="D244" s="3" t="s">
        <v>5</v>
      </c>
      <c r="E244" s="71">
        <v>339100</v>
      </c>
      <c r="F244" s="72">
        <v>0.98378059569448539</v>
      </c>
      <c r="G244" s="78">
        <v>44351</v>
      </c>
      <c r="H244">
        <v>333600</v>
      </c>
      <c r="I244" s="84">
        <f t="shared" si="27"/>
        <v>-5500</v>
      </c>
      <c r="J244" s="85">
        <f t="shared" si="28"/>
        <v>30250000</v>
      </c>
      <c r="K244" s="84">
        <f t="shared" si="35"/>
        <v>365104.0721003135</v>
      </c>
      <c r="L244" s="84">
        <f t="shared" si="29"/>
        <v>-31504.072100313497</v>
      </c>
      <c r="M244" s="85">
        <f t="shared" si="30"/>
        <v>992506558.90175128</v>
      </c>
      <c r="N244" s="73">
        <f t="shared" si="31"/>
        <v>2.0679280848724391E-2</v>
      </c>
      <c r="O244" s="14">
        <f t="shared" si="32"/>
        <v>1.6682135207503723E-2</v>
      </c>
      <c r="P244" s="14">
        <f t="shared" si="33"/>
        <v>2.7829363508143529E-4</v>
      </c>
    </row>
    <row r="245" spans="1:16">
      <c r="A245">
        <f t="shared" si="34"/>
        <v>232</v>
      </c>
      <c r="C245" s="74">
        <v>19133541428</v>
      </c>
      <c r="D245" s="3" t="s">
        <v>5</v>
      </c>
      <c r="E245" s="74">
        <v>410200</v>
      </c>
      <c r="F245" s="75">
        <v>0.96538274012676739</v>
      </c>
      <c r="G245" s="78">
        <v>45121</v>
      </c>
      <c r="H245">
        <v>396000</v>
      </c>
      <c r="I245" s="84">
        <f t="shared" si="27"/>
        <v>-14200</v>
      </c>
      <c r="J245" s="85">
        <f t="shared" si="28"/>
        <v>201640000</v>
      </c>
      <c r="K245" s="84">
        <f t="shared" si="35"/>
        <v>365104.0721003135</v>
      </c>
      <c r="L245" s="84">
        <f t="shared" si="29"/>
        <v>30895.927899686503</v>
      </c>
      <c r="M245" s="85">
        <f t="shared" si="30"/>
        <v>954558360.78262687</v>
      </c>
      <c r="N245" s="73">
        <f t="shared" si="31"/>
        <v>3.9077136416442393E-2</v>
      </c>
      <c r="O245" s="14">
        <f t="shared" si="32"/>
        <v>3.5079990775221725E-2</v>
      </c>
      <c r="P245" s="14">
        <f t="shared" si="33"/>
        <v>1.2306057527896415E-3</v>
      </c>
    </row>
    <row r="246" spans="1:16">
      <c r="A246">
        <f t="shared" si="34"/>
        <v>233</v>
      </c>
      <c r="C246" s="71">
        <v>19133541429</v>
      </c>
      <c r="D246" s="3" t="s">
        <v>5</v>
      </c>
      <c r="E246" s="71">
        <v>334100</v>
      </c>
      <c r="F246" s="72">
        <v>0.92873391200239452</v>
      </c>
      <c r="G246" s="78">
        <v>44418</v>
      </c>
      <c r="H246">
        <v>310290</v>
      </c>
      <c r="I246" s="84">
        <f t="shared" si="27"/>
        <v>-23810</v>
      </c>
      <c r="J246" s="85">
        <f t="shared" si="28"/>
        <v>566916100</v>
      </c>
      <c r="K246" s="84">
        <f t="shared" si="35"/>
        <v>365104.0721003135</v>
      </c>
      <c r="L246" s="84">
        <f t="shared" si="29"/>
        <v>-54814.072100313497</v>
      </c>
      <c r="M246" s="85">
        <f t="shared" si="30"/>
        <v>3004582500.2183666</v>
      </c>
      <c r="N246" s="73">
        <f t="shared" si="31"/>
        <v>7.572596454081526E-2</v>
      </c>
      <c r="O246" s="14">
        <f t="shared" si="32"/>
        <v>7.1728818899594593E-2</v>
      </c>
      <c r="P246" s="14">
        <f t="shared" si="33"/>
        <v>5.1450234607308383E-3</v>
      </c>
    </row>
    <row r="247" spans="1:16">
      <c r="A247">
        <f t="shared" si="34"/>
        <v>234</v>
      </c>
      <c r="C247" s="74">
        <v>19133541430</v>
      </c>
      <c r="D247" s="3" t="s">
        <v>5</v>
      </c>
      <c r="E247" s="74">
        <v>325200</v>
      </c>
      <c r="F247" s="75">
        <v>0.99369618696186957</v>
      </c>
      <c r="G247" s="78">
        <v>44370</v>
      </c>
      <c r="H247">
        <v>323150</v>
      </c>
      <c r="I247" s="84">
        <f t="shared" si="27"/>
        <v>-2050</v>
      </c>
      <c r="J247" s="85">
        <f t="shared" si="28"/>
        <v>4202500</v>
      </c>
      <c r="K247" s="84">
        <f t="shared" si="35"/>
        <v>365104.0721003135</v>
      </c>
      <c r="L247" s="84">
        <f t="shared" si="29"/>
        <v>-41954.072100313497</v>
      </c>
      <c r="M247" s="85">
        <f t="shared" si="30"/>
        <v>1760144165.7983034</v>
      </c>
      <c r="N247" s="73">
        <f t="shared" si="31"/>
        <v>1.0763689581340219E-2</v>
      </c>
      <c r="O247" s="14">
        <f t="shared" si="32"/>
        <v>6.7665439401195515E-3</v>
      </c>
      <c r="P247" s="14">
        <f t="shared" si="33"/>
        <v>4.5786116893568628E-5</v>
      </c>
    </row>
    <row r="248" spans="1:16">
      <c r="A248">
        <f t="shared" si="34"/>
        <v>235</v>
      </c>
      <c r="C248" s="71">
        <v>19133541431</v>
      </c>
      <c r="D248" s="3" t="s">
        <v>5</v>
      </c>
      <c r="E248" s="71">
        <v>411100</v>
      </c>
      <c r="F248" s="72">
        <v>0.87830211627341281</v>
      </c>
      <c r="G248" s="78">
        <v>44435</v>
      </c>
      <c r="H248">
        <v>361070</v>
      </c>
      <c r="I248" s="84">
        <f t="shared" si="27"/>
        <v>-50030</v>
      </c>
      <c r="J248" s="85">
        <f t="shared" si="28"/>
        <v>2503000900</v>
      </c>
      <c r="K248" s="84">
        <f t="shared" si="35"/>
        <v>365104.0721003135</v>
      </c>
      <c r="L248" s="84">
        <f t="shared" si="29"/>
        <v>-4034.0721003134968</v>
      </c>
      <c r="M248" s="85">
        <f t="shared" si="30"/>
        <v>16273737.710527748</v>
      </c>
      <c r="N248" s="73">
        <f t="shared" si="31"/>
        <v>0.12615776026979697</v>
      </c>
      <c r="O248" s="14">
        <f t="shared" si="32"/>
        <v>0.1221606146285763</v>
      </c>
      <c r="P248" s="14">
        <f t="shared" si="33"/>
        <v>1.4923215766431531E-2</v>
      </c>
    </row>
    <row r="249" spans="1:16">
      <c r="A249">
        <f t="shared" si="34"/>
        <v>236</v>
      </c>
      <c r="C249" s="74">
        <v>19133541432</v>
      </c>
      <c r="D249" s="3" t="s">
        <v>5</v>
      </c>
      <c r="E249" s="74">
        <v>367600</v>
      </c>
      <c r="F249" s="75">
        <v>0.9936071817192601</v>
      </c>
      <c r="G249" s="78">
        <v>44630</v>
      </c>
      <c r="H249">
        <v>365250</v>
      </c>
      <c r="I249" s="84">
        <f t="shared" si="27"/>
        <v>-2350</v>
      </c>
      <c r="J249" s="85">
        <f t="shared" si="28"/>
        <v>5522500</v>
      </c>
      <c r="K249" s="84">
        <f t="shared" si="35"/>
        <v>365104.0721003135</v>
      </c>
      <c r="L249" s="84">
        <f t="shared" si="29"/>
        <v>145.92789968650322</v>
      </c>
      <c r="M249" s="85">
        <f t="shared" si="30"/>
        <v>21294.951906914146</v>
      </c>
      <c r="N249" s="73">
        <f t="shared" si="31"/>
        <v>1.0852694823949682E-2</v>
      </c>
      <c r="O249" s="14">
        <f t="shared" si="32"/>
        <v>6.8555491827290149E-3</v>
      </c>
      <c r="P249" s="14">
        <f t="shared" si="33"/>
        <v>4.6998554596816462E-5</v>
      </c>
    </row>
    <row r="250" spans="1:16">
      <c r="A250">
        <f t="shared" si="34"/>
        <v>237</v>
      </c>
      <c r="C250" s="71">
        <v>19133541433</v>
      </c>
      <c r="D250" s="3" t="s">
        <v>5</v>
      </c>
      <c r="E250" s="71">
        <v>357200</v>
      </c>
      <c r="F250" s="72">
        <v>1.067340425531915</v>
      </c>
      <c r="G250" s="78">
        <v>44334</v>
      </c>
      <c r="H250">
        <v>381254</v>
      </c>
      <c r="I250" s="84">
        <f t="shared" si="27"/>
        <v>24054</v>
      </c>
      <c r="J250" s="85">
        <f t="shared" si="28"/>
        <v>578594916</v>
      </c>
      <c r="K250" s="84">
        <f t="shared" si="35"/>
        <v>365104.0721003135</v>
      </c>
      <c r="L250" s="84">
        <f t="shared" si="29"/>
        <v>16149.927899686503</v>
      </c>
      <c r="M250" s="85">
        <f t="shared" si="30"/>
        <v>260820171.1650725</v>
      </c>
      <c r="N250" s="73">
        <f t="shared" si="31"/>
        <v>6.2880548988705209E-2</v>
      </c>
      <c r="O250" s="14">
        <f t="shared" si="32"/>
        <v>-6.6877694629925877E-2</v>
      </c>
      <c r="P250" s="14">
        <f t="shared" si="33"/>
        <v>4.4726260390136165E-3</v>
      </c>
    </row>
    <row r="251" spans="1:16">
      <c r="A251">
        <f t="shared" si="34"/>
        <v>238</v>
      </c>
      <c r="C251" s="74">
        <v>19133541434</v>
      </c>
      <c r="D251" s="3" t="s">
        <v>5</v>
      </c>
      <c r="E251" s="74">
        <v>359200</v>
      </c>
      <c r="F251" s="75">
        <v>0.89615812917594651</v>
      </c>
      <c r="G251" s="78">
        <v>44435</v>
      </c>
      <c r="H251">
        <v>321900</v>
      </c>
      <c r="I251" s="84">
        <f t="shared" si="27"/>
        <v>-37300</v>
      </c>
      <c r="J251" s="85">
        <f t="shared" si="28"/>
        <v>1391290000</v>
      </c>
      <c r="K251" s="84">
        <f t="shared" si="35"/>
        <v>365104.0721003135</v>
      </c>
      <c r="L251" s="84">
        <f t="shared" si="29"/>
        <v>-43204.072100313497</v>
      </c>
      <c r="M251" s="85">
        <f t="shared" si="30"/>
        <v>1866591846.049087</v>
      </c>
      <c r="N251" s="73">
        <f t="shared" si="31"/>
        <v>0.10830174736726328</v>
      </c>
      <c r="O251" s="14">
        <f t="shared" si="32"/>
        <v>0.10430460172604261</v>
      </c>
      <c r="P251" s="14">
        <f t="shared" si="33"/>
        <v>1.0879449941228371E-2</v>
      </c>
    </row>
    <row r="252" spans="1:16">
      <c r="A252">
        <f t="shared" si="34"/>
        <v>239</v>
      </c>
      <c r="C252" s="71">
        <v>19133541435</v>
      </c>
      <c r="D252" s="3" t="s">
        <v>5</v>
      </c>
      <c r="E252" s="71">
        <v>353000</v>
      </c>
      <c r="F252" s="72">
        <v>0.90495750708215295</v>
      </c>
      <c r="G252" s="78">
        <v>44481</v>
      </c>
      <c r="H252">
        <v>319450</v>
      </c>
      <c r="I252" s="84">
        <f t="shared" si="27"/>
        <v>-33550</v>
      </c>
      <c r="J252" s="85">
        <f t="shared" si="28"/>
        <v>1125602500</v>
      </c>
      <c r="K252" s="84">
        <f t="shared" si="35"/>
        <v>365104.0721003135</v>
      </c>
      <c r="L252" s="84">
        <f t="shared" si="29"/>
        <v>-45654.072100313497</v>
      </c>
      <c r="M252" s="85">
        <f t="shared" si="30"/>
        <v>2084294299.3406231</v>
      </c>
      <c r="N252" s="73">
        <f t="shared" si="31"/>
        <v>9.9502369461056839E-2</v>
      </c>
      <c r="O252" s="14">
        <f t="shared" si="32"/>
        <v>9.5505223819836171E-2</v>
      </c>
      <c r="P252" s="14">
        <f t="shared" si="33"/>
        <v>9.1212477768770027E-3</v>
      </c>
    </row>
    <row r="253" spans="1:16">
      <c r="A253">
        <f t="shared" si="34"/>
        <v>240</v>
      </c>
      <c r="C253" s="74">
        <v>19133541436</v>
      </c>
      <c r="D253" s="3" t="s">
        <v>5</v>
      </c>
      <c r="E253" s="74">
        <v>384300</v>
      </c>
      <c r="F253" s="75">
        <v>1.0279859484777518</v>
      </c>
      <c r="G253" s="78">
        <v>44489</v>
      </c>
      <c r="H253">
        <v>395055</v>
      </c>
      <c r="I253" s="84">
        <f t="shared" si="27"/>
        <v>10755</v>
      </c>
      <c r="J253" s="85">
        <f t="shared" si="28"/>
        <v>115670025</v>
      </c>
      <c r="K253" s="84">
        <f t="shared" si="35"/>
        <v>365104.0721003135</v>
      </c>
      <c r="L253" s="84">
        <f t="shared" si="29"/>
        <v>29950.927899686503</v>
      </c>
      <c r="M253" s="85">
        <f t="shared" si="30"/>
        <v>897058082.05221939</v>
      </c>
      <c r="N253" s="73">
        <f t="shared" si="31"/>
        <v>2.3526071934542037E-2</v>
      </c>
      <c r="O253" s="14">
        <f t="shared" si="32"/>
        <v>-2.7523217575762704E-2</v>
      </c>
      <c r="P253" s="14">
        <f t="shared" si="33"/>
        <v>7.5752750572277304E-4</v>
      </c>
    </row>
    <row r="254" spans="1:16">
      <c r="A254">
        <f t="shared" si="34"/>
        <v>241</v>
      </c>
      <c r="C254" s="71">
        <v>19133541437</v>
      </c>
      <c r="D254" s="3" t="s">
        <v>5</v>
      </c>
      <c r="E254" s="71">
        <v>332800</v>
      </c>
      <c r="F254" s="72">
        <v>0.92124399038461535</v>
      </c>
      <c r="G254" s="78">
        <v>44393</v>
      </c>
      <c r="H254">
        <v>306590</v>
      </c>
      <c r="I254" s="84">
        <f t="shared" si="27"/>
        <v>-26210</v>
      </c>
      <c r="J254" s="85">
        <f t="shared" si="28"/>
        <v>686964100</v>
      </c>
      <c r="K254" s="84">
        <f t="shared" si="35"/>
        <v>365104.0721003135</v>
      </c>
      <c r="L254" s="84">
        <f t="shared" si="29"/>
        <v>-58514.072100313497</v>
      </c>
      <c r="M254" s="85">
        <f t="shared" si="30"/>
        <v>3423896633.7606864</v>
      </c>
      <c r="N254" s="73">
        <f t="shared" si="31"/>
        <v>8.3215886158594432E-2</v>
      </c>
      <c r="O254" s="14">
        <f t="shared" si="32"/>
        <v>7.9218740517373765E-2</v>
      </c>
      <c r="P254" s="14">
        <f t="shared" si="33"/>
        <v>6.275608849158996E-3</v>
      </c>
    </row>
    <row r="255" spans="1:16">
      <c r="A255">
        <f t="shared" si="34"/>
        <v>242</v>
      </c>
      <c r="C255" s="74">
        <v>19133541438</v>
      </c>
      <c r="D255" s="3" t="s">
        <v>5</v>
      </c>
      <c r="E255" s="74">
        <v>350100</v>
      </c>
      <c r="F255" s="75">
        <v>0.93239074550128531</v>
      </c>
      <c r="G255" s="78">
        <v>44385</v>
      </c>
      <c r="H255">
        <v>326430</v>
      </c>
      <c r="I255" s="84">
        <f t="shared" si="27"/>
        <v>-23670</v>
      </c>
      <c r="J255" s="85">
        <f t="shared" si="28"/>
        <v>560268900</v>
      </c>
      <c r="K255" s="84">
        <f t="shared" si="35"/>
        <v>365104.0721003135</v>
      </c>
      <c r="L255" s="84">
        <f t="shared" si="29"/>
        <v>-38674.072100313497</v>
      </c>
      <c r="M255" s="85">
        <f t="shared" si="30"/>
        <v>1495683852.8202467</v>
      </c>
      <c r="N255" s="73">
        <f t="shared" si="31"/>
        <v>7.2069131041924472E-2</v>
      </c>
      <c r="O255" s="14">
        <f t="shared" si="32"/>
        <v>6.8071985400703805E-2</v>
      </c>
      <c r="P255" s="14">
        <f t="shared" si="33"/>
        <v>4.6337951963936318E-3</v>
      </c>
    </row>
    <row r="256" spans="1:16">
      <c r="A256">
        <f t="shared" si="34"/>
        <v>243</v>
      </c>
      <c r="C256" s="71">
        <v>19133541439</v>
      </c>
      <c r="D256" s="3" t="s">
        <v>5</v>
      </c>
      <c r="E256" s="71">
        <v>373200</v>
      </c>
      <c r="F256" s="72">
        <v>0.89978563772775988</v>
      </c>
      <c r="G256" s="78">
        <v>44447</v>
      </c>
      <c r="H256">
        <v>335800</v>
      </c>
      <c r="I256" s="84">
        <f t="shared" si="27"/>
        <v>-37400</v>
      </c>
      <c r="J256" s="85">
        <f t="shared" si="28"/>
        <v>1398760000</v>
      </c>
      <c r="K256" s="84">
        <f t="shared" si="35"/>
        <v>365104.0721003135</v>
      </c>
      <c r="L256" s="84">
        <f t="shared" si="29"/>
        <v>-29304.072100313497</v>
      </c>
      <c r="M256" s="85">
        <f t="shared" si="30"/>
        <v>858728641.6603719</v>
      </c>
      <c r="N256" s="73">
        <f t="shared" si="31"/>
        <v>0.1046742388154499</v>
      </c>
      <c r="O256" s="14">
        <f t="shared" si="32"/>
        <v>0.10067709317422924</v>
      </c>
      <c r="P256" s="14">
        <f t="shared" si="33"/>
        <v>1.0135877090012435E-2</v>
      </c>
    </row>
    <row r="257" spans="1:16">
      <c r="A257">
        <f t="shared" si="34"/>
        <v>244</v>
      </c>
      <c r="C257" s="74">
        <v>19133541440</v>
      </c>
      <c r="D257" s="3" t="s">
        <v>5</v>
      </c>
      <c r="E257" s="74">
        <v>373800</v>
      </c>
      <c r="F257" s="75">
        <v>0.9732209737827715</v>
      </c>
      <c r="G257" s="78">
        <v>44453</v>
      </c>
      <c r="H257">
        <v>363790</v>
      </c>
      <c r="I257" s="84">
        <f t="shared" si="27"/>
        <v>-10010</v>
      </c>
      <c r="J257" s="85">
        <f t="shared" si="28"/>
        <v>100200100</v>
      </c>
      <c r="K257" s="84">
        <f t="shared" si="35"/>
        <v>365104.0721003135</v>
      </c>
      <c r="L257" s="84">
        <f t="shared" si="29"/>
        <v>-1314.0721003134968</v>
      </c>
      <c r="M257" s="85">
        <f t="shared" si="30"/>
        <v>1726785.4848223247</v>
      </c>
      <c r="N257" s="73">
        <f t="shared" si="31"/>
        <v>3.1238902760438281E-2</v>
      </c>
      <c r="O257" s="14">
        <f t="shared" si="32"/>
        <v>2.7241757119217613E-2</v>
      </c>
      <c r="P257" s="14">
        <f t="shared" si="33"/>
        <v>7.4211333094244356E-4</v>
      </c>
    </row>
    <row r="258" spans="1:16">
      <c r="A258">
        <f t="shared" si="34"/>
        <v>245</v>
      </c>
      <c r="C258" s="71">
        <v>19133541441</v>
      </c>
      <c r="D258" s="3" t="s">
        <v>5</v>
      </c>
      <c r="E258" s="71">
        <v>452600</v>
      </c>
      <c r="F258" s="72">
        <v>1.0727132125497127</v>
      </c>
      <c r="G258" s="78">
        <v>44490</v>
      </c>
      <c r="H258">
        <v>485510</v>
      </c>
      <c r="I258" s="84">
        <f t="shared" si="27"/>
        <v>32910</v>
      </c>
      <c r="J258" s="85">
        <f t="shared" si="28"/>
        <v>1083068100</v>
      </c>
      <c r="K258" s="84">
        <f t="shared" si="35"/>
        <v>365104.0721003135</v>
      </c>
      <c r="L258" s="84">
        <f t="shared" si="29"/>
        <v>120405.9278996865</v>
      </c>
      <c r="M258" s="85">
        <f t="shared" si="30"/>
        <v>14497587473.384504</v>
      </c>
      <c r="N258" s="73">
        <f t="shared" si="31"/>
        <v>6.8253336006502963E-2</v>
      </c>
      <c r="O258" s="14">
        <f t="shared" si="32"/>
        <v>-7.225048164772363E-2</v>
      </c>
      <c r="P258" s="14">
        <f t="shared" si="33"/>
        <v>5.2201320983280494E-3</v>
      </c>
    </row>
    <row r="259" spans="1:16">
      <c r="A259">
        <f t="shared" si="34"/>
        <v>246</v>
      </c>
      <c r="C259" s="74">
        <v>19133541442</v>
      </c>
      <c r="D259" s="3" t="s">
        <v>5</v>
      </c>
      <c r="E259" s="74">
        <v>362500</v>
      </c>
      <c r="F259" s="75">
        <v>0.92598620689655176</v>
      </c>
      <c r="G259" s="78">
        <v>44453</v>
      </c>
      <c r="H259">
        <v>335670</v>
      </c>
      <c r="I259" s="84">
        <f t="shared" si="27"/>
        <v>-26830</v>
      </c>
      <c r="J259" s="85">
        <f t="shared" si="28"/>
        <v>719848900</v>
      </c>
      <c r="K259" s="84">
        <f t="shared" si="35"/>
        <v>365104.0721003135</v>
      </c>
      <c r="L259" s="84">
        <f t="shared" si="29"/>
        <v>-29434.072100313497</v>
      </c>
      <c r="M259" s="85">
        <f t="shared" si="30"/>
        <v>866364600.40645337</v>
      </c>
      <c r="N259" s="73">
        <f t="shared" si="31"/>
        <v>7.8473669646658029E-2</v>
      </c>
      <c r="O259" s="14">
        <f t="shared" si="32"/>
        <v>7.4476524005437361E-2</v>
      </c>
      <c r="P259" s="14">
        <f t="shared" si="33"/>
        <v>5.5467526279324875E-3</v>
      </c>
    </row>
    <row r="260" spans="1:16">
      <c r="A260">
        <f t="shared" si="34"/>
        <v>247</v>
      </c>
      <c r="C260" s="71">
        <v>19133541443</v>
      </c>
      <c r="D260" s="3" t="s">
        <v>5</v>
      </c>
      <c r="E260" s="71">
        <v>331000</v>
      </c>
      <c r="F260" s="72">
        <v>0.99500906344410878</v>
      </c>
      <c r="G260" s="78">
        <v>44348</v>
      </c>
      <c r="H260">
        <v>329348</v>
      </c>
      <c r="I260" s="84">
        <f t="shared" si="27"/>
        <v>-1652</v>
      </c>
      <c r="J260" s="85">
        <f t="shared" si="28"/>
        <v>2729104</v>
      </c>
      <c r="K260" s="84">
        <f t="shared" si="35"/>
        <v>365104.0721003135</v>
      </c>
      <c r="L260" s="84">
        <f t="shared" si="29"/>
        <v>-35756.072100313497</v>
      </c>
      <c r="M260" s="85">
        <f t="shared" si="30"/>
        <v>1278496692.0428174</v>
      </c>
      <c r="N260" s="73">
        <f t="shared" si="31"/>
        <v>9.4508130991010075E-3</v>
      </c>
      <c r="O260" s="14">
        <f t="shared" si="32"/>
        <v>5.4536674578803401E-3</v>
      </c>
      <c r="P260" s="14">
        <f t="shared" si="33"/>
        <v>2.9742488741143013E-5</v>
      </c>
    </row>
    <row r="261" spans="1:16">
      <c r="A261">
        <f t="shared" si="34"/>
        <v>248</v>
      </c>
      <c r="C261" s="74">
        <v>19133541444</v>
      </c>
      <c r="D261" s="3" t="s">
        <v>5</v>
      </c>
      <c r="E261" s="74">
        <v>355000</v>
      </c>
      <c r="F261" s="75">
        <v>0.89056338028169013</v>
      </c>
      <c r="G261" s="78">
        <v>44490</v>
      </c>
      <c r="H261">
        <v>316150</v>
      </c>
      <c r="I261" s="84">
        <f t="shared" si="27"/>
        <v>-38850</v>
      </c>
      <c r="J261" s="85">
        <f t="shared" si="28"/>
        <v>1509322500</v>
      </c>
      <c r="K261" s="84">
        <f t="shared" si="35"/>
        <v>365104.0721003135</v>
      </c>
      <c r="L261" s="84">
        <f t="shared" si="29"/>
        <v>-48954.072100313497</v>
      </c>
      <c r="M261" s="85">
        <f t="shared" si="30"/>
        <v>2396501175.2026925</v>
      </c>
      <c r="N261" s="73">
        <f t="shared" si="31"/>
        <v>0.11389649626151965</v>
      </c>
      <c r="O261" s="14">
        <f t="shared" si="32"/>
        <v>0.10989935062029899</v>
      </c>
      <c r="P261" s="14">
        <f t="shared" si="33"/>
        <v>1.2077867266763411E-2</v>
      </c>
    </row>
    <row r="262" spans="1:16">
      <c r="A262">
        <f t="shared" si="34"/>
        <v>249</v>
      </c>
      <c r="C262" s="71">
        <v>19133541445</v>
      </c>
      <c r="D262" s="3" t="s">
        <v>5</v>
      </c>
      <c r="E262" s="71">
        <v>421100</v>
      </c>
      <c r="F262" s="72">
        <v>0.92681073379244838</v>
      </c>
      <c r="G262" s="78">
        <v>44475</v>
      </c>
      <c r="H262">
        <v>390280</v>
      </c>
      <c r="I262" s="84">
        <f t="shared" si="27"/>
        <v>-30820</v>
      </c>
      <c r="J262" s="85">
        <f t="shared" si="28"/>
        <v>949872400</v>
      </c>
      <c r="K262" s="84">
        <f t="shared" si="35"/>
        <v>365104.0721003135</v>
      </c>
      <c r="L262" s="84">
        <f t="shared" si="29"/>
        <v>25175.927899686503</v>
      </c>
      <c r="M262" s="85">
        <f t="shared" si="30"/>
        <v>633827345.61021328</v>
      </c>
      <c r="N262" s="73">
        <f t="shared" si="31"/>
        <v>7.7649142750761402E-2</v>
      </c>
      <c r="O262" s="14">
        <f t="shared" si="32"/>
        <v>7.3651997109540734E-2</v>
      </c>
      <c r="P262" s="14">
        <f t="shared" si="33"/>
        <v>5.4246166782237967E-3</v>
      </c>
    </row>
    <row r="263" spans="1:16">
      <c r="A263">
        <f t="shared" si="34"/>
        <v>250</v>
      </c>
      <c r="C263" s="74">
        <v>19133541446</v>
      </c>
      <c r="D263" s="3" t="s">
        <v>5</v>
      </c>
      <c r="E263" s="74">
        <v>375200</v>
      </c>
      <c r="F263" s="75">
        <v>0.95935501066098083</v>
      </c>
      <c r="G263" s="78">
        <v>44566</v>
      </c>
      <c r="H263">
        <v>359950</v>
      </c>
      <c r="I263" s="84">
        <f t="shared" si="27"/>
        <v>-15250</v>
      </c>
      <c r="J263" s="85">
        <f t="shared" si="28"/>
        <v>232562500</v>
      </c>
      <c r="K263" s="84">
        <f t="shared" si="35"/>
        <v>365104.0721003135</v>
      </c>
      <c r="L263" s="84">
        <f t="shared" si="29"/>
        <v>-5154.0721003134968</v>
      </c>
      <c r="M263" s="85">
        <f t="shared" si="30"/>
        <v>26564459.215229981</v>
      </c>
      <c r="N263" s="73">
        <f t="shared" si="31"/>
        <v>4.5104865882228951E-2</v>
      </c>
      <c r="O263" s="14">
        <f t="shared" si="32"/>
        <v>4.1107720241008283E-2</v>
      </c>
      <c r="P263" s="14">
        <f t="shared" si="33"/>
        <v>1.6898446634130021E-3</v>
      </c>
    </row>
    <row r="264" spans="1:16">
      <c r="A264">
        <f t="shared" si="34"/>
        <v>251</v>
      </c>
      <c r="C264" s="71">
        <v>19133541447</v>
      </c>
      <c r="D264" s="3" t="s">
        <v>5</v>
      </c>
      <c r="E264" s="71">
        <v>389500</v>
      </c>
      <c r="F264" s="72">
        <v>0.96829268292682924</v>
      </c>
      <c r="G264" s="78">
        <v>44481</v>
      </c>
      <c r="H264">
        <v>377150</v>
      </c>
      <c r="I264" s="84">
        <f t="shared" si="27"/>
        <v>-12350</v>
      </c>
      <c r="J264" s="85">
        <f t="shared" si="28"/>
        <v>152522500</v>
      </c>
      <c r="K264" s="84">
        <f t="shared" si="35"/>
        <v>365104.0721003135</v>
      </c>
      <c r="L264" s="84">
        <f t="shared" si="29"/>
        <v>12045.927899686503</v>
      </c>
      <c r="M264" s="85">
        <f t="shared" si="30"/>
        <v>145104378.96444568</v>
      </c>
      <c r="N264" s="73">
        <f t="shared" si="31"/>
        <v>3.6167193616380544E-2</v>
      </c>
      <c r="O264" s="14">
        <f t="shared" si="32"/>
        <v>3.2170047975159877E-2</v>
      </c>
      <c r="P264" s="14">
        <f t="shared" si="33"/>
        <v>1.034911986724088E-3</v>
      </c>
    </row>
    <row r="265" spans="1:16">
      <c r="A265">
        <f t="shared" si="34"/>
        <v>252</v>
      </c>
      <c r="C265" s="74">
        <v>19133541448</v>
      </c>
      <c r="D265" s="3" t="s">
        <v>5</v>
      </c>
      <c r="E265" s="74">
        <v>376100</v>
      </c>
      <c r="F265" s="75">
        <v>0.97509970752459452</v>
      </c>
      <c r="G265" s="78">
        <v>44469</v>
      </c>
      <c r="H265">
        <v>366735</v>
      </c>
      <c r="I265" s="84">
        <f t="shared" si="27"/>
        <v>-9365</v>
      </c>
      <c r="J265" s="85">
        <f t="shared" si="28"/>
        <v>87703225</v>
      </c>
      <c r="K265" s="84">
        <f t="shared" si="35"/>
        <v>365104.0721003135</v>
      </c>
      <c r="L265" s="84">
        <f t="shared" si="29"/>
        <v>1630.9278996865032</v>
      </c>
      <c r="M265" s="85">
        <f t="shared" si="30"/>
        <v>2659925.8139758287</v>
      </c>
      <c r="N265" s="73">
        <f t="shared" si="31"/>
        <v>2.9360169018615268E-2</v>
      </c>
      <c r="O265" s="14">
        <f t="shared" si="32"/>
        <v>2.53630233773946E-2</v>
      </c>
      <c r="P265" s="14">
        <f t="shared" si="33"/>
        <v>6.4328295484226495E-4</v>
      </c>
    </row>
    <row r="266" spans="1:16">
      <c r="A266">
        <f t="shared" si="34"/>
        <v>253</v>
      </c>
      <c r="C266" s="71">
        <v>19133541449</v>
      </c>
      <c r="D266" s="3" t="s">
        <v>5</v>
      </c>
      <c r="E266" s="71">
        <v>348900</v>
      </c>
      <c r="F266" s="72">
        <v>1.0121524792204071</v>
      </c>
      <c r="G266" s="78">
        <v>44350</v>
      </c>
      <c r="H266">
        <v>353140</v>
      </c>
      <c r="I266" s="84">
        <f t="shared" si="27"/>
        <v>4240</v>
      </c>
      <c r="J266" s="85">
        <f t="shared" si="28"/>
        <v>17977600</v>
      </c>
      <c r="K266" s="84">
        <f t="shared" si="35"/>
        <v>365104.0721003135</v>
      </c>
      <c r="L266" s="84">
        <f t="shared" si="29"/>
        <v>-11964.072100313497</v>
      </c>
      <c r="M266" s="85">
        <f t="shared" si="30"/>
        <v>143139021.2214998</v>
      </c>
      <c r="N266" s="73">
        <f t="shared" si="31"/>
        <v>7.6926026771972911E-3</v>
      </c>
      <c r="O266" s="14">
        <f t="shared" si="32"/>
        <v>-1.1689748318417958E-2</v>
      </c>
      <c r="P266" s="14">
        <f t="shared" si="33"/>
        <v>1.3665021574795549E-4</v>
      </c>
    </row>
    <row r="267" spans="1:16">
      <c r="A267">
        <f t="shared" si="34"/>
        <v>254</v>
      </c>
      <c r="C267" s="74">
        <v>19133541450</v>
      </c>
      <c r="D267" s="3" t="s">
        <v>5</v>
      </c>
      <c r="E267" s="74">
        <v>374000</v>
      </c>
      <c r="F267" s="75">
        <v>1.0295187165775401</v>
      </c>
      <c r="G267" s="78">
        <v>44368</v>
      </c>
      <c r="H267">
        <v>385040</v>
      </c>
      <c r="I267" s="84">
        <f t="shared" si="27"/>
        <v>11040</v>
      </c>
      <c r="J267" s="85">
        <f t="shared" si="28"/>
        <v>121881600</v>
      </c>
      <c r="K267" s="84">
        <f t="shared" si="35"/>
        <v>365104.0721003135</v>
      </c>
      <c r="L267" s="84">
        <f t="shared" si="29"/>
        <v>19935.927899686503</v>
      </c>
      <c r="M267" s="85">
        <f t="shared" si="30"/>
        <v>397441221.22149873</v>
      </c>
      <c r="N267" s="73">
        <f t="shared" si="31"/>
        <v>2.5058840034330343E-2</v>
      </c>
      <c r="O267" s="14">
        <f t="shared" si="32"/>
        <v>-2.905598567555101E-2</v>
      </c>
      <c r="P267" s="14">
        <f t="shared" si="33"/>
        <v>8.4425030357782548E-4</v>
      </c>
    </row>
    <row r="268" spans="1:16">
      <c r="A268">
        <f t="shared" si="34"/>
        <v>255</v>
      </c>
      <c r="C268" s="71">
        <v>19133541451</v>
      </c>
      <c r="D268" s="3" t="s">
        <v>5</v>
      </c>
      <c r="E268" s="71">
        <v>354500</v>
      </c>
      <c r="F268" s="72">
        <v>0.8863187588152327</v>
      </c>
      <c r="G268" s="78">
        <v>44481</v>
      </c>
      <c r="H268">
        <v>314200</v>
      </c>
      <c r="I268" s="84">
        <f t="shared" si="27"/>
        <v>-40300</v>
      </c>
      <c r="J268" s="85">
        <f t="shared" si="28"/>
        <v>1624090000</v>
      </c>
      <c r="K268" s="84">
        <f t="shared" si="35"/>
        <v>365104.0721003135</v>
      </c>
      <c r="L268" s="84">
        <f t="shared" si="29"/>
        <v>-50904.072100313497</v>
      </c>
      <c r="M268" s="85">
        <f t="shared" si="30"/>
        <v>2591224556.3939147</v>
      </c>
      <c r="N268" s="73">
        <f t="shared" si="31"/>
        <v>0.11814111772797709</v>
      </c>
      <c r="O268" s="14">
        <f t="shared" si="32"/>
        <v>0.11414397208675642</v>
      </c>
      <c r="P268" s="14">
        <f t="shared" si="33"/>
        <v>1.3028846363742227E-2</v>
      </c>
    </row>
    <row r="269" spans="1:16">
      <c r="A269">
        <f t="shared" si="34"/>
        <v>256</v>
      </c>
      <c r="C269" s="74">
        <v>19133541452</v>
      </c>
      <c r="D269" s="3" t="s">
        <v>5</v>
      </c>
      <c r="E269" s="74">
        <v>377100</v>
      </c>
      <c r="F269" s="75">
        <v>0.94855476001060723</v>
      </c>
      <c r="G269" s="78">
        <v>44474</v>
      </c>
      <c r="H269">
        <v>357700</v>
      </c>
      <c r="I269" s="84">
        <f t="shared" si="27"/>
        <v>-19400</v>
      </c>
      <c r="J269" s="85">
        <f t="shared" si="28"/>
        <v>376360000</v>
      </c>
      <c r="K269" s="84">
        <f t="shared" si="35"/>
        <v>365104.0721003135</v>
      </c>
      <c r="L269" s="84">
        <f t="shared" si="29"/>
        <v>-7404.0721003134968</v>
      </c>
      <c r="M269" s="85">
        <f t="shared" si="30"/>
        <v>54820283.666640714</v>
      </c>
      <c r="N269" s="73">
        <f t="shared" si="31"/>
        <v>5.590511653260255E-2</v>
      </c>
      <c r="O269" s="14">
        <f t="shared" si="32"/>
        <v>5.1907970891381883E-2</v>
      </c>
      <c r="P269" s="14">
        <f t="shared" si="33"/>
        <v>2.6944374420605488E-3</v>
      </c>
    </row>
    <row r="270" spans="1:16">
      <c r="A270">
        <f t="shared" si="34"/>
        <v>257</v>
      </c>
      <c r="C270" s="71">
        <v>19133541453</v>
      </c>
      <c r="D270" s="3" t="s">
        <v>5</v>
      </c>
      <c r="E270" s="71">
        <v>413400</v>
      </c>
      <c r="F270" s="72">
        <v>1.0084179970972424</v>
      </c>
      <c r="G270" s="78">
        <v>44620</v>
      </c>
      <c r="H270">
        <v>416880</v>
      </c>
      <c r="I270" s="84">
        <f t="shared" ref="I270:I332" si="36">+H270-E270</f>
        <v>3480</v>
      </c>
      <c r="J270" s="85">
        <f t="shared" si="28"/>
        <v>12110400</v>
      </c>
      <c r="K270" s="84">
        <f t="shared" si="35"/>
        <v>365104.0721003135</v>
      </c>
      <c r="L270" s="84">
        <f t="shared" si="29"/>
        <v>51775.927899686503</v>
      </c>
      <c r="M270" s="85">
        <f t="shared" si="30"/>
        <v>2680746709.8735352</v>
      </c>
      <c r="N270" s="73">
        <f t="shared" si="31"/>
        <v>3.9581205540326625E-3</v>
      </c>
      <c r="O270" s="14">
        <f t="shared" si="32"/>
        <v>-7.9552661952533299E-3</v>
      </c>
      <c r="P270" s="14">
        <f t="shared" si="33"/>
        <v>6.3286260237340388E-5</v>
      </c>
    </row>
    <row r="271" spans="1:16">
      <c r="A271">
        <f t="shared" si="34"/>
        <v>258</v>
      </c>
      <c r="C271" s="74">
        <v>19133541454</v>
      </c>
      <c r="D271" s="3" t="s">
        <v>5</v>
      </c>
      <c r="E271" s="74">
        <v>359700</v>
      </c>
      <c r="F271" s="75">
        <v>0.93577981651376152</v>
      </c>
      <c r="G271" s="78">
        <v>44441</v>
      </c>
      <c r="H271">
        <v>336600</v>
      </c>
      <c r="I271" s="84">
        <f t="shared" si="36"/>
        <v>-23100</v>
      </c>
      <c r="J271" s="85">
        <f t="shared" ref="J271:J332" si="37">+I271^2</f>
        <v>533610000</v>
      </c>
      <c r="K271" s="84">
        <f t="shared" si="35"/>
        <v>365104.0721003135</v>
      </c>
      <c r="L271" s="84">
        <f t="shared" ref="L271:L332" si="38">+H271-K271</f>
        <v>-28504.072100313497</v>
      </c>
      <c r="M271" s="85">
        <f t="shared" ref="M271:M332" si="39">+L271^2</f>
        <v>812482126.29987025</v>
      </c>
      <c r="N271" s="73">
        <f t="shared" ref="N271:N332" si="40">ABS(+$F$2-F271)</f>
        <v>6.8680060029448264E-2</v>
      </c>
      <c r="O271" s="14">
        <f t="shared" ref="O271:O332" si="41">+$F$3-F271</f>
        <v>6.4682914388227597E-2</v>
      </c>
      <c r="P271" s="14">
        <f t="shared" ref="P271:P332" si="42">+O271*O271</f>
        <v>4.183879413754781E-3</v>
      </c>
    </row>
    <row r="272" spans="1:16">
      <c r="A272">
        <f t="shared" ref="A272:A332" si="43">+A271+1</f>
        <v>259</v>
      </c>
      <c r="C272" s="71">
        <v>19133541455</v>
      </c>
      <c r="D272" s="3" t="s">
        <v>5</v>
      </c>
      <c r="E272" s="71">
        <v>348500</v>
      </c>
      <c r="F272" s="72">
        <v>0.9289239598278336</v>
      </c>
      <c r="G272" s="78">
        <v>44421</v>
      </c>
      <c r="H272">
        <v>323730</v>
      </c>
      <c r="I272" s="84">
        <f t="shared" si="36"/>
        <v>-24770</v>
      </c>
      <c r="J272" s="85">
        <f t="shared" si="37"/>
        <v>613552900</v>
      </c>
      <c r="K272" s="84">
        <f t="shared" ref="K272:K332" si="44">AVERAGE($H$14:$H$1600)</f>
        <v>365104.0721003135</v>
      </c>
      <c r="L272" s="84">
        <f t="shared" si="38"/>
        <v>-41374.072100313497</v>
      </c>
      <c r="M272" s="85">
        <f t="shared" si="39"/>
        <v>1711813842.1619396</v>
      </c>
      <c r="N272" s="73">
        <f t="shared" si="40"/>
        <v>7.5535916715376183E-2</v>
      </c>
      <c r="O272" s="14">
        <f t="shared" si="41"/>
        <v>7.1538771074155516E-2</v>
      </c>
      <c r="P272" s="14">
        <f t="shared" si="42"/>
        <v>5.1177957668004301E-3</v>
      </c>
    </row>
    <row r="273" spans="1:16">
      <c r="A273">
        <f t="shared" si="43"/>
        <v>260</v>
      </c>
      <c r="C273" s="74">
        <v>19133541456</v>
      </c>
      <c r="D273" s="3" t="s">
        <v>5</v>
      </c>
      <c r="E273" s="74">
        <v>389300</v>
      </c>
      <c r="F273" s="75">
        <v>0.93103005394297456</v>
      </c>
      <c r="G273" s="78">
        <v>44629</v>
      </c>
      <c r="H273">
        <v>362450</v>
      </c>
      <c r="I273" s="84">
        <f t="shared" si="36"/>
        <v>-26850</v>
      </c>
      <c r="J273" s="85">
        <f t="shared" si="37"/>
        <v>720922500</v>
      </c>
      <c r="K273" s="84">
        <f t="shared" si="44"/>
        <v>365104.0721003135</v>
      </c>
      <c r="L273" s="84">
        <f t="shared" si="38"/>
        <v>-2654.0721003134968</v>
      </c>
      <c r="M273" s="85">
        <f t="shared" si="39"/>
        <v>7044098.7136624958</v>
      </c>
      <c r="N273" s="73">
        <f t="shared" si="40"/>
        <v>7.3429822600235228E-2</v>
      </c>
      <c r="O273" s="14">
        <f t="shared" si="41"/>
        <v>6.9432676959014561E-2</v>
      </c>
      <c r="P273" s="14">
        <f t="shared" si="42"/>
        <v>4.8208966296948716E-3</v>
      </c>
    </row>
    <row r="274" spans="1:16">
      <c r="A274">
        <f t="shared" si="43"/>
        <v>261</v>
      </c>
      <c r="C274" s="71">
        <v>19133541457</v>
      </c>
      <c r="D274" s="3" t="s">
        <v>5</v>
      </c>
      <c r="E274" s="71">
        <v>335500</v>
      </c>
      <c r="F274" s="72">
        <v>0.93010432190760062</v>
      </c>
      <c r="G274" s="78">
        <v>44461</v>
      </c>
      <c r="H274">
        <v>312050</v>
      </c>
      <c r="I274" s="84">
        <f t="shared" si="36"/>
        <v>-23450</v>
      </c>
      <c r="J274" s="85">
        <f t="shared" si="37"/>
        <v>549902500</v>
      </c>
      <c r="K274" s="84">
        <f t="shared" si="44"/>
        <v>365104.0721003135</v>
      </c>
      <c r="L274" s="84">
        <f t="shared" si="38"/>
        <v>-53054.072100313497</v>
      </c>
      <c r="M274" s="85">
        <f t="shared" si="39"/>
        <v>2814734566.4252629</v>
      </c>
      <c r="N274" s="73">
        <f t="shared" si="40"/>
        <v>7.4355554635609167E-2</v>
      </c>
      <c r="O274" s="14">
        <f t="shared" si="41"/>
        <v>7.0358408994388499E-2</v>
      </c>
      <c r="P274" s="14">
        <f t="shared" si="42"/>
        <v>4.9503057162216483E-3</v>
      </c>
    </row>
    <row r="275" spans="1:16">
      <c r="A275">
        <f t="shared" si="43"/>
        <v>262</v>
      </c>
      <c r="C275" s="74">
        <v>19133541458</v>
      </c>
      <c r="D275" s="3" t="s">
        <v>5</v>
      </c>
      <c r="E275" s="74">
        <v>426800</v>
      </c>
      <c r="F275" s="75">
        <v>0.98378631677600747</v>
      </c>
      <c r="G275" s="78">
        <v>44609</v>
      </c>
      <c r="H275">
        <v>419880</v>
      </c>
      <c r="I275" s="84">
        <f t="shared" si="36"/>
        <v>-6920</v>
      </c>
      <c r="J275" s="85">
        <f t="shared" si="37"/>
        <v>47886400</v>
      </c>
      <c r="K275" s="84">
        <f t="shared" si="44"/>
        <v>365104.0721003135</v>
      </c>
      <c r="L275" s="84">
        <f t="shared" si="38"/>
        <v>54775.927899686503</v>
      </c>
      <c r="M275" s="85">
        <f t="shared" si="39"/>
        <v>3000402277.2716541</v>
      </c>
      <c r="N275" s="73">
        <f t="shared" si="40"/>
        <v>2.067355976720231E-2</v>
      </c>
      <c r="O275" s="14">
        <f t="shared" si="41"/>
        <v>1.6676414125981642E-2</v>
      </c>
      <c r="P275" s="14">
        <f t="shared" si="42"/>
        <v>2.7810278810124004E-4</v>
      </c>
    </row>
    <row r="276" spans="1:16">
      <c r="A276">
        <f t="shared" si="43"/>
        <v>263</v>
      </c>
      <c r="C276" s="71">
        <v>19133541459</v>
      </c>
      <c r="D276" s="3" t="s">
        <v>5</v>
      </c>
      <c r="E276" s="71">
        <v>399600</v>
      </c>
      <c r="F276" s="72">
        <v>1.0494994994994995</v>
      </c>
      <c r="G276" s="78">
        <v>44566</v>
      </c>
      <c r="H276">
        <v>419380</v>
      </c>
      <c r="I276" s="84">
        <f t="shared" si="36"/>
        <v>19780</v>
      </c>
      <c r="J276" s="85">
        <f t="shared" si="37"/>
        <v>391248400</v>
      </c>
      <c r="K276" s="84">
        <f t="shared" si="44"/>
        <v>365104.0721003135</v>
      </c>
      <c r="L276" s="84">
        <f t="shared" si="38"/>
        <v>54275.927899686503</v>
      </c>
      <c r="M276" s="85">
        <f t="shared" si="39"/>
        <v>2945876349.3719678</v>
      </c>
      <c r="N276" s="73">
        <f t="shared" si="40"/>
        <v>4.5039622956289715E-2</v>
      </c>
      <c r="O276" s="14">
        <f t="shared" si="41"/>
        <v>-4.9036768597510383E-2</v>
      </c>
      <c r="P276" s="14">
        <f t="shared" si="42"/>
        <v>2.4046046744857805E-3</v>
      </c>
    </row>
    <row r="277" spans="1:16">
      <c r="A277">
        <f t="shared" si="43"/>
        <v>264</v>
      </c>
      <c r="C277" s="74">
        <v>19133541460</v>
      </c>
      <c r="D277" s="3" t="s">
        <v>5</v>
      </c>
      <c r="E277" s="74">
        <v>398100</v>
      </c>
      <c r="F277" s="75">
        <v>0.99974880683245415</v>
      </c>
      <c r="G277" s="78">
        <v>45310</v>
      </c>
      <c r="H277">
        <v>398000</v>
      </c>
      <c r="I277" s="84">
        <f t="shared" si="36"/>
        <v>-100</v>
      </c>
      <c r="J277" s="85">
        <f t="shared" si="37"/>
        <v>10000</v>
      </c>
      <c r="K277" s="84">
        <f t="shared" si="44"/>
        <v>365104.0721003135</v>
      </c>
      <c r="L277" s="84">
        <f t="shared" si="38"/>
        <v>32895.927899686503</v>
      </c>
      <c r="M277" s="85">
        <f t="shared" si="39"/>
        <v>1082142072.3813729</v>
      </c>
      <c r="N277" s="73">
        <f t="shared" si="40"/>
        <v>4.7110697107556332E-3</v>
      </c>
      <c r="O277" s="14">
        <f t="shared" si="41"/>
        <v>7.1392406953496579E-4</v>
      </c>
      <c r="P277" s="14">
        <f t="shared" si="42"/>
        <v>5.096875770613667E-7</v>
      </c>
    </row>
    <row r="278" spans="1:16">
      <c r="A278">
        <f t="shared" si="43"/>
        <v>265</v>
      </c>
      <c r="C278" s="71">
        <v>19133541460</v>
      </c>
      <c r="D278" s="3" t="s">
        <v>5</v>
      </c>
      <c r="E278" s="71">
        <v>379300</v>
      </c>
      <c r="F278" s="72">
        <v>0.91747956762457161</v>
      </c>
      <c r="G278" s="78">
        <v>44595</v>
      </c>
      <c r="H278">
        <v>348000</v>
      </c>
      <c r="I278" s="84">
        <f t="shared" si="36"/>
        <v>-31300</v>
      </c>
      <c r="J278" s="85">
        <f t="shared" si="37"/>
        <v>979690000</v>
      </c>
      <c r="K278" s="84">
        <f t="shared" si="44"/>
        <v>365104.0721003135</v>
      </c>
      <c r="L278" s="84">
        <f t="shared" si="38"/>
        <v>-17104.072100313497</v>
      </c>
      <c r="M278" s="85">
        <f t="shared" si="39"/>
        <v>292549282.41272253</v>
      </c>
      <c r="N278" s="73">
        <f t="shared" si="40"/>
        <v>8.6980308918638172E-2</v>
      </c>
      <c r="O278" s="14">
        <f t="shared" si="41"/>
        <v>8.2983163277417504E-2</v>
      </c>
      <c r="P278" s="14">
        <f t="shared" si="42"/>
        <v>6.8862053875265328E-3</v>
      </c>
    </row>
    <row r="279" spans="1:16">
      <c r="A279">
        <f t="shared" si="43"/>
        <v>266</v>
      </c>
      <c r="C279" s="74">
        <v>19133541461</v>
      </c>
      <c r="D279" s="3" t="s">
        <v>5</v>
      </c>
      <c r="E279" s="74">
        <v>380200</v>
      </c>
      <c r="F279" s="75">
        <v>0.91399263545502363</v>
      </c>
      <c r="G279" s="78">
        <v>44608</v>
      </c>
      <c r="H279">
        <v>347500</v>
      </c>
      <c r="I279" s="84">
        <f t="shared" si="36"/>
        <v>-32700</v>
      </c>
      <c r="J279" s="85">
        <f t="shared" si="37"/>
        <v>1069290000</v>
      </c>
      <c r="K279" s="84">
        <f t="shared" si="44"/>
        <v>365104.0721003135</v>
      </c>
      <c r="L279" s="84">
        <f t="shared" si="38"/>
        <v>-17604.072100313497</v>
      </c>
      <c r="M279" s="85">
        <f t="shared" si="39"/>
        <v>309903354.51303607</v>
      </c>
      <c r="N279" s="73">
        <f t="shared" si="40"/>
        <v>9.0467241088186157E-2</v>
      </c>
      <c r="O279" s="14">
        <f t="shared" si="41"/>
        <v>8.6470095446965489E-2</v>
      </c>
      <c r="P279" s="14">
        <f t="shared" si="42"/>
        <v>7.477077406607322E-3</v>
      </c>
    </row>
    <row r="280" spans="1:16">
      <c r="A280">
        <f t="shared" si="43"/>
        <v>267</v>
      </c>
      <c r="C280" s="71">
        <v>19133541462</v>
      </c>
      <c r="D280" s="3" t="s">
        <v>5</v>
      </c>
      <c r="E280" s="71">
        <v>330300</v>
      </c>
      <c r="F280" s="72">
        <v>0.92378141083863152</v>
      </c>
      <c r="G280" s="78">
        <v>44435</v>
      </c>
      <c r="H280">
        <v>305125</v>
      </c>
      <c r="I280" s="84">
        <f t="shared" si="36"/>
        <v>-25175</v>
      </c>
      <c r="J280" s="85">
        <f t="shared" si="37"/>
        <v>633780625</v>
      </c>
      <c r="K280" s="84">
        <f t="shared" si="44"/>
        <v>365104.0721003135</v>
      </c>
      <c r="L280" s="84">
        <f t="shared" si="38"/>
        <v>-59979.072100313497</v>
      </c>
      <c r="M280" s="85">
        <f t="shared" si="39"/>
        <v>3597489090.014605</v>
      </c>
      <c r="N280" s="73">
        <f t="shared" si="40"/>
        <v>8.0678465704578262E-2</v>
      </c>
      <c r="O280" s="14">
        <f t="shared" si="41"/>
        <v>7.6681320063357594E-2</v>
      </c>
      <c r="P280" s="14">
        <f t="shared" si="42"/>
        <v>5.8800248466590876E-3</v>
      </c>
    </row>
    <row r="281" spans="1:16">
      <c r="A281">
        <f t="shared" si="43"/>
        <v>268</v>
      </c>
      <c r="C281" s="74">
        <v>19133541463</v>
      </c>
      <c r="D281" s="3" t="s">
        <v>5</v>
      </c>
      <c r="E281" s="74">
        <v>420500</v>
      </c>
      <c r="F281" s="75">
        <v>0.8875148632580262</v>
      </c>
      <c r="G281" s="78">
        <v>44425</v>
      </c>
      <c r="H281">
        <v>373200</v>
      </c>
      <c r="I281" s="84">
        <f t="shared" si="36"/>
        <v>-47300</v>
      </c>
      <c r="J281" s="85">
        <f t="shared" si="37"/>
        <v>2237290000</v>
      </c>
      <c r="K281" s="84">
        <f t="shared" si="44"/>
        <v>365104.0721003135</v>
      </c>
      <c r="L281" s="84">
        <f t="shared" si="38"/>
        <v>8095.9278996865032</v>
      </c>
      <c r="M281" s="85">
        <f t="shared" si="39"/>
        <v>65544048.556922317</v>
      </c>
      <c r="N281" s="73">
        <f t="shared" si="40"/>
        <v>0.11694501328518359</v>
      </c>
      <c r="O281" s="14">
        <f t="shared" si="41"/>
        <v>0.11294786764396292</v>
      </c>
      <c r="P281" s="14">
        <f t="shared" si="42"/>
        <v>1.2757220805318166E-2</v>
      </c>
    </row>
    <row r="282" spans="1:16">
      <c r="A282">
        <f t="shared" si="43"/>
        <v>269</v>
      </c>
      <c r="C282" s="71">
        <v>19133541464</v>
      </c>
      <c r="D282" s="3" t="s">
        <v>5</v>
      </c>
      <c r="E282" s="71">
        <v>364900</v>
      </c>
      <c r="F282" s="72">
        <v>0.92734995889284733</v>
      </c>
      <c r="G282" s="78">
        <v>44460</v>
      </c>
      <c r="H282">
        <v>338390</v>
      </c>
      <c r="I282" s="84">
        <f t="shared" si="36"/>
        <v>-26510</v>
      </c>
      <c r="J282" s="85">
        <f t="shared" si="37"/>
        <v>702780100</v>
      </c>
      <c r="K282" s="84">
        <f t="shared" si="44"/>
        <v>365104.0721003135</v>
      </c>
      <c r="L282" s="84">
        <f t="shared" si="38"/>
        <v>-26714.072100313497</v>
      </c>
      <c r="M282" s="85">
        <f t="shared" si="39"/>
        <v>713641648.18074799</v>
      </c>
      <c r="N282" s="73">
        <f t="shared" si="40"/>
        <v>7.7109917650362458E-2</v>
      </c>
      <c r="O282" s="14">
        <f t="shared" si="41"/>
        <v>7.3112772009141791E-2</v>
      </c>
      <c r="P282" s="14">
        <f t="shared" si="42"/>
        <v>5.3454774308607476E-3</v>
      </c>
    </row>
    <row r="283" spans="1:16">
      <c r="A283">
        <f t="shared" si="43"/>
        <v>270</v>
      </c>
      <c r="C283" s="74">
        <v>19133541465</v>
      </c>
      <c r="D283" s="3" t="s">
        <v>5</v>
      </c>
      <c r="E283" s="74">
        <v>437800</v>
      </c>
      <c r="F283" s="75">
        <v>0.96288259479214255</v>
      </c>
      <c r="G283" s="78">
        <v>44447</v>
      </c>
      <c r="H283">
        <v>421550</v>
      </c>
      <c r="I283" s="84">
        <f t="shared" si="36"/>
        <v>-16250</v>
      </c>
      <c r="J283" s="85">
        <f t="shared" si="37"/>
        <v>264062500</v>
      </c>
      <c r="K283" s="84">
        <f t="shared" si="44"/>
        <v>365104.0721003135</v>
      </c>
      <c r="L283" s="84">
        <f t="shared" si="38"/>
        <v>56445.927899686503</v>
      </c>
      <c r="M283" s="85">
        <f t="shared" si="39"/>
        <v>3186142776.4566073</v>
      </c>
      <c r="N283" s="73">
        <f t="shared" si="40"/>
        <v>4.157728175106723E-2</v>
      </c>
      <c r="O283" s="14">
        <f t="shared" si="41"/>
        <v>3.7580136109846562E-2</v>
      </c>
      <c r="P283" s="14">
        <f t="shared" si="42"/>
        <v>1.4122666300345936E-3</v>
      </c>
    </row>
    <row r="284" spans="1:16">
      <c r="A284">
        <f t="shared" si="43"/>
        <v>271</v>
      </c>
      <c r="C284" s="71">
        <v>19133541466</v>
      </c>
      <c r="D284" s="3" t="s">
        <v>5</v>
      </c>
      <c r="E284" s="71">
        <v>369400</v>
      </c>
      <c r="F284" s="72">
        <v>0.92383595018949649</v>
      </c>
      <c r="G284" s="78">
        <v>44427</v>
      </c>
      <c r="H284">
        <v>341265</v>
      </c>
      <c r="I284" s="84">
        <f t="shared" si="36"/>
        <v>-28135</v>
      </c>
      <c r="J284" s="85">
        <f t="shared" si="37"/>
        <v>791578225</v>
      </c>
      <c r="K284" s="84">
        <f t="shared" si="44"/>
        <v>365104.0721003135</v>
      </c>
      <c r="L284" s="84">
        <f t="shared" si="38"/>
        <v>-23839.072100313497</v>
      </c>
      <c r="M284" s="85">
        <f t="shared" si="39"/>
        <v>568301358.60394537</v>
      </c>
      <c r="N284" s="73">
        <f t="shared" si="40"/>
        <v>8.0623926353713293E-2</v>
      </c>
      <c r="O284" s="14">
        <f t="shared" si="41"/>
        <v>7.6626780712492626E-2</v>
      </c>
      <c r="P284" s="14">
        <f t="shared" si="42"/>
        <v>5.8716635223604319E-3</v>
      </c>
    </row>
    <row r="285" spans="1:16">
      <c r="A285">
        <f t="shared" si="43"/>
        <v>272</v>
      </c>
      <c r="C285" s="74">
        <v>19133541467</v>
      </c>
      <c r="D285" s="3" t="s">
        <v>5</v>
      </c>
      <c r="E285" s="74">
        <v>420300</v>
      </c>
      <c r="F285" s="75">
        <v>1.0001903402331669</v>
      </c>
      <c r="G285" s="78">
        <v>44652</v>
      </c>
      <c r="H285">
        <v>420380</v>
      </c>
      <c r="I285" s="84">
        <f t="shared" si="36"/>
        <v>80</v>
      </c>
      <c r="J285" s="85">
        <f t="shared" si="37"/>
        <v>6400</v>
      </c>
      <c r="K285" s="84">
        <f t="shared" si="44"/>
        <v>365104.0721003135</v>
      </c>
      <c r="L285" s="84">
        <f t="shared" si="38"/>
        <v>55275.927899686503</v>
      </c>
      <c r="M285" s="85">
        <f t="shared" si="39"/>
        <v>3055428205.1713409</v>
      </c>
      <c r="N285" s="73">
        <f t="shared" si="40"/>
        <v>4.2695363100428985E-3</v>
      </c>
      <c r="O285" s="14">
        <f t="shared" si="41"/>
        <v>2.7239066882223106E-4</v>
      </c>
      <c r="P285" s="14">
        <f t="shared" si="42"/>
        <v>7.4196676461422365E-8</v>
      </c>
    </row>
    <row r="286" spans="1:16">
      <c r="A286">
        <f t="shared" si="43"/>
        <v>273</v>
      </c>
      <c r="C286" s="71">
        <v>19133614405</v>
      </c>
      <c r="D286" s="3" t="s">
        <v>5</v>
      </c>
      <c r="E286" s="71">
        <v>418100</v>
      </c>
      <c r="F286" s="72">
        <v>0.98062664434345848</v>
      </c>
      <c r="G286" s="78">
        <v>44327</v>
      </c>
      <c r="H286">
        <v>410000</v>
      </c>
      <c r="I286" s="84">
        <f t="shared" si="36"/>
        <v>-8100</v>
      </c>
      <c r="J286" s="85">
        <f t="shared" si="37"/>
        <v>65610000</v>
      </c>
      <c r="K286" s="84">
        <f t="shared" si="44"/>
        <v>365104.0721003135</v>
      </c>
      <c r="L286" s="84">
        <f t="shared" si="38"/>
        <v>44895.927899686503</v>
      </c>
      <c r="M286" s="85">
        <f t="shared" si="39"/>
        <v>2015644341.9738491</v>
      </c>
      <c r="N286" s="73">
        <f t="shared" si="40"/>
        <v>2.3833232199751309E-2</v>
      </c>
      <c r="O286" s="14">
        <f t="shared" si="41"/>
        <v>1.9836086558530641E-2</v>
      </c>
      <c r="P286" s="14">
        <f t="shared" si="42"/>
        <v>3.9347032995751995E-4</v>
      </c>
    </row>
    <row r="287" spans="1:16">
      <c r="A287">
        <f t="shared" si="43"/>
        <v>274</v>
      </c>
      <c r="C287" s="74">
        <v>20120632005</v>
      </c>
      <c r="D287" s="3" t="s">
        <v>5</v>
      </c>
      <c r="E287" s="74">
        <v>319500</v>
      </c>
      <c r="F287" s="75">
        <v>1.0954616588419406</v>
      </c>
      <c r="G287" s="78">
        <v>44544</v>
      </c>
      <c r="H287">
        <v>350000</v>
      </c>
      <c r="I287" s="84">
        <f t="shared" si="36"/>
        <v>30500</v>
      </c>
      <c r="J287" s="85">
        <f t="shared" si="37"/>
        <v>930250000</v>
      </c>
      <c r="K287" s="84">
        <f t="shared" si="44"/>
        <v>365104.0721003135</v>
      </c>
      <c r="L287" s="84">
        <f t="shared" si="38"/>
        <v>-15104.072100313497</v>
      </c>
      <c r="M287" s="85">
        <f t="shared" si="39"/>
        <v>228132994.01146856</v>
      </c>
      <c r="N287" s="73">
        <f t="shared" si="40"/>
        <v>9.1001782298730793E-2</v>
      </c>
      <c r="O287" s="14">
        <f t="shared" si="41"/>
        <v>-9.4998927939951461E-2</v>
      </c>
      <c r="P287" s="14">
        <f t="shared" si="42"/>
        <v>9.0247963097400911E-3</v>
      </c>
    </row>
    <row r="288" spans="1:16">
      <c r="A288">
        <f t="shared" si="43"/>
        <v>275</v>
      </c>
      <c r="C288" s="71">
        <v>20120632401</v>
      </c>
      <c r="D288" s="3" t="s">
        <v>5</v>
      </c>
      <c r="E288" s="71">
        <v>418000</v>
      </c>
      <c r="F288" s="72">
        <v>1.0454545454545454</v>
      </c>
      <c r="G288" s="78">
        <v>44677</v>
      </c>
      <c r="H288">
        <v>437000</v>
      </c>
      <c r="I288" s="84">
        <f t="shared" si="36"/>
        <v>19000</v>
      </c>
      <c r="J288" s="85">
        <f t="shared" si="37"/>
        <v>361000000</v>
      </c>
      <c r="K288" s="84">
        <f t="shared" si="44"/>
        <v>365104.0721003135</v>
      </c>
      <c r="L288" s="84">
        <f t="shared" si="38"/>
        <v>71895.927899686503</v>
      </c>
      <c r="M288" s="85">
        <f t="shared" si="39"/>
        <v>5169024448.5569201</v>
      </c>
      <c r="N288" s="73">
        <f t="shared" si="40"/>
        <v>4.099466891133563E-2</v>
      </c>
      <c r="O288" s="14">
        <f t="shared" si="41"/>
        <v>-4.4991814552556297E-2</v>
      </c>
      <c r="P288" s="14">
        <f t="shared" si="42"/>
        <v>2.0242633767316165E-3</v>
      </c>
    </row>
    <row r="289" spans="1:16">
      <c r="A289">
        <f t="shared" si="43"/>
        <v>276</v>
      </c>
      <c r="C289" s="74">
        <v>20120632412</v>
      </c>
      <c r="D289" s="3" t="s">
        <v>5</v>
      </c>
      <c r="E289" s="74">
        <v>348400</v>
      </c>
      <c r="F289" s="75">
        <v>1.0189437428243397</v>
      </c>
      <c r="G289" s="78">
        <v>44459</v>
      </c>
      <c r="H289">
        <v>355000</v>
      </c>
      <c r="I289" s="84">
        <f t="shared" si="36"/>
        <v>6600</v>
      </c>
      <c r="J289" s="85">
        <f t="shared" si="37"/>
        <v>43560000</v>
      </c>
      <c r="K289" s="84">
        <f t="shared" si="44"/>
        <v>365104.0721003135</v>
      </c>
      <c r="L289" s="84">
        <f t="shared" si="38"/>
        <v>-10104.072100313497</v>
      </c>
      <c r="M289" s="85">
        <f t="shared" si="39"/>
        <v>102092273.00833359</v>
      </c>
      <c r="N289" s="73">
        <f t="shared" si="40"/>
        <v>1.4483866281129965E-2</v>
      </c>
      <c r="O289" s="14">
        <f t="shared" si="41"/>
        <v>-1.8481011922350632E-2</v>
      </c>
      <c r="P289" s="14">
        <f t="shared" si="42"/>
        <v>3.415478016740662E-4</v>
      </c>
    </row>
    <row r="290" spans="1:16">
      <c r="A290">
        <f t="shared" si="43"/>
        <v>277</v>
      </c>
      <c r="C290" s="71">
        <v>20120632420</v>
      </c>
      <c r="D290" s="3" t="s">
        <v>5</v>
      </c>
      <c r="E290" s="71">
        <v>347500</v>
      </c>
      <c r="F290" s="72">
        <v>1.0503597122302157</v>
      </c>
      <c r="G290" s="78">
        <v>44469</v>
      </c>
      <c r="H290">
        <v>365000</v>
      </c>
      <c r="I290" s="84">
        <f t="shared" si="36"/>
        <v>17500</v>
      </c>
      <c r="J290" s="85">
        <f t="shared" si="37"/>
        <v>306250000</v>
      </c>
      <c r="K290" s="84">
        <f t="shared" si="44"/>
        <v>365104.0721003135</v>
      </c>
      <c r="L290" s="84">
        <f t="shared" si="38"/>
        <v>-104.07210031349678</v>
      </c>
      <c r="M290" s="85">
        <f t="shared" si="39"/>
        <v>10831.002063662536</v>
      </c>
      <c r="N290" s="73">
        <f t="shared" si="40"/>
        <v>4.5899835687005952E-2</v>
      </c>
      <c r="O290" s="14">
        <f t="shared" si="41"/>
        <v>-4.9896981328226619E-2</v>
      </c>
      <c r="P290" s="14">
        <f t="shared" si="42"/>
        <v>2.4897087456693958E-3</v>
      </c>
    </row>
    <row r="291" spans="1:16">
      <c r="A291">
        <f t="shared" si="43"/>
        <v>278</v>
      </c>
      <c r="C291" s="74">
        <v>20120632423</v>
      </c>
      <c r="D291" s="3" t="s">
        <v>5</v>
      </c>
      <c r="E291" s="74">
        <v>450000</v>
      </c>
      <c r="F291" s="75">
        <v>1.0872222222222223</v>
      </c>
      <c r="G291" s="78">
        <v>45133</v>
      </c>
      <c r="H291">
        <v>489250</v>
      </c>
      <c r="I291" s="84">
        <f t="shared" si="36"/>
        <v>39250</v>
      </c>
      <c r="J291" s="85">
        <f t="shared" si="37"/>
        <v>1540562500</v>
      </c>
      <c r="K291" s="84">
        <f t="shared" si="44"/>
        <v>365104.0721003135</v>
      </c>
      <c r="L291" s="84">
        <f t="shared" si="38"/>
        <v>124145.9278996865</v>
      </c>
      <c r="M291" s="85">
        <f t="shared" si="39"/>
        <v>15412211414.07416</v>
      </c>
      <c r="N291" s="73">
        <f t="shared" si="40"/>
        <v>8.2762345679012528E-2</v>
      </c>
      <c r="O291" s="14">
        <f t="shared" si="41"/>
        <v>-8.6759491320233195E-2</v>
      </c>
      <c r="P291" s="14">
        <f t="shared" si="42"/>
        <v>7.5272093341456191E-3</v>
      </c>
    </row>
    <row r="292" spans="1:16">
      <c r="A292">
        <f t="shared" si="43"/>
        <v>279</v>
      </c>
      <c r="C292" s="71">
        <v>20120632433</v>
      </c>
      <c r="D292" s="3" t="s">
        <v>5</v>
      </c>
      <c r="E292" s="71">
        <v>318300</v>
      </c>
      <c r="F292" s="72">
        <v>1.1153000314169024</v>
      </c>
      <c r="G292" s="78">
        <v>44337</v>
      </c>
      <c r="H292">
        <v>355000</v>
      </c>
      <c r="I292" s="84">
        <f t="shared" si="36"/>
        <v>36700</v>
      </c>
      <c r="J292" s="85">
        <f t="shared" si="37"/>
        <v>1346890000</v>
      </c>
      <c r="K292" s="84">
        <f t="shared" si="44"/>
        <v>365104.0721003135</v>
      </c>
      <c r="L292" s="84">
        <f t="shared" si="38"/>
        <v>-10104.072100313497</v>
      </c>
      <c r="M292" s="85">
        <f t="shared" si="39"/>
        <v>102092273.00833359</v>
      </c>
      <c r="N292" s="73">
        <f t="shared" si="40"/>
        <v>0.11084015487369259</v>
      </c>
      <c r="O292" s="14">
        <f t="shared" si="41"/>
        <v>-0.11483730051491325</v>
      </c>
      <c r="P292" s="14">
        <f t="shared" si="42"/>
        <v>1.3187605589552495E-2</v>
      </c>
    </row>
    <row r="293" spans="1:16">
      <c r="A293">
        <f t="shared" si="43"/>
        <v>280</v>
      </c>
      <c r="C293" s="74">
        <v>20120632434</v>
      </c>
      <c r="D293" s="3" t="s">
        <v>5</v>
      </c>
      <c r="E293" s="74">
        <v>396700</v>
      </c>
      <c r="F293" s="75">
        <v>1.1091504915553314</v>
      </c>
      <c r="G293" s="78">
        <v>44489</v>
      </c>
      <c r="H293">
        <v>440000</v>
      </c>
      <c r="I293" s="84">
        <f t="shared" si="36"/>
        <v>43300</v>
      </c>
      <c r="J293" s="85">
        <f t="shared" si="37"/>
        <v>1874890000</v>
      </c>
      <c r="K293" s="84">
        <f t="shared" si="44"/>
        <v>365104.0721003135</v>
      </c>
      <c r="L293" s="84">
        <f t="shared" si="38"/>
        <v>74895.927899686503</v>
      </c>
      <c r="M293" s="85">
        <f t="shared" si="39"/>
        <v>5609400015.955039</v>
      </c>
      <c r="N293" s="73">
        <f t="shared" si="40"/>
        <v>0.10469061501212162</v>
      </c>
      <c r="O293" s="14">
        <f t="shared" si="41"/>
        <v>-0.10868776065334229</v>
      </c>
      <c r="P293" s="14">
        <f t="shared" si="42"/>
        <v>1.1813029315838221E-2</v>
      </c>
    </row>
    <row r="294" spans="1:16">
      <c r="A294">
        <f t="shared" si="43"/>
        <v>281</v>
      </c>
      <c r="C294" s="71">
        <v>20120633427</v>
      </c>
      <c r="D294" s="3" t="s">
        <v>5</v>
      </c>
      <c r="E294" s="71">
        <v>350700</v>
      </c>
      <c r="F294" s="72">
        <v>0.99800399201596801</v>
      </c>
      <c r="G294" s="78">
        <v>44307</v>
      </c>
      <c r="H294">
        <v>350000</v>
      </c>
      <c r="I294" s="84">
        <f t="shared" si="36"/>
        <v>-700</v>
      </c>
      <c r="J294" s="85">
        <f t="shared" si="37"/>
        <v>490000</v>
      </c>
      <c r="K294" s="84">
        <f t="shared" si="44"/>
        <v>365104.0721003135</v>
      </c>
      <c r="L294" s="84">
        <f t="shared" si="38"/>
        <v>-15104.072100313497</v>
      </c>
      <c r="M294" s="85">
        <f t="shared" si="39"/>
        <v>228132994.01146856</v>
      </c>
      <c r="N294" s="73">
        <f t="shared" si="40"/>
        <v>6.4558845272417731E-3</v>
      </c>
      <c r="O294" s="14">
        <f t="shared" si="41"/>
        <v>2.4587388860211057E-3</v>
      </c>
      <c r="P294" s="14">
        <f t="shared" si="42"/>
        <v>6.0453969096323078E-6</v>
      </c>
    </row>
    <row r="295" spans="1:16">
      <c r="A295">
        <f t="shared" si="43"/>
        <v>282</v>
      </c>
      <c r="C295" s="74">
        <v>20120633430</v>
      </c>
      <c r="D295" s="3" t="s">
        <v>5</v>
      </c>
      <c r="E295" s="74">
        <v>365800</v>
      </c>
      <c r="F295" s="75">
        <v>1.0524876981957354</v>
      </c>
      <c r="G295" s="78">
        <v>44747</v>
      </c>
      <c r="H295">
        <v>385000</v>
      </c>
      <c r="I295" s="84">
        <f t="shared" si="36"/>
        <v>19200</v>
      </c>
      <c r="J295" s="85">
        <f t="shared" si="37"/>
        <v>368640000</v>
      </c>
      <c r="K295" s="84">
        <f t="shared" si="44"/>
        <v>365104.0721003135</v>
      </c>
      <c r="L295" s="84">
        <f t="shared" si="38"/>
        <v>19895.927899686503</v>
      </c>
      <c r="M295" s="85">
        <f t="shared" si="39"/>
        <v>395847946.98952377</v>
      </c>
      <c r="N295" s="73">
        <f t="shared" si="40"/>
        <v>4.8027821652525615E-2</v>
      </c>
      <c r="O295" s="14">
        <f t="shared" si="41"/>
        <v>-5.2024967293746283E-2</v>
      </c>
      <c r="P295" s="14">
        <f t="shared" si="42"/>
        <v>2.7065972219153705E-3</v>
      </c>
    </row>
    <row r="296" spans="1:16">
      <c r="A296">
        <f t="shared" si="43"/>
        <v>283</v>
      </c>
      <c r="C296" s="71">
        <v>20120633432</v>
      </c>
      <c r="D296" s="3" t="s">
        <v>5</v>
      </c>
      <c r="E296" s="71">
        <v>275600</v>
      </c>
      <c r="F296" s="72">
        <v>1.0105224963715529</v>
      </c>
      <c r="G296" s="78">
        <v>44280</v>
      </c>
      <c r="H296">
        <v>278500</v>
      </c>
      <c r="I296" s="84">
        <f t="shared" si="36"/>
        <v>2900</v>
      </c>
      <c r="J296" s="85">
        <f t="shared" si="37"/>
        <v>8410000</v>
      </c>
      <c r="K296" s="84">
        <f t="shared" si="44"/>
        <v>365104.0721003135</v>
      </c>
      <c r="L296" s="84">
        <f t="shared" si="38"/>
        <v>-86604.072100313497</v>
      </c>
      <c r="M296" s="85">
        <f t="shared" si="39"/>
        <v>7500265304.3562984</v>
      </c>
      <c r="N296" s="73">
        <f t="shared" si="40"/>
        <v>6.0626198283431076E-3</v>
      </c>
      <c r="O296" s="14">
        <f t="shared" si="41"/>
        <v>-1.0059765469563775E-2</v>
      </c>
      <c r="P296" s="14">
        <f t="shared" si="42"/>
        <v>1.0119888130262768E-4</v>
      </c>
    </row>
    <row r="297" spans="1:16">
      <c r="A297">
        <f t="shared" si="43"/>
        <v>284</v>
      </c>
      <c r="C297" s="74">
        <v>20120633438</v>
      </c>
      <c r="D297" s="3" t="s">
        <v>5</v>
      </c>
      <c r="E297" s="74">
        <v>250300</v>
      </c>
      <c r="F297" s="75">
        <v>1.138633639632441</v>
      </c>
      <c r="G297" s="78">
        <v>44257</v>
      </c>
      <c r="H297">
        <v>285000</v>
      </c>
      <c r="I297" s="84">
        <f t="shared" si="36"/>
        <v>34700</v>
      </c>
      <c r="J297" s="85">
        <f t="shared" si="37"/>
        <v>1204090000</v>
      </c>
      <c r="K297" s="84">
        <f t="shared" si="44"/>
        <v>365104.0721003135</v>
      </c>
      <c r="L297" s="84">
        <f t="shared" si="38"/>
        <v>-80104.072100313497</v>
      </c>
      <c r="M297" s="85">
        <f t="shared" si="39"/>
        <v>6416662367.0522232</v>
      </c>
      <c r="N297" s="73">
        <f t="shared" si="40"/>
        <v>0.13417376308923123</v>
      </c>
      <c r="O297" s="14">
        <f t="shared" si="41"/>
        <v>-0.1381709087304519</v>
      </c>
      <c r="P297" s="14">
        <f t="shared" si="42"/>
        <v>1.9091200019398871E-2</v>
      </c>
    </row>
    <row r="298" spans="1:16">
      <c r="A298">
        <f t="shared" si="43"/>
        <v>285</v>
      </c>
      <c r="C298" s="71">
        <v>20120633447</v>
      </c>
      <c r="D298" s="3" t="s">
        <v>5</v>
      </c>
      <c r="E298" s="71">
        <v>304400</v>
      </c>
      <c r="F298" s="72">
        <v>0.99047306176084104</v>
      </c>
      <c r="G298" s="78">
        <v>44496</v>
      </c>
      <c r="H298">
        <v>301500</v>
      </c>
      <c r="I298" s="84">
        <f t="shared" si="36"/>
        <v>-2900</v>
      </c>
      <c r="J298" s="85">
        <f t="shared" si="37"/>
        <v>8410000</v>
      </c>
      <c r="K298" s="84">
        <f t="shared" si="44"/>
        <v>365104.0721003135</v>
      </c>
      <c r="L298" s="84">
        <f t="shared" si="38"/>
        <v>-63604.072100313497</v>
      </c>
      <c r="M298" s="85">
        <f t="shared" si="39"/>
        <v>4045477987.7418776</v>
      </c>
      <c r="N298" s="73">
        <f t="shared" si="40"/>
        <v>1.3986814782368739E-2</v>
      </c>
      <c r="O298" s="14">
        <f t="shared" si="41"/>
        <v>9.989669141148072E-3</v>
      </c>
      <c r="P298" s="14">
        <f t="shared" si="42"/>
        <v>9.9793489549606065E-5</v>
      </c>
    </row>
    <row r="299" spans="1:16">
      <c r="A299">
        <f t="shared" si="43"/>
        <v>286</v>
      </c>
      <c r="C299" s="74">
        <v>20120633449</v>
      </c>
      <c r="D299" s="3" t="s">
        <v>5</v>
      </c>
      <c r="E299" s="74">
        <v>261500</v>
      </c>
      <c r="F299" s="75">
        <v>1.0133843212237095</v>
      </c>
      <c r="G299" s="78">
        <v>44322</v>
      </c>
      <c r="H299">
        <v>265000</v>
      </c>
      <c r="I299" s="84">
        <f t="shared" si="36"/>
        <v>3500</v>
      </c>
      <c r="J299" s="85">
        <f t="shared" si="37"/>
        <v>12250000</v>
      </c>
      <c r="K299" s="84">
        <f t="shared" si="44"/>
        <v>365104.0721003135</v>
      </c>
      <c r="L299" s="84">
        <f t="shared" si="38"/>
        <v>-100104.0721003135</v>
      </c>
      <c r="M299" s="85">
        <f t="shared" si="39"/>
        <v>10020825251.064762</v>
      </c>
      <c r="N299" s="73">
        <f t="shared" si="40"/>
        <v>8.924444680499688E-3</v>
      </c>
      <c r="O299" s="14">
        <f t="shared" si="41"/>
        <v>-1.2921590321720355E-2</v>
      </c>
      <c r="P299" s="14">
        <f t="shared" si="42"/>
        <v>1.6696749644237716E-4</v>
      </c>
    </row>
    <row r="300" spans="1:16">
      <c r="A300">
        <f t="shared" si="43"/>
        <v>287</v>
      </c>
      <c r="C300" s="71">
        <v>20120633450</v>
      </c>
      <c r="D300" s="3" t="s">
        <v>5</v>
      </c>
      <c r="E300" s="71">
        <v>261500</v>
      </c>
      <c r="F300" s="72">
        <v>1.1281070745697896</v>
      </c>
      <c r="G300" s="78">
        <v>44368</v>
      </c>
      <c r="H300">
        <v>295000</v>
      </c>
      <c r="I300" s="84">
        <f t="shared" si="36"/>
        <v>33500</v>
      </c>
      <c r="J300" s="85">
        <f t="shared" si="37"/>
        <v>1122250000</v>
      </c>
      <c r="K300" s="84">
        <f t="shared" si="44"/>
        <v>365104.0721003135</v>
      </c>
      <c r="L300" s="84">
        <f t="shared" si="38"/>
        <v>-70104.072100313497</v>
      </c>
      <c r="M300" s="85">
        <f t="shared" si="39"/>
        <v>4914580925.0459528</v>
      </c>
      <c r="N300" s="73">
        <f t="shared" si="40"/>
        <v>0.12364719802657986</v>
      </c>
      <c r="O300" s="14">
        <f t="shared" si="41"/>
        <v>-0.12764434366780053</v>
      </c>
      <c r="P300" s="14">
        <f t="shared" si="42"/>
        <v>1.6293078470383568E-2</v>
      </c>
    </row>
    <row r="301" spans="1:16">
      <c r="A301">
        <f t="shared" si="43"/>
        <v>288</v>
      </c>
      <c r="C301" s="74">
        <v>20120633453</v>
      </c>
      <c r="D301" s="3" t="s">
        <v>5</v>
      </c>
      <c r="E301" s="74">
        <v>346200</v>
      </c>
      <c r="F301" s="75">
        <v>1.0831889081455806</v>
      </c>
      <c r="G301" s="78">
        <v>44410</v>
      </c>
      <c r="H301">
        <v>375000</v>
      </c>
      <c r="I301" s="84">
        <f t="shared" si="36"/>
        <v>28800</v>
      </c>
      <c r="J301" s="85">
        <f t="shared" si="37"/>
        <v>829440000</v>
      </c>
      <c r="K301" s="84">
        <f t="shared" si="44"/>
        <v>365104.0721003135</v>
      </c>
      <c r="L301" s="84">
        <f t="shared" si="38"/>
        <v>9895.9278996865032</v>
      </c>
      <c r="M301" s="85">
        <f t="shared" si="39"/>
        <v>97929388.99579373</v>
      </c>
      <c r="N301" s="73">
        <f t="shared" si="40"/>
        <v>7.8729031602370769E-2</v>
      </c>
      <c r="O301" s="14">
        <f t="shared" si="41"/>
        <v>-8.2726177243591437E-2</v>
      </c>
      <c r="P301" s="14">
        <f t="shared" si="42"/>
        <v>6.8436204013381059E-3</v>
      </c>
    </row>
    <row r="302" spans="1:16">
      <c r="A302">
        <f t="shared" si="43"/>
        <v>289</v>
      </c>
      <c r="C302" s="71">
        <v>20120633454</v>
      </c>
      <c r="D302" s="3" t="s">
        <v>5</v>
      </c>
      <c r="E302" s="71">
        <v>354700</v>
      </c>
      <c r="F302" s="72">
        <v>0.97265294615167752</v>
      </c>
      <c r="G302" s="78">
        <v>44713</v>
      </c>
      <c r="H302">
        <v>345000</v>
      </c>
      <c r="I302" s="84">
        <f t="shared" si="36"/>
        <v>-9700</v>
      </c>
      <c r="J302" s="85">
        <f t="shared" si="37"/>
        <v>94090000</v>
      </c>
      <c r="K302" s="84">
        <f t="shared" si="44"/>
        <v>365104.0721003135</v>
      </c>
      <c r="L302" s="84">
        <f t="shared" si="38"/>
        <v>-20104.072100313497</v>
      </c>
      <c r="M302" s="85">
        <f t="shared" si="39"/>
        <v>404173715.01460356</v>
      </c>
      <c r="N302" s="73">
        <f t="shared" si="40"/>
        <v>3.1806930391532262E-2</v>
      </c>
      <c r="O302" s="14">
        <f t="shared" si="41"/>
        <v>2.7809784750311595E-2</v>
      </c>
      <c r="P302" s="14">
        <f t="shared" si="42"/>
        <v>7.7338412785866333E-4</v>
      </c>
    </row>
    <row r="303" spans="1:16">
      <c r="A303">
        <f t="shared" si="43"/>
        <v>290</v>
      </c>
      <c r="C303" s="74">
        <v>20120633482</v>
      </c>
      <c r="D303" s="3" t="s">
        <v>5</v>
      </c>
      <c r="E303" s="74">
        <v>395900</v>
      </c>
      <c r="F303" s="75">
        <v>0.95731245263955544</v>
      </c>
      <c r="G303" s="78">
        <v>44873</v>
      </c>
      <c r="H303">
        <v>379000</v>
      </c>
      <c r="I303" s="84">
        <f t="shared" si="36"/>
        <v>-16900</v>
      </c>
      <c r="J303" s="85">
        <f t="shared" si="37"/>
        <v>285610000</v>
      </c>
      <c r="K303" s="84">
        <f t="shared" si="44"/>
        <v>365104.0721003135</v>
      </c>
      <c r="L303" s="84">
        <f t="shared" si="38"/>
        <v>13895.927899686503</v>
      </c>
      <c r="M303" s="85">
        <f t="shared" si="39"/>
        <v>193096812.19328576</v>
      </c>
      <c r="N303" s="73">
        <f t="shared" si="40"/>
        <v>4.714742390365434E-2</v>
      </c>
      <c r="O303" s="14">
        <f t="shared" si="41"/>
        <v>4.3150278262433672E-2</v>
      </c>
      <c r="P303" s="14">
        <f t="shared" si="42"/>
        <v>1.8619465141254559E-3</v>
      </c>
    </row>
    <row r="304" spans="1:16">
      <c r="A304">
        <f t="shared" si="43"/>
        <v>291</v>
      </c>
      <c r="C304" s="71">
        <v>20120633487</v>
      </c>
      <c r="D304" s="3" t="s">
        <v>5</v>
      </c>
      <c r="E304" s="71">
        <v>420500</v>
      </c>
      <c r="F304" s="72">
        <v>0.98692033293697978</v>
      </c>
      <c r="G304" s="78">
        <v>44795</v>
      </c>
      <c r="H304">
        <v>415000</v>
      </c>
      <c r="I304" s="84">
        <f t="shared" si="36"/>
        <v>-5500</v>
      </c>
      <c r="J304" s="85">
        <f t="shared" si="37"/>
        <v>30250000</v>
      </c>
      <c r="K304" s="84">
        <f t="shared" si="44"/>
        <v>365104.0721003135</v>
      </c>
      <c r="L304" s="84">
        <f t="shared" si="38"/>
        <v>49895.927899686503</v>
      </c>
      <c r="M304" s="85">
        <f t="shared" si="39"/>
        <v>2489603620.9707141</v>
      </c>
      <c r="N304" s="73">
        <f t="shared" si="40"/>
        <v>1.7539543606230001E-2</v>
      </c>
      <c r="O304" s="14">
        <f t="shared" si="41"/>
        <v>1.3542397965009334E-2</v>
      </c>
      <c r="P304" s="14">
        <f t="shared" si="42"/>
        <v>1.8339654264268895E-4</v>
      </c>
    </row>
    <row r="305" spans="1:16">
      <c r="A305">
        <f t="shared" si="43"/>
        <v>292</v>
      </c>
      <c r="C305" s="74">
        <v>20120633491</v>
      </c>
      <c r="D305" s="3" t="s">
        <v>5</v>
      </c>
      <c r="E305" s="74">
        <v>412100</v>
      </c>
      <c r="F305" s="75">
        <v>1.0677020140742539</v>
      </c>
      <c r="G305" s="78">
        <v>45001</v>
      </c>
      <c r="H305">
        <v>440000</v>
      </c>
      <c r="I305" s="84">
        <f t="shared" si="36"/>
        <v>27900</v>
      </c>
      <c r="J305" s="85">
        <f t="shared" si="37"/>
        <v>778410000</v>
      </c>
      <c r="K305" s="84">
        <f t="shared" si="44"/>
        <v>365104.0721003135</v>
      </c>
      <c r="L305" s="84">
        <f t="shared" si="38"/>
        <v>74895.927899686503</v>
      </c>
      <c r="M305" s="85">
        <f t="shared" si="39"/>
        <v>5609400015.955039</v>
      </c>
      <c r="N305" s="73">
        <f t="shared" si="40"/>
        <v>6.3242137531044129E-2</v>
      </c>
      <c r="O305" s="14">
        <f t="shared" si="41"/>
        <v>-6.7239283172264797E-2</v>
      </c>
      <c r="P305" s="14">
        <f t="shared" si="42"/>
        <v>4.521121201520012E-3</v>
      </c>
    </row>
    <row r="306" spans="1:16">
      <c r="A306">
        <f t="shared" si="43"/>
        <v>293</v>
      </c>
      <c r="C306" s="71">
        <v>20120633493</v>
      </c>
      <c r="D306" s="3" t="s">
        <v>5</v>
      </c>
      <c r="E306" s="71">
        <v>383400</v>
      </c>
      <c r="F306" s="72">
        <v>0.96504955659885239</v>
      </c>
      <c r="G306" s="78">
        <v>45072</v>
      </c>
      <c r="H306">
        <v>370000</v>
      </c>
      <c r="I306" s="84">
        <f t="shared" si="36"/>
        <v>-13400</v>
      </c>
      <c r="J306" s="85">
        <f t="shared" si="37"/>
        <v>179560000</v>
      </c>
      <c r="K306" s="84">
        <f t="shared" si="44"/>
        <v>365104.0721003135</v>
      </c>
      <c r="L306" s="84">
        <f t="shared" si="38"/>
        <v>4895.9278996865032</v>
      </c>
      <c r="M306" s="85">
        <f t="shared" si="39"/>
        <v>23970109.998928696</v>
      </c>
      <c r="N306" s="73">
        <f t="shared" si="40"/>
        <v>3.9410319944357397E-2</v>
      </c>
      <c r="O306" s="14">
        <f t="shared" si="41"/>
        <v>3.541317430313673E-2</v>
      </c>
      <c r="P306" s="14">
        <f t="shared" si="42"/>
        <v>1.2540929142243436E-3</v>
      </c>
    </row>
    <row r="307" spans="1:16">
      <c r="A307">
        <f t="shared" si="43"/>
        <v>294</v>
      </c>
      <c r="C307" s="74">
        <v>20120633496</v>
      </c>
      <c r="D307" s="3" t="s">
        <v>5</v>
      </c>
      <c r="E307" s="74">
        <v>338400</v>
      </c>
      <c r="F307" s="75">
        <v>1.0140366430260048</v>
      </c>
      <c r="G307" s="78">
        <v>44461</v>
      </c>
      <c r="H307">
        <v>343150</v>
      </c>
      <c r="I307" s="84">
        <f t="shared" si="36"/>
        <v>4750</v>
      </c>
      <c r="J307" s="85">
        <f t="shared" si="37"/>
        <v>22562500</v>
      </c>
      <c r="K307" s="84">
        <f t="shared" si="44"/>
        <v>365104.0721003135</v>
      </c>
      <c r="L307" s="84">
        <f t="shared" si="38"/>
        <v>-21954.072100313497</v>
      </c>
      <c r="M307" s="85">
        <f t="shared" si="39"/>
        <v>481981281.78576344</v>
      </c>
      <c r="N307" s="73">
        <f t="shared" si="40"/>
        <v>9.5767664827950405E-3</v>
      </c>
      <c r="O307" s="14">
        <f t="shared" si="41"/>
        <v>-1.3573912124015708E-2</v>
      </c>
      <c r="P307" s="14">
        <f t="shared" si="42"/>
        <v>1.8425109035050062E-4</v>
      </c>
    </row>
    <row r="308" spans="1:16">
      <c r="A308">
        <f t="shared" si="43"/>
        <v>295</v>
      </c>
      <c r="C308" s="71">
        <v>20120633503</v>
      </c>
      <c r="D308" s="3" t="s">
        <v>5</v>
      </c>
      <c r="E308" s="71">
        <v>328900</v>
      </c>
      <c r="F308" s="72">
        <v>0.94253572514442074</v>
      </c>
      <c r="G308" s="78">
        <v>45243</v>
      </c>
      <c r="H308">
        <v>310000</v>
      </c>
      <c r="I308" s="84">
        <f t="shared" si="36"/>
        <v>-18900</v>
      </c>
      <c r="J308" s="85">
        <f t="shared" si="37"/>
        <v>357210000</v>
      </c>
      <c r="K308" s="84">
        <f t="shared" si="44"/>
        <v>365104.0721003135</v>
      </c>
      <c r="L308" s="84">
        <f t="shared" si="38"/>
        <v>-55104.072100313497</v>
      </c>
      <c r="M308" s="85">
        <f t="shared" si="39"/>
        <v>3036458762.0365481</v>
      </c>
      <c r="N308" s="73">
        <f t="shared" si="40"/>
        <v>6.192415139878904E-2</v>
      </c>
      <c r="O308" s="14">
        <f t="shared" si="41"/>
        <v>5.7927005757568373E-2</v>
      </c>
      <c r="P308" s="14">
        <f t="shared" si="42"/>
        <v>3.3555379960373594E-3</v>
      </c>
    </row>
    <row r="309" spans="1:16">
      <c r="A309">
        <f t="shared" si="43"/>
        <v>296</v>
      </c>
      <c r="C309" s="74">
        <v>20120633508</v>
      </c>
      <c r="D309" s="3" t="s">
        <v>5</v>
      </c>
      <c r="E309" s="74">
        <v>395500</v>
      </c>
      <c r="F309" s="75">
        <v>1.0872313527180784</v>
      </c>
      <c r="G309" s="78">
        <v>44407</v>
      </c>
      <c r="H309">
        <v>430000</v>
      </c>
      <c r="I309" s="84">
        <f t="shared" si="36"/>
        <v>34500</v>
      </c>
      <c r="J309" s="85">
        <f t="shared" si="37"/>
        <v>1190250000</v>
      </c>
      <c r="K309" s="84">
        <f t="shared" si="44"/>
        <v>365104.0721003135</v>
      </c>
      <c r="L309" s="84">
        <f t="shared" si="38"/>
        <v>64895.927899686503</v>
      </c>
      <c r="M309" s="85">
        <f t="shared" si="39"/>
        <v>4211481457.961309</v>
      </c>
      <c r="N309" s="73">
        <f t="shared" si="40"/>
        <v>8.2771476174868575E-2</v>
      </c>
      <c r="O309" s="14">
        <f t="shared" si="41"/>
        <v>-8.6768621816089242E-2</v>
      </c>
      <c r="P309" s="14">
        <f t="shared" si="42"/>
        <v>7.5287937318635183E-3</v>
      </c>
    </row>
    <row r="310" spans="1:16">
      <c r="A310">
        <f t="shared" si="43"/>
        <v>297</v>
      </c>
      <c r="C310" s="71">
        <v>20120633520</v>
      </c>
      <c r="D310" s="3" t="s">
        <v>5</v>
      </c>
      <c r="E310" s="71">
        <v>291800</v>
      </c>
      <c r="F310" s="72">
        <v>0.90815627141877997</v>
      </c>
      <c r="G310" s="78">
        <v>44221</v>
      </c>
      <c r="H310">
        <v>265000</v>
      </c>
      <c r="I310" s="84">
        <f t="shared" si="36"/>
        <v>-26800</v>
      </c>
      <c r="J310" s="85">
        <f t="shared" si="37"/>
        <v>718240000</v>
      </c>
      <c r="K310" s="84">
        <f t="shared" si="44"/>
        <v>365104.0721003135</v>
      </c>
      <c r="L310" s="84">
        <f t="shared" si="38"/>
        <v>-100104.0721003135</v>
      </c>
      <c r="M310" s="85">
        <f t="shared" si="39"/>
        <v>10020825251.064762</v>
      </c>
      <c r="N310" s="73">
        <f t="shared" si="40"/>
        <v>9.6303605124429814E-2</v>
      </c>
      <c r="O310" s="14">
        <f t="shared" si="41"/>
        <v>9.2306459483209147E-2</v>
      </c>
      <c r="P310" s="14">
        <f t="shared" si="42"/>
        <v>8.5204824623253319E-3</v>
      </c>
    </row>
    <row r="311" spans="1:16">
      <c r="A311">
        <f t="shared" si="43"/>
        <v>298</v>
      </c>
      <c r="C311" s="74">
        <v>20120633520</v>
      </c>
      <c r="D311" s="3" t="s">
        <v>5</v>
      </c>
      <c r="E311" s="74">
        <v>348600</v>
      </c>
      <c r="F311" s="75">
        <v>1.0183591508892713</v>
      </c>
      <c r="G311" s="78">
        <v>44557</v>
      </c>
      <c r="H311">
        <v>355000</v>
      </c>
      <c r="I311" s="84">
        <f t="shared" si="36"/>
        <v>6400</v>
      </c>
      <c r="J311" s="85">
        <f t="shared" si="37"/>
        <v>40960000</v>
      </c>
      <c r="K311" s="84">
        <f t="shared" si="44"/>
        <v>365104.0721003135</v>
      </c>
      <c r="L311" s="84">
        <f t="shared" si="38"/>
        <v>-10104.072100313497</v>
      </c>
      <c r="M311" s="85">
        <f t="shared" si="39"/>
        <v>102092273.00833359</v>
      </c>
      <c r="N311" s="73">
        <f t="shared" si="40"/>
        <v>1.389927434606153E-2</v>
      </c>
      <c r="O311" s="14">
        <f t="shared" si="41"/>
        <v>-1.7896419987282197E-2</v>
      </c>
      <c r="P311" s="14">
        <f t="shared" si="42"/>
        <v>3.2028184836119369E-4</v>
      </c>
    </row>
    <row r="312" spans="1:16">
      <c r="A312">
        <f t="shared" si="43"/>
        <v>299</v>
      </c>
      <c r="C312" s="71">
        <v>20120633526</v>
      </c>
      <c r="D312" s="3" t="s">
        <v>5</v>
      </c>
      <c r="E312" s="71">
        <v>444500</v>
      </c>
      <c r="F312" s="72">
        <v>1.0236220472440944</v>
      </c>
      <c r="G312" s="78">
        <v>44676</v>
      </c>
      <c r="H312">
        <v>455000</v>
      </c>
      <c r="I312" s="84">
        <f t="shared" si="36"/>
        <v>10500</v>
      </c>
      <c r="J312" s="85">
        <f t="shared" si="37"/>
        <v>110250000</v>
      </c>
      <c r="K312" s="84">
        <f t="shared" si="44"/>
        <v>365104.0721003135</v>
      </c>
      <c r="L312" s="84">
        <f t="shared" si="38"/>
        <v>89895.927899686503</v>
      </c>
      <c r="M312" s="85">
        <f t="shared" si="39"/>
        <v>8081277852.9456339</v>
      </c>
      <c r="N312" s="73">
        <f t="shared" si="40"/>
        <v>1.9162170700884662E-2</v>
      </c>
      <c r="O312" s="14">
        <f t="shared" si="41"/>
        <v>-2.3159316342105329E-2</v>
      </c>
      <c r="P312" s="14">
        <f t="shared" si="42"/>
        <v>5.36353933433707E-4</v>
      </c>
    </row>
    <row r="313" spans="1:16">
      <c r="A313">
        <f t="shared" si="43"/>
        <v>300</v>
      </c>
      <c r="C313" s="74">
        <v>20120634410</v>
      </c>
      <c r="D313" s="3" t="s">
        <v>5</v>
      </c>
      <c r="E313" s="74">
        <v>381700</v>
      </c>
      <c r="F313" s="75">
        <v>1.047943411055803</v>
      </c>
      <c r="G313" s="78">
        <v>44489</v>
      </c>
      <c r="H313">
        <v>400000</v>
      </c>
      <c r="I313" s="84">
        <f t="shared" si="36"/>
        <v>18300</v>
      </c>
      <c r="J313" s="85">
        <f t="shared" si="37"/>
        <v>334890000</v>
      </c>
      <c r="K313" s="84">
        <f t="shared" si="44"/>
        <v>365104.0721003135</v>
      </c>
      <c r="L313" s="84">
        <f t="shared" si="38"/>
        <v>34895.927899686503</v>
      </c>
      <c r="M313" s="85">
        <f t="shared" si="39"/>
        <v>1217725783.980119</v>
      </c>
      <c r="N313" s="73">
        <f t="shared" si="40"/>
        <v>4.3483534512593236E-2</v>
      </c>
      <c r="O313" s="14">
        <f t="shared" si="41"/>
        <v>-4.7480680153813903E-2</v>
      </c>
      <c r="P313" s="14">
        <f t="shared" si="42"/>
        <v>2.2544149878687774E-3</v>
      </c>
    </row>
    <row r="314" spans="1:16">
      <c r="A314">
        <f t="shared" si="43"/>
        <v>301</v>
      </c>
      <c r="C314" s="71">
        <v>20120634412</v>
      </c>
      <c r="D314" s="3" t="s">
        <v>5</v>
      </c>
      <c r="E314" s="71">
        <v>344900</v>
      </c>
      <c r="F314" s="72">
        <v>1.0147868947521022</v>
      </c>
      <c r="G314" s="78">
        <v>44370</v>
      </c>
      <c r="H314">
        <v>350000</v>
      </c>
      <c r="I314" s="84">
        <f t="shared" si="36"/>
        <v>5100</v>
      </c>
      <c r="J314" s="85">
        <f t="shared" si="37"/>
        <v>26010000</v>
      </c>
      <c r="K314" s="84">
        <f t="shared" si="44"/>
        <v>365104.0721003135</v>
      </c>
      <c r="L314" s="84">
        <f t="shared" si="38"/>
        <v>-15104.072100313497</v>
      </c>
      <c r="M314" s="85">
        <f t="shared" si="39"/>
        <v>228132994.01146856</v>
      </c>
      <c r="N314" s="73">
        <f t="shared" si="40"/>
        <v>1.0327018208892369E-2</v>
      </c>
      <c r="O314" s="14">
        <f t="shared" si="41"/>
        <v>-1.4324163850113036E-2</v>
      </c>
      <c r="P314" s="14">
        <f t="shared" si="42"/>
        <v>2.0518167000488512E-4</v>
      </c>
    </row>
    <row r="315" spans="1:16">
      <c r="A315">
        <f t="shared" si="43"/>
        <v>302</v>
      </c>
      <c r="C315" s="74">
        <v>20120634416</v>
      </c>
      <c r="D315" s="3" t="s">
        <v>5</v>
      </c>
      <c r="E315" s="74">
        <v>333200</v>
      </c>
      <c r="F315" s="75">
        <v>0.99564825930372147</v>
      </c>
      <c r="G315" s="78">
        <v>44223</v>
      </c>
      <c r="H315">
        <v>331750</v>
      </c>
      <c r="I315" s="84">
        <f t="shared" si="36"/>
        <v>-1450</v>
      </c>
      <c r="J315" s="85">
        <f t="shared" si="37"/>
        <v>2102500</v>
      </c>
      <c r="K315" s="84">
        <f t="shared" si="44"/>
        <v>365104.0721003135</v>
      </c>
      <c r="L315" s="84">
        <f t="shared" si="38"/>
        <v>-33354.072100313497</v>
      </c>
      <c r="M315" s="85">
        <f t="shared" si="39"/>
        <v>1112494125.6729112</v>
      </c>
      <c r="N315" s="73">
        <f t="shared" si="40"/>
        <v>8.8116172394883119E-3</v>
      </c>
      <c r="O315" s="14">
        <f t="shared" si="41"/>
        <v>4.8144715982676445E-3</v>
      </c>
      <c r="P315" s="14">
        <f t="shared" si="42"/>
        <v>2.3179136770525806E-5</v>
      </c>
    </row>
    <row r="316" spans="1:16">
      <c r="A316">
        <f t="shared" si="43"/>
        <v>303</v>
      </c>
      <c r="C316" s="71">
        <v>20120634423</v>
      </c>
      <c r="D316" s="3" t="s">
        <v>5</v>
      </c>
      <c r="E316" s="71">
        <v>400500</v>
      </c>
      <c r="F316" s="72">
        <v>1.0736579275905118</v>
      </c>
      <c r="G316" s="78">
        <v>44533</v>
      </c>
      <c r="H316">
        <v>430000</v>
      </c>
      <c r="I316" s="84">
        <f t="shared" si="36"/>
        <v>29500</v>
      </c>
      <c r="J316" s="85">
        <f t="shared" si="37"/>
        <v>870250000</v>
      </c>
      <c r="K316" s="84">
        <f t="shared" si="44"/>
        <v>365104.0721003135</v>
      </c>
      <c r="L316" s="84">
        <f t="shared" si="38"/>
        <v>64895.927899686503</v>
      </c>
      <c r="M316" s="85">
        <f t="shared" si="39"/>
        <v>4211481457.961309</v>
      </c>
      <c r="N316" s="73">
        <f t="shared" si="40"/>
        <v>6.9198051047302034E-2</v>
      </c>
      <c r="O316" s="14">
        <f t="shared" si="41"/>
        <v>-7.3195196688522701E-2</v>
      </c>
      <c r="P316" s="14">
        <f t="shared" si="42"/>
        <v>5.3575368182715247E-3</v>
      </c>
    </row>
    <row r="317" spans="1:16">
      <c r="A317">
        <f t="shared" si="43"/>
        <v>304</v>
      </c>
      <c r="C317" s="74">
        <v>20120634431</v>
      </c>
      <c r="D317" s="3" t="s">
        <v>5</v>
      </c>
      <c r="E317" s="74">
        <v>318500</v>
      </c>
      <c r="F317" s="75">
        <v>1.0518053375196232</v>
      </c>
      <c r="G317" s="78">
        <v>44223</v>
      </c>
      <c r="H317">
        <v>335000</v>
      </c>
      <c r="I317" s="84">
        <f t="shared" si="36"/>
        <v>16500</v>
      </c>
      <c r="J317" s="85">
        <f t="shared" si="37"/>
        <v>272250000</v>
      </c>
      <c r="K317" s="84">
        <f t="shared" si="44"/>
        <v>365104.0721003135</v>
      </c>
      <c r="L317" s="84">
        <f t="shared" si="38"/>
        <v>-30104.072100313497</v>
      </c>
      <c r="M317" s="85">
        <f t="shared" si="39"/>
        <v>906255157.02087343</v>
      </c>
      <c r="N317" s="73">
        <f t="shared" si="40"/>
        <v>4.7345460976413456E-2</v>
      </c>
      <c r="O317" s="14">
        <f t="shared" si="41"/>
        <v>-5.1342606617634123E-2</v>
      </c>
      <c r="P317" s="14">
        <f t="shared" si="42"/>
        <v>2.6360632542931275E-3</v>
      </c>
    </row>
    <row r="318" spans="1:16">
      <c r="A318">
        <f t="shared" si="43"/>
        <v>305</v>
      </c>
      <c r="C318" s="71">
        <v>20120634433</v>
      </c>
      <c r="D318" s="3" t="s">
        <v>5</v>
      </c>
      <c r="E318" s="71">
        <v>409400</v>
      </c>
      <c r="F318" s="72">
        <v>0.95261358085002446</v>
      </c>
      <c r="G318" s="78">
        <v>44384</v>
      </c>
      <c r="H318">
        <v>390000</v>
      </c>
      <c r="I318" s="84">
        <f t="shared" si="36"/>
        <v>-19400</v>
      </c>
      <c r="J318" s="85">
        <f t="shared" si="37"/>
        <v>376360000</v>
      </c>
      <c r="K318" s="84">
        <f t="shared" si="44"/>
        <v>365104.0721003135</v>
      </c>
      <c r="L318" s="84">
        <f t="shared" si="38"/>
        <v>24895.927899686503</v>
      </c>
      <c r="M318" s="85">
        <f t="shared" si="39"/>
        <v>619807225.9863888</v>
      </c>
      <c r="N318" s="73">
        <f t="shared" si="40"/>
        <v>5.1846295693185329E-2</v>
      </c>
      <c r="O318" s="14">
        <f t="shared" si="41"/>
        <v>4.7849150051964662E-2</v>
      </c>
      <c r="P318" s="14">
        <f t="shared" si="42"/>
        <v>2.2895411606954296E-3</v>
      </c>
    </row>
    <row r="319" spans="1:16">
      <c r="A319">
        <f t="shared" si="43"/>
        <v>306</v>
      </c>
      <c r="C319" s="74">
        <v>20120634434</v>
      </c>
      <c r="D319" s="3" t="s">
        <v>5</v>
      </c>
      <c r="E319" s="74">
        <v>426200</v>
      </c>
      <c r="F319" s="75">
        <v>1.0089160018770531</v>
      </c>
      <c r="G319" s="78">
        <v>44672</v>
      </c>
      <c r="H319">
        <v>430000</v>
      </c>
      <c r="I319" s="84">
        <f t="shared" si="36"/>
        <v>3800</v>
      </c>
      <c r="J319" s="85">
        <f t="shared" si="37"/>
        <v>14440000</v>
      </c>
      <c r="K319" s="84">
        <f t="shared" si="44"/>
        <v>365104.0721003135</v>
      </c>
      <c r="L319" s="84">
        <f t="shared" si="38"/>
        <v>64895.927899686503</v>
      </c>
      <c r="M319" s="85">
        <f t="shared" si="39"/>
        <v>4211481457.961309</v>
      </c>
      <c r="N319" s="73">
        <f t="shared" si="40"/>
        <v>4.4561253338433193E-3</v>
      </c>
      <c r="O319" s="14">
        <f t="shared" si="41"/>
        <v>-8.4532709750639867E-3</v>
      </c>
      <c r="P319" s="14">
        <f t="shared" si="42"/>
        <v>7.1457790177859251E-5</v>
      </c>
    </row>
    <row r="320" spans="1:16">
      <c r="A320">
        <f t="shared" si="43"/>
        <v>307</v>
      </c>
      <c r="C320" s="71">
        <v>20120634448</v>
      </c>
      <c r="D320" s="3" t="s">
        <v>5</v>
      </c>
      <c r="E320" s="71">
        <v>455900</v>
      </c>
      <c r="F320" s="72">
        <v>0.96512393068655411</v>
      </c>
      <c r="G320" s="78">
        <v>44704</v>
      </c>
      <c r="H320">
        <v>440000</v>
      </c>
      <c r="I320" s="84">
        <f t="shared" si="36"/>
        <v>-15900</v>
      </c>
      <c r="J320" s="85">
        <f t="shared" si="37"/>
        <v>252810000</v>
      </c>
      <c r="K320" s="84">
        <f t="shared" si="44"/>
        <v>365104.0721003135</v>
      </c>
      <c r="L320" s="84">
        <f t="shared" si="38"/>
        <v>74895.927899686503</v>
      </c>
      <c r="M320" s="85">
        <f t="shared" si="39"/>
        <v>5609400015.955039</v>
      </c>
      <c r="N320" s="73">
        <f t="shared" si="40"/>
        <v>3.9335945856655674E-2</v>
      </c>
      <c r="O320" s="14">
        <f t="shared" si="41"/>
        <v>3.5338800215435007E-2</v>
      </c>
      <c r="P320" s="14">
        <f t="shared" si="42"/>
        <v>1.2488308006664292E-3</v>
      </c>
    </row>
    <row r="321" spans="1:16">
      <c r="A321">
        <f t="shared" si="43"/>
        <v>308</v>
      </c>
      <c r="C321" s="74">
        <v>20120634465</v>
      </c>
      <c r="D321" s="3" t="s">
        <v>5</v>
      </c>
      <c r="E321" s="74">
        <v>353000</v>
      </c>
      <c r="F321" s="75">
        <v>1.0623229461756374</v>
      </c>
      <c r="G321" s="78">
        <v>44376</v>
      </c>
      <c r="H321">
        <v>375000</v>
      </c>
      <c r="I321" s="84">
        <f t="shared" si="36"/>
        <v>22000</v>
      </c>
      <c r="J321" s="85">
        <f t="shared" si="37"/>
        <v>484000000</v>
      </c>
      <c r="K321" s="84">
        <f t="shared" si="44"/>
        <v>365104.0721003135</v>
      </c>
      <c r="L321" s="84">
        <f t="shared" si="38"/>
        <v>9895.9278996865032</v>
      </c>
      <c r="M321" s="85">
        <f t="shared" si="39"/>
        <v>97929388.99579373</v>
      </c>
      <c r="N321" s="73">
        <f t="shared" si="40"/>
        <v>5.7863069632427599E-2</v>
      </c>
      <c r="O321" s="14">
        <f t="shared" si="41"/>
        <v>-6.1860215273648267E-2</v>
      </c>
      <c r="P321" s="14">
        <f t="shared" si="42"/>
        <v>3.8266862337021064E-3</v>
      </c>
    </row>
    <row r="322" spans="1:16">
      <c r="A322">
        <f t="shared" si="43"/>
        <v>309</v>
      </c>
      <c r="C322" s="71">
        <v>20120634478</v>
      </c>
      <c r="D322" s="3" t="s">
        <v>5</v>
      </c>
      <c r="E322" s="71">
        <v>338700</v>
      </c>
      <c r="F322" s="72">
        <v>0.998819013876587</v>
      </c>
      <c r="G322" s="78">
        <v>44433</v>
      </c>
      <c r="H322">
        <v>338300</v>
      </c>
      <c r="I322" s="84">
        <f t="shared" si="36"/>
        <v>-400</v>
      </c>
      <c r="J322" s="85">
        <f t="shared" si="37"/>
        <v>160000</v>
      </c>
      <c r="K322" s="84">
        <f t="shared" si="44"/>
        <v>365104.0721003135</v>
      </c>
      <c r="L322" s="84">
        <f t="shared" si="38"/>
        <v>-26804.072100313497</v>
      </c>
      <c r="M322" s="85">
        <f t="shared" si="39"/>
        <v>718458281.15880442</v>
      </c>
      <c r="N322" s="73">
        <f t="shared" si="40"/>
        <v>5.6408626666227812E-3</v>
      </c>
      <c r="O322" s="14">
        <f t="shared" si="41"/>
        <v>1.6437170254021138E-3</v>
      </c>
      <c r="P322" s="14">
        <f t="shared" si="42"/>
        <v>2.7018056595967733E-6</v>
      </c>
    </row>
    <row r="323" spans="1:16">
      <c r="A323">
        <f t="shared" si="43"/>
        <v>310</v>
      </c>
      <c r="C323" s="74">
        <v>20120634480</v>
      </c>
      <c r="D323" s="3" t="s">
        <v>5</v>
      </c>
      <c r="E323" s="74">
        <v>402700</v>
      </c>
      <c r="F323" s="75">
        <v>0.95852992301961759</v>
      </c>
      <c r="G323" s="78">
        <v>45145</v>
      </c>
      <c r="H323">
        <v>386000</v>
      </c>
      <c r="I323" s="84">
        <f t="shared" si="36"/>
        <v>-16700</v>
      </c>
      <c r="J323" s="85">
        <f t="shared" si="37"/>
        <v>278890000</v>
      </c>
      <c r="K323" s="84">
        <f t="shared" si="44"/>
        <v>365104.0721003135</v>
      </c>
      <c r="L323" s="84">
        <f t="shared" si="38"/>
        <v>20895.927899686503</v>
      </c>
      <c r="M323" s="85">
        <f t="shared" si="39"/>
        <v>436639802.7888968</v>
      </c>
      <c r="N323" s="73">
        <f t="shared" si="40"/>
        <v>4.5929953523592193E-2</v>
      </c>
      <c r="O323" s="14">
        <f t="shared" si="41"/>
        <v>4.1932807882371526E-2</v>
      </c>
      <c r="P323" s="14">
        <f t="shared" si="42"/>
        <v>1.7583603768998796E-3</v>
      </c>
    </row>
    <row r="324" spans="1:16">
      <c r="A324">
        <f t="shared" si="43"/>
        <v>311</v>
      </c>
      <c r="C324" s="71">
        <v>20120634485</v>
      </c>
      <c r="D324" s="3" t="s">
        <v>5</v>
      </c>
      <c r="E324" s="71">
        <v>339300</v>
      </c>
      <c r="F324" s="72">
        <v>1.0153256704980842</v>
      </c>
      <c r="G324" s="78">
        <v>44222</v>
      </c>
      <c r="H324">
        <v>344500</v>
      </c>
      <c r="I324" s="84">
        <f t="shared" si="36"/>
        <v>5200</v>
      </c>
      <c r="J324" s="85">
        <f t="shared" si="37"/>
        <v>27040000</v>
      </c>
      <c r="K324" s="84">
        <f t="shared" si="44"/>
        <v>365104.0721003135</v>
      </c>
      <c r="L324" s="84">
        <f t="shared" si="38"/>
        <v>-20604.072100313497</v>
      </c>
      <c r="M324" s="85">
        <f t="shared" si="39"/>
        <v>424527787.11491704</v>
      </c>
      <c r="N324" s="73">
        <f t="shared" si="40"/>
        <v>1.0865793954874414E-2</v>
      </c>
      <c r="O324" s="14">
        <f t="shared" si="41"/>
        <v>-1.4862939596095082E-2</v>
      </c>
      <c r="P324" s="14">
        <f t="shared" si="42"/>
        <v>2.2090697343717103E-4</v>
      </c>
    </row>
    <row r="325" spans="1:16">
      <c r="A325">
        <f t="shared" si="43"/>
        <v>312</v>
      </c>
      <c r="C325" s="74">
        <v>20120634498</v>
      </c>
      <c r="D325" s="3" t="s">
        <v>5</v>
      </c>
      <c r="E325" s="74">
        <v>385600</v>
      </c>
      <c r="F325" s="75">
        <v>0.90248962655601661</v>
      </c>
      <c r="G325" s="78">
        <v>45197</v>
      </c>
      <c r="H325">
        <v>348000</v>
      </c>
      <c r="I325" s="84">
        <f t="shared" si="36"/>
        <v>-37600</v>
      </c>
      <c r="J325" s="85">
        <f t="shared" si="37"/>
        <v>1413760000</v>
      </c>
      <c r="K325" s="84">
        <f t="shared" si="44"/>
        <v>365104.0721003135</v>
      </c>
      <c r="L325" s="84">
        <f t="shared" si="38"/>
        <v>-17104.072100313497</v>
      </c>
      <c r="M325" s="85">
        <f t="shared" si="39"/>
        <v>292549282.41272253</v>
      </c>
      <c r="N325" s="73">
        <f t="shared" si="40"/>
        <v>0.10197024998719317</v>
      </c>
      <c r="O325" s="14">
        <f t="shared" si="41"/>
        <v>9.7973104345972506E-2</v>
      </c>
      <c r="P325" s="14">
        <f t="shared" si="42"/>
        <v>9.5987291751868167E-3</v>
      </c>
    </row>
    <row r="326" spans="1:16">
      <c r="A326">
        <f t="shared" si="43"/>
        <v>313</v>
      </c>
      <c r="C326" s="71">
        <v>20120634500</v>
      </c>
      <c r="D326" s="3" t="s">
        <v>5</v>
      </c>
      <c r="E326" s="71">
        <v>387100</v>
      </c>
      <c r="F326" s="72">
        <v>0.95324205631619741</v>
      </c>
      <c r="G326" s="78">
        <v>44903</v>
      </c>
      <c r="H326">
        <v>369000</v>
      </c>
      <c r="I326" s="84">
        <f t="shared" si="36"/>
        <v>-18100</v>
      </c>
      <c r="J326" s="85">
        <f t="shared" si="37"/>
        <v>327610000</v>
      </c>
      <c r="K326" s="84">
        <f t="shared" si="44"/>
        <v>365104.0721003135</v>
      </c>
      <c r="L326" s="84">
        <f t="shared" si="38"/>
        <v>3895.9278996865032</v>
      </c>
      <c r="M326" s="85">
        <f t="shared" si="39"/>
        <v>15178254.199555688</v>
      </c>
      <c r="N326" s="73">
        <f t="shared" si="40"/>
        <v>5.1217820227012378E-2</v>
      </c>
      <c r="O326" s="14">
        <f t="shared" si="41"/>
        <v>4.7220674585791711E-2</v>
      </c>
      <c r="P326" s="14">
        <f t="shared" si="42"/>
        <v>2.229792108337235E-3</v>
      </c>
    </row>
    <row r="327" spans="1:16">
      <c r="A327">
        <f t="shared" si="43"/>
        <v>314</v>
      </c>
      <c r="C327" s="74">
        <v>20120634500</v>
      </c>
      <c r="D327" s="3" t="s">
        <v>5</v>
      </c>
      <c r="E327" s="74">
        <v>385900</v>
      </c>
      <c r="F327" s="75">
        <v>0.94584089142264838</v>
      </c>
      <c r="G327" s="78">
        <v>45226</v>
      </c>
      <c r="H327">
        <v>365000</v>
      </c>
      <c r="I327" s="84">
        <f t="shared" si="36"/>
        <v>-20900</v>
      </c>
      <c r="J327" s="85">
        <f t="shared" si="37"/>
        <v>436810000</v>
      </c>
      <c r="K327" s="84">
        <f t="shared" si="44"/>
        <v>365104.0721003135</v>
      </c>
      <c r="L327" s="84">
        <f t="shared" si="38"/>
        <v>-104.07210031349678</v>
      </c>
      <c r="M327" s="85">
        <f t="shared" si="39"/>
        <v>10831.002063662536</v>
      </c>
      <c r="N327" s="73">
        <f t="shared" si="40"/>
        <v>5.8618985120561407E-2</v>
      </c>
      <c r="O327" s="14">
        <f t="shared" si="41"/>
        <v>5.4621839479340739E-2</v>
      </c>
      <c r="P327" s="14">
        <f t="shared" si="42"/>
        <v>2.9835453481068665E-3</v>
      </c>
    </row>
    <row r="328" spans="1:16">
      <c r="A328">
        <f t="shared" si="43"/>
        <v>315</v>
      </c>
      <c r="C328" s="71">
        <v>20120634510</v>
      </c>
      <c r="D328" s="3" t="s">
        <v>5</v>
      </c>
      <c r="E328" s="71">
        <v>410700</v>
      </c>
      <c r="F328" s="72">
        <v>1.0409057706355003</v>
      </c>
      <c r="G328" s="78">
        <v>45217</v>
      </c>
      <c r="H328">
        <v>427500</v>
      </c>
      <c r="I328" s="84">
        <f t="shared" si="36"/>
        <v>16800</v>
      </c>
      <c r="J328" s="85">
        <f t="shared" si="37"/>
        <v>282240000</v>
      </c>
      <c r="K328" s="84">
        <f t="shared" si="44"/>
        <v>365104.0721003135</v>
      </c>
      <c r="L328" s="84">
        <f t="shared" si="38"/>
        <v>62395.927899686503</v>
      </c>
      <c r="M328" s="85">
        <f t="shared" si="39"/>
        <v>3893251818.4628768</v>
      </c>
      <c r="N328" s="73">
        <f t="shared" si="40"/>
        <v>3.6445894092290487E-2</v>
      </c>
      <c r="O328" s="14">
        <f t="shared" si="41"/>
        <v>-4.0443039733511155E-2</v>
      </c>
      <c r="P328" s="14">
        <f t="shared" si="42"/>
        <v>1.635639462886362E-3</v>
      </c>
    </row>
    <row r="329" spans="1:16">
      <c r="A329">
        <f t="shared" si="43"/>
        <v>316</v>
      </c>
      <c r="C329" s="74">
        <v>20120634511</v>
      </c>
      <c r="D329" s="3" t="s">
        <v>5</v>
      </c>
      <c r="E329" s="74">
        <v>390400</v>
      </c>
      <c r="F329" s="75">
        <v>1.0373975409836065</v>
      </c>
      <c r="G329" s="78">
        <v>45113</v>
      </c>
      <c r="H329">
        <v>405000</v>
      </c>
      <c r="I329" s="84">
        <f t="shared" si="36"/>
        <v>14600</v>
      </c>
      <c r="J329" s="85">
        <f t="shared" si="37"/>
        <v>213160000</v>
      </c>
      <c r="K329" s="84">
        <f t="shared" si="44"/>
        <v>365104.0721003135</v>
      </c>
      <c r="L329" s="84">
        <f t="shared" si="38"/>
        <v>39895.927899686503</v>
      </c>
      <c r="M329" s="85">
        <f t="shared" si="39"/>
        <v>1591685062.976984</v>
      </c>
      <c r="N329" s="73">
        <f t="shared" si="40"/>
        <v>3.2937664440396697E-2</v>
      </c>
      <c r="O329" s="14">
        <f t="shared" si="41"/>
        <v>-3.6934810081617364E-2</v>
      </c>
      <c r="P329" s="14">
        <f t="shared" si="42"/>
        <v>1.3641801957651437E-3</v>
      </c>
    </row>
    <row r="330" spans="1:16">
      <c r="A330">
        <f t="shared" si="43"/>
        <v>317</v>
      </c>
      <c r="C330" s="71">
        <v>20120634515</v>
      </c>
      <c r="D330" s="3" t="s">
        <v>5</v>
      </c>
      <c r="E330" s="71">
        <v>396200</v>
      </c>
      <c r="F330" s="72">
        <v>0.96163553760726905</v>
      </c>
      <c r="G330" s="78">
        <v>45308</v>
      </c>
      <c r="H330">
        <v>381000</v>
      </c>
      <c r="I330" s="84">
        <f t="shared" si="36"/>
        <v>-15200</v>
      </c>
      <c r="J330" s="85">
        <f t="shared" si="37"/>
        <v>231040000</v>
      </c>
      <c r="K330" s="84">
        <f t="shared" si="44"/>
        <v>365104.0721003135</v>
      </c>
      <c r="L330" s="84">
        <f t="shared" si="38"/>
        <v>15895.927899686503</v>
      </c>
      <c r="M330" s="85">
        <f t="shared" si="39"/>
        <v>252680523.79203176</v>
      </c>
      <c r="N330" s="73">
        <f t="shared" si="40"/>
        <v>4.2824338935940731E-2</v>
      </c>
      <c r="O330" s="14">
        <f t="shared" si="41"/>
        <v>3.8827193294720064E-2</v>
      </c>
      <c r="P330" s="14">
        <f t="shared" si="42"/>
        <v>1.5075509391455546E-3</v>
      </c>
    </row>
    <row r="331" spans="1:16">
      <c r="A331">
        <f t="shared" si="43"/>
        <v>318</v>
      </c>
      <c r="C331" s="74">
        <v>20120634525</v>
      </c>
      <c r="D331" s="3" t="s">
        <v>5</v>
      </c>
      <c r="E331" s="74">
        <v>328300</v>
      </c>
      <c r="F331" s="75">
        <v>1.1148339932988121</v>
      </c>
      <c r="G331" s="78">
        <v>44377</v>
      </c>
      <c r="H331">
        <v>366000</v>
      </c>
      <c r="I331" s="84">
        <f t="shared" si="36"/>
        <v>37700</v>
      </c>
      <c r="J331" s="85">
        <f t="shared" si="37"/>
        <v>1421290000</v>
      </c>
      <c r="K331" s="84">
        <f t="shared" si="44"/>
        <v>365104.0721003135</v>
      </c>
      <c r="L331" s="84">
        <f t="shared" si="38"/>
        <v>895.92789968650322</v>
      </c>
      <c r="M331" s="85">
        <f t="shared" si="39"/>
        <v>802686.80143666896</v>
      </c>
      <c r="N331" s="73">
        <f t="shared" si="40"/>
        <v>0.11037411675560227</v>
      </c>
      <c r="O331" s="14">
        <f t="shared" si="41"/>
        <v>-0.11437126239682294</v>
      </c>
      <c r="P331" s="14">
        <f t="shared" si="42"/>
        <v>1.3080785662242925E-2</v>
      </c>
    </row>
    <row r="332" spans="1:16">
      <c r="A332">
        <f t="shared" si="43"/>
        <v>319</v>
      </c>
      <c r="C332" s="71">
        <v>20120642006</v>
      </c>
      <c r="D332" s="3" t="s">
        <v>5</v>
      </c>
      <c r="E332" s="71">
        <v>334000</v>
      </c>
      <c r="F332" s="72">
        <v>0.92814371257485029</v>
      </c>
      <c r="G332" s="78">
        <v>44686</v>
      </c>
      <c r="H332">
        <v>310000</v>
      </c>
      <c r="I332" s="84">
        <f t="shared" si="36"/>
        <v>-24000</v>
      </c>
      <c r="J332" s="85">
        <f t="shared" si="37"/>
        <v>576000000</v>
      </c>
      <c r="K332" s="84">
        <f t="shared" si="44"/>
        <v>365104.0721003135</v>
      </c>
      <c r="L332" s="84">
        <f t="shared" si="38"/>
        <v>-55104.072100313497</v>
      </c>
      <c r="M332" s="85">
        <f t="shared" si="39"/>
        <v>3036458762.0365481</v>
      </c>
      <c r="N332" s="73">
        <f t="shared" si="40"/>
        <v>7.6316163968359496E-2</v>
      </c>
      <c r="O332" s="14">
        <f t="shared" si="41"/>
        <v>7.2319018327138829E-2</v>
      </c>
      <c r="P332" s="14">
        <f t="shared" si="42"/>
        <v>5.2300404118010421E-3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DE06F-73B4-42FC-A8A6-03F98EE1F450}">
  <sheetPr codeName="Sheet7"/>
  <dimension ref="A1:BQ24"/>
  <sheetViews>
    <sheetView topLeftCell="W1" workbookViewId="0">
      <selection activeCell="BC1" sqref="BC1:BC1048576"/>
    </sheetView>
  </sheetViews>
  <sheetFormatPr defaultRowHeight="14.45" customHeight="1"/>
  <cols>
    <col min="55" max="55" width="10.5703125" bestFit="1" customWidth="1"/>
  </cols>
  <sheetData>
    <row r="1" spans="1:69">
      <c r="A1" s="5" t="s">
        <v>62</v>
      </c>
      <c r="B1" s="6" t="s">
        <v>63</v>
      </c>
      <c r="C1" s="6" t="s">
        <v>41</v>
      </c>
      <c r="D1" s="6" t="s">
        <v>64</v>
      </c>
      <c r="E1" s="6" t="s">
        <v>65</v>
      </c>
      <c r="F1" s="6" t="s">
        <v>66</v>
      </c>
      <c r="G1" s="6" t="s">
        <v>67</v>
      </c>
      <c r="H1" s="6" t="s">
        <v>68</v>
      </c>
      <c r="I1" s="6" t="s">
        <v>69</v>
      </c>
      <c r="J1" s="6" t="s">
        <v>70</v>
      </c>
      <c r="K1" s="6" t="s">
        <v>71</v>
      </c>
      <c r="L1" s="6" t="s">
        <v>72</v>
      </c>
      <c r="M1" s="6" t="s">
        <v>73</v>
      </c>
      <c r="N1" s="6" t="s">
        <v>74</v>
      </c>
      <c r="O1" s="6" t="s">
        <v>75</v>
      </c>
      <c r="P1" s="6" t="s">
        <v>76</v>
      </c>
      <c r="Q1" s="6" t="s">
        <v>77</v>
      </c>
      <c r="R1" s="6" t="s">
        <v>30</v>
      </c>
      <c r="S1" s="6" t="s">
        <v>78</v>
      </c>
      <c r="T1" s="6" t="s">
        <v>46</v>
      </c>
      <c r="U1" s="6" t="s">
        <v>79</v>
      </c>
      <c r="V1" s="6" t="s">
        <v>48</v>
      </c>
      <c r="W1" s="6" t="s">
        <v>49</v>
      </c>
      <c r="X1" s="6" t="s">
        <v>80</v>
      </c>
      <c r="Y1" s="6" t="s">
        <v>53</v>
      </c>
      <c r="Z1" s="6" t="s">
        <v>81</v>
      </c>
      <c r="AA1" s="6" t="s">
        <v>82</v>
      </c>
      <c r="AB1" s="6" t="s">
        <v>83</v>
      </c>
      <c r="AC1" s="6" t="s">
        <v>84</v>
      </c>
      <c r="AD1" s="6" t="s">
        <v>85</v>
      </c>
      <c r="AE1" s="6" t="s">
        <v>86</v>
      </c>
      <c r="AF1" s="6" t="s">
        <v>87</v>
      </c>
      <c r="AG1" s="6" t="s">
        <v>88</v>
      </c>
      <c r="AH1" s="6" t="s">
        <v>89</v>
      </c>
      <c r="AI1" s="6" t="s">
        <v>90</v>
      </c>
      <c r="AJ1" s="6" t="s">
        <v>91</v>
      </c>
      <c r="AK1" s="6" t="s">
        <v>50</v>
      </c>
      <c r="AL1" s="6" t="s">
        <v>92</v>
      </c>
      <c r="AM1" s="6" t="s">
        <v>93</v>
      </c>
      <c r="AN1" s="6" t="s">
        <v>94</v>
      </c>
      <c r="AO1" s="6" t="s">
        <v>51</v>
      </c>
      <c r="AP1" s="6" t="s">
        <v>52</v>
      </c>
      <c r="AQ1" s="6" t="s">
        <v>95</v>
      </c>
      <c r="AR1" s="6" t="s">
        <v>96</v>
      </c>
      <c r="AS1" s="6" t="s">
        <v>97</v>
      </c>
      <c r="AT1" s="6" t="s">
        <v>98</v>
      </c>
      <c r="AU1" s="6" t="s">
        <v>99</v>
      </c>
      <c r="AV1" s="6" t="s">
        <v>100</v>
      </c>
      <c r="AW1" s="6" t="s">
        <v>101</v>
      </c>
      <c r="AX1" s="6" t="s">
        <v>102</v>
      </c>
      <c r="AY1" s="6" t="s">
        <v>103</v>
      </c>
      <c r="AZ1" s="6" t="s">
        <v>43</v>
      </c>
      <c r="BA1" s="6" t="s">
        <v>44</v>
      </c>
      <c r="BB1" s="6" t="s">
        <v>45</v>
      </c>
      <c r="BC1" s="6" t="s">
        <v>104</v>
      </c>
      <c r="BD1" s="6" t="s">
        <v>105</v>
      </c>
      <c r="BE1" s="6" t="s">
        <v>106</v>
      </c>
      <c r="BF1" s="6" t="s">
        <v>107</v>
      </c>
      <c r="BG1" s="6" t="s">
        <v>108</v>
      </c>
      <c r="BH1" s="6" t="s">
        <v>109</v>
      </c>
      <c r="BI1" s="6" t="s">
        <v>110</v>
      </c>
      <c r="BJ1" s="6" t="s">
        <v>111</v>
      </c>
      <c r="BK1" s="6" t="s">
        <v>112</v>
      </c>
      <c r="BL1" s="6" t="s">
        <v>113</v>
      </c>
      <c r="BM1" s="6" t="s">
        <v>114</v>
      </c>
      <c r="BN1" s="6" t="s">
        <v>115</v>
      </c>
      <c r="BO1" s="6" t="s">
        <v>1975</v>
      </c>
      <c r="BP1" s="6" t="s">
        <v>116</v>
      </c>
      <c r="BQ1" s="7" t="s">
        <v>117</v>
      </c>
    </row>
    <row r="2" spans="1:69">
      <c r="A2">
        <v>2025</v>
      </c>
      <c r="B2" s="1">
        <v>20120633522</v>
      </c>
      <c r="C2">
        <v>-1.7147984280919266</v>
      </c>
      <c r="D2">
        <v>0.18</v>
      </c>
      <c r="E2">
        <v>7921</v>
      </c>
      <c r="F2">
        <v>2</v>
      </c>
      <c r="G2" t="s">
        <v>155</v>
      </c>
      <c r="H2">
        <v>317</v>
      </c>
      <c r="I2" t="s">
        <v>5</v>
      </c>
      <c r="J2" t="s">
        <v>212</v>
      </c>
      <c r="K2">
        <v>11</v>
      </c>
      <c r="L2">
        <v>259</v>
      </c>
      <c r="M2" t="s">
        <v>330</v>
      </c>
      <c r="N2" t="s">
        <v>21</v>
      </c>
      <c r="O2" t="s">
        <v>20</v>
      </c>
      <c r="P2">
        <v>2011</v>
      </c>
      <c r="Q2">
        <v>2011</v>
      </c>
      <c r="R2">
        <v>10</v>
      </c>
      <c r="S2">
        <v>13</v>
      </c>
      <c r="T2">
        <v>13</v>
      </c>
      <c r="U2">
        <v>1</v>
      </c>
      <c r="V2">
        <v>1380</v>
      </c>
      <c r="W2">
        <v>0</v>
      </c>
      <c r="X2">
        <v>0</v>
      </c>
      <c r="Y2">
        <v>0</v>
      </c>
      <c r="Z2">
        <v>0</v>
      </c>
      <c r="AA2">
        <v>0</v>
      </c>
      <c r="AB2">
        <v>1380</v>
      </c>
      <c r="AC2">
        <v>1500</v>
      </c>
      <c r="AD2">
        <v>2</v>
      </c>
      <c r="AE2" t="s">
        <v>56</v>
      </c>
      <c r="AF2" t="s">
        <v>331</v>
      </c>
      <c r="AG2" t="s">
        <v>21</v>
      </c>
      <c r="AH2" t="s">
        <v>161</v>
      </c>
      <c r="AI2">
        <v>0</v>
      </c>
      <c r="AJ2">
        <v>0</v>
      </c>
      <c r="AK2">
        <v>0</v>
      </c>
      <c r="AL2">
        <v>0</v>
      </c>
      <c r="AM2">
        <v>0</v>
      </c>
      <c r="AN2">
        <v>8</v>
      </c>
      <c r="AO2">
        <v>412</v>
      </c>
      <c r="AP2">
        <v>0</v>
      </c>
      <c r="AQ2">
        <v>0</v>
      </c>
      <c r="AR2">
        <v>0</v>
      </c>
      <c r="AS2">
        <v>144</v>
      </c>
      <c r="AT2">
        <v>0</v>
      </c>
      <c r="AU2">
        <v>100</v>
      </c>
      <c r="AV2">
        <v>100</v>
      </c>
      <c r="AW2">
        <v>279321</v>
      </c>
      <c r="AX2">
        <v>268148</v>
      </c>
      <c r="AY2">
        <v>741</v>
      </c>
      <c r="AZ2">
        <v>365</v>
      </c>
      <c r="BA2">
        <v>365</v>
      </c>
      <c r="BB2">
        <v>11</v>
      </c>
      <c r="BC2" s="2">
        <v>44551</v>
      </c>
      <c r="BD2" t="s">
        <v>1976</v>
      </c>
      <c r="BE2">
        <v>320000</v>
      </c>
      <c r="BF2">
        <v>320000</v>
      </c>
      <c r="BG2" t="s">
        <v>160</v>
      </c>
      <c r="BH2">
        <v>1</v>
      </c>
      <c r="BI2" t="s">
        <v>56</v>
      </c>
      <c r="BJ2" t="s">
        <v>161</v>
      </c>
      <c r="BK2">
        <v>357400</v>
      </c>
      <c r="BL2">
        <v>62500</v>
      </c>
      <c r="BM2">
        <v>294900</v>
      </c>
      <c r="BN2">
        <v>0</v>
      </c>
      <c r="BO2" s="2">
        <v>45182</v>
      </c>
      <c r="BP2">
        <v>327779.79181480058</v>
      </c>
      <c r="BQ2">
        <v>351449.10910053446</v>
      </c>
    </row>
    <row r="3" spans="1:69">
      <c r="A3">
        <v>2025</v>
      </c>
      <c r="B3" s="1">
        <v>20133133003</v>
      </c>
      <c r="C3">
        <v>0.19885085874516517</v>
      </c>
      <c r="D3">
        <v>1.22</v>
      </c>
      <c r="E3">
        <v>53293</v>
      </c>
      <c r="F3">
        <v>2</v>
      </c>
      <c r="G3" t="s">
        <v>155</v>
      </c>
      <c r="H3" t="s">
        <v>1977</v>
      </c>
      <c r="I3" t="s">
        <v>5</v>
      </c>
      <c r="J3" t="s">
        <v>490</v>
      </c>
      <c r="K3">
        <v>11</v>
      </c>
      <c r="M3" t="s">
        <v>330</v>
      </c>
      <c r="N3" t="s">
        <v>21</v>
      </c>
      <c r="O3" t="s">
        <v>20</v>
      </c>
      <c r="P3">
        <v>1998</v>
      </c>
      <c r="Q3">
        <v>1998</v>
      </c>
      <c r="R3">
        <v>20</v>
      </c>
      <c r="S3">
        <v>26</v>
      </c>
      <c r="T3">
        <v>26</v>
      </c>
      <c r="U3">
        <v>1</v>
      </c>
      <c r="V3">
        <v>2423</v>
      </c>
      <c r="W3">
        <v>0</v>
      </c>
      <c r="X3">
        <v>0</v>
      </c>
      <c r="Y3">
        <v>0</v>
      </c>
      <c r="Z3">
        <v>0</v>
      </c>
      <c r="AA3">
        <v>0</v>
      </c>
      <c r="AB3">
        <v>2423</v>
      </c>
      <c r="AC3">
        <v>2500</v>
      </c>
      <c r="AD3">
        <v>2</v>
      </c>
      <c r="AE3" t="s">
        <v>56</v>
      </c>
      <c r="AF3" t="s">
        <v>158</v>
      </c>
      <c r="AG3" t="s">
        <v>27</v>
      </c>
      <c r="AI3">
        <v>0</v>
      </c>
      <c r="AJ3">
        <v>0</v>
      </c>
      <c r="AK3">
        <v>1</v>
      </c>
      <c r="AL3">
        <v>0</v>
      </c>
      <c r="AM3">
        <v>1</v>
      </c>
      <c r="AN3">
        <v>12</v>
      </c>
      <c r="AO3">
        <v>702</v>
      </c>
      <c r="AP3">
        <v>0</v>
      </c>
      <c r="AQ3">
        <v>0</v>
      </c>
      <c r="AR3">
        <v>180</v>
      </c>
      <c r="AS3">
        <v>250</v>
      </c>
      <c r="AT3">
        <v>0</v>
      </c>
      <c r="AU3">
        <v>100</v>
      </c>
      <c r="AV3">
        <v>100</v>
      </c>
      <c r="AW3">
        <v>468795</v>
      </c>
      <c r="AX3">
        <v>431291</v>
      </c>
      <c r="AY3">
        <v>1045</v>
      </c>
      <c r="AZ3">
        <v>365</v>
      </c>
      <c r="BA3">
        <v>365</v>
      </c>
      <c r="BB3">
        <v>315</v>
      </c>
      <c r="BC3" s="2">
        <v>44247</v>
      </c>
      <c r="BD3">
        <v>458627</v>
      </c>
      <c r="BE3">
        <v>430000</v>
      </c>
      <c r="BF3">
        <v>400763</v>
      </c>
      <c r="BG3" t="s">
        <v>160</v>
      </c>
      <c r="BH3">
        <v>1</v>
      </c>
      <c r="BI3" t="s">
        <v>56</v>
      </c>
      <c r="BJ3" t="s">
        <v>161</v>
      </c>
      <c r="BK3">
        <v>458200</v>
      </c>
      <c r="BL3">
        <v>89300</v>
      </c>
      <c r="BM3">
        <v>368900</v>
      </c>
      <c r="BN3">
        <v>29237</v>
      </c>
      <c r="BO3" s="2">
        <v>45182</v>
      </c>
      <c r="BP3">
        <v>367004.11391251365</v>
      </c>
      <c r="BQ3">
        <v>460289.25140904263</v>
      </c>
    </row>
    <row r="4" spans="1:69">
      <c r="A4">
        <v>2025</v>
      </c>
      <c r="B4" s="1">
        <v>19120131507</v>
      </c>
      <c r="C4">
        <v>-1.8325814637483102</v>
      </c>
      <c r="D4">
        <v>0.16</v>
      </c>
      <c r="E4">
        <v>6891</v>
      </c>
      <c r="F4">
        <v>2</v>
      </c>
      <c r="G4" t="s">
        <v>155</v>
      </c>
      <c r="H4">
        <v>317</v>
      </c>
      <c r="I4" t="s">
        <v>5</v>
      </c>
      <c r="J4" t="s">
        <v>156</v>
      </c>
      <c r="K4">
        <v>11</v>
      </c>
      <c r="L4">
        <v>259</v>
      </c>
      <c r="M4" t="s">
        <v>193</v>
      </c>
      <c r="N4" t="s">
        <v>15</v>
      </c>
      <c r="O4" t="s">
        <v>18</v>
      </c>
      <c r="P4">
        <v>1980</v>
      </c>
      <c r="Q4">
        <v>1980</v>
      </c>
      <c r="R4">
        <v>40</v>
      </c>
      <c r="S4">
        <v>44</v>
      </c>
      <c r="T4">
        <v>44</v>
      </c>
      <c r="U4">
        <v>1</v>
      </c>
      <c r="V4">
        <v>980</v>
      </c>
      <c r="W4">
        <v>0</v>
      </c>
      <c r="X4">
        <v>0</v>
      </c>
      <c r="Y4">
        <v>0</v>
      </c>
      <c r="Z4">
        <v>0</v>
      </c>
      <c r="AA4">
        <v>0</v>
      </c>
      <c r="AB4">
        <v>980</v>
      </c>
      <c r="AC4">
        <v>1000</v>
      </c>
      <c r="AD4">
        <v>1</v>
      </c>
      <c r="AE4" t="s">
        <v>56</v>
      </c>
      <c r="AF4" t="s">
        <v>1978</v>
      </c>
      <c r="AG4" t="s">
        <v>27</v>
      </c>
      <c r="AH4" t="s">
        <v>56</v>
      </c>
      <c r="AI4">
        <v>0</v>
      </c>
      <c r="AJ4">
        <v>0</v>
      </c>
      <c r="AK4">
        <v>0</v>
      </c>
      <c r="AL4">
        <v>0</v>
      </c>
      <c r="AM4">
        <v>0</v>
      </c>
      <c r="AN4">
        <v>5</v>
      </c>
      <c r="AO4">
        <v>260</v>
      </c>
      <c r="AP4">
        <v>0</v>
      </c>
      <c r="AQ4">
        <v>0</v>
      </c>
      <c r="AR4">
        <v>0</v>
      </c>
      <c r="AS4">
        <v>0</v>
      </c>
      <c r="AT4">
        <v>0</v>
      </c>
      <c r="AU4">
        <v>100</v>
      </c>
      <c r="AV4">
        <v>100</v>
      </c>
      <c r="AW4">
        <v>141796</v>
      </c>
      <c r="AX4">
        <v>110601</v>
      </c>
      <c r="AY4">
        <v>390</v>
      </c>
      <c r="AZ4">
        <v>365</v>
      </c>
      <c r="BA4">
        <v>25</v>
      </c>
      <c r="BB4">
        <v>0</v>
      </c>
      <c r="BC4" s="2">
        <v>44902</v>
      </c>
      <c r="BD4" t="s">
        <v>1979</v>
      </c>
      <c r="BE4">
        <v>270000</v>
      </c>
      <c r="BF4">
        <v>270000</v>
      </c>
      <c r="BG4" t="s">
        <v>160</v>
      </c>
      <c r="BH4">
        <v>3</v>
      </c>
      <c r="BI4" t="s">
        <v>56</v>
      </c>
      <c r="BJ4" t="s">
        <v>161</v>
      </c>
      <c r="BK4">
        <v>258300</v>
      </c>
      <c r="BL4">
        <v>60800</v>
      </c>
      <c r="BM4">
        <v>197500</v>
      </c>
      <c r="BN4">
        <v>0</v>
      </c>
      <c r="BO4" s="2">
        <v>45182</v>
      </c>
      <c r="BP4">
        <v>271285.02237729577</v>
      </c>
      <c r="BQ4">
        <v>269504.53807631123</v>
      </c>
    </row>
    <row r="5" spans="1:69">
      <c r="A5">
        <v>2025</v>
      </c>
      <c r="B5" s="1">
        <v>19120143003</v>
      </c>
      <c r="C5">
        <v>-0.77652878949899629</v>
      </c>
      <c r="D5">
        <v>0.46</v>
      </c>
      <c r="E5">
        <v>20047</v>
      </c>
      <c r="F5">
        <v>2</v>
      </c>
      <c r="G5" t="s">
        <v>155</v>
      </c>
      <c r="H5">
        <v>317</v>
      </c>
      <c r="I5" t="s">
        <v>5</v>
      </c>
      <c r="J5" t="s">
        <v>156</v>
      </c>
      <c r="K5">
        <v>11</v>
      </c>
      <c r="L5">
        <v>259</v>
      </c>
      <c r="M5" t="s">
        <v>193</v>
      </c>
      <c r="N5" t="s">
        <v>15</v>
      </c>
      <c r="O5" t="s">
        <v>18</v>
      </c>
      <c r="P5">
        <v>1970</v>
      </c>
      <c r="Q5">
        <v>1977</v>
      </c>
      <c r="R5">
        <v>50</v>
      </c>
      <c r="S5">
        <v>54</v>
      </c>
      <c r="T5">
        <v>47</v>
      </c>
      <c r="U5">
        <v>1</v>
      </c>
      <c r="V5">
        <v>1520</v>
      </c>
      <c r="W5">
        <v>0</v>
      </c>
      <c r="X5">
        <v>0</v>
      </c>
      <c r="Y5">
        <v>0</v>
      </c>
      <c r="Z5">
        <v>0</v>
      </c>
      <c r="AA5">
        <v>0</v>
      </c>
      <c r="AB5">
        <v>1520</v>
      </c>
      <c r="AC5">
        <v>2000</v>
      </c>
      <c r="AD5">
        <v>0</v>
      </c>
      <c r="AE5" t="s">
        <v>56</v>
      </c>
      <c r="AF5" t="s">
        <v>331</v>
      </c>
      <c r="AG5" t="s">
        <v>476</v>
      </c>
      <c r="AH5" t="s">
        <v>56</v>
      </c>
      <c r="AI5">
        <v>1</v>
      </c>
      <c r="AJ5">
        <v>0</v>
      </c>
      <c r="AK5">
        <v>0</v>
      </c>
      <c r="AL5">
        <v>1</v>
      </c>
      <c r="AM5">
        <v>0</v>
      </c>
      <c r="AN5">
        <v>8</v>
      </c>
      <c r="AO5">
        <v>0</v>
      </c>
      <c r="AP5">
        <v>0</v>
      </c>
      <c r="AQ5">
        <v>252</v>
      </c>
      <c r="AR5">
        <v>0</v>
      </c>
      <c r="AS5">
        <v>56</v>
      </c>
      <c r="AT5">
        <v>56</v>
      </c>
      <c r="AU5">
        <v>100</v>
      </c>
      <c r="AV5">
        <v>100</v>
      </c>
      <c r="AW5">
        <v>201926</v>
      </c>
      <c r="AX5">
        <v>153464</v>
      </c>
      <c r="AY5">
        <v>466</v>
      </c>
      <c r="AZ5">
        <v>365</v>
      </c>
      <c r="BA5">
        <v>101</v>
      </c>
      <c r="BB5">
        <v>0</v>
      </c>
      <c r="BC5" s="2">
        <v>44826</v>
      </c>
      <c r="BD5" t="s">
        <v>1980</v>
      </c>
      <c r="BE5">
        <v>285000</v>
      </c>
      <c r="BF5">
        <v>277141</v>
      </c>
      <c r="BG5" t="s">
        <v>160</v>
      </c>
      <c r="BH5">
        <v>27</v>
      </c>
      <c r="BI5" t="s">
        <v>56</v>
      </c>
      <c r="BJ5" t="s">
        <v>161</v>
      </c>
      <c r="BK5">
        <v>289100</v>
      </c>
      <c r="BL5">
        <v>75600</v>
      </c>
      <c r="BM5">
        <v>213500</v>
      </c>
      <c r="BN5">
        <v>7859</v>
      </c>
      <c r="BO5" s="2">
        <v>45182</v>
      </c>
      <c r="BP5">
        <v>304216.40032503253</v>
      </c>
      <c r="BQ5">
        <v>307561.62606819777</v>
      </c>
    </row>
    <row r="6" spans="1:69">
      <c r="A6">
        <v>2025</v>
      </c>
      <c r="B6" s="1">
        <v>19133641401</v>
      </c>
      <c r="C6">
        <v>0</v>
      </c>
      <c r="D6">
        <v>1</v>
      </c>
      <c r="E6">
        <v>0</v>
      </c>
      <c r="F6">
        <v>2</v>
      </c>
      <c r="G6" t="s">
        <v>155</v>
      </c>
      <c r="H6">
        <v>317</v>
      </c>
      <c r="I6" t="s">
        <v>5</v>
      </c>
      <c r="J6" t="s">
        <v>212</v>
      </c>
      <c r="K6">
        <v>11</v>
      </c>
      <c r="L6">
        <v>400</v>
      </c>
      <c r="M6" t="s">
        <v>485</v>
      </c>
      <c r="N6" t="s">
        <v>13</v>
      </c>
      <c r="O6" t="s">
        <v>18</v>
      </c>
      <c r="P6">
        <v>1910</v>
      </c>
      <c r="Q6">
        <v>1958</v>
      </c>
      <c r="R6">
        <v>110</v>
      </c>
      <c r="S6">
        <v>114</v>
      </c>
      <c r="T6">
        <v>66</v>
      </c>
      <c r="U6">
        <v>2</v>
      </c>
      <c r="V6">
        <v>942</v>
      </c>
      <c r="W6">
        <v>634</v>
      </c>
      <c r="X6">
        <v>0</v>
      </c>
      <c r="Y6">
        <v>0</v>
      </c>
      <c r="Z6">
        <v>0</v>
      </c>
      <c r="AA6">
        <v>0</v>
      </c>
      <c r="AB6">
        <v>1576</v>
      </c>
      <c r="AC6">
        <v>2000</v>
      </c>
      <c r="AD6">
        <v>0</v>
      </c>
      <c r="AE6" t="s">
        <v>56</v>
      </c>
      <c r="AF6" t="s">
        <v>158</v>
      </c>
      <c r="AG6" t="s">
        <v>27</v>
      </c>
      <c r="AI6">
        <v>0</v>
      </c>
      <c r="AJ6">
        <v>0</v>
      </c>
      <c r="AK6">
        <v>0</v>
      </c>
      <c r="AL6">
        <v>0</v>
      </c>
      <c r="AM6">
        <v>0</v>
      </c>
      <c r="AN6">
        <v>5</v>
      </c>
      <c r="AO6">
        <v>0</v>
      </c>
      <c r="AP6">
        <v>0</v>
      </c>
      <c r="AQ6">
        <v>0</v>
      </c>
      <c r="AR6">
        <v>0</v>
      </c>
      <c r="AS6">
        <v>0</v>
      </c>
      <c r="AT6">
        <v>56</v>
      </c>
      <c r="AU6">
        <v>100</v>
      </c>
      <c r="AV6">
        <v>100</v>
      </c>
      <c r="AW6">
        <v>176546</v>
      </c>
      <c r="AX6">
        <v>97100</v>
      </c>
      <c r="AY6">
        <v>201</v>
      </c>
      <c r="AZ6">
        <v>201</v>
      </c>
      <c r="BA6">
        <v>0</v>
      </c>
      <c r="BB6">
        <v>0</v>
      </c>
      <c r="BC6" s="2">
        <v>45091</v>
      </c>
      <c r="BD6">
        <v>465132</v>
      </c>
      <c r="BE6">
        <v>310000</v>
      </c>
      <c r="BF6">
        <v>307471</v>
      </c>
      <c r="BG6" t="s">
        <v>160</v>
      </c>
      <c r="BH6">
        <v>27</v>
      </c>
      <c r="BI6" t="s">
        <v>56</v>
      </c>
      <c r="BJ6" t="s">
        <v>161</v>
      </c>
      <c r="BK6">
        <v>272300</v>
      </c>
      <c r="BL6">
        <v>86500</v>
      </c>
      <c r="BM6">
        <v>185800</v>
      </c>
      <c r="BN6">
        <v>2529</v>
      </c>
      <c r="BO6" s="2">
        <v>45182</v>
      </c>
      <c r="BP6">
        <v>320537.51849226444</v>
      </c>
      <c r="BQ6">
        <v>318628.52890489262</v>
      </c>
    </row>
    <row r="7" spans="1:69">
      <c r="A7">
        <v>2025</v>
      </c>
      <c r="B7" s="1">
        <v>20120643403</v>
      </c>
      <c r="C7">
        <v>3.9220713153281329E-2</v>
      </c>
      <c r="D7">
        <v>1.04</v>
      </c>
      <c r="E7">
        <v>45385</v>
      </c>
      <c r="F7">
        <v>2</v>
      </c>
      <c r="G7" t="s">
        <v>155</v>
      </c>
      <c r="H7">
        <v>317</v>
      </c>
      <c r="I7" t="s">
        <v>5</v>
      </c>
      <c r="J7" t="s">
        <v>212</v>
      </c>
      <c r="K7">
        <v>11</v>
      </c>
      <c r="L7">
        <v>259</v>
      </c>
      <c r="M7" t="s">
        <v>485</v>
      </c>
      <c r="N7" t="s">
        <v>19</v>
      </c>
      <c r="O7" t="s">
        <v>18</v>
      </c>
      <c r="P7">
        <v>1930</v>
      </c>
      <c r="Q7">
        <v>1965</v>
      </c>
      <c r="R7">
        <v>90</v>
      </c>
      <c r="S7">
        <v>94</v>
      </c>
      <c r="T7">
        <v>59</v>
      </c>
      <c r="U7">
        <v>2</v>
      </c>
      <c r="V7">
        <v>1285</v>
      </c>
      <c r="W7">
        <v>321</v>
      </c>
      <c r="X7">
        <v>0</v>
      </c>
      <c r="Y7">
        <v>1285</v>
      </c>
      <c r="Z7">
        <v>1285</v>
      </c>
      <c r="AA7">
        <v>0</v>
      </c>
      <c r="AB7">
        <v>1606</v>
      </c>
      <c r="AC7">
        <v>2000</v>
      </c>
      <c r="AD7">
        <v>0</v>
      </c>
      <c r="AE7" t="s">
        <v>56</v>
      </c>
      <c r="AF7" t="s">
        <v>158</v>
      </c>
      <c r="AG7" t="s">
        <v>27</v>
      </c>
      <c r="AI7">
        <v>0</v>
      </c>
      <c r="AJ7">
        <v>0</v>
      </c>
      <c r="AK7">
        <v>2</v>
      </c>
      <c r="AL7">
        <v>0</v>
      </c>
      <c r="AM7">
        <v>0</v>
      </c>
      <c r="AN7">
        <v>5</v>
      </c>
      <c r="AO7">
        <v>0</v>
      </c>
      <c r="AP7">
        <v>0</v>
      </c>
      <c r="AQ7">
        <v>0</v>
      </c>
      <c r="AR7">
        <v>516</v>
      </c>
      <c r="AS7">
        <v>0</v>
      </c>
      <c r="AT7">
        <v>0</v>
      </c>
      <c r="AU7">
        <v>100</v>
      </c>
      <c r="AV7">
        <v>100</v>
      </c>
      <c r="AW7">
        <v>311077</v>
      </c>
      <c r="AX7">
        <v>192868</v>
      </c>
      <c r="AY7">
        <v>469</v>
      </c>
      <c r="AZ7">
        <v>365</v>
      </c>
      <c r="BA7">
        <v>104</v>
      </c>
      <c r="BB7">
        <v>0</v>
      </c>
      <c r="BC7" s="2">
        <v>44823</v>
      </c>
      <c r="BD7" t="s">
        <v>1981</v>
      </c>
      <c r="BE7">
        <v>300000</v>
      </c>
      <c r="BF7">
        <v>287616</v>
      </c>
      <c r="BG7" t="s">
        <v>160</v>
      </c>
      <c r="BH7">
        <v>27</v>
      </c>
      <c r="BI7" t="s">
        <v>56</v>
      </c>
      <c r="BJ7" t="s">
        <v>161</v>
      </c>
      <c r="BK7">
        <v>329200</v>
      </c>
      <c r="BL7">
        <v>87100</v>
      </c>
      <c r="BM7">
        <v>242100</v>
      </c>
      <c r="BN7">
        <v>12384</v>
      </c>
      <c r="BO7" s="2">
        <v>45182</v>
      </c>
      <c r="BP7">
        <v>456307.11440476711</v>
      </c>
      <c r="BQ7">
        <v>459854.67080756964</v>
      </c>
    </row>
    <row r="8" spans="1:69">
      <c r="A8">
        <v>2025</v>
      </c>
      <c r="B8" s="1">
        <v>20120643404</v>
      </c>
      <c r="C8">
        <v>0.70803579305369591</v>
      </c>
      <c r="D8">
        <v>2.0299999999999998</v>
      </c>
      <c r="E8">
        <v>0</v>
      </c>
      <c r="F8">
        <v>2</v>
      </c>
      <c r="G8" t="s">
        <v>155</v>
      </c>
      <c r="H8">
        <v>317</v>
      </c>
      <c r="I8" t="s">
        <v>5</v>
      </c>
      <c r="J8" t="s">
        <v>212</v>
      </c>
      <c r="K8">
        <v>11</v>
      </c>
      <c r="M8" t="s">
        <v>1786</v>
      </c>
      <c r="N8" t="s">
        <v>13</v>
      </c>
      <c r="O8" t="s">
        <v>18</v>
      </c>
      <c r="P8">
        <v>1930</v>
      </c>
      <c r="Q8">
        <v>1930</v>
      </c>
      <c r="R8">
        <v>90</v>
      </c>
      <c r="S8">
        <v>94</v>
      </c>
      <c r="T8">
        <v>94</v>
      </c>
      <c r="U8">
        <v>1</v>
      </c>
      <c r="V8">
        <v>648</v>
      </c>
      <c r="W8">
        <v>0</v>
      </c>
      <c r="X8">
        <v>0</v>
      </c>
      <c r="Y8">
        <v>0</v>
      </c>
      <c r="Z8">
        <v>0</v>
      </c>
      <c r="AA8">
        <v>0</v>
      </c>
      <c r="AB8">
        <v>648</v>
      </c>
      <c r="AC8">
        <v>1000</v>
      </c>
      <c r="AD8">
        <v>0</v>
      </c>
      <c r="AE8" t="s">
        <v>56</v>
      </c>
      <c r="AF8" t="s">
        <v>487</v>
      </c>
      <c r="AG8" t="s">
        <v>476</v>
      </c>
      <c r="AI8">
        <v>1</v>
      </c>
      <c r="AJ8">
        <v>0</v>
      </c>
      <c r="AK8">
        <v>0</v>
      </c>
      <c r="AL8">
        <v>0</v>
      </c>
      <c r="AM8">
        <v>0</v>
      </c>
      <c r="AN8">
        <v>5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100</v>
      </c>
      <c r="AV8">
        <v>100</v>
      </c>
      <c r="AW8">
        <v>67899</v>
      </c>
      <c r="AX8">
        <v>37344</v>
      </c>
      <c r="AY8">
        <v>469</v>
      </c>
      <c r="AZ8">
        <v>365</v>
      </c>
      <c r="BA8">
        <v>104</v>
      </c>
      <c r="BB8">
        <v>0</v>
      </c>
      <c r="BC8" s="2">
        <v>44823</v>
      </c>
      <c r="BD8">
        <v>463255</v>
      </c>
      <c r="BE8">
        <v>200000</v>
      </c>
      <c r="BF8">
        <v>195959</v>
      </c>
      <c r="BG8" t="s">
        <v>160</v>
      </c>
      <c r="BH8">
        <v>27</v>
      </c>
      <c r="BI8" t="s">
        <v>56</v>
      </c>
      <c r="BJ8" t="s">
        <v>161</v>
      </c>
      <c r="BK8">
        <v>209500</v>
      </c>
      <c r="BL8">
        <v>96400</v>
      </c>
      <c r="BM8">
        <v>113100</v>
      </c>
      <c r="BN8">
        <v>4041</v>
      </c>
      <c r="BO8" s="2">
        <v>45182</v>
      </c>
      <c r="BP8">
        <v>265206.09537088277</v>
      </c>
      <c r="BQ8">
        <v>268753.65177368536</v>
      </c>
    </row>
    <row r="9" spans="1:69">
      <c r="A9">
        <v>2025</v>
      </c>
      <c r="B9" s="1">
        <v>19120113536</v>
      </c>
      <c r="C9">
        <v>-1.8325814637483102</v>
      </c>
      <c r="D9">
        <v>0.16</v>
      </c>
      <c r="E9">
        <v>7078</v>
      </c>
      <c r="F9">
        <v>2</v>
      </c>
      <c r="G9" t="s">
        <v>155</v>
      </c>
      <c r="H9">
        <v>317</v>
      </c>
      <c r="I9" t="s">
        <v>5</v>
      </c>
      <c r="J9" t="s">
        <v>212</v>
      </c>
      <c r="K9">
        <v>11</v>
      </c>
      <c r="L9">
        <v>259</v>
      </c>
      <c r="M9" t="s">
        <v>157</v>
      </c>
      <c r="N9" t="s">
        <v>19</v>
      </c>
      <c r="O9" t="s">
        <v>16</v>
      </c>
      <c r="P9">
        <v>2006</v>
      </c>
      <c r="Q9">
        <v>2006</v>
      </c>
      <c r="R9">
        <v>10</v>
      </c>
      <c r="S9">
        <v>18</v>
      </c>
      <c r="T9">
        <v>18</v>
      </c>
      <c r="U9">
        <v>2</v>
      </c>
      <c r="V9">
        <v>1116</v>
      </c>
      <c r="W9">
        <v>1116</v>
      </c>
      <c r="X9">
        <v>0</v>
      </c>
      <c r="Y9">
        <v>0</v>
      </c>
      <c r="Z9">
        <v>0</v>
      </c>
      <c r="AA9">
        <v>0</v>
      </c>
      <c r="AB9">
        <v>2232</v>
      </c>
      <c r="AC9">
        <v>2500</v>
      </c>
      <c r="AD9">
        <v>0</v>
      </c>
      <c r="AE9" t="s">
        <v>56</v>
      </c>
      <c r="AF9" t="s">
        <v>331</v>
      </c>
      <c r="AG9" t="s">
        <v>21</v>
      </c>
      <c r="AH9" t="s">
        <v>161</v>
      </c>
      <c r="AI9">
        <v>0</v>
      </c>
      <c r="AJ9">
        <v>0</v>
      </c>
      <c r="AK9">
        <v>0</v>
      </c>
      <c r="AL9">
        <v>0</v>
      </c>
      <c r="AM9">
        <v>1</v>
      </c>
      <c r="AN9">
        <v>13</v>
      </c>
      <c r="AO9">
        <v>736</v>
      </c>
      <c r="AP9">
        <v>0</v>
      </c>
      <c r="AQ9">
        <v>0</v>
      </c>
      <c r="AR9">
        <v>0</v>
      </c>
      <c r="AS9">
        <v>100</v>
      </c>
      <c r="AT9">
        <v>0</v>
      </c>
      <c r="AU9">
        <v>100</v>
      </c>
      <c r="AV9">
        <v>100</v>
      </c>
      <c r="AW9">
        <v>357682</v>
      </c>
      <c r="AX9">
        <v>314760</v>
      </c>
      <c r="AY9">
        <v>1081</v>
      </c>
      <c r="AZ9">
        <v>365</v>
      </c>
      <c r="BA9">
        <v>365</v>
      </c>
      <c r="BB9">
        <v>351</v>
      </c>
      <c r="BC9" s="2">
        <v>44211</v>
      </c>
      <c r="BD9" t="s">
        <v>1982</v>
      </c>
      <c r="BE9">
        <v>330000</v>
      </c>
      <c r="BF9">
        <v>330000</v>
      </c>
      <c r="BG9" t="s">
        <v>160</v>
      </c>
      <c r="BH9">
        <v>30</v>
      </c>
      <c r="BI9" t="s">
        <v>56</v>
      </c>
      <c r="BJ9" t="s">
        <v>161</v>
      </c>
      <c r="BK9">
        <v>424500</v>
      </c>
      <c r="BL9">
        <v>60800</v>
      </c>
      <c r="BM9">
        <v>363700</v>
      </c>
      <c r="BN9">
        <v>0</v>
      </c>
      <c r="BO9" s="2">
        <v>45182</v>
      </c>
      <c r="BP9">
        <v>283219.43951778929</v>
      </c>
      <c r="BQ9">
        <v>384748.55572349159</v>
      </c>
    </row>
    <row r="10" spans="1:69">
      <c r="A10">
        <v>2025</v>
      </c>
      <c r="B10" s="1">
        <v>19120114459</v>
      </c>
      <c r="C10">
        <v>-1.7719568419318752</v>
      </c>
      <c r="D10">
        <v>0.17</v>
      </c>
      <c r="E10">
        <v>7552</v>
      </c>
      <c r="F10">
        <v>2</v>
      </c>
      <c r="G10" t="s">
        <v>155</v>
      </c>
      <c r="H10">
        <v>317</v>
      </c>
      <c r="I10" t="s">
        <v>5</v>
      </c>
      <c r="J10" t="s">
        <v>156</v>
      </c>
      <c r="K10">
        <v>11</v>
      </c>
      <c r="L10">
        <v>259</v>
      </c>
      <c r="M10" t="s">
        <v>157</v>
      </c>
      <c r="N10" t="s">
        <v>19</v>
      </c>
      <c r="O10" t="s">
        <v>24</v>
      </c>
      <c r="P10">
        <v>2021</v>
      </c>
      <c r="Q10">
        <v>2021</v>
      </c>
      <c r="R10">
        <v>0</v>
      </c>
      <c r="S10">
        <v>3</v>
      </c>
      <c r="T10">
        <v>3</v>
      </c>
      <c r="U10">
        <v>1</v>
      </c>
      <c r="V10">
        <v>1592</v>
      </c>
      <c r="W10">
        <v>0</v>
      </c>
      <c r="X10">
        <v>0</v>
      </c>
      <c r="Y10">
        <v>0</v>
      </c>
      <c r="Z10">
        <v>0</v>
      </c>
      <c r="AA10">
        <v>0</v>
      </c>
      <c r="AB10">
        <v>1592</v>
      </c>
      <c r="AC10">
        <v>2000</v>
      </c>
      <c r="AD10">
        <v>2</v>
      </c>
      <c r="AE10" t="s">
        <v>56</v>
      </c>
      <c r="AF10" t="s">
        <v>158</v>
      </c>
      <c r="AG10" t="s">
        <v>21</v>
      </c>
      <c r="AI10">
        <v>0</v>
      </c>
      <c r="AJ10">
        <v>0</v>
      </c>
      <c r="AK10">
        <v>1</v>
      </c>
      <c r="AL10">
        <v>0</v>
      </c>
      <c r="AM10">
        <v>0</v>
      </c>
      <c r="AN10">
        <v>9</v>
      </c>
      <c r="AO10">
        <v>480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100</v>
      </c>
      <c r="AV10">
        <v>100</v>
      </c>
      <c r="AW10">
        <v>289826</v>
      </c>
      <c r="AX10">
        <v>286928</v>
      </c>
      <c r="AY10">
        <v>908</v>
      </c>
      <c r="AZ10">
        <v>365</v>
      </c>
      <c r="BA10">
        <v>365</v>
      </c>
      <c r="BB10">
        <v>178</v>
      </c>
      <c r="BC10" s="2">
        <v>44384</v>
      </c>
      <c r="BD10">
        <v>460068</v>
      </c>
      <c r="BE10">
        <v>420987</v>
      </c>
      <c r="BF10">
        <v>420987</v>
      </c>
      <c r="BG10" t="s">
        <v>160</v>
      </c>
      <c r="BH10">
        <v>30</v>
      </c>
      <c r="BI10" t="s">
        <v>56</v>
      </c>
      <c r="BJ10" t="s">
        <v>161</v>
      </c>
      <c r="BK10">
        <v>396600</v>
      </c>
      <c r="BL10">
        <v>61700</v>
      </c>
      <c r="BM10">
        <v>334900</v>
      </c>
      <c r="BN10">
        <v>0</v>
      </c>
      <c r="BO10" s="2">
        <v>45182</v>
      </c>
      <c r="BP10">
        <v>336620.06440854952</v>
      </c>
      <c r="BQ10">
        <v>398532.28292850312</v>
      </c>
    </row>
    <row r="11" spans="1:69">
      <c r="A11">
        <v>2025</v>
      </c>
      <c r="B11" s="1">
        <v>19120114526</v>
      </c>
      <c r="C11">
        <v>-1.8325814637483102</v>
      </c>
      <c r="D11">
        <v>0.16</v>
      </c>
      <c r="E11">
        <v>7001</v>
      </c>
      <c r="F11">
        <v>2</v>
      </c>
      <c r="G11" t="s">
        <v>155</v>
      </c>
      <c r="H11">
        <v>317</v>
      </c>
      <c r="I11" t="s">
        <v>5</v>
      </c>
      <c r="J11" t="s">
        <v>156</v>
      </c>
      <c r="K11">
        <v>11</v>
      </c>
      <c r="L11">
        <v>259</v>
      </c>
      <c r="M11" t="s">
        <v>157</v>
      </c>
      <c r="N11" t="s">
        <v>21</v>
      </c>
      <c r="O11" t="s">
        <v>24</v>
      </c>
      <c r="P11">
        <v>2022</v>
      </c>
      <c r="Q11">
        <v>2022</v>
      </c>
      <c r="R11">
        <v>0</v>
      </c>
      <c r="S11">
        <v>2</v>
      </c>
      <c r="T11">
        <v>2</v>
      </c>
      <c r="U11">
        <v>2</v>
      </c>
      <c r="V11">
        <v>1328</v>
      </c>
      <c r="W11">
        <v>1686</v>
      </c>
      <c r="X11">
        <v>0</v>
      </c>
      <c r="Y11">
        <v>0</v>
      </c>
      <c r="Z11">
        <v>0</v>
      </c>
      <c r="AA11">
        <v>0</v>
      </c>
      <c r="AB11">
        <v>3014</v>
      </c>
      <c r="AC11">
        <v>3500</v>
      </c>
      <c r="AD11">
        <v>2</v>
      </c>
      <c r="AE11" t="s">
        <v>57</v>
      </c>
      <c r="AF11" t="s">
        <v>158</v>
      </c>
      <c r="AG11" t="s">
        <v>21</v>
      </c>
      <c r="AI11">
        <v>0</v>
      </c>
      <c r="AJ11">
        <v>0</v>
      </c>
      <c r="AK11">
        <v>1</v>
      </c>
      <c r="AL11">
        <v>0</v>
      </c>
      <c r="AM11">
        <v>0</v>
      </c>
      <c r="AN11">
        <v>14</v>
      </c>
      <c r="AO11">
        <v>0</v>
      </c>
      <c r="AP11">
        <v>540</v>
      </c>
      <c r="AQ11">
        <v>0</v>
      </c>
      <c r="AR11">
        <v>0</v>
      </c>
      <c r="AS11">
        <v>188</v>
      </c>
      <c r="AT11">
        <v>0</v>
      </c>
      <c r="AU11">
        <v>100</v>
      </c>
      <c r="AV11">
        <v>100</v>
      </c>
      <c r="AW11">
        <v>511096</v>
      </c>
      <c r="AX11">
        <v>505985</v>
      </c>
      <c r="AY11">
        <v>455</v>
      </c>
      <c r="AZ11">
        <v>365</v>
      </c>
      <c r="BA11">
        <v>90</v>
      </c>
      <c r="BB11">
        <v>0</v>
      </c>
      <c r="BC11" s="2">
        <v>44837</v>
      </c>
      <c r="BD11" t="s">
        <v>1983</v>
      </c>
      <c r="BE11">
        <v>554406</v>
      </c>
      <c r="BF11">
        <v>554406</v>
      </c>
      <c r="BG11" t="s">
        <v>160</v>
      </c>
      <c r="BH11">
        <v>30</v>
      </c>
      <c r="BI11" t="s">
        <v>56</v>
      </c>
      <c r="BJ11" t="s">
        <v>161</v>
      </c>
      <c r="BK11">
        <v>466200</v>
      </c>
      <c r="BL11">
        <v>60800</v>
      </c>
      <c r="BM11">
        <v>405400</v>
      </c>
      <c r="BN11">
        <v>0</v>
      </c>
      <c r="BO11" s="2">
        <v>45182</v>
      </c>
      <c r="BP11">
        <v>498237.1603615426</v>
      </c>
      <c r="BQ11">
        <v>500840.50701937033</v>
      </c>
    </row>
    <row r="12" spans="1:69">
      <c r="A12">
        <v>2025</v>
      </c>
      <c r="B12" s="1">
        <v>19120131406</v>
      </c>
      <c r="C12">
        <v>-1.9661128563728327</v>
      </c>
      <c r="D12">
        <v>0.14000000000000001</v>
      </c>
      <c r="E12">
        <v>6002</v>
      </c>
      <c r="F12">
        <v>2</v>
      </c>
      <c r="G12" t="s">
        <v>155</v>
      </c>
      <c r="H12">
        <v>317</v>
      </c>
      <c r="I12" t="s">
        <v>5</v>
      </c>
      <c r="J12" t="s">
        <v>156</v>
      </c>
      <c r="K12">
        <v>11</v>
      </c>
      <c r="L12">
        <v>259</v>
      </c>
      <c r="M12" t="s">
        <v>475</v>
      </c>
      <c r="N12" t="s">
        <v>11</v>
      </c>
      <c r="O12" t="s">
        <v>18</v>
      </c>
      <c r="P12">
        <v>1930</v>
      </c>
      <c r="Q12">
        <v>1970</v>
      </c>
      <c r="R12">
        <v>90</v>
      </c>
      <c r="S12">
        <v>94</v>
      </c>
      <c r="T12">
        <v>54</v>
      </c>
      <c r="U12">
        <v>1</v>
      </c>
      <c r="V12">
        <v>856</v>
      </c>
      <c r="W12">
        <v>0</v>
      </c>
      <c r="X12">
        <v>0</v>
      </c>
      <c r="Y12">
        <v>0</v>
      </c>
      <c r="Z12">
        <v>0</v>
      </c>
      <c r="AA12">
        <v>0</v>
      </c>
      <c r="AB12">
        <v>856</v>
      </c>
      <c r="AC12">
        <v>1000</v>
      </c>
      <c r="AD12">
        <v>0</v>
      </c>
      <c r="AE12" t="s">
        <v>56</v>
      </c>
      <c r="AF12" t="s">
        <v>466</v>
      </c>
      <c r="AG12" t="s">
        <v>27</v>
      </c>
      <c r="AH12" t="s">
        <v>56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5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100</v>
      </c>
      <c r="AV12">
        <v>100</v>
      </c>
      <c r="AW12">
        <v>102743</v>
      </c>
      <c r="AX12">
        <v>68838</v>
      </c>
      <c r="AY12">
        <v>494</v>
      </c>
      <c r="AZ12">
        <v>365</v>
      </c>
      <c r="BA12">
        <v>129</v>
      </c>
      <c r="BB12">
        <v>0</v>
      </c>
      <c r="BC12" s="2">
        <v>44798</v>
      </c>
      <c r="BD12" t="s">
        <v>1984</v>
      </c>
      <c r="BE12">
        <v>235000</v>
      </c>
      <c r="BF12">
        <v>235000</v>
      </c>
      <c r="BG12" t="s">
        <v>160</v>
      </c>
      <c r="BH12">
        <v>30</v>
      </c>
      <c r="BI12" t="s">
        <v>56</v>
      </c>
      <c r="BJ12" t="s">
        <v>161</v>
      </c>
      <c r="BK12">
        <v>215400</v>
      </c>
      <c r="BL12">
        <v>59000</v>
      </c>
      <c r="BM12">
        <v>156400</v>
      </c>
      <c r="BN12">
        <v>0</v>
      </c>
      <c r="BO12" s="2">
        <v>45182</v>
      </c>
    </row>
    <row r="13" spans="1:69">
      <c r="A13">
        <v>2025</v>
      </c>
      <c r="B13" s="1">
        <v>19120131524</v>
      </c>
      <c r="C13">
        <v>-1.8325814637483102</v>
      </c>
      <c r="D13">
        <v>0.16</v>
      </c>
      <c r="E13">
        <v>6798</v>
      </c>
      <c r="F13">
        <v>2</v>
      </c>
      <c r="G13" t="s">
        <v>155</v>
      </c>
      <c r="H13">
        <v>317</v>
      </c>
      <c r="I13" t="s">
        <v>5</v>
      </c>
      <c r="J13" t="s">
        <v>156</v>
      </c>
      <c r="K13">
        <v>11</v>
      </c>
      <c r="L13">
        <v>259</v>
      </c>
      <c r="M13" t="s">
        <v>193</v>
      </c>
      <c r="N13" t="s">
        <v>15</v>
      </c>
      <c r="O13" t="s">
        <v>22</v>
      </c>
      <c r="P13">
        <v>1997</v>
      </c>
      <c r="Q13">
        <v>1997</v>
      </c>
      <c r="R13">
        <v>20</v>
      </c>
      <c r="S13">
        <v>27</v>
      </c>
      <c r="T13">
        <v>27</v>
      </c>
      <c r="U13">
        <v>1</v>
      </c>
      <c r="V13">
        <v>1344</v>
      </c>
      <c r="W13">
        <v>0</v>
      </c>
      <c r="X13">
        <v>0</v>
      </c>
      <c r="Y13">
        <v>0</v>
      </c>
      <c r="Z13">
        <v>0</v>
      </c>
      <c r="AA13">
        <v>0</v>
      </c>
      <c r="AB13">
        <v>1344</v>
      </c>
      <c r="AC13">
        <v>1500</v>
      </c>
      <c r="AD13">
        <v>0</v>
      </c>
      <c r="AE13" t="s">
        <v>56</v>
      </c>
      <c r="AF13" t="s">
        <v>1978</v>
      </c>
      <c r="AG13" t="s">
        <v>27</v>
      </c>
      <c r="AH13" t="s">
        <v>56</v>
      </c>
      <c r="AI13">
        <v>0</v>
      </c>
      <c r="AJ13">
        <v>0</v>
      </c>
      <c r="AK13">
        <v>0</v>
      </c>
      <c r="AL13">
        <v>1</v>
      </c>
      <c r="AM13">
        <v>0</v>
      </c>
      <c r="AN13">
        <v>8</v>
      </c>
      <c r="AO13">
        <v>0</v>
      </c>
      <c r="AP13">
        <v>0</v>
      </c>
      <c r="AQ13">
        <v>432</v>
      </c>
      <c r="AR13">
        <v>0</v>
      </c>
      <c r="AS13">
        <v>153</v>
      </c>
      <c r="AT13">
        <v>0</v>
      </c>
      <c r="AU13">
        <v>100</v>
      </c>
      <c r="AV13">
        <v>100</v>
      </c>
      <c r="AW13">
        <v>152221</v>
      </c>
      <c r="AX13">
        <v>138521</v>
      </c>
      <c r="AY13">
        <v>262</v>
      </c>
      <c r="AZ13">
        <v>262</v>
      </c>
      <c r="BA13">
        <v>0</v>
      </c>
      <c r="BB13">
        <v>0</v>
      </c>
      <c r="BC13" s="2">
        <v>45030</v>
      </c>
      <c r="BD13" t="s">
        <v>1985</v>
      </c>
      <c r="BE13">
        <v>310000</v>
      </c>
      <c r="BF13">
        <v>310000</v>
      </c>
      <c r="BG13" t="s">
        <v>160</v>
      </c>
      <c r="BH13">
        <v>30</v>
      </c>
      <c r="BI13" t="s">
        <v>56</v>
      </c>
      <c r="BJ13" t="s">
        <v>161</v>
      </c>
      <c r="BK13">
        <v>303300</v>
      </c>
      <c r="BL13">
        <v>60800</v>
      </c>
      <c r="BM13">
        <v>242500</v>
      </c>
      <c r="BN13">
        <v>0</v>
      </c>
      <c r="BO13" s="2">
        <v>45182</v>
      </c>
      <c r="BP13">
        <v>320057.83953542117</v>
      </c>
      <c r="BQ13">
        <v>317569.50484939432</v>
      </c>
    </row>
    <row r="14" spans="1:69">
      <c r="A14">
        <v>2025</v>
      </c>
      <c r="B14" s="1">
        <v>19120134414</v>
      </c>
      <c r="C14">
        <v>-1.7147984280919266</v>
      </c>
      <c r="D14">
        <v>0.18</v>
      </c>
      <c r="E14">
        <v>7800</v>
      </c>
      <c r="F14">
        <v>2</v>
      </c>
      <c r="G14" t="s">
        <v>155</v>
      </c>
      <c r="H14">
        <v>317</v>
      </c>
      <c r="I14" t="s">
        <v>5</v>
      </c>
      <c r="J14" t="s">
        <v>212</v>
      </c>
      <c r="K14">
        <v>11</v>
      </c>
      <c r="L14">
        <v>259</v>
      </c>
      <c r="M14" t="s">
        <v>473</v>
      </c>
      <c r="N14" t="s">
        <v>11</v>
      </c>
      <c r="O14" t="s">
        <v>20</v>
      </c>
      <c r="P14">
        <v>1930</v>
      </c>
      <c r="Q14">
        <v>1970</v>
      </c>
      <c r="R14">
        <v>90</v>
      </c>
      <c r="S14">
        <v>94</v>
      </c>
      <c r="T14">
        <v>54</v>
      </c>
      <c r="U14">
        <v>1</v>
      </c>
      <c r="V14">
        <v>918</v>
      </c>
      <c r="W14">
        <v>0</v>
      </c>
      <c r="X14">
        <v>0</v>
      </c>
      <c r="Y14">
        <v>0</v>
      </c>
      <c r="Z14">
        <v>0</v>
      </c>
      <c r="AA14">
        <v>0</v>
      </c>
      <c r="AB14">
        <v>918</v>
      </c>
      <c r="AC14">
        <v>1000</v>
      </c>
      <c r="AD14">
        <v>0</v>
      </c>
      <c r="AE14" t="s">
        <v>56</v>
      </c>
      <c r="AF14" t="s">
        <v>466</v>
      </c>
      <c r="AG14" t="s">
        <v>27</v>
      </c>
      <c r="AH14" t="s">
        <v>56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5</v>
      </c>
      <c r="AO14">
        <v>0</v>
      </c>
      <c r="AP14">
        <v>0</v>
      </c>
      <c r="AQ14">
        <v>264</v>
      </c>
      <c r="AR14">
        <v>0</v>
      </c>
      <c r="AS14">
        <v>0</v>
      </c>
      <c r="AT14">
        <v>0</v>
      </c>
      <c r="AU14">
        <v>100</v>
      </c>
      <c r="AV14">
        <v>100</v>
      </c>
      <c r="AW14">
        <v>113009</v>
      </c>
      <c r="AX14">
        <v>84757</v>
      </c>
      <c r="AY14">
        <v>655</v>
      </c>
      <c r="AZ14">
        <v>365</v>
      </c>
      <c r="BA14">
        <v>290</v>
      </c>
      <c r="BB14">
        <v>0</v>
      </c>
      <c r="BC14" s="2">
        <v>44637</v>
      </c>
      <c r="BD14" t="s">
        <v>1986</v>
      </c>
      <c r="BE14">
        <v>265000</v>
      </c>
      <c r="BF14">
        <v>265000</v>
      </c>
      <c r="BG14" t="s">
        <v>160</v>
      </c>
      <c r="BH14">
        <v>30</v>
      </c>
      <c r="BI14" t="s">
        <v>56</v>
      </c>
      <c r="BJ14" t="s">
        <v>161</v>
      </c>
      <c r="BK14">
        <v>277600</v>
      </c>
      <c r="BL14">
        <v>62500</v>
      </c>
      <c r="BM14">
        <v>215100</v>
      </c>
      <c r="BN14">
        <v>0</v>
      </c>
      <c r="BO14" s="2">
        <v>45182</v>
      </c>
    </row>
    <row r="15" spans="1:69">
      <c r="A15">
        <v>2025</v>
      </c>
      <c r="B15" s="1">
        <v>19120134450</v>
      </c>
      <c r="C15">
        <v>-1.5606477482646683</v>
      </c>
      <c r="D15">
        <v>0.21</v>
      </c>
      <c r="E15">
        <v>9211</v>
      </c>
      <c r="F15">
        <v>2</v>
      </c>
      <c r="G15" t="s">
        <v>155</v>
      </c>
      <c r="H15">
        <v>317</v>
      </c>
      <c r="I15" t="s">
        <v>5</v>
      </c>
      <c r="J15" t="s">
        <v>212</v>
      </c>
      <c r="K15">
        <v>11</v>
      </c>
      <c r="L15">
        <v>259</v>
      </c>
      <c r="M15" t="s">
        <v>157</v>
      </c>
      <c r="N15" t="s">
        <v>23</v>
      </c>
      <c r="O15" t="s">
        <v>20</v>
      </c>
      <c r="P15">
        <v>1994</v>
      </c>
      <c r="Q15">
        <v>1994</v>
      </c>
      <c r="R15">
        <v>30</v>
      </c>
      <c r="S15">
        <v>30</v>
      </c>
      <c r="T15">
        <v>30</v>
      </c>
      <c r="U15">
        <v>1</v>
      </c>
      <c r="V15">
        <v>2227</v>
      </c>
      <c r="W15">
        <v>0</v>
      </c>
      <c r="X15">
        <v>0</v>
      </c>
      <c r="Y15">
        <v>0</v>
      </c>
      <c r="Z15">
        <v>0</v>
      </c>
      <c r="AA15">
        <v>0</v>
      </c>
      <c r="AB15">
        <v>2227</v>
      </c>
      <c r="AC15">
        <v>2500</v>
      </c>
      <c r="AD15">
        <v>3</v>
      </c>
      <c r="AE15" t="s">
        <v>55</v>
      </c>
      <c r="AF15" t="s">
        <v>331</v>
      </c>
      <c r="AG15" t="s">
        <v>27</v>
      </c>
      <c r="AH15" t="s">
        <v>161</v>
      </c>
      <c r="AI15">
        <v>0</v>
      </c>
      <c r="AJ15">
        <v>0</v>
      </c>
      <c r="AK15">
        <v>0</v>
      </c>
      <c r="AL15">
        <v>1</v>
      </c>
      <c r="AM15">
        <v>1</v>
      </c>
      <c r="AN15">
        <v>12</v>
      </c>
      <c r="AO15">
        <v>938</v>
      </c>
      <c r="AP15">
        <v>0</v>
      </c>
      <c r="AQ15">
        <v>0</v>
      </c>
      <c r="AR15">
        <v>0</v>
      </c>
      <c r="AS15">
        <v>490</v>
      </c>
      <c r="AT15">
        <v>0</v>
      </c>
      <c r="AU15">
        <v>100</v>
      </c>
      <c r="AV15">
        <v>100</v>
      </c>
      <c r="AW15">
        <v>496451</v>
      </c>
      <c r="AX15">
        <v>456735</v>
      </c>
      <c r="AY15">
        <v>637</v>
      </c>
      <c r="AZ15">
        <v>365</v>
      </c>
      <c r="BA15">
        <v>272</v>
      </c>
      <c r="BB15">
        <v>0</v>
      </c>
      <c r="BC15" s="2">
        <v>44655</v>
      </c>
      <c r="BD15" t="s">
        <v>1987</v>
      </c>
      <c r="BE15">
        <v>450000</v>
      </c>
      <c r="BF15">
        <v>450000</v>
      </c>
      <c r="BG15" t="s">
        <v>160</v>
      </c>
      <c r="BH15">
        <v>30</v>
      </c>
      <c r="BI15" t="s">
        <v>56</v>
      </c>
      <c r="BJ15" t="s">
        <v>161</v>
      </c>
      <c r="BK15">
        <v>397100</v>
      </c>
      <c r="BL15">
        <v>64600</v>
      </c>
      <c r="BM15">
        <v>332500</v>
      </c>
      <c r="BN15">
        <v>0</v>
      </c>
      <c r="BO15" s="2">
        <v>45182</v>
      </c>
      <c r="BP15">
        <v>429336.66549594194</v>
      </c>
      <c r="BQ15">
        <v>444214.73883844417</v>
      </c>
    </row>
    <row r="16" spans="1:69">
      <c r="A16">
        <v>2025</v>
      </c>
      <c r="B16" s="1">
        <v>19120141468</v>
      </c>
      <c r="C16">
        <v>-1.8325814637483102</v>
      </c>
      <c r="D16">
        <v>0.16</v>
      </c>
      <c r="E16">
        <v>7009</v>
      </c>
      <c r="F16">
        <v>2</v>
      </c>
      <c r="G16" t="s">
        <v>155</v>
      </c>
      <c r="H16">
        <v>317</v>
      </c>
      <c r="I16" t="s">
        <v>5</v>
      </c>
      <c r="J16" t="s">
        <v>212</v>
      </c>
      <c r="K16">
        <v>11</v>
      </c>
      <c r="L16">
        <v>259</v>
      </c>
      <c r="M16" t="s">
        <v>157</v>
      </c>
      <c r="N16" t="s">
        <v>19</v>
      </c>
      <c r="O16" t="s">
        <v>20</v>
      </c>
      <c r="P16">
        <v>2005</v>
      </c>
      <c r="Q16">
        <v>2005</v>
      </c>
      <c r="R16">
        <v>10</v>
      </c>
      <c r="S16">
        <v>19</v>
      </c>
      <c r="T16">
        <v>19</v>
      </c>
      <c r="U16">
        <v>2</v>
      </c>
      <c r="V16">
        <v>1116</v>
      </c>
      <c r="W16">
        <v>1116</v>
      </c>
      <c r="X16">
        <v>0</v>
      </c>
      <c r="Y16">
        <v>0</v>
      </c>
      <c r="Z16">
        <v>0</v>
      </c>
      <c r="AA16">
        <v>0</v>
      </c>
      <c r="AB16">
        <v>2232</v>
      </c>
      <c r="AC16">
        <v>2500</v>
      </c>
      <c r="AD16">
        <v>0</v>
      </c>
      <c r="AE16" t="s">
        <v>57</v>
      </c>
      <c r="AF16" t="s">
        <v>331</v>
      </c>
      <c r="AG16" t="s">
        <v>21</v>
      </c>
      <c r="AH16" t="s">
        <v>161</v>
      </c>
      <c r="AI16">
        <v>0</v>
      </c>
      <c r="AJ16">
        <v>0</v>
      </c>
      <c r="AK16">
        <v>1</v>
      </c>
      <c r="AL16">
        <v>0</v>
      </c>
      <c r="AM16">
        <v>1</v>
      </c>
      <c r="AN16">
        <v>13</v>
      </c>
      <c r="AO16">
        <v>440</v>
      </c>
      <c r="AP16">
        <v>0</v>
      </c>
      <c r="AQ16">
        <v>0</v>
      </c>
      <c r="AR16">
        <v>0</v>
      </c>
      <c r="AS16">
        <v>100</v>
      </c>
      <c r="AT16">
        <v>0</v>
      </c>
      <c r="AU16">
        <v>100</v>
      </c>
      <c r="AV16">
        <v>100</v>
      </c>
      <c r="AW16">
        <v>351919</v>
      </c>
      <c r="AX16">
        <v>327285</v>
      </c>
      <c r="AY16">
        <v>1053</v>
      </c>
      <c r="AZ16">
        <v>365</v>
      </c>
      <c r="BA16">
        <v>365</v>
      </c>
      <c r="BB16">
        <v>323</v>
      </c>
      <c r="BC16" s="2">
        <v>44239</v>
      </c>
      <c r="BD16" t="s">
        <v>1988</v>
      </c>
      <c r="BE16">
        <v>315000</v>
      </c>
      <c r="BF16">
        <v>315000</v>
      </c>
      <c r="BG16" t="s">
        <v>1989</v>
      </c>
      <c r="BH16">
        <v>30</v>
      </c>
      <c r="BI16" t="s">
        <v>56</v>
      </c>
      <c r="BJ16" t="s">
        <v>161</v>
      </c>
      <c r="BK16">
        <v>395300</v>
      </c>
      <c r="BL16">
        <v>60800</v>
      </c>
      <c r="BM16">
        <v>334500</v>
      </c>
      <c r="BN16">
        <v>0</v>
      </c>
      <c r="BO16" s="2">
        <v>45182</v>
      </c>
      <c r="BP16">
        <v>332706.59162204113</v>
      </c>
      <c r="BQ16">
        <v>427823.72438727535</v>
      </c>
    </row>
    <row r="17" spans="1:69">
      <c r="A17">
        <v>2025</v>
      </c>
      <c r="B17" s="1">
        <v>19120141476</v>
      </c>
      <c r="C17">
        <v>-1.8325814637483102</v>
      </c>
      <c r="D17">
        <v>0.16</v>
      </c>
      <c r="E17">
        <v>6957</v>
      </c>
      <c r="F17">
        <v>2</v>
      </c>
      <c r="G17" t="s">
        <v>155</v>
      </c>
      <c r="H17">
        <v>317</v>
      </c>
      <c r="I17" t="s">
        <v>5</v>
      </c>
      <c r="J17" t="s">
        <v>212</v>
      </c>
      <c r="K17">
        <v>11</v>
      </c>
      <c r="L17">
        <v>259</v>
      </c>
      <c r="M17" t="s">
        <v>193</v>
      </c>
      <c r="N17" t="s">
        <v>19</v>
      </c>
      <c r="O17" t="s">
        <v>18</v>
      </c>
      <c r="P17">
        <v>2005</v>
      </c>
      <c r="Q17">
        <v>2005</v>
      </c>
      <c r="R17">
        <v>10</v>
      </c>
      <c r="S17">
        <v>19</v>
      </c>
      <c r="T17">
        <v>19</v>
      </c>
      <c r="U17">
        <v>1</v>
      </c>
      <c r="V17">
        <v>1382</v>
      </c>
      <c r="W17">
        <v>0</v>
      </c>
      <c r="X17">
        <v>0</v>
      </c>
      <c r="Y17">
        <v>0</v>
      </c>
      <c r="Z17">
        <v>0</v>
      </c>
      <c r="AA17">
        <v>0</v>
      </c>
      <c r="AB17">
        <v>1382</v>
      </c>
      <c r="AC17">
        <v>1500</v>
      </c>
      <c r="AD17">
        <v>3</v>
      </c>
      <c r="AE17" t="s">
        <v>55</v>
      </c>
      <c r="AF17" t="s">
        <v>331</v>
      </c>
      <c r="AG17" t="s">
        <v>21</v>
      </c>
      <c r="AH17" t="s">
        <v>161</v>
      </c>
      <c r="AI17">
        <v>0</v>
      </c>
      <c r="AJ17">
        <v>0</v>
      </c>
      <c r="AK17">
        <v>1</v>
      </c>
      <c r="AL17">
        <v>1</v>
      </c>
      <c r="AM17">
        <v>0</v>
      </c>
      <c r="AN17">
        <v>8</v>
      </c>
      <c r="AO17">
        <v>666</v>
      </c>
      <c r="AP17">
        <v>0</v>
      </c>
      <c r="AQ17">
        <v>0</v>
      </c>
      <c r="AR17">
        <v>0</v>
      </c>
      <c r="AS17">
        <v>240</v>
      </c>
      <c r="AT17">
        <v>0</v>
      </c>
      <c r="AU17">
        <v>100</v>
      </c>
      <c r="AV17">
        <v>100</v>
      </c>
      <c r="AW17">
        <v>263864</v>
      </c>
      <c r="AX17">
        <v>240116</v>
      </c>
      <c r="AY17">
        <v>615</v>
      </c>
      <c r="AZ17">
        <v>365</v>
      </c>
      <c r="BA17">
        <v>250</v>
      </c>
      <c r="BB17">
        <v>0</v>
      </c>
      <c r="BC17" s="2">
        <v>44677</v>
      </c>
      <c r="BD17">
        <v>462211</v>
      </c>
      <c r="BE17">
        <v>297000</v>
      </c>
      <c r="BF17">
        <v>297000</v>
      </c>
      <c r="BG17" t="s">
        <v>1957</v>
      </c>
      <c r="BH17">
        <v>30</v>
      </c>
      <c r="BI17" t="s">
        <v>56</v>
      </c>
      <c r="BJ17" t="s">
        <v>161</v>
      </c>
      <c r="BK17">
        <v>357100</v>
      </c>
      <c r="BL17">
        <v>60800</v>
      </c>
      <c r="BM17">
        <v>296300</v>
      </c>
      <c r="BN17">
        <v>0</v>
      </c>
      <c r="BO17" s="2">
        <v>45182</v>
      </c>
      <c r="BP17">
        <v>361164.63447274594</v>
      </c>
      <c r="BQ17">
        <v>374558.94964457303</v>
      </c>
    </row>
    <row r="18" spans="1:69">
      <c r="A18">
        <v>2025</v>
      </c>
      <c r="B18" s="1">
        <v>19120142454</v>
      </c>
      <c r="C18">
        <v>-2.0402208285265546</v>
      </c>
      <c r="D18">
        <v>0.13</v>
      </c>
      <c r="E18">
        <v>5720</v>
      </c>
      <c r="F18">
        <v>2</v>
      </c>
      <c r="G18" t="s">
        <v>155</v>
      </c>
      <c r="H18">
        <v>317</v>
      </c>
      <c r="I18" t="s">
        <v>5</v>
      </c>
      <c r="J18" t="s">
        <v>156</v>
      </c>
      <c r="K18">
        <v>11</v>
      </c>
      <c r="L18">
        <v>259</v>
      </c>
      <c r="M18" t="s">
        <v>473</v>
      </c>
      <c r="N18" t="s">
        <v>15</v>
      </c>
      <c r="O18" t="s">
        <v>18</v>
      </c>
      <c r="P18">
        <v>1925</v>
      </c>
      <c r="Q18">
        <v>1968</v>
      </c>
      <c r="R18">
        <v>90</v>
      </c>
      <c r="S18">
        <v>99</v>
      </c>
      <c r="T18">
        <v>56</v>
      </c>
      <c r="U18">
        <v>1</v>
      </c>
      <c r="V18">
        <v>980</v>
      </c>
      <c r="W18">
        <v>0</v>
      </c>
      <c r="X18">
        <v>0</v>
      </c>
      <c r="Y18">
        <v>0</v>
      </c>
      <c r="Z18">
        <v>0</v>
      </c>
      <c r="AA18">
        <v>0</v>
      </c>
      <c r="AB18">
        <v>980</v>
      </c>
      <c r="AC18">
        <v>1000</v>
      </c>
      <c r="AD18">
        <v>0</v>
      </c>
      <c r="AE18" t="s">
        <v>56</v>
      </c>
      <c r="AF18" t="s">
        <v>158</v>
      </c>
      <c r="AG18" t="s">
        <v>27</v>
      </c>
      <c r="AH18" t="s">
        <v>56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5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100</v>
      </c>
      <c r="AV18">
        <v>100</v>
      </c>
      <c r="AW18">
        <v>132169</v>
      </c>
      <c r="AX18">
        <v>85910</v>
      </c>
      <c r="AY18">
        <v>789</v>
      </c>
      <c r="AZ18">
        <v>365</v>
      </c>
      <c r="BA18">
        <v>365</v>
      </c>
      <c r="BB18">
        <v>59</v>
      </c>
      <c r="BC18" s="2">
        <v>44503</v>
      </c>
      <c r="BD18" t="s">
        <v>1990</v>
      </c>
      <c r="BE18">
        <v>160000</v>
      </c>
      <c r="BF18">
        <v>160000</v>
      </c>
      <c r="BG18" t="s">
        <v>160</v>
      </c>
      <c r="BH18">
        <v>30</v>
      </c>
      <c r="BI18" t="s">
        <v>56</v>
      </c>
      <c r="BJ18" t="s">
        <v>161</v>
      </c>
      <c r="BK18">
        <v>229400</v>
      </c>
      <c r="BL18">
        <v>57900</v>
      </c>
      <c r="BM18">
        <v>171500</v>
      </c>
      <c r="BN18">
        <v>0</v>
      </c>
      <c r="BO18" s="2">
        <v>45182</v>
      </c>
      <c r="BP18">
        <v>221634.96198492116</v>
      </c>
      <c r="BQ18">
        <v>256296.25088288591</v>
      </c>
    </row>
    <row r="19" spans="1:69">
      <c r="A19">
        <v>2025</v>
      </c>
      <c r="B19" s="1">
        <v>19120142508</v>
      </c>
      <c r="C19">
        <v>-1.9661128563728327</v>
      </c>
      <c r="D19">
        <v>0.14000000000000001</v>
      </c>
      <c r="E19">
        <v>6000</v>
      </c>
      <c r="F19">
        <v>2</v>
      </c>
      <c r="G19" t="s">
        <v>155</v>
      </c>
      <c r="H19">
        <v>317</v>
      </c>
      <c r="I19" t="s">
        <v>5</v>
      </c>
      <c r="J19" t="s">
        <v>156</v>
      </c>
      <c r="K19">
        <v>11</v>
      </c>
      <c r="L19">
        <v>259</v>
      </c>
      <c r="M19" t="s">
        <v>157</v>
      </c>
      <c r="N19" t="s">
        <v>11</v>
      </c>
      <c r="O19" t="s">
        <v>20</v>
      </c>
      <c r="P19">
        <v>1900</v>
      </c>
      <c r="Q19">
        <v>1948</v>
      </c>
      <c r="R19">
        <v>120</v>
      </c>
      <c r="S19">
        <v>124</v>
      </c>
      <c r="T19">
        <v>76</v>
      </c>
      <c r="U19">
        <v>2</v>
      </c>
      <c r="V19">
        <v>1056</v>
      </c>
      <c r="W19">
        <v>405</v>
      </c>
      <c r="X19">
        <v>0</v>
      </c>
      <c r="Y19">
        <v>0</v>
      </c>
      <c r="Z19">
        <v>0</v>
      </c>
      <c r="AA19">
        <v>0</v>
      </c>
      <c r="AB19">
        <v>1461</v>
      </c>
      <c r="AC19">
        <v>1500</v>
      </c>
      <c r="AD19">
        <v>0</v>
      </c>
      <c r="AE19" t="s">
        <v>56</v>
      </c>
      <c r="AF19" t="s">
        <v>466</v>
      </c>
      <c r="AG19" t="s">
        <v>27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8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100</v>
      </c>
      <c r="AV19">
        <v>100</v>
      </c>
      <c r="AW19">
        <v>156461</v>
      </c>
      <c r="AX19">
        <v>103264</v>
      </c>
      <c r="AY19">
        <v>784</v>
      </c>
      <c r="AZ19">
        <v>365</v>
      </c>
      <c r="BA19">
        <v>365</v>
      </c>
      <c r="BB19">
        <v>54</v>
      </c>
      <c r="BC19" s="2">
        <v>44508</v>
      </c>
      <c r="BD19" t="s">
        <v>1991</v>
      </c>
      <c r="BE19">
        <v>304999</v>
      </c>
      <c r="BF19">
        <v>303143</v>
      </c>
      <c r="BG19" t="s">
        <v>160</v>
      </c>
      <c r="BH19">
        <v>30</v>
      </c>
      <c r="BI19" t="s">
        <v>56</v>
      </c>
      <c r="BJ19" t="s">
        <v>161</v>
      </c>
      <c r="BK19">
        <v>227600</v>
      </c>
      <c r="BL19">
        <v>59000</v>
      </c>
      <c r="BM19">
        <v>168600</v>
      </c>
      <c r="BN19">
        <v>1856</v>
      </c>
      <c r="BO19" s="2">
        <v>45182</v>
      </c>
    </row>
    <row r="20" spans="1:69">
      <c r="A20">
        <v>2025</v>
      </c>
      <c r="B20" s="1">
        <v>19120212406</v>
      </c>
      <c r="C20">
        <v>0.70803579305369591</v>
      </c>
      <c r="D20">
        <v>2.0299999999999998</v>
      </c>
      <c r="E20">
        <v>0</v>
      </c>
      <c r="F20">
        <v>2</v>
      </c>
      <c r="G20" t="s">
        <v>155</v>
      </c>
      <c r="H20">
        <v>317</v>
      </c>
      <c r="I20" t="s">
        <v>5</v>
      </c>
      <c r="J20" t="s">
        <v>212</v>
      </c>
      <c r="K20">
        <v>11</v>
      </c>
      <c r="L20">
        <v>259</v>
      </c>
      <c r="M20" t="s">
        <v>193</v>
      </c>
      <c r="N20" t="s">
        <v>19</v>
      </c>
      <c r="O20" t="s">
        <v>18</v>
      </c>
      <c r="P20">
        <v>1978</v>
      </c>
      <c r="Q20">
        <v>1980</v>
      </c>
      <c r="R20">
        <v>40</v>
      </c>
      <c r="S20">
        <v>46</v>
      </c>
      <c r="T20">
        <v>44</v>
      </c>
      <c r="U20">
        <v>1</v>
      </c>
      <c r="V20">
        <v>1848</v>
      </c>
      <c r="W20">
        <v>0</v>
      </c>
      <c r="X20">
        <v>0</v>
      </c>
      <c r="Y20">
        <v>0</v>
      </c>
      <c r="Z20">
        <v>0</v>
      </c>
      <c r="AA20">
        <v>0</v>
      </c>
      <c r="AB20">
        <v>1848</v>
      </c>
      <c r="AC20">
        <v>2000</v>
      </c>
      <c r="AD20">
        <v>2</v>
      </c>
      <c r="AE20" t="s">
        <v>56</v>
      </c>
      <c r="AF20" t="s">
        <v>331</v>
      </c>
      <c r="AG20" t="s">
        <v>27</v>
      </c>
      <c r="AI20">
        <v>0</v>
      </c>
      <c r="AJ20">
        <v>1</v>
      </c>
      <c r="AK20">
        <v>0</v>
      </c>
      <c r="AL20">
        <v>0</v>
      </c>
      <c r="AM20">
        <v>0</v>
      </c>
      <c r="AN20">
        <v>8</v>
      </c>
      <c r="AO20">
        <v>984</v>
      </c>
      <c r="AP20">
        <v>0</v>
      </c>
      <c r="AQ20">
        <v>0</v>
      </c>
      <c r="AR20">
        <v>0</v>
      </c>
      <c r="AS20">
        <v>416</v>
      </c>
      <c r="AT20">
        <v>416</v>
      </c>
      <c r="AU20">
        <v>100</v>
      </c>
      <c r="AV20">
        <v>100</v>
      </c>
      <c r="AW20">
        <v>334524</v>
      </c>
      <c r="AX20">
        <v>260929</v>
      </c>
      <c r="AY20">
        <v>672</v>
      </c>
      <c r="AZ20">
        <v>365</v>
      </c>
      <c r="BA20">
        <v>307</v>
      </c>
      <c r="BB20">
        <v>0</v>
      </c>
      <c r="BC20" s="2">
        <v>44620</v>
      </c>
      <c r="BD20" t="s">
        <v>1992</v>
      </c>
      <c r="BE20">
        <v>224900</v>
      </c>
      <c r="BF20">
        <v>218010</v>
      </c>
      <c r="BG20" t="s">
        <v>160</v>
      </c>
      <c r="BH20">
        <v>30</v>
      </c>
      <c r="BI20" t="s">
        <v>56</v>
      </c>
      <c r="BJ20" t="s">
        <v>161</v>
      </c>
      <c r="BK20">
        <v>399100</v>
      </c>
      <c r="BL20">
        <v>96400</v>
      </c>
      <c r="BM20">
        <v>302700</v>
      </c>
      <c r="BN20">
        <v>6890</v>
      </c>
      <c r="BO20" s="2">
        <v>45182</v>
      </c>
      <c r="BP20">
        <v>403735.03322269744</v>
      </c>
      <c r="BQ20">
        <v>420973.63092763681</v>
      </c>
    </row>
    <row r="21" spans="1:69">
      <c r="A21">
        <v>2025</v>
      </c>
      <c r="B21" s="1">
        <v>19121034402</v>
      </c>
      <c r="C21">
        <v>4.2482094869395421</v>
      </c>
      <c r="D21">
        <v>69.98</v>
      </c>
      <c r="E21">
        <v>0</v>
      </c>
      <c r="F21">
        <v>2</v>
      </c>
      <c r="G21" t="s">
        <v>1930</v>
      </c>
      <c r="H21" t="s">
        <v>1993</v>
      </c>
      <c r="I21" t="s">
        <v>5</v>
      </c>
      <c r="J21" t="s">
        <v>1994</v>
      </c>
      <c r="K21">
        <v>81</v>
      </c>
      <c r="L21">
        <v>16</v>
      </c>
      <c r="M21" t="s">
        <v>568</v>
      </c>
      <c r="N21" t="s">
        <v>27</v>
      </c>
      <c r="O21" t="s">
        <v>22</v>
      </c>
      <c r="P21">
        <v>2005</v>
      </c>
      <c r="Q21">
        <v>2005</v>
      </c>
      <c r="R21">
        <v>10</v>
      </c>
      <c r="S21">
        <v>19</v>
      </c>
      <c r="T21">
        <v>19</v>
      </c>
      <c r="U21">
        <v>2</v>
      </c>
      <c r="V21">
        <v>2437</v>
      </c>
      <c r="W21">
        <v>288</v>
      </c>
      <c r="X21">
        <v>0</v>
      </c>
      <c r="Y21">
        <v>790</v>
      </c>
      <c r="Z21">
        <v>0</v>
      </c>
      <c r="AA21">
        <v>790</v>
      </c>
      <c r="AB21">
        <v>3515</v>
      </c>
      <c r="AC21">
        <v>3500</v>
      </c>
      <c r="AD21">
        <v>0</v>
      </c>
      <c r="AE21" t="s">
        <v>57</v>
      </c>
      <c r="AF21" t="s">
        <v>331</v>
      </c>
      <c r="AG21" t="s">
        <v>27</v>
      </c>
      <c r="AH21" t="s">
        <v>161</v>
      </c>
      <c r="AI21">
        <v>0</v>
      </c>
      <c r="AJ21">
        <v>1</v>
      </c>
      <c r="AK21">
        <v>0</v>
      </c>
      <c r="AL21">
        <v>0</v>
      </c>
      <c r="AM21">
        <v>1</v>
      </c>
      <c r="AN21">
        <v>13</v>
      </c>
      <c r="AO21">
        <v>0</v>
      </c>
      <c r="AP21">
        <v>0</v>
      </c>
      <c r="AQ21">
        <v>0</v>
      </c>
      <c r="AR21">
        <v>0</v>
      </c>
      <c r="AS21">
        <v>396</v>
      </c>
      <c r="AT21">
        <v>552</v>
      </c>
      <c r="AU21">
        <v>100</v>
      </c>
      <c r="AV21">
        <v>100</v>
      </c>
      <c r="AW21">
        <v>804837</v>
      </c>
      <c r="AX21">
        <v>812885</v>
      </c>
      <c r="AY21">
        <v>511</v>
      </c>
      <c r="AZ21">
        <v>365</v>
      </c>
      <c r="BA21">
        <v>146</v>
      </c>
      <c r="BB21">
        <v>0</v>
      </c>
      <c r="BC21" s="2">
        <v>44781</v>
      </c>
      <c r="BD21" t="s">
        <v>1995</v>
      </c>
      <c r="BE21">
        <v>1100000</v>
      </c>
      <c r="BF21">
        <v>1050035</v>
      </c>
      <c r="BG21" t="s">
        <v>160</v>
      </c>
      <c r="BH21">
        <v>30</v>
      </c>
      <c r="BI21" t="s">
        <v>56</v>
      </c>
      <c r="BJ21" t="s">
        <v>161</v>
      </c>
      <c r="BK21">
        <v>1057200</v>
      </c>
      <c r="BL21">
        <v>99500</v>
      </c>
      <c r="BM21">
        <v>957700</v>
      </c>
      <c r="BN21">
        <v>49965</v>
      </c>
      <c r="BO21" s="2">
        <v>45296</v>
      </c>
    </row>
    <row r="22" spans="1:69">
      <c r="A22">
        <v>2025</v>
      </c>
      <c r="B22" s="1">
        <v>19133411005</v>
      </c>
      <c r="C22">
        <v>0.48242614924429278</v>
      </c>
      <c r="D22">
        <v>1.62</v>
      </c>
      <c r="E22">
        <v>70623</v>
      </c>
      <c r="F22">
        <v>2</v>
      </c>
      <c r="G22" t="s">
        <v>155</v>
      </c>
      <c r="H22">
        <v>317</v>
      </c>
      <c r="I22" t="s">
        <v>5</v>
      </c>
      <c r="J22" t="s">
        <v>212</v>
      </c>
      <c r="K22">
        <v>11</v>
      </c>
      <c r="M22" t="s">
        <v>485</v>
      </c>
      <c r="N22" t="s">
        <v>17</v>
      </c>
      <c r="O22" t="s">
        <v>16</v>
      </c>
      <c r="P22">
        <v>1905</v>
      </c>
      <c r="Q22">
        <v>1953</v>
      </c>
      <c r="R22">
        <v>110</v>
      </c>
      <c r="S22">
        <v>119</v>
      </c>
      <c r="T22">
        <v>71</v>
      </c>
      <c r="U22">
        <v>2</v>
      </c>
      <c r="V22">
        <v>1450</v>
      </c>
      <c r="W22">
        <v>1520</v>
      </c>
      <c r="X22">
        <v>0</v>
      </c>
      <c r="Y22">
        <v>730</v>
      </c>
      <c r="Z22">
        <v>730</v>
      </c>
      <c r="AA22">
        <v>0</v>
      </c>
      <c r="AB22">
        <v>2970</v>
      </c>
      <c r="AC22">
        <v>3000</v>
      </c>
      <c r="AD22">
        <v>0</v>
      </c>
      <c r="AE22" t="s">
        <v>56</v>
      </c>
      <c r="AF22" t="s">
        <v>331</v>
      </c>
      <c r="AG22" t="s">
        <v>476</v>
      </c>
      <c r="AI22">
        <v>0</v>
      </c>
      <c r="AJ22">
        <v>2</v>
      </c>
      <c r="AK22">
        <v>0</v>
      </c>
      <c r="AL22">
        <v>0</v>
      </c>
      <c r="AM22">
        <v>1</v>
      </c>
      <c r="AN22">
        <v>11</v>
      </c>
      <c r="AO22">
        <v>0</v>
      </c>
      <c r="AP22">
        <v>0</v>
      </c>
      <c r="AQ22">
        <v>0</v>
      </c>
      <c r="AR22">
        <v>0</v>
      </c>
      <c r="AS22">
        <v>448</v>
      </c>
      <c r="AT22">
        <v>448</v>
      </c>
      <c r="AU22">
        <v>100</v>
      </c>
      <c r="AV22">
        <v>100</v>
      </c>
      <c r="AW22">
        <v>408163</v>
      </c>
      <c r="AX22">
        <v>134694</v>
      </c>
      <c r="AY22">
        <v>1026</v>
      </c>
      <c r="AZ22">
        <v>365</v>
      </c>
      <c r="BA22">
        <v>365</v>
      </c>
      <c r="BB22">
        <v>296</v>
      </c>
      <c r="BC22" s="2">
        <v>44266</v>
      </c>
      <c r="BD22" t="s">
        <v>1996</v>
      </c>
      <c r="BE22">
        <v>325000</v>
      </c>
      <c r="BF22">
        <v>313515</v>
      </c>
      <c r="BG22" t="s">
        <v>1957</v>
      </c>
      <c r="BH22">
        <v>30</v>
      </c>
      <c r="BI22" t="s">
        <v>56</v>
      </c>
      <c r="BJ22" t="s">
        <v>161</v>
      </c>
      <c r="BK22">
        <v>422900</v>
      </c>
      <c r="BL22">
        <v>93300</v>
      </c>
      <c r="BM22">
        <v>329600</v>
      </c>
      <c r="BN22">
        <v>11485</v>
      </c>
      <c r="BO22" s="2">
        <v>45182</v>
      </c>
      <c r="BP22">
        <v>372273.66802584246</v>
      </c>
      <c r="BQ22">
        <v>461207.81675919681</v>
      </c>
    </row>
    <row r="23" spans="1:69">
      <c r="A23">
        <v>2025</v>
      </c>
      <c r="B23" s="1">
        <v>20120633438</v>
      </c>
      <c r="C23">
        <v>-1.8325814637483102</v>
      </c>
      <c r="D23">
        <v>0.16</v>
      </c>
      <c r="E23">
        <v>7187</v>
      </c>
      <c r="F23">
        <v>2</v>
      </c>
      <c r="G23" t="s">
        <v>155</v>
      </c>
      <c r="H23" t="s">
        <v>5</v>
      </c>
      <c r="I23" t="s">
        <v>5</v>
      </c>
      <c r="J23" t="s">
        <v>212</v>
      </c>
      <c r="K23">
        <v>11</v>
      </c>
      <c r="L23">
        <v>259</v>
      </c>
      <c r="M23" t="s">
        <v>330</v>
      </c>
      <c r="N23" t="s">
        <v>19</v>
      </c>
      <c r="O23" t="s">
        <v>20</v>
      </c>
      <c r="P23">
        <v>2011</v>
      </c>
      <c r="Q23">
        <v>2011</v>
      </c>
      <c r="R23">
        <v>10</v>
      </c>
      <c r="S23">
        <v>13</v>
      </c>
      <c r="T23">
        <v>13</v>
      </c>
      <c r="U23">
        <v>1</v>
      </c>
      <c r="V23">
        <v>1368</v>
      </c>
      <c r="W23">
        <v>0</v>
      </c>
      <c r="X23">
        <v>0</v>
      </c>
      <c r="Y23">
        <v>0</v>
      </c>
      <c r="Z23">
        <v>0</v>
      </c>
      <c r="AA23">
        <v>0</v>
      </c>
      <c r="AB23">
        <v>1368</v>
      </c>
      <c r="AC23">
        <v>1500</v>
      </c>
      <c r="AD23">
        <v>2</v>
      </c>
      <c r="AE23" t="s">
        <v>56</v>
      </c>
      <c r="AF23" t="s">
        <v>331</v>
      </c>
      <c r="AG23" t="s">
        <v>21</v>
      </c>
      <c r="AH23" t="s">
        <v>161</v>
      </c>
      <c r="AI23">
        <v>0</v>
      </c>
      <c r="AJ23">
        <v>0</v>
      </c>
      <c r="AK23">
        <v>0</v>
      </c>
      <c r="AL23">
        <v>1</v>
      </c>
      <c r="AM23">
        <v>0</v>
      </c>
      <c r="AN23">
        <v>8</v>
      </c>
      <c r="AO23">
        <v>424</v>
      </c>
      <c r="AP23">
        <v>0</v>
      </c>
      <c r="AQ23">
        <v>0</v>
      </c>
      <c r="AR23">
        <v>0</v>
      </c>
      <c r="AS23">
        <v>276</v>
      </c>
      <c r="AT23">
        <v>0</v>
      </c>
      <c r="AU23">
        <v>100</v>
      </c>
      <c r="AV23">
        <v>100</v>
      </c>
      <c r="AW23">
        <v>249579</v>
      </c>
      <c r="AX23">
        <v>239596</v>
      </c>
      <c r="AY23">
        <v>76</v>
      </c>
      <c r="AZ23">
        <v>76</v>
      </c>
      <c r="BA23">
        <v>0</v>
      </c>
      <c r="BB23">
        <v>0</v>
      </c>
      <c r="BC23" s="2">
        <v>45216</v>
      </c>
      <c r="BD23" t="s">
        <v>1997</v>
      </c>
      <c r="BE23">
        <v>323500</v>
      </c>
      <c r="BF23">
        <v>323500</v>
      </c>
      <c r="BG23" t="s">
        <v>1989</v>
      </c>
      <c r="BH23">
        <v>30</v>
      </c>
      <c r="BI23" t="s">
        <v>56</v>
      </c>
      <c r="BJ23" t="s">
        <v>161</v>
      </c>
      <c r="BK23">
        <v>357400</v>
      </c>
      <c r="BL23">
        <v>60800</v>
      </c>
      <c r="BM23">
        <v>296600</v>
      </c>
      <c r="BN23">
        <v>0</v>
      </c>
      <c r="BO23" s="2">
        <v>45182</v>
      </c>
      <c r="BP23">
        <v>354536.18476054684</v>
      </c>
      <c r="BQ23">
        <v>353814.37775238621</v>
      </c>
    </row>
    <row r="24" spans="1:69">
      <c r="A24">
        <v>2025</v>
      </c>
      <c r="B24" s="1">
        <v>20120633493</v>
      </c>
      <c r="C24">
        <v>-1.7147984280919266</v>
      </c>
      <c r="D24">
        <v>0.18</v>
      </c>
      <c r="E24">
        <v>7867</v>
      </c>
      <c r="F24">
        <v>2</v>
      </c>
      <c r="G24" t="s">
        <v>155</v>
      </c>
      <c r="H24">
        <v>317</v>
      </c>
      <c r="I24" t="s">
        <v>5</v>
      </c>
      <c r="J24" t="s">
        <v>212</v>
      </c>
      <c r="K24">
        <v>11</v>
      </c>
      <c r="L24">
        <v>259</v>
      </c>
      <c r="M24" t="s">
        <v>330</v>
      </c>
      <c r="N24" t="s">
        <v>21</v>
      </c>
      <c r="O24" t="s">
        <v>22</v>
      </c>
      <c r="P24">
        <v>2012</v>
      </c>
      <c r="Q24">
        <v>2012</v>
      </c>
      <c r="R24">
        <v>10</v>
      </c>
      <c r="S24">
        <v>12</v>
      </c>
      <c r="T24">
        <v>12</v>
      </c>
      <c r="U24">
        <v>1</v>
      </c>
      <c r="V24">
        <v>1521</v>
      </c>
      <c r="W24">
        <v>0</v>
      </c>
      <c r="X24">
        <v>0</v>
      </c>
      <c r="Y24">
        <v>0</v>
      </c>
      <c r="Z24">
        <v>0</v>
      </c>
      <c r="AA24">
        <v>0</v>
      </c>
      <c r="AB24">
        <v>1521</v>
      </c>
      <c r="AC24">
        <v>2000</v>
      </c>
      <c r="AD24">
        <v>2</v>
      </c>
      <c r="AE24" t="s">
        <v>56</v>
      </c>
      <c r="AF24" t="s">
        <v>331</v>
      </c>
      <c r="AG24" t="s">
        <v>21</v>
      </c>
      <c r="AH24" t="s">
        <v>161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11</v>
      </c>
      <c r="AO24">
        <v>435</v>
      </c>
      <c r="AP24">
        <v>0</v>
      </c>
      <c r="AQ24">
        <v>0</v>
      </c>
      <c r="AR24">
        <v>0</v>
      </c>
      <c r="AS24">
        <v>60</v>
      </c>
      <c r="AT24">
        <v>0</v>
      </c>
      <c r="AU24">
        <v>100</v>
      </c>
      <c r="AV24">
        <v>100</v>
      </c>
      <c r="AW24">
        <v>317120</v>
      </c>
      <c r="AX24">
        <v>304435</v>
      </c>
      <c r="AY24">
        <v>140</v>
      </c>
      <c r="AZ24">
        <v>140</v>
      </c>
      <c r="BA24">
        <v>0</v>
      </c>
      <c r="BB24">
        <v>0</v>
      </c>
      <c r="BC24" s="2">
        <v>45152</v>
      </c>
      <c r="BD24">
        <v>465556</v>
      </c>
      <c r="BE24">
        <v>370000</v>
      </c>
      <c r="BF24">
        <v>370000</v>
      </c>
      <c r="BG24" t="s">
        <v>1998</v>
      </c>
      <c r="BH24">
        <v>30</v>
      </c>
      <c r="BI24" t="s">
        <v>56</v>
      </c>
      <c r="BJ24" t="s">
        <v>161</v>
      </c>
      <c r="BK24">
        <v>386600</v>
      </c>
      <c r="BL24">
        <v>62500</v>
      </c>
      <c r="BM24">
        <v>324100</v>
      </c>
      <c r="BN24">
        <v>0</v>
      </c>
      <c r="BO24" s="2">
        <v>45182</v>
      </c>
      <c r="BP24">
        <v>382637.33181366866</v>
      </c>
      <c r="BQ24">
        <v>381307.68732495198</v>
      </c>
    </row>
  </sheetData>
  <sortState xmlns:xlrd2="http://schemas.microsoft.com/office/spreadsheetml/2017/richdata2" ref="A2:BQ24">
    <sortCondition ref="BH1:BH2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Krista Halliday</cp:lastModifiedBy>
  <cp:revision/>
  <dcterms:created xsi:type="dcterms:W3CDTF">2024-09-19T22:07:32Z</dcterms:created>
  <dcterms:modified xsi:type="dcterms:W3CDTF">2024-09-19T22:07:32Z</dcterms:modified>
  <cp:category/>
  <cp:contentStatus/>
</cp:coreProperties>
</file>